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ml.chartshapes+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16.xml" ContentType="application/vnd.openxmlformats-officedocument.drawing+xml"/>
  <Override PartName="/xl/drawings/drawing17.xml" ContentType="application/vnd.openxmlformats-officedocument.drawing+xml"/>
  <Override PartName="/xl/tables/table16.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drawings/drawing18.xml" ContentType="application/vnd.openxmlformats-officedocument.drawing+xml"/>
  <Override PartName="/xl/tables/table17.xml" ContentType="application/vnd.openxmlformats-officedocument.spreadsheetml.table+xml"/>
  <Override PartName="/xl/comments6.xml" ContentType="application/vnd.openxmlformats-officedocument.spreadsheetml.comments+xml"/>
  <Override PartName="/xl/threadedComments/threadedComment6.xml" ContentType="application/vnd.ms-excel.threadedcomments+xml"/>
  <Override PartName="/xl/drawings/drawing19.xml" ContentType="application/vnd.openxmlformats-officedocument.drawing+xml"/>
  <Override PartName="/xl/tables/table18.xml" ContentType="application/vnd.openxmlformats-officedocument.spreadsheetml.table+xml"/>
  <Override PartName="/xl/comments7.xml" ContentType="application/vnd.openxmlformats-officedocument.spreadsheetml.comments+xml"/>
  <Override PartName="/xl/threadedComments/threadedComment7.xml" ContentType="application/vnd.ms-excel.threadedcomments+xml"/>
  <Override PartName="/xl/drawings/drawing20.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comments8.xml" ContentType="application/vnd.openxmlformats-officedocument.spreadsheetml.comments+xml"/>
  <Override PartName="/xl/threadedComments/threadedComment8.xml" ContentType="application/vnd.ms-excel.threadedcomments+xml"/>
  <Override PartName="/xl/drawings/drawing21.xml" ContentType="application/vnd.openxmlformats-officedocument.drawing+xml"/>
  <Override PartName="/xl/comments9.xml" ContentType="application/vnd.openxmlformats-officedocument.spreadsheetml.comments+xml"/>
  <Override PartName="/xl/threadedComments/threadedComment9.xml" ContentType="application/vnd.ms-excel.threaded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charts/chart10.xml" ContentType="application/vnd.openxmlformats-officedocument.drawingml.chart+xml"/>
  <Override PartName="/xl/charts/chart11.xml" ContentType="application/vnd.openxmlformats-officedocument.drawingml.chart+xml"/>
  <Override PartName="/xl/charts/style6.xml" ContentType="application/vnd.ms-office.chartstyle+xml"/>
  <Override PartName="/xl/charts/colors6.xml" ContentType="application/vnd.ms-office.chartcolorstyle+xml"/>
  <Override PartName="/xl/charts/chart1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9.xml" ContentType="application/vnd.openxmlformats-officedocument.drawing+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charts/chart18.xml" ContentType="application/vnd.openxmlformats-officedocument.drawingml.chart+xml"/>
  <Override PartName="/xl/charts/chart19.xml" ContentType="application/vnd.openxmlformats-officedocument.drawingml.chart+xml"/>
  <Override PartName="/xl/charts/style12.xml" ContentType="application/vnd.ms-office.chartstyle+xml"/>
  <Override PartName="/xl/charts/colors12.xml" ContentType="application/vnd.ms-office.chartcolorstyle+xml"/>
  <Override PartName="/xl/charts/chart2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0.xml" ContentType="application/vnd.openxmlformats-officedocument.drawing+xml"/>
  <Override PartName="/xl/charts/chart21.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drawings/drawing33.xml" ContentType="application/vnd.openxmlformats-officedocument.drawing+xml"/>
  <Override PartName="/xl/charts/chart2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4.xml" ContentType="application/vnd.openxmlformats-officedocument.drawing+xml"/>
  <Override PartName="/xl/charts/chart23.xml" ContentType="application/vnd.openxmlformats-officedocument.drawingml.chart+xml"/>
  <Override PartName="/xl/charts/style16.xml" ContentType="application/vnd.ms-office.chartstyle+xml"/>
  <Override PartName="/xl/charts/colors16.xml" ContentType="application/vnd.ms-office.chartcolorstyle+xml"/>
  <Override PartName="/xl/charts/chart24.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5.xml" ContentType="application/vnd.openxmlformats-officedocument.drawingml.chartshapes+xml"/>
  <Override PartName="/xl/charts/chart25.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drawings/drawing38.xml" ContentType="application/vnd.openxmlformats-officedocument.drawing+xml"/>
  <Override PartName="/xl/charts/chart26.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9.xml" ContentType="application/vnd.openxmlformats-officedocument.drawing+xml"/>
  <Override PartName="/xl/comments10.xml" ContentType="application/vnd.openxmlformats-officedocument.spreadsheetml.comments+xml"/>
  <Override PartName="/xl/threadedComments/threadedComment10.xml" ContentType="application/vnd.ms-excel.threadedcomments+xml"/>
  <Override PartName="/xl/drawings/drawing4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https://d.docs.live.net/14358f85e4e265f3/Desktop/Personal/Career/AirBnb/"/>
    </mc:Choice>
  </mc:AlternateContent>
  <xr:revisionPtr revIDLastSave="0" documentId="14_{68E62452-4382-48B8-A4C9-FADA5090A4E3}" xr6:coauthVersionLast="47" xr6:coauthVersionMax="47" xr10:uidLastSave="{00000000-0000-0000-0000-000000000000}"/>
  <bookViews>
    <workbookView xWindow="-108" yWindow="-108" windowWidth="23256" windowHeight="12456" tabRatio="858" firstSheet="6" activeTab="6" xr2:uid="{00000000-000D-0000-FFFF-FFFF00000000}"/>
  </bookViews>
  <sheets>
    <sheet name="_adm" sheetId="36" state="veryHidden" r:id="rId1"/>
    <sheet name="HIDE4" sheetId="11" state="veryHidden" r:id="rId2"/>
    <sheet name="HIDE2" sheetId="22" state="veryHidden" r:id="rId3"/>
    <sheet name="HIDE1" sheetId="13" state="veryHidden" r:id="rId4"/>
    <sheet name="HIDE3" sheetId="10" state="veryHidden" r:id="rId5"/>
    <sheet name="HIDE5" sheetId="9" state="veryHidden" r:id="rId6"/>
    <sheet name="DISCLAIMER" sheetId="21" r:id="rId7"/>
    <sheet name="READ ME" sheetId="33" r:id="rId8"/>
    <sheet name="DASHBOARD" sheetId="3" r:id="rId9"/>
    <sheet name="BOOK KEEPING LEDGER" sheetId="55" r:id="rId10"/>
    <sheet name="FINANCIAL STATEMENT" sheetId="56" r:id="rId11"/>
    <sheet name="REPAIRS" sheetId="38" r:id="rId12"/>
    <sheet name="FURNITURE" sheetId="40" r:id="rId13"/>
    <sheet name="FORECASTS" sheetId="5" r:id="rId14"/>
    <sheet name="DEBT" sheetId="6" r:id="rId15"/>
    <sheet name="MORTGAGE" sheetId="31" r:id="rId16"/>
    <sheet name="$ GAME APPS" sheetId="53" r:id="rId17"/>
    <sheet name="TRAVEL SANDBOX" sheetId="54" r:id="rId18"/>
    <sheet name="BALANCE SHEET SUMMARY" sheetId="48" r:id="rId19"/>
    <sheet name="ASSETS" sheetId="49" r:id="rId20"/>
    <sheet name="LIABILITIES" sheetId="50" r:id="rId21"/>
    <sheet name="CATEGORIES" sheetId="51" r:id="rId22"/>
    <sheet name="ACTUALS (M)" sheetId="42" r:id="rId23"/>
    <sheet name="VERSUS (M)" sheetId="44" r:id="rId24"/>
    <sheet name="ACTUALS (Y)" sheetId="43" r:id="rId25"/>
    <sheet name="PEERS" sheetId="41" r:id="rId26"/>
    <sheet name="SUMMARY (R)" sheetId="12" r:id="rId27"/>
    <sheet name="MONTHLY (R)" sheetId="46" r:id="rId28"/>
    <sheet name="YTD (R)" sheetId="45" r:id="rId29"/>
    <sheet name="VERSUS (R)" sheetId="47" r:id="rId30"/>
    <sheet name="AMORTIZATION (R)" sheetId="15" r:id="rId31"/>
    <sheet name="FINANCING (R)" sheetId="16" r:id="rId32"/>
    <sheet name="EXPENSES (R)" sheetId="17" r:id="rId33"/>
    <sheet name="FORECASTS (R)" sheetId="8" r:id="rId34"/>
    <sheet name="SCENARIOS" sheetId="25" r:id="rId35"/>
    <sheet name="MAX PRICE" sheetId="27" r:id="rId36"/>
    <sheet name="Market Research" sheetId="52" r:id="rId37"/>
    <sheet name="CUSTOM" sheetId="30" r:id="rId38"/>
  </sheets>
  <definedNames>
    <definedName name="_xlnm._FilterDatabase" localSheetId="16" hidden="1">'$ GAME APPS'!$A$8:$U$73</definedName>
    <definedName name="_xlnm._FilterDatabase" localSheetId="22" hidden="1">'ACTUALS (M)'!$B$11:$AM$61</definedName>
    <definedName name="_xlnm._FilterDatabase" localSheetId="24" hidden="1">'ACTUALS (Y)'!$B$9:$N$63</definedName>
    <definedName name="_xlnm._FilterDatabase" localSheetId="30" hidden="1">'AMORTIZATION (R)'!$B$32:$AQ$393</definedName>
    <definedName name="_xlnm._FilterDatabase" localSheetId="9" hidden="1">'BOOK KEEPING LEDGER'!$B$13:$J$91</definedName>
    <definedName name="_xlnm._FilterDatabase" localSheetId="32" hidden="1">'EXPENSES (R)'!$B$42:$BE$117</definedName>
    <definedName name="_xlnm._FilterDatabase" localSheetId="13" hidden="1">FORECASTS!$B$12:$AJ$126</definedName>
    <definedName name="_xlnm._FilterDatabase" localSheetId="27" hidden="1">'MONTHLY (R)'!#REF!</definedName>
    <definedName name="_xlnm._FilterDatabase" localSheetId="23" hidden="1">'VERSUS (M)'!$B$8:$BB$57</definedName>
    <definedName name="_xlnm._FilterDatabase" localSheetId="29" hidden="1">'VERSUS (R)'!#REF!</definedName>
    <definedName name="_xlnm._FilterDatabase" localSheetId="28" hidden="1">'YTD (R)'!#REF!</definedName>
    <definedName name="_xlcn.WorksheetConnection_T9A2C161" hidden="1">#REF!</definedName>
    <definedName name="active_refi">DASHBOARD!$K$98</definedName>
    <definedName name="Activeboxes">REPAIRS!$BL$28,REPAIRS!$BL$29,REPAIRS!$BL$30,REPAIRS!$BL$31,REPAIRS!$BL$32,REPAIRS!#REF!,REPAIRS!#REF!,REPAIRS!#REF!,REPAIRS!#REF!,REPAIRS!#REF!,REPAIRS!$BL$36,REPAIRS!$BL$37,REPAIRS!$BL$38,REPAIRS!$BL$39,REPAIRS!#REF!,REPAIRS!#REF!,REPAIRS!#REF!,REPAIRS!#REF!,REPAIRS!#REF!,REPAIRS!#REF!,REPAIRS!$BL$44,REPAIRS!$BL$45,REPAIRS!$BL$46,REPAIRS!#REF!,REPAIRS!#REF!,REPAIRS!#REF!,REPAIRS!#REF!,REPAIRS!#REF!,REPAIRS!#REF!,REPAIRS!#REF!,REPAIRS!$BL$52,REPAIRS!$BL$53,REPAIRS!$BL$54,REPAIRS!$BL$55,REPAIRS!#REF!,REPAIRS!#REF!,REPAIRS!#REF!,REPAIRS!#REF!,REPAIRS!#REF!,REPAIRS!#REF!</definedName>
    <definedName name="activeloan">MORTGAGE!$D$10*MORTGAGE!$D$11*MORTGAGE!$D$12</definedName>
    <definedName name="amortization_table">'AMORTIZATION (R)'!$B$32:$AQ$393</definedName>
    <definedName name="Area_1">FURNITURE!$B$7</definedName>
    <definedName name="Area_10">FURNITURE!$B$349</definedName>
    <definedName name="Area_11">FURNITURE!$B$387</definedName>
    <definedName name="Area_12">FURNITURE!$B$425</definedName>
    <definedName name="Area_13">FURNITURE!$B$463</definedName>
    <definedName name="Area_14">FURNITURE!$B$501</definedName>
    <definedName name="Area_15">FURNITURE!$B$539</definedName>
    <definedName name="Area_2">FURNITURE!$B$45</definedName>
    <definedName name="Area_3">FURNITURE!$B$83</definedName>
    <definedName name="Area_4">FURNITURE!$B$121</definedName>
    <definedName name="Area_5">FURNITURE!$B$159</definedName>
    <definedName name="Area_6">FURNITURE!$B$197</definedName>
    <definedName name="Area_7">FURNITURE!$B$235</definedName>
    <definedName name="Area_8">FURNITURE!$B$273</definedName>
    <definedName name="Area_9">FURNITURE!$B$311</definedName>
    <definedName name="ARV">DASHBOARD!$I$27</definedName>
    <definedName name="ARV_input">DASHBOARD!$AE$21</definedName>
    <definedName name="BALANCE_SHEET_ASSETS">ASSETS!$D$6</definedName>
    <definedName name="BALANCE_SHEET_CATEGORIES">'CATEGORIES'!$B$6</definedName>
    <definedName name="BALANCE_SHEET_LIABILITIES">LIABILITIES!$D$6</definedName>
    <definedName name="Balance_Sheet_Summary">'BALANCE SHEET SUMMARY'!$C$7</definedName>
    <definedName name="BOOK_KEEPING_LEDGER">'BOOK KEEPING LEDGER'!$J$8</definedName>
    <definedName name="cate1">REPAIRS!$C$26</definedName>
    <definedName name="cate10">REPAIRS!$C$98</definedName>
    <definedName name="cate11">REPAIRS!$C$106</definedName>
    <definedName name="cate12">REPAIRS!$C$114</definedName>
    <definedName name="cate13">REPAIRS!$C$122</definedName>
    <definedName name="cate14">REPAIRS!$C$130</definedName>
    <definedName name="cate15">REPAIRS!$C$138</definedName>
    <definedName name="cate2">REPAIRS!$C$34</definedName>
    <definedName name="cate3">REPAIRS!$C$42</definedName>
    <definedName name="cate4">REPAIRS!$C$50</definedName>
    <definedName name="cate5">REPAIRS!$C$58</definedName>
    <definedName name="cate6">REPAIRS!$C$66</definedName>
    <definedName name="cate7">REPAIRS!$C$74</definedName>
    <definedName name="cate8">REPAIRS!$C$82</definedName>
    <definedName name="cate9">REPAIRS!$C$90</definedName>
    <definedName name="CF_1">'MAX PRICE'!$B$25</definedName>
    <definedName name="CF_2">'MAX PRICE'!$E$25</definedName>
    <definedName name="CF_3">'MAX PRICE'!$H$25</definedName>
    <definedName name="CF_4">'MAX PRICE'!$K$25</definedName>
    <definedName name="CF_5">'MAX PRICE'!$N$25</definedName>
    <definedName name="CF_6">'MAX PRICE'!$Q$25</definedName>
    <definedName name="CF_7">'MAX PRICE'!$T$25</definedName>
    <definedName name="CF_A">'MAX PRICE'!$B$23</definedName>
    <definedName name="CF_B">'MAX PRICE'!$E$23</definedName>
    <definedName name="CF_C">'MAX PRICE'!$H$23</definedName>
    <definedName name="CF_D">'MAX PRICE'!$K$23</definedName>
    <definedName name="CF_E">'MAX PRICE'!$N$23</definedName>
    <definedName name="CF_F">'MAX PRICE'!$Q$23</definedName>
    <definedName name="CF_G">'MAX PRICE'!$T$23</definedName>
    <definedName name="CF_result">DASHBOARD!$O$259</definedName>
    <definedName name="CF_target">DASHBOARD!$K$259</definedName>
    <definedName name="CF_value">DASHBOARD!$K$251</definedName>
    <definedName name="CFGSI">SCENARIOS!$AL$29:$BD$29</definedName>
    <definedName name="CFPP">SCENARIOS!$AF$30:$AF$36</definedName>
    <definedName name="Clean_Actuals">'ACTUALS (M)'!$D$5,'ACTUALS (M)'!$D$7,'ACTUALS (M)'!$G$11:$DV$11,'ACTUALS (M)'!$G$13:$DV$13,'ACTUALS (M)'!$G$16:$DV$18,'ACTUALS (M)'!$G$21:$DV$40,'ACTUALS (M)'!$G$47:$DV$49,'ACTUALS (M)'!$G$54:$DV$55</definedName>
    <definedName name="Clean_Dashboard_Acquisition">DASHBOARD!$K$12:$R$17,DASHBOARD!$K$19:$R$25,DASHBOARD!$AE$12,DASHBOARD!$AE$14:$AI$15,DASHBOARD!$AE$21,DASHBOARD!$AE$25:$AI$26,DASHBOARD!$AZ$15:$BC$16,DASHBOARD!$AZ$21,DASHBOARD!$BD$27</definedName>
    <definedName name="Clean_Dashboard_Financing">DASHBOARD!$K$80,DASHBOARD!$K$88:$N$90,DASHBOARD!$AD$80:$AG$83</definedName>
    <definedName name="Clean_Dashboard_Offering">DASHBOARD!$K$257:$N$261,DASHBOARD!$O$258:$R$261</definedName>
    <definedName name="Clean_Dashboard_Operating">DASHBOARD!$L$118:$O$119,DASHBOARD!$I$130,DASHBOARD!$P$134,DASHBOARD!$P$136:$S$138,DASHBOARD!$AE$119:$AG$127,DASHBOARD!$BD$119:$BF$127,DASHBOARD!$BD$130,DASHBOARD!$AF$134:$AH$139</definedName>
    <definedName name="Clean_Dashboard_Profiles">DASHBOARD!$C$148:$I$157,DASHBOARD!$K$148:$BF$157,DASHBOARD!$BQ$148:$BT$157</definedName>
    <definedName name="Clean_Dashboard_Refinancing">DASHBOARD!$L$98:$P$99,DASHBOARD!$AD$98,DASHBOARD!$AD$101:$AH$106</definedName>
    <definedName name="Clean_Furniture_1_5">FURNITURE!$D$13:$I$32,FURNITURE!$K$13:$Q$32,FURNITURE!$D$51:$I$70,FURNITURE!$K$51:$Q$70,FURNITURE!$D$89:$I$108,FURNITURE!$K$89:$Q$108,FURNITURE!$D$127:$I$146,FURNITURE!$K$127:$Q$146,FURNITURE!$D$165:$I$184,FURNITURE!$K$165:$Q$184</definedName>
    <definedName name="Clean_Furniture_11_15">FURNITURE!$D$393:$I$412,FURNITURE!$K$393:$Q$412,FURNITURE!$D$431:$I$450,FURNITURE!$K$431:$Q$450,FURNITURE!$D$469:$I$488,FURNITURE!$K$469:$Q$488,FURNITURE!$D$507:$I$526,FURNITURE!$K$507:$Q$526,FURNITURE!$D$545:$I$564,FURNITURE!$K$545:$Q$564</definedName>
    <definedName name="Clean_Furniture_6_10">FURNITURE!$D$203:$I$222,FURNITURE!$K$203:$Q$222,FURNITURE!$D$241:$I$260,FURNITURE!$K$241:$Q$260,FURNITURE!$D$279:$I$298,FURNITURE!$K$279:$Q$298,FURNITURE!$D$317:$I$336,FURNITURE!$K$317:$Q$336,FURNITURE!$D$355:$I$374,FURNITURE!$K$355:$Q$374</definedName>
    <definedName name="Clean_Max">'MAX PRICE'!$H$13,'MAX PRICE'!$Q$13,'MAX PRICE'!$H$20,'MAX PRICE'!$Q$20,'MAX PRICE'!$AF$13,'MAX PRICE'!$AO$13,'MAX PRICE'!$AO$20,'MAX PRICE'!$AF$20</definedName>
    <definedName name="Clean_Monthly">'MONTHLY (R)'!$AS$8:$AS$9</definedName>
    <definedName name="Clean_Peers_Amenities">PEERS!$F$49:$P$50,PEERS!$F$54:$P$69,PEERS!$F$73:$P$95,PEERS!$F$99:$P$109,PEERS!$F$113:$P$126,PEERS!$F$130:$P$156,PEERS!$F$160:$P$176</definedName>
    <definedName name="Clean_Peers_Information">PEERS!$F$12:$P$18,PEERS!$F$20:$P$21,PEERS!$F$23:$P$28,PEERS!$F$30:$P$31,PEERS!$F$35:$P$37</definedName>
    <definedName name="Clean_Peers_Policy">PEERS!$F$180:$P$199,PEERS!$F$203:$P$209,PEERS!$F$216:$P$224</definedName>
    <definedName name="Clean_Repairs_1_5">REPAIRS!$C$28:$U$32,REPAIRS!$Y$28:$AG$32,REPAIRS!$AK$28:$AS$32,REPAIRS!$C$36:$U$40,REPAIRS!$Y$36:$AG$40,REPAIRS!$AK$36:$AS$40,REPAIRS!$C$44:$U$48,REPAIRS!$Y$44:$AG$48,REPAIRS!$AK$44:$AS$48,REPAIRS!$C$52:$U$56,REPAIRS!$Y$52:$AG$56,REPAIRS!$AK$52:$AS$56,REPAIRS!$BL$14,REPAIRS!$C$60:$U$64,REPAIRS!$Y$60:$AG$64,REPAIRS!$AK$60:$AS$64</definedName>
    <definedName name="Clean_Repairs_10_15">REPAIRS!$C$108:$U$112,REPAIRS!$Y$108:$AG$112,REPAIRS!$AK$108:$AS$112,REPAIRS!$C$116:$U$120,REPAIRS!$Y$116:$AG$120,REPAIRS!$AK$116:$AS$120,REPAIRS!$C$124:$U$128,REPAIRS!$Y$124:$AG$128,REPAIRS!$AK$124:$AS$128,REPAIRS!$C$132:$U$136,REPAIRS!$Y$132:$AG$136,REPAIRS!$AK$132:$AS$136,REPAIRS!$C$140:$U$144,REPAIRS!$Y$140:$AG$144,REPAIRS!$AK$140:$AS$144</definedName>
    <definedName name="Clean_Repairs_6_10">REPAIRS!$C$68:$U$72,REPAIRS!$Y$68:$AG$72,REPAIRS!$AK$68:$AS$72,REPAIRS!$C$76:$U$80,REPAIRS!$Y$76:$AG$80,REPAIRS!$AK$76:$AS$80,REPAIRS!$C$84:$U$88,REPAIRS!$Y$84:$AG$88,REPAIRS!$AK$84:$AS$88,REPAIRS!$C$92:$U$96,REPAIRS!$Y$92:$AG$96,REPAIRS!$AK$92:$AS$96,REPAIRS!$C$100:$U$103,REPAIRS!$C$104:$U$104,REPAIRS!$Y$100:$AG$104,REPAIRS!$AK$100:$AS$104</definedName>
    <definedName name="Clean_Scenarios">SCENARIOS!$J$15,SCENARIOS!$V$15,SCENARIOS!$AO$15,SCENARIOS!$BB$15,SCENARIOS!$K$41,SCENARIOS!$W$41,SCENARIOS!$AR$41,SCENARIOS!$BC$41,SCENARIOS!$K$67,SCENARIOS!$W$67,SCENARIOS!$AR$67,SCENARIOS!$BC$67,SCENARIOS!$L$93,SCENARIOS!$X$93</definedName>
    <definedName name="Clean_Versus">'VERSUS (M)'!$D$4</definedName>
    <definedName name="Clean_Versus_R">'VERSUS (R)'!$AS$8:$AS$9</definedName>
    <definedName name="Clean_YTD">'YTD (R)'!$AS$8</definedName>
    <definedName name="COC_1">'MAX PRICE'!$Z$18</definedName>
    <definedName name="COC_2">'MAX PRICE'!$AC$18</definedName>
    <definedName name="COC_3">'MAX PRICE'!$AF$18</definedName>
    <definedName name="COC_4">'MAX PRICE'!$AI$18</definedName>
    <definedName name="COC_5">'MAX PRICE'!$AL$18</definedName>
    <definedName name="COC_6">'MAX PRICE'!$AO$18</definedName>
    <definedName name="COC_7">'MAX PRICE'!$AR$18</definedName>
    <definedName name="COC_A">'MAX PRICE'!$Z$16</definedName>
    <definedName name="COC_B">'MAX PRICE'!$AC$16</definedName>
    <definedName name="COC_C">'MAX PRICE'!$AF$16</definedName>
    <definedName name="COC_D">'MAX PRICE'!$AI$16</definedName>
    <definedName name="COC_E">'MAX PRICE'!$AL$16</definedName>
    <definedName name="COC_F">'MAX PRICE'!$AO$16</definedName>
    <definedName name="COC_G">'MAX PRICE'!$AR$16</definedName>
    <definedName name="COC_result">DASHBOARD!$O$258</definedName>
    <definedName name="COC_target">DASHBOARD!$K$258</definedName>
    <definedName name="COC_value">DASHBOARD!$AI$245</definedName>
    <definedName name="COCGSI">SCENARIOS!$H$29:$Z$29</definedName>
    <definedName name="COCPP">SCENARIOS!$B$30:$B$36</definedName>
    <definedName name="ColumnTitle2">Assets[[#Headers],[DESCRIPTION]]</definedName>
    <definedName name="ColumnTitle3">Liabilities[[#Headers],[DESCRIPTION]]</definedName>
    <definedName name="CRGSI">SCENARIOS!$AL$18:$BD$18</definedName>
    <definedName name="CRPP">SCENARIOS!$AF$19:$AF$25</definedName>
    <definedName name="CURRENT_BALANCE">#REF!</definedName>
    <definedName name="D_Acquisition">DASHBOARD!$B$8</definedName>
    <definedName name="D_Acquisition_Project_Name">DASHBOARD!$K$12</definedName>
    <definedName name="D_Estimates">DASHBOARD!$B$182</definedName>
    <definedName name="D_EstimatesJanuary">DASHBOARD!$K$184</definedName>
    <definedName name="D_Financing">DASHBOARD!$B$76</definedName>
    <definedName name="D_Furnitures">DASHBOARD!$B$54</definedName>
    <definedName name="D_Furnitures1">DASHBOARD!$B$67</definedName>
    <definedName name="D_Operating">DASHBOARD!$B$113</definedName>
    <definedName name="D_Profiles">DASHBOARD!$B$144</definedName>
    <definedName name="D_ProfilesName">DASHBOARD!$C$148</definedName>
    <definedName name="D_Refinancing">DASHBOARD!$B$94</definedName>
    <definedName name="D_Refinancing_Activate">DASHBOARD!$L$98</definedName>
    <definedName name="D_Repairs">DASHBOARD!$B$32</definedName>
    <definedName name="D_Repairs1">DASHBOARD!$B$43</definedName>
    <definedName name="D_Results">DASHBOARD!$B$241</definedName>
    <definedName name="D_Results1">DASHBOARD!$Y$258</definedName>
    <definedName name="D_Scenarios">DASHBOARD!$B$162</definedName>
    <definedName name="D_ScenariosCustomCase">DASHBOARD!$K$169</definedName>
    <definedName name="Detailed_Furniture">DASHBOARD!$C$59:$O$63</definedName>
    <definedName name="Detailed_Repairs">DASHBOARD!$C$37:$O$41</definedName>
    <definedName name="downpayment">DASHBOARD!$K$80</definedName>
    <definedName name="ESTIMATE">REPAIRS!$BH$13</definedName>
    <definedName name="expense_table">'EXPENSES (R)'!$B$42:$BE$117</definedName>
    <definedName name="expenses">'EXPENSES (R)'!$B$13:$X$31</definedName>
    <definedName name="Expenses_Tab">'EXPENSES (R)'!$BE$40</definedName>
    <definedName name="F_Client">FORECASTS!$B$106</definedName>
    <definedName name="F_Financing">FORECASTS!$B$89</definedName>
    <definedName name="F_Operating">FORECASTS!$B$6</definedName>
    <definedName name="F_Property">FORECASTS!$B$119</definedName>
    <definedName name="F_Return">FORECASTS!$B$138</definedName>
    <definedName name="F_Sale">FORECASTS!$B$161</definedName>
    <definedName name="Forecasts_Filter">FORECASTS!$AJ$11</definedName>
    <definedName name="Furniture_Estimate">DASHBOARD!$AC$56</definedName>
    <definedName name="FY_YEAR">'BALANCE SHEET SUMMARY'!$C$5</definedName>
    <definedName name="FY_YEAR_2">'BALANCE SHEET SUMMARY'!$D$5</definedName>
    <definedName name="GAME_APPS_TAB">'$ GAME APPS'!$B$9</definedName>
    <definedName name="Group_Peers">"Picture 23,Rectangle 12"</definedName>
    <definedName name="Headroom">REPAIRS!$BL$14</definedName>
    <definedName name="holding">DASHBOARD!$D$28</definedName>
    <definedName name="holding_input">DASHBOARD!$AE$26</definedName>
    <definedName name="interest_rate" localSheetId="12" hidden="1">#REF!</definedName>
    <definedName name="interest_rate" localSheetId="25" hidden="1">#REF!</definedName>
    <definedName name="interest_rate" localSheetId="11" hidden="1">#REF!</definedName>
    <definedName name="interest_rate">DASHBOARD!$O$88</definedName>
    <definedName name="interest_rate_input">DASHBOARD!$K$88</definedName>
    <definedName name="IRR_1">'MAX PRICE'!$Z$25</definedName>
    <definedName name="IRR_2">'MAX PRICE'!$AC$25</definedName>
    <definedName name="IRR_3">'MAX PRICE'!$AF$25</definedName>
    <definedName name="IRR_4">'MAX PRICE'!$AI$25</definedName>
    <definedName name="IRR_5">'MAX PRICE'!$AL$25</definedName>
    <definedName name="IRR_6">'MAX PRICE'!$AO$25</definedName>
    <definedName name="IRR_7">'MAX PRICE'!$AR$25</definedName>
    <definedName name="IRR_A">'MAX PRICE'!$Z$23</definedName>
    <definedName name="IRR_B">'MAX PRICE'!$AC$23</definedName>
    <definedName name="IRR_C">'MAX PRICE'!$AF$23</definedName>
    <definedName name="IRR_D">'MAX PRICE'!$AI$23</definedName>
    <definedName name="IRR_E">'MAX PRICE'!$AL$23</definedName>
    <definedName name="IRR_F">'MAX PRICE'!$AO$23</definedName>
    <definedName name="IRR_G">'MAX PRICE'!$AR$23</definedName>
    <definedName name="IRR_result">DASHBOARD!$O$260</definedName>
    <definedName name="IRR_Section">FORECASTS!$B$161:$AI$195</definedName>
    <definedName name="IRR_target">DASHBOARD!$K$260</definedName>
    <definedName name="IRR_value">DASHBOARD!$AA$256</definedName>
    <definedName name="IRRArea">FORECASTS!$B$161:$AH$195</definedName>
    <definedName name="IRRGSI">SCENARIOS!$H$18:$Z$18</definedName>
    <definedName name="IRRPP">SCENARIOS!$B$19:$B$25</definedName>
    <definedName name="L12_Month">OFFSET(#REF!,COUNTA(#REF!),0,-12,1)</definedName>
    <definedName name="L12_Sales">OFFSET(#REF!,COUNTA(#REF!),0,-12,1)</definedName>
    <definedName name="License_ID">DISCLAIMER!$Q$8</definedName>
    <definedName name="loan_amount" localSheetId="12" hidden="1">#REF!</definedName>
    <definedName name="loan_amount" localSheetId="25" hidden="1">#REF!</definedName>
    <definedName name="loan_amount" localSheetId="11" hidden="1">#REF!</definedName>
    <definedName name="loan_amount">DASHBOARD!$AZ$88</definedName>
    <definedName name="MARKET_RESEARCH">'Market Research'!$A$5</definedName>
    <definedName name="MAXPriceArea">DASHBOARD!$B$254:$S$266</definedName>
    <definedName name="MIRR_result">DASHBOARD!$O$261</definedName>
    <definedName name="MIRR_target">DASHBOARD!$K$261</definedName>
    <definedName name="MIRR_value">DASHBOARD!$AI$256</definedName>
    <definedName name="Mortgage_Data">HIDE2!$E$54</definedName>
    <definedName name="MortgageSchedule">MORTGAGE!$B$25:$N$384</definedName>
    <definedName name="night_rate">DASHBOARD!$H$127</definedName>
    <definedName name="night_rate_input">DASHBOARD!#REF!</definedName>
    <definedName name="Nightly_Rate_Source">DASHBOARD!$H$118</definedName>
    <definedName name="occupancy_rate">DASHBOARD!$M$127</definedName>
    <definedName name="Occupancy_Rate_Source">DASHBOARD!$H$119</definedName>
    <definedName name="Peers_1">PEERS!$B$7</definedName>
    <definedName name="Peers_2">PEERS!$B$44</definedName>
    <definedName name="Peers_3">PEERS!$B$213</definedName>
    <definedName name="_xlnm.Print_Area" localSheetId="22">'ACTUALS (M)'!$A$6:$DW$60</definedName>
    <definedName name="_xlnm.Print_Area" localSheetId="24">'ACTUALS (Y)'!$A$6:$P$62</definedName>
    <definedName name="_xlnm.Print_Area" localSheetId="30">'AMORTIZATION (R)'!$A$4:$AQ$396</definedName>
    <definedName name="_xlnm.Print_Area" localSheetId="9">'BOOK KEEPING LEDGER'!$A$12:$K$49,'BOOK KEEPING LEDGER'!$A$51:$K$92</definedName>
    <definedName name="_xlnm.Print_Area" localSheetId="8">DASHBOARD!$A$1:$BU$308</definedName>
    <definedName name="_xlnm.Print_Area" localSheetId="14">DEBT!$A$6:$AI$47</definedName>
    <definedName name="_xlnm.Print_Area" localSheetId="32">'EXPENSES (R)'!$A$4:$BE$119</definedName>
    <definedName name="_xlnm.Print_Area" localSheetId="31">'FINANCING (R)'!$A$5:$BH$110</definedName>
    <definedName name="_xlnm.Print_Area" localSheetId="13">FORECASTS!$A$4:$AJ$87</definedName>
    <definedName name="_xlnm.Print_Area" localSheetId="33">'FORECASTS (R)'!$A$4:$AY$142</definedName>
    <definedName name="_xlnm.Print_Area" localSheetId="12">FURNITURE!$B$7:$S$575</definedName>
    <definedName name="_xlnm.Print_Area" localSheetId="35">'MAX PRICE'!$A$4:$AU$45</definedName>
    <definedName name="_xlnm.Print_Area" localSheetId="27">'MONTHLY (R)'!$A$4:$AO$62</definedName>
    <definedName name="_xlnm.Print_Area" localSheetId="15">MORTGAGE!$A$1:$P$388</definedName>
    <definedName name="_xlnm.Print_Area" localSheetId="25">PEERS!$B$6:$T$229</definedName>
    <definedName name="_xlnm.Print_Area" localSheetId="11">REPAIRS!$A$1:$BN$147</definedName>
    <definedName name="_xlnm.Print_Area" localSheetId="34">SCENARIOS!$A$4:$BG$113</definedName>
    <definedName name="_xlnm.Print_Area" localSheetId="26">'SUMMARY (R)'!$A$5:$AK$100</definedName>
    <definedName name="_xlnm.Print_Area" localSheetId="17">'TRAVEL SANDBOX'!$A$4:$U$24</definedName>
    <definedName name="_xlnm.Print_Area" localSheetId="23">'VERSUS (M)'!$A$5:$BB$56</definedName>
    <definedName name="_xlnm.Print_Area" localSheetId="29">'VERSUS (R)'!$A$5:$AO$73</definedName>
    <definedName name="_xlnm.Print_Area" localSheetId="28">'YTD (R)'!$A$5:$AO$64</definedName>
    <definedName name="_xlnm.Print_Titles" localSheetId="19">ASSETS!$4:$6</definedName>
    <definedName name="_xlnm.Print_Titles" localSheetId="18">'BALANCE SHEET SUMMARY'!$4:$6</definedName>
    <definedName name="_xlnm.Print_Titles" localSheetId="21">'CATEGORIES'!$4:$6</definedName>
    <definedName name="_xlnm.Print_Titles" localSheetId="20">LIABILITIES!$4:$6</definedName>
    <definedName name="Profile_Section">DASHBOARD!$B$144:$BU$159</definedName>
    <definedName name="property_sale">DASHBOARD!$AZ$26</definedName>
    <definedName name="purchase_date">DASHBOARD!$AE$25</definedName>
    <definedName name="purchase_price">DASHBOARD!$D$27</definedName>
    <definedName name="purchase_price_input">DASHBOARD!$AE$12</definedName>
    <definedName name="Refi_Amount">DASHBOARD!$AD$100</definedName>
    <definedName name="refi_month">MORTGAGE!$F$18</definedName>
    <definedName name="refi_price">DASHBOARD!$L$105</definedName>
    <definedName name="refi_year">DASHBOARD!$L$101</definedName>
    <definedName name="REFIArea">DASHBOARD!$B$94:$BG$107</definedName>
    <definedName name="Refinancing_Section">DASHBOARD!$B$94:$BG$110</definedName>
    <definedName name="Rent">DASHBOARD!$L$118</definedName>
    <definedName name="Repair_Items">REPAIRS!$AX$26:$BB$145</definedName>
    <definedName name="repairflag" localSheetId="12">FURNITURE!$B$33</definedName>
    <definedName name="Repairs_Estimate">DASHBOARD!$AC$34</definedName>
    <definedName name="REPAIRS_TAB">REPAIRS!$A$4</definedName>
    <definedName name="RETArea">DASHBOARD!$AA$251:$BE$257</definedName>
    <definedName name="Return_Area">FORECASTS!$N$3:$AA$3</definedName>
    <definedName name="Return_Section">FORECASTS!$B$138:$AI$158</definedName>
    <definedName name="RowTitleRegion1..D12">'BALANCE SHEET SUMMARY'!$B$13</definedName>
    <definedName name="sale_date">DASHBOARD!$AE$29</definedName>
    <definedName name="Scenarios_Section">DASHBOARD!$B$162:$BU$179</definedName>
    <definedName name="selling_costs">DASHBOARD!$AZ$27</definedName>
    <definedName name="service_fee">DASHBOARD!$AF$134</definedName>
    <definedName name="table_rev_u">FORECASTS!$B$12:$AJ$126</definedName>
    <definedName name="tenor" localSheetId="12" hidden="1">#REF!</definedName>
    <definedName name="tenor" localSheetId="25" hidden="1">#REF!</definedName>
    <definedName name="tenor" localSheetId="11" hidden="1">#REF!</definedName>
    <definedName name="tenor">DASHBOARD!$O$89</definedName>
    <definedName name="tenor_input">DASHBOARD!$K$89</definedName>
    <definedName name="thumb" localSheetId="12" hidden="1">#REF!</definedName>
    <definedName name="thumb" localSheetId="25" hidden="1">#REF!</definedName>
    <definedName name="thumb" localSheetId="11" hidden="1">#REF!</definedName>
    <definedName name="thumb">DASHBOARD!$L$140</definedName>
    <definedName name="TravelSandbox">'TRAVEL SANDBOX'!$A$5</definedName>
    <definedName name="UnitList">REPAIRS!$BP$8:INDEX(REPAIRS!$BP$8:$BP$17,SUMPRODUCT(--(REPAIRS!$BP$8:$BP$17&lt;&gt;"")))</definedName>
    <definedName name="Version_ID">DISCLAIMER!$Q$6</definedName>
  </definedNames>
  <calcPr calcId="191029" calcMode="autoNoTable" iterate="1" iterateCount="1000" iterateDelta="1E-4"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77" i="53" l="1"/>
  <c r="O76" i="53"/>
  <c r="O75" i="53"/>
  <c r="O74" i="53"/>
  <c r="O72" i="53"/>
  <c r="O71" i="53"/>
  <c r="O70" i="53"/>
  <c r="O69" i="53"/>
  <c r="O68" i="53"/>
  <c r="O67" i="53"/>
  <c r="O66" i="53"/>
  <c r="O65" i="53"/>
  <c r="O64" i="53"/>
  <c r="O63" i="53"/>
  <c r="O62" i="53"/>
  <c r="O61" i="53"/>
  <c r="O60" i="53"/>
  <c r="O59" i="53"/>
  <c r="O58" i="53"/>
  <c r="O57" i="53"/>
  <c r="O56" i="53"/>
  <c r="O55" i="53"/>
  <c r="O54" i="53"/>
  <c r="O53" i="53"/>
  <c r="O52" i="53"/>
  <c r="O51" i="53"/>
  <c r="O50" i="53"/>
  <c r="O49" i="53"/>
  <c r="O48" i="53"/>
  <c r="O47" i="53"/>
  <c r="O46" i="53"/>
  <c r="O45" i="53"/>
  <c r="O44" i="53"/>
  <c r="O43" i="53"/>
  <c r="O42" i="53"/>
  <c r="O41" i="53"/>
  <c r="O40" i="53"/>
  <c r="O39" i="53"/>
  <c r="O38" i="53"/>
  <c r="O37" i="53"/>
  <c r="O36" i="53"/>
  <c r="O35" i="53"/>
  <c r="O34" i="53"/>
  <c r="O33" i="53"/>
  <c r="O32" i="53"/>
  <c r="O31" i="53"/>
  <c r="O30" i="53"/>
  <c r="O29" i="53"/>
  <c r="O28" i="53"/>
  <c r="O27" i="53"/>
  <c r="O26" i="53"/>
  <c r="O25" i="53"/>
  <c r="O24" i="53"/>
  <c r="O23" i="53"/>
  <c r="O22" i="53"/>
  <c r="O21" i="53"/>
  <c r="P20" i="53"/>
  <c r="O20" i="53"/>
  <c r="O19" i="53"/>
  <c r="O18" i="53"/>
  <c r="O17" i="53"/>
  <c r="O16" i="53"/>
  <c r="O15" i="53"/>
  <c r="O14" i="53"/>
  <c r="O13" i="53"/>
  <c r="O12" i="53"/>
  <c r="O11" i="53"/>
  <c r="H6" i="53"/>
  <c r="O9" i="53"/>
  <c r="N6" i="53"/>
  <c r="L6" i="53"/>
  <c r="J6" i="53"/>
  <c r="I6" i="53"/>
  <c r="D6" i="53"/>
  <c r="B6" i="53"/>
  <c r="D5" i="53"/>
  <c r="B5" i="53"/>
  <c r="D4" i="53"/>
  <c r="B4" i="53"/>
  <c r="B3" i="53"/>
  <c r="O10" i="53" l="1"/>
  <c r="M6" i="53"/>
  <c r="AC98" i="3"/>
  <c r="AD100" i="3"/>
  <c r="L102" i="3"/>
  <c r="L101" i="3"/>
  <c r="K100" i="3"/>
  <c r="K98" i="3" l="1"/>
  <c r="BD29" i="3" l="1"/>
  <c r="AE14" i="3"/>
  <c r="D9" i="55"/>
  <c r="H33" i="55"/>
  <c r="H40" i="55"/>
  <c r="H39" i="55"/>
  <c r="H38" i="55"/>
  <c r="H35" i="55"/>
  <c r="H37" i="55"/>
  <c r="H32" i="55"/>
  <c r="I28" i="55"/>
  <c r="I27" i="55"/>
  <c r="I25" i="55"/>
  <c r="I22" i="55"/>
  <c r="I21" i="55"/>
  <c r="I18" i="55"/>
  <c r="I20" i="55"/>
  <c r="I16" i="55"/>
  <c r="I15" i="55"/>
  <c r="J15" i="55" s="1"/>
  <c r="E8" i="50"/>
  <c r="E7" i="50"/>
  <c r="G9" i="55"/>
  <c r="G8" i="55"/>
  <c r="D8" i="55"/>
  <c r="D7" i="55"/>
  <c r="B84" i="56"/>
  <c r="C95" i="55"/>
  <c r="B25" i="54"/>
  <c r="N57" i="56"/>
  <c r="O57" i="56"/>
  <c r="P57" i="56"/>
  <c r="Q57" i="56"/>
  <c r="N58" i="56"/>
  <c r="O58" i="56"/>
  <c r="P58" i="56"/>
  <c r="Q58" i="56"/>
  <c r="N59" i="56"/>
  <c r="O59" i="56"/>
  <c r="P59" i="56"/>
  <c r="Q59" i="56"/>
  <c r="N60" i="56"/>
  <c r="O60" i="56"/>
  <c r="P60" i="56"/>
  <c r="Q60" i="56"/>
  <c r="N61" i="56"/>
  <c r="O61" i="56"/>
  <c r="P61" i="56"/>
  <c r="Q61" i="56"/>
  <c r="Q56" i="56"/>
  <c r="P56" i="56"/>
  <c r="O56" i="56"/>
  <c r="N56" i="56"/>
  <c r="B4" i="56"/>
  <c r="G4" i="56"/>
  <c r="J16" i="55" l="1"/>
  <c r="J17" i="55" s="1"/>
  <c r="J18" i="55" s="1"/>
  <c r="I19" i="55"/>
  <c r="I91" i="55" s="1"/>
  <c r="H36" i="55"/>
  <c r="R57" i="56"/>
  <c r="R59" i="56"/>
  <c r="R61" i="56"/>
  <c r="R58" i="56"/>
  <c r="R60" i="56"/>
  <c r="R56" i="56"/>
  <c r="J19" i="55" l="1"/>
  <c r="J20" i="55" s="1"/>
  <c r="J21" i="55" s="1"/>
  <c r="J22" i="55" s="1"/>
  <c r="J23" i="55" s="1"/>
  <c r="J24" i="55" s="1"/>
  <c r="J25" i="55" s="1"/>
  <c r="J26" i="55" s="1"/>
  <c r="J27" i="55" s="1"/>
  <c r="J28" i="55" s="1"/>
  <c r="J29" i="55" s="1"/>
  <c r="J30" i="55" s="1"/>
  <c r="J31" i="55" s="1"/>
  <c r="J32" i="55" s="1"/>
  <c r="J33" i="55" s="1"/>
  <c r="J34" i="55" s="1"/>
  <c r="J35" i="55" s="1"/>
  <c r="J36" i="55" s="1"/>
  <c r="J37" i="55" s="1"/>
  <c r="J38" i="55" s="1"/>
  <c r="J39" i="55" s="1"/>
  <c r="J40" i="55" s="1"/>
  <c r="M63" i="56"/>
  <c r="H41" i="55"/>
  <c r="H91" i="55" s="1"/>
  <c r="J91" i="55" s="1"/>
  <c r="C10" i="55"/>
  <c r="J12" i="55" s="1"/>
  <c r="J41" i="55" l="1"/>
  <c r="J42" i="55" s="1"/>
  <c r="J43" i="55" s="1"/>
  <c r="J44" i="55" s="1"/>
  <c r="J45" i="55" s="1"/>
  <c r="J46" i="55" s="1"/>
  <c r="J47" i="55" s="1"/>
  <c r="J48" i="55" s="1"/>
  <c r="J49" i="55" s="1"/>
  <c r="J54" i="55" s="1"/>
  <c r="J55" i="55" s="1"/>
  <c r="J56" i="55" s="1"/>
  <c r="J57" i="55" s="1"/>
  <c r="J58" i="55" s="1"/>
  <c r="J59" i="55" s="1"/>
  <c r="G7" i="55"/>
  <c r="C15" i="55"/>
  <c r="C16" i="55"/>
  <c r="C24" i="55"/>
  <c r="C32" i="55"/>
  <c r="C40" i="55"/>
  <c r="C48" i="55"/>
  <c r="C49" i="55"/>
  <c r="J51" i="55" s="1"/>
  <c r="C20" i="55"/>
  <c r="C17" i="55"/>
  <c r="C25" i="55"/>
  <c r="C33" i="55"/>
  <c r="C41" i="55"/>
  <c r="C44" i="55"/>
  <c r="C29" i="55"/>
  <c r="C45" i="55"/>
  <c r="C30" i="55"/>
  <c r="C38" i="55"/>
  <c r="C31" i="55"/>
  <c r="C18" i="55"/>
  <c r="C26" i="55"/>
  <c r="C34" i="55"/>
  <c r="C42" i="55"/>
  <c r="C19" i="55"/>
  <c r="C27" i="55"/>
  <c r="C35" i="55"/>
  <c r="C43" i="55"/>
  <c r="C28" i="55"/>
  <c r="C36" i="55"/>
  <c r="C21" i="55"/>
  <c r="C37" i="55"/>
  <c r="C22" i="55"/>
  <c r="C46" i="55"/>
  <c r="C23" i="55"/>
  <c r="C39" i="55"/>
  <c r="C47" i="55"/>
  <c r="J62" i="55" l="1"/>
  <c r="J63" i="55" s="1"/>
  <c r="J64" i="55" s="1"/>
  <c r="J65" i="55" s="1"/>
  <c r="J66" i="55" s="1"/>
  <c r="J67" i="55" s="1"/>
  <c r="J68" i="55" s="1"/>
  <c r="J69" i="55" s="1"/>
  <c r="J70" i="55" s="1"/>
  <c r="J71" i="55" s="1"/>
  <c r="J72" i="55" s="1"/>
  <c r="J73" i="55" s="1"/>
  <c r="J74" i="55" s="1"/>
  <c r="J75" i="55" s="1"/>
  <c r="J76" i="55" s="1"/>
  <c r="J77" i="55" s="1"/>
  <c r="J78" i="55" s="1"/>
  <c r="J79" i="55" s="1"/>
  <c r="J80" i="55" s="1"/>
  <c r="J81" i="55" s="1"/>
  <c r="J82" i="55" s="1"/>
  <c r="J83" i="55" s="1"/>
  <c r="J84" i="55" s="1"/>
  <c r="J85" i="55" s="1"/>
  <c r="J86" i="55" s="1"/>
  <c r="J87" i="55" s="1"/>
  <c r="J88" i="55" s="1"/>
  <c r="J89" i="55" s="1"/>
  <c r="J90" i="55" s="1"/>
  <c r="J60" i="55"/>
  <c r="J61" i="55" s="1"/>
  <c r="C27" i="56"/>
  <c r="C35" i="56"/>
  <c r="C21" i="56"/>
  <c r="C75" i="56" s="1"/>
  <c r="C19" i="56"/>
  <c r="C73" i="56" s="1"/>
  <c r="C44" i="56"/>
  <c r="C40" i="56"/>
  <c r="C9" i="56"/>
  <c r="C17" i="56"/>
  <c r="C67" i="56" s="1"/>
  <c r="C16" i="56"/>
  <c r="C66" i="56" s="1"/>
  <c r="E13" i="49" s="1"/>
  <c r="C39" i="56"/>
  <c r="C37" i="56"/>
  <c r="C41" i="56"/>
  <c r="C24" i="56"/>
  <c r="C51" i="56"/>
  <c r="C47" i="56"/>
  <c r="C48" i="56"/>
  <c r="C28" i="56"/>
  <c r="C69" i="56" s="1"/>
  <c r="E15" i="49" s="1"/>
  <c r="D9" i="48" s="1"/>
  <c r="C42" i="56"/>
  <c r="C14" i="56"/>
  <c r="C65" i="56" s="1"/>
  <c r="E12" i="49" s="1"/>
  <c r="C18" i="56"/>
  <c r="C68" i="56" s="1"/>
  <c r="C46" i="56"/>
  <c r="C26" i="56"/>
  <c r="C61" i="56" s="1"/>
  <c r="E9" i="49" s="1"/>
  <c r="C15" i="56"/>
  <c r="C62" i="56" s="1"/>
  <c r="E10" i="49" s="1"/>
  <c r="C45" i="56"/>
  <c r="C43" i="56"/>
  <c r="C13" i="56"/>
  <c r="C36" i="56"/>
  <c r="C20" i="56"/>
  <c r="C74" i="56" s="1"/>
  <c r="C12" i="56"/>
  <c r="C49" i="56"/>
  <c r="C50" i="56"/>
  <c r="C34" i="56"/>
  <c r="C25" i="56"/>
  <c r="C8" i="56"/>
  <c r="C38" i="56"/>
  <c r="M62" i="56"/>
  <c r="J17" i="54"/>
  <c r="I17" i="54"/>
  <c r="H17" i="54"/>
  <c r="B17" i="54"/>
  <c r="B12" i="54"/>
  <c r="C12" i="54" s="1"/>
  <c r="D12" i="54" s="1"/>
  <c r="D8" i="54"/>
  <c r="C8" i="54"/>
  <c r="B8" i="54"/>
  <c r="BE114" i="17"/>
  <c r="BE118" i="17"/>
  <c r="BE110" i="17"/>
  <c r="BE88" i="17"/>
  <c r="BE80" i="17"/>
  <c r="BE81" i="17"/>
  <c r="BE82" i="17"/>
  <c r="B84" i="17"/>
  <c r="B72" i="17"/>
  <c r="B111" i="17" s="1"/>
  <c r="B48" i="17"/>
  <c r="B78" i="17" s="1"/>
  <c r="B43" i="17"/>
  <c r="B83" i="17" s="1"/>
  <c r="B116" i="17" s="1"/>
  <c r="BA5" i="17"/>
  <c r="I7" i="17"/>
  <c r="N7" i="17"/>
  <c r="Y7" i="17"/>
  <c r="AG7" i="17"/>
  <c r="AL7" i="17"/>
  <c r="AX7" i="17"/>
  <c r="N8" i="17"/>
  <c r="Y8" i="17"/>
  <c r="AG8" i="17"/>
  <c r="AL8" i="17"/>
  <c r="AX8" i="17"/>
  <c r="B13" i="17"/>
  <c r="I13" i="17"/>
  <c r="B14" i="17"/>
  <c r="I14" i="17"/>
  <c r="O14" i="17" s="1"/>
  <c r="B15" i="17"/>
  <c r="I15" i="17"/>
  <c r="B16" i="17"/>
  <c r="I16" i="17"/>
  <c r="O16" i="17" s="1"/>
  <c r="B17" i="17"/>
  <c r="I17" i="17"/>
  <c r="B18" i="17"/>
  <c r="I18" i="17"/>
  <c r="O18" i="17" s="1"/>
  <c r="B19" i="17"/>
  <c r="I19" i="17"/>
  <c r="B20" i="17"/>
  <c r="I20" i="17"/>
  <c r="O20" i="17" s="1"/>
  <c r="B21" i="17"/>
  <c r="I21" i="17"/>
  <c r="O21" i="17" s="1"/>
  <c r="B22" i="17"/>
  <c r="B23" i="17"/>
  <c r="B24" i="17"/>
  <c r="B25" i="17"/>
  <c r="B26" i="17"/>
  <c r="B27" i="17"/>
  <c r="B28" i="17"/>
  <c r="B29" i="17"/>
  <c r="B30" i="17"/>
  <c r="B31" i="17"/>
  <c r="B32" i="17"/>
  <c r="B33" i="17"/>
  <c r="B34" i="17"/>
  <c r="B35" i="17"/>
  <c r="O40" i="17"/>
  <c r="R40" i="17" s="1"/>
  <c r="U40" i="17" s="1"/>
  <c r="X40" i="17" s="1"/>
  <c r="AA40" i="17" s="1"/>
  <c r="AD40" i="17" s="1"/>
  <c r="AG40" i="17" s="1"/>
  <c r="AJ40" i="17" s="1"/>
  <c r="AM40" i="17" s="1"/>
  <c r="AP40" i="17" s="1"/>
  <c r="AS40" i="17" s="1"/>
  <c r="AV40" i="17" s="1"/>
  <c r="AY40" i="17" s="1"/>
  <c r="BB40" i="17" s="1"/>
  <c r="L81" i="17" s="1"/>
  <c r="O81" i="17" s="1"/>
  <c r="R81" i="17" s="1"/>
  <c r="U81" i="17" s="1"/>
  <c r="X81" i="17" s="1"/>
  <c r="AA81" i="17" s="1"/>
  <c r="AD81" i="17" s="1"/>
  <c r="AG81" i="17" s="1"/>
  <c r="AJ81" i="17" s="1"/>
  <c r="AM81" i="17" s="1"/>
  <c r="AP81" i="17" s="1"/>
  <c r="AS81" i="17" s="1"/>
  <c r="AV81" i="17" s="1"/>
  <c r="AY81" i="17" s="1"/>
  <c r="BB81" i="17" s="1"/>
  <c r="D6" i="52"/>
  <c r="F28" i="52"/>
  <c r="E28" i="52"/>
  <c r="F27" i="52"/>
  <c r="E27" i="52"/>
  <c r="F26" i="52"/>
  <c r="E26" i="52"/>
  <c r="F25" i="52"/>
  <c r="E25" i="52"/>
  <c r="F24" i="52"/>
  <c r="E24" i="52"/>
  <c r="F23" i="52"/>
  <c r="E23" i="52"/>
  <c r="F22" i="52"/>
  <c r="E22" i="52"/>
  <c r="F21" i="52"/>
  <c r="E21" i="52"/>
  <c r="F20" i="52"/>
  <c r="E20" i="52"/>
  <c r="F19" i="52"/>
  <c r="E19" i="52"/>
  <c r="F18" i="52"/>
  <c r="E18" i="52"/>
  <c r="F17" i="52"/>
  <c r="E17" i="52"/>
  <c r="F16" i="52"/>
  <c r="E16" i="52"/>
  <c r="F15" i="52"/>
  <c r="E15" i="52"/>
  <c r="F14" i="52"/>
  <c r="E14" i="52"/>
  <c r="F13" i="52"/>
  <c r="E13" i="52"/>
  <c r="F12" i="52"/>
  <c r="E12" i="52"/>
  <c r="F11" i="52"/>
  <c r="E11" i="52"/>
  <c r="F10" i="52"/>
  <c r="E10" i="52"/>
  <c r="F9" i="52"/>
  <c r="E9" i="52"/>
  <c r="F8" i="52"/>
  <c r="E8" i="52"/>
  <c r="F7" i="52"/>
  <c r="E7" i="52"/>
  <c r="F6" i="52"/>
  <c r="E6" i="52"/>
  <c r="D7" i="52"/>
  <c r="D8" i="52"/>
  <c r="D9" i="52"/>
  <c r="D10" i="52"/>
  <c r="D11" i="52"/>
  <c r="D12" i="52"/>
  <c r="D13" i="52"/>
  <c r="D14" i="52"/>
  <c r="D15" i="52"/>
  <c r="D16" i="52"/>
  <c r="D17" i="52"/>
  <c r="D18" i="52"/>
  <c r="D19" i="52"/>
  <c r="D20" i="52"/>
  <c r="D21" i="52"/>
  <c r="D22" i="52"/>
  <c r="D23" i="52"/>
  <c r="D24" i="52"/>
  <c r="D25" i="52"/>
  <c r="D26" i="52"/>
  <c r="D27" i="52"/>
  <c r="D28" i="52"/>
  <c r="D5" i="52"/>
  <c r="F5" i="52"/>
  <c r="E5" i="52"/>
  <c r="D16" i="50"/>
  <c r="C14" i="48" s="1"/>
  <c r="D16" i="49"/>
  <c r="C13" i="48" s="1"/>
  <c r="C5" i="48"/>
  <c r="D4" i="49" s="1"/>
  <c r="D5" i="48"/>
  <c r="E4" i="49" s="1"/>
  <c r="C7" i="48"/>
  <c r="C8" i="48"/>
  <c r="C9" i="48"/>
  <c r="C10" i="48"/>
  <c r="C11" i="48"/>
  <c r="C12" i="48"/>
  <c r="D12" i="48"/>
  <c r="H56" i="56" l="1"/>
  <c r="H57" i="56"/>
  <c r="H55" i="56"/>
  <c r="M64" i="56"/>
  <c r="E14" i="49"/>
  <c r="H61" i="56"/>
  <c r="E9" i="50" s="1"/>
  <c r="C52" i="56"/>
  <c r="C63" i="56"/>
  <c r="C22" i="56"/>
  <c r="H59" i="56"/>
  <c r="C76" i="56"/>
  <c r="E8" i="49" s="1"/>
  <c r="C10" i="56"/>
  <c r="C59" i="56" s="1"/>
  <c r="H60" i="56"/>
  <c r="H58" i="56"/>
  <c r="E11" i="50" s="1"/>
  <c r="D11" i="48" s="1"/>
  <c r="C29" i="56"/>
  <c r="C60" i="56"/>
  <c r="E7" i="49" s="1"/>
  <c r="O15" i="17"/>
  <c r="O13" i="17"/>
  <c r="O17" i="17"/>
  <c r="B87" i="17"/>
  <c r="B117" i="17" s="1"/>
  <c r="O19" i="17"/>
  <c r="B77" i="17"/>
  <c r="C2" i="52"/>
  <c r="F2" i="52" s="1"/>
  <c r="C15" i="48"/>
  <c r="E4" i="50"/>
  <c r="D4" i="50"/>
  <c r="E11" i="49" l="1"/>
  <c r="D8" i="48" s="1"/>
  <c r="AE21" i="3"/>
  <c r="I27" i="3" s="1"/>
  <c r="D122" i="5" s="1"/>
  <c r="C30" i="56"/>
  <c r="E6" i="49"/>
  <c r="C70" i="56"/>
  <c r="E6" i="50"/>
  <c r="H64" i="56"/>
  <c r="E2" i="52"/>
  <c r="D2" i="52"/>
  <c r="AR24" i="27"/>
  <c r="AO24" i="27"/>
  <c r="AL24" i="27"/>
  <c r="H33" i="27" s="1"/>
  <c r="AI24" i="27"/>
  <c r="AF24" i="27"/>
  <c r="E33" i="27" s="1"/>
  <c r="AC24" i="27"/>
  <c r="Z24" i="27"/>
  <c r="T24" i="27"/>
  <c r="Q24" i="27"/>
  <c r="N24" i="27"/>
  <c r="H32" i="27" s="1"/>
  <c r="K24" i="27"/>
  <c r="H24" i="27"/>
  <c r="E32" i="27" s="1"/>
  <c r="E24" i="27"/>
  <c r="B24" i="27"/>
  <c r="AI23" i="27"/>
  <c r="AL23" i="27" s="1"/>
  <c r="K23" i="27"/>
  <c r="H23" i="27" s="1"/>
  <c r="E23" i="27" s="1"/>
  <c r="B23" i="27" s="1"/>
  <c r="AR17" i="27"/>
  <c r="AO17" i="27"/>
  <c r="AL17" i="27"/>
  <c r="H31" i="27" s="1"/>
  <c r="AI17" i="27"/>
  <c r="AF17" i="27"/>
  <c r="E31" i="27" s="1"/>
  <c r="AC17" i="27"/>
  <c r="Z17" i="27"/>
  <c r="AI16" i="27"/>
  <c r="AL16" i="27" s="1"/>
  <c r="AO16" i="27" s="1"/>
  <c r="AR16" i="27" s="1"/>
  <c r="K16" i="27"/>
  <c r="S9" i="27"/>
  <c r="R9" i="27"/>
  <c r="J9" i="27"/>
  <c r="Z8" i="27"/>
  <c r="S8" i="27"/>
  <c r="AQ5" i="27"/>
  <c r="BD110" i="25"/>
  <c r="BA110" i="25"/>
  <c r="AX110" i="25"/>
  <c r="AU110" i="25"/>
  <c r="AR110" i="25"/>
  <c r="AO110" i="25"/>
  <c r="AL110" i="25"/>
  <c r="Z110" i="25"/>
  <c r="W110" i="25"/>
  <c r="T110" i="25"/>
  <c r="Q110" i="25"/>
  <c r="N110" i="25"/>
  <c r="K110" i="25"/>
  <c r="H110" i="25"/>
  <c r="B110" i="25"/>
  <c r="AF110" i="25" s="1"/>
  <c r="BD109" i="25"/>
  <c r="BA109" i="25"/>
  <c r="AX109" i="25"/>
  <c r="AU109" i="25"/>
  <c r="AR109" i="25"/>
  <c r="AO109" i="25"/>
  <c r="AL109" i="25"/>
  <c r="Z109" i="25"/>
  <c r="W109" i="25"/>
  <c r="T109" i="25"/>
  <c r="Q109" i="25"/>
  <c r="N109" i="25"/>
  <c r="K109" i="25"/>
  <c r="H109" i="25"/>
  <c r="B109" i="25"/>
  <c r="AF109" i="25" s="1"/>
  <c r="BD108" i="25"/>
  <c r="BA108" i="25"/>
  <c r="AX108" i="25"/>
  <c r="AU108" i="25"/>
  <c r="AR108" i="25"/>
  <c r="AO108" i="25"/>
  <c r="AL108" i="25"/>
  <c r="Z108" i="25"/>
  <c r="W108" i="25"/>
  <c r="T108" i="25"/>
  <c r="Q108" i="25"/>
  <c r="N108" i="25"/>
  <c r="K108" i="25"/>
  <c r="H108" i="25"/>
  <c r="B108" i="25"/>
  <c r="AF108" i="25" s="1"/>
  <c r="BD107" i="25"/>
  <c r="BA107" i="25"/>
  <c r="AX107" i="25"/>
  <c r="AU107" i="25"/>
  <c r="AR107" i="25"/>
  <c r="AO107" i="25"/>
  <c r="AL107" i="25"/>
  <c r="Z107" i="25"/>
  <c r="W107" i="25"/>
  <c r="T107" i="25"/>
  <c r="Q107" i="25"/>
  <c r="N107" i="25"/>
  <c r="K107" i="25"/>
  <c r="H107" i="25"/>
  <c r="B107" i="25"/>
  <c r="AF107" i="25" s="1"/>
  <c r="BD106" i="25"/>
  <c r="BA106" i="25"/>
  <c r="AX106" i="25"/>
  <c r="AU106" i="25"/>
  <c r="AR106" i="25"/>
  <c r="AO106" i="25"/>
  <c r="AL106" i="25"/>
  <c r="Z106" i="25"/>
  <c r="W106" i="25"/>
  <c r="T106" i="25"/>
  <c r="Q106" i="25"/>
  <c r="N106" i="25"/>
  <c r="K106" i="25"/>
  <c r="H106" i="25"/>
  <c r="B106" i="25"/>
  <c r="AF106" i="25" s="1"/>
  <c r="AF104" i="25"/>
  <c r="B104" i="25"/>
  <c r="BD101" i="25"/>
  <c r="BA101" i="25"/>
  <c r="AX101" i="25"/>
  <c r="AU101" i="25"/>
  <c r="AR101" i="25"/>
  <c r="AO101" i="25"/>
  <c r="AL101" i="25"/>
  <c r="AF101" i="25"/>
  <c r="Z101" i="25"/>
  <c r="W101" i="25"/>
  <c r="T101" i="25"/>
  <c r="Q101" i="25"/>
  <c r="N101" i="25"/>
  <c r="K101" i="25"/>
  <c r="H101" i="25"/>
  <c r="BD100" i="25"/>
  <c r="BA100" i="25"/>
  <c r="AX100" i="25"/>
  <c r="AU100" i="25"/>
  <c r="AR100" i="25"/>
  <c r="AO100" i="25"/>
  <c r="AL100" i="25"/>
  <c r="AF100" i="25"/>
  <c r="Z100" i="25"/>
  <c r="W100" i="25"/>
  <c r="T100" i="25"/>
  <c r="Q100" i="25"/>
  <c r="N100" i="25"/>
  <c r="K100" i="25"/>
  <c r="H100" i="25"/>
  <c r="BD99" i="25"/>
  <c r="BA99" i="25"/>
  <c r="AX99" i="25"/>
  <c r="AU99" i="25"/>
  <c r="AR99" i="25"/>
  <c r="AO99" i="25"/>
  <c r="AL99" i="25"/>
  <c r="AF99" i="25"/>
  <c r="Z99" i="25"/>
  <c r="W99" i="25"/>
  <c r="T99" i="25"/>
  <c r="Q99" i="25"/>
  <c r="N99" i="25"/>
  <c r="K99" i="25"/>
  <c r="H99" i="25"/>
  <c r="BD98" i="25"/>
  <c r="BA98" i="25"/>
  <c r="AX98" i="25"/>
  <c r="AU98" i="25"/>
  <c r="AR98" i="25"/>
  <c r="AO98" i="25"/>
  <c r="AL98" i="25"/>
  <c r="AF98" i="25"/>
  <c r="Z98" i="25"/>
  <c r="W98" i="25"/>
  <c r="T98" i="25"/>
  <c r="Q98" i="25"/>
  <c r="N98" i="25"/>
  <c r="K98" i="25"/>
  <c r="H98" i="25"/>
  <c r="BD97" i="25"/>
  <c r="BA97" i="25"/>
  <c r="AX97" i="25"/>
  <c r="AU97" i="25"/>
  <c r="AR97" i="25"/>
  <c r="AO97" i="25"/>
  <c r="AL97" i="25"/>
  <c r="AF97" i="25"/>
  <c r="Z97" i="25"/>
  <c r="W97" i="25"/>
  <c r="T97" i="25"/>
  <c r="Q97" i="25"/>
  <c r="N97" i="25"/>
  <c r="K97" i="25"/>
  <c r="H97" i="25"/>
  <c r="AF95" i="25"/>
  <c r="BD88" i="25"/>
  <c r="BA88" i="25"/>
  <c r="AX88" i="25"/>
  <c r="AU88" i="25"/>
  <c r="AR88" i="25"/>
  <c r="AO88" i="25"/>
  <c r="AL88" i="25"/>
  <c r="Z88" i="25"/>
  <c r="W88" i="25"/>
  <c r="T88" i="25"/>
  <c r="Q88" i="25"/>
  <c r="N88" i="25"/>
  <c r="K88" i="25"/>
  <c r="H88" i="25"/>
  <c r="BD87" i="25"/>
  <c r="BA87" i="25"/>
  <c r="AX87" i="25"/>
  <c r="AU87" i="25"/>
  <c r="AR87" i="25"/>
  <c r="AO87" i="25"/>
  <c r="AL87" i="25"/>
  <c r="Z87" i="25"/>
  <c r="W87" i="25"/>
  <c r="T87" i="25"/>
  <c r="Q87" i="25"/>
  <c r="N87" i="25"/>
  <c r="K87" i="25"/>
  <c r="H87" i="25"/>
  <c r="BD86" i="25"/>
  <c r="BA86" i="25"/>
  <c r="AX86" i="25"/>
  <c r="AU86" i="25"/>
  <c r="AR86" i="25"/>
  <c r="AO86" i="25"/>
  <c r="AL86" i="25"/>
  <c r="Z86" i="25"/>
  <c r="W86" i="25"/>
  <c r="T86" i="25"/>
  <c r="Q86" i="25"/>
  <c r="N86" i="25"/>
  <c r="K86" i="25"/>
  <c r="H86" i="25"/>
  <c r="BD85" i="25"/>
  <c r="BA85" i="25"/>
  <c r="AX85" i="25"/>
  <c r="AU85" i="25"/>
  <c r="AR85" i="25"/>
  <c r="AO85" i="25"/>
  <c r="AL85" i="25"/>
  <c r="Z85" i="25"/>
  <c r="W85" i="25"/>
  <c r="T85" i="25"/>
  <c r="Q85" i="25"/>
  <c r="N85" i="25"/>
  <c r="K85" i="25"/>
  <c r="H85" i="25"/>
  <c r="BD84" i="25"/>
  <c r="BA84" i="25"/>
  <c r="AX84" i="25"/>
  <c r="AU84" i="25"/>
  <c r="AR84" i="25"/>
  <c r="AO84" i="25"/>
  <c r="AL84" i="25"/>
  <c r="Z84" i="25"/>
  <c r="W84" i="25"/>
  <c r="T84" i="25"/>
  <c r="Q84" i="25"/>
  <c r="N84" i="25"/>
  <c r="K84" i="25"/>
  <c r="H84" i="25"/>
  <c r="BD83" i="25"/>
  <c r="BA83" i="25"/>
  <c r="AX83" i="25"/>
  <c r="AU83" i="25"/>
  <c r="AR83" i="25"/>
  <c r="AO83" i="25"/>
  <c r="AL83" i="25"/>
  <c r="Z83" i="25"/>
  <c r="W83" i="25"/>
  <c r="T83" i="25"/>
  <c r="Q83" i="25"/>
  <c r="N83" i="25"/>
  <c r="K83" i="25"/>
  <c r="H83" i="25"/>
  <c r="BD82" i="25"/>
  <c r="BA82" i="25"/>
  <c r="AX82" i="25"/>
  <c r="AU82" i="25"/>
  <c r="AR82" i="25"/>
  <c r="AO82" i="25"/>
  <c r="AL82" i="25"/>
  <c r="Z82" i="25"/>
  <c r="W82" i="25"/>
  <c r="T82" i="25"/>
  <c r="Q82" i="25"/>
  <c r="N82" i="25"/>
  <c r="K82" i="25"/>
  <c r="H82" i="25"/>
  <c r="B80" i="25"/>
  <c r="BD77" i="25"/>
  <c r="BA77" i="25"/>
  <c r="AX77" i="25"/>
  <c r="AU77" i="25"/>
  <c r="AR77" i="25"/>
  <c r="AO77" i="25"/>
  <c r="AL77" i="25"/>
  <c r="Z77" i="25"/>
  <c r="W77" i="25"/>
  <c r="T77" i="25"/>
  <c r="Q77" i="25"/>
  <c r="N77" i="25"/>
  <c r="K77" i="25"/>
  <c r="H77" i="25"/>
  <c r="BD76" i="25"/>
  <c r="BA76" i="25"/>
  <c r="AX76" i="25"/>
  <c r="AU76" i="25"/>
  <c r="AR76" i="25"/>
  <c r="AO76" i="25"/>
  <c r="AL76" i="25"/>
  <c r="Z76" i="25"/>
  <c r="W76" i="25"/>
  <c r="T76" i="25"/>
  <c r="Q76" i="25"/>
  <c r="N76" i="25"/>
  <c r="K76" i="25"/>
  <c r="H76" i="25"/>
  <c r="BD75" i="25"/>
  <c r="BA75" i="25"/>
  <c r="AX75" i="25"/>
  <c r="AU75" i="25"/>
  <c r="AR75" i="25"/>
  <c r="AO75" i="25"/>
  <c r="AL75" i="25"/>
  <c r="Z75" i="25"/>
  <c r="W75" i="25"/>
  <c r="T75" i="25"/>
  <c r="Q75" i="25"/>
  <c r="N75" i="25"/>
  <c r="K75" i="25"/>
  <c r="H75" i="25"/>
  <c r="BD74" i="25"/>
  <c r="BA74" i="25"/>
  <c r="AX74" i="25"/>
  <c r="AU74" i="25"/>
  <c r="AR74" i="25"/>
  <c r="AO74" i="25"/>
  <c r="AL74" i="25"/>
  <c r="Z74" i="25"/>
  <c r="W74" i="25"/>
  <c r="T74" i="25"/>
  <c r="Q74" i="25"/>
  <c r="N74" i="25"/>
  <c r="K74" i="25"/>
  <c r="H74" i="25"/>
  <c r="BD73" i="25"/>
  <c r="BA73" i="25"/>
  <c r="AX73" i="25"/>
  <c r="AU73" i="25"/>
  <c r="AR73" i="25"/>
  <c r="AO73" i="25"/>
  <c r="AL73" i="25"/>
  <c r="Z73" i="25"/>
  <c r="W73" i="25"/>
  <c r="T73" i="25"/>
  <c r="Q73" i="25"/>
  <c r="N73" i="25"/>
  <c r="K73" i="25"/>
  <c r="H73" i="25"/>
  <c r="BD72" i="25"/>
  <c r="BA72" i="25"/>
  <c r="AX72" i="25"/>
  <c r="AU72" i="25"/>
  <c r="AR72" i="25"/>
  <c r="AO72" i="25"/>
  <c r="AL72" i="25"/>
  <c r="Z72" i="25"/>
  <c r="W72" i="25"/>
  <c r="T72" i="25"/>
  <c r="Q72" i="25"/>
  <c r="N72" i="25"/>
  <c r="K72" i="25"/>
  <c r="H72" i="25"/>
  <c r="BD71" i="25"/>
  <c r="BA71" i="25"/>
  <c r="AX71" i="25"/>
  <c r="AU71" i="25"/>
  <c r="AR71" i="25"/>
  <c r="AO71" i="25"/>
  <c r="AL71" i="25"/>
  <c r="Z71" i="25"/>
  <c r="W71" i="25"/>
  <c r="T71" i="25"/>
  <c r="Q71" i="25"/>
  <c r="N71" i="25"/>
  <c r="K71" i="25"/>
  <c r="H71" i="25"/>
  <c r="AF69" i="25"/>
  <c r="BD62" i="25"/>
  <c r="BA62" i="25"/>
  <c r="AX62" i="25"/>
  <c r="AU62" i="25"/>
  <c r="AR62" i="25"/>
  <c r="AO62" i="25"/>
  <c r="AL62" i="25"/>
  <c r="Z62" i="25"/>
  <c r="W62" i="25"/>
  <c r="T62" i="25"/>
  <c r="Q62" i="25"/>
  <c r="N62" i="25"/>
  <c r="K62" i="25"/>
  <c r="H62" i="25"/>
  <c r="BD61" i="25"/>
  <c r="BA61" i="25"/>
  <c r="AX61" i="25"/>
  <c r="AU61" i="25"/>
  <c r="AR61" i="25"/>
  <c r="AO61" i="25"/>
  <c r="AL61" i="25"/>
  <c r="Z61" i="25"/>
  <c r="W61" i="25"/>
  <c r="T61" i="25"/>
  <c r="Q61" i="25"/>
  <c r="N61" i="25"/>
  <c r="K61" i="25"/>
  <c r="H61" i="25"/>
  <c r="BD60" i="25"/>
  <c r="BA60" i="25"/>
  <c r="AX60" i="25"/>
  <c r="AU60" i="25"/>
  <c r="AR60" i="25"/>
  <c r="AO60" i="25"/>
  <c r="AL60" i="25"/>
  <c r="Z60" i="25"/>
  <c r="W60" i="25"/>
  <c r="T60" i="25"/>
  <c r="Q60" i="25"/>
  <c r="N60" i="25"/>
  <c r="K60" i="25"/>
  <c r="H60" i="25"/>
  <c r="BD59" i="25"/>
  <c r="BA59" i="25"/>
  <c r="AX59" i="25"/>
  <c r="AU59" i="25"/>
  <c r="AR59" i="25"/>
  <c r="AO59" i="25"/>
  <c r="AL59" i="25"/>
  <c r="Z59" i="25"/>
  <c r="W59" i="25"/>
  <c r="T59" i="25"/>
  <c r="Q59" i="25"/>
  <c r="N59" i="25"/>
  <c r="K59" i="25"/>
  <c r="H59" i="25"/>
  <c r="BD58" i="25"/>
  <c r="BA58" i="25"/>
  <c r="AX58" i="25"/>
  <c r="AU58" i="25"/>
  <c r="AR58" i="25"/>
  <c r="AO58" i="25"/>
  <c r="AL58" i="25"/>
  <c r="Z58" i="25"/>
  <c r="W58" i="25"/>
  <c r="T58" i="25"/>
  <c r="Q58" i="25"/>
  <c r="N58" i="25"/>
  <c r="K58" i="25"/>
  <c r="H58" i="25"/>
  <c r="BD57" i="25"/>
  <c r="BA57" i="25"/>
  <c r="AX57" i="25"/>
  <c r="AU57" i="25"/>
  <c r="AR57" i="25"/>
  <c r="AO57" i="25"/>
  <c r="AL57" i="25"/>
  <c r="Z57" i="25"/>
  <c r="W57" i="25"/>
  <c r="T57" i="25"/>
  <c r="Q57" i="25"/>
  <c r="N57" i="25"/>
  <c r="K57" i="25"/>
  <c r="H57" i="25"/>
  <c r="BD56" i="25"/>
  <c r="BA56" i="25"/>
  <c r="AX56" i="25"/>
  <c r="AU56" i="25"/>
  <c r="AR56" i="25"/>
  <c r="AO56" i="25"/>
  <c r="AL56" i="25"/>
  <c r="Z56" i="25"/>
  <c r="W56" i="25"/>
  <c r="T56" i="25"/>
  <c r="Q56" i="25"/>
  <c r="N56" i="25"/>
  <c r="K56" i="25"/>
  <c r="H56" i="25"/>
  <c r="BD51" i="25"/>
  <c r="BA51" i="25"/>
  <c r="AX51" i="25"/>
  <c r="AU51" i="25"/>
  <c r="AR51" i="25"/>
  <c r="AO51" i="25"/>
  <c r="AL51" i="25"/>
  <c r="Z51" i="25"/>
  <c r="W51" i="25"/>
  <c r="T51" i="25"/>
  <c r="Q51" i="25"/>
  <c r="N51" i="25"/>
  <c r="K51" i="25"/>
  <c r="H51" i="25"/>
  <c r="BD50" i="25"/>
  <c r="BA50" i="25"/>
  <c r="AX50" i="25"/>
  <c r="AU50" i="25"/>
  <c r="AR50" i="25"/>
  <c r="AO50" i="25"/>
  <c r="AL50" i="25"/>
  <c r="Z50" i="25"/>
  <c r="W50" i="25"/>
  <c r="T50" i="25"/>
  <c r="Q50" i="25"/>
  <c r="N50" i="25"/>
  <c r="K50" i="25"/>
  <c r="H50" i="25"/>
  <c r="BD49" i="25"/>
  <c r="BA49" i="25"/>
  <c r="AX49" i="25"/>
  <c r="AU49" i="25"/>
  <c r="AR49" i="25"/>
  <c r="AO49" i="25"/>
  <c r="AL49" i="25"/>
  <c r="Z49" i="25"/>
  <c r="W49" i="25"/>
  <c r="T49" i="25"/>
  <c r="Q49" i="25"/>
  <c r="N49" i="25"/>
  <c r="K49" i="25"/>
  <c r="H49" i="25"/>
  <c r="BD48" i="25"/>
  <c r="BA48" i="25"/>
  <c r="AX48" i="25"/>
  <c r="AU48" i="25"/>
  <c r="AR48" i="25"/>
  <c r="AO48" i="25"/>
  <c r="AL48" i="25"/>
  <c r="Z48" i="25"/>
  <c r="W48" i="25"/>
  <c r="T48" i="25"/>
  <c r="Q48" i="25"/>
  <c r="N48" i="25"/>
  <c r="K48" i="25"/>
  <c r="H48" i="25"/>
  <c r="BD47" i="25"/>
  <c r="BA47" i="25"/>
  <c r="AX47" i="25"/>
  <c r="AU47" i="25"/>
  <c r="AR47" i="25"/>
  <c r="AO47" i="25"/>
  <c r="AL47" i="25"/>
  <c r="Z47" i="25"/>
  <c r="W47" i="25"/>
  <c r="T47" i="25"/>
  <c r="Q47" i="25"/>
  <c r="N47" i="25"/>
  <c r="K47" i="25"/>
  <c r="H47" i="25"/>
  <c r="BD46" i="25"/>
  <c r="BA46" i="25"/>
  <c r="AX46" i="25"/>
  <c r="AU46" i="25"/>
  <c r="AR46" i="25"/>
  <c r="AO46" i="25"/>
  <c r="AL46" i="25"/>
  <c r="Z46" i="25"/>
  <c r="W46" i="25"/>
  <c r="T46" i="25"/>
  <c r="Q46" i="25"/>
  <c r="N46" i="25"/>
  <c r="K46" i="25"/>
  <c r="H46" i="25"/>
  <c r="BD45" i="25"/>
  <c r="BA45" i="25"/>
  <c r="AX45" i="25"/>
  <c r="AU45" i="25"/>
  <c r="AR45" i="25"/>
  <c r="AO45" i="25"/>
  <c r="AL45" i="25"/>
  <c r="Z45" i="25"/>
  <c r="W45" i="25"/>
  <c r="T45" i="25"/>
  <c r="Q45" i="25"/>
  <c r="N45" i="25"/>
  <c r="K45" i="25"/>
  <c r="H45" i="25"/>
  <c r="BD36" i="25"/>
  <c r="BA36" i="25"/>
  <c r="AX36" i="25"/>
  <c r="AU36" i="25"/>
  <c r="AR36" i="25"/>
  <c r="AO36" i="25"/>
  <c r="AL36" i="25"/>
  <c r="Z36" i="25"/>
  <c r="W36" i="25"/>
  <c r="T36" i="25"/>
  <c r="Q36" i="25"/>
  <c r="N36" i="25"/>
  <c r="K36" i="25"/>
  <c r="H36" i="25"/>
  <c r="BD35" i="25"/>
  <c r="BA35" i="25"/>
  <c r="AX35" i="25"/>
  <c r="AU35" i="25"/>
  <c r="AR35" i="25"/>
  <c r="AO35" i="25"/>
  <c r="AL35" i="25"/>
  <c r="Z35" i="25"/>
  <c r="W35" i="25"/>
  <c r="T35" i="25"/>
  <c r="Q35" i="25"/>
  <c r="N35" i="25"/>
  <c r="K35" i="25"/>
  <c r="H35" i="25"/>
  <c r="BD34" i="25"/>
  <c r="BA34" i="25"/>
  <c r="AX34" i="25"/>
  <c r="AU34" i="25"/>
  <c r="AR34" i="25"/>
  <c r="AO34" i="25"/>
  <c r="AL34" i="25"/>
  <c r="Z34" i="25"/>
  <c r="W34" i="25"/>
  <c r="T34" i="25"/>
  <c r="Q34" i="25"/>
  <c r="N34" i="25"/>
  <c r="K34" i="25"/>
  <c r="H34" i="25"/>
  <c r="BD33" i="25"/>
  <c r="BA33" i="25"/>
  <c r="AX33" i="25"/>
  <c r="AU33" i="25"/>
  <c r="AR33" i="25"/>
  <c r="AO33" i="25"/>
  <c r="AL33" i="25"/>
  <c r="Z33" i="25"/>
  <c r="W33" i="25"/>
  <c r="T33" i="25"/>
  <c r="Q33" i="25"/>
  <c r="N33" i="25"/>
  <c r="K33" i="25"/>
  <c r="H33" i="25"/>
  <c r="BD32" i="25"/>
  <c r="BA32" i="25"/>
  <c r="AX32" i="25"/>
  <c r="AU32" i="25"/>
  <c r="AR32" i="25"/>
  <c r="AO32" i="25"/>
  <c r="AL32" i="25"/>
  <c r="Z32" i="25"/>
  <c r="W32" i="25"/>
  <c r="T32" i="25"/>
  <c r="Q32" i="25"/>
  <c r="N32" i="25"/>
  <c r="K32" i="25"/>
  <c r="H32" i="25"/>
  <c r="BD31" i="25"/>
  <c r="BA31" i="25"/>
  <c r="AX31" i="25"/>
  <c r="AU31" i="25"/>
  <c r="AR31" i="25"/>
  <c r="AO31" i="25"/>
  <c r="AL31" i="25"/>
  <c r="Z31" i="25"/>
  <c r="W31" i="25"/>
  <c r="T31" i="25"/>
  <c r="Q31" i="25"/>
  <c r="N31" i="25"/>
  <c r="K31" i="25"/>
  <c r="H31" i="25"/>
  <c r="BD30" i="25"/>
  <c r="BA30" i="25"/>
  <c r="AX30" i="25"/>
  <c r="AU30" i="25"/>
  <c r="AR30" i="25"/>
  <c r="AO30" i="25"/>
  <c r="AL30" i="25"/>
  <c r="Z30" i="25"/>
  <c r="W30" i="25"/>
  <c r="T30" i="25"/>
  <c r="Q30" i="25"/>
  <c r="N30" i="25"/>
  <c r="K30" i="25"/>
  <c r="H30" i="25"/>
  <c r="BD25" i="25"/>
  <c r="BA25" i="25"/>
  <c r="AX25" i="25"/>
  <c r="AU25" i="25"/>
  <c r="AR25" i="25"/>
  <c r="AO25" i="25"/>
  <c r="AL25" i="25"/>
  <c r="Z25" i="25"/>
  <c r="W25" i="25"/>
  <c r="T25" i="25"/>
  <c r="Q25" i="25"/>
  <c r="N25" i="25"/>
  <c r="K25" i="25"/>
  <c r="H25" i="25"/>
  <c r="BD24" i="25"/>
  <c r="BA24" i="25"/>
  <c r="AX24" i="25"/>
  <c r="AU24" i="25"/>
  <c r="AR24" i="25"/>
  <c r="AO24" i="25"/>
  <c r="AL24" i="25"/>
  <c r="Z24" i="25"/>
  <c r="W24" i="25"/>
  <c r="T24" i="25"/>
  <c r="Q24" i="25"/>
  <c r="N24" i="25"/>
  <c r="K24" i="25"/>
  <c r="H24" i="25"/>
  <c r="BD23" i="25"/>
  <c r="BA23" i="25"/>
  <c r="AX23" i="25"/>
  <c r="AU23" i="25"/>
  <c r="AR23" i="25"/>
  <c r="AO23" i="25"/>
  <c r="AL23" i="25"/>
  <c r="Z23" i="25"/>
  <c r="W23" i="25"/>
  <c r="T23" i="25"/>
  <c r="Q23" i="25"/>
  <c r="N23" i="25"/>
  <c r="K23" i="25"/>
  <c r="H23" i="25"/>
  <c r="BD22" i="25"/>
  <c r="BA22" i="25"/>
  <c r="AX22" i="25"/>
  <c r="AU22" i="25"/>
  <c r="AR22" i="25"/>
  <c r="AO22" i="25"/>
  <c r="AL22" i="25"/>
  <c r="Z22" i="25"/>
  <c r="W22" i="25"/>
  <c r="T22" i="25"/>
  <c r="Q22" i="25"/>
  <c r="N22" i="25"/>
  <c r="K22" i="25"/>
  <c r="H22" i="25"/>
  <c r="BD21" i="25"/>
  <c r="BA21" i="25"/>
  <c r="AX21" i="25"/>
  <c r="AU21" i="25"/>
  <c r="AR21" i="25"/>
  <c r="AO21" i="25"/>
  <c r="AL21" i="25"/>
  <c r="Z21" i="25"/>
  <c r="W21" i="25"/>
  <c r="T21" i="25"/>
  <c r="Q21" i="25"/>
  <c r="N21" i="25"/>
  <c r="K21" i="25"/>
  <c r="H21" i="25"/>
  <c r="BD20" i="25"/>
  <c r="BA20" i="25"/>
  <c r="AX20" i="25"/>
  <c r="AU20" i="25"/>
  <c r="AR20" i="25"/>
  <c r="AO20" i="25"/>
  <c r="AL20" i="25"/>
  <c r="Z20" i="25"/>
  <c r="W20" i="25"/>
  <c r="T20" i="25"/>
  <c r="Q20" i="25"/>
  <c r="N20" i="25"/>
  <c r="K20" i="25"/>
  <c r="H20" i="25"/>
  <c r="BD19" i="25"/>
  <c r="BA19" i="25"/>
  <c r="AX19" i="25"/>
  <c r="AU19" i="25"/>
  <c r="AR19" i="25"/>
  <c r="AO19" i="25"/>
  <c r="AL19" i="25"/>
  <c r="Z19" i="25"/>
  <c r="W19" i="25"/>
  <c r="T19" i="25"/>
  <c r="Q19" i="25"/>
  <c r="N19" i="25"/>
  <c r="K19" i="25"/>
  <c r="H19" i="25"/>
  <c r="BC8" i="25"/>
  <c r="AQ8" i="25"/>
  <c r="AL8" i="25"/>
  <c r="AA8" i="25"/>
  <c r="Q8" i="25"/>
  <c r="BC7" i="25"/>
  <c r="AQ7" i="25"/>
  <c r="AL7" i="25"/>
  <c r="AA7" i="25"/>
  <c r="Q7" i="25"/>
  <c r="H7" i="25"/>
  <c r="BC5" i="25"/>
  <c r="B83" i="8"/>
  <c r="B74" i="8"/>
  <c r="B69" i="8"/>
  <c r="B40" i="8"/>
  <c r="B39" i="8"/>
  <c r="B38" i="8"/>
  <c r="B32" i="8"/>
  <c r="B26" i="8"/>
  <c r="AU24" i="8"/>
  <c r="AU67" i="8" s="1"/>
  <c r="AQ24" i="8"/>
  <c r="L24" i="8"/>
  <c r="M13" i="8"/>
  <c r="M12" i="8"/>
  <c r="AJ11" i="8"/>
  <c r="AJ10" i="8"/>
  <c r="AA10" i="8"/>
  <c r="M10" i="8"/>
  <c r="AJ9" i="8"/>
  <c r="AA9" i="8"/>
  <c r="AT6" i="8"/>
  <c r="L74" i="17"/>
  <c r="B74" i="17"/>
  <c r="B113" i="17" s="1"/>
  <c r="L73" i="17"/>
  <c r="B73" i="17"/>
  <c r="B112" i="17" s="1"/>
  <c r="B69" i="17"/>
  <c r="B108" i="17" s="1"/>
  <c r="B68" i="17"/>
  <c r="B107" i="17" s="1"/>
  <c r="O73" i="17"/>
  <c r="E35" i="11"/>
  <c r="E36" i="11"/>
  <c r="E37" i="11"/>
  <c r="E38" i="11"/>
  <c r="E39" i="11"/>
  <c r="E40" i="11"/>
  <c r="E41" i="11"/>
  <c r="E42" i="11"/>
  <c r="E43" i="11"/>
  <c r="E44" i="11"/>
  <c r="E45" i="11"/>
  <c r="E46" i="11"/>
  <c r="E47" i="11"/>
  <c r="F49" i="11"/>
  <c r="E49" i="11"/>
  <c r="F50" i="11"/>
  <c r="E50" i="11"/>
  <c r="F51" i="11"/>
  <c r="E51" i="11"/>
  <c r="E53" i="11"/>
  <c r="E54" i="11"/>
  <c r="F55" i="11"/>
  <c r="E55" i="11"/>
  <c r="F57" i="11"/>
  <c r="E57" i="11"/>
  <c r="B107" i="16"/>
  <c r="B102" i="16"/>
  <c r="B101" i="16"/>
  <c r="B100" i="16"/>
  <c r="B99" i="16"/>
  <c r="B97" i="16"/>
  <c r="B96" i="16"/>
  <c r="B95" i="16"/>
  <c r="B94" i="16"/>
  <c r="B88" i="16"/>
  <c r="B87" i="16"/>
  <c r="B86" i="16"/>
  <c r="B85" i="16"/>
  <c r="B83" i="16"/>
  <c r="B81" i="16"/>
  <c r="B79" i="16"/>
  <c r="B78" i="16"/>
  <c r="B77" i="16"/>
  <c r="B76" i="16"/>
  <c r="B72" i="16"/>
  <c r="B90" i="16" s="1"/>
  <c r="B71" i="16"/>
  <c r="B70" i="16"/>
  <c r="B69" i="16"/>
  <c r="B59" i="16"/>
  <c r="B42" i="16"/>
  <c r="B18" i="16"/>
  <c r="B68" i="16" s="1"/>
  <c r="R14" i="16"/>
  <c r="U14" i="16" s="1"/>
  <c r="X14" i="16" s="1"/>
  <c r="AA14" i="16" s="1"/>
  <c r="AD14" i="16" s="1"/>
  <c r="AG14" i="16" s="1"/>
  <c r="AJ14" i="16" s="1"/>
  <c r="AM14" i="16" s="1"/>
  <c r="AP14" i="16" s="1"/>
  <c r="AS14" i="16" s="1"/>
  <c r="AV14" i="16" s="1"/>
  <c r="AY14" i="16" s="1"/>
  <c r="BB14" i="16" s="1"/>
  <c r="BE14" i="16" s="1"/>
  <c r="O64" i="16" s="1"/>
  <c r="R64" i="16" s="1"/>
  <c r="U64" i="16" s="1"/>
  <c r="X64" i="16" s="1"/>
  <c r="AA64" i="16" s="1"/>
  <c r="AD64" i="16" s="1"/>
  <c r="AG64" i="16" s="1"/>
  <c r="AJ64" i="16" s="1"/>
  <c r="AM64" i="16" s="1"/>
  <c r="AP64" i="16" s="1"/>
  <c r="AS64" i="16" s="1"/>
  <c r="AV64" i="16" s="1"/>
  <c r="AY64" i="16" s="1"/>
  <c r="BB64" i="16" s="1"/>
  <c r="BE64" i="16" s="1"/>
  <c r="BA12" i="16"/>
  <c r="BA9" i="16"/>
  <c r="AO9" i="16"/>
  <c r="AJ9" i="16"/>
  <c r="AD9" i="16"/>
  <c r="R9" i="16"/>
  <c r="BA8" i="16"/>
  <c r="AO8" i="16"/>
  <c r="AJ8" i="16"/>
  <c r="AD8" i="16"/>
  <c r="R8" i="16"/>
  <c r="J8" i="16"/>
  <c r="BD6" i="16"/>
  <c r="R11" i="15"/>
  <c r="R10" i="15"/>
  <c r="H10" i="15"/>
  <c r="AC8" i="15"/>
  <c r="AM7" i="15"/>
  <c r="AL5" i="15"/>
  <c r="AS10" i="47" a="1"/>
  <c r="AS10" i="47" s="1"/>
  <c r="B10" i="47"/>
  <c r="AT8" i="47"/>
  <c r="D153" i="9" s="1"/>
  <c r="Y58" i="47" s="1"/>
  <c r="AK6" i="47"/>
  <c r="B53" i="45"/>
  <c r="B54" i="45" s="1"/>
  <c r="B55" i="45" s="1"/>
  <c r="B56" i="45" s="1"/>
  <c r="B57" i="45" s="1"/>
  <c r="B58" i="45" s="1"/>
  <c r="B59" i="45" s="1"/>
  <c r="B60" i="45" s="1"/>
  <c r="B61" i="45" s="1"/>
  <c r="V52" i="45" s="1"/>
  <c r="V53" i="45" s="1"/>
  <c r="V54" i="45" s="1"/>
  <c r="V55" i="45" s="1"/>
  <c r="V56" i="45" s="1"/>
  <c r="V57" i="45" s="1"/>
  <c r="V58" i="45" s="1"/>
  <c r="V59" i="45" s="1"/>
  <c r="V60" i="45" s="1"/>
  <c r="V61" i="45" s="1"/>
  <c r="AS9" i="45" a="1"/>
  <c r="AS9" i="45" s="1"/>
  <c r="AK6" i="45"/>
  <c r="B36" i="46"/>
  <c r="B37" i="46" s="1"/>
  <c r="B38" i="46" s="1"/>
  <c r="B39" i="46" s="1"/>
  <c r="B40" i="46" s="1"/>
  <c r="B41" i="46" s="1"/>
  <c r="B42" i="46" s="1"/>
  <c r="B43" i="46" s="1"/>
  <c r="B44" i="46" s="1"/>
  <c r="B45" i="46" s="1"/>
  <c r="B46" i="46" s="1"/>
  <c r="B47" i="46" s="1"/>
  <c r="B48" i="46" s="1"/>
  <c r="B49" i="46" s="1"/>
  <c r="B50" i="46" s="1"/>
  <c r="B51" i="46" s="1"/>
  <c r="B52" i="46" s="1"/>
  <c r="B53" i="46" s="1"/>
  <c r="B54" i="46" s="1"/>
  <c r="B55" i="46" s="1"/>
  <c r="B56" i="46" s="1"/>
  <c r="B57" i="46" s="1"/>
  <c r="B58" i="46" s="1"/>
  <c r="B59" i="46" s="1"/>
  <c r="AS10" i="46" a="1"/>
  <c r="AS10" i="46" s="1"/>
  <c r="B10" i="46"/>
  <c r="AT8" i="46"/>
  <c r="L32" i="46" s="1"/>
  <c r="AK6" i="46"/>
  <c r="L33" i="12"/>
  <c r="B32" i="12"/>
  <c r="L31" i="12"/>
  <c r="B31" i="12"/>
  <c r="B30" i="12"/>
  <c r="B29" i="12"/>
  <c r="B28" i="12"/>
  <c r="R27" i="12"/>
  <c r="L27" i="12"/>
  <c r="B27" i="12"/>
  <c r="T15" i="12"/>
  <c r="Y11" i="12"/>
  <c r="Y10" i="12"/>
  <c r="O10" i="12"/>
  <c r="B10" i="12"/>
  <c r="Y9" i="12"/>
  <c r="B9" i="12"/>
  <c r="Y8" i="12"/>
  <c r="Q8" i="12"/>
  <c r="R224" i="41"/>
  <c r="R223" i="41"/>
  <c r="R222" i="41"/>
  <c r="R221" i="41"/>
  <c r="R220" i="41"/>
  <c r="R219" i="41"/>
  <c r="R218" i="41"/>
  <c r="R209" i="41"/>
  <c r="R208" i="41"/>
  <c r="R207" i="41"/>
  <c r="R206" i="41"/>
  <c r="R205" i="41"/>
  <c r="R204" i="41"/>
  <c r="R203" i="41"/>
  <c r="P201" i="41"/>
  <c r="O201" i="41"/>
  <c r="N201" i="41"/>
  <c r="M201" i="41"/>
  <c r="L201" i="41"/>
  <c r="K201" i="41"/>
  <c r="J201" i="41"/>
  <c r="I201" i="41"/>
  <c r="H201" i="41"/>
  <c r="G201" i="41"/>
  <c r="F201" i="41"/>
  <c r="R199" i="41"/>
  <c r="R198" i="41"/>
  <c r="R197" i="41"/>
  <c r="R196" i="41"/>
  <c r="R195" i="41"/>
  <c r="R194" i="41"/>
  <c r="R193" i="41"/>
  <c r="R192" i="41"/>
  <c r="R191" i="41"/>
  <c r="R190" i="41"/>
  <c r="R189" i="41"/>
  <c r="R188" i="41"/>
  <c r="R187" i="41"/>
  <c r="R186" i="41"/>
  <c r="R185" i="41"/>
  <c r="R184" i="41"/>
  <c r="R183" i="41"/>
  <c r="R182" i="41"/>
  <c r="R181" i="41"/>
  <c r="R180" i="41"/>
  <c r="P178" i="41"/>
  <c r="O178" i="41"/>
  <c r="N178" i="41"/>
  <c r="M178" i="41"/>
  <c r="L178" i="41"/>
  <c r="K178" i="41"/>
  <c r="J178" i="41"/>
  <c r="I178" i="41"/>
  <c r="H178" i="41"/>
  <c r="G178" i="41"/>
  <c r="F178" i="41"/>
  <c r="R176" i="41"/>
  <c r="R175" i="41"/>
  <c r="R174" i="41"/>
  <c r="R173" i="41"/>
  <c r="R172" i="41"/>
  <c r="R171" i="41"/>
  <c r="R170" i="41"/>
  <c r="R169" i="41"/>
  <c r="R168" i="41"/>
  <c r="R167" i="41"/>
  <c r="R166" i="41"/>
  <c r="R165" i="41"/>
  <c r="R164" i="41"/>
  <c r="R163" i="41"/>
  <c r="R162" i="41"/>
  <c r="R161" i="41"/>
  <c r="R160" i="41"/>
  <c r="P158" i="41"/>
  <c r="O158" i="41"/>
  <c r="N158" i="41"/>
  <c r="M158" i="41"/>
  <c r="L158" i="41"/>
  <c r="K158" i="41"/>
  <c r="J158" i="41"/>
  <c r="I158" i="41"/>
  <c r="H158" i="41"/>
  <c r="G158" i="41"/>
  <c r="F158" i="41"/>
  <c r="R156" i="41"/>
  <c r="R155" i="41"/>
  <c r="R154" i="41"/>
  <c r="R153" i="41"/>
  <c r="R152" i="41"/>
  <c r="R151" i="41"/>
  <c r="R150" i="41"/>
  <c r="R149" i="41"/>
  <c r="R148" i="41"/>
  <c r="R147" i="41"/>
  <c r="R146" i="41"/>
  <c r="R145" i="41"/>
  <c r="R144" i="41"/>
  <c r="R143" i="41"/>
  <c r="R142" i="41"/>
  <c r="R141" i="41"/>
  <c r="R140" i="41"/>
  <c r="R139" i="41"/>
  <c r="R138" i="41"/>
  <c r="R137" i="41"/>
  <c r="R136" i="41"/>
  <c r="R135" i="41"/>
  <c r="R134" i="41"/>
  <c r="R133" i="41"/>
  <c r="R132" i="41"/>
  <c r="R131" i="41"/>
  <c r="R130" i="41"/>
  <c r="P128" i="41"/>
  <c r="O128" i="41"/>
  <c r="N128" i="41"/>
  <c r="M128" i="41"/>
  <c r="L128" i="41"/>
  <c r="K128" i="41"/>
  <c r="J128" i="41"/>
  <c r="I128" i="41"/>
  <c r="H128" i="41"/>
  <c r="G128" i="41"/>
  <c r="F128" i="41"/>
  <c r="R126" i="41"/>
  <c r="R125" i="41"/>
  <c r="R124" i="41"/>
  <c r="R123" i="41"/>
  <c r="R122" i="41"/>
  <c r="R121" i="41"/>
  <c r="R120" i="41"/>
  <c r="R119" i="41"/>
  <c r="R118" i="41"/>
  <c r="R117" i="41"/>
  <c r="R116" i="41"/>
  <c r="R115" i="41"/>
  <c r="R114" i="41"/>
  <c r="R113" i="41"/>
  <c r="P111" i="41"/>
  <c r="O111" i="41"/>
  <c r="N111" i="41"/>
  <c r="M111" i="41"/>
  <c r="L111" i="41"/>
  <c r="K111" i="41"/>
  <c r="J111" i="41"/>
  <c r="I111" i="41"/>
  <c r="H111" i="41"/>
  <c r="G111" i="41"/>
  <c r="F111" i="41"/>
  <c r="R109" i="41"/>
  <c r="R108" i="41"/>
  <c r="R107" i="41"/>
  <c r="R106" i="41"/>
  <c r="R105" i="41"/>
  <c r="R104" i="41"/>
  <c r="R103" i="41"/>
  <c r="R102" i="41"/>
  <c r="R101" i="41"/>
  <c r="R100" i="41"/>
  <c r="R99" i="41"/>
  <c r="P97" i="41"/>
  <c r="O97" i="41"/>
  <c r="N97" i="41"/>
  <c r="M97" i="41"/>
  <c r="L97" i="41"/>
  <c r="K97" i="41"/>
  <c r="J97" i="41"/>
  <c r="I97" i="41"/>
  <c r="H97" i="41"/>
  <c r="G97" i="41"/>
  <c r="F97" i="41"/>
  <c r="R95" i="41"/>
  <c r="R94" i="41"/>
  <c r="R93" i="41"/>
  <c r="R92" i="41"/>
  <c r="R91" i="41"/>
  <c r="R90" i="41"/>
  <c r="R89" i="41"/>
  <c r="R88" i="41"/>
  <c r="R87" i="41"/>
  <c r="R86" i="41"/>
  <c r="R85" i="41"/>
  <c r="R84" i="41"/>
  <c r="R83" i="41"/>
  <c r="R82" i="41"/>
  <c r="R81" i="41"/>
  <c r="R80" i="41"/>
  <c r="R79" i="41"/>
  <c r="R78" i="41"/>
  <c r="R77" i="41"/>
  <c r="R76" i="41"/>
  <c r="R75" i="41"/>
  <c r="R74" i="41"/>
  <c r="R73" i="41"/>
  <c r="P71" i="41"/>
  <c r="O71" i="41"/>
  <c r="N71" i="41"/>
  <c r="M71" i="41"/>
  <c r="L71" i="41"/>
  <c r="K71" i="41"/>
  <c r="J71" i="41"/>
  <c r="I71" i="41"/>
  <c r="H71" i="41"/>
  <c r="G71" i="41"/>
  <c r="F71" i="41"/>
  <c r="R69" i="41"/>
  <c r="R68" i="41"/>
  <c r="R67" i="41"/>
  <c r="R66" i="41"/>
  <c r="R65" i="41"/>
  <c r="R64" i="41"/>
  <c r="R63" i="41"/>
  <c r="R62" i="41"/>
  <c r="R61" i="41"/>
  <c r="R60" i="41"/>
  <c r="R59" i="41"/>
  <c r="R58" i="41"/>
  <c r="R57" i="41"/>
  <c r="R56" i="41"/>
  <c r="R55" i="41"/>
  <c r="R54" i="41"/>
  <c r="P52" i="41"/>
  <c r="O52" i="41"/>
  <c r="N52" i="41"/>
  <c r="M52" i="41"/>
  <c r="L52" i="41"/>
  <c r="K52" i="41"/>
  <c r="J52" i="41"/>
  <c r="I52" i="41"/>
  <c r="H52" i="41"/>
  <c r="G52" i="41"/>
  <c r="F52" i="41"/>
  <c r="P39" i="41"/>
  <c r="O39" i="41"/>
  <c r="N39" i="41"/>
  <c r="M39" i="41"/>
  <c r="L39" i="41"/>
  <c r="K39" i="41"/>
  <c r="J39" i="41"/>
  <c r="I39" i="41"/>
  <c r="H39" i="41"/>
  <c r="G39" i="41"/>
  <c r="F39" i="41"/>
  <c r="D38" i="41"/>
  <c r="S37" i="41"/>
  <c r="R37" i="41"/>
  <c r="S36" i="41"/>
  <c r="R36" i="41"/>
  <c r="S35" i="41"/>
  <c r="R35" i="41"/>
  <c r="J33" i="41"/>
  <c r="K33" i="41" s="1"/>
  <c r="S31" i="41"/>
  <c r="R31" i="41"/>
  <c r="S30" i="41"/>
  <c r="R30" i="41"/>
  <c r="S21" i="41"/>
  <c r="R21" i="41"/>
  <c r="S20" i="41"/>
  <c r="R20" i="41"/>
  <c r="S17" i="41"/>
  <c r="R17" i="41"/>
  <c r="S16" i="41"/>
  <c r="R16" i="41"/>
  <c r="P5" i="41"/>
  <c r="O5" i="41"/>
  <c r="N5" i="41"/>
  <c r="M5" i="41"/>
  <c r="L5" i="41"/>
  <c r="K5" i="41"/>
  <c r="J5" i="41"/>
  <c r="I5" i="41"/>
  <c r="H5" i="41"/>
  <c r="G5" i="41"/>
  <c r="F5" i="41"/>
  <c r="B51" i="43"/>
  <c r="B50" i="43"/>
  <c r="B42" i="43"/>
  <c r="B37" i="43"/>
  <c r="B36" i="43"/>
  <c r="B35" i="43"/>
  <c r="B34" i="43"/>
  <c r="B33" i="43"/>
  <c r="B32" i="43"/>
  <c r="B31" i="43"/>
  <c r="B30" i="43"/>
  <c r="B29" i="43"/>
  <c r="B28" i="43"/>
  <c r="B27" i="43"/>
  <c r="B26" i="43"/>
  <c r="B25" i="43"/>
  <c r="B24" i="43"/>
  <c r="B23" i="43"/>
  <c r="B22" i="43"/>
  <c r="B21" i="43"/>
  <c r="B20" i="43"/>
  <c r="B19" i="43"/>
  <c r="B47" i="44"/>
  <c r="B46" i="44"/>
  <c r="B38" i="44"/>
  <c r="B37" i="44"/>
  <c r="B36" i="44"/>
  <c r="B35" i="44"/>
  <c r="B34" i="44"/>
  <c r="B33" i="44"/>
  <c r="B32" i="44"/>
  <c r="B31" i="44"/>
  <c r="B30" i="44"/>
  <c r="B29" i="44"/>
  <c r="B28" i="44"/>
  <c r="B27" i="44"/>
  <c r="B26" i="44"/>
  <c r="B25" i="44"/>
  <c r="B24" i="44"/>
  <c r="B23" i="44"/>
  <c r="B22" i="44"/>
  <c r="B21" i="44"/>
  <c r="B20" i="44"/>
  <c r="B19" i="44"/>
  <c r="AZ6" i="44"/>
  <c r="AV6" i="44"/>
  <c r="AR6" i="44"/>
  <c r="AN6" i="44"/>
  <c r="AJ6" i="44"/>
  <c r="AF6" i="44"/>
  <c r="AB6" i="44"/>
  <c r="X6" i="44"/>
  <c r="T6" i="44"/>
  <c r="P6" i="44"/>
  <c r="L6" i="44"/>
  <c r="H6" i="44"/>
  <c r="BA5" i="44"/>
  <c r="BB5" i="44" s="1"/>
  <c r="AW5" i="44"/>
  <c r="AX5" i="44" s="1"/>
  <c r="AS5" i="44"/>
  <c r="AT5" i="44" s="1"/>
  <c r="AO5" i="44"/>
  <c r="AP5" i="44" s="1"/>
  <c r="AK5" i="44"/>
  <c r="AL5" i="44" s="1"/>
  <c r="AG5" i="44"/>
  <c r="AH5" i="44" s="1"/>
  <c r="AC5" i="44"/>
  <c r="AD5" i="44" s="1"/>
  <c r="Y5" i="44"/>
  <c r="Z5" i="44" s="1"/>
  <c r="U5" i="44"/>
  <c r="V5" i="44" s="1"/>
  <c r="Q5" i="44"/>
  <c r="R5" i="44" s="1"/>
  <c r="M5" i="44"/>
  <c r="N5" i="44" s="1"/>
  <c r="I5" i="44"/>
  <c r="J5" i="44" s="1"/>
  <c r="DV56" i="42"/>
  <c r="DU56" i="42"/>
  <c r="DT56" i="42"/>
  <c r="DS56" i="42"/>
  <c r="DR56" i="42"/>
  <c r="DQ56" i="42"/>
  <c r="DP56" i="42"/>
  <c r="DO56" i="42"/>
  <c r="DN56" i="42"/>
  <c r="DM56" i="42"/>
  <c r="DL56" i="42"/>
  <c r="DK56" i="42"/>
  <c r="DJ56" i="42"/>
  <c r="DI56" i="42"/>
  <c r="DH56" i="42"/>
  <c r="DG56" i="42"/>
  <c r="DF56" i="42"/>
  <c r="DE56" i="42"/>
  <c r="DD56" i="42"/>
  <c r="DC56" i="42"/>
  <c r="DB56" i="42"/>
  <c r="DA56" i="42"/>
  <c r="CZ56" i="42"/>
  <c r="CY56" i="42"/>
  <c r="CX56" i="42"/>
  <c r="CW56" i="42"/>
  <c r="CV56" i="42"/>
  <c r="CU56" i="42"/>
  <c r="CT56" i="42"/>
  <c r="CS56" i="42"/>
  <c r="CR56" i="42"/>
  <c r="CQ56" i="42"/>
  <c r="CP56" i="42"/>
  <c r="CO56" i="42"/>
  <c r="CN56" i="42"/>
  <c r="CM56" i="42"/>
  <c r="CL56" i="42"/>
  <c r="CK56" i="42"/>
  <c r="CJ56" i="42"/>
  <c r="CI56" i="42"/>
  <c r="CH56" i="42"/>
  <c r="CG56" i="42"/>
  <c r="CF56" i="42"/>
  <c r="CE56" i="42"/>
  <c r="CD56" i="42"/>
  <c r="CC56" i="42"/>
  <c r="CB56" i="42"/>
  <c r="CA56" i="42"/>
  <c r="BZ56" i="42"/>
  <c r="BY56" i="42"/>
  <c r="BX56" i="42"/>
  <c r="BW56" i="42"/>
  <c r="BV56" i="42"/>
  <c r="BU56" i="42"/>
  <c r="BT56" i="42"/>
  <c r="BS56" i="42"/>
  <c r="BR56" i="42"/>
  <c r="BQ56" i="42"/>
  <c r="BP56" i="42"/>
  <c r="BO56" i="42"/>
  <c r="BN56" i="42"/>
  <c r="BM56" i="42"/>
  <c r="BL56" i="42"/>
  <c r="BK56" i="42"/>
  <c r="BJ56" i="42"/>
  <c r="BI56" i="42"/>
  <c r="BH56" i="42"/>
  <c r="BG56" i="42"/>
  <c r="BF56" i="42"/>
  <c r="BE56" i="42"/>
  <c r="BD56" i="42"/>
  <c r="BC56" i="42"/>
  <c r="BB56" i="42"/>
  <c r="BA56" i="42"/>
  <c r="AZ56" i="42"/>
  <c r="AY56" i="42"/>
  <c r="AX56" i="42"/>
  <c r="AW56" i="42"/>
  <c r="AV56" i="42"/>
  <c r="AU56" i="42"/>
  <c r="AT56" i="42"/>
  <c r="AS56" i="42"/>
  <c r="AR56" i="42"/>
  <c r="AQ56" i="42"/>
  <c r="AP56" i="42"/>
  <c r="AO56" i="42"/>
  <c r="AN56" i="42"/>
  <c r="AM56" i="42"/>
  <c r="AL56" i="42"/>
  <c r="AK56" i="42"/>
  <c r="AJ56" i="42"/>
  <c r="AI56" i="42"/>
  <c r="AH56" i="42"/>
  <c r="AG56" i="42"/>
  <c r="AF56" i="42"/>
  <c r="AE56" i="42"/>
  <c r="AD56" i="42"/>
  <c r="AC56" i="42"/>
  <c r="AB56" i="42"/>
  <c r="AA56" i="42"/>
  <c r="Z56" i="42"/>
  <c r="Y56" i="42"/>
  <c r="X56" i="42"/>
  <c r="W56" i="42"/>
  <c r="V56" i="42"/>
  <c r="U56" i="42"/>
  <c r="T56" i="42"/>
  <c r="S56" i="42"/>
  <c r="R56" i="42"/>
  <c r="Q56" i="42"/>
  <c r="P56" i="42"/>
  <c r="O56" i="42"/>
  <c r="N56" i="42"/>
  <c r="M56" i="42"/>
  <c r="L56" i="42"/>
  <c r="K56" i="42"/>
  <c r="J56" i="42"/>
  <c r="I56" i="42"/>
  <c r="H56" i="42"/>
  <c r="G56" i="42"/>
  <c r="B55" i="42"/>
  <c r="C60" i="10" s="1"/>
  <c r="B54" i="42"/>
  <c r="B49" i="42"/>
  <c r="C58" i="10" s="1"/>
  <c r="B48" i="42"/>
  <c r="C57" i="10" s="1"/>
  <c r="B47" i="42"/>
  <c r="C56" i="10" s="1"/>
  <c r="DV41" i="42"/>
  <c r="DV42" i="42" s="1"/>
  <c r="DU41" i="42"/>
  <c r="DU42" i="42" s="1"/>
  <c r="DT41" i="42"/>
  <c r="DT42" i="42" s="1"/>
  <c r="DS41" i="42"/>
  <c r="DS42" i="42" s="1"/>
  <c r="DR41" i="42"/>
  <c r="DR42" i="42" s="1"/>
  <c r="DQ41" i="42"/>
  <c r="DQ42" i="42" s="1"/>
  <c r="DP41" i="42"/>
  <c r="DP42" i="42" s="1"/>
  <c r="DO41" i="42"/>
  <c r="DO42" i="42" s="1"/>
  <c r="DN41" i="42"/>
  <c r="DN42" i="42" s="1"/>
  <c r="DM41" i="42"/>
  <c r="DM42" i="42" s="1"/>
  <c r="DL41" i="42"/>
  <c r="DL42" i="42" s="1"/>
  <c r="DK41" i="42"/>
  <c r="DK42" i="42" s="1"/>
  <c r="DJ41" i="42"/>
  <c r="DJ42" i="42" s="1"/>
  <c r="DI41" i="42"/>
  <c r="DI42" i="42" s="1"/>
  <c r="DH41" i="42"/>
  <c r="DH42" i="42" s="1"/>
  <c r="DG41" i="42"/>
  <c r="DG42" i="42" s="1"/>
  <c r="DF41" i="42"/>
  <c r="DF42" i="42" s="1"/>
  <c r="DE41" i="42"/>
  <c r="DE42" i="42" s="1"/>
  <c r="DD41" i="42"/>
  <c r="DD42" i="42" s="1"/>
  <c r="DC41" i="42"/>
  <c r="DC42" i="42" s="1"/>
  <c r="DB41" i="42"/>
  <c r="DB42" i="42" s="1"/>
  <c r="DA41" i="42"/>
  <c r="DA42" i="42" s="1"/>
  <c r="CZ41" i="42"/>
  <c r="CZ42" i="42" s="1"/>
  <c r="CY41" i="42"/>
  <c r="CY42" i="42" s="1"/>
  <c r="CX41" i="42"/>
  <c r="CX42" i="42" s="1"/>
  <c r="CW41" i="42"/>
  <c r="CW42" i="42" s="1"/>
  <c r="CV41" i="42"/>
  <c r="CV42" i="42" s="1"/>
  <c r="CU41" i="42"/>
  <c r="CU42" i="42" s="1"/>
  <c r="CT41" i="42"/>
  <c r="CT42" i="42" s="1"/>
  <c r="CS41" i="42"/>
  <c r="CS42" i="42" s="1"/>
  <c r="CR41" i="42"/>
  <c r="CR42" i="42" s="1"/>
  <c r="CQ41" i="42"/>
  <c r="CQ42" i="42" s="1"/>
  <c r="CP41" i="42"/>
  <c r="CP42" i="42" s="1"/>
  <c r="CO41" i="42"/>
  <c r="CO42" i="42" s="1"/>
  <c r="CN41" i="42"/>
  <c r="CN42" i="42" s="1"/>
  <c r="CM41" i="42"/>
  <c r="CM42" i="42" s="1"/>
  <c r="CL41" i="42"/>
  <c r="CL42" i="42" s="1"/>
  <c r="CK41" i="42"/>
  <c r="CK42" i="42" s="1"/>
  <c r="CJ41" i="42"/>
  <c r="CJ42" i="42" s="1"/>
  <c r="CI41" i="42"/>
  <c r="CI42" i="42" s="1"/>
  <c r="CH41" i="42"/>
  <c r="CH42" i="42" s="1"/>
  <c r="CG41" i="42"/>
  <c r="CG42" i="42" s="1"/>
  <c r="CF41" i="42"/>
  <c r="CF42" i="42" s="1"/>
  <c r="CE41" i="42"/>
  <c r="CE42" i="42" s="1"/>
  <c r="CD41" i="42"/>
  <c r="CD42" i="42" s="1"/>
  <c r="CC41" i="42"/>
  <c r="CC42" i="42" s="1"/>
  <c r="CB41" i="42"/>
  <c r="CB42" i="42" s="1"/>
  <c r="CA41" i="42"/>
  <c r="CA42" i="42" s="1"/>
  <c r="BZ41" i="42"/>
  <c r="BZ42" i="42" s="1"/>
  <c r="BY41" i="42"/>
  <c r="BY42" i="42" s="1"/>
  <c r="BX41" i="42"/>
  <c r="BX42" i="42" s="1"/>
  <c r="BW41" i="42"/>
  <c r="BW42" i="42" s="1"/>
  <c r="BV41" i="42"/>
  <c r="BV42" i="42" s="1"/>
  <c r="BU41" i="42"/>
  <c r="BU42" i="42" s="1"/>
  <c r="BT41" i="42"/>
  <c r="BT42" i="42" s="1"/>
  <c r="BS41" i="42"/>
  <c r="BS42" i="42" s="1"/>
  <c r="BR41" i="42"/>
  <c r="BR42" i="42" s="1"/>
  <c r="BQ41" i="42"/>
  <c r="BQ42" i="42" s="1"/>
  <c r="BP41" i="42"/>
  <c r="BP42" i="42" s="1"/>
  <c r="BO41" i="42"/>
  <c r="BO42" i="42" s="1"/>
  <c r="BN41" i="42"/>
  <c r="BN42" i="42" s="1"/>
  <c r="BM41" i="42"/>
  <c r="BM42" i="42" s="1"/>
  <c r="BL41" i="42"/>
  <c r="BL42" i="42" s="1"/>
  <c r="BK41" i="42"/>
  <c r="BK42" i="42" s="1"/>
  <c r="BJ41" i="42"/>
  <c r="BJ42" i="42" s="1"/>
  <c r="BI41" i="42"/>
  <c r="BI42" i="42" s="1"/>
  <c r="BH41" i="42"/>
  <c r="BH42" i="42" s="1"/>
  <c r="BG41" i="42"/>
  <c r="BG42" i="42" s="1"/>
  <c r="BF41" i="42"/>
  <c r="BF42" i="42" s="1"/>
  <c r="BE41" i="42"/>
  <c r="BE42" i="42" s="1"/>
  <c r="BD41" i="42"/>
  <c r="BD42" i="42" s="1"/>
  <c r="BC41" i="42"/>
  <c r="BC42" i="42" s="1"/>
  <c r="BB41" i="42"/>
  <c r="BB42" i="42" s="1"/>
  <c r="BA41" i="42"/>
  <c r="BA42" i="42" s="1"/>
  <c r="AZ41" i="42"/>
  <c r="AZ42" i="42" s="1"/>
  <c r="AY41" i="42"/>
  <c r="AY42" i="42" s="1"/>
  <c r="AX41" i="42"/>
  <c r="AX42" i="42" s="1"/>
  <c r="AW41" i="42"/>
  <c r="AW42" i="42" s="1"/>
  <c r="AV41" i="42"/>
  <c r="AV42" i="42" s="1"/>
  <c r="AU41" i="42"/>
  <c r="AU42" i="42" s="1"/>
  <c r="AT41" i="42"/>
  <c r="AT42" i="42" s="1"/>
  <c r="AS41" i="42"/>
  <c r="AS42" i="42" s="1"/>
  <c r="AR41" i="42"/>
  <c r="AR42" i="42" s="1"/>
  <c r="AQ41" i="42"/>
  <c r="AQ42" i="42" s="1"/>
  <c r="AP41" i="42"/>
  <c r="AP42" i="42" s="1"/>
  <c r="AO41" i="42"/>
  <c r="AO42" i="42" s="1"/>
  <c r="AN41" i="42"/>
  <c r="AN42" i="42" s="1"/>
  <c r="AM41" i="42"/>
  <c r="AM42" i="42" s="1"/>
  <c r="AL41" i="42"/>
  <c r="AL42" i="42" s="1"/>
  <c r="AK41" i="42"/>
  <c r="AK42" i="42" s="1"/>
  <c r="AJ41" i="42"/>
  <c r="AJ42" i="42" s="1"/>
  <c r="AI41" i="42"/>
  <c r="AI42" i="42" s="1"/>
  <c r="AH41" i="42"/>
  <c r="AH42" i="42" s="1"/>
  <c r="AG41" i="42"/>
  <c r="AG42" i="42" s="1"/>
  <c r="AF41" i="42"/>
  <c r="AF42" i="42" s="1"/>
  <c r="AE41" i="42"/>
  <c r="AE42" i="42" s="1"/>
  <c r="AD41" i="42"/>
  <c r="AD42" i="42" s="1"/>
  <c r="AC41" i="42"/>
  <c r="AC42" i="42" s="1"/>
  <c r="AB41" i="42"/>
  <c r="AB42" i="42" s="1"/>
  <c r="AA41" i="42"/>
  <c r="AA42" i="42" s="1"/>
  <c r="Z41" i="42"/>
  <c r="Z42" i="42" s="1"/>
  <c r="Y41" i="42"/>
  <c r="Y42" i="42" s="1"/>
  <c r="X41" i="42"/>
  <c r="X42" i="42" s="1"/>
  <c r="W41" i="42"/>
  <c r="W42" i="42" s="1"/>
  <c r="V41" i="42"/>
  <c r="V42" i="42" s="1"/>
  <c r="U41" i="42"/>
  <c r="U42" i="42" s="1"/>
  <c r="T41" i="42"/>
  <c r="T42" i="42" s="1"/>
  <c r="S41" i="42"/>
  <c r="S42" i="42" s="1"/>
  <c r="R41" i="42"/>
  <c r="R42" i="42" s="1"/>
  <c r="Q41" i="42"/>
  <c r="Q42" i="42" s="1"/>
  <c r="P41" i="42"/>
  <c r="P42" i="42" s="1"/>
  <c r="O41" i="42"/>
  <c r="O42" i="42" s="1"/>
  <c r="N41" i="42"/>
  <c r="N42" i="42" s="1"/>
  <c r="M41" i="42"/>
  <c r="M42" i="42" s="1"/>
  <c r="L41" i="42"/>
  <c r="L42" i="42" s="1"/>
  <c r="K41" i="42"/>
  <c r="K42" i="42" s="1"/>
  <c r="J41" i="42"/>
  <c r="J42" i="42" s="1"/>
  <c r="I41" i="42"/>
  <c r="I42" i="42" s="1"/>
  <c r="H41" i="42"/>
  <c r="H42" i="42" s="1"/>
  <c r="G41" i="42"/>
  <c r="G42" i="42" s="1"/>
  <c r="B40" i="42"/>
  <c r="C55" i="10" s="1"/>
  <c r="B39" i="42"/>
  <c r="C54" i="10" s="1"/>
  <c r="B38" i="42"/>
  <c r="C53" i="10" s="1"/>
  <c r="B37" i="42"/>
  <c r="C52" i="10" s="1"/>
  <c r="B36" i="42"/>
  <c r="B35" i="42"/>
  <c r="C50" i="10" s="1"/>
  <c r="B34" i="42"/>
  <c r="C49" i="10" s="1"/>
  <c r="B33" i="42"/>
  <c r="C48" i="10" s="1"/>
  <c r="B32" i="42"/>
  <c r="C47" i="10" s="1"/>
  <c r="B31" i="42"/>
  <c r="C46" i="10" s="1"/>
  <c r="B30" i="42"/>
  <c r="C45" i="10" s="1"/>
  <c r="B29" i="42"/>
  <c r="C44" i="10" s="1"/>
  <c r="B28" i="42"/>
  <c r="C43" i="10" s="1"/>
  <c r="B27" i="42"/>
  <c r="C42" i="10" s="1"/>
  <c r="B26" i="42"/>
  <c r="C41" i="10" s="1"/>
  <c r="B25" i="42"/>
  <c r="C40" i="10" s="1"/>
  <c r="B24" i="42"/>
  <c r="C39" i="10" s="1"/>
  <c r="B23" i="42"/>
  <c r="C38" i="10" s="1"/>
  <c r="B22" i="42"/>
  <c r="C37" i="10" s="1"/>
  <c r="B21" i="42"/>
  <c r="C36" i="10" s="1"/>
  <c r="DV19" i="42"/>
  <c r="DU19" i="42"/>
  <c r="DT19" i="42"/>
  <c r="DS19" i="42"/>
  <c r="DR19" i="42"/>
  <c r="DQ19" i="42"/>
  <c r="DP19" i="42"/>
  <c r="DO19" i="42"/>
  <c r="DN19" i="42"/>
  <c r="DM19" i="42"/>
  <c r="DL19" i="42"/>
  <c r="DK19" i="42"/>
  <c r="DJ19" i="42"/>
  <c r="DI19" i="42"/>
  <c r="DH19" i="42"/>
  <c r="DG19" i="42"/>
  <c r="DF19" i="42"/>
  <c r="DE19" i="42"/>
  <c r="DD19" i="42"/>
  <c r="DC19" i="42"/>
  <c r="DB19" i="42"/>
  <c r="DA19" i="42"/>
  <c r="CZ19" i="42"/>
  <c r="CY19" i="42"/>
  <c r="CX19" i="42"/>
  <c r="CW19" i="42"/>
  <c r="CV19" i="42"/>
  <c r="CU19" i="42"/>
  <c r="CT19" i="42"/>
  <c r="CS19" i="42"/>
  <c r="CR19" i="42"/>
  <c r="CQ19" i="42"/>
  <c r="CP19" i="42"/>
  <c r="CO19" i="42"/>
  <c r="CN19" i="42"/>
  <c r="CM19" i="42"/>
  <c r="CL19" i="42"/>
  <c r="CK19" i="42"/>
  <c r="CJ19" i="42"/>
  <c r="CI19" i="42"/>
  <c r="CH19" i="42"/>
  <c r="CG19" i="42"/>
  <c r="CF19" i="42"/>
  <c r="CE19" i="42"/>
  <c r="CD19" i="42"/>
  <c r="CC19" i="42"/>
  <c r="CB19" i="42"/>
  <c r="CA19" i="42"/>
  <c r="BZ19" i="42"/>
  <c r="BY19" i="42"/>
  <c r="BX19" i="42"/>
  <c r="BW19" i="42"/>
  <c r="BV19" i="42"/>
  <c r="BU19" i="42"/>
  <c r="BT19" i="42"/>
  <c r="BS19" i="42"/>
  <c r="BR19" i="42"/>
  <c r="BQ19" i="42"/>
  <c r="BP19" i="42"/>
  <c r="BO19" i="42"/>
  <c r="BN19" i="42"/>
  <c r="BM19" i="42"/>
  <c r="BL19" i="42"/>
  <c r="BK19" i="42"/>
  <c r="BJ19" i="42"/>
  <c r="BI19" i="42"/>
  <c r="BH19" i="42"/>
  <c r="BG19" i="42"/>
  <c r="BF19" i="42"/>
  <c r="BE19" i="42"/>
  <c r="BD19" i="42"/>
  <c r="BC19" i="42"/>
  <c r="BB19" i="42"/>
  <c r="BA19" i="42"/>
  <c r="AZ19" i="42"/>
  <c r="AY19" i="42"/>
  <c r="AX19" i="42"/>
  <c r="AW19" i="42"/>
  <c r="AV19" i="42"/>
  <c r="AU19" i="42"/>
  <c r="AT19" i="42"/>
  <c r="AS19" i="42"/>
  <c r="AR19" i="42"/>
  <c r="AQ19" i="42"/>
  <c r="AP19" i="42"/>
  <c r="AO19" i="42"/>
  <c r="AN19" i="42"/>
  <c r="AM19" i="42"/>
  <c r="AL19" i="42"/>
  <c r="AK19" i="42"/>
  <c r="AJ19" i="42"/>
  <c r="AI19" i="42"/>
  <c r="AH19" i="42"/>
  <c r="AG19" i="42"/>
  <c r="AF19" i="42"/>
  <c r="AE19" i="42"/>
  <c r="AD19" i="42"/>
  <c r="AC19" i="42"/>
  <c r="AB19" i="42"/>
  <c r="AA19" i="42"/>
  <c r="Z19" i="42"/>
  <c r="Y19" i="42"/>
  <c r="X19" i="42"/>
  <c r="W19" i="42"/>
  <c r="V19" i="42"/>
  <c r="U19" i="42"/>
  <c r="T19" i="42"/>
  <c r="S19" i="42"/>
  <c r="R19" i="42"/>
  <c r="Q19" i="42"/>
  <c r="P19" i="42"/>
  <c r="O19" i="42"/>
  <c r="N19" i="42"/>
  <c r="M19" i="42"/>
  <c r="L19" i="42"/>
  <c r="K19" i="42"/>
  <c r="J19" i="42"/>
  <c r="I19" i="42"/>
  <c r="H19" i="42"/>
  <c r="G19" i="42"/>
  <c r="DV14" i="42"/>
  <c r="DU14" i="42"/>
  <c r="DT14" i="42"/>
  <c r="DS14" i="42"/>
  <c r="DR14" i="42"/>
  <c r="DQ14" i="42"/>
  <c r="DP14" i="42"/>
  <c r="DO14" i="42"/>
  <c r="DN14" i="42"/>
  <c r="DM14" i="42"/>
  <c r="DL14" i="42"/>
  <c r="DK14" i="42"/>
  <c r="DJ14" i="42"/>
  <c r="DI14" i="42"/>
  <c r="DH14" i="42"/>
  <c r="DG14" i="42"/>
  <c r="DF14" i="42"/>
  <c r="DE14" i="42"/>
  <c r="DD14" i="42"/>
  <c r="DC14" i="42"/>
  <c r="DB14" i="42"/>
  <c r="DA14" i="42"/>
  <c r="CZ14" i="42"/>
  <c r="CY14" i="42"/>
  <c r="CX14" i="42"/>
  <c r="CW14" i="42"/>
  <c r="CV14" i="42"/>
  <c r="CU14" i="42"/>
  <c r="CT14" i="42"/>
  <c r="CS14" i="42"/>
  <c r="CR14" i="42"/>
  <c r="CQ14" i="42"/>
  <c r="CP14" i="42"/>
  <c r="CO14" i="42"/>
  <c r="CN14" i="42"/>
  <c r="CM14" i="42"/>
  <c r="CL14" i="42"/>
  <c r="CK14" i="42"/>
  <c r="CJ14" i="42"/>
  <c r="CI14" i="42"/>
  <c r="CH14" i="42"/>
  <c r="CG14" i="42"/>
  <c r="CF14" i="42"/>
  <c r="CE14" i="42"/>
  <c r="CD14" i="42"/>
  <c r="CC14" i="42"/>
  <c r="CB14" i="42"/>
  <c r="CA14" i="42"/>
  <c r="BZ14" i="42"/>
  <c r="BY14" i="42"/>
  <c r="BX14" i="42"/>
  <c r="BW14" i="42"/>
  <c r="BV14" i="42"/>
  <c r="BU14" i="42"/>
  <c r="BT14" i="42"/>
  <c r="BS14" i="42"/>
  <c r="BR14" i="42"/>
  <c r="BQ14" i="42"/>
  <c r="BP14" i="42"/>
  <c r="BO14" i="42"/>
  <c r="BN14" i="42"/>
  <c r="BM14" i="42"/>
  <c r="BL14" i="42"/>
  <c r="BK14" i="42"/>
  <c r="BJ14" i="42"/>
  <c r="BI14" i="42"/>
  <c r="BH14" i="42"/>
  <c r="BG14" i="42"/>
  <c r="BF14" i="42"/>
  <c r="BE14" i="42"/>
  <c r="BD14" i="42"/>
  <c r="BC14" i="42"/>
  <c r="BB14" i="42"/>
  <c r="BA14" i="42"/>
  <c r="AZ14" i="42"/>
  <c r="AY14" i="42"/>
  <c r="AX14" i="42"/>
  <c r="AW14" i="42"/>
  <c r="AV14" i="42"/>
  <c r="AU14" i="42"/>
  <c r="AT14" i="42"/>
  <c r="AS14" i="42"/>
  <c r="AR14" i="42"/>
  <c r="AQ14" i="42"/>
  <c r="AP14" i="42"/>
  <c r="AO14" i="42"/>
  <c r="AN14" i="42"/>
  <c r="AM14" i="42"/>
  <c r="AL14" i="42"/>
  <c r="AK14" i="42"/>
  <c r="AJ14" i="42"/>
  <c r="AI14" i="42"/>
  <c r="AH14" i="42"/>
  <c r="AG14" i="42"/>
  <c r="AF14" i="42"/>
  <c r="AE14" i="42"/>
  <c r="AD14" i="42"/>
  <c r="AC14" i="42"/>
  <c r="AB14" i="42"/>
  <c r="AA14" i="42"/>
  <c r="Z14" i="42"/>
  <c r="Y14" i="42"/>
  <c r="X14" i="42"/>
  <c r="W14" i="42"/>
  <c r="V14" i="42"/>
  <c r="U14" i="42"/>
  <c r="T14" i="42"/>
  <c r="S14" i="42"/>
  <c r="R14" i="42"/>
  <c r="Q14" i="42"/>
  <c r="P14" i="42"/>
  <c r="O14" i="42"/>
  <c r="N14" i="42"/>
  <c r="M14" i="42"/>
  <c r="L14" i="42"/>
  <c r="K14" i="42"/>
  <c r="J14" i="42"/>
  <c r="I14" i="42"/>
  <c r="H14" i="42"/>
  <c r="G14" i="42"/>
  <c r="C9" i="42"/>
  <c r="E9" i="42" s="1"/>
  <c r="A5" i="42"/>
  <c r="E7" i="43" s="1"/>
  <c r="C24" i="31"/>
  <c r="D18" i="31"/>
  <c r="D17" i="31"/>
  <c r="E15" i="31"/>
  <c r="D15" i="31"/>
  <c r="E12" i="31"/>
  <c r="D12" i="31"/>
  <c r="E11" i="31"/>
  <c r="D11" i="31"/>
  <c r="E12" i="6"/>
  <c r="O24" i="8" s="1"/>
  <c r="E8" i="6"/>
  <c r="F8" i="6" s="1"/>
  <c r="G8" i="6" s="1"/>
  <c r="H8" i="6" s="1"/>
  <c r="I8" i="6" s="1"/>
  <c r="J8" i="6" s="1"/>
  <c r="K8" i="6" s="1"/>
  <c r="L8" i="6" s="1"/>
  <c r="M8" i="6" s="1"/>
  <c r="N8" i="6" s="1"/>
  <c r="O8" i="6" s="1"/>
  <c r="P8" i="6" s="1"/>
  <c r="Q8" i="6" s="1"/>
  <c r="R8" i="6" s="1"/>
  <c r="S8" i="6" s="1"/>
  <c r="T8" i="6" s="1"/>
  <c r="U8" i="6" s="1"/>
  <c r="V8" i="6" s="1"/>
  <c r="W8" i="6" s="1"/>
  <c r="X8" i="6" s="1"/>
  <c r="Y8" i="6" s="1"/>
  <c r="Z8" i="6" s="1"/>
  <c r="AA8" i="6" s="1"/>
  <c r="AB8" i="6" s="1"/>
  <c r="AC8" i="6" s="1"/>
  <c r="AD8" i="6" s="1"/>
  <c r="AE8" i="6" s="1"/>
  <c r="AF8" i="6" s="1"/>
  <c r="AG8" i="6" s="1"/>
  <c r="AH8" i="6" s="1"/>
  <c r="D4" i="6"/>
  <c r="AM166" i="5"/>
  <c r="AM167" i="5" s="1"/>
  <c r="AM168" i="5" s="1"/>
  <c r="AM169" i="5" s="1"/>
  <c r="AM170" i="5" s="1"/>
  <c r="AM171" i="5" s="1"/>
  <c r="AM172" i="5" s="1"/>
  <c r="AM173" i="5" s="1"/>
  <c r="AM174" i="5" s="1"/>
  <c r="AM175" i="5" s="1"/>
  <c r="AM176" i="5" s="1"/>
  <c r="AM177" i="5" s="1"/>
  <c r="AM178" i="5" s="1"/>
  <c r="AM179" i="5" s="1"/>
  <c r="AM180" i="5" s="1"/>
  <c r="AM181" i="5" s="1"/>
  <c r="AM182" i="5" s="1"/>
  <c r="AM183" i="5" s="1"/>
  <c r="AM184" i="5" s="1"/>
  <c r="AM185" i="5" s="1"/>
  <c r="AM186" i="5" s="1"/>
  <c r="AM187" i="5" s="1"/>
  <c r="AM188" i="5" s="1"/>
  <c r="AM189" i="5" s="1"/>
  <c r="AM190" i="5" s="1"/>
  <c r="AM191" i="5" s="1"/>
  <c r="AM192" i="5" s="1"/>
  <c r="AM193" i="5" s="1"/>
  <c r="AM194" i="5" s="1"/>
  <c r="AK165" i="5"/>
  <c r="AK166" i="5" s="1"/>
  <c r="AK167" i="5" s="1"/>
  <c r="AK168" i="5" s="1"/>
  <c r="AK169" i="5" s="1"/>
  <c r="AK170" i="5" s="1"/>
  <c r="AK171" i="5" s="1"/>
  <c r="AK172" i="5" s="1"/>
  <c r="AK173" i="5" s="1"/>
  <c r="AK174" i="5" s="1"/>
  <c r="AK175" i="5" s="1"/>
  <c r="AK176" i="5" s="1"/>
  <c r="AK177" i="5" s="1"/>
  <c r="AK178" i="5" s="1"/>
  <c r="AK179" i="5" s="1"/>
  <c r="AK180" i="5" s="1"/>
  <c r="AK181" i="5" s="1"/>
  <c r="AK182" i="5" s="1"/>
  <c r="AK183" i="5" s="1"/>
  <c r="AK184" i="5" s="1"/>
  <c r="AK185" i="5" s="1"/>
  <c r="AK186" i="5" s="1"/>
  <c r="AK187" i="5" s="1"/>
  <c r="AK188" i="5" s="1"/>
  <c r="AK189" i="5" s="1"/>
  <c r="AK190" i="5" s="1"/>
  <c r="AK191" i="5" s="1"/>
  <c r="AK192" i="5" s="1"/>
  <c r="AK193" i="5" s="1"/>
  <c r="AK194" i="5" s="1"/>
  <c r="E162" i="5"/>
  <c r="F162" i="5" s="1"/>
  <c r="G162" i="5" s="1"/>
  <c r="H162" i="5" s="1"/>
  <c r="I162" i="5" s="1"/>
  <c r="J162" i="5" s="1"/>
  <c r="K162" i="5" s="1"/>
  <c r="L162" i="5" s="1"/>
  <c r="M162" i="5" s="1"/>
  <c r="N162" i="5" s="1"/>
  <c r="O162" i="5" s="1"/>
  <c r="P162" i="5" s="1"/>
  <c r="Q162" i="5" s="1"/>
  <c r="R162" i="5" s="1"/>
  <c r="S162" i="5" s="1"/>
  <c r="T162" i="5" s="1"/>
  <c r="U162" i="5" s="1"/>
  <c r="V162" i="5" s="1"/>
  <c r="W162" i="5" s="1"/>
  <c r="X162" i="5" s="1"/>
  <c r="Y162" i="5" s="1"/>
  <c r="Z162" i="5" s="1"/>
  <c r="AA162" i="5" s="1"/>
  <c r="AB162" i="5" s="1"/>
  <c r="AC162" i="5" s="1"/>
  <c r="AD162" i="5" s="1"/>
  <c r="AE162" i="5" s="1"/>
  <c r="AF162" i="5" s="1"/>
  <c r="AG162" i="5" s="1"/>
  <c r="AH162" i="5" s="1"/>
  <c r="AI162" i="5" s="1"/>
  <c r="E139" i="5"/>
  <c r="F139" i="5" s="1"/>
  <c r="G139" i="5" s="1"/>
  <c r="H139" i="5" s="1"/>
  <c r="I139" i="5" s="1"/>
  <c r="J139" i="5" s="1"/>
  <c r="K139" i="5" s="1"/>
  <c r="L139" i="5" s="1"/>
  <c r="M139" i="5" s="1"/>
  <c r="N139" i="5" s="1"/>
  <c r="O139" i="5" s="1"/>
  <c r="P139" i="5" s="1"/>
  <c r="Q139" i="5" s="1"/>
  <c r="R139" i="5" s="1"/>
  <c r="S139" i="5" s="1"/>
  <c r="T139" i="5" s="1"/>
  <c r="U139" i="5" s="1"/>
  <c r="V139" i="5" s="1"/>
  <c r="W139" i="5" s="1"/>
  <c r="X139" i="5" s="1"/>
  <c r="Y139" i="5" s="1"/>
  <c r="Z139" i="5" s="1"/>
  <c r="AA139" i="5" s="1"/>
  <c r="AB139" i="5" s="1"/>
  <c r="AC139" i="5" s="1"/>
  <c r="AD139" i="5" s="1"/>
  <c r="AE139" i="5" s="1"/>
  <c r="AF139" i="5" s="1"/>
  <c r="AG139" i="5" s="1"/>
  <c r="AH139" i="5" s="1"/>
  <c r="AI139" i="5" s="1"/>
  <c r="F120" i="5"/>
  <c r="F107" i="5"/>
  <c r="G107" i="5" s="1"/>
  <c r="H107" i="5" s="1"/>
  <c r="I107" i="5" s="1"/>
  <c r="J107" i="5" s="1"/>
  <c r="K107" i="5" s="1"/>
  <c r="L107" i="5" s="1"/>
  <c r="M107" i="5" s="1"/>
  <c r="N107" i="5" s="1"/>
  <c r="O107" i="5" s="1"/>
  <c r="P107" i="5" s="1"/>
  <c r="Q107" i="5" s="1"/>
  <c r="R107" i="5" s="1"/>
  <c r="S107" i="5" s="1"/>
  <c r="T107" i="5" s="1"/>
  <c r="U107" i="5" s="1"/>
  <c r="V107" i="5" s="1"/>
  <c r="W107" i="5" s="1"/>
  <c r="X107" i="5" s="1"/>
  <c r="Y107" i="5" s="1"/>
  <c r="Z107" i="5" s="1"/>
  <c r="AA107" i="5" s="1"/>
  <c r="AB107" i="5" s="1"/>
  <c r="AC107" i="5" s="1"/>
  <c r="AD107" i="5" s="1"/>
  <c r="AE107" i="5" s="1"/>
  <c r="AF107" i="5" s="1"/>
  <c r="AG107" i="5" s="1"/>
  <c r="AH107" i="5" s="1"/>
  <c r="AI107" i="5" s="1"/>
  <c r="D91" i="5"/>
  <c r="F90" i="5"/>
  <c r="G90" i="5" s="1"/>
  <c r="H90" i="5" s="1"/>
  <c r="I90" i="5" s="1"/>
  <c r="J90" i="5" s="1"/>
  <c r="K90" i="5" s="1"/>
  <c r="L90" i="5" s="1"/>
  <c r="M90" i="5" s="1"/>
  <c r="N90" i="5" s="1"/>
  <c r="O90" i="5" s="1"/>
  <c r="P90" i="5" s="1"/>
  <c r="Q90" i="5" s="1"/>
  <c r="R90" i="5" s="1"/>
  <c r="S90" i="5" s="1"/>
  <c r="T90" i="5" s="1"/>
  <c r="U90" i="5" s="1"/>
  <c r="V90" i="5" s="1"/>
  <c r="W90" i="5" s="1"/>
  <c r="X90" i="5" s="1"/>
  <c r="Y90" i="5" s="1"/>
  <c r="Z90" i="5" s="1"/>
  <c r="AA90" i="5" s="1"/>
  <c r="AB90" i="5" s="1"/>
  <c r="AC90" i="5" s="1"/>
  <c r="AD90" i="5" s="1"/>
  <c r="AE90" i="5" s="1"/>
  <c r="AF90" i="5" s="1"/>
  <c r="AG90" i="5" s="1"/>
  <c r="AH90" i="5" s="1"/>
  <c r="AI90" i="5" s="1"/>
  <c r="D80" i="5"/>
  <c r="E75" i="5"/>
  <c r="F75" i="5" s="1"/>
  <c r="G75" i="5" s="1"/>
  <c r="H75" i="5" s="1"/>
  <c r="I75" i="5" s="1"/>
  <c r="J75" i="5" s="1"/>
  <c r="K75" i="5" s="1"/>
  <c r="L75" i="5" s="1"/>
  <c r="M75" i="5" s="1"/>
  <c r="N75" i="5" s="1"/>
  <c r="O75" i="5" s="1"/>
  <c r="P75" i="5" s="1"/>
  <c r="Q75" i="5" s="1"/>
  <c r="R75" i="5" s="1"/>
  <c r="S75" i="5" s="1"/>
  <c r="T75" i="5" s="1"/>
  <c r="U75" i="5" s="1"/>
  <c r="V75" i="5" s="1"/>
  <c r="W75" i="5" s="1"/>
  <c r="X75" i="5" s="1"/>
  <c r="Y75" i="5" s="1"/>
  <c r="Z75" i="5" s="1"/>
  <c r="AA75" i="5" s="1"/>
  <c r="AB75" i="5" s="1"/>
  <c r="AC75" i="5" s="1"/>
  <c r="AD75" i="5" s="1"/>
  <c r="AE75" i="5" s="1"/>
  <c r="AF75" i="5" s="1"/>
  <c r="AG75" i="5" s="1"/>
  <c r="AH75" i="5" s="1"/>
  <c r="AI75" i="5" s="1"/>
  <c r="E65" i="5"/>
  <c r="F65" i="5" s="1"/>
  <c r="G65" i="5" s="1"/>
  <c r="H65" i="5" s="1"/>
  <c r="I65" i="5" s="1"/>
  <c r="J65" i="5" s="1"/>
  <c r="K65" i="5" s="1"/>
  <c r="L65" i="5" s="1"/>
  <c r="M65" i="5" s="1"/>
  <c r="N65" i="5" s="1"/>
  <c r="O65" i="5" s="1"/>
  <c r="P65" i="5" s="1"/>
  <c r="Q65" i="5" s="1"/>
  <c r="R65" i="5" s="1"/>
  <c r="S65" i="5" s="1"/>
  <c r="T65" i="5" s="1"/>
  <c r="U65" i="5" s="1"/>
  <c r="V65" i="5" s="1"/>
  <c r="W65" i="5" s="1"/>
  <c r="X65" i="5" s="1"/>
  <c r="Y65" i="5" s="1"/>
  <c r="Z65" i="5" s="1"/>
  <c r="AA65" i="5" s="1"/>
  <c r="AB65" i="5" s="1"/>
  <c r="AC65" i="5" s="1"/>
  <c r="AD65" i="5" s="1"/>
  <c r="AE65" i="5" s="1"/>
  <c r="AF65" i="5" s="1"/>
  <c r="AG65" i="5" s="1"/>
  <c r="AH65" i="5" s="1"/>
  <c r="AI65" i="5" s="1"/>
  <c r="B64" i="5"/>
  <c r="B66" i="17" s="1"/>
  <c r="B105" i="17" s="1"/>
  <c r="E63" i="5"/>
  <c r="F63" i="5" s="1"/>
  <c r="G63" i="5" s="1"/>
  <c r="H63" i="5" s="1"/>
  <c r="I63" i="5" s="1"/>
  <c r="J63" i="5" s="1"/>
  <c r="K63" i="5" s="1"/>
  <c r="L63" i="5" s="1"/>
  <c r="M63" i="5" s="1"/>
  <c r="N63" i="5" s="1"/>
  <c r="O63" i="5" s="1"/>
  <c r="P63" i="5" s="1"/>
  <c r="Q63" i="5" s="1"/>
  <c r="R63" i="5" s="1"/>
  <c r="S63" i="5" s="1"/>
  <c r="T63" i="5" s="1"/>
  <c r="U63" i="5" s="1"/>
  <c r="V63" i="5" s="1"/>
  <c r="W63" i="5" s="1"/>
  <c r="X63" i="5" s="1"/>
  <c r="Y63" i="5" s="1"/>
  <c r="Z63" i="5" s="1"/>
  <c r="AA63" i="5" s="1"/>
  <c r="AB63" i="5" s="1"/>
  <c r="AC63" i="5" s="1"/>
  <c r="AD63" i="5" s="1"/>
  <c r="AE63" i="5" s="1"/>
  <c r="AF63" i="5" s="1"/>
  <c r="AG63" i="5" s="1"/>
  <c r="AH63" i="5" s="1"/>
  <c r="AI63" i="5" s="1"/>
  <c r="B62" i="5"/>
  <c r="B65" i="17" s="1"/>
  <c r="B104" i="17" s="1"/>
  <c r="E61" i="5"/>
  <c r="F61" i="5" s="1"/>
  <c r="G61" i="5" s="1"/>
  <c r="H61" i="5" s="1"/>
  <c r="I61" i="5" s="1"/>
  <c r="J61" i="5" s="1"/>
  <c r="K61" i="5" s="1"/>
  <c r="L61" i="5" s="1"/>
  <c r="M61" i="5" s="1"/>
  <c r="N61" i="5" s="1"/>
  <c r="O61" i="5" s="1"/>
  <c r="P61" i="5" s="1"/>
  <c r="Q61" i="5" s="1"/>
  <c r="R61" i="5" s="1"/>
  <c r="S61" i="5" s="1"/>
  <c r="T61" i="5" s="1"/>
  <c r="U61" i="5" s="1"/>
  <c r="V61" i="5" s="1"/>
  <c r="W61" i="5" s="1"/>
  <c r="X61" i="5" s="1"/>
  <c r="Y61" i="5" s="1"/>
  <c r="Z61" i="5" s="1"/>
  <c r="AA61" i="5" s="1"/>
  <c r="AB61" i="5" s="1"/>
  <c r="AC61" i="5" s="1"/>
  <c r="AD61" i="5" s="1"/>
  <c r="AE61" i="5" s="1"/>
  <c r="AF61" i="5" s="1"/>
  <c r="AG61" i="5" s="1"/>
  <c r="AH61" i="5" s="1"/>
  <c r="AI61" i="5" s="1"/>
  <c r="B60" i="5"/>
  <c r="B64" i="17" s="1"/>
  <c r="B103" i="17" s="1"/>
  <c r="E59" i="5"/>
  <c r="F59" i="5" s="1"/>
  <c r="G59" i="5" s="1"/>
  <c r="H59" i="5" s="1"/>
  <c r="I59" i="5" s="1"/>
  <c r="J59" i="5" s="1"/>
  <c r="K59" i="5" s="1"/>
  <c r="L59" i="5" s="1"/>
  <c r="M59" i="5" s="1"/>
  <c r="N59" i="5" s="1"/>
  <c r="O59" i="5" s="1"/>
  <c r="P59" i="5" s="1"/>
  <c r="Q59" i="5" s="1"/>
  <c r="R59" i="5" s="1"/>
  <c r="S59" i="5" s="1"/>
  <c r="T59" i="5" s="1"/>
  <c r="U59" i="5" s="1"/>
  <c r="V59" i="5" s="1"/>
  <c r="W59" i="5" s="1"/>
  <c r="X59" i="5" s="1"/>
  <c r="Y59" i="5" s="1"/>
  <c r="Z59" i="5" s="1"/>
  <c r="AA59" i="5" s="1"/>
  <c r="AB59" i="5" s="1"/>
  <c r="AC59" i="5" s="1"/>
  <c r="AD59" i="5" s="1"/>
  <c r="AE59" i="5" s="1"/>
  <c r="AF59" i="5" s="1"/>
  <c r="AG59" i="5" s="1"/>
  <c r="AH59" i="5" s="1"/>
  <c r="AI59" i="5" s="1"/>
  <c r="B58" i="5"/>
  <c r="B63" i="17" s="1"/>
  <c r="B102" i="17" s="1"/>
  <c r="E57" i="5"/>
  <c r="F57" i="5" s="1"/>
  <c r="G57" i="5" s="1"/>
  <c r="H57" i="5" s="1"/>
  <c r="I57" i="5" s="1"/>
  <c r="J57" i="5" s="1"/>
  <c r="K57" i="5" s="1"/>
  <c r="L57" i="5" s="1"/>
  <c r="M57" i="5" s="1"/>
  <c r="N57" i="5" s="1"/>
  <c r="O57" i="5" s="1"/>
  <c r="P57" i="5" s="1"/>
  <c r="Q57" i="5" s="1"/>
  <c r="R57" i="5" s="1"/>
  <c r="S57" i="5" s="1"/>
  <c r="T57" i="5" s="1"/>
  <c r="U57" i="5" s="1"/>
  <c r="V57" i="5" s="1"/>
  <c r="W57" i="5" s="1"/>
  <c r="X57" i="5" s="1"/>
  <c r="Y57" i="5" s="1"/>
  <c r="Z57" i="5" s="1"/>
  <c r="AA57" i="5" s="1"/>
  <c r="AB57" i="5" s="1"/>
  <c r="AC57" i="5" s="1"/>
  <c r="AD57" i="5" s="1"/>
  <c r="AE57" i="5" s="1"/>
  <c r="AF57" i="5" s="1"/>
  <c r="AG57" i="5" s="1"/>
  <c r="AH57" i="5" s="1"/>
  <c r="AI57" i="5" s="1"/>
  <c r="B56" i="5"/>
  <c r="B61" i="17" s="1"/>
  <c r="B100" i="17" s="1"/>
  <c r="E55" i="5"/>
  <c r="F55" i="5" s="1"/>
  <c r="G55" i="5" s="1"/>
  <c r="H55" i="5" s="1"/>
  <c r="I55" i="5" s="1"/>
  <c r="J55" i="5" s="1"/>
  <c r="K55" i="5" s="1"/>
  <c r="L55" i="5" s="1"/>
  <c r="M55" i="5" s="1"/>
  <c r="N55" i="5" s="1"/>
  <c r="O55" i="5" s="1"/>
  <c r="P55" i="5" s="1"/>
  <c r="Q55" i="5" s="1"/>
  <c r="R55" i="5" s="1"/>
  <c r="S55" i="5" s="1"/>
  <c r="T55" i="5" s="1"/>
  <c r="U55" i="5" s="1"/>
  <c r="V55" i="5" s="1"/>
  <c r="W55" i="5" s="1"/>
  <c r="X55" i="5" s="1"/>
  <c r="Y55" i="5" s="1"/>
  <c r="Z55" i="5" s="1"/>
  <c r="AA55" i="5" s="1"/>
  <c r="AB55" i="5" s="1"/>
  <c r="AC55" i="5" s="1"/>
  <c r="AD55" i="5" s="1"/>
  <c r="AE55" i="5" s="1"/>
  <c r="AF55" i="5" s="1"/>
  <c r="AG55" i="5" s="1"/>
  <c r="AH55" i="5" s="1"/>
  <c r="AI55" i="5" s="1"/>
  <c r="B54" i="5"/>
  <c r="B60" i="17" s="1"/>
  <c r="B99" i="17" s="1"/>
  <c r="E53" i="5"/>
  <c r="F53" i="5" s="1"/>
  <c r="G53" i="5" s="1"/>
  <c r="H53" i="5" s="1"/>
  <c r="I53" i="5" s="1"/>
  <c r="J53" i="5" s="1"/>
  <c r="K53" i="5" s="1"/>
  <c r="L53" i="5" s="1"/>
  <c r="M53" i="5" s="1"/>
  <c r="N53" i="5" s="1"/>
  <c r="O53" i="5" s="1"/>
  <c r="P53" i="5" s="1"/>
  <c r="Q53" i="5" s="1"/>
  <c r="R53" i="5" s="1"/>
  <c r="S53" i="5" s="1"/>
  <c r="T53" i="5" s="1"/>
  <c r="U53" i="5" s="1"/>
  <c r="V53" i="5" s="1"/>
  <c r="W53" i="5" s="1"/>
  <c r="X53" i="5" s="1"/>
  <c r="Y53" i="5" s="1"/>
  <c r="Z53" i="5" s="1"/>
  <c r="AA53" i="5" s="1"/>
  <c r="AB53" i="5" s="1"/>
  <c r="AC53" i="5" s="1"/>
  <c r="AD53" i="5" s="1"/>
  <c r="AE53" i="5" s="1"/>
  <c r="AF53" i="5" s="1"/>
  <c r="AG53" i="5" s="1"/>
  <c r="AH53" i="5" s="1"/>
  <c r="AI53" i="5" s="1"/>
  <c r="B52" i="5"/>
  <c r="B55" i="17" s="1"/>
  <c r="B94" i="17" s="1"/>
  <c r="E51" i="5"/>
  <c r="F51" i="5" s="1"/>
  <c r="G51" i="5" s="1"/>
  <c r="H51" i="5" s="1"/>
  <c r="I51" i="5" s="1"/>
  <c r="J51" i="5" s="1"/>
  <c r="K51" i="5" s="1"/>
  <c r="L51" i="5" s="1"/>
  <c r="M51" i="5" s="1"/>
  <c r="N51" i="5" s="1"/>
  <c r="O51" i="5" s="1"/>
  <c r="P51" i="5" s="1"/>
  <c r="Q51" i="5" s="1"/>
  <c r="R51" i="5" s="1"/>
  <c r="S51" i="5" s="1"/>
  <c r="T51" i="5" s="1"/>
  <c r="U51" i="5" s="1"/>
  <c r="V51" i="5" s="1"/>
  <c r="W51" i="5" s="1"/>
  <c r="X51" i="5" s="1"/>
  <c r="Y51" i="5" s="1"/>
  <c r="Z51" i="5" s="1"/>
  <c r="AA51" i="5" s="1"/>
  <c r="AB51" i="5" s="1"/>
  <c r="AC51" i="5" s="1"/>
  <c r="AD51" i="5" s="1"/>
  <c r="AE51" i="5" s="1"/>
  <c r="AF51" i="5" s="1"/>
  <c r="AG51" i="5" s="1"/>
  <c r="AH51" i="5" s="1"/>
  <c r="AI51" i="5" s="1"/>
  <c r="B50" i="5"/>
  <c r="B53" i="17" s="1"/>
  <c r="B92" i="17" s="1"/>
  <c r="E49" i="5"/>
  <c r="F49" i="5" s="1"/>
  <c r="G49" i="5" s="1"/>
  <c r="H49" i="5" s="1"/>
  <c r="I49" i="5" s="1"/>
  <c r="J49" i="5" s="1"/>
  <c r="K49" i="5" s="1"/>
  <c r="L49" i="5" s="1"/>
  <c r="M49" i="5" s="1"/>
  <c r="N49" i="5" s="1"/>
  <c r="O49" i="5" s="1"/>
  <c r="P49" i="5" s="1"/>
  <c r="Q49" i="5" s="1"/>
  <c r="R49" i="5" s="1"/>
  <c r="S49" i="5" s="1"/>
  <c r="T49" i="5" s="1"/>
  <c r="U49" i="5" s="1"/>
  <c r="V49" i="5" s="1"/>
  <c r="W49" i="5" s="1"/>
  <c r="X49" i="5" s="1"/>
  <c r="Y49" i="5" s="1"/>
  <c r="Z49" i="5" s="1"/>
  <c r="AA49" i="5" s="1"/>
  <c r="AB49" i="5" s="1"/>
  <c r="AC49" i="5" s="1"/>
  <c r="AD49" i="5" s="1"/>
  <c r="AE49" i="5" s="1"/>
  <c r="AF49" i="5" s="1"/>
  <c r="AG49" i="5" s="1"/>
  <c r="AH49" i="5" s="1"/>
  <c r="AI49" i="5" s="1"/>
  <c r="B48" i="5"/>
  <c r="B54" i="17" s="1"/>
  <c r="B93" i="17" s="1"/>
  <c r="B46" i="5"/>
  <c r="B67" i="17" s="1"/>
  <c r="B106" i="17" s="1"/>
  <c r="B44" i="5"/>
  <c r="B62" i="17" s="1"/>
  <c r="B101" i="17" s="1"/>
  <c r="B42" i="5"/>
  <c r="B51" i="17" s="1"/>
  <c r="B90" i="17" s="1"/>
  <c r="B40" i="5"/>
  <c r="B50" i="17" s="1"/>
  <c r="B89" i="17" s="1"/>
  <c r="B38" i="5"/>
  <c r="B52" i="17" s="1"/>
  <c r="B91" i="17" s="1"/>
  <c r="B36" i="5"/>
  <c r="B59" i="17" s="1"/>
  <c r="B98" i="17" s="1"/>
  <c r="B34" i="5"/>
  <c r="B58" i="17" s="1"/>
  <c r="B97" i="17" s="1"/>
  <c r="B32" i="5"/>
  <c r="B57" i="17" s="1"/>
  <c r="B96" i="17" s="1"/>
  <c r="B30" i="5"/>
  <c r="B56" i="17" s="1"/>
  <c r="B95" i="17" s="1"/>
  <c r="F24" i="5"/>
  <c r="G24" i="5" s="1"/>
  <c r="H24" i="5" s="1"/>
  <c r="I24" i="5" s="1"/>
  <c r="J24" i="5" s="1"/>
  <c r="K24" i="5" s="1"/>
  <c r="L24" i="5" s="1"/>
  <c r="M24" i="5" s="1"/>
  <c r="N24" i="5" s="1"/>
  <c r="O24" i="5" s="1"/>
  <c r="P24" i="5" s="1"/>
  <c r="Q24" i="5" s="1"/>
  <c r="R24" i="5" s="1"/>
  <c r="S24" i="5" s="1"/>
  <c r="T24" i="5" s="1"/>
  <c r="U24" i="5" s="1"/>
  <c r="V24" i="5" s="1"/>
  <c r="W24" i="5" s="1"/>
  <c r="X24" i="5" s="1"/>
  <c r="Y24" i="5" s="1"/>
  <c r="Z24" i="5" s="1"/>
  <c r="AA24" i="5" s="1"/>
  <c r="AB24" i="5" s="1"/>
  <c r="AC24" i="5" s="1"/>
  <c r="AD24" i="5" s="1"/>
  <c r="AE24" i="5" s="1"/>
  <c r="AF24" i="5" s="1"/>
  <c r="AG24" i="5" s="1"/>
  <c r="AH24" i="5" s="1"/>
  <c r="AI24" i="5" s="1"/>
  <c r="B23" i="5"/>
  <c r="C95" i="9" s="1"/>
  <c r="F22" i="5"/>
  <c r="G22" i="5" s="1"/>
  <c r="H22" i="5" s="1"/>
  <c r="I22" i="5" s="1"/>
  <c r="J22" i="5" s="1"/>
  <c r="K22" i="5" s="1"/>
  <c r="L22" i="5" s="1"/>
  <c r="M22" i="5" s="1"/>
  <c r="N22" i="5" s="1"/>
  <c r="O22" i="5" s="1"/>
  <c r="P22" i="5" s="1"/>
  <c r="Q22" i="5" s="1"/>
  <c r="R22" i="5" s="1"/>
  <c r="S22" i="5" s="1"/>
  <c r="T22" i="5" s="1"/>
  <c r="U22" i="5" s="1"/>
  <c r="V22" i="5" s="1"/>
  <c r="W22" i="5" s="1"/>
  <c r="X22" i="5" s="1"/>
  <c r="Y22" i="5" s="1"/>
  <c r="Z22" i="5" s="1"/>
  <c r="AA22" i="5" s="1"/>
  <c r="AB22" i="5" s="1"/>
  <c r="AC22" i="5" s="1"/>
  <c r="AD22" i="5" s="1"/>
  <c r="AE22" i="5" s="1"/>
  <c r="AF22" i="5" s="1"/>
  <c r="AG22" i="5" s="1"/>
  <c r="AH22" i="5" s="1"/>
  <c r="AI22" i="5" s="1"/>
  <c r="F7" i="5"/>
  <c r="G7" i="5" s="1"/>
  <c r="K3" i="5"/>
  <c r="F571" i="40"/>
  <c r="G571" i="40" s="1"/>
  <c r="D571" i="40"/>
  <c r="E571" i="40" s="1"/>
  <c r="F570" i="40"/>
  <c r="G570" i="40" s="1"/>
  <c r="D570" i="40"/>
  <c r="E570" i="40" s="1"/>
  <c r="F569" i="40"/>
  <c r="G569" i="40" s="1"/>
  <c r="D569" i="40"/>
  <c r="E569" i="40" s="1"/>
  <c r="Q568" i="40"/>
  <c r="P568" i="40"/>
  <c r="O568" i="40"/>
  <c r="N568" i="40"/>
  <c r="M568" i="40"/>
  <c r="F568" i="40"/>
  <c r="G568" i="40" s="1"/>
  <c r="D568" i="40"/>
  <c r="E568" i="40" s="1"/>
  <c r="H566" i="40"/>
  <c r="J564" i="40"/>
  <c r="J563" i="40"/>
  <c r="J562" i="40"/>
  <c r="J561" i="40"/>
  <c r="J560" i="40"/>
  <c r="J559" i="40"/>
  <c r="J558" i="40"/>
  <c r="J557" i="40"/>
  <c r="J556" i="40"/>
  <c r="J555" i="40"/>
  <c r="J554" i="40"/>
  <c r="J553" i="40"/>
  <c r="J552" i="40"/>
  <c r="J551" i="40"/>
  <c r="J550" i="40"/>
  <c r="J549" i="40"/>
  <c r="J548" i="40"/>
  <c r="J547" i="40"/>
  <c r="J546" i="40"/>
  <c r="J545" i="40"/>
  <c r="C539" i="40"/>
  <c r="J5" i="40" s="1"/>
  <c r="F533" i="40"/>
  <c r="G533" i="40" s="1"/>
  <c r="D533" i="40"/>
  <c r="E533" i="40" s="1"/>
  <c r="F532" i="40"/>
  <c r="G532" i="40" s="1"/>
  <c r="D532" i="40"/>
  <c r="E532" i="40" s="1"/>
  <c r="F531" i="40"/>
  <c r="G531" i="40" s="1"/>
  <c r="D531" i="40"/>
  <c r="E531" i="40" s="1"/>
  <c r="Q530" i="40"/>
  <c r="P530" i="40"/>
  <c r="O530" i="40"/>
  <c r="N530" i="40"/>
  <c r="M530" i="40"/>
  <c r="F530" i="40"/>
  <c r="G530" i="40" s="1"/>
  <c r="D530" i="40"/>
  <c r="E530" i="40" s="1"/>
  <c r="H528" i="40"/>
  <c r="J526" i="40"/>
  <c r="J525" i="40"/>
  <c r="J524" i="40"/>
  <c r="J523" i="40"/>
  <c r="J522" i="40"/>
  <c r="J521" i="40"/>
  <c r="J520" i="40"/>
  <c r="J519" i="40"/>
  <c r="J518" i="40"/>
  <c r="J517" i="40"/>
  <c r="J516" i="40"/>
  <c r="J515" i="40"/>
  <c r="J514" i="40"/>
  <c r="J513" i="40"/>
  <c r="J512" i="40"/>
  <c r="J511" i="40"/>
  <c r="J510" i="40"/>
  <c r="J509" i="40"/>
  <c r="J508" i="40"/>
  <c r="J507" i="40"/>
  <c r="C501" i="40"/>
  <c r="I5" i="40" s="1"/>
  <c r="F495" i="40"/>
  <c r="G495" i="40" s="1"/>
  <c r="D495" i="40"/>
  <c r="E495" i="40" s="1"/>
  <c r="F494" i="40"/>
  <c r="G494" i="40" s="1"/>
  <c r="D494" i="40"/>
  <c r="E494" i="40" s="1"/>
  <c r="F493" i="40"/>
  <c r="G493" i="40" s="1"/>
  <c r="D493" i="40"/>
  <c r="E493" i="40" s="1"/>
  <c r="Q492" i="40"/>
  <c r="P492" i="40"/>
  <c r="O492" i="40"/>
  <c r="N492" i="40"/>
  <c r="M492" i="40"/>
  <c r="F492" i="40"/>
  <c r="G492" i="40" s="1"/>
  <c r="D492" i="40"/>
  <c r="E492" i="40" s="1"/>
  <c r="H490" i="40"/>
  <c r="J488" i="40"/>
  <c r="J487" i="40"/>
  <c r="J486" i="40"/>
  <c r="J485" i="40"/>
  <c r="J484" i="40"/>
  <c r="J483" i="40"/>
  <c r="J482" i="40"/>
  <c r="J481" i="40"/>
  <c r="J480" i="40"/>
  <c r="J479" i="40"/>
  <c r="J478" i="40"/>
  <c r="J477" i="40"/>
  <c r="J476" i="40"/>
  <c r="J475" i="40"/>
  <c r="J474" i="40"/>
  <c r="J473" i="40"/>
  <c r="J472" i="40"/>
  <c r="J471" i="40"/>
  <c r="J470" i="40"/>
  <c r="J469" i="40"/>
  <c r="C463" i="40"/>
  <c r="H5" i="40" s="1"/>
  <c r="F457" i="40"/>
  <c r="G457" i="40" s="1"/>
  <c r="D457" i="40"/>
  <c r="E457" i="40" s="1"/>
  <c r="F456" i="40"/>
  <c r="G456" i="40" s="1"/>
  <c r="D456" i="40"/>
  <c r="E456" i="40" s="1"/>
  <c r="F455" i="40"/>
  <c r="G455" i="40" s="1"/>
  <c r="D455" i="40"/>
  <c r="E455" i="40" s="1"/>
  <c r="Q454" i="40"/>
  <c r="P454" i="40"/>
  <c r="O454" i="40"/>
  <c r="N454" i="40"/>
  <c r="M454" i="40"/>
  <c r="F454" i="40"/>
  <c r="G454" i="40" s="1"/>
  <c r="D454" i="40"/>
  <c r="E454" i="40" s="1"/>
  <c r="H452" i="40"/>
  <c r="J450" i="40"/>
  <c r="J449" i="40"/>
  <c r="J448" i="40"/>
  <c r="J447" i="40"/>
  <c r="J446" i="40"/>
  <c r="J445" i="40"/>
  <c r="J444" i="40"/>
  <c r="J443" i="40"/>
  <c r="J442" i="40"/>
  <c r="J441" i="40"/>
  <c r="J440" i="40"/>
  <c r="J439" i="40"/>
  <c r="J438" i="40"/>
  <c r="J437" i="40"/>
  <c r="J436" i="40"/>
  <c r="J435" i="40"/>
  <c r="J434" i="40"/>
  <c r="J433" i="40"/>
  <c r="J432" i="40"/>
  <c r="J431" i="40"/>
  <c r="C425" i="40"/>
  <c r="G5" i="40" s="1"/>
  <c r="F419" i="40"/>
  <c r="G419" i="40" s="1"/>
  <c r="D419" i="40"/>
  <c r="E419" i="40" s="1"/>
  <c r="F418" i="40"/>
  <c r="G418" i="40" s="1"/>
  <c r="D418" i="40"/>
  <c r="E418" i="40" s="1"/>
  <c r="F417" i="40"/>
  <c r="G417" i="40" s="1"/>
  <c r="D417" i="40"/>
  <c r="E417" i="40" s="1"/>
  <c r="Q416" i="40"/>
  <c r="P416" i="40"/>
  <c r="O416" i="40"/>
  <c r="N416" i="40"/>
  <c r="M416" i="40"/>
  <c r="F416" i="40"/>
  <c r="G416" i="40" s="1"/>
  <c r="D416" i="40"/>
  <c r="E416" i="40" s="1"/>
  <c r="H414" i="40"/>
  <c r="J412" i="40"/>
  <c r="J411" i="40"/>
  <c r="J410" i="40"/>
  <c r="J409" i="40"/>
  <c r="J408" i="40"/>
  <c r="J407" i="40"/>
  <c r="J406" i="40"/>
  <c r="J405" i="40"/>
  <c r="J404" i="40"/>
  <c r="J403" i="40"/>
  <c r="J402" i="40"/>
  <c r="J401" i="40"/>
  <c r="J400" i="40"/>
  <c r="J399" i="40"/>
  <c r="J398" i="40"/>
  <c r="J397" i="40"/>
  <c r="J396" i="40"/>
  <c r="J395" i="40"/>
  <c r="J394" i="40"/>
  <c r="J393" i="40"/>
  <c r="C387" i="40"/>
  <c r="F5" i="40" s="1"/>
  <c r="F381" i="40"/>
  <c r="G381" i="40" s="1"/>
  <c r="D381" i="40"/>
  <c r="E381" i="40" s="1"/>
  <c r="F380" i="40"/>
  <c r="G380" i="40" s="1"/>
  <c r="D380" i="40"/>
  <c r="E380" i="40" s="1"/>
  <c r="F379" i="40"/>
  <c r="G379" i="40" s="1"/>
  <c r="D379" i="40"/>
  <c r="E379" i="40" s="1"/>
  <c r="Q378" i="40"/>
  <c r="P378" i="40"/>
  <c r="O378" i="40"/>
  <c r="N378" i="40"/>
  <c r="M378" i="40"/>
  <c r="F378" i="40"/>
  <c r="G378" i="40" s="1"/>
  <c r="D378" i="40"/>
  <c r="E378" i="40" s="1"/>
  <c r="H376" i="40"/>
  <c r="J374" i="40"/>
  <c r="J373" i="40"/>
  <c r="J372" i="40"/>
  <c r="J371" i="40"/>
  <c r="J370" i="40"/>
  <c r="J369" i="40"/>
  <c r="J368" i="40"/>
  <c r="J367" i="40"/>
  <c r="J366" i="40"/>
  <c r="J365" i="40"/>
  <c r="J364" i="40"/>
  <c r="J363" i="40"/>
  <c r="J362" i="40"/>
  <c r="J361" i="40"/>
  <c r="J360" i="40"/>
  <c r="J359" i="40"/>
  <c r="J358" i="40"/>
  <c r="J357" i="40"/>
  <c r="J356" i="40"/>
  <c r="J355" i="40"/>
  <c r="C349" i="40"/>
  <c r="E5" i="40" s="1"/>
  <c r="F343" i="40"/>
  <c r="G343" i="40" s="1"/>
  <c r="D343" i="40"/>
  <c r="E343" i="40" s="1"/>
  <c r="F342" i="40"/>
  <c r="G342" i="40" s="1"/>
  <c r="D342" i="40"/>
  <c r="E342" i="40" s="1"/>
  <c r="F341" i="40"/>
  <c r="G341" i="40" s="1"/>
  <c r="D341" i="40"/>
  <c r="E341" i="40" s="1"/>
  <c r="Q340" i="40"/>
  <c r="P340" i="40"/>
  <c r="O340" i="40"/>
  <c r="N340" i="40"/>
  <c r="M340" i="40"/>
  <c r="F340" i="40"/>
  <c r="G340" i="40" s="1"/>
  <c r="D340" i="40"/>
  <c r="E340" i="40" s="1"/>
  <c r="H338" i="40"/>
  <c r="J336" i="40"/>
  <c r="J335" i="40"/>
  <c r="J334" i="40"/>
  <c r="J333" i="40"/>
  <c r="J332" i="40"/>
  <c r="J331" i="40"/>
  <c r="J330" i="40"/>
  <c r="J329" i="40"/>
  <c r="J328" i="40"/>
  <c r="J327" i="40"/>
  <c r="J326" i="40"/>
  <c r="J325" i="40"/>
  <c r="J324" i="40"/>
  <c r="J323" i="40"/>
  <c r="J322" i="40"/>
  <c r="J321" i="40"/>
  <c r="J320" i="40"/>
  <c r="J319" i="40"/>
  <c r="J318" i="40"/>
  <c r="J317" i="40"/>
  <c r="C311" i="40"/>
  <c r="D5" i="40" s="1"/>
  <c r="F305" i="40"/>
  <c r="G305" i="40" s="1"/>
  <c r="D305" i="40"/>
  <c r="E305" i="40" s="1"/>
  <c r="F304" i="40"/>
  <c r="G304" i="40" s="1"/>
  <c r="D304" i="40"/>
  <c r="E304" i="40" s="1"/>
  <c r="F303" i="40"/>
  <c r="G303" i="40" s="1"/>
  <c r="D303" i="40"/>
  <c r="E303" i="40" s="1"/>
  <c r="Q302" i="40"/>
  <c r="P302" i="40"/>
  <c r="O302" i="40"/>
  <c r="N302" i="40"/>
  <c r="M302" i="40"/>
  <c r="F302" i="40"/>
  <c r="G302" i="40" s="1"/>
  <c r="D302" i="40"/>
  <c r="E302" i="40" s="1"/>
  <c r="H300" i="40"/>
  <c r="J298" i="40"/>
  <c r="J297" i="40"/>
  <c r="J296" i="40"/>
  <c r="J295" i="40"/>
  <c r="J294" i="40"/>
  <c r="J293" i="40"/>
  <c r="J292" i="40"/>
  <c r="J291" i="40"/>
  <c r="J290" i="40"/>
  <c r="J289" i="40"/>
  <c r="J288" i="40"/>
  <c r="J287" i="40"/>
  <c r="J286" i="40"/>
  <c r="J285" i="40"/>
  <c r="J284" i="40"/>
  <c r="J283" i="40"/>
  <c r="J282" i="40"/>
  <c r="J281" i="40"/>
  <c r="J280" i="40"/>
  <c r="J279" i="40"/>
  <c r="C273" i="40"/>
  <c r="K4" i="40" s="1"/>
  <c r="F267" i="40"/>
  <c r="G267" i="40" s="1"/>
  <c r="D267" i="40"/>
  <c r="E267" i="40" s="1"/>
  <c r="F266" i="40"/>
  <c r="G266" i="40" s="1"/>
  <c r="D266" i="40"/>
  <c r="E266" i="40" s="1"/>
  <c r="F265" i="40"/>
  <c r="G265" i="40" s="1"/>
  <c r="D265" i="40"/>
  <c r="E265" i="40" s="1"/>
  <c r="Q264" i="40"/>
  <c r="P264" i="40"/>
  <c r="O264" i="40"/>
  <c r="N264" i="40"/>
  <c r="M264" i="40"/>
  <c r="F264" i="40"/>
  <c r="G264" i="40" s="1"/>
  <c r="D264" i="40"/>
  <c r="E264" i="40" s="1"/>
  <c r="H262" i="40"/>
  <c r="J260" i="40"/>
  <c r="J259" i="40"/>
  <c r="J258" i="40"/>
  <c r="J257" i="40"/>
  <c r="J256" i="40"/>
  <c r="J255" i="40"/>
  <c r="J254" i="40"/>
  <c r="J253" i="40"/>
  <c r="J252" i="40"/>
  <c r="J251" i="40"/>
  <c r="J250" i="40"/>
  <c r="J249" i="40"/>
  <c r="J248" i="40"/>
  <c r="J247" i="40"/>
  <c r="J246" i="40"/>
  <c r="J245" i="40"/>
  <c r="J244" i="40"/>
  <c r="J243" i="40"/>
  <c r="J242" i="40"/>
  <c r="J241" i="40"/>
  <c r="C235" i="40"/>
  <c r="J4" i="40" s="1"/>
  <c r="F229" i="40"/>
  <c r="G229" i="40" s="1"/>
  <c r="D229" i="40"/>
  <c r="E229" i="40" s="1"/>
  <c r="F228" i="40"/>
  <c r="G228" i="40" s="1"/>
  <c r="D228" i="40"/>
  <c r="E228" i="40" s="1"/>
  <c r="F227" i="40"/>
  <c r="G227" i="40" s="1"/>
  <c r="D227" i="40"/>
  <c r="E227" i="40" s="1"/>
  <c r="Q226" i="40"/>
  <c r="P226" i="40"/>
  <c r="O226" i="40"/>
  <c r="N226" i="40"/>
  <c r="M226" i="40"/>
  <c r="F226" i="40"/>
  <c r="G226" i="40" s="1"/>
  <c r="D226" i="40"/>
  <c r="E226" i="40" s="1"/>
  <c r="H224" i="40"/>
  <c r="J222" i="40"/>
  <c r="J221" i="40"/>
  <c r="J220" i="40"/>
  <c r="J219" i="40"/>
  <c r="J218" i="40"/>
  <c r="J217" i="40"/>
  <c r="J216" i="40"/>
  <c r="J215" i="40"/>
  <c r="J214" i="40"/>
  <c r="J213" i="40"/>
  <c r="J212" i="40"/>
  <c r="J211" i="40"/>
  <c r="J210" i="40"/>
  <c r="J209" i="40"/>
  <c r="J208" i="40"/>
  <c r="J207" i="40"/>
  <c r="J206" i="40"/>
  <c r="J205" i="40"/>
  <c r="J204" i="40"/>
  <c r="J203" i="40"/>
  <c r="C197" i="40"/>
  <c r="I4" i="40" s="1"/>
  <c r="F191" i="40"/>
  <c r="G191" i="40" s="1"/>
  <c r="D191" i="40"/>
  <c r="E191" i="40" s="1"/>
  <c r="F190" i="40"/>
  <c r="G190" i="40" s="1"/>
  <c r="D190" i="40"/>
  <c r="E190" i="40" s="1"/>
  <c r="F189" i="40"/>
  <c r="G189" i="40" s="1"/>
  <c r="D189" i="40"/>
  <c r="E189" i="40" s="1"/>
  <c r="Q188" i="40"/>
  <c r="P188" i="40"/>
  <c r="O188" i="40"/>
  <c r="N188" i="40"/>
  <c r="M188" i="40"/>
  <c r="F188" i="40"/>
  <c r="G188" i="40" s="1"/>
  <c r="D188" i="40"/>
  <c r="E188" i="40" s="1"/>
  <c r="H186" i="40"/>
  <c r="J184" i="40"/>
  <c r="J183" i="40"/>
  <c r="J182" i="40"/>
  <c r="J181" i="40"/>
  <c r="J180" i="40"/>
  <c r="J179" i="40"/>
  <c r="J178" i="40"/>
  <c r="J177" i="40"/>
  <c r="J176" i="40"/>
  <c r="J175" i="40"/>
  <c r="J174" i="40"/>
  <c r="J173" i="40"/>
  <c r="J172" i="40"/>
  <c r="J171" i="40"/>
  <c r="J170" i="40"/>
  <c r="J169" i="40"/>
  <c r="J168" i="40"/>
  <c r="J167" i="40"/>
  <c r="J166" i="40"/>
  <c r="J165" i="40"/>
  <c r="C159" i="40"/>
  <c r="H4" i="40" s="1"/>
  <c r="F153" i="40"/>
  <c r="G153" i="40" s="1"/>
  <c r="D153" i="40"/>
  <c r="E153" i="40" s="1"/>
  <c r="F152" i="40"/>
  <c r="G152" i="40" s="1"/>
  <c r="D152" i="40"/>
  <c r="E152" i="40" s="1"/>
  <c r="F151" i="40"/>
  <c r="G151" i="40" s="1"/>
  <c r="D151" i="40"/>
  <c r="E151" i="40" s="1"/>
  <c r="Q150" i="40"/>
  <c r="P150" i="40"/>
  <c r="O150" i="40"/>
  <c r="N150" i="40"/>
  <c r="M150" i="40"/>
  <c r="F150" i="40"/>
  <c r="G150" i="40" s="1"/>
  <c r="D150" i="40"/>
  <c r="E150" i="40" s="1"/>
  <c r="H148" i="40"/>
  <c r="J146" i="40"/>
  <c r="J145" i="40"/>
  <c r="J144" i="40"/>
  <c r="J143" i="40"/>
  <c r="J142" i="40"/>
  <c r="J141" i="40"/>
  <c r="J140" i="40"/>
  <c r="J139" i="40"/>
  <c r="J138" i="40"/>
  <c r="J137" i="40"/>
  <c r="J136" i="40"/>
  <c r="J135" i="40"/>
  <c r="J134" i="40"/>
  <c r="J133" i="40"/>
  <c r="J132" i="40"/>
  <c r="J131" i="40"/>
  <c r="J130" i="40"/>
  <c r="J129" i="40"/>
  <c r="J128" i="40"/>
  <c r="J127" i="40"/>
  <c r="C121" i="40"/>
  <c r="G4" i="40" s="1"/>
  <c r="F115" i="40"/>
  <c r="G115" i="40" s="1"/>
  <c r="D115" i="40"/>
  <c r="E115" i="40" s="1"/>
  <c r="F114" i="40"/>
  <c r="G114" i="40" s="1"/>
  <c r="D114" i="40"/>
  <c r="E114" i="40" s="1"/>
  <c r="F113" i="40"/>
  <c r="G113" i="40" s="1"/>
  <c r="D113" i="40"/>
  <c r="E113" i="40" s="1"/>
  <c r="Q112" i="40"/>
  <c r="P112" i="40"/>
  <c r="O112" i="40"/>
  <c r="N112" i="40"/>
  <c r="M112" i="40"/>
  <c r="F112" i="40"/>
  <c r="G112" i="40" s="1"/>
  <c r="D112" i="40"/>
  <c r="E112" i="40" s="1"/>
  <c r="H110" i="40"/>
  <c r="J108" i="40"/>
  <c r="J107" i="40"/>
  <c r="J106" i="40"/>
  <c r="J105" i="40"/>
  <c r="J104" i="40"/>
  <c r="J103" i="40"/>
  <c r="J102" i="40"/>
  <c r="J101" i="40"/>
  <c r="J100" i="40"/>
  <c r="J99" i="40"/>
  <c r="J98" i="40"/>
  <c r="J97" i="40"/>
  <c r="J96" i="40"/>
  <c r="J95" i="40"/>
  <c r="J94" i="40"/>
  <c r="J93" i="40"/>
  <c r="J92" i="40"/>
  <c r="J91" i="40"/>
  <c r="J90" i="40"/>
  <c r="J89" i="40"/>
  <c r="C83" i="40"/>
  <c r="F4" i="40" s="1"/>
  <c r="F77" i="40"/>
  <c r="G77" i="40" s="1"/>
  <c r="D77" i="40"/>
  <c r="E77" i="40" s="1"/>
  <c r="F76" i="40"/>
  <c r="G76" i="40" s="1"/>
  <c r="D76" i="40"/>
  <c r="E76" i="40" s="1"/>
  <c r="F75" i="40"/>
  <c r="G75" i="40" s="1"/>
  <c r="D75" i="40"/>
  <c r="E75" i="40" s="1"/>
  <c r="Q74" i="40"/>
  <c r="P74" i="40"/>
  <c r="O74" i="40"/>
  <c r="N74" i="40"/>
  <c r="M74" i="40"/>
  <c r="F74" i="40"/>
  <c r="G74" i="40" s="1"/>
  <c r="D74" i="40"/>
  <c r="E74" i="40" s="1"/>
  <c r="H72" i="40"/>
  <c r="J70" i="40"/>
  <c r="J69" i="40"/>
  <c r="J68" i="40"/>
  <c r="J67" i="40"/>
  <c r="J66" i="40"/>
  <c r="J65" i="40"/>
  <c r="J64" i="40"/>
  <c r="J63" i="40"/>
  <c r="J62" i="40"/>
  <c r="J61" i="40"/>
  <c r="J60" i="40"/>
  <c r="J59" i="40"/>
  <c r="J58" i="40"/>
  <c r="J57" i="40"/>
  <c r="J56" i="40"/>
  <c r="J55" i="40"/>
  <c r="J54" i="40"/>
  <c r="J53" i="40"/>
  <c r="J52" i="40"/>
  <c r="J51" i="40"/>
  <c r="C45" i="40"/>
  <c r="E4" i="40" s="1"/>
  <c r="F39" i="40"/>
  <c r="G39" i="40" s="1"/>
  <c r="D39" i="40"/>
  <c r="E39" i="40" s="1"/>
  <c r="F38" i="40"/>
  <c r="G38" i="40" s="1"/>
  <c r="D38" i="40"/>
  <c r="E38" i="40" s="1"/>
  <c r="F37" i="40"/>
  <c r="G37" i="40" s="1"/>
  <c r="D37" i="40"/>
  <c r="E37" i="40" s="1"/>
  <c r="Q36" i="40"/>
  <c r="P36" i="40"/>
  <c r="O36" i="40"/>
  <c r="N36" i="40"/>
  <c r="M36" i="40"/>
  <c r="F36" i="40"/>
  <c r="G36" i="40" s="1"/>
  <c r="D36" i="40"/>
  <c r="E36" i="40" s="1"/>
  <c r="H34" i="40"/>
  <c r="R508" i="40" s="1" a="1"/>
  <c r="R508" i="40" s="1"/>
  <c r="J32" i="40"/>
  <c r="J31" i="40"/>
  <c r="J30" i="40"/>
  <c r="J29" i="40"/>
  <c r="J28" i="40"/>
  <c r="J27" i="40"/>
  <c r="J26" i="40"/>
  <c r="J25" i="40"/>
  <c r="J24" i="40"/>
  <c r="J23" i="40"/>
  <c r="J22" i="40"/>
  <c r="J21" i="40"/>
  <c r="J20" i="40"/>
  <c r="J19" i="40"/>
  <c r="J18" i="40"/>
  <c r="J17" i="40"/>
  <c r="J16" i="40"/>
  <c r="J15" i="40"/>
  <c r="J14" i="40"/>
  <c r="J13" i="40"/>
  <c r="C7" i="40"/>
  <c r="D4" i="40" s="1"/>
  <c r="AT144" i="38"/>
  <c r="AH144" i="38"/>
  <c r="V144" i="38"/>
  <c r="AT143" i="38"/>
  <c r="AH143" i="38"/>
  <c r="V143" i="38"/>
  <c r="AT142" i="38"/>
  <c r="AH142" i="38"/>
  <c r="V142" i="38"/>
  <c r="AT141" i="38"/>
  <c r="AH141" i="38"/>
  <c r="V141" i="38"/>
  <c r="AT140" i="38"/>
  <c r="AH140" i="38"/>
  <c r="V140" i="38"/>
  <c r="AT136" i="38"/>
  <c r="AH136" i="38"/>
  <c r="V136" i="38"/>
  <c r="AT135" i="38"/>
  <c r="AH135" i="38"/>
  <c r="V135" i="38"/>
  <c r="AT134" i="38"/>
  <c r="AH134" i="38"/>
  <c r="V134" i="38"/>
  <c r="AT133" i="38"/>
  <c r="AH133" i="38"/>
  <c r="V133" i="38"/>
  <c r="AT132" i="38"/>
  <c r="AH132" i="38"/>
  <c r="V132" i="38"/>
  <c r="AT128" i="38"/>
  <c r="AH128" i="38"/>
  <c r="V128" i="38"/>
  <c r="AT127" i="38"/>
  <c r="AH127" i="38"/>
  <c r="V127" i="38"/>
  <c r="AT126" i="38"/>
  <c r="AH126" i="38"/>
  <c r="V126" i="38"/>
  <c r="AT125" i="38"/>
  <c r="AH125" i="38"/>
  <c r="V125" i="38"/>
  <c r="AT124" i="38"/>
  <c r="AH124" i="38"/>
  <c r="V124" i="38"/>
  <c r="AT120" i="38"/>
  <c r="AH120" i="38"/>
  <c r="V120" i="38"/>
  <c r="AT119" i="38"/>
  <c r="AH119" i="38"/>
  <c r="V119" i="38"/>
  <c r="AT118" i="38"/>
  <c r="AH118" i="38"/>
  <c r="V118" i="38"/>
  <c r="AT117" i="38"/>
  <c r="AH117" i="38"/>
  <c r="V117" i="38"/>
  <c r="AT116" i="38"/>
  <c r="AH116" i="38"/>
  <c r="V116" i="38"/>
  <c r="AT112" i="38"/>
  <c r="AH112" i="38"/>
  <c r="V112" i="38"/>
  <c r="AT111" i="38"/>
  <c r="AH111" i="38"/>
  <c r="V111" i="38"/>
  <c r="AT110" i="38"/>
  <c r="AH110" i="38"/>
  <c r="V110" i="38"/>
  <c r="AT109" i="38"/>
  <c r="AH109" i="38"/>
  <c r="V109" i="38"/>
  <c r="AT108" i="38"/>
  <c r="AH108" i="38"/>
  <c r="V108" i="38"/>
  <c r="AT104" i="38"/>
  <c r="AH104" i="38"/>
  <c r="V104" i="38"/>
  <c r="AT103" i="38"/>
  <c r="AH103" i="38"/>
  <c r="V103" i="38"/>
  <c r="AT102" i="38"/>
  <c r="AH102" i="38"/>
  <c r="V102" i="38"/>
  <c r="AT101" i="38"/>
  <c r="AH101" i="38"/>
  <c r="V101" i="38"/>
  <c r="AT100" i="38"/>
  <c r="AH100" i="38"/>
  <c r="V100" i="38"/>
  <c r="AT96" i="38"/>
  <c r="AH96" i="38"/>
  <c r="V96" i="38"/>
  <c r="AT95" i="38"/>
  <c r="AH95" i="38"/>
  <c r="V95" i="38"/>
  <c r="AT94" i="38"/>
  <c r="AH94" i="38"/>
  <c r="V94" i="38"/>
  <c r="AT93" i="38"/>
  <c r="AH93" i="38"/>
  <c r="V93" i="38"/>
  <c r="AT92" i="38"/>
  <c r="AH92" i="38"/>
  <c r="V92" i="38"/>
  <c r="AT88" i="38"/>
  <c r="AH88" i="38"/>
  <c r="V88" i="38"/>
  <c r="AT87" i="38"/>
  <c r="AH87" i="38"/>
  <c r="V87" i="38"/>
  <c r="AT86" i="38"/>
  <c r="AH86" i="38"/>
  <c r="V86" i="38"/>
  <c r="AT85" i="38"/>
  <c r="AH85" i="38"/>
  <c r="V85" i="38"/>
  <c r="AT84" i="38"/>
  <c r="AH84" i="38"/>
  <c r="V84" i="38"/>
  <c r="AT80" i="38"/>
  <c r="AH80" i="38"/>
  <c r="V80" i="38"/>
  <c r="AT79" i="38"/>
  <c r="AH79" i="38"/>
  <c r="V79" i="38"/>
  <c r="AT78" i="38"/>
  <c r="AH78" i="38"/>
  <c r="V78" i="38"/>
  <c r="AT77" i="38"/>
  <c r="AH77" i="38"/>
  <c r="V77" i="38"/>
  <c r="AT76" i="38"/>
  <c r="AH76" i="38"/>
  <c r="V76" i="38"/>
  <c r="AT72" i="38"/>
  <c r="AH72" i="38"/>
  <c r="V72" i="38"/>
  <c r="AT71" i="38"/>
  <c r="AH71" i="38"/>
  <c r="V71" i="38"/>
  <c r="AT70" i="38"/>
  <c r="AH70" i="38"/>
  <c r="V70" i="38"/>
  <c r="AT69" i="38"/>
  <c r="AH69" i="38"/>
  <c r="V69" i="38"/>
  <c r="AT68" i="38"/>
  <c r="AH68" i="38"/>
  <c r="V68" i="38"/>
  <c r="AT64" i="38"/>
  <c r="AH64" i="38"/>
  <c r="V64" i="38"/>
  <c r="AT63" i="38"/>
  <c r="AH63" i="38"/>
  <c r="V63" i="38"/>
  <c r="AT62" i="38"/>
  <c r="AH62" i="38"/>
  <c r="V62" i="38"/>
  <c r="AT61" i="38"/>
  <c r="AH61" i="38"/>
  <c r="V61" i="38"/>
  <c r="AT60" i="38"/>
  <c r="AH60" i="38"/>
  <c r="V60" i="38"/>
  <c r="AT56" i="38"/>
  <c r="AH56" i="38"/>
  <c r="V56" i="38"/>
  <c r="AT55" i="38"/>
  <c r="AH55" i="38"/>
  <c r="V55" i="38"/>
  <c r="AT54" i="38"/>
  <c r="AH54" i="38"/>
  <c r="V54" i="38"/>
  <c r="AT53" i="38"/>
  <c r="AH53" i="38"/>
  <c r="V53" i="38"/>
  <c r="AT52" i="38"/>
  <c r="AH52" i="38"/>
  <c r="V52" i="38"/>
  <c r="AT48" i="38"/>
  <c r="AH48" i="38"/>
  <c r="V48" i="38"/>
  <c r="AT47" i="38"/>
  <c r="AH47" i="38"/>
  <c r="V47" i="38"/>
  <c r="AT46" i="38"/>
  <c r="AH46" i="38"/>
  <c r="V46" i="38"/>
  <c r="AT45" i="38"/>
  <c r="AH45" i="38"/>
  <c r="V45" i="38"/>
  <c r="AT44" i="38"/>
  <c r="AH44" i="38"/>
  <c r="V44" i="38"/>
  <c r="AT40" i="38"/>
  <c r="AH40" i="38"/>
  <c r="V40" i="38"/>
  <c r="AT39" i="38"/>
  <c r="AH39" i="38"/>
  <c r="V39" i="38"/>
  <c r="AT38" i="38"/>
  <c r="AH38" i="38"/>
  <c r="V38" i="38"/>
  <c r="AT37" i="38"/>
  <c r="AH37" i="38"/>
  <c r="V37" i="38"/>
  <c r="AT36" i="38"/>
  <c r="AH36" i="38"/>
  <c r="V36" i="38"/>
  <c r="AT32" i="38"/>
  <c r="AH32" i="38"/>
  <c r="V32" i="38"/>
  <c r="AT31" i="38"/>
  <c r="AH31" i="38"/>
  <c r="V31" i="38"/>
  <c r="AT30" i="38"/>
  <c r="AH30" i="38"/>
  <c r="V30" i="38"/>
  <c r="AT29" i="38"/>
  <c r="AH29" i="38"/>
  <c r="V29" i="38"/>
  <c r="AT28" i="38"/>
  <c r="AH28" i="38"/>
  <c r="V28" i="38"/>
  <c r="BZ18" i="38" a="1"/>
  <c r="BZ18" i="38" s="1"/>
  <c r="BZ17" i="38" a="1"/>
  <c r="BZ17" i="38" s="1"/>
  <c r="AF17" i="38"/>
  <c r="AL17" i="38" s="1"/>
  <c r="E17" i="38"/>
  <c r="E82" i="38" s="1"/>
  <c r="BZ16" i="38" a="1"/>
  <c r="BZ16" i="38" s="1"/>
  <c r="AQ16" i="38"/>
  <c r="AW16" i="38" s="1"/>
  <c r="AF16" i="38"/>
  <c r="AL16" i="38" s="1"/>
  <c r="S16" i="38"/>
  <c r="E138" i="38" s="1"/>
  <c r="E16" i="38"/>
  <c r="E74" i="38" s="1"/>
  <c r="BZ15" i="38" a="1"/>
  <c r="BZ15" i="38" s="1"/>
  <c r="AQ15" i="38"/>
  <c r="N23" i="9" s="1"/>
  <c r="AF15" i="38"/>
  <c r="AL15" i="38" s="1"/>
  <c r="S15" i="38"/>
  <c r="E130" i="38" s="1"/>
  <c r="E15" i="38"/>
  <c r="E66" i="38" s="1"/>
  <c r="BZ14" i="38" a="1"/>
  <c r="BZ14" i="38" s="1"/>
  <c r="AQ14" i="38"/>
  <c r="AW14" i="38" s="1"/>
  <c r="AF14" i="38"/>
  <c r="N14" i="9" s="1"/>
  <c r="S14" i="38"/>
  <c r="E122" i="38" s="1"/>
  <c r="E14" i="38"/>
  <c r="E58" i="38" s="1"/>
  <c r="BZ13" i="38" a="1"/>
  <c r="BZ13" i="38" s="1"/>
  <c r="AQ13" i="38"/>
  <c r="N21" i="9" s="1"/>
  <c r="AF13" i="38"/>
  <c r="N13" i="9" s="1"/>
  <c r="S13" i="38"/>
  <c r="E114" i="38" s="1"/>
  <c r="E13" i="38"/>
  <c r="E50" i="38" s="1"/>
  <c r="BZ12" i="38" a="1"/>
  <c r="BZ12" i="38" s="1"/>
  <c r="AQ12" i="38"/>
  <c r="AW12" i="38" s="1"/>
  <c r="AF12" i="38"/>
  <c r="S12" i="38"/>
  <c r="E106" i="38" s="1"/>
  <c r="E12" i="38"/>
  <c r="E42" i="38" s="1"/>
  <c r="BZ11" i="38" a="1"/>
  <c r="BZ11" i="38" s="1"/>
  <c r="AQ11" i="38"/>
  <c r="AW11" i="38" s="1"/>
  <c r="AF11" i="38"/>
  <c r="AL11" i="38" s="1"/>
  <c r="S11" i="38"/>
  <c r="E98" i="38" s="1"/>
  <c r="E11" i="38"/>
  <c r="E34" i="38" s="1"/>
  <c r="C11" i="38"/>
  <c r="C12" i="38" s="1"/>
  <c r="C13" i="38" s="1"/>
  <c r="C14" i="38" s="1"/>
  <c r="C15" i="38" s="1"/>
  <c r="C16" i="38" s="1"/>
  <c r="C17" i="38" s="1"/>
  <c r="Q10" i="38" s="1"/>
  <c r="Q11" i="38" s="1"/>
  <c r="Q12" i="38" s="1"/>
  <c r="Q13" i="38" s="1"/>
  <c r="Q14" i="38" s="1"/>
  <c r="Q15" i="38" s="1"/>
  <c r="Q16" i="38" s="1"/>
  <c r="BZ10" i="38" a="1"/>
  <c r="BZ10" i="38" s="1"/>
  <c r="AQ10" i="38"/>
  <c r="AF10" i="38"/>
  <c r="AL10" i="38" s="1"/>
  <c r="S10" i="38"/>
  <c r="E90" i="38" s="1"/>
  <c r="E10" i="38"/>
  <c r="E26" i="38" s="1"/>
  <c r="BZ9" i="38" a="1"/>
  <c r="BZ9" i="38" s="1"/>
  <c r="BZ8" i="38" a="1"/>
  <c r="BZ8" i="38" s="1"/>
  <c r="DA303" i="3"/>
  <c r="DA302" i="3" s="1"/>
  <c r="DA301" i="3" s="1"/>
  <c r="DA300" i="3" s="1"/>
  <c r="CR303" i="3"/>
  <c r="CI303" i="3"/>
  <c r="CI302" i="3" s="1"/>
  <c r="CI301" i="3" s="1"/>
  <c r="CI300" i="3" s="1"/>
  <c r="BZ303" i="3"/>
  <c r="B48" i="25" s="1"/>
  <c r="DE299" i="3"/>
  <c r="CV299" i="3"/>
  <c r="CM299" i="3"/>
  <c r="CD299" i="3"/>
  <c r="DA296" i="3"/>
  <c r="CR296" i="3"/>
  <c r="CI296" i="3"/>
  <c r="BZ296" i="3"/>
  <c r="DA295" i="3"/>
  <c r="CR295" i="3"/>
  <c r="CI295" i="3"/>
  <c r="BZ295" i="3"/>
  <c r="DA294" i="3"/>
  <c r="CR294" i="3"/>
  <c r="CI294" i="3"/>
  <c r="BZ294" i="3"/>
  <c r="DA293" i="3"/>
  <c r="CR293" i="3"/>
  <c r="CI293" i="3"/>
  <c r="BZ293" i="3"/>
  <c r="DA292" i="3"/>
  <c r="CR292" i="3"/>
  <c r="CI292" i="3"/>
  <c r="BZ292" i="3"/>
  <c r="DE291" i="3"/>
  <c r="CV291" i="3"/>
  <c r="CM291" i="3"/>
  <c r="CD291" i="3"/>
  <c r="DA285" i="3"/>
  <c r="DA286" i="3" s="1"/>
  <c r="DA287" i="3" s="1"/>
  <c r="DA288" i="3" s="1"/>
  <c r="CR285" i="3"/>
  <c r="CI285" i="3"/>
  <c r="CI284" i="3" s="1"/>
  <c r="CI283" i="3" s="1"/>
  <c r="CI282" i="3" s="1"/>
  <c r="BZ285" i="3"/>
  <c r="B74" i="25" s="1"/>
  <c r="DE281" i="3"/>
  <c r="CV281" i="3"/>
  <c r="CM281" i="3"/>
  <c r="CD281" i="3"/>
  <c r="DA275" i="3"/>
  <c r="AF33" i="25" s="1"/>
  <c r="CR275" i="3"/>
  <c r="B33" i="25" s="1"/>
  <c r="CI275" i="3"/>
  <c r="AF22" i="25" s="1"/>
  <c r="BZ275" i="3"/>
  <c r="B22" i="25" s="1"/>
  <c r="DE271" i="3"/>
  <c r="CV271" i="3"/>
  <c r="CM271" i="3"/>
  <c r="CD271" i="3"/>
  <c r="C249" i="3"/>
  <c r="C216" i="3"/>
  <c r="I79" i="22" s="1"/>
  <c r="C215" i="3"/>
  <c r="I78" i="22" s="1"/>
  <c r="C214" i="3"/>
  <c r="I77" i="22" s="1"/>
  <c r="C213" i="3"/>
  <c r="I76" i="22" s="1"/>
  <c r="C212" i="3"/>
  <c r="I75" i="22" s="1"/>
  <c r="C211" i="3"/>
  <c r="C67" i="9" s="1"/>
  <c r="C112" i="9" s="1"/>
  <c r="C210" i="3"/>
  <c r="C66" i="9" s="1"/>
  <c r="C111" i="9" s="1"/>
  <c r="C209" i="3"/>
  <c r="C65" i="9" s="1"/>
  <c r="C110" i="9" s="1"/>
  <c r="C208" i="3"/>
  <c r="I71" i="22" s="1"/>
  <c r="BC207" i="3"/>
  <c r="O63" i="9" s="1"/>
  <c r="AY207" i="3"/>
  <c r="N63" i="9" s="1"/>
  <c r="AU207" i="3"/>
  <c r="M63" i="9" s="1"/>
  <c r="AQ207" i="3"/>
  <c r="L63" i="9" s="1"/>
  <c r="AM207" i="3"/>
  <c r="K63" i="9" s="1"/>
  <c r="AI207" i="3"/>
  <c r="J63" i="9" s="1"/>
  <c r="AE207" i="3"/>
  <c r="I63" i="9" s="1"/>
  <c r="AA207" i="3"/>
  <c r="H63" i="9" s="1"/>
  <c r="W207" i="3"/>
  <c r="G63" i="9" s="1"/>
  <c r="S207" i="3"/>
  <c r="F63" i="9" s="1"/>
  <c r="O207" i="3"/>
  <c r="E63" i="9" s="1"/>
  <c r="K207" i="3"/>
  <c r="D63" i="9" s="1"/>
  <c r="C207" i="3"/>
  <c r="I70" i="22" s="1"/>
  <c r="BC206" i="3"/>
  <c r="O62" i="9" s="1"/>
  <c r="AY206" i="3"/>
  <c r="N62" i="9" s="1"/>
  <c r="AU206" i="3"/>
  <c r="M62" i="9" s="1"/>
  <c r="AQ206" i="3"/>
  <c r="L62" i="9" s="1"/>
  <c r="AM206" i="3"/>
  <c r="K62" i="9" s="1"/>
  <c r="AI206" i="3"/>
  <c r="J62" i="9" s="1"/>
  <c r="AE206" i="3"/>
  <c r="I62" i="9" s="1"/>
  <c r="AA206" i="3"/>
  <c r="H62" i="9" s="1"/>
  <c r="W206" i="3"/>
  <c r="G62" i="9" s="1"/>
  <c r="S206" i="3"/>
  <c r="F62" i="9" s="1"/>
  <c r="O206" i="3"/>
  <c r="K206" i="3"/>
  <c r="D62" i="9" s="1"/>
  <c r="C206" i="3"/>
  <c r="I69" i="22" s="1"/>
  <c r="BC205" i="3"/>
  <c r="O61" i="9" s="1"/>
  <c r="AY205" i="3"/>
  <c r="N61" i="9" s="1"/>
  <c r="AU205" i="3"/>
  <c r="M61" i="9" s="1"/>
  <c r="AQ205" i="3"/>
  <c r="L61" i="9" s="1"/>
  <c r="AM205" i="3"/>
  <c r="K61" i="9" s="1"/>
  <c r="AI205" i="3"/>
  <c r="J61" i="9" s="1"/>
  <c r="AE205" i="3"/>
  <c r="I61" i="9" s="1"/>
  <c r="AA205" i="3"/>
  <c r="H61" i="9" s="1"/>
  <c r="W205" i="3"/>
  <c r="G61" i="9" s="1"/>
  <c r="S205" i="3"/>
  <c r="F61" i="9" s="1"/>
  <c r="O205" i="3"/>
  <c r="E61" i="9" s="1"/>
  <c r="K205" i="3"/>
  <c r="C205" i="3"/>
  <c r="C61" i="9" s="1"/>
  <c r="C106" i="9" s="1"/>
  <c r="BC204" i="3"/>
  <c r="O60" i="9" s="1"/>
  <c r="AY204" i="3"/>
  <c r="N60" i="9" s="1"/>
  <c r="AU204" i="3"/>
  <c r="M60" i="9" s="1"/>
  <c r="AQ204" i="3"/>
  <c r="L60" i="9" s="1"/>
  <c r="AM204" i="3"/>
  <c r="K60" i="9" s="1"/>
  <c r="AI204" i="3"/>
  <c r="J60" i="9" s="1"/>
  <c r="AE204" i="3"/>
  <c r="AA204" i="3"/>
  <c r="H60" i="9" s="1"/>
  <c r="W204" i="3"/>
  <c r="G60" i="9" s="1"/>
  <c r="S204" i="3"/>
  <c r="F60" i="9" s="1"/>
  <c r="O204" i="3"/>
  <c r="E60" i="9" s="1"/>
  <c r="K204" i="3"/>
  <c r="D60" i="9" s="1"/>
  <c r="C204" i="3"/>
  <c r="I67" i="22" s="1"/>
  <c r="BC203" i="3"/>
  <c r="O59" i="9" s="1"/>
  <c r="AY203" i="3"/>
  <c r="N59" i="9" s="1"/>
  <c r="AU203" i="3"/>
  <c r="M59" i="9" s="1"/>
  <c r="AQ203" i="3"/>
  <c r="L59" i="9" s="1"/>
  <c r="AM203" i="3"/>
  <c r="K59" i="9" s="1"/>
  <c r="AI203" i="3"/>
  <c r="J59" i="9" s="1"/>
  <c r="AE203" i="3"/>
  <c r="I59" i="9" s="1"/>
  <c r="AA203" i="3"/>
  <c r="W203" i="3"/>
  <c r="G59" i="9" s="1"/>
  <c r="S203" i="3"/>
  <c r="F59" i="9" s="1"/>
  <c r="O203" i="3"/>
  <c r="E59" i="9" s="1"/>
  <c r="K203" i="3"/>
  <c r="D59" i="9" s="1"/>
  <c r="C203" i="3"/>
  <c r="I66" i="22" s="1"/>
  <c r="BC202" i="3"/>
  <c r="O58" i="9" s="1"/>
  <c r="AY202" i="3"/>
  <c r="N58" i="9" s="1"/>
  <c r="AU202" i="3"/>
  <c r="AQ202" i="3"/>
  <c r="L58" i="9" s="1"/>
  <c r="AM202" i="3"/>
  <c r="K58" i="9" s="1"/>
  <c r="AI202" i="3"/>
  <c r="J58" i="9" s="1"/>
  <c r="AE202" i="3"/>
  <c r="I58" i="9" s="1"/>
  <c r="AA202" i="3"/>
  <c r="H58" i="9" s="1"/>
  <c r="W202" i="3"/>
  <c r="G58" i="9" s="1"/>
  <c r="S202" i="3"/>
  <c r="F58" i="9" s="1"/>
  <c r="O202" i="3"/>
  <c r="K202" i="3"/>
  <c r="D58" i="9" s="1"/>
  <c r="C202" i="3"/>
  <c r="C58" i="9" s="1"/>
  <c r="C103" i="9" s="1"/>
  <c r="BC201" i="3"/>
  <c r="O57" i="9" s="1"/>
  <c r="AY201" i="3"/>
  <c r="N57" i="9" s="1"/>
  <c r="AU201" i="3"/>
  <c r="M57" i="9" s="1"/>
  <c r="AQ201" i="3"/>
  <c r="L57" i="9" s="1"/>
  <c r="AM201" i="3"/>
  <c r="K57" i="9" s="1"/>
  <c r="AI201" i="3"/>
  <c r="J57" i="9" s="1"/>
  <c r="AE201" i="3"/>
  <c r="I57" i="9" s="1"/>
  <c r="AA201" i="3"/>
  <c r="H57" i="9" s="1"/>
  <c r="W201" i="3"/>
  <c r="G57" i="9" s="1"/>
  <c r="S201" i="3"/>
  <c r="F57" i="9" s="1"/>
  <c r="O201" i="3"/>
  <c r="E57" i="9" s="1"/>
  <c r="K201" i="3"/>
  <c r="C201" i="3"/>
  <c r="I64" i="22" s="1"/>
  <c r="BC200" i="3"/>
  <c r="O56" i="9" s="1"/>
  <c r="AY200" i="3"/>
  <c r="N56" i="9" s="1"/>
  <c r="AU200" i="3"/>
  <c r="M56" i="9" s="1"/>
  <c r="AQ200" i="3"/>
  <c r="L56" i="9" s="1"/>
  <c r="AM200" i="3"/>
  <c r="K56" i="9" s="1"/>
  <c r="AI200" i="3"/>
  <c r="J56" i="9" s="1"/>
  <c r="AE200" i="3"/>
  <c r="I56" i="9" s="1"/>
  <c r="AA200" i="3"/>
  <c r="H56" i="9" s="1"/>
  <c r="W200" i="3"/>
  <c r="G56" i="9" s="1"/>
  <c r="S200" i="3"/>
  <c r="F56" i="9" s="1"/>
  <c r="O200" i="3"/>
  <c r="E56" i="9" s="1"/>
  <c r="K200" i="3"/>
  <c r="D56" i="9" s="1"/>
  <c r="C200" i="3"/>
  <c r="I63" i="22" s="1"/>
  <c r="BC199" i="3"/>
  <c r="O55" i="9" s="1"/>
  <c r="AY199" i="3"/>
  <c r="N55" i="9" s="1"/>
  <c r="AU199" i="3"/>
  <c r="M55" i="9" s="1"/>
  <c r="AQ199" i="3"/>
  <c r="L55" i="9" s="1"/>
  <c r="AM199" i="3"/>
  <c r="K55" i="9" s="1"/>
  <c r="AI199" i="3"/>
  <c r="J55" i="9" s="1"/>
  <c r="AE199" i="3"/>
  <c r="I55" i="9" s="1"/>
  <c r="AA199" i="3"/>
  <c r="H55" i="9" s="1"/>
  <c r="W199" i="3"/>
  <c r="G55" i="9" s="1"/>
  <c r="S199" i="3"/>
  <c r="F55" i="9" s="1"/>
  <c r="O199" i="3"/>
  <c r="E55" i="9" s="1"/>
  <c r="K199" i="3"/>
  <c r="D55" i="9" s="1"/>
  <c r="C199" i="3"/>
  <c r="C55" i="9" s="1"/>
  <c r="C100" i="9" s="1"/>
  <c r="BC194" i="3"/>
  <c r="O50" i="9" s="1"/>
  <c r="AY194" i="3"/>
  <c r="N50" i="9" s="1"/>
  <c r="AU194" i="3"/>
  <c r="M50" i="9" s="1"/>
  <c r="AQ194" i="3"/>
  <c r="L50" i="9" s="1"/>
  <c r="AM194" i="3"/>
  <c r="K50" i="9" s="1"/>
  <c r="AI194" i="3"/>
  <c r="J50" i="9" s="1"/>
  <c r="AE194" i="3"/>
  <c r="I50" i="9" s="1"/>
  <c r="AA194" i="3"/>
  <c r="H50" i="9" s="1"/>
  <c r="W194" i="3"/>
  <c r="G50" i="9" s="1"/>
  <c r="S194" i="3"/>
  <c r="F50" i="9" s="1"/>
  <c r="O194" i="3"/>
  <c r="K194" i="3"/>
  <c r="D50" i="9" s="1"/>
  <c r="C184" i="3"/>
  <c r="K185" i="3" s="1"/>
  <c r="C177" i="3"/>
  <c r="C176" i="3"/>
  <c r="C175" i="3"/>
  <c r="C174" i="3"/>
  <c r="AY159" i="3"/>
  <c r="BC159" i="3" s="1"/>
  <c r="AQ159" i="3"/>
  <c r="AU159" i="3" s="1"/>
  <c r="AI159" i="3"/>
  <c r="AM159" i="3" s="1"/>
  <c r="AA159" i="3"/>
  <c r="AE159" i="3" s="1"/>
  <c r="S159" i="3"/>
  <c r="W159" i="3" s="1"/>
  <c r="K159" i="3"/>
  <c r="O159" i="3" s="1"/>
  <c r="BC158" i="3"/>
  <c r="AY158" i="3"/>
  <c r="AU158" i="3"/>
  <c r="AQ158" i="3"/>
  <c r="AM158" i="3"/>
  <c r="AI158" i="3"/>
  <c r="AE158" i="3"/>
  <c r="AA158" i="3"/>
  <c r="W158" i="3"/>
  <c r="S158" i="3"/>
  <c r="O158" i="3"/>
  <c r="K158" i="3"/>
  <c r="BL157" i="3"/>
  <c r="BH157" i="3"/>
  <c r="B157" i="3"/>
  <c r="BL156" i="3"/>
  <c r="BH156" i="3"/>
  <c r="B156" i="3"/>
  <c r="BL155" i="3"/>
  <c r="BH155" i="3"/>
  <c r="B155" i="3"/>
  <c r="BL154" i="3"/>
  <c r="BH154" i="3"/>
  <c r="B154" i="3"/>
  <c r="BL153" i="3"/>
  <c r="BH153" i="3"/>
  <c r="B153" i="3"/>
  <c r="BL152" i="3"/>
  <c r="BH152" i="3"/>
  <c r="B152" i="3"/>
  <c r="BL151" i="3"/>
  <c r="BH151" i="3"/>
  <c r="B151" i="3"/>
  <c r="BL150" i="3"/>
  <c r="BH150" i="3"/>
  <c r="B150" i="3"/>
  <c r="BL149" i="3"/>
  <c r="BH149" i="3"/>
  <c r="B149" i="3"/>
  <c r="BL148" i="3"/>
  <c r="BH148" i="3"/>
  <c r="B148" i="3"/>
  <c r="L140" i="3"/>
  <c r="J64" i="5" s="1"/>
  <c r="AA66" i="17" s="1"/>
  <c r="K139" i="3"/>
  <c r="P138" i="3"/>
  <c r="K138" i="3"/>
  <c r="K137" i="3"/>
  <c r="AJ24" i="5" s="1"/>
  <c r="K136" i="3"/>
  <c r="AJ22" i="5" s="1"/>
  <c r="K135" i="3"/>
  <c r="AJ15" i="5" s="1"/>
  <c r="BC134" i="3"/>
  <c r="P134" i="3"/>
  <c r="F18" i="5" s="1"/>
  <c r="G18" i="5" s="1"/>
  <c r="H18" i="5" s="1"/>
  <c r="I18" i="5" s="1"/>
  <c r="J18" i="5" s="1"/>
  <c r="K18" i="5" s="1"/>
  <c r="L18" i="5" s="1"/>
  <c r="M18" i="5" s="1"/>
  <c r="N18" i="5" s="1"/>
  <c r="O18" i="5" s="1"/>
  <c r="P18" i="5" s="1"/>
  <c r="Q18" i="5" s="1"/>
  <c r="R18" i="5" s="1"/>
  <c r="S18" i="5" s="1"/>
  <c r="T18" i="5" s="1"/>
  <c r="U18" i="5" s="1"/>
  <c r="V18" i="5" s="1"/>
  <c r="W18" i="5" s="1"/>
  <c r="X18" i="5" s="1"/>
  <c r="Y18" i="5" s="1"/>
  <c r="Z18" i="5" s="1"/>
  <c r="AA18" i="5" s="1"/>
  <c r="AB18" i="5" s="1"/>
  <c r="AC18" i="5" s="1"/>
  <c r="AD18" i="5" s="1"/>
  <c r="AE18" i="5" s="1"/>
  <c r="AF18" i="5" s="1"/>
  <c r="AG18" i="5" s="1"/>
  <c r="AH18" i="5" s="1"/>
  <c r="AI18" i="5" s="1"/>
  <c r="K134" i="3"/>
  <c r="AJ18" i="5" s="1"/>
  <c r="BD128" i="3"/>
  <c r="AE128" i="3"/>
  <c r="M128" i="3"/>
  <c r="H128" i="3"/>
  <c r="AH127" i="3"/>
  <c r="AH126" i="3"/>
  <c r="AH125" i="3"/>
  <c r="AH124" i="3"/>
  <c r="M124" i="3"/>
  <c r="AH123" i="3"/>
  <c r="AH122" i="3"/>
  <c r="AH121" i="3"/>
  <c r="AH120" i="3"/>
  <c r="AH119" i="3"/>
  <c r="T119" i="3"/>
  <c r="B119" i="3"/>
  <c r="M127" i="3" s="1"/>
  <c r="AU174" i="3" s="1"/>
  <c r="AU177" i="3" s="1"/>
  <c r="T118" i="3"/>
  <c r="B118" i="3"/>
  <c r="H127" i="3" s="1"/>
  <c r="BC166" i="3" s="1"/>
  <c r="BC169" i="3" s="1"/>
  <c r="E18" i="31"/>
  <c r="E54" i="22"/>
  <c r="AZ83" i="3"/>
  <c r="U12" i="8" s="1"/>
  <c r="AP82" i="3"/>
  <c r="M11" i="8" s="1"/>
  <c r="K81" i="3"/>
  <c r="AZ80" i="3"/>
  <c r="O80" i="3"/>
  <c r="BB63" i="3"/>
  <c r="AA62" i="3"/>
  <c r="AA40" i="3" s="1"/>
  <c r="AO61" i="3"/>
  <c r="AO63" i="3" s="1"/>
  <c r="AA61" i="3"/>
  <c r="K61" i="3"/>
  <c r="AC57" i="3"/>
  <c r="AK56" i="3"/>
  <c r="BB41" i="3"/>
  <c r="AO39" i="3"/>
  <c r="AO41" i="3" s="1"/>
  <c r="AA39" i="3"/>
  <c r="AL34" i="3"/>
  <c r="AK34" i="3"/>
  <c r="AE29" i="3"/>
  <c r="G4" i="6" s="1"/>
  <c r="AZ17" i="3"/>
  <c r="E126" i="5" s="1"/>
  <c r="F126" i="5" s="1"/>
  <c r="G126" i="5" s="1"/>
  <c r="H126" i="5" s="1"/>
  <c r="I126" i="5" s="1"/>
  <c r="J126" i="5" s="1"/>
  <c r="K126" i="5" s="1"/>
  <c r="L126" i="5" s="1"/>
  <c r="M126" i="5" s="1"/>
  <c r="N126" i="5" s="1"/>
  <c r="O126" i="5" s="1"/>
  <c r="P126" i="5" s="1"/>
  <c r="Q126" i="5" s="1"/>
  <c r="R126" i="5" s="1"/>
  <c r="S126" i="5" s="1"/>
  <c r="T126" i="5" s="1"/>
  <c r="U126" i="5" s="1"/>
  <c r="V126" i="5" s="1"/>
  <c r="W126" i="5" s="1"/>
  <c r="X126" i="5" s="1"/>
  <c r="Y126" i="5" s="1"/>
  <c r="Z126" i="5" s="1"/>
  <c r="AA126" i="5" s="1"/>
  <c r="AB126" i="5" s="1"/>
  <c r="AC126" i="5" s="1"/>
  <c r="AD126" i="5" s="1"/>
  <c r="AE126" i="5" s="1"/>
  <c r="AF126" i="5" s="1"/>
  <c r="AG126" i="5" s="1"/>
  <c r="AH126" i="5" s="1"/>
  <c r="AI126" i="5" s="1"/>
  <c r="BG12" i="3"/>
  <c r="AJ12" i="3"/>
  <c r="L34" i="12" s="1"/>
  <c r="E134" i="9"/>
  <c r="F134" i="9" s="1"/>
  <c r="C124" i="9"/>
  <c r="C123" i="9"/>
  <c r="C122" i="9"/>
  <c r="C121" i="9"/>
  <c r="C120" i="9"/>
  <c r="C119" i="9"/>
  <c r="C118" i="9"/>
  <c r="C96" i="9"/>
  <c r="C94" i="9"/>
  <c r="C93" i="9"/>
  <c r="S89" i="9"/>
  <c r="N89" i="9"/>
  <c r="N90" i="9" s="1"/>
  <c r="F89" i="9"/>
  <c r="K89" i="9" s="1"/>
  <c r="D89" i="9"/>
  <c r="C83" i="9"/>
  <c r="C82" i="9"/>
  <c r="C80" i="9"/>
  <c r="C79" i="9"/>
  <c r="C77" i="9"/>
  <c r="C76" i="9"/>
  <c r="C74" i="9"/>
  <c r="C73" i="9"/>
  <c r="C53" i="9"/>
  <c r="C52" i="9"/>
  <c r="C51" i="9"/>
  <c r="C50" i="9"/>
  <c r="C48" i="9"/>
  <c r="C47" i="9"/>
  <c r="C46" i="9"/>
  <c r="C45" i="9"/>
  <c r="C44" i="9"/>
  <c r="J31" i="9"/>
  <c r="J30" i="9"/>
  <c r="L29" i="9"/>
  <c r="J29" i="9"/>
  <c r="L28" i="9"/>
  <c r="J28" i="9"/>
  <c r="J27" i="9"/>
  <c r="L26" i="9"/>
  <c r="J26" i="9"/>
  <c r="L25" i="9"/>
  <c r="BU167" i="3" s="1"/>
  <c r="J25" i="9"/>
  <c r="Q24" i="9"/>
  <c r="Q23" i="9"/>
  <c r="Q22" i="9"/>
  <c r="Q21" i="9"/>
  <c r="Q20" i="9"/>
  <c r="Q19" i="9"/>
  <c r="Q18" i="9"/>
  <c r="Q17" i="9"/>
  <c r="Q16" i="9"/>
  <c r="Q15" i="9"/>
  <c r="Q14" i="9"/>
  <c r="Q13" i="9"/>
  <c r="Q12" i="9"/>
  <c r="Q11" i="9"/>
  <c r="Q10" i="9"/>
  <c r="C59" i="10"/>
  <c r="C51" i="10"/>
  <c r="K34" i="10"/>
  <c r="E27" i="10"/>
  <c r="F27" i="10" s="1"/>
  <c r="G27" i="10" s="1"/>
  <c r="H27" i="10" s="1"/>
  <c r="E4" i="13"/>
  <c r="F4" i="13" s="1"/>
  <c r="G4" i="13" s="1"/>
  <c r="H4" i="13" s="1"/>
  <c r="I4" i="13" s="1"/>
  <c r="J4" i="13" s="1"/>
  <c r="K4" i="13" s="1"/>
  <c r="L4" i="13" s="1"/>
  <c r="B95" i="22"/>
  <c r="B93" i="22"/>
  <c r="B92" i="22"/>
  <c r="D85" i="22"/>
  <c r="C57" i="22"/>
  <c r="A10" i="22"/>
  <c r="E56" i="11"/>
  <c r="E52" i="11"/>
  <c r="E48" i="11"/>
  <c r="C3" i="11"/>
  <c r="G120" i="5" l="1"/>
  <c r="H120" i="5" s="1"/>
  <c r="I120" i="5" s="1"/>
  <c r="J120" i="5" s="1"/>
  <c r="K120" i="5" s="1"/>
  <c r="L120" i="5" s="1"/>
  <c r="M120" i="5" s="1"/>
  <c r="N120" i="5" s="1"/>
  <c r="O120" i="5" s="1"/>
  <c r="P120" i="5" s="1"/>
  <c r="Q120" i="5" s="1"/>
  <c r="R120" i="5" s="1"/>
  <c r="S120" i="5" s="1"/>
  <c r="T120" i="5" s="1"/>
  <c r="U120" i="5" s="1"/>
  <c r="V120" i="5" s="1"/>
  <c r="W120" i="5" s="1"/>
  <c r="X120" i="5" s="1"/>
  <c r="Y120" i="5" s="1"/>
  <c r="Z120" i="5" s="1"/>
  <c r="AA120" i="5" s="1"/>
  <c r="AB120" i="5" s="1"/>
  <c r="AC120" i="5" s="1"/>
  <c r="AD120" i="5" s="1"/>
  <c r="AE120" i="5" s="1"/>
  <c r="AF120" i="5" s="1"/>
  <c r="AG120" i="5" s="1"/>
  <c r="AH120" i="5" s="1"/>
  <c r="AI120" i="5" s="1"/>
  <c r="C80" i="56"/>
  <c r="H31" i="56" s="1"/>
  <c r="C78" i="56"/>
  <c r="D7" i="48"/>
  <c r="E16" i="49"/>
  <c r="D13" i="48" s="1"/>
  <c r="C54" i="56"/>
  <c r="H8" i="56" s="1"/>
  <c r="H19" i="56"/>
  <c r="H16" i="56"/>
  <c r="H12" i="56"/>
  <c r="D10" i="48"/>
  <c r="E16" i="50"/>
  <c r="D14" i="48" s="1"/>
  <c r="AF23" i="27"/>
  <c r="AC23" i="27" s="1"/>
  <c r="Z23" i="27" s="1"/>
  <c r="D136" i="9"/>
  <c r="D144" i="9"/>
  <c r="O89" i="9"/>
  <c r="R113" i="9" s="1"/>
  <c r="D137" i="9"/>
  <c r="G58" i="47" s="1"/>
  <c r="D150" i="9"/>
  <c r="S58" i="47" s="1"/>
  <c r="D147" i="9"/>
  <c r="M58" i="47" s="1"/>
  <c r="G89" i="9"/>
  <c r="I89" i="9" s="1"/>
  <c r="J44" i="42"/>
  <c r="J51" i="42" s="1"/>
  <c r="J58" i="42" s="1"/>
  <c r="R44" i="42"/>
  <c r="R45" i="42" s="1"/>
  <c r="Z44" i="42"/>
  <c r="Z51" i="42" s="1"/>
  <c r="Z58" i="42" s="1"/>
  <c r="AH44" i="42"/>
  <c r="AH45" i="42" s="1"/>
  <c r="AP44" i="42"/>
  <c r="AP51" i="42" s="1"/>
  <c r="AP58" i="42" s="1"/>
  <c r="AX44" i="42"/>
  <c r="AX51" i="42" s="1"/>
  <c r="AX58" i="42" s="1"/>
  <c r="BF44" i="42"/>
  <c r="BF45" i="42" s="1"/>
  <c r="BN44" i="42"/>
  <c r="BN45" i="42" s="1"/>
  <c r="BV44" i="42"/>
  <c r="BV51" i="42" s="1"/>
  <c r="BV58" i="42" s="1"/>
  <c r="CD44" i="42"/>
  <c r="CD45" i="42" s="1"/>
  <c r="CL44" i="42"/>
  <c r="CL45" i="42" s="1"/>
  <c r="CT44" i="42"/>
  <c r="CT45" i="42" s="1"/>
  <c r="DB44" i="42"/>
  <c r="DB51" i="42" s="1"/>
  <c r="DB58" i="42" s="1"/>
  <c r="DJ44" i="42"/>
  <c r="DJ51" i="42" s="1"/>
  <c r="DJ58" i="42" s="1"/>
  <c r="DR44" i="42"/>
  <c r="DR45" i="42" s="1"/>
  <c r="L72" i="3"/>
  <c r="I68" i="22"/>
  <c r="C68" i="9"/>
  <c r="C113" i="9" s="1"/>
  <c r="K44" i="42"/>
  <c r="K45" i="42" s="1"/>
  <c r="S44" i="42"/>
  <c r="S51" i="42" s="1"/>
  <c r="S58" i="42" s="1"/>
  <c r="AA44" i="42"/>
  <c r="AA45" i="42" s="1"/>
  <c r="AI44" i="42"/>
  <c r="AI51" i="42" s="1"/>
  <c r="AI58" i="42" s="1"/>
  <c r="AQ44" i="42"/>
  <c r="AQ45" i="42" s="1"/>
  <c r="AY44" i="42"/>
  <c r="AY45" i="42" s="1"/>
  <c r="BG44" i="42"/>
  <c r="BG45" i="42" s="1"/>
  <c r="BO44" i="42"/>
  <c r="BO45" i="42" s="1"/>
  <c r="BW44" i="42"/>
  <c r="BW45" i="42" s="1"/>
  <c r="CE44" i="42"/>
  <c r="CE51" i="42" s="1"/>
  <c r="CE58" i="42" s="1"/>
  <c r="CM44" i="42"/>
  <c r="CM51" i="42" s="1"/>
  <c r="CM58" i="42" s="1"/>
  <c r="CU44" i="42"/>
  <c r="CU45" i="42" s="1"/>
  <c r="DC44" i="42"/>
  <c r="DC51" i="42" s="1"/>
  <c r="DC58" i="42" s="1"/>
  <c r="DK44" i="42"/>
  <c r="DK51" i="42" s="1"/>
  <c r="DK58" i="42" s="1"/>
  <c r="DS44" i="42"/>
  <c r="DS51" i="42" s="1"/>
  <c r="DS58" i="42" s="1"/>
  <c r="C69" i="9"/>
  <c r="C114" i="9" s="1"/>
  <c r="C57" i="9"/>
  <c r="C102" i="9" s="1"/>
  <c r="C62" i="9"/>
  <c r="C107" i="9" s="1"/>
  <c r="C71" i="9"/>
  <c r="C116" i="9" s="1"/>
  <c r="N10" i="9"/>
  <c r="N24" i="9"/>
  <c r="C59" i="9"/>
  <c r="C104" i="9" s="1"/>
  <c r="R14" i="40" a="1"/>
  <c r="R14" i="40" s="1"/>
  <c r="N20" i="9"/>
  <c r="B10" i="9"/>
  <c r="B11" i="9" s="1"/>
  <c r="B12" i="9" s="1"/>
  <c r="B13" i="9" s="1"/>
  <c r="B14" i="9" s="1"/>
  <c r="B15" i="9" s="1"/>
  <c r="B16" i="9" s="1"/>
  <c r="B17" i="9" s="1"/>
  <c r="B18" i="9" s="1"/>
  <c r="B19" i="9" s="1"/>
  <c r="E89" i="9"/>
  <c r="D90" i="9" s="1"/>
  <c r="J34" i="10"/>
  <c r="CR276" i="3"/>
  <c r="B34" i="25" s="1"/>
  <c r="I72" i="22"/>
  <c r="I73" i="22"/>
  <c r="AT82" i="38"/>
  <c r="N44" i="42"/>
  <c r="N45" i="42" s="1"/>
  <c r="V44" i="42"/>
  <c r="V45" i="42" s="1"/>
  <c r="I62" i="22"/>
  <c r="CR274" i="3"/>
  <c r="B32" i="25" s="1"/>
  <c r="V90" i="38"/>
  <c r="R26" i="40" a="1"/>
  <c r="R26" i="40" s="1"/>
  <c r="I74" i="22"/>
  <c r="N15" i="9"/>
  <c r="D3" i="11"/>
  <c r="L70" i="3"/>
  <c r="C85" i="22"/>
  <c r="N17" i="9"/>
  <c r="BL158" i="3"/>
  <c r="R18" i="40" a="1"/>
  <c r="R18" i="40" s="1"/>
  <c r="R32" i="40" a="1"/>
  <c r="R32" i="40" s="1"/>
  <c r="E136" i="9"/>
  <c r="AX127" i="38"/>
  <c r="AX136" i="38"/>
  <c r="AE72" i="3"/>
  <c r="I65" i="22"/>
  <c r="N16" i="9"/>
  <c r="AA63" i="3"/>
  <c r="AE16" i="3" s="1"/>
  <c r="AZ82" i="3" s="1"/>
  <c r="CI304" i="3"/>
  <c r="CI305" i="3" s="1"/>
  <c r="CI306" i="3" s="1"/>
  <c r="N11" i="9"/>
  <c r="R87" i="9"/>
  <c r="R88" i="9" s="1"/>
  <c r="R106" i="40" a="1"/>
  <c r="R106" i="40" s="1"/>
  <c r="G44" i="42"/>
  <c r="G45" i="42" s="1"/>
  <c r="O44" i="42"/>
  <c r="O51" i="42" s="1"/>
  <c r="O58" i="42" s="1"/>
  <c r="W44" i="42"/>
  <c r="W45" i="42" s="1"/>
  <c r="AE44" i="42"/>
  <c r="AE45" i="42" s="1"/>
  <c r="AM44" i="42"/>
  <c r="AM45" i="42" s="1"/>
  <c r="AU44" i="42"/>
  <c r="AU45" i="42" s="1"/>
  <c r="BC44" i="42"/>
  <c r="BC45" i="42" s="1"/>
  <c r="BK44" i="42"/>
  <c r="BK51" i="42" s="1"/>
  <c r="BK58" i="42" s="1"/>
  <c r="BS44" i="42"/>
  <c r="BS45" i="42" s="1"/>
  <c r="CA44" i="42"/>
  <c r="CA45" i="42" s="1"/>
  <c r="CI44" i="42"/>
  <c r="CI51" i="42" s="1"/>
  <c r="CI58" i="42" s="1"/>
  <c r="CQ44" i="42"/>
  <c r="CQ45" i="42" s="1"/>
  <c r="CY44" i="42"/>
  <c r="CY45" i="42" s="1"/>
  <c r="DG44" i="42"/>
  <c r="DG45" i="42" s="1"/>
  <c r="DO44" i="42"/>
  <c r="DO45" i="42" s="1"/>
  <c r="S39" i="41"/>
  <c r="N22" i="9"/>
  <c r="C63" i="9"/>
  <c r="C108" i="9" s="1"/>
  <c r="AJ39" i="5"/>
  <c r="AX93" i="38"/>
  <c r="H44" i="42"/>
  <c r="H51" i="42" s="1"/>
  <c r="H58" i="42" s="1"/>
  <c r="P44" i="42"/>
  <c r="P51" i="42" s="1"/>
  <c r="P58" i="42" s="1"/>
  <c r="X44" i="42"/>
  <c r="X51" i="42" s="1"/>
  <c r="X58" i="42" s="1"/>
  <c r="AF44" i="42"/>
  <c r="AF51" i="42" s="1"/>
  <c r="AF58" i="42" s="1"/>
  <c r="AN44" i="42"/>
  <c r="AN51" i="42" s="1"/>
  <c r="AN58" i="42" s="1"/>
  <c r="AV44" i="42"/>
  <c r="AV51" i="42" s="1"/>
  <c r="AV58" i="42" s="1"/>
  <c r="BD44" i="42"/>
  <c r="BD45" i="42" s="1"/>
  <c r="BL44" i="42"/>
  <c r="BL51" i="42" s="1"/>
  <c r="BL58" i="42" s="1"/>
  <c r="BT44" i="42"/>
  <c r="BT45" i="42" s="1"/>
  <c r="CB44" i="42"/>
  <c r="CB51" i="42" s="1"/>
  <c r="CB58" i="42" s="1"/>
  <c r="CJ44" i="42"/>
  <c r="CJ45" i="42" s="1"/>
  <c r="CR44" i="42"/>
  <c r="CR51" i="42" s="1"/>
  <c r="CR58" i="42" s="1"/>
  <c r="CZ44" i="42"/>
  <c r="CZ45" i="42" s="1"/>
  <c r="DH44" i="42"/>
  <c r="DH51" i="42" s="1"/>
  <c r="DH58" i="42" s="1"/>
  <c r="DP44" i="42"/>
  <c r="DP45" i="42" s="1"/>
  <c r="AX28" i="38"/>
  <c r="AL13" i="38" s="1"/>
  <c r="AX64" i="38"/>
  <c r="AX125" i="38"/>
  <c r="BH206" i="3"/>
  <c r="AX55" i="38"/>
  <c r="AX116" i="38"/>
  <c r="N19" i="9"/>
  <c r="AX68" i="3"/>
  <c r="AJ55" i="5"/>
  <c r="AE27" i="3"/>
  <c r="S87" i="9"/>
  <c r="S88" i="9" s="1"/>
  <c r="T89" i="9"/>
  <c r="AA41" i="3"/>
  <c r="R220" i="40" a="1"/>
  <c r="R220" i="40" s="1"/>
  <c r="BZ274" i="3"/>
  <c r="B21" i="25" s="1"/>
  <c r="AX48" i="38"/>
  <c r="V74" i="38"/>
  <c r="AX84" i="38"/>
  <c r="R92" i="40" a="1"/>
  <c r="R92" i="40" s="1"/>
  <c r="R246" i="40" a="1"/>
  <c r="R246" i="40" s="1"/>
  <c r="AT66" i="38"/>
  <c r="AX79" i="38"/>
  <c r="AX87" i="38"/>
  <c r="AH114" i="38"/>
  <c r="AT58" i="38"/>
  <c r="AX71" i="38"/>
  <c r="AT106" i="38"/>
  <c r="AX118" i="38"/>
  <c r="V138" i="38"/>
  <c r="C56" i="9"/>
  <c r="C101" i="9" s="1"/>
  <c r="R176" i="40" a="1"/>
  <c r="R176" i="40" s="1"/>
  <c r="E147" i="9"/>
  <c r="M59" i="47" s="1"/>
  <c r="DA284" i="3"/>
  <c r="DA283" i="3" s="1"/>
  <c r="DA282" i="3" s="1"/>
  <c r="DA304" i="3"/>
  <c r="DA305" i="3" s="1"/>
  <c r="DA306" i="3" s="1"/>
  <c r="AH50" i="38"/>
  <c r="AX96" i="38"/>
  <c r="V122" i="38"/>
  <c r="AT138" i="38"/>
  <c r="AX143" i="38"/>
  <c r="AF16" i="27"/>
  <c r="AC16" i="27" s="1"/>
  <c r="Z16" i="27" s="1"/>
  <c r="C72" i="9"/>
  <c r="C117" i="9" s="1"/>
  <c r="BZ302" i="3"/>
  <c r="B47" i="25" s="1"/>
  <c r="AF47" i="25" s="1"/>
  <c r="AF58" i="25" s="1"/>
  <c r="AH42" i="38"/>
  <c r="AX94" i="38"/>
  <c r="AT122" i="38"/>
  <c r="AX141" i="38"/>
  <c r="BZ276" i="3"/>
  <c r="B23" i="25" s="1"/>
  <c r="AT42" i="38"/>
  <c r="R66" i="40" a="1"/>
  <c r="R66" i="40" s="1"/>
  <c r="R294" i="40" a="1"/>
  <c r="R294" i="40" s="1"/>
  <c r="AO23" i="27"/>
  <c r="AR23" i="27" s="1"/>
  <c r="B33" i="27" a="1"/>
  <c r="B33" i="27" s="1"/>
  <c r="H7" i="5"/>
  <c r="E3" i="11"/>
  <c r="BM201" i="3"/>
  <c r="J64" i="22" s="1"/>
  <c r="BZ304" i="3"/>
  <c r="B49" i="25" s="1"/>
  <c r="B60" i="25" s="1"/>
  <c r="AX46" i="38"/>
  <c r="AX70" i="38"/>
  <c r="AX78" i="38"/>
  <c r="AX120" i="38"/>
  <c r="AH138" i="38"/>
  <c r="R478" i="40" a="1"/>
  <c r="R478" i="40" s="1"/>
  <c r="R68" i="17"/>
  <c r="AE71" i="3"/>
  <c r="V42" i="38"/>
  <c r="AX86" i="38"/>
  <c r="AX112" i="38"/>
  <c r="AT130" i="38"/>
  <c r="E345" i="40"/>
  <c r="E573" i="40"/>
  <c r="AJ33" i="5"/>
  <c r="E269" i="40"/>
  <c r="AJ45" i="5"/>
  <c r="N23" i="27"/>
  <c r="Q23" i="27" s="1"/>
  <c r="T23" i="27" s="1"/>
  <c r="M123" i="3"/>
  <c r="L129" i="3" s="1"/>
  <c r="AZ18" i="3"/>
  <c r="AX72" i="3"/>
  <c r="CI286" i="3"/>
  <c r="CI287" i="3" s="1"/>
  <c r="CI288" i="3" s="1"/>
  <c r="AT26" i="38"/>
  <c r="AH58" i="38"/>
  <c r="AH66" i="38"/>
  <c r="AX110" i="38"/>
  <c r="AX133" i="38"/>
  <c r="AJ35" i="5"/>
  <c r="AP22" i="3"/>
  <c r="AJ63" i="5"/>
  <c r="AT74" i="38"/>
  <c r="AH82" i="38"/>
  <c r="AT90" i="38"/>
  <c r="V106" i="38"/>
  <c r="AX128" i="38"/>
  <c r="AX144" i="38"/>
  <c r="R56" i="40" a="1"/>
  <c r="R56" i="40" s="1"/>
  <c r="E193" i="40"/>
  <c r="R364" i="40" a="1"/>
  <c r="R364" i="40" s="1"/>
  <c r="E497" i="40"/>
  <c r="R39" i="41"/>
  <c r="Q32" i="46"/>
  <c r="E150" i="9"/>
  <c r="S59" i="47" s="1"/>
  <c r="AX29" i="38"/>
  <c r="AL14" i="38" s="1"/>
  <c r="AT34" i="38"/>
  <c r="AX56" i="38"/>
  <c r="AX92" i="38"/>
  <c r="AH106" i="38"/>
  <c r="AX119" i="38"/>
  <c r="AX126" i="38"/>
  <c r="E41" i="40"/>
  <c r="R102" i="40" a="1"/>
  <c r="R102" i="40" s="1"/>
  <c r="R132" i="40" a="1"/>
  <c r="R132" i="40" s="1"/>
  <c r="R334" i="40" a="1"/>
  <c r="R334" i="40" s="1"/>
  <c r="AJ37" i="5"/>
  <c r="L44" i="42"/>
  <c r="L45" i="42" s="1"/>
  <c r="T44" i="42"/>
  <c r="T45" i="42" s="1"/>
  <c r="AB44" i="42"/>
  <c r="AB45" i="42" s="1"/>
  <c r="AJ44" i="42"/>
  <c r="AJ45" i="42" s="1"/>
  <c r="AR44" i="42"/>
  <c r="AR45" i="42" s="1"/>
  <c r="AZ44" i="42"/>
  <c r="AZ51" i="42" s="1"/>
  <c r="AZ58" i="42" s="1"/>
  <c r="BH44" i="42"/>
  <c r="BH45" i="42" s="1"/>
  <c r="BP44" i="42"/>
  <c r="BP45" i="42" s="1"/>
  <c r="BX44" i="42"/>
  <c r="BX51" i="42" s="1"/>
  <c r="BX58" i="42" s="1"/>
  <c r="CF44" i="42"/>
  <c r="CF51" i="42" s="1"/>
  <c r="CF58" i="42" s="1"/>
  <c r="CN44" i="42"/>
  <c r="CN45" i="42" s="1"/>
  <c r="CV44" i="42"/>
  <c r="CV45" i="42" s="1"/>
  <c r="DD44" i="42"/>
  <c r="DD45" i="42" s="1"/>
  <c r="DL44" i="42"/>
  <c r="DL45" i="42" s="1"/>
  <c r="DT44" i="42"/>
  <c r="DT51" i="42" s="1"/>
  <c r="DT58" i="42" s="1"/>
  <c r="BH203" i="3"/>
  <c r="AX77" i="38"/>
  <c r="AX85" i="38"/>
  <c r="AX95" i="38"/>
  <c r="AT98" i="38"/>
  <c r="AH122" i="38"/>
  <c r="AH130" i="38"/>
  <c r="E117" i="40"/>
  <c r="R320" i="40" a="1"/>
  <c r="R320" i="40" s="1"/>
  <c r="E421" i="40"/>
  <c r="M44" i="42"/>
  <c r="M51" i="42" s="1"/>
  <c r="M58" i="42" s="1"/>
  <c r="U44" i="42"/>
  <c r="U51" i="42" s="1"/>
  <c r="U58" i="42" s="1"/>
  <c r="AC44" i="42"/>
  <c r="AC51" i="42" s="1"/>
  <c r="AC58" i="42" s="1"/>
  <c r="AK44" i="42"/>
  <c r="AK51" i="42" s="1"/>
  <c r="AK58" i="42" s="1"/>
  <c r="AS44" i="42"/>
  <c r="AS51" i="42" s="1"/>
  <c r="AS58" i="42" s="1"/>
  <c r="BA44" i="42"/>
  <c r="BA45" i="42" s="1"/>
  <c r="BI44" i="42"/>
  <c r="BI51" i="42" s="1"/>
  <c r="BI58" i="42" s="1"/>
  <c r="BQ44" i="42"/>
  <c r="BQ45" i="42" s="1"/>
  <c r="BY44" i="42"/>
  <c r="BY45" i="42" s="1"/>
  <c r="CG44" i="42"/>
  <c r="CG51" i="42" s="1"/>
  <c r="CG58" i="42" s="1"/>
  <c r="CO44" i="42"/>
  <c r="CW44" i="42"/>
  <c r="CW51" i="42" s="1"/>
  <c r="CW58" i="42" s="1"/>
  <c r="DE44" i="42"/>
  <c r="DE51" i="42" s="1"/>
  <c r="DE58" i="42" s="1"/>
  <c r="DM44" i="42"/>
  <c r="DM51" i="42" s="1"/>
  <c r="DM58" i="42" s="1"/>
  <c r="DU44" i="42"/>
  <c r="DU51" i="42" s="1"/>
  <c r="DU58" i="42" s="1"/>
  <c r="AE69" i="3"/>
  <c r="B120" i="3"/>
  <c r="AX88" i="38"/>
  <c r="AX117" i="38"/>
  <c r="R438" i="40" a="1"/>
  <c r="R438" i="40" s="1"/>
  <c r="AJ31" i="5"/>
  <c r="AD44" i="42"/>
  <c r="AD45" i="42" s="1"/>
  <c r="AL44" i="42"/>
  <c r="AL45" i="42" s="1"/>
  <c r="AT44" i="42"/>
  <c r="AT45" i="42" s="1"/>
  <c r="BB44" i="42"/>
  <c r="BJ44" i="42"/>
  <c r="BJ45" i="42" s="1"/>
  <c r="BR44" i="42"/>
  <c r="BR45" i="42" s="1"/>
  <c r="BZ44" i="42"/>
  <c r="BZ45" i="42" s="1"/>
  <c r="CH44" i="42"/>
  <c r="CP44" i="42"/>
  <c r="CP45" i="42" s="1"/>
  <c r="CX44" i="42"/>
  <c r="CX45" i="42" s="1"/>
  <c r="DF44" i="42"/>
  <c r="DF45" i="42" s="1"/>
  <c r="DN44" i="42"/>
  <c r="DV44" i="42"/>
  <c r="DV45" i="42" s="1"/>
  <c r="R56" i="9"/>
  <c r="AH128" i="3"/>
  <c r="BM204" i="3"/>
  <c r="J67" i="22" s="1"/>
  <c r="BM205" i="3"/>
  <c r="J68" i="22" s="1"/>
  <c r="B9" i="22"/>
  <c r="AX31" i="38"/>
  <c r="AX32" i="38"/>
  <c r="AX30" i="38"/>
  <c r="V26" i="38"/>
  <c r="AX38" i="38"/>
  <c r="AX36" i="38"/>
  <c r="AH34" i="38"/>
  <c r="V34" i="38"/>
  <c r="AX44" i="38"/>
  <c r="AX45" i="38"/>
  <c r="AX52" i="38"/>
  <c r="AX53" i="38"/>
  <c r="V58" i="38"/>
  <c r="AX63" i="38"/>
  <c r="AX61" i="38"/>
  <c r="AX62" i="38"/>
  <c r="AX69" i="38"/>
  <c r="AX102" i="38"/>
  <c r="AH98" i="38"/>
  <c r="AX103" i="38"/>
  <c r="AX101" i="38"/>
  <c r="AX104" i="38"/>
  <c r="BH158" i="3"/>
  <c r="AE174" i="3"/>
  <c r="AE177" i="3" s="1"/>
  <c r="AF60" i="5"/>
  <c r="AV103" i="17" s="1"/>
  <c r="V64" i="5"/>
  <c r="R105" i="17" s="1"/>
  <c r="Q74" i="5"/>
  <c r="AV72" i="17" s="1"/>
  <c r="AB52" i="5"/>
  <c r="AJ94" i="17" s="1"/>
  <c r="H50" i="5"/>
  <c r="U53" i="17" s="1"/>
  <c r="J56" i="5"/>
  <c r="AA61" i="17" s="1"/>
  <c r="Y58" i="5"/>
  <c r="AA102" i="17" s="1"/>
  <c r="AG50" i="5"/>
  <c r="AY92" i="17" s="1"/>
  <c r="AD56" i="5"/>
  <c r="AP100" i="17" s="1"/>
  <c r="N48" i="5"/>
  <c r="AM54" i="17" s="1"/>
  <c r="AH48" i="5"/>
  <c r="BB93" i="17" s="1"/>
  <c r="O54" i="5"/>
  <c r="AP60" i="17" s="1"/>
  <c r="P60" i="5"/>
  <c r="AS64" i="17" s="1"/>
  <c r="F64" i="5"/>
  <c r="O66" i="17" s="1"/>
  <c r="I48" i="5"/>
  <c r="X54" i="17" s="1"/>
  <c r="F54" i="5"/>
  <c r="O60" i="17" s="1"/>
  <c r="U56" i="5"/>
  <c r="O100" i="17" s="1"/>
  <c r="M58" i="5"/>
  <c r="AJ63" i="17" s="1"/>
  <c r="R48" i="5"/>
  <c r="AY54" i="17" s="1"/>
  <c r="M50" i="5"/>
  <c r="AJ53" i="17" s="1"/>
  <c r="G52" i="5"/>
  <c r="R55" i="17" s="1"/>
  <c r="AA54" i="5"/>
  <c r="AG99" i="17" s="1"/>
  <c r="O62" i="5"/>
  <c r="AP65" i="17" s="1"/>
  <c r="AG74" i="5"/>
  <c r="AD48" i="5"/>
  <c r="AP93" i="17" s="1"/>
  <c r="X50" i="5"/>
  <c r="X92" i="17" s="1"/>
  <c r="P52" i="5"/>
  <c r="AS55" i="17" s="1"/>
  <c r="AE62" i="5"/>
  <c r="AS104" i="17" s="1"/>
  <c r="O166" i="3"/>
  <c r="O169" i="3" s="1"/>
  <c r="O167" i="3" s="1"/>
  <c r="AU166" i="3"/>
  <c r="AU169" i="3" s="1"/>
  <c r="AU167" i="3" s="1"/>
  <c r="W166" i="3"/>
  <c r="W169" i="3" s="1"/>
  <c r="W167" i="3" s="1"/>
  <c r="AE166" i="3"/>
  <c r="AE169" i="3" s="1"/>
  <c r="AE167" i="3" s="1"/>
  <c r="G8" i="42"/>
  <c r="G6" i="42" s="1"/>
  <c r="I27" i="10"/>
  <c r="CU291" i="3"/>
  <c r="CT291" i="3" s="1"/>
  <c r="CS291" i="3" s="1"/>
  <c r="CW291" i="3"/>
  <c r="CX291" i="3" s="1"/>
  <c r="CY291" i="3" s="1"/>
  <c r="BU168" i="3"/>
  <c r="BU176" i="3"/>
  <c r="E58" i="9"/>
  <c r="M58" i="9"/>
  <c r="I60" i="9"/>
  <c r="R60" i="9" s="1"/>
  <c r="E62" i="9"/>
  <c r="R62" i="9" s="1"/>
  <c r="F137" i="9"/>
  <c r="F153" i="9"/>
  <c r="Y60" i="47" s="1"/>
  <c r="F150" i="9"/>
  <c r="S60" i="47" s="1"/>
  <c r="F147" i="9"/>
  <c r="F144" i="9"/>
  <c r="F136" i="9"/>
  <c r="AM174" i="3"/>
  <c r="AM177" i="3" s="1"/>
  <c r="E50" i="9"/>
  <c r="R50" i="9" s="1"/>
  <c r="BM194" i="3"/>
  <c r="BH194" i="3"/>
  <c r="BM202" i="3"/>
  <c r="J65" i="22" s="1"/>
  <c r="BH204" i="3"/>
  <c r="BM206" i="3"/>
  <c r="J69" i="22" s="1"/>
  <c r="Q44" i="25"/>
  <c r="CE299" i="3"/>
  <c r="CC299" i="3"/>
  <c r="V66" i="38"/>
  <c r="AX68" i="38"/>
  <c r="AH74" i="38"/>
  <c r="AX80" i="38"/>
  <c r="R559" i="40" a="1"/>
  <c r="R559" i="40" s="1"/>
  <c r="R551" i="40" a="1"/>
  <c r="R551" i="40" s="1"/>
  <c r="R525" i="40" a="1"/>
  <c r="R525" i="40" s="1"/>
  <c r="R517" i="40" a="1"/>
  <c r="R517" i="40" s="1"/>
  <c r="R509" i="40" a="1"/>
  <c r="R509" i="40" s="1"/>
  <c r="R483" i="40" a="1"/>
  <c r="R483" i="40" s="1"/>
  <c r="R475" i="40" a="1"/>
  <c r="R475" i="40" s="1"/>
  <c r="R449" i="40" a="1"/>
  <c r="R449" i="40" s="1"/>
  <c r="R441" i="40" a="1"/>
  <c r="R441" i="40" s="1"/>
  <c r="R433" i="40" a="1"/>
  <c r="R433" i="40" s="1"/>
  <c r="R407" i="40" a="1"/>
  <c r="R407" i="40" s="1"/>
  <c r="R399" i="40" a="1"/>
  <c r="R399" i="40" s="1"/>
  <c r="R373" i="40" a="1"/>
  <c r="R373" i="40" s="1"/>
  <c r="R365" i="40" a="1"/>
  <c r="R365" i="40" s="1"/>
  <c r="R357" i="40" a="1"/>
  <c r="R357" i="40" s="1"/>
  <c r="R331" i="40" a="1"/>
  <c r="R331" i="40" s="1"/>
  <c r="R323" i="40" a="1"/>
  <c r="R323" i="40" s="1"/>
  <c r="R297" i="40" a="1"/>
  <c r="R297" i="40" s="1"/>
  <c r="R289" i="40" a="1"/>
  <c r="R289" i="40" s="1"/>
  <c r="R281" i="40" a="1"/>
  <c r="R281" i="40" s="1"/>
  <c r="R255" i="40" a="1"/>
  <c r="R255" i="40" s="1"/>
  <c r="R247" i="40" a="1"/>
  <c r="R247" i="40" s="1"/>
  <c r="R221" i="40" a="1"/>
  <c r="R221" i="40" s="1"/>
  <c r="R213" i="40" a="1"/>
  <c r="R213" i="40" s="1"/>
  <c r="R205" i="40" a="1"/>
  <c r="R205" i="40" s="1"/>
  <c r="R179" i="40" a="1"/>
  <c r="R179" i="40" s="1"/>
  <c r="R171" i="40" a="1"/>
  <c r="R171" i="40" s="1"/>
  <c r="R145" i="40" a="1"/>
  <c r="R145" i="40" s="1"/>
  <c r="R137" i="40" a="1"/>
  <c r="R137" i="40" s="1"/>
  <c r="R129" i="40" a="1"/>
  <c r="R129" i="40" s="1"/>
  <c r="R103" i="40" a="1"/>
  <c r="R103" i="40" s="1"/>
  <c r="R95" i="40" a="1"/>
  <c r="R95" i="40" s="1"/>
  <c r="R69" i="40" a="1"/>
  <c r="R69" i="40" s="1"/>
  <c r="R61" i="40" a="1"/>
  <c r="R61" i="40" s="1"/>
  <c r="R53" i="40" a="1"/>
  <c r="R53" i="40" s="1"/>
  <c r="R27" i="40" a="1"/>
  <c r="R27" i="40" s="1"/>
  <c r="R19" i="40" a="1"/>
  <c r="R19" i="40" s="1"/>
  <c r="R561" i="40" a="1"/>
  <c r="R561" i="40" s="1"/>
  <c r="R553" i="40" a="1"/>
  <c r="R553" i="40" s="1"/>
  <c r="R545" i="40" a="1"/>
  <c r="R545" i="40" s="1"/>
  <c r="R519" i="40" a="1"/>
  <c r="R519" i="40" s="1"/>
  <c r="R511" i="40" a="1"/>
  <c r="R511" i="40" s="1"/>
  <c r="R485" i="40" a="1"/>
  <c r="R485" i="40" s="1"/>
  <c r="R477" i="40" a="1"/>
  <c r="R477" i="40" s="1"/>
  <c r="R469" i="40" a="1"/>
  <c r="R469" i="40" s="1"/>
  <c r="R443" i="40" a="1"/>
  <c r="R443" i="40" s="1"/>
  <c r="R435" i="40" a="1"/>
  <c r="R435" i="40" s="1"/>
  <c r="R409" i="40" a="1"/>
  <c r="R409" i="40" s="1"/>
  <c r="R401" i="40" a="1"/>
  <c r="R401" i="40" s="1"/>
  <c r="R393" i="40" a="1"/>
  <c r="R393" i="40" s="1"/>
  <c r="R367" i="40" a="1"/>
  <c r="R367" i="40" s="1"/>
  <c r="R359" i="40" a="1"/>
  <c r="R359" i="40" s="1"/>
  <c r="R333" i="40" a="1"/>
  <c r="R333" i="40" s="1"/>
  <c r="R325" i="40" a="1"/>
  <c r="R325" i="40" s="1"/>
  <c r="R317" i="40" a="1"/>
  <c r="R317" i="40" s="1"/>
  <c r="R291" i="40" a="1"/>
  <c r="R291" i="40" s="1"/>
  <c r="R283" i="40" a="1"/>
  <c r="R283" i="40" s="1"/>
  <c r="R257" i="40" a="1"/>
  <c r="R257" i="40" s="1"/>
  <c r="R249" i="40" a="1"/>
  <c r="R249" i="40" s="1"/>
  <c r="R241" i="40" a="1"/>
  <c r="R241" i="40" s="1"/>
  <c r="R215" i="40" a="1"/>
  <c r="R215" i="40" s="1"/>
  <c r="R207" i="40" a="1"/>
  <c r="R207" i="40" s="1"/>
  <c r="R181" i="40" a="1"/>
  <c r="R181" i="40" s="1"/>
  <c r="R173" i="40" a="1"/>
  <c r="R173" i="40" s="1"/>
  <c r="R165" i="40" a="1"/>
  <c r="R165" i="40" s="1"/>
  <c r="R139" i="40" a="1"/>
  <c r="R139" i="40" s="1"/>
  <c r="R131" i="40" a="1"/>
  <c r="R131" i="40" s="1"/>
  <c r="R105" i="40" a="1"/>
  <c r="R105" i="40" s="1"/>
  <c r="R97" i="40" a="1"/>
  <c r="R97" i="40" s="1"/>
  <c r="R89" i="40" a="1"/>
  <c r="R89" i="40" s="1"/>
  <c r="R63" i="40" a="1"/>
  <c r="R63" i="40" s="1"/>
  <c r="R55" i="40" a="1"/>
  <c r="R55" i="40" s="1"/>
  <c r="R29" i="40" a="1"/>
  <c r="R29" i="40" s="1"/>
  <c r="R21" i="40" a="1"/>
  <c r="R21" i="40" s="1"/>
  <c r="R13" i="40" a="1"/>
  <c r="R13" i="40" s="1"/>
  <c r="R563" i="40" a="1"/>
  <c r="R563" i="40" s="1"/>
  <c r="R555" i="40" a="1"/>
  <c r="R555" i="40" s="1"/>
  <c r="R547" i="40" a="1"/>
  <c r="R547" i="40" s="1"/>
  <c r="R521" i="40" a="1"/>
  <c r="R521" i="40" s="1"/>
  <c r="R513" i="40" a="1"/>
  <c r="R513" i="40" s="1"/>
  <c r="R487" i="40" a="1"/>
  <c r="R487" i="40" s="1"/>
  <c r="R479" i="40" a="1"/>
  <c r="R479" i="40" s="1"/>
  <c r="R471" i="40" a="1"/>
  <c r="R471" i="40" s="1"/>
  <c r="R445" i="40" a="1"/>
  <c r="R445" i="40" s="1"/>
  <c r="R437" i="40" a="1"/>
  <c r="R437" i="40" s="1"/>
  <c r="R411" i="40" a="1"/>
  <c r="R411" i="40" s="1"/>
  <c r="R403" i="40" a="1"/>
  <c r="R403" i="40" s="1"/>
  <c r="R395" i="40" a="1"/>
  <c r="R395" i="40" s="1"/>
  <c r="R369" i="40" a="1"/>
  <c r="R369" i="40" s="1"/>
  <c r="R361" i="40" a="1"/>
  <c r="R361" i="40" s="1"/>
  <c r="R335" i="40" a="1"/>
  <c r="R335" i="40" s="1"/>
  <c r="R327" i="40" a="1"/>
  <c r="R327" i="40" s="1"/>
  <c r="R319" i="40" a="1"/>
  <c r="R319" i="40" s="1"/>
  <c r="R293" i="40" a="1"/>
  <c r="R293" i="40" s="1"/>
  <c r="R285" i="40" a="1"/>
  <c r="R285" i="40" s="1"/>
  <c r="R259" i="40" a="1"/>
  <c r="R259" i="40" s="1"/>
  <c r="R251" i="40" a="1"/>
  <c r="R251" i="40" s="1"/>
  <c r="R243" i="40" a="1"/>
  <c r="R243" i="40" s="1"/>
  <c r="R217" i="40" a="1"/>
  <c r="R217" i="40" s="1"/>
  <c r="R209" i="40" a="1"/>
  <c r="R209" i="40" s="1"/>
  <c r="R183" i="40" a="1"/>
  <c r="R183" i="40" s="1"/>
  <c r="R175" i="40" a="1"/>
  <c r="R175" i="40" s="1"/>
  <c r="R167" i="40" a="1"/>
  <c r="R167" i="40" s="1"/>
  <c r="R141" i="40" a="1"/>
  <c r="R141" i="40" s="1"/>
  <c r="R133" i="40" a="1"/>
  <c r="R133" i="40" s="1"/>
  <c r="R107" i="40" a="1"/>
  <c r="R107" i="40" s="1"/>
  <c r="R99" i="40" a="1"/>
  <c r="R99" i="40" s="1"/>
  <c r="R91" i="40" a="1"/>
  <c r="R91" i="40" s="1"/>
  <c r="R65" i="40" a="1"/>
  <c r="R65" i="40" s="1"/>
  <c r="R57" i="40" a="1"/>
  <c r="R57" i="40" s="1"/>
  <c r="R31" i="40" a="1"/>
  <c r="R31" i="40" s="1"/>
  <c r="R23" i="40" a="1"/>
  <c r="R23" i="40" s="1"/>
  <c r="R15" i="40" a="1"/>
  <c r="R15" i="40" s="1"/>
  <c r="R560" i="40" a="1"/>
  <c r="R560" i="40" s="1"/>
  <c r="R552" i="40" a="1"/>
  <c r="R552" i="40" s="1"/>
  <c r="R526" i="40" a="1"/>
  <c r="R526" i="40" s="1"/>
  <c r="R518" i="40" a="1"/>
  <c r="R518" i="40" s="1"/>
  <c r="R510" i="40" a="1"/>
  <c r="R510" i="40" s="1"/>
  <c r="R484" i="40" a="1"/>
  <c r="R484" i="40" s="1"/>
  <c r="R476" i="40" a="1"/>
  <c r="R476" i="40" s="1"/>
  <c r="R450" i="40" a="1"/>
  <c r="R450" i="40" s="1"/>
  <c r="R442" i="40" a="1"/>
  <c r="R442" i="40" s="1"/>
  <c r="R434" i="40" a="1"/>
  <c r="R434" i="40" s="1"/>
  <c r="R408" i="40" a="1"/>
  <c r="R408" i="40" s="1"/>
  <c r="R400" i="40" a="1"/>
  <c r="R400" i="40" s="1"/>
  <c r="R374" i="40" a="1"/>
  <c r="R374" i="40" s="1"/>
  <c r="R366" i="40" a="1"/>
  <c r="R366" i="40" s="1"/>
  <c r="R358" i="40" a="1"/>
  <c r="R358" i="40" s="1"/>
  <c r="R332" i="40" a="1"/>
  <c r="R332" i="40" s="1"/>
  <c r="R324" i="40" a="1"/>
  <c r="R324" i="40" s="1"/>
  <c r="R298" i="40" a="1"/>
  <c r="R298" i="40" s="1"/>
  <c r="R290" i="40" a="1"/>
  <c r="R290" i="40" s="1"/>
  <c r="R282" i="40" a="1"/>
  <c r="R282" i="40" s="1"/>
  <c r="R256" i="40" a="1"/>
  <c r="R256" i="40" s="1"/>
  <c r="R248" i="40" a="1"/>
  <c r="R248" i="40" s="1"/>
  <c r="R222" i="40" a="1"/>
  <c r="R222" i="40" s="1"/>
  <c r="R214" i="40" a="1"/>
  <c r="R214" i="40" s="1"/>
  <c r="R206" i="40" a="1"/>
  <c r="R206" i="40" s="1"/>
  <c r="R180" i="40" a="1"/>
  <c r="R180" i="40" s="1"/>
  <c r="R172" i="40" a="1"/>
  <c r="R172" i="40" s="1"/>
  <c r="R146" i="40" a="1"/>
  <c r="R146" i="40" s="1"/>
  <c r="R138" i="40" a="1"/>
  <c r="R138" i="40" s="1"/>
  <c r="R130" i="40" a="1"/>
  <c r="R130" i="40" s="1"/>
  <c r="R104" i="40" a="1"/>
  <c r="R104" i="40" s="1"/>
  <c r="R96" i="40" a="1"/>
  <c r="R96" i="40" s="1"/>
  <c r="R70" i="40" a="1"/>
  <c r="R70" i="40" s="1"/>
  <c r="R62" i="40" a="1"/>
  <c r="R62" i="40" s="1"/>
  <c r="R54" i="40" a="1"/>
  <c r="R54" i="40" s="1"/>
  <c r="R28" i="40" a="1"/>
  <c r="R28" i="40" s="1"/>
  <c r="R20" i="40" a="1"/>
  <c r="R20" i="40" s="1"/>
  <c r="R557" i="40" a="1"/>
  <c r="R557" i="40" s="1"/>
  <c r="R549" i="40" a="1"/>
  <c r="R549" i="40" s="1"/>
  <c r="R523" i="40" a="1"/>
  <c r="R523" i="40" s="1"/>
  <c r="R515" i="40" a="1"/>
  <c r="R515" i="40" s="1"/>
  <c r="R507" i="40" a="1"/>
  <c r="R507" i="40" s="1"/>
  <c r="R481" i="40" a="1"/>
  <c r="R481" i="40" s="1"/>
  <c r="R473" i="40" a="1"/>
  <c r="R473" i="40" s="1"/>
  <c r="R447" i="40" a="1"/>
  <c r="R447" i="40" s="1"/>
  <c r="R439" i="40" a="1"/>
  <c r="R439" i="40" s="1"/>
  <c r="R431" i="40" a="1"/>
  <c r="R431" i="40" s="1"/>
  <c r="R405" i="40" a="1"/>
  <c r="R405" i="40" s="1"/>
  <c r="R397" i="40" a="1"/>
  <c r="R397" i="40" s="1"/>
  <c r="R371" i="40" a="1"/>
  <c r="R371" i="40" s="1"/>
  <c r="R363" i="40" a="1"/>
  <c r="R363" i="40" s="1"/>
  <c r="R355" i="40" a="1"/>
  <c r="R355" i="40" s="1"/>
  <c r="R329" i="40" a="1"/>
  <c r="R329" i="40" s="1"/>
  <c r="R321" i="40" a="1"/>
  <c r="R321" i="40" s="1"/>
  <c r="R295" i="40" a="1"/>
  <c r="R295" i="40" s="1"/>
  <c r="R287" i="40" a="1"/>
  <c r="R287" i="40" s="1"/>
  <c r="R279" i="40" a="1"/>
  <c r="R279" i="40" s="1"/>
  <c r="R253" i="40" a="1"/>
  <c r="R253" i="40" s="1"/>
  <c r="R245" i="40" a="1"/>
  <c r="R245" i="40" s="1"/>
  <c r="R219" i="40" a="1"/>
  <c r="R219" i="40" s="1"/>
  <c r="R211" i="40" a="1"/>
  <c r="R211" i="40" s="1"/>
  <c r="R203" i="40" a="1"/>
  <c r="R203" i="40" s="1"/>
  <c r="R177" i="40" a="1"/>
  <c r="R177" i="40" s="1"/>
  <c r="R169" i="40" a="1"/>
  <c r="R169" i="40" s="1"/>
  <c r="R143" i="40" a="1"/>
  <c r="R143" i="40" s="1"/>
  <c r="R135" i="40" a="1"/>
  <c r="R135" i="40" s="1"/>
  <c r="R127" i="40" a="1"/>
  <c r="R127" i="40" s="1"/>
  <c r="R101" i="40" a="1"/>
  <c r="R101" i="40" s="1"/>
  <c r="R93" i="40" a="1"/>
  <c r="R93" i="40" s="1"/>
  <c r="R67" i="40" a="1"/>
  <c r="R67" i="40" s="1"/>
  <c r="R59" i="40" a="1"/>
  <c r="R59" i="40" s="1"/>
  <c r="R51" i="40" a="1"/>
  <c r="R51" i="40" s="1"/>
  <c r="R25" i="40" a="1"/>
  <c r="R25" i="40" s="1"/>
  <c r="R17" i="40" a="1"/>
  <c r="R17" i="40" s="1"/>
  <c r="R58" i="40" a="1"/>
  <c r="R58" i="40" s="1"/>
  <c r="R98" i="40" a="1"/>
  <c r="R98" i="40" s="1"/>
  <c r="R128" i="40" a="1"/>
  <c r="R128" i="40" s="1"/>
  <c r="R216" i="40" a="1"/>
  <c r="R216" i="40" s="1"/>
  <c r="R242" i="40" a="1"/>
  <c r="R242" i="40" s="1"/>
  <c r="R260" i="40" a="1"/>
  <c r="R260" i="40" s="1"/>
  <c r="E307" i="40"/>
  <c r="R330" i="40" a="1"/>
  <c r="R330" i="40" s="1"/>
  <c r="R360" i="40" a="1"/>
  <c r="R360" i="40" s="1"/>
  <c r="R404" i="40" a="1"/>
  <c r="R404" i="40" s="1"/>
  <c r="R448" i="40" a="1"/>
  <c r="R448" i="40" s="1"/>
  <c r="R474" i="40" a="1"/>
  <c r="R474" i="40" s="1"/>
  <c r="R522" i="40" a="1"/>
  <c r="R522" i="40" s="1"/>
  <c r="R548" i="40" a="1"/>
  <c r="R548" i="40" s="1"/>
  <c r="R562" i="40" a="1"/>
  <c r="R562" i="40" s="1"/>
  <c r="D163" i="5"/>
  <c r="E8" i="5"/>
  <c r="R36" i="9"/>
  <c r="AC11" i="15"/>
  <c r="E17" i="31"/>
  <c r="D57" i="9"/>
  <c r="R57" i="9" s="1"/>
  <c r="H59" i="9"/>
  <c r="R59" i="9" s="1"/>
  <c r="D61" i="9"/>
  <c r="R61" i="9" s="1"/>
  <c r="G134" i="9"/>
  <c r="E153" i="9"/>
  <c r="Y59" i="47" s="1"/>
  <c r="AF15" i="6"/>
  <c r="AG94" i="5" s="1"/>
  <c r="X15" i="6"/>
  <c r="Y94" i="5" s="1"/>
  <c r="P15" i="6"/>
  <c r="Q94" i="5" s="1"/>
  <c r="H15" i="6"/>
  <c r="AE15" i="6"/>
  <c r="AF94" i="5" s="1"/>
  <c r="W15" i="6"/>
  <c r="O15" i="6"/>
  <c r="P94" i="5" s="1"/>
  <c r="G15" i="6"/>
  <c r="AD15" i="6"/>
  <c r="AE94" i="5" s="1"/>
  <c r="V15" i="6"/>
  <c r="W94" i="5" s="1"/>
  <c r="N15" i="6"/>
  <c r="O94" i="5" s="1"/>
  <c r="F15" i="6"/>
  <c r="AC15" i="6"/>
  <c r="AD94" i="5" s="1"/>
  <c r="U15" i="6"/>
  <c r="V94" i="5" s="1"/>
  <c r="M15" i="6"/>
  <c r="E15" i="6"/>
  <c r="AB15" i="6"/>
  <c r="AC94" i="5" s="1"/>
  <c r="T15" i="6"/>
  <c r="U94" i="5" s="1"/>
  <c r="L15" i="6"/>
  <c r="D15" i="6"/>
  <c r="AA15" i="6"/>
  <c r="AB94" i="5" s="1"/>
  <c r="K15" i="6"/>
  <c r="AH15" i="6"/>
  <c r="AI94" i="5" s="1"/>
  <c r="Z15" i="6"/>
  <c r="AA94" i="5" s="1"/>
  <c r="R15" i="6"/>
  <c r="S94" i="5" s="1"/>
  <c r="J15" i="6"/>
  <c r="AG15" i="6"/>
  <c r="Y15" i="6"/>
  <c r="Z94" i="5" s="1"/>
  <c r="Q15" i="6"/>
  <c r="R94" i="5" s="1"/>
  <c r="I15" i="6"/>
  <c r="AA166" i="3"/>
  <c r="AA169" i="3" s="1"/>
  <c r="AA167" i="3" s="1"/>
  <c r="AY166" i="3"/>
  <c r="AY169" i="3" s="1"/>
  <c r="AY167" i="3" s="1"/>
  <c r="S166" i="3"/>
  <c r="S169" i="3" s="1"/>
  <c r="S167" i="3" s="1"/>
  <c r="AQ166" i="3"/>
  <c r="AQ169" i="3" s="1"/>
  <c r="AQ167" i="3" s="1"/>
  <c r="K166" i="3"/>
  <c r="K170" i="3" s="1"/>
  <c r="K191" i="3" s="1"/>
  <c r="AM166" i="3"/>
  <c r="AM169" i="3" s="1"/>
  <c r="AM167" i="3" s="1"/>
  <c r="AI166" i="3"/>
  <c r="AI169" i="3" s="1"/>
  <c r="AI167" i="3" s="1"/>
  <c r="CU271" i="3"/>
  <c r="CT271" i="3" s="1"/>
  <c r="CS271" i="3" s="1"/>
  <c r="CW271" i="3"/>
  <c r="CX271" i="3" s="1"/>
  <c r="CY271" i="3" s="1"/>
  <c r="BZ286" i="3"/>
  <c r="Q96" i="25"/>
  <c r="CC291" i="3"/>
  <c r="CE291" i="3"/>
  <c r="DF299" i="3"/>
  <c r="DG299" i="3" s="1"/>
  <c r="DH299" i="3" s="1"/>
  <c r="DD299" i="3"/>
  <c r="DC299" i="3" s="1"/>
  <c r="DB299" i="3" s="1"/>
  <c r="AF48" i="25"/>
  <c r="AF59" i="25" s="1"/>
  <c r="B59" i="25"/>
  <c r="AH26" i="38"/>
  <c r="AT50" i="38"/>
  <c r="V114" i="38"/>
  <c r="AX124" i="38"/>
  <c r="R24" i="40" a="1"/>
  <c r="R24" i="40" s="1"/>
  <c r="R68" i="40" a="1"/>
  <c r="R68" i="40" s="1"/>
  <c r="R94" i="40" a="1"/>
  <c r="R94" i="40" s="1"/>
  <c r="R142" i="40" a="1"/>
  <c r="R142" i="40" s="1"/>
  <c r="R168" i="40" a="1"/>
  <c r="R168" i="40" s="1"/>
  <c r="R182" i="40" a="1"/>
  <c r="R182" i="40" s="1"/>
  <c r="R212" i="40" a="1"/>
  <c r="R212" i="40" s="1"/>
  <c r="R286" i="40" a="1"/>
  <c r="R286" i="40" s="1"/>
  <c r="R326" i="40" a="1"/>
  <c r="R326" i="40" s="1"/>
  <c r="R356" i="40" a="1"/>
  <c r="R356" i="40" s="1"/>
  <c r="R444" i="40" a="1"/>
  <c r="R444" i="40" s="1"/>
  <c r="R470" i="40" a="1"/>
  <c r="R470" i="40" s="1"/>
  <c r="R488" i="40" a="1"/>
  <c r="R488" i="40" s="1"/>
  <c r="E535" i="40"/>
  <c r="R558" i="40" a="1"/>
  <c r="R558" i="40" s="1"/>
  <c r="E79" i="40"/>
  <c r="C60" i="9"/>
  <c r="C105" i="9" s="1"/>
  <c r="C64" i="9"/>
  <c r="C109" i="9" s="1"/>
  <c r="C70" i="9"/>
  <c r="C115" i="9" s="1"/>
  <c r="F47" i="5"/>
  <c r="G47" i="5" s="1"/>
  <c r="H47" i="5" s="1"/>
  <c r="I47" i="5" s="1"/>
  <c r="J47" i="5" s="1"/>
  <c r="K47" i="5" s="1"/>
  <c r="L47" i="5" s="1"/>
  <c r="M47" i="5" s="1"/>
  <c r="N47" i="5" s="1"/>
  <c r="O47" i="5" s="1"/>
  <c r="P47" i="5" s="1"/>
  <c r="Q47" i="5" s="1"/>
  <c r="R47" i="5" s="1"/>
  <c r="S47" i="5" s="1"/>
  <c r="T47" i="5" s="1"/>
  <c r="U47" i="5" s="1"/>
  <c r="V47" i="5" s="1"/>
  <c r="W47" i="5" s="1"/>
  <c r="X47" i="5" s="1"/>
  <c r="Y47" i="5" s="1"/>
  <c r="Z47" i="5" s="1"/>
  <c r="AA47" i="5" s="1"/>
  <c r="AB47" i="5" s="1"/>
  <c r="AC47" i="5" s="1"/>
  <c r="AD47" i="5" s="1"/>
  <c r="AE47" i="5" s="1"/>
  <c r="AF47" i="5" s="1"/>
  <c r="AG47" i="5" s="1"/>
  <c r="AH47" i="5" s="1"/>
  <c r="AI47" i="5" s="1"/>
  <c r="F45" i="5"/>
  <c r="G45" i="5" s="1"/>
  <c r="H45" i="5" s="1"/>
  <c r="I45" i="5" s="1"/>
  <c r="J45" i="5" s="1"/>
  <c r="K45" i="5" s="1"/>
  <c r="L45" i="5" s="1"/>
  <c r="M45" i="5" s="1"/>
  <c r="N45" i="5" s="1"/>
  <c r="O45" i="5" s="1"/>
  <c r="P45" i="5" s="1"/>
  <c r="Q45" i="5" s="1"/>
  <c r="R45" i="5" s="1"/>
  <c r="S45" i="5" s="1"/>
  <c r="T45" i="5" s="1"/>
  <c r="U45" i="5" s="1"/>
  <c r="V45" i="5" s="1"/>
  <c r="W45" i="5" s="1"/>
  <c r="X45" i="5" s="1"/>
  <c r="Y45" i="5" s="1"/>
  <c r="Z45" i="5" s="1"/>
  <c r="AA45" i="5" s="1"/>
  <c r="AB45" i="5" s="1"/>
  <c r="AC45" i="5" s="1"/>
  <c r="AD45" i="5" s="1"/>
  <c r="AE45" i="5" s="1"/>
  <c r="AF45" i="5" s="1"/>
  <c r="AG45" i="5" s="1"/>
  <c r="AH45" i="5" s="1"/>
  <c r="AI45" i="5" s="1"/>
  <c r="F43" i="5"/>
  <c r="G43" i="5" s="1"/>
  <c r="H43" i="5" s="1"/>
  <c r="I43" i="5" s="1"/>
  <c r="J43" i="5" s="1"/>
  <c r="K43" i="5" s="1"/>
  <c r="L43" i="5" s="1"/>
  <c r="M43" i="5" s="1"/>
  <c r="N43" i="5" s="1"/>
  <c r="O43" i="5" s="1"/>
  <c r="P43" i="5" s="1"/>
  <c r="Q43" i="5" s="1"/>
  <c r="R43" i="5" s="1"/>
  <c r="S43" i="5" s="1"/>
  <c r="T43" i="5" s="1"/>
  <c r="U43" i="5" s="1"/>
  <c r="V43" i="5" s="1"/>
  <c r="W43" i="5" s="1"/>
  <c r="X43" i="5" s="1"/>
  <c r="Y43" i="5" s="1"/>
  <c r="Z43" i="5" s="1"/>
  <c r="AA43" i="5" s="1"/>
  <c r="AB43" i="5" s="1"/>
  <c r="AC43" i="5" s="1"/>
  <c r="AD43" i="5" s="1"/>
  <c r="AE43" i="5" s="1"/>
  <c r="AF43" i="5" s="1"/>
  <c r="AG43" i="5" s="1"/>
  <c r="AH43" i="5" s="1"/>
  <c r="AI43" i="5" s="1"/>
  <c r="F41" i="5"/>
  <c r="G41" i="5" s="1"/>
  <c r="H41" i="5" s="1"/>
  <c r="I41" i="5" s="1"/>
  <c r="J41" i="5" s="1"/>
  <c r="K41" i="5" s="1"/>
  <c r="L41" i="5" s="1"/>
  <c r="M41" i="5" s="1"/>
  <c r="N41" i="5" s="1"/>
  <c r="O41" i="5" s="1"/>
  <c r="P41" i="5" s="1"/>
  <c r="Q41" i="5" s="1"/>
  <c r="R41" i="5" s="1"/>
  <c r="S41" i="5" s="1"/>
  <c r="T41" i="5" s="1"/>
  <c r="U41" i="5" s="1"/>
  <c r="V41" i="5" s="1"/>
  <c r="W41" i="5" s="1"/>
  <c r="X41" i="5" s="1"/>
  <c r="Y41" i="5" s="1"/>
  <c r="Z41" i="5" s="1"/>
  <c r="AA41" i="5" s="1"/>
  <c r="AB41" i="5" s="1"/>
  <c r="AC41" i="5" s="1"/>
  <c r="AD41" i="5" s="1"/>
  <c r="AE41" i="5" s="1"/>
  <c r="AF41" i="5" s="1"/>
  <c r="AG41" i="5" s="1"/>
  <c r="AH41" i="5" s="1"/>
  <c r="AI41" i="5" s="1"/>
  <c r="F39" i="5"/>
  <c r="G39" i="5" s="1"/>
  <c r="H39" i="5" s="1"/>
  <c r="I39" i="5" s="1"/>
  <c r="J39" i="5" s="1"/>
  <c r="K39" i="5" s="1"/>
  <c r="L39" i="5" s="1"/>
  <c r="M39" i="5" s="1"/>
  <c r="N39" i="5" s="1"/>
  <c r="O39" i="5" s="1"/>
  <c r="P39" i="5" s="1"/>
  <c r="Q39" i="5" s="1"/>
  <c r="R39" i="5" s="1"/>
  <c r="S39" i="5" s="1"/>
  <c r="T39" i="5" s="1"/>
  <c r="U39" i="5" s="1"/>
  <c r="V39" i="5" s="1"/>
  <c r="W39" i="5" s="1"/>
  <c r="X39" i="5" s="1"/>
  <c r="Y39" i="5" s="1"/>
  <c r="Z39" i="5" s="1"/>
  <c r="AA39" i="5" s="1"/>
  <c r="AB39" i="5" s="1"/>
  <c r="AC39" i="5" s="1"/>
  <c r="AD39" i="5" s="1"/>
  <c r="AE39" i="5" s="1"/>
  <c r="AF39" i="5" s="1"/>
  <c r="AG39" i="5" s="1"/>
  <c r="AH39" i="5" s="1"/>
  <c r="AI39" i="5" s="1"/>
  <c r="BM200" i="3"/>
  <c r="J63" i="22" s="1"/>
  <c r="BH200" i="3"/>
  <c r="BH201" i="3"/>
  <c r="BM203" i="3"/>
  <c r="J66" i="22" s="1"/>
  <c r="BH205" i="3"/>
  <c r="BM207" i="3"/>
  <c r="J70" i="22" s="1"/>
  <c r="BH207" i="3"/>
  <c r="CW281" i="3"/>
  <c r="CX281" i="3" s="1"/>
  <c r="CY281" i="3" s="1"/>
  <c r="CU281" i="3"/>
  <c r="CT281" i="3" s="1"/>
  <c r="CS281" i="3" s="1"/>
  <c r="BZ284" i="3"/>
  <c r="DD291" i="3"/>
  <c r="DC291" i="3" s="1"/>
  <c r="DB291" i="3" s="1"/>
  <c r="DF291" i="3"/>
  <c r="DG291" i="3" s="1"/>
  <c r="DH291" i="3" s="1"/>
  <c r="AX39" i="38"/>
  <c r="AX76" i="38"/>
  <c r="AX108" i="38"/>
  <c r="AX111" i="38"/>
  <c r="AX134" i="38"/>
  <c r="R64" i="40" a="1"/>
  <c r="R64" i="40" s="1"/>
  <c r="R90" i="40" a="1"/>
  <c r="R90" i="40" s="1"/>
  <c r="R108" i="40" a="1"/>
  <c r="R108" i="40" s="1"/>
  <c r="E155" i="40"/>
  <c r="R178" i="40" a="1"/>
  <c r="R178" i="40" s="1"/>
  <c r="R208" i="40" a="1"/>
  <c r="R208" i="40" s="1"/>
  <c r="R252" i="40" a="1"/>
  <c r="R252" i="40" s="1"/>
  <c r="R296" i="40" a="1"/>
  <c r="R296" i="40" s="1"/>
  <c r="R322" i="40" a="1"/>
  <c r="R322" i="40" s="1"/>
  <c r="R370" i="40" a="1"/>
  <c r="R370" i="40" s="1"/>
  <c r="R396" i="40" a="1"/>
  <c r="R396" i="40" s="1"/>
  <c r="R410" i="40" a="1"/>
  <c r="R410" i="40" s="1"/>
  <c r="R440" i="40" a="1"/>
  <c r="R440" i="40" s="1"/>
  <c r="R514" i="40" a="1"/>
  <c r="R514" i="40" s="1"/>
  <c r="R554" i="40" a="1"/>
  <c r="R554" i="40" s="1"/>
  <c r="CN281" i="3"/>
  <c r="CO281" i="3" s="1"/>
  <c r="CP281" i="3" s="1"/>
  <c r="CL281" i="3"/>
  <c r="CK281" i="3" s="1"/>
  <c r="CJ281" i="3" s="1"/>
  <c r="BC167" i="3"/>
  <c r="E137" i="9"/>
  <c r="E144" i="9"/>
  <c r="K188" i="3"/>
  <c r="O185" i="3"/>
  <c r="K186" i="3"/>
  <c r="D42" i="9" s="1"/>
  <c r="D41" i="9" s="1"/>
  <c r="Q18" i="25"/>
  <c r="Q29" i="25" s="1"/>
  <c r="CC271" i="3"/>
  <c r="CE271" i="3"/>
  <c r="CN299" i="3"/>
  <c r="CO299" i="3" s="1"/>
  <c r="CP299" i="3" s="1"/>
  <c r="CL299" i="3"/>
  <c r="CK299" i="3" s="1"/>
  <c r="CJ299" i="3" s="1"/>
  <c r="CR304" i="3"/>
  <c r="CR305" i="3" s="1"/>
  <c r="CR306" i="3" s="1"/>
  <c r="CR302" i="3"/>
  <c r="CR301" i="3" s="1"/>
  <c r="CR300" i="3" s="1"/>
  <c r="V82" i="38"/>
  <c r="V98" i="38"/>
  <c r="AX109" i="38"/>
  <c r="R16" i="40" a="1"/>
  <c r="R16" i="40" s="1"/>
  <c r="R30" i="40" a="1"/>
  <c r="R30" i="40" s="1"/>
  <c r="R60" i="40" a="1"/>
  <c r="R60" i="40" s="1"/>
  <c r="R134" i="40" a="1"/>
  <c r="R134" i="40" s="1"/>
  <c r="R174" i="40" a="1"/>
  <c r="R174" i="40" s="1"/>
  <c r="R204" i="40" a="1"/>
  <c r="R204" i="40" s="1"/>
  <c r="R292" i="40" a="1"/>
  <c r="R292" i="40" s="1"/>
  <c r="R318" i="40" a="1"/>
  <c r="R318" i="40" s="1"/>
  <c r="R336" i="40" a="1"/>
  <c r="R336" i="40" s="1"/>
  <c r="E383" i="40"/>
  <c r="R406" i="40" a="1"/>
  <c r="R406" i="40" s="1"/>
  <c r="R436" i="40" a="1"/>
  <c r="R436" i="40" s="1"/>
  <c r="R480" i="40" a="1"/>
  <c r="R480" i="40" s="1"/>
  <c r="R524" i="40" a="1"/>
  <c r="R524" i="40" s="1"/>
  <c r="R550" i="40" a="1"/>
  <c r="R550" i="40" s="1"/>
  <c r="F31" i="5"/>
  <c r="G31" i="5" s="1"/>
  <c r="H31" i="5" s="1"/>
  <c r="I31" i="5" s="1"/>
  <c r="J31" i="5" s="1"/>
  <c r="K31" i="5" s="1"/>
  <c r="L31" i="5" s="1"/>
  <c r="M31" i="5" s="1"/>
  <c r="N31" i="5" s="1"/>
  <c r="O31" i="5" s="1"/>
  <c r="P31" i="5" s="1"/>
  <c r="Q31" i="5" s="1"/>
  <c r="R31" i="5" s="1"/>
  <c r="S31" i="5" s="1"/>
  <c r="T31" i="5" s="1"/>
  <c r="U31" i="5" s="1"/>
  <c r="V31" i="5" s="1"/>
  <c r="W31" i="5" s="1"/>
  <c r="X31" i="5" s="1"/>
  <c r="Y31" i="5" s="1"/>
  <c r="Z31" i="5" s="1"/>
  <c r="AA31" i="5" s="1"/>
  <c r="AB31" i="5" s="1"/>
  <c r="AC31" i="5" s="1"/>
  <c r="AD31" i="5" s="1"/>
  <c r="AE31" i="5" s="1"/>
  <c r="AF31" i="5" s="1"/>
  <c r="AG31" i="5" s="1"/>
  <c r="AH31" i="5" s="1"/>
  <c r="AI31" i="5" s="1"/>
  <c r="CR286" i="3"/>
  <c r="CR287" i="3" s="1"/>
  <c r="CR288" i="3" s="1"/>
  <c r="CR284" i="3"/>
  <c r="CR283" i="3" s="1"/>
  <c r="CR282" i="3" s="1"/>
  <c r="BC170" i="3"/>
  <c r="BC191" i="3" s="1"/>
  <c r="O47" i="9" s="1"/>
  <c r="BM199" i="3"/>
  <c r="J62" i="22" s="1"/>
  <c r="BH199" i="3"/>
  <c r="BH202" i="3"/>
  <c r="DD271" i="3"/>
  <c r="DC271" i="3" s="1"/>
  <c r="DB271" i="3" s="1"/>
  <c r="DF271" i="3"/>
  <c r="DG271" i="3" s="1"/>
  <c r="DH271" i="3" s="1"/>
  <c r="Q70" i="25"/>
  <c r="CE281" i="3"/>
  <c r="CC281" i="3"/>
  <c r="CL291" i="3"/>
  <c r="CK291" i="3" s="1"/>
  <c r="CJ291" i="3" s="1"/>
  <c r="CN291" i="3"/>
  <c r="CO291" i="3" s="1"/>
  <c r="CP291" i="3" s="1"/>
  <c r="N12" i="9"/>
  <c r="AX37" i="38"/>
  <c r="AX72" i="38"/>
  <c r="V130" i="38"/>
  <c r="AX132" i="38"/>
  <c r="R100" i="40" a="1"/>
  <c r="R100" i="40" s="1"/>
  <c r="R144" i="40" a="1"/>
  <c r="R144" i="40" s="1"/>
  <c r="R170" i="40" a="1"/>
  <c r="R170" i="40" s="1"/>
  <c r="R218" i="40" a="1"/>
  <c r="R218" i="40" s="1"/>
  <c r="R244" i="40" a="1"/>
  <c r="R244" i="40" s="1"/>
  <c r="R258" i="40" a="1"/>
  <c r="R258" i="40" s="1"/>
  <c r="R288" i="40" a="1"/>
  <c r="R288" i="40" s="1"/>
  <c r="R362" i="40" a="1"/>
  <c r="R362" i="40" s="1"/>
  <c r="R402" i="40" a="1"/>
  <c r="R402" i="40" s="1"/>
  <c r="R432" i="40" a="1"/>
  <c r="R432" i="40" s="1"/>
  <c r="R520" i="40" a="1"/>
  <c r="R520" i="40" s="1"/>
  <c r="R546" i="40" a="1"/>
  <c r="R546" i="40" s="1"/>
  <c r="R564" i="40" a="1"/>
  <c r="R564" i="40" s="1"/>
  <c r="F33" i="5"/>
  <c r="G33" i="5" s="1"/>
  <c r="H33" i="5" s="1"/>
  <c r="I33" i="5" s="1"/>
  <c r="J33" i="5" s="1"/>
  <c r="K33" i="5" s="1"/>
  <c r="L33" i="5" s="1"/>
  <c r="M33" i="5" s="1"/>
  <c r="N33" i="5" s="1"/>
  <c r="O33" i="5" s="1"/>
  <c r="P33" i="5" s="1"/>
  <c r="Q33" i="5" s="1"/>
  <c r="R33" i="5" s="1"/>
  <c r="S33" i="5" s="1"/>
  <c r="T33" i="5" s="1"/>
  <c r="U33" i="5" s="1"/>
  <c r="V33" i="5" s="1"/>
  <c r="W33" i="5" s="1"/>
  <c r="X33" i="5" s="1"/>
  <c r="Y33" i="5" s="1"/>
  <c r="Z33" i="5" s="1"/>
  <c r="AA33" i="5" s="1"/>
  <c r="AB33" i="5" s="1"/>
  <c r="AC33" i="5" s="1"/>
  <c r="AD33" i="5" s="1"/>
  <c r="AE33" i="5" s="1"/>
  <c r="AF33" i="5" s="1"/>
  <c r="AG33" i="5" s="1"/>
  <c r="AH33" i="5" s="1"/>
  <c r="AI33" i="5" s="1"/>
  <c r="R55" i="9"/>
  <c r="R63" i="9"/>
  <c r="U9" i="8"/>
  <c r="AQ174" i="3"/>
  <c r="K174" i="3"/>
  <c r="AI174" i="3"/>
  <c r="AA174" i="3"/>
  <c r="BC174" i="3"/>
  <c r="BC177" i="3" s="1"/>
  <c r="W174" i="3"/>
  <c r="W177" i="3" s="1"/>
  <c r="AY174" i="3"/>
  <c r="AY177" i="3" s="1"/>
  <c r="S174" i="3"/>
  <c r="S177" i="3" s="1"/>
  <c r="DF281" i="3"/>
  <c r="DG281" i="3" s="1"/>
  <c r="DH281" i="3" s="1"/>
  <c r="DD281" i="3"/>
  <c r="DC281" i="3" s="1"/>
  <c r="DB281" i="3" s="1"/>
  <c r="AF74" i="25"/>
  <c r="AF85" i="25" s="1"/>
  <c r="B85" i="25"/>
  <c r="V50" i="38"/>
  <c r="AX54" i="38"/>
  <c r="AX60" i="38"/>
  <c r="AH90" i="38"/>
  <c r="AX100" i="38"/>
  <c r="AT114" i="38"/>
  <c r="AX142" i="38"/>
  <c r="R22" i="40" a="1"/>
  <c r="R22" i="40" s="1"/>
  <c r="R52" i="40" a="1"/>
  <c r="R52" i="40" s="1"/>
  <c r="R140" i="40" a="1"/>
  <c r="R140" i="40" s="1"/>
  <c r="R166" i="40" a="1"/>
  <c r="R166" i="40" s="1"/>
  <c r="R184" i="40" a="1"/>
  <c r="R184" i="40" s="1"/>
  <c r="E231" i="40"/>
  <c r="R254" i="40" a="1"/>
  <c r="R254" i="40" s="1"/>
  <c r="R284" i="40" a="1"/>
  <c r="R284" i="40" s="1"/>
  <c r="R328" i="40" a="1"/>
  <c r="R328" i="40" s="1"/>
  <c r="R372" i="40" a="1"/>
  <c r="R372" i="40" s="1"/>
  <c r="R398" i="40" a="1"/>
  <c r="R398" i="40" s="1"/>
  <c r="R446" i="40" a="1"/>
  <c r="R446" i="40" s="1"/>
  <c r="R472" i="40" a="1"/>
  <c r="R472" i="40" s="1"/>
  <c r="R486" i="40" a="1"/>
  <c r="R486" i="40" s="1"/>
  <c r="R516" i="40" a="1"/>
  <c r="R516" i="40" s="1"/>
  <c r="F35" i="5"/>
  <c r="G35" i="5" s="1"/>
  <c r="H35" i="5" s="1"/>
  <c r="I35" i="5" s="1"/>
  <c r="J35" i="5" s="1"/>
  <c r="K35" i="5" s="1"/>
  <c r="L35" i="5" s="1"/>
  <c r="M35" i="5" s="1"/>
  <c r="N35" i="5" s="1"/>
  <c r="O35" i="5" s="1"/>
  <c r="P35" i="5" s="1"/>
  <c r="Q35" i="5" s="1"/>
  <c r="R35" i="5" s="1"/>
  <c r="S35" i="5" s="1"/>
  <c r="T35" i="5" s="1"/>
  <c r="U35" i="5" s="1"/>
  <c r="V35" i="5" s="1"/>
  <c r="W35" i="5" s="1"/>
  <c r="X35" i="5" s="1"/>
  <c r="Y35" i="5" s="1"/>
  <c r="Z35" i="5" s="1"/>
  <c r="AA35" i="5" s="1"/>
  <c r="AB35" i="5" s="1"/>
  <c r="AC35" i="5" s="1"/>
  <c r="AD35" i="5" s="1"/>
  <c r="AE35" i="5" s="1"/>
  <c r="AF35" i="5" s="1"/>
  <c r="AG35" i="5" s="1"/>
  <c r="AH35" i="5" s="1"/>
  <c r="AI35" i="5" s="1"/>
  <c r="O81" i="3"/>
  <c r="K82" i="3"/>
  <c r="O174" i="3"/>
  <c r="O177" i="3" s="1"/>
  <c r="AU18" i="25"/>
  <c r="AU29" i="25" s="1"/>
  <c r="CL271" i="3"/>
  <c r="CN271" i="3"/>
  <c r="CW299" i="3"/>
  <c r="CX299" i="3" s="1"/>
  <c r="CY299" i="3" s="1"/>
  <c r="CU299" i="3"/>
  <c r="CT299" i="3" s="1"/>
  <c r="CS299" i="3" s="1"/>
  <c r="AW10" i="38"/>
  <c r="N18" i="9"/>
  <c r="AX40" i="38"/>
  <c r="AX47" i="38"/>
  <c r="AX135" i="38"/>
  <c r="AX140" i="38"/>
  <c r="R136" i="40" a="1"/>
  <c r="R136" i="40" s="1"/>
  <c r="R210" i="40" a="1"/>
  <c r="R210" i="40" s="1"/>
  <c r="R250" i="40" a="1"/>
  <c r="R250" i="40" s="1"/>
  <c r="R280" i="40" a="1"/>
  <c r="R280" i="40" s="1"/>
  <c r="R368" i="40" a="1"/>
  <c r="R368" i="40" s="1"/>
  <c r="R394" i="40" a="1"/>
  <c r="R394" i="40" s="1"/>
  <c r="R412" i="40" a="1"/>
  <c r="R412" i="40" s="1"/>
  <c r="E459" i="40"/>
  <c r="R482" i="40" a="1"/>
  <c r="R482" i="40" s="1"/>
  <c r="R512" i="40" a="1"/>
  <c r="R512" i="40" s="1"/>
  <c r="R556" i="40" a="1"/>
  <c r="R556" i="40" s="1"/>
  <c r="F37" i="5"/>
  <c r="G37" i="5" s="1"/>
  <c r="H37" i="5" s="1"/>
  <c r="I37" i="5" s="1"/>
  <c r="J37" i="5" s="1"/>
  <c r="K37" i="5" s="1"/>
  <c r="L37" i="5" s="1"/>
  <c r="M37" i="5" s="1"/>
  <c r="N37" i="5" s="1"/>
  <c r="O37" i="5" s="1"/>
  <c r="P37" i="5" s="1"/>
  <c r="Q37" i="5" s="1"/>
  <c r="R37" i="5" s="1"/>
  <c r="S37" i="5" s="1"/>
  <c r="T37" i="5" s="1"/>
  <c r="U37" i="5" s="1"/>
  <c r="V37" i="5" s="1"/>
  <c r="W37" i="5" s="1"/>
  <c r="X37" i="5" s="1"/>
  <c r="Y37" i="5" s="1"/>
  <c r="Z37" i="5" s="1"/>
  <c r="AA37" i="5" s="1"/>
  <c r="AB37" i="5" s="1"/>
  <c r="AC37" i="5" s="1"/>
  <c r="AD37" i="5" s="1"/>
  <c r="AE37" i="5" s="1"/>
  <c r="AF37" i="5" s="1"/>
  <c r="AG37" i="5" s="1"/>
  <c r="AH37" i="5" s="1"/>
  <c r="AI37" i="5" s="1"/>
  <c r="AE70" i="3"/>
  <c r="P11" i="16"/>
  <c r="H7" i="15"/>
  <c r="AA27" i="12"/>
  <c r="AJ61" i="5"/>
  <c r="AJ59" i="5"/>
  <c r="AJ57" i="5"/>
  <c r="AJ53" i="5"/>
  <c r="AJ75" i="5"/>
  <c r="AJ51" i="5"/>
  <c r="AJ65" i="5"/>
  <c r="AJ49" i="5"/>
  <c r="AU178" i="3"/>
  <c r="AU189" i="3" s="1"/>
  <c r="M3" i="5"/>
  <c r="B15" i="43"/>
  <c r="B15" i="44"/>
  <c r="B17" i="42"/>
  <c r="B94" i="22" s="1"/>
  <c r="F40" i="5"/>
  <c r="O50" i="17" s="1"/>
  <c r="AJ41" i="5"/>
  <c r="AJ43" i="5"/>
  <c r="AJ47" i="5"/>
  <c r="V48" i="5"/>
  <c r="R93" i="17" s="1"/>
  <c r="P50" i="5"/>
  <c r="AS53" i="17" s="1"/>
  <c r="H52" i="5"/>
  <c r="U55" i="17" s="1"/>
  <c r="AE52" i="5"/>
  <c r="AS94" i="17" s="1"/>
  <c r="G54" i="5"/>
  <c r="R60" i="17" s="1"/>
  <c r="AD54" i="5"/>
  <c r="AP99" i="17" s="1"/>
  <c r="V56" i="5"/>
  <c r="R100" i="17" s="1"/>
  <c r="Q58" i="5"/>
  <c r="AV63" i="17" s="1"/>
  <c r="T60" i="5"/>
  <c r="L103" i="17" s="1"/>
  <c r="S62" i="5"/>
  <c r="BB65" i="17" s="1"/>
  <c r="L68" i="3"/>
  <c r="AX70" i="3"/>
  <c r="O69" i="17"/>
  <c r="L69" i="17"/>
  <c r="O68" i="17"/>
  <c r="L68" i="17"/>
  <c r="L45" i="12"/>
  <c r="L42" i="12"/>
  <c r="L47" i="12"/>
  <c r="B50" i="12"/>
  <c r="L44" i="12"/>
  <c r="B58" i="12"/>
  <c r="L49" i="12"/>
  <c r="L41" i="12"/>
  <c r="L46" i="12"/>
  <c r="L43" i="12"/>
  <c r="L48" i="12"/>
  <c r="AF74" i="5"/>
  <c r="AV111" i="17" s="1"/>
  <c r="X74" i="5"/>
  <c r="P74" i="5"/>
  <c r="AS72" i="17" s="1"/>
  <c r="H74" i="5"/>
  <c r="U72" i="17" s="1"/>
  <c r="AG64" i="5"/>
  <c r="AY105" i="17" s="1"/>
  <c r="Y64" i="5"/>
  <c r="AA105" i="17" s="1"/>
  <c r="Q64" i="5"/>
  <c r="AV66" i="17" s="1"/>
  <c r="I64" i="5"/>
  <c r="X66" i="17" s="1"/>
  <c r="AH62" i="5"/>
  <c r="BB104" i="17" s="1"/>
  <c r="Z62" i="5"/>
  <c r="AD104" i="17" s="1"/>
  <c r="R62" i="5"/>
  <c r="AY65" i="17" s="1"/>
  <c r="J62" i="5"/>
  <c r="AA65" i="17" s="1"/>
  <c r="AI60" i="5"/>
  <c r="AA60" i="5"/>
  <c r="AG103" i="17" s="1"/>
  <c r="S60" i="5"/>
  <c r="BB64" i="17" s="1"/>
  <c r="K60" i="5"/>
  <c r="AD64" i="17" s="1"/>
  <c r="AE74" i="5"/>
  <c r="AS111" i="17" s="1"/>
  <c r="W74" i="5"/>
  <c r="U111" i="17" s="1"/>
  <c r="O74" i="5"/>
  <c r="AP72" i="17" s="1"/>
  <c r="G74" i="5"/>
  <c r="R72" i="17" s="1"/>
  <c r="AF64" i="5"/>
  <c r="AV105" i="17" s="1"/>
  <c r="X64" i="5"/>
  <c r="X105" i="17" s="1"/>
  <c r="P64" i="5"/>
  <c r="AS66" i="17" s="1"/>
  <c r="H64" i="5"/>
  <c r="U66" i="17" s="1"/>
  <c r="AG62" i="5"/>
  <c r="AY104" i="17" s="1"/>
  <c r="Y62" i="5"/>
  <c r="AA104" i="17" s="1"/>
  <c r="Q62" i="5"/>
  <c r="AV65" i="17" s="1"/>
  <c r="I62" i="5"/>
  <c r="X65" i="17" s="1"/>
  <c r="AH60" i="5"/>
  <c r="BB103" i="17" s="1"/>
  <c r="Z60" i="5"/>
  <c r="AD103" i="17" s="1"/>
  <c r="R60" i="5"/>
  <c r="AY64" i="17" s="1"/>
  <c r="J60" i="5"/>
  <c r="AA64" i="17" s="1"/>
  <c r="AI58" i="5"/>
  <c r="AA58" i="5"/>
  <c r="AG102" i="17" s="1"/>
  <c r="S58" i="5"/>
  <c r="BB63" i="17" s="1"/>
  <c r="K58" i="5"/>
  <c r="AD63" i="17" s="1"/>
  <c r="AB56" i="5"/>
  <c r="AJ100" i="17" s="1"/>
  <c r="T56" i="5"/>
  <c r="L100" i="17" s="1"/>
  <c r="L56" i="5"/>
  <c r="AG61" i="17" s="1"/>
  <c r="AC54" i="5"/>
  <c r="AM99" i="17" s="1"/>
  <c r="U54" i="5"/>
  <c r="O99" i="17" s="1"/>
  <c r="M54" i="5"/>
  <c r="AJ60" i="17" s="1"/>
  <c r="AD52" i="5"/>
  <c r="AP94" i="17" s="1"/>
  <c r="V52" i="5"/>
  <c r="R94" i="17" s="1"/>
  <c r="N52" i="5"/>
  <c r="AM55" i="17" s="1"/>
  <c r="F52" i="5"/>
  <c r="O55" i="17" s="1"/>
  <c r="AE50" i="5"/>
  <c r="AS92" i="17" s="1"/>
  <c r="W50" i="5"/>
  <c r="U92" i="17" s="1"/>
  <c r="O50" i="5"/>
  <c r="AP53" i="17" s="1"/>
  <c r="G50" i="5"/>
  <c r="R53" i="17" s="1"/>
  <c r="AF48" i="5"/>
  <c r="AV93" i="17" s="1"/>
  <c r="X48" i="5"/>
  <c r="X93" i="17" s="1"/>
  <c r="P48" i="5"/>
  <c r="AS54" i="17" s="1"/>
  <c r="H48" i="5"/>
  <c r="U54" i="17" s="1"/>
  <c r="AD74" i="5"/>
  <c r="AP111" i="17" s="1"/>
  <c r="V74" i="5"/>
  <c r="R111" i="17" s="1"/>
  <c r="N74" i="5"/>
  <c r="AM72" i="17" s="1"/>
  <c r="F74" i="5"/>
  <c r="O72" i="17" s="1"/>
  <c r="AE64" i="5"/>
  <c r="AS105" i="17" s="1"/>
  <c r="W64" i="5"/>
  <c r="U105" i="17" s="1"/>
  <c r="O64" i="5"/>
  <c r="AP66" i="17" s="1"/>
  <c r="G64" i="5"/>
  <c r="R66" i="17" s="1"/>
  <c r="AF62" i="5"/>
  <c r="AV104" i="17" s="1"/>
  <c r="X62" i="5"/>
  <c r="X104" i="17" s="1"/>
  <c r="P62" i="5"/>
  <c r="AS65" i="17" s="1"/>
  <c r="H62" i="5"/>
  <c r="U65" i="17" s="1"/>
  <c r="AG60" i="5"/>
  <c r="AY103" i="17" s="1"/>
  <c r="Y60" i="5"/>
  <c r="AA103" i="17" s="1"/>
  <c r="Q60" i="5"/>
  <c r="AV64" i="17" s="1"/>
  <c r="I60" i="5"/>
  <c r="X64" i="17" s="1"/>
  <c r="AH58" i="5"/>
  <c r="BB102" i="17" s="1"/>
  <c r="Z58" i="5"/>
  <c r="AD102" i="17" s="1"/>
  <c r="R58" i="5"/>
  <c r="AY63" i="17" s="1"/>
  <c r="J58" i="5"/>
  <c r="AA63" i="17" s="1"/>
  <c r="AI56" i="5"/>
  <c r="AA56" i="5"/>
  <c r="AG100" i="17" s="1"/>
  <c r="S56" i="5"/>
  <c r="BB61" i="17" s="1"/>
  <c r="K56" i="5"/>
  <c r="AD61" i="17" s="1"/>
  <c r="AB54" i="5"/>
  <c r="AJ99" i="17" s="1"/>
  <c r="T54" i="5"/>
  <c r="L99" i="17" s="1"/>
  <c r="L54" i="5"/>
  <c r="AG60" i="17" s="1"/>
  <c r="AC52" i="5"/>
  <c r="AM94" i="17" s="1"/>
  <c r="U52" i="5"/>
  <c r="O94" i="17" s="1"/>
  <c r="M52" i="5"/>
  <c r="AJ55" i="17" s="1"/>
  <c r="AD50" i="5"/>
  <c r="AP92" i="17" s="1"/>
  <c r="V50" i="5"/>
  <c r="R92" i="17" s="1"/>
  <c r="N50" i="5"/>
  <c r="AM53" i="17" s="1"/>
  <c r="F50" i="5"/>
  <c r="O53" i="17" s="1"/>
  <c r="AE48" i="5"/>
  <c r="AS93" i="17" s="1"/>
  <c r="W48" i="5"/>
  <c r="U93" i="17" s="1"/>
  <c r="O48" i="5"/>
  <c r="AP54" i="17" s="1"/>
  <c r="G48" i="5"/>
  <c r="R54" i="17" s="1"/>
  <c r="AB74" i="5"/>
  <c r="AJ111" i="17" s="1"/>
  <c r="T74" i="5"/>
  <c r="L111" i="17" s="1"/>
  <c r="L74" i="5"/>
  <c r="AG72" i="17" s="1"/>
  <c r="AC64" i="5"/>
  <c r="AM105" i="17" s="1"/>
  <c r="U64" i="5"/>
  <c r="O105" i="17" s="1"/>
  <c r="M64" i="5"/>
  <c r="AJ66" i="17" s="1"/>
  <c r="AD62" i="5"/>
  <c r="AP104" i="17" s="1"/>
  <c r="V62" i="5"/>
  <c r="R104" i="17" s="1"/>
  <c r="N62" i="5"/>
  <c r="AM65" i="17" s="1"/>
  <c r="F62" i="5"/>
  <c r="O65" i="17" s="1"/>
  <c r="AE60" i="5"/>
  <c r="AS103" i="17" s="1"/>
  <c r="W60" i="5"/>
  <c r="U103" i="17" s="1"/>
  <c r="O60" i="5"/>
  <c r="AP64" i="17" s="1"/>
  <c r="G60" i="5"/>
  <c r="R64" i="17" s="1"/>
  <c r="AF58" i="5"/>
  <c r="AV102" i="17" s="1"/>
  <c r="X58" i="5"/>
  <c r="X102" i="17" s="1"/>
  <c r="P58" i="5"/>
  <c r="AS63" i="17" s="1"/>
  <c r="H58" i="5"/>
  <c r="U63" i="17" s="1"/>
  <c r="AG56" i="5"/>
  <c r="AY100" i="17" s="1"/>
  <c r="Y56" i="5"/>
  <c r="AA100" i="17" s="1"/>
  <c r="Q56" i="5"/>
  <c r="AV61" i="17" s="1"/>
  <c r="I56" i="5"/>
  <c r="X61" i="17" s="1"/>
  <c r="AH54" i="5"/>
  <c r="BB99" i="17" s="1"/>
  <c r="Z54" i="5"/>
  <c r="AD99" i="17" s="1"/>
  <c r="R54" i="5"/>
  <c r="AY60" i="17" s="1"/>
  <c r="J54" i="5"/>
  <c r="AA60" i="17" s="1"/>
  <c r="AI52" i="5"/>
  <c r="AA52" i="5"/>
  <c r="AG94" i="17" s="1"/>
  <c r="S52" i="5"/>
  <c r="BB55" i="17" s="1"/>
  <c r="K52" i="5"/>
  <c r="AD55" i="17" s="1"/>
  <c r="AB50" i="5"/>
  <c r="AJ92" i="17" s="1"/>
  <c r="T50" i="5"/>
  <c r="L92" i="17" s="1"/>
  <c r="L50" i="5"/>
  <c r="AG53" i="17" s="1"/>
  <c r="AC48" i="5"/>
  <c r="AM93" i="17" s="1"/>
  <c r="U48" i="5"/>
  <c r="O93" i="17" s="1"/>
  <c r="M48" i="5"/>
  <c r="AJ54" i="17" s="1"/>
  <c r="AI74" i="5"/>
  <c r="AA74" i="5"/>
  <c r="AG111" i="17" s="1"/>
  <c r="S74" i="5"/>
  <c r="BB72" i="17" s="1"/>
  <c r="K74" i="5"/>
  <c r="AD72" i="17" s="1"/>
  <c r="AB64" i="5"/>
  <c r="AJ105" i="17" s="1"/>
  <c r="T64" i="5"/>
  <c r="L105" i="17" s="1"/>
  <c r="L64" i="5"/>
  <c r="AG66" i="17" s="1"/>
  <c r="AC62" i="5"/>
  <c r="AM104" i="17" s="1"/>
  <c r="U62" i="5"/>
  <c r="O104" i="17" s="1"/>
  <c r="M62" i="5"/>
  <c r="AJ65" i="17" s="1"/>
  <c r="AD60" i="5"/>
  <c r="AP103" i="17" s="1"/>
  <c r="V60" i="5"/>
  <c r="R103" i="17" s="1"/>
  <c r="N60" i="5"/>
  <c r="AM64" i="17" s="1"/>
  <c r="F60" i="5"/>
  <c r="O64" i="17" s="1"/>
  <c r="AE58" i="5"/>
  <c r="AS102" i="17" s="1"/>
  <c r="W58" i="5"/>
  <c r="U102" i="17" s="1"/>
  <c r="O58" i="5"/>
  <c r="AP63" i="17" s="1"/>
  <c r="G58" i="5"/>
  <c r="R63" i="17" s="1"/>
  <c r="AF56" i="5"/>
  <c r="AV100" i="17" s="1"/>
  <c r="X56" i="5"/>
  <c r="X100" i="17" s="1"/>
  <c r="P56" i="5"/>
  <c r="AS61" i="17" s="1"/>
  <c r="H56" i="5"/>
  <c r="U61" i="17" s="1"/>
  <c r="AG54" i="5"/>
  <c r="AY99" i="17" s="1"/>
  <c r="Y54" i="5"/>
  <c r="AA99" i="17" s="1"/>
  <c r="Q54" i="5"/>
  <c r="AV60" i="17" s="1"/>
  <c r="I54" i="5"/>
  <c r="X60" i="17" s="1"/>
  <c r="AH52" i="5"/>
  <c r="BB94" i="17" s="1"/>
  <c r="Z52" i="5"/>
  <c r="AD94" i="17" s="1"/>
  <c r="R52" i="5"/>
  <c r="AY55" i="17" s="1"/>
  <c r="J52" i="5"/>
  <c r="AA55" i="17" s="1"/>
  <c r="AI50" i="5"/>
  <c r="AA50" i="5"/>
  <c r="AG92" i="17" s="1"/>
  <c r="S50" i="5"/>
  <c r="BB53" i="17" s="1"/>
  <c r="K50" i="5"/>
  <c r="AD53" i="17" s="1"/>
  <c r="AB48" i="5"/>
  <c r="AJ93" i="17" s="1"/>
  <c r="T48" i="5"/>
  <c r="L93" i="17" s="1"/>
  <c r="L48" i="5"/>
  <c r="AG54" i="17" s="1"/>
  <c r="AH74" i="5"/>
  <c r="Z74" i="5"/>
  <c r="AD111" i="17" s="1"/>
  <c r="R74" i="5"/>
  <c r="AY72" i="17" s="1"/>
  <c r="J74" i="5"/>
  <c r="AA72" i="17" s="1"/>
  <c r="AI64" i="5"/>
  <c r="AA64" i="5"/>
  <c r="AG105" i="17" s="1"/>
  <c r="S64" i="5"/>
  <c r="BB66" i="17" s="1"/>
  <c r="K64" i="5"/>
  <c r="AD66" i="17" s="1"/>
  <c r="AB62" i="5"/>
  <c r="AJ104" i="17" s="1"/>
  <c r="T62" i="5"/>
  <c r="L104" i="17" s="1"/>
  <c r="L62" i="5"/>
  <c r="AG65" i="17" s="1"/>
  <c r="AC60" i="5"/>
  <c r="AM103" i="17" s="1"/>
  <c r="U60" i="5"/>
  <c r="O103" i="17" s="1"/>
  <c r="M60" i="5"/>
  <c r="AJ64" i="17" s="1"/>
  <c r="AD58" i="5"/>
  <c r="AP102" i="17" s="1"/>
  <c r="V58" i="5"/>
  <c r="R102" i="17" s="1"/>
  <c r="N58" i="5"/>
  <c r="AM63" i="17" s="1"/>
  <c r="F58" i="5"/>
  <c r="O63" i="17" s="1"/>
  <c r="AE56" i="5"/>
  <c r="AS100" i="17" s="1"/>
  <c r="W56" i="5"/>
  <c r="U100" i="17" s="1"/>
  <c r="O56" i="5"/>
  <c r="AP61" i="17" s="1"/>
  <c r="G56" i="5"/>
  <c r="R61" i="17" s="1"/>
  <c r="AF54" i="5"/>
  <c r="AV99" i="17" s="1"/>
  <c r="X54" i="5"/>
  <c r="X99" i="17" s="1"/>
  <c r="P54" i="5"/>
  <c r="AS60" i="17" s="1"/>
  <c r="H54" i="5"/>
  <c r="U60" i="17" s="1"/>
  <c r="AG52" i="5"/>
  <c r="AY94" i="17" s="1"/>
  <c r="Y52" i="5"/>
  <c r="AA94" i="17" s="1"/>
  <c r="Q52" i="5"/>
  <c r="AV55" i="17" s="1"/>
  <c r="I52" i="5"/>
  <c r="X55" i="17" s="1"/>
  <c r="AH50" i="5"/>
  <c r="BB92" i="17" s="1"/>
  <c r="Z50" i="5"/>
  <c r="AD92" i="17" s="1"/>
  <c r="R50" i="5"/>
  <c r="AY53" i="17" s="1"/>
  <c r="J50" i="5"/>
  <c r="AA53" i="17" s="1"/>
  <c r="AI48" i="5"/>
  <c r="AA48" i="5"/>
  <c r="AG93" i="17" s="1"/>
  <c r="S48" i="5"/>
  <c r="BB54" i="17" s="1"/>
  <c r="K48" i="5"/>
  <c r="AD54" i="17" s="1"/>
  <c r="BU175" i="3"/>
  <c r="F30" i="5"/>
  <c r="O56" i="17" s="1"/>
  <c r="F32" i="5"/>
  <c r="O57" i="17" s="1"/>
  <c r="F34" i="5"/>
  <c r="O58" i="17" s="1"/>
  <c r="F36" i="5"/>
  <c r="O59" i="17" s="1"/>
  <c r="F38" i="5"/>
  <c r="O52" i="17" s="1"/>
  <c r="F46" i="5"/>
  <c r="O67" i="17" s="1"/>
  <c r="Y48" i="5"/>
  <c r="AA93" i="17" s="1"/>
  <c r="Q50" i="5"/>
  <c r="AV53" i="17" s="1"/>
  <c r="L52" i="5"/>
  <c r="AG55" i="17" s="1"/>
  <c r="AF52" i="5"/>
  <c r="AV94" i="17" s="1"/>
  <c r="K54" i="5"/>
  <c r="AD60" i="17" s="1"/>
  <c r="AE54" i="5"/>
  <c r="AS99" i="17" s="1"/>
  <c r="Z56" i="5"/>
  <c r="AD100" i="17" s="1"/>
  <c r="T58" i="5"/>
  <c r="L102" i="17" s="1"/>
  <c r="X60" i="5"/>
  <c r="X103" i="17" s="1"/>
  <c r="W62" i="5"/>
  <c r="U104" i="17" s="1"/>
  <c r="N64" i="5"/>
  <c r="AM66" i="17" s="1"/>
  <c r="I74" i="5"/>
  <c r="X72" i="17" s="1"/>
  <c r="AE68" i="3"/>
  <c r="L71" i="3"/>
  <c r="O4" i="40"/>
  <c r="L63" i="3" s="1"/>
  <c r="AJ14" i="5"/>
  <c r="F42" i="5"/>
  <c r="O51" i="17" s="1"/>
  <c r="F44" i="5"/>
  <c r="O62" i="17" s="1"/>
  <c r="F48" i="5"/>
  <c r="O54" i="17" s="1"/>
  <c r="Z48" i="5"/>
  <c r="AD93" i="17" s="1"/>
  <c r="U50" i="5"/>
  <c r="O92" i="17" s="1"/>
  <c r="O52" i="5"/>
  <c r="AP55" i="17" s="1"/>
  <c r="N54" i="5"/>
  <c r="AM60" i="17" s="1"/>
  <c r="AI54" i="5"/>
  <c r="F56" i="5"/>
  <c r="O61" i="17" s="1"/>
  <c r="AC56" i="5"/>
  <c r="AM100" i="17" s="1"/>
  <c r="U58" i="5"/>
  <c r="O102" i="17" s="1"/>
  <c r="AB60" i="5"/>
  <c r="AJ103" i="17" s="1"/>
  <c r="AA62" i="5"/>
  <c r="AG104" i="17" s="1"/>
  <c r="R64" i="5"/>
  <c r="AY66" i="17" s="1"/>
  <c r="M74" i="5"/>
  <c r="AJ72" i="17" s="1"/>
  <c r="AJ126" i="5"/>
  <c r="AJ125" i="5"/>
  <c r="L69" i="3"/>
  <c r="AX71" i="3"/>
  <c r="AF29" i="12"/>
  <c r="AF30" i="12"/>
  <c r="I15" i="31"/>
  <c r="E13" i="31"/>
  <c r="I19" i="31"/>
  <c r="CI274" i="3"/>
  <c r="CI276" i="3"/>
  <c r="J48" i="5"/>
  <c r="AA54" i="17" s="1"/>
  <c r="AG48" i="5"/>
  <c r="AY93" i="17" s="1"/>
  <c r="Y50" i="5"/>
  <c r="AA92" i="17" s="1"/>
  <c r="T52" i="5"/>
  <c r="L94" i="17" s="1"/>
  <c r="S54" i="5"/>
  <c r="BB60" i="17" s="1"/>
  <c r="M56" i="5"/>
  <c r="AJ61" i="17" s="1"/>
  <c r="AH56" i="5"/>
  <c r="BB100" i="17" s="1"/>
  <c r="AB58" i="5"/>
  <c r="AJ102" i="17" s="1"/>
  <c r="AI62" i="5"/>
  <c r="Z64" i="5"/>
  <c r="AD105" i="17" s="1"/>
  <c r="U74" i="5"/>
  <c r="O111" i="17" s="1"/>
  <c r="AC50" i="5"/>
  <c r="AM92" i="17" s="1"/>
  <c r="W52" i="5"/>
  <c r="U94" i="17" s="1"/>
  <c r="V54" i="5"/>
  <c r="R99" i="17" s="1"/>
  <c r="N56" i="5"/>
  <c r="AM61" i="17" s="1"/>
  <c r="I58" i="5"/>
  <c r="X63" i="17" s="1"/>
  <c r="AC58" i="5"/>
  <c r="AM102" i="17" s="1"/>
  <c r="H60" i="5"/>
  <c r="U64" i="17" s="1"/>
  <c r="G62" i="5"/>
  <c r="R65" i="17" s="1"/>
  <c r="AD64" i="5"/>
  <c r="AP105" i="17" s="1"/>
  <c r="Y74" i="5"/>
  <c r="AA111" i="17" s="1"/>
  <c r="AX69" i="3"/>
  <c r="K248" i="3"/>
  <c r="O248" i="3" s="1"/>
  <c r="DA274" i="3"/>
  <c r="DA276" i="3"/>
  <c r="Q48" i="5"/>
  <c r="AV54" i="17" s="1"/>
  <c r="I50" i="5"/>
  <c r="X53" i="17" s="1"/>
  <c r="AF50" i="5"/>
  <c r="AV92" i="17" s="1"/>
  <c r="X52" i="5"/>
  <c r="X94" i="17" s="1"/>
  <c r="W54" i="5"/>
  <c r="U99" i="17" s="1"/>
  <c r="R56" i="5"/>
  <c r="AY61" i="17" s="1"/>
  <c r="L58" i="5"/>
  <c r="AG63" i="17" s="1"/>
  <c r="AG58" i="5"/>
  <c r="AY102" i="17" s="1"/>
  <c r="L60" i="5"/>
  <c r="AG64" i="17" s="1"/>
  <c r="K62" i="5"/>
  <c r="AD65" i="17" s="1"/>
  <c r="AH64" i="5"/>
  <c r="BB105" i="17" s="1"/>
  <c r="AC74" i="5"/>
  <c r="AM111" i="17" s="1"/>
  <c r="O67" i="8"/>
  <c r="F12" i="6"/>
  <c r="I44" i="42"/>
  <c r="Q44" i="42"/>
  <c r="Y44" i="42"/>
  <c r="AG44" i="42"/>
  <c r="AO44" i="42"/>
  <c r="AW44" i="42"/>
  <c r="BE44" i="42"/>
  <c r="BM44" i="42"/>
  <c r="BU44" i="42"/>
  <c r="CC44" i="42"/>
  <c r="CK44" i="42"/>
  <c r="CS44" i="42"/>
  <c r="DA44" i="42"/>
  <c r="DI44" i="42"/>
  <c r="DQ44" i="42"/>
  <c r="E5" i="43"/>
  <c r="F7" i="43"/>
  <c r="E5" i="42"/>
  <c r="L38" i="41"/>
  <c r="L40" i="41" s="1"/>
  <c r="K38" i="41"/>
  <c r="K40" i="41" s="1"/>
  <c r="J38" i="41"/>
  <c r="J40" i="41" s="1"/>
  <c r="I38" i="41"/>
  <c r="I40" i="41" s="1"/>
  <c r="P38" i="41"/>
  <c r="P40" i="41" s="1"/>
  <c r="H38" i="41"/>
  <c r="H40" i="41" s="1"/>
  <c r="O38" i="41"/>
  <c r="O40" i="41" s="1"/>
  <c r="G38" i="41"/>
  <c r="G40" i="41" s="1"/>
  <c r="N38" i="41"/>
  <c r="N40" i="41" s="1"/>
  <c r="F38" i="41"/>
  <c r="M38" i="41"/>
  <c r="M40" i="41" s="1"/>
  <c r="Y32" i="46"/>
  <c r="AG32" i="46"/>
  <c r="F54" i="11"/>
  <c r="F56" i="11"/>
  <c r="F52" i="11"/>
  <c r="F53" i="11"/>
  <c r="O74" i="17"/>
  <c r="AU108" i="8"/>
  <c r="L67" i="8"/>
  <c r="L108" i="8" s="1"/>
  <c r="N16" i="27"/>
  <c r="H16" i="27"/>
  <c r="E16" i="27" s="1"/>
  <c r="B16" i="27" s="1"/>
  <c r="AQ67" i="8"/>
  <c r="B31" i="27" a="1"/>
  <c r="B31" i="27" s="1"/>
  <c r="R51" i="42" l="1"/>
  <c r="R58" i="42" s="1"/>
  <c r="J45" i="42"/>
  <c r="L103" i="3" a="1"/>
  <c r="L103" i="3" s="1"/>
  <c r="BO51" i="42"/>
  <c r="BO58" i="42" s="1"/>
  <c r="L104" i="3" a="1"/>
  <c r="L104" i="3" s="1"/>
  <c r="N51" i="42"/>
  <c r="N58" i="42" s="1"/>
  <c r="CD51" i="42"/>
  <c r="CD58" i="42" s="1"/>
  <c r="L105" i="3" a="1"/>
  <c r="L105" i="3" s="1"/>
  <c r="AI100" i="3" s="1"/>
  <c r="S102" i="9"/>
  <c r="R105" i="9"/>
  <c r="DK45" i="42"/>
  <c r="CE45" i="42"/>
  <c r="AY51" i="42"/>
  <c r="AY58" i="42" s="1"/>
  <c r="CL51" i="42"/>
  <c r="CL58" i="42" s="1"/>
  <c r="S116" i="9"/>
  <c r="S101" i="9"/>
  <c r="S105" i="9"/>
  <c r="AJ51" i="42"/>
  <c r="AJ58" i="42" s="1"/>
  <c r="S103" i="9"/>
  <c r="R124" i="9"/>
  <c r="S119" i="9"/>
  <c r="S107" i="9"/>
  <c r="O90" i="9"/>
  <c r="R115" i="9"/>
  <c r="S93" i="9"/>
  <c r="S97" i="9" s="1"/>
  <c r="J59" i="47" s="1"/>
  <c r="S106" i="9"/>
  <c r="R114" i="9"/>
  <c r="R94" i="9"/>
  <c r="R107" i="9"/>
  <c r="R100" i="9"/>
  <c r="D148" i="9" s="1"/>
  <c r="S124" i="9"/>
  <c r="R123" i="9"/>
  <c r="D154" i="9" s="1"/>
  <c r="AB58" i="47" s="1"/>
  <c r="R112" i="9"/>
  <c r="S115" i="9"/>
  <c r="S114" i="9"/>
  <c r="CR45" i="42"/>
  <c r="S113" i="9"/>
  <c r="S108" i="9"/>
  <c r="S120" i="9"/>
  <c r="E151" i="9" s="1"/>
  <c r="V59" i="47" s="1"/>
  <c r="D15" i="48"/>
  <c r="H23" i="56"/>
  <c r="H66" i="56"/>
  <c r="H27" i="56"/>
  <c r="H68" i="56"/>
  <c r="BN51" i="42"/>
  <c r="BN58" i="42" s="1"/>
  <c r="AP45" i="42"/>
  <c r="DB45" i="42"/>
  <c r="L89" i="9"/>
  <c r="J89" i="9"/>
  <c r="BP51" i="42"/>
  <c r="BP58" i="42" s="1"/>
  <c r="AD51" i="42"/>
  <c r="AD58" i="42" s="1"/>
  <c r="BH51" i="42"/>
  <c r="BH58" i="42" s="1"/>
  <c r="DP51" i="42"/>
  <c r="DP58" i="42" s="1"/>
  <c r="DT45" i="42"/>
  <c r="DR51" i="42"/>
  <c r="DR58" i="42" s="1"/>
  <c r="BF51" i="42"/>
  <c r="BF58" i="42" s="1"/>
  <c r="BD51" i="42"/>
  <c r="BD58" i="42" s="1"/>
  <c r="CI45" i="42"/>
  <c r="R108" i="9"/>
  <c r="W51" i="42"/>
  <c r="W58" i="42" s="1"/>
  <c r="AA51" i="42"/>
  <c r="AA58" i="42" s="1"/>
  <c r="AC45" i="42"/>
  <c r="BE94" i="17"/>
  <c r="BE100" i="17"/>
  <c r="AU35" i="8"/>
  <c r="BB111" i="17"/>
  <c r="BE105" i="17"/>
  <c r="BE93" i="17"/>
  <c r="AQ35" i="8"/>
  <c r="X111" i="17"/>
  <c r="BE102" i="17"/>
  <c r="BB71" i="16"/>
  <c r="AY111" i="17"/>
  <c r="S94" i="9"/>
  <c r="R117" i="9"/>
  <c r="R95" i="9"/>
  <c r="AE58" i="47"/>
  <c r="S122" i="9"/>
  <c r="S112" i="9"/>
  <c r="S104" i="9"/>
  <c r="R106" i="9"/>
  <c r="R119" i="9"/>
  <c r="R118" i="9"/>
  <c r="R122" i="9"/>
  <c r="R116" i="9"/>
  <c r="S95" i="9"/>
  <c r="S111" i="9"/>
  <c r="R103" i="9"/>
  <c r="R120" i="9"/>
  <c r="D151" i="9" s="1"/>
  <c r="V58" i="47" s="1"/>
  <c r="R92" i="9"/>
  <c r="D138" i="9" s="1"/>
  <c r="S121" i="9"/>
  <c r="R110" i="9"/>
  <c r="R109" i="9"/>
  <c r="S118" i="9"/>
  <c r="R93" i="9"/>
  <c r="R97" i="9" s="1"/>
  <c r="J58" i="47" s="1"/>
  <c r="S96" i="9"/>
  <c r="S110" i="9"/>
  <c r="R101" i="9"/>
  <c r="S123" i="9"/>
  <c r="E154" i="9" s="1"/>
  <c r="AB59" i="47" s="1"/>
  <c r="R121" i="9"/>
  <c r="R111" i="9"/>
  <c r="R104" i="9"/>
  <c r="T103" i="9"/>
  <c r="S92" i="9"/>
  <c r="E138" i="9" s="1"/>
  <c r="S117" i="9"/>
  <c r="S109" i="9"/>
  <c r="S100" i="9"/>
  <c r="E148" i="9" s="1"/>
  <c r="R96" i="9"/>
  <c r="R102" i="9"/>
  <c r="AI45" i="42"/>
  <c r="D141" i="9"/>
  <c r="D156" i="9" s="1"/>
  <c r="AX45" i="42"/>
  <c r="DJ45" i="42"/>
  <c r="DS45" i="42"/>
  <c r="BV45" i="42"/>
  <c r="CG45" i="42"/>
  <c r="T114" i="9"/>
  <c r="T115" i="9"/>
  <c r="CQ51" i="42"/>
  <c r="CQ58" i="42" s="1"/>
  <c r="T118" i="9"/>
  <c r="AH51" i="42"/>
  <c r="AH58" i="42" s="1"/>
  <c r="CT51" i="42"/>
  <c r="CT58" i="42" s="1"/>
  <c r="T106" i="9"/>
  <c r="DU45" i="42"/>
  <c r="T107" i="9"/>
  <c r="T121" i="9"/>
  <c r="T112" i="9"/>
  <c r="T87" i="9"/>
  <c r="T88" i="9" s="1"/>
  <c r="T122" i="9"/>
  <c r="T102" i="9"/>
  <c r="T119" i="9"/>
  <c r="T105" i="9"/>
  <c r="T113" i="9"/>
  <c r="T94" i="9"/>
  <c r="T100" i="9"/>
  <c r="T125" i="9" s="1"/>
  <c r="T108" i="9"/>
  <c r="T116" i="9"/>
  <c r="AV45" i="42"/>
  <c r="BG51" i="42"/>
  <c r="BG58" i="42" s="1"/>
  <c r="T109" i="9"/>
  <c r="T117" i="9"/>
  <c r="T124" i="9"/>
  <c r="T120" i="9"/>
  <c r="F151" i="9" s="1"/>
  <c r="V60" i="47" s="1"/>
  <c r="T110" i="9"/>
  <c r="U89" i="9"/>
  <c r="U95" i="9" s="1"/>
  <c r="T123" i="9"/>
  <c r="F154" i="9" s="1"/>
  <c r="AB60" i="47" s="1"/>
  <c r="T92" i="9"/>
  <c r="F138" i="9" s="1"/>
  <c r="T111" i="9"/>
  <c r="T96" i="9"/>
  <c r="T101" i="9"/>
  <c r="T104" i="9"/>
  <c r="BW51" i="42"/>
  <c r="BW58" i="42" s="1"/>
  <c r="Z45" i="42"/>
  <c r="V51" i="42"/>
  <c r="V58" i="42" s="1"/>
  <c r="K51" i="42"/>
  <c r="K58" i="42" s="1"/>
  <c r="AF49" i="25"/>
  <c r="AF60" i="25" s="1"/>
  <c r="AE51" i="42"/>
  <c r="AE58" i="42" s="1"/>
  <c r="T95" i="9"/>
  <c r="AB51" i="42"/>
  <c r="AB58" i="42" s="1"/>
  <c r="CU51" i="42"/>
  <c r="CU58" i="42" s="1"/>
  <c r="CN51" i="42"/>
  <c r="CN58" i="42" s="1"/>
  <c r="U45" i="42"/>
  <c r="CX51" i="42"/>
  <c r="CX58" i="42" s="1"/>
  <c r="S45" i="42"/>
  <c r="DV51" i="42"/>
  <c r="DV58" i="42" s="1"/>
  <c r="AQ51" i="42"/>
  <c r="AQ58" i="42" s="1"/>
  <c r="BK45" i="42"/>
  <c r="CM45" i="42"/>
  <c r="X45" i="42"/>
  <c r="DC45" i="42"/>
  <c r="CJ51" i="42"/>
  <c r="CJ58" i="42" s="1"/>
  <c r="BY51" i="42"/>
  <c r="BY58" i="42" s="1"/>
  <c r="BJ51" i="42"/>
  <c r="BJ58" i="42" s="1"/>
  <c r="AF45" i="42"/>
  <c r="BQ51" i="42"/>
  <c r="BQ58" i="42" s="1"/>
  <c r="AL51" i="42"/>
  <c r="AL58" i="42" s="1"/>
  <c r="BC51" i="42"/>
  <c r="BC58" i="42" s="1"/>
  <c r="CF45" i="42"/>
  <c r="AT51" i="42"/>
  <c r="AT58" i="42" s="1"/>
  <c r="BX45" i="42"/>
  <c r="BI45" i="42"/>
  <c r="R69" i="17"/>
  <c r="AN45" i="42"/>
  <c r="T93" i="9"/>
  <c r="T97" i="9" s="1"/>
  <c r="F139" i="9" s="1"/>
  <c r="M45" i="42"/>
  <c r="T51" i="42"/>
  <c r="T58" i="42" s="1"/>
  <c r="CP51" i="42"/>
  <c r="CP58" i="42" s="1"/>
  <c r="O45" i="42"/>
  <c r="BT51" i="42"/>
  <c r="BT58" i="42" s="1"/>
  <c r="DO51" i="42"/>
  <c r="DO58" i="42" s="1"/>
  <c r="DM45" i="42"/>
  <c r="BA51" i="42"/>
  <c r="BA58" i="42" s="1"/>
  <c r="BZ277" i="3"/>
  <c r="BZ278" i="3" s="1"/>
  <c r="B25" i="25" s="1"/>
  <c r="CR277" i="3"/>
  <c r="B35" i="25" s="1"/>
  <c r="CR273" i="3"/>
  <c r="CR272" i="3" s="1"/>
  <c r="B30" i="25" s="1"/>
  <c r="AX42" i="38"/>
  <c r="L12" i="38" s="1"/>
  <c r="L48" i="3" s="1"/>
  <c r="CA51" i="42"/>
  <c r="CA58" i="42" s="1"/>
  <c r="DE45" i="42"/>
  <c r="CZ51" i="42"/>
  <c r="CZ58" i="42" s="1"/>
  <c r="DH45" i="42"/>
  <c r="G12" i="42"/>
  <c r="G7" i="42"/>
  <c r="G5" i="42"/>
  <c r="H8" i="42"/>
  <c r="H12" i="42" s="1"/>
  <c r="CY51" i="42"/>
  <c r="CY58" i="42" s="1"/>
  <c r="BS51" i="42"/>
  <c r="BS58" i="42" s="1"/>
  <c r="AM51" i="42"/>
  <c r="AM58" i="42" s="1"/>
  <c r="G51" i="42"/>
  <c r="G58" i="42" s="1"/>
  <c r="G59" i="42" s="1"/>
  <c r="DL51" i="42"/>
  <c r="DL58" i="42" s="1"/>
  <c r="AZ45" i="42"/>
  <c r="L51" i="42"/>
  <c r="L58" i="42" s="1"/>
  <c r="BL45" i="42"/>
  <c r="AS45" i="42"/>
  <c r="H129" i="3"/>
  <c r="B32" i="27" a="1"/>
  <c r="B32" i="27" s="1"/>
  <c r="CB45" i="42"/>
  <c r="AR51" i="42"/>
  <c r="AR58" i="42" s="1"/>
  <c r="B58" i="25"/>
  <c r="AX122" i="38"/>
  <c r="Z14" i="38" s="1"/>
  <c r="AX48" i="3" s="1"/>
  <c r="H45" i="42"/>
  <c r="AK45" i="42"/>
  <c r="BR51" i="42"/>
  <c r="BR58" i="42" s="1"/>
  <c r="P45" i="42"/>
  <c r="CV51" i="42"/>
  <c r="CV58" i="42" s="1"/>
  <c r="DF51" i="42"/>
  <c r="DF58" i="42" s="1"/>
  <c r="BZ301" i="3"/>
  <c r="B46" i="25" s="1"/>
  <c r="DG51" i="42"/>
  <c r="DG58" i="42" s="1"/>
  <c r="AU51" i="42"/>
  <c r="AU58" i="42" s="1"/>
  <c r="CW45" i="42"/>
  <c r="DD51" i="42"/>
  <c r="DD58" i="42" s="1"/>
  <c r="BZ51" i="42"/>
  <c r="BZ58" i="42" s="1"/>
  <c r="L29" i="12"/>
  <c r="AJ16" i="3"/>
  <c r="BZ305" i="3"/>
  <c r="B50" i="25" s="1"/>
  <c r="BZ273" i="3"/>
  <c r="AX138" i="38"/>
  <c r="Z16" i="38" s="1"/>
  <c r="AX50" i="3" s="1"/>
  <c r="AX114" i="38"/>
  <c r="Z13" i="38" s="1"/>
  <c r="AX47" i="3" s="1"/>
  <c r="AX82" i="38"/>
  <c r="L17" i="38" s="1"/>
  <c r="AE48" i="3" s="1"/>
  <c r="AX90" i="38"/>
  <c r="Z10" i="38" s="1"/>
  <c r="AE49" i="3" s="1"/>
  <c r="AX26" i="38"/>
  <c r="L10" i="38" s="1"/>
  <c r="L46" i="3" s="1"/>
  <c r="AX74" i="38"/>
  <c r="L16" i="38" s="1"/>
  <c r="AE47" i="3" s="1"/>
  <c r="AX50" i="38"/>
  <c r="L13" i="38" s="1"/>
  <c r="L49" i="3" s="1"/>
  <c r="BH12" i="38"/>
  <c r="Q4" i="38" s="1"/>
  <c r="CH45" i="42"/>
  <c r="CH51" i="42"/>
  <c r="CH58" i="42" s="1"/>
  <c r="R74" i="17"/>
  <c r="R73" i="17"/>
  <c r="CO51" i="42"/>
  <c r="CO58" i="42" s="1"/>
  <c r="CO45" i="42"/>
  <c r="AX98" i="38"/>
  <c r="Z11" i="38" s="1"/>
  <c r="AE50" i="3" s="1"/>
  <c r="DN45" i="42"/>
  <c r="DN51" i="42"/>
  <c r="DN58" i="42" s="1"/>
  <c r="BB45" i="42"/>
  <c r="BB51" i="42"/>
  <c r="BB58" i="42" s="1"/>
  <c r="I7" i="5"/>
  <c r="F3" i="11"/>
  <c r="AX58" i="38"/>
  <c r="L14" i="38" s="1"/>
  <c r="L50" i="3" s="1"/>
  <c r="AY21" i="16"/>
  <c r="AE178" i="3"/>
  <c r="AE189" i="3" s="1"/>
  <c r="I45" i="9" s="1"/>
  <c r="AX34" i="38"/>
  <c r="L11" i="38" s="1"/>
  <c r="L47" i="3" s="1"/>
  <c r="AW13" i="38"/>
  <c r="BH11" i="38"/>
  <c r="K4" i="38" s="1"/>
  <c r="S178" i="3"/>
  <c r="S189" i="3" s="1"/>
  <c r="F45" i="9" s="1"/>
  <c r="BC178" i="3"/>
  <c r="BC189" i="3" s="1"/>
  <c r="O45" i="9" s="1"/>
  <c r="AM178" i="3"/>
  <c r="AM189" i="3" s="1"/>
  <c r="K45" i="9" s="1"/>
  <c r="S170" i="3"/>
  <c r="S191" i="3" s="1"/>
  <c r="F47" i="9" s="1"/>
  <c r="AE170" i="3"/>
  <c r="AE191" i="3" s="1"/>
  <c r="I47" i="9" s="1"/>
  <c r="W178" i="3"/>
  <c r="W189" i="3" s="1"/>
  <c r="G45" i="9" s="1"/>
  <c r="O178" i="3"/>
  <c r="O189" i="3" s="1"/>
  <c r="E45" i="9" s="1"/>
  <c r="AU170" i="3"/>
  <c r="AU191" i="3" s="1"/>
  <c r="M47" i="9" s="1"/>
  <c r="O170" i="3"/>
  <c r="O191" i="3" s="1"/>
  <c r="E47" i="9" s="1"/>
  <c r="AQ170" i="3"/>
  <c r="AQ191" i="3" s="1"/>
  <c r="L47" i="9" s="1"/>
  <c r="AY170" i="3"/>
  <c r="AY191" i="3" s="1"/>
  <c r="N47" i="9" s="1"/>
  <c r="AA170" i="3"/>
  <c r="AA191" i="3" s="1"/>
  <c r="H47" i="9" s="1"/>
  <c r="AI170" i="3"/>
  <c r="AI191" i="3" s="1"/>
  <c r="J47" i="9" s="1"/>
  <c r="W170" i="3"/>
  <c r="W191" i="3" s="1"/>
  <c r="G47" i="9" s="1"/>
  <c r="BE21" i="16"/>
  <c r="J8" i="13"/>
  <c r="N18" i="25"/>
  <c r="N29" i="25" s="1"/>
  <c r="CB271" i="3"/>
  <c r="AJ72" i="8"/>
  <c r="M94" i="5"/>
  <c r="CS45" i="42"/>
  <c r="CS51" i="42"/>
  <c r="CS58" i="42" s="1"/>
  <c r="AG45" i="42"/>
  <c r="AG51" i="42"/>
  <c r="AG58" i="42" s="1"/>
  <c r="AJ71" i="16"/>
  <c r="O35" i="8"/>
  <c r="R21" i="16"/>
  <c r="E8" i="13"/>
  <c r="X71" i="16"/>
  <c r="AA71" i="16"/>
  <c r="K8" i="13"/>
  <c r="B41" i="12"/>
  <c r="B42" i="12"/>
  <c r="AX18" i="25"/>
  <c r="AX29" i="25" s="1"/>
  <c r="CO271" i="3"/>
  <c r="O82" i="3"/>
  <c r="O84" i="3"/>
  <c r="AX130" i="38"/>
  <c r="Z15" i="38" s="1"/>
  <c r="AX49" i="3" s="1"/>
  <c r="AX106" i="38"/>
  <c r="Z12" i="38" s="1"/>
  <c r="AX46" i="3" s="1"/>
  <c r="AM170" i="3"/>
  <c r="AM191" i="3" s="1"/>
  <c r="K47" i="9" s="1"/>
  <c r="AO45" i="42"/>
  <c r="AO51" i="42"/>
  <c r="AO58" i="42" s="1"/>
  <c r="R24" i="8"/>
  <c r="G12" i="6"/>
  <c r="AV21" i="16"/>
  <c r="AD72" i="8"/>
  <c r="K94" i="5"/>
  <c r="L23" i="8"/>
  <c r="D9" i="6"/>
  <c r="E91" i="5"/>
  <c r="E4" i="5"/>
  <c r="E5" i="5"/>
  <c r="F8" i="5"/>
  <c r="AU168" i="3"/>
  <c r="O168" i="3"/>
  <c r="AM168" i="3"/>
  <c r="AE168" i="3"/>
  <c r="AA168" i="3"/>
  <c r="BC168" i="3"/>
  <c r="W168" i="3"/>
  <c r="AY168" i="3"/>
  <c r="AQ168" i="3"/>
  <c r="S168" i="3"/>
  <c r="AI168" i="3"/>
  <c r="AQ108" i="8"/>
  <c r="S38" i="41"/>
  <c r="R38" i="41"/>
  <c r="F40" i="41"/>
  <c r="CK45" i="42"/>
  <c r="CK51" i="42"/>
  <c r="CK58" i="42" s="1"/>
  <c r="Y45" i="42"/>
  <c r="Y51" i="42"/>
  <c r="Y58" i="42" s="1"/>
  <c r="R71" i="16"/>
  <c r="AJ11" i="5"/>
  <c r="AA35" i="8"/>
  <c r="AD21" i="16"/>
  <c r="AM35" i="8"/>
  <c r="AP21" i="16"/>
  <c r="I8" i="13"/>
  <c r="AV71" i="16"/>
  <c r="AY71" i="16"/>
  <c r="B49" i="12"/>
  <c r="AW15" i="38"/>
  <c r="AR18" i="25"/>
  <c r="AR29" i="25" s="1"/>
  <c r="CK271" i="3"/>
  <c r="G59" i="47"/>
  <c r="E141" i="9"/>
  <c r="E156" i="9" s="1"/>
  <c r="N44" i="25"/>
  <c r="CB299" i="3"/>
  <c r="M60" i="47"/>
  <c r="J27" i="10"/>
  <c r="DA45" i="42"/>
  <c r="DA51" i="42"/>
  <c r="DA58" i="42" s="1"/>
  <c r="CC45" i="42"/>
  <c r="CC51" i="42"/>
  <c r="CC58" i="42" s="1"/>
  <c r="Q45" i="42"/>
  <c r="Q51" i="42"/>
  <c r="Q58" i="42" s="1"/>
  <c r="O108" i="8"/>
  <c r="AF34" i="25"/>
  <c r="DA277" i="3"/>
  <c r="AJ35" i="8"/>
  <c r="AM21" i="16"/>
  <c r="X35" i="8"/>
  <c r="AA21" i="16"/>
  <c r="H8" i="13"/>
  <c r="BB21" i="16"/>
  <c r="BE99" i="17"/>
  <c r="U71" i="16"/>
  <c r="B48" i="12"/>
  <c r="B45" i="12"/>
  <c r="BH10" i="38"/>
  <c r="AA177" i="3"/>
  <c r="AA175" i="3" s="1"/>
  <c r="AA178" i="3"/>
  <c r="AA189" i="3" s="1"/>
  <c r="N70" i="25"/>
  <c r="CB281" i="3"/>
  <c r="O188" i="3"/>
  <c r="E44" i="9" s="1"/>
  <c r="S185" i="3"/>
  <c r="O186" i="3"/>
  <c r="E42" i="9" s="1"/>
  <c r="T96" i="25"/>
  <c r="CF291" i="3"/>
  <c r="O72" i="8"/>
  <c r="F94" i="5"/>
  <c r="U72" i="8"/>
  <c r="H94" i="5"/>
  <c r="T44" i="25"/>
  <c r="CF299" i="3"/>
  <c r="AD71" i="16"/>
  <c r="AF32" i="25"/>
  <c r="DA273" i="3"/>
  <c r="BE104" i="17"/>
  <c r="AG71" i="16"/>
  <c r="AG35" i="8"/>
  <c r="AJ21" i="16"/>
  <c r="AS71" i="16"/>
  <c r="B44" i="12"/>
  <c r="BE103" i="17"/>
  <c r="AI177" i="3"/>
  <c r="AI176" i="3" s="1"/>
  <c r="AI178" i="3"/>
  <c r="AI189" i="3" s="1"/>
  <c r="T70" i="25"/>
  <c r="CF281" i="3"/>
  <c r="D44" i="9"/>
  <c r="E90" i="9"/>
  <c r="U11" i="8"/>
  <c r="N96" i="25"/>
  <c r="CB291" i="3"/>
  <c r="AA72" i="8"/>
  <c r="J94" i="5"/>
  <c r="AG72" i="8"/>
  <c r="L94" i="5"/>
  <c r="AM72" i="8"/>
  <c r="N94" i="5"/>
  <c r="H134" i="9"/>
  <c r="G153" i="9"/>
  <c r="Y61" i="47" s="1"/>
  <c r="G150" i="9"/>
  <c r="S61" i="47" s="1"/>
  <c r="G147" i="9"/>
  <c r="G144" i="9"/>
  <c r="G136" i="9"/>
  <c r="G137" i="9"/>
  <c r="Q55" i="25"/>
  <c r="AU44" i="25"/>
  <c r="AU55" i="25" s="1"/>
  <c r="B30" i="27" a="1"/>
  <c r="B30" i="27" s="1"/>
  <c r="Q16" i="27"/>
  <c r="T16" i="27" s="1"/>
  <c r="BU45" i="42"/>
  <c r="BU51" i="42"/>
  <c r="BU58" i="42" s="1"/>
  <c r="BM45" i="42"/>
  <c r="BM51" i="42"/>
  <c r="BM58" i="42" s="1"/>
  <c r="AF23" i="25"/>
  <c r="CI277" i="3"/>
  <c r="AY178" i="3"/>
  <c r="AY189" i="3" s="1"/>
  <c r="BE71" i="16"/>
  <c r="L8" i="13"/>
  <c r="O71" i="16"/>
  <c r="B43" i="12"/>
  <c r="M45" i="9"/>
  <c r="K177" i="3"/>
  <c r="BH174" i="3"/>
  <c r="BH178" i="3" s="1"/>
  <c r="K178" i="3"/>
  <c r="K189" i="3" s="1"/>
  <c r="Q81" i="25"/>
  <c r="AU70" i="25"/>
  <c r="AU81" i="25" s="1"/>
  <c r="Q105" i="25"/>
  <c r="AU96" i="25"/>
  <c r="AU105" i="25" s="1"/>
  <c r="AQ72" i="8"/>
  <c r="X94" i="5"/>
  <c r="G60" i="47"/>
  <c r="F141" i="9"/>
  <c r="F156" i="9" s="1"/>
  <c r="G7" i="43"/>
  <c r="F5" i="43"/>
  <c r="DQ45" i="42"/>
  <c r="DQ51" i="42"/>
  <c r="DQ58" i="42" s="1"/>
  <c r="AF21" i="25"/>
  <c r="CI273" i="3"/>
  <c r="N17" i="31"/>
  <c r="AM71" i="16"/>
  <c r="AQ177" i="3"/>
  <c r="AQ175" i="3" s="1"/>
  <c r="AQ178" i="3"/>
  <c r="AQ189" i="3" s="1"/>
  <c r="B73" i="25"/>
  <c r="BZ283" i="3"/>
  <c r="B75" i="25"/>
  <c r="BZ287" i="3"/>
  <c r="R58" i="9"/>
  <c r="AS21" i="16"/>
  <c r="I45" i="42"/>
  <c r="I51" i="42"/>
  <c r="I58" i="42" s="1"/>
  <c r="BE45" i="42"/>
  <c r="BE51" i="42"/>
  <c r="BE58" i="42" s="1"/>
  <c r="DI45" i="42"/>
  <c r="DI51" i="42"/>
  <c r="DI58" i="42" s="1"/>
  <c r="AW45" i="42"/>
  <c r="AW51" i="42"/>
  <c r="AW58" i="42" s="1"/>
  <c r="AP71" i="16"/>
  <c r="AY175" i="3"/>
  <c r="S175" i="3"/>
  <c r="AE175" i="3"/>
  <c r="AU175" i="3"/>
  <c r="AM175" i="3"/>
  <c r="W175" i="3"/>
  <c r="O175" i="3"/>
  <c r="BC175" i="3"/>
  <c r="AD35" i="8"/>
  <c r="AG21" i="16"/>
  <c r="BE92" i="17"/>
  <c r="R35" i="8"/>
  <c r="U21" i="16"/>
  <c r="F8" i="13"/>
  <c r="U35" i="8"/>
  <c r="X21" i="16"/>
  <c r="G8" i="13"/>
  <c r="B46" i="12"/>
  <c r="B47" i="12"/>
  <c r="AL12" i="38"/>
  <c r="D47" i="9"/>
  <c r="T18" i="25"/>
  <c r="T29" i="25" s="1"/>
  <c r="CF271" i="3"/>
  <c r="BH166" i="3"/>
  <c r="BH170" i="3" s="1"/>
  <c r="K169" i="3"/>
  <c r="K168" i="3" s="1"/>
  <c r="AU72" i="8"/>
  <c r="AH94" i="5"/>
  <c r="L72" i="8"/>
  <c r="E94" i="5"/>
  <c r="R72" i="8"/>
  <c r="G94" i="5"/>
  <c r="X72" i="8"/>
  <c r="I94" i="5"/>
  <c r="AX66" i="38"/>
  <c r="L15" i="38" s="1"/>
  <c r="AE46" i="3" s="1"/>
  <c r="BC176" i="3"/>
  <c r="W176" i="3"/>
  <c r="AU176" i="3"/>
  <c r="O176" i="3"/>
  <c r="AM176" i="3"/>
  <c r="AE176" i="3"/>
  <c r="AY176" i="3"/>
  <c r="S176" i="3"/>
  <c r="R125" i="9" l="1"/>
  <c r="D145" i="9" s="1"/>
  <c r="E139" i="9"/>
  <c r="U122" i="9"/>
  <c r="U93" i="9"/>
  <c r="U97" i="9" s="1"/>
  <c r="J61" i="47" s="1"/>
  <c r="U105" i="9"/>
  <c r="U113" i="9"/>
  <c r="S125" i="9"/>
  <c r="E145" i="9" s="1"/>
  <c r="BE111" i="17"/>
  <c r="D139" i="9"/>
  <c r="U87" i="9"/>
  <c r="U88" i="9" s="1"/>
  <c r="U124" i="9"/>
  <c r="U106" i="9"/>
  <c r="U114" i="9"/>
  <c r="U118" i="9"/>
  <c r="U121" i="9"/>
  <c r="U107" i="9"/>
  <c r="U115" i="9"/>
  <c r="V89" i="9"/>
  <c r="V124" i="9" s="1"/>
  <c r="U116" i="9"/>
  <c r="U108" i="9"/>
  <c r="U123" i="9"/>
  <c r="G154" i="9" s="1"/>
  <c r="AB61" i="47" s="1"/>
  <c r="U101" i="9"/>
  <c r="U109" i="9"/>
  <c r="U117" i="9"/>
  <c r="U92" i="9"/>
  <c r="G138" i="9" s="1"/>
  <c r="U102" i="9"/>
  <c r="U110" i="9"/>
  <c r="U119" i="9"/>
  <c r="U100" i="9"/>
  <c r="U125" i="9" s="1"/>
  <c r="U94" i="9"/>
  <c r="U103" i="9"/>
  <c r="U111" i="9"/>
  <c r="U120" i="9"/>
  <c r="G151" i="9" s="1"/>
  <c r="V61" i="47" s="1"/>
  <c r="U96" i="9"/>
  <c r="U104" i="9"/>
  <c r="U112" i="9"/>
  <c r="F148" i="9"/>
  <c r="P60" i="47" s="1"/>
  <c r="B31" i="25"/>
  <c r="B24" i="25"/>
  <c r="CR278" i="3"/>
  <c r="B36" i="25" s="1"/>
  <c r="F145" i="9"/>
  <c r="F142" i="9" s="1"/>
  <c r="J60" i="47"/>
  <c r="BZ306" i="3"/>
  <c r="B51" i="25" s="1"/>
  <c r="B62" i="25" s="1"/>
  <c r="BZ300" i="3"/>
  <c r="B45" i="25" s="1"/>
  <c r="AF45" i="25" s="1"/>
  <c r="AF56" i="25" s="1"/>
  <c r="H5" i="42"/>
  <c r="H7" i="42"/>
  <c r="H52" i="42" s="1"/>
  <c r="H6" i="42"/>
  <c r="I8" i="42"/>
  <c r="I6" i="42" s="1"/>
  <c r="H59" i="42"/>
  <c r="G52" i="42"/>
  <c r="Z59" i="42"/>
  <c r="B20" i="25"/>
  <c r="BZ272" i="3"/>
  <c r="B19" i="25" s="1"/>
  <c r="Q59" i="42"/>
  <c r="BB59" i="42"/>
  <c r="J7" i="5"/>
  <c r="G3" i="11"/>
  <c r="U73" i="17"/>
  <c r="U74" i="17"/>
  <c r="U68" i="17"/>
  <c r="U69" i="17"/>
  <c r="DN59" i="42"/>
  <c r="DG59" i="42"/>
  <c r="AI175" i="3"/>
  <c r="O190" i="3"/>
  <c r="L8" i="44" s="1"/>
  <c r="L9" i="44" s="1"/>
  <c r="AA176" i="3"/>
  <c r="BH177" i="3"/>
  <c r="BM191" i="3"/>
  <c r="BH168" i="3"/>
  <c r="AE60" i="47"/>
  <c r="CV59" i="42"/>
  <c r="T81" i="25"/>
  <c r="AX70" i="25"/>
  <c r="AX81" i="25" s="1"/>
  <c r="AF31" i="25"/>
  <c r="DA272" i="3"/>
  <c r="AF30" i="25" s="1"/>
  <c r="AF35" i="25"/>
  <c r="DA278" i="3"/>
  <c r="AF36" i="25" s="1"/>
  <c r="AR44" i="25"/>
  <c r="AR55" i="25" s="1"/>
  <c r="N55" i="25"/>
  <c r="L66" i="8"/>
  <c r="L107" i="8" s="1"/>
  <c r="E7" i="10"/>
  <c r="U24" i="8"/>
  <c r="H12" i="6"/>
  <c r="BW59" i="42"/>
  <c r="P59" i="42"/>
  <c r="AA59" i="42"/>
  <c r="BO59" i="42"/>
  <c r="Y59" i="42"/>
  <c r="CK59" i="42"/>
  <c r="AH59" i="42"/>
  <c r="CT59" i="42"/>
  <c r="AR59" i="42"/>
  <c r="DD59" i="42"/>
  <c r="BA59" i="42"/>
  <c r="DM59" i="42"/>
  <c r="BJ59" i="42"/>
  <c r="DV59" i="42"/>
  <c r="BK59" i="42"/>
  <c r="DE59" i="42"/>
  <c r="K176" i="3"/>
  <c r="AF20" i="25"/>
  <c r="CI272" i="3"/>
  <c r="AF19" i="25" s="1"/>
  <c r="M61" i="47"/>
  <c r="J45" i="9"/>
  <c r="W44" i="25"/>
  <c r="CG299" i="3"/>
  <c r="Z44" i="25" s="1"/>
  <c r="W96" i="25"/>
  <c r="CG291" i="3"/>
  <c r="Z96" i="25" s="1"/>
  <c r="K27" i="10"/>
  <c r="R67" i="8"/>
  <c r="DP59" i="42"/>
  <c r="AV59" i="42"/>
  <c r="BG59" i="42"/>
  <c r="CU59" i="42"/>
  <c r="AG59" i="42"/>
  <c r="CS59" i="42"/>
  <c r="AP59" i="42"/>
  <c r="DB59" i="42"/>
  <c r="AZ59" i="42"/>
  <c r="DL59" i="42"/>
  <c r="BI59" i="42"/>
  <c r="DU59" i="42"/>
  <c r="BR59" i="42"/>
  <c r="BS59" i="42"/>
  <c r="BH13" i="38"/>
  <c r="E4" i="38"/>
  <c r="L39" i="3"/>
  <c r="DK59" i="42"/>
  <c r="CC59" i="42"/>
  <c r="CL59" i="42"/>
  <c r="DO59" i="42"/>
  <c r="L45" i="9"/>
  <c r="H7" i="43"/>
  <c r="G5" i="43"/>
  <c r="AX44" i="25"/>
  <c r="AX55" i="25" s="1"/>
  <c r="T55" i="25"/>
  <c r="AX96" i="25"/>
  <c r="AX105" i="25" s="1"/>
  <c r="T105" i="25"/>
  <c r="O23" i="8"/>
  <c r="E9" i="6"/>
  <c r="F82" i="5"/>
  <c r="F83" i="5"/>
  <c r="F91" i="5"/>
  <c r="G8" i="5"/>
  <c r="F4" i="5"/>
  <c r="F5" i="5"/>
  <c r="AF50" i="25"/>
  <c r="AF61" i="25" s="1"/>
  <c r="B61" i="25"/>
  <c r="AF46" i="25"/>
  <c r="AF57" i="25" s="1"/>
  <c r="B57" i="25"/>
  <c r="CJ59" i="42"/>
  <c r="CB59" i="42"/>
  <c r="CM59" i="42"/>
  <c r="AO59" i="42"/>
  <c r="DA59" i="42"/>
  <c r="AX59" i="42"/>
  <c r="DJ59" i="42"/>
  <c r="BH59" i="42"/>
  <c r="DT59" i="42"/>
  <c r="BQ59" i="42"/>
  <c r="N59" i="42"/>
  <c r="BZ59" i="42"/>
  <c r="O59" i="42"/>
  <c r="CA59" i="42"/>
  <c r="BD59" i="42"/>
  <c r="BC59" i="42"/>
  <c r="BH169" i="3"/>
  <c r="K167" i="3"/>
  <c r="BH167" i="3" s="1"/>
  <c r="N45" i="9"/>
  <c r="K70" i="25"/>
  <c r="CA281" i="3"/>
  <c r="H70" i="25" s="1"/>
  <c r="AE59" i="47"/>
  <c r="L36" i="8"/>
  <c r="D6" i="6"/>
  <c r="E163" i="5"/>
  <c r="E125" i="5"/>
  <c r="E54" i="5"/>
  <c r="E52" i="5"/>
  <c r="L55" i="17" s="1"/>
  <c r="BE55" i="17" s="1"/>
  <c r="E64" i="5"/>
  <c r="L66" i="17" s="1"/>
  <c r="BE66" i="17" s="1"/>
  <c r="E48" i="5"/>
  <c r="L54" i="17" s="1"/>
  <c r="BE54" i="17" s="1"/>
  <c r="E46" i="5"/>
  <c r="E44" i="5"/>
  <c r="E42" i="5"/>
  <c r="L51" i="17" s="1"/>
  <c r="E62" i="5"/>
  <c r="E60" i="5"/>
  <c r="E58" i="5"/>
  <c r="L63" i="17" s="1"/>
  <c r="BE63" i="17" s="1"/>
  <c r="E50" i="5"/>
  <c r="E13" i="5"/>
  <c r="E56" i="5"/>
  <c r="L61" i="17" s="1"/>
  <c r="BE61" i="17" s="1"/>
  <c r="E74" i="5"/>
  <c r="L72" i="17" s="1"/>
  <c r="BE72" i="17" s="1"/>
  <c r="E38" i="5"/>
  <c r="L52" i="17" s="1"/>
  <c r="E36" i="5"/>
  <c r="L59" i="17" s="1"/>
  <c r="E34" i="5"/>
  <c r="L58" i="17" s="1"/>
  <c r="E32" i="5"/>
  <c r="E30" i="5"/>
  <c r="L56" i="17" s="1"/>
  <c r="C56" i="22"/>
  <c r="E9" i="5"/>
  <c r="E40" i="5"/>
  <c r="L50" i="17" s="1"/>
  <c r="DC59" i="42"/>
  <c r="DH59" i="42"/>
  <c r="DS59" i="42"/>
  <c r="AN59" i="42"/>
  <c r="AW59" i="42"/>
  <c r="DI59" i="42"/>
  <c r="BF59" i="42"/>
  <c r="DR59" i="42"/>
  <c r="BP59" i="42"/>
  <c r="M59" i="42"/>
  <c r="BY59" i="42"/>
  <c r="V59" i="42"/>
  <c r="CH59" i="42"/>
  <c r="W59" i="42"/>
  <c r="CI59" i="42"/>
  <c r="AF75" i="25"/>
  <c r="AF86" i="25" s="1"/>
  <c r="B86" i="25"/>
  <c r="P59" i="47"/>
  <c r="AH59" i="47" s="1"/>
  <c r="AS59" i="42"/>
  <c r="AF24" i="25"/>
  <c r="CI278" i="3"/>
  <c r="AF25" i="25" s="1"/>
  <c r="AQ176" i="3"/>
  <c r="B72" i="25"/>
  <c r="BZ282" i="3"/>
  <c r="B71" i="25" s="1"/>
  <c r="H137" i="9"/>
  <c r="H153" i="9"/>
  <c r="Y62" i="47" s="1"/>
  <c r="H150" i="9"/>
  <c r="S62" i="47" s="1"/>
  <c r="H147" i="9"/>
  <c r="H144" i="9"/>
  <c r="H136" i="9"/>
  <c r="I134" i="9"/>
  <c r="K96" i="25"/>
  <c r="CA291" i="3"/>
  <c r="H96" i="25" s="1"/>
  <c r="E41" i="9"/>
  <c r="E39" i="9"/>
  <c r="N81" i="25"/>
  <c r="AR70" i="25"/>
  <c r="AR81" i="25" s="1"/>
  <c r="AO18" i="25"/>
  <c r="AO29" i="25" s="1"/>
  <c r="CJ271" i="3"/>
  <c r="AL18" i="25" s="1"/>
  <c r="AL29" i="25" s="1"/>
  <c r="S40" i="41"/>
  <c r="R40" i="41"/>
  <c r="BA18" i="25"/>
  <c r="BA29" i="25" s="1"/>
  <c r="CP271" i="3"/>
  <c r="BD18" i="25" s="1"/>
  <c r="BD29" i="25" s="1"/>
  <c r="K59" i="42"/>
  <c r="S59" i="42"/>
  <c r="AF59" i="42"/>
  <c r="BT59" i="42"/>
  <c r="BE59" i="42"/>
  <c r="DQ59" i="42"/>
  <c r="BN59" i="42"/>
  <c r="L59" i="42"/>
  <c r="BX59" i="42"/>
  <c r="U59" i="42"/>
  <c r="CG59" i="42"/>
  <c r="AD59" i="42"/>
  <c r="CP59" i="42"/>
  <c r="AE59" i="42"/>
  <c r="CQ59" i="42"/>
  <c r="W70" i="25"/>
  <c r="CG281" i="3"/>
  <c r="Z70" i="25" s="1"/>
  <c r="AI59" i="42"/>
  <c r="AJ59" i="42"/>
  <c r="K175" i="3"/>
  <c r="AF73" i="25"/>
  <c r="AF84" i="25" s="1"/>
  <c r="B84" i="25"/>
  <c r="K190" i="3"/>
  <c r="BM189" i="3"/>
  <c r="D45" i="9"/>
  <c r="N105" i="25"/>
  <c r="AR96" i="25"/>
  <c r="AR105" i="25" s="1"/>
  <c r="V116" i="9"/>
  <c r="S186" i="3"/>
  <c r="F42" i="9" s="1"/>
  <c r="S188" i="3"/>
  <c r="W185" i="3"/>
  <c r="H45" i="9"/>
  <c r="H11" i="15"/>
  <c r="F18" i="31"/>
  <c r="K18" i="25"/>
  <c r="K29" i="25" s="1"/>
  <c r="CA271" i="3"/>
  <c r="H18" i="25" s="1"/>
  <c r="H29" i="25" s="1"/>
  <c r="X59" i="42"/>
  <c r="AY59" i="42"/>
  <c r="BL59" i="42"/>
  <c r="CZ59" i="42"/>
  <c r="BM59" i="42"/>
  <c r="J59" i="42"/>
  <c r="BV59" i="42"/>
  <c r="T59" i="42"/>
  <c r="CF59" i="42"/>
  <c r="AC59" i="42"/>
  <c r="CO59" i="42"/>
  <c r="AL59" i="42"/>
  <c r="CX59" i="42"/>
  <c r="AM59" i="42"/>
  <c r="CY59" i="42"/>
  <c r="K44" i="25"/>
  <c r="CA299" i="3"/>
  <c r="H44" i="25" s="1"/>
  <c r="P58" i="47"/>
  <c r="W18" i="25"/>
  <c r="W29" i="25" s="1"/>
  <c r="CG271" i="3"/>
  <c r="Z18" i="25" s="1"/>
  <c r="Z29" i="25" s="1"/>
  <c r="B76" i="25"/>
  <c r="BZ288" i="3"/>
  <c r="B77" i="25" s="1"/>
  <c r="G61" i="47"/>
  <c r="G141" i="9"/>
  <c r="G156" i="9" s="1"/>
  <c r="AQ59" i="42"/>
  <c r="CE59" i="42"/>
  <c r="CR59" i="42"/>
  <c r="I59" i="42"/>
  <c r="BU59" i="42"/>
  <c r="R59" i="42"/>
  <c r="CD59" i="42"/>
  <c r="AB59" i="42"/>
  <c r="CN59" i="42"/>
  <c r="AK59" i="42"/>
  <c r="CW59" i="42"/>
  <c r="AT59" i="42"/>
  <c r="DF59" i="42"/>
  <c r="AU59" i="42"/>
  <c r="E142" i="9" l="1"/>
  <c r="E157" i="9" s="1"/>
  <c r="D142" i="9"/>
  <c r="D157" i="9" s="1"/>
  <c r="V110" i="9"/>
  <c r="V108" i="9"/>
  <c r="V103" i="9"/>
  <c r="V92" i="9"/>
  <c r="H138" i="9" s="1"/>
  <c r="G145" i="9"/>
  <c r="G139" i="9"/>
  <c r="V117" i="9"/>
  <c r="V120" i="9"/>
  <c r="H151" i="9" s="1"/>
  <c r="V62" i="47" s="1"/>
  <c r="V101" i="9"/>
  <c r="W89" i="9"/>
  <c r="W117" i="9" s="1"/>
  <c r="V119" i="9"/>
  <c r="V112" i="9"/>
  <c r="V107" i="9"/>
  <c r="V121" i="9"/>
  <c r="V122" i="9"/>
  <c r="V123" i="9"/>
  <c r="H154" i="9" s="1"/>
  <c r="AB62" i="47" s="1"/>
  <c r="V96" i="9"/>
  <c r="V100" i="9"/>
  <c r="H148" i="9" s="1"/>
  <c r="V87" i="9"/>
  <c r="V88" i="9" s="1"/>
  <c r="V94" i="9"/>
  <c r="V115" i="9"/>
  <c r="V93" i="9"/>
  <c r="V97" i="9" s="1"/>
  <c r="H139" i="9" s="1"/>
  <c r="V102" i="9"/>
  <c r="V95" i="9"/>
  <c r="V104" i="9"/>
  <c r="V106" i="9"/>
  <c r="V118" i="9"/>
  <c r="V105" i="9"/>
  <c r="V113" i="9"/>
  <c r="V109" i="9"/>
  <c r="V111" i="9"/>
  <c r="V114" i="9"/>
  <c r="I32" i="17"/>
  <c r="O32" i="17" s="1"/>
  <c r="I33" i="17"/>
  <c r="O33" i="17" s="1"/>
  <c r="I34" i="17"/>
  <c r="O34" i="17" s="1"/>
  <c r="I35" i="17"/>
  <c r="O35" i="17" s="1"/>
  <c r="G148" i="9"/>
  <c r="P61" i="47" s="1"/>
  <c r="AH61" i="47" s="1"/>
  <c r="F157" i="9"/>
  <c r="AF51" i="25"/>
  <c r="AF62" i="25" s="1"/>
  <c r="AH60" i="47"/>
  <c r="AK60" i="47" s="1"/>
  <c r="I5" i="42"/>
  <c r="B56" i="25"/>
  <c r="I12" i="42"/>
  <c r="J8" i="42"/>
  <c r="J12" i="42" s="1"/>
  <c r="AE61" i="47"/>
  <c r="I7" i="42"/>
  <c r="I52" i="42" s="1"/>
  <c r="X68" i="17"/>
  <c r="X74" i="17"/>
  <c r="X73" i="17"/>
  <c r="X69" i="17"/>
  <c r="K7" i="5"/>
  <c r="H3" i="11"/>
  <c r="BH175" i="3"/>
  <c r="E46" i="9"/>
  <c r="O192" i="3"/>
  <c r="O213" i="3" s="1"/>
  <c r="O195" i="3"/>
  <c r="O232" i="3" s="1"/>
  <c r="O231" i="3"/>
  <c r="R38" i="9"/>
  <c r="L65" i="17"/>
  <c r="BE65" i="17" s="1"/>
  <c r="C62" i="5"/>
  <c r="W55" i="25"/>
  <c r="BA44" i="25"/>
  <c r="BA55" i="25" s="1"/>
  <c r="O21" i="16"/>
  <c r="L35" i="8"/>
  <c r="E9" i="10" s="1"/>
  <c r="C74" i="5"/>
  <c r="D8" i="13"/>
  <c r="BH176" i="3"/>
  <c r="AO44" i="25"/>
  <c r="AO55" i="25" s="1"/>
  <c r="K55" i="25"/>
  <c r="W120" i="9"/>
  <c r="I151" i="9" s="1"/>
  <c r="V63" i="47" s="1"/>
  <c r="W113" i="9"/>
  <c r="W112" i="9"/>
  <c r="W107" i="9"/>
  <c r="W103" i="9"/>
  <c r="W102" i="9"/>
  <c r="W118" i="9"/>
  <c r="W96" i="9"/>
  <c r="W94" i="9"/>
  <c r="Z81" i="25"/>
  <c r="BD70" i="25"/>
  <c r="BD81" i="25" s="1"/>
  <c r="M62" i="47"/>
  <c r="AF71" i="25"/>
  <c r="AF82" i="25" s="1"/>
  <c r="B82" i="25"/>
  <c r="L53" i="17"/>
  <c r="BE53" i="17" s="1"/>
  <c r="C50" i="5"/>
  <c r="C52" i="5"/>
  <c r="AL70" i="25"/>
  <c r="AL81" i="25" s="1"/>
  <c r="H81" i="25"/>
  <c r="R23" i="8"/>
  <c r="G165" i="5"/>
  <c r="F9" i="6"/>
  <c r="G82" i="5"/>
  <c r="G83" i="5"/>
  <c r="G91" i="5"/>
  <c r="G4" i="5"/>
  <c r="G5" i="5"/>
  <c r="H8" i="5"/>
  <c r="F39" i="9"/>
  <c r="F41" i="9"/>
  <c r="W81" i="25"/>
  <c r="BA70" i="25"/>
  <c r="BA81" i="25" s="1"/>
  <c r="AF72" i="25"/>
  <c r="AF83" i="25" s="1"/>
  <c r="B83" i="25"/>
  <c r="C56" i="5"/>
  <c r="C58" i="5"/>
  <c r="L62" i="17"/>
  <c r="K81" i="25"/>
  <c r="AO70" i="25"/>
  <c r="AO81" i="25" s="1"/>
  <c r="BH16" i="38"/>
  <c r="BL13" i="38" s="1"/>
  <c r="BL16" i="38" s="1"/>
  <c r="L27" i="10"/>
  <c r="X24" i="8"/>
  <c r="I12" i="6"/>
  <c r="AL44" i="25"/>
  <c r="AL55" i="25" s="1"/>
  <c r="H55" i="25"/>
  <c r="AF77" i="25"/>
  <c r="AF88" i="25" s="1"/>
  <c r="B88" i="25"/>
  <c r="L67" i="17"/>
  <c r="L60" i="17"/>
  <c r="BE60" i="17" s="1"/>
  <c r="C54" i="5"/>
  <c r="O66" i="8"/>
  <c r="O107" i="8" s="1"/>
  <c r="F7" i="10"/>
  <c r="U67" i="8"/>
  <c r="F44" i="9"/>
  <c r="S190" i="3"/>
  <c r="H105" i="25"/>
  <c r="AL96" i="25"/>
  <c r="AL105" i="25" s="1"/>
  <c r="G62" i="47"/>
  <c r="H141" i="9"/>
  <c r="H156" i="9" s="1"/>
  <c r="D10" i="6"/>
  <c r="L57" i="17"/>
  <c r="L64" i="17"/>
  <c r="BE64" i="17" s="1"/>
  <c r="C60" i="5"/>
  <c r="C48" i="5"/>
  <c r="I7" i="43"/>
  <c r="H5" i="43"/>
  <c r="BD96" i="25"/>
  <c r="BD105" i="25" s="1"/>
  <c r="Z105" i="25"/>
  <c r="AF76" i="25"/>
  <c r="AF87" i="25" s="1"/>
  <c r="B87" i="25"/>
  <c r="AH58" i="47"/>
  <c r="K105" i="25"/>
  <c r="AO96" i="25"/>
  <c r="AO105" i="25" s="1"/>
  <c r="C64" i="5"/>
  <c r="AK59" i="47"/>
  <c r="R108" i="8"/>
  <c r="BA96" i="25"/>
  <c r="BA105" i="25" s="1"/>
  <c r="W105" i="25"/>
  <c r="J18" i="31"/>
  <c r="J19" i="31" s="1"/>
  <c r="J15" i="31"/>
  <c r="W188" i="3"/>
  <c r="AA185" i="3"/>
  <c r="W186" i="3"/>
  <c r="G42" i="9" s="1"/>
  <c r="K192" i="3"/>
  <c r="D46" i="9"/>
  <c r="K195" i="3"/>
  <c r="K231" i="3"/>
  <c r="H8" i="44"/>
  <c r="J134" i="9"/>
  <c r="I147" i="9"/>
  <c r="I137" i="9"/>
  <c r="I144" i="9"/>
  <c r="I153" i="9"/>
  <c r="Y63" i="47" s="1"/>
  <c r="I136" i="9"/>
  <c r="I150" i="9"/>
  <c r="S63" i="47" s="1"/>
  <c r="E122" i="5"/>
  <c r="O36" i="8"/>
  <c r="F9" i="10" s="1"/>
  <c r="E6" i="6"/>
  <c r="F163" i="5"/>
  <c r="F125" i="5"/>
  <c r="F122" i="5"/>
  <c r="F155" i="5" s="1"/>
  <c r="F95" i="5"/>
  <c r="F17" i="5"/>
  <c r="F14" i="5"/>
  <c r="F9" i="5"/>
  <c r="E10" i="6" s="1"/>
  <c r="F21" i="5"/>
  <c r="O45" i="17" s="1"/>
  <c r="F13" i="5"/>
  <c r="BD44" i="25"/>
  <c r="BD55" i="25" s="1"/>
  <c r="Z55" i="25"/>
  <c r="X89" i="9" l="1"/>
  <c r="W93" i="9"/>
  <c r="W97" i="9" s="1"/>
  <c r="I139" i="9" s="1"/>
  <c r="W110" i="9"/>
  <c r="W92" i="9"/>
  <c r="I138" i="9" s="1"/>
  <c r="W124" i="9"/>
  <c r="W111" i="9"/>
  <c r="W123" i="9"/>
  <c r="I154" i="9" s="1"/>
  <c r="AB63" i="47" s="1"/>
  <c r="W104" i="9"/>
  <c r="W114" i="9"/>
  <c r="W95" i="9"/>
  <c r="W105" i="9"/>
  <c r="W115" i="9"/>
  <c r="W122" i="9"/>
  <c r="W106" i="9"/>
  <c r="W119" i="9"/>
  <c r="W87" i="9"/>
  <c r="W88" i="9" s="1"/>
  <c r="W100" i="9"/>
  <c r="W125" i="9" s="1"/>
  <c r="W108" i="9"/>
  <c r="W116" i="9"/>
  <c r="W121" i="9"/>
  <c r="W101" i="9"/>
  <c r="W109" i="9"/>
  <c r="V125" i="9"/>
  <c r="H145" i="9" s="1"/>
  <c r="H142" i="9" s="1"/>
  <c r="H157" i="9" s="1"/>
  <c r="J62" i="47"/>
  <c r="G142" i="9"/>
  <c r="G157" i="9" s="1"/>
  <c r="J6" i="42"/>
  <c r="J7" i="42"/>
  <c r="J52" i="42" s="1"/>
  <c r="AK61" i="47"/>
  <c r="J5" i="42"/>
  <c r="K8" i="42"/>
  <c r="K6" i="42" s="1"/>
  <c r="L7" i="5"/>
  <c r="I3" i="11"/>
  <c r="AE62" i="47"/>
  <c r="AA73" i="17"/>
  <c r="AA68" i="17"/>
  <c r="AA74" i="17"/>
  <c r="AA69" i="17"/>
  <c r="O210" i="3"/>
  <c r="E66" i="9" s="1"/>
  <c r="O212" i="3"/>
  <c r="E68" i="9" s="1"/>
  <c r="O211" i="3"/>
  <c r="E67" i="9" s="1"/>
  <c r="O216" i="3"/>
  <c r="E72" i="9" s="1"/>
  <c r="O230" i="3"/>
  <c r="O233" i="3" s="1"/>
  <c r="O208" i="3"/>
  <c r="E64" i="9" s="1"/>
  <c r="O209" i="3"/>
  <c r="E65" i="9" s="1"/>
  <c r="O223" i="3"/>
  <c r="E79" i="9" s="1"/>
  <c r="O215" i="3"/>
  <c r="E71" i="9" s="1"/>
  <c r="E51" i="9"/>
  <c r="E48" i="9"/>
  <c r="O214" i="3"/>
  <c r="E70" i="9" s="1"/>
  <c r="O196" i="3"/>
  <c r="O197" i="3" s="1"/>
  <c r="E16" i="6"/>
  <c r="H9" i="44"/>
  <c r="AK58" i="47"/>
  <c r="F37" i="11"/>
  <c r="M27" i="10"/>
  <c r="F35" i="11"/>
  <c r="AA24" i="8"/>
  <c r="J12" i="6"/>
  <c r="U23" i="8"/>
  <c r="H165" i="5"/>
  <c r="H166" i="5"/>
  <c r="G9" i="6"/>
  <c r="H83" i="5"/>
  <c r="H5" i="5"/>
  <c r="I8" i="5"/>
  <c r="H91" i="5"/>
  <c r="H4" i="5"/>
  <c r="H82" i="5"/>
  <c r="O76" i="8"/>
  <c r="O77" i="8" s="1"/>
  <c r="R47" i="16"/>
  <c r="E15" i="13"/>
  <c r="D6" i="11"/>
  <c r="L76" i="8"/>
  <c r="O47" i="16"/>
  <c r="C6" i="11"/>
  <c r="D15" i="13"/>
  <c r="E155" i="5"/>
  <c r="G41" i="9"/>
  <c r="G39" i="9"/>
  <c r="U108" i="8"/>
  <c r="X67" i="8"/>
  <c r="R36" i="8"/>
  <c r="G9" i="10" s="1"/>
  <c r="F6" i="6"/>
  <c r="G163" i="5"/>
  <c r="G46" i="5"/>
  <c r="G44" i="5"/>
  <c r="G42" i="5"/>
  <c r="R51" i="17" s="1"/>
  <c r="G40" i="5"/>
  <c r="R50" i="17" s="1"/>
  <c r="G95" i="5"/>
  <c r="G13" i="5"/>
  <c r="G21" i="5"/>
  <c r="R45" i="17" s="1"/>
  <c r="G38" i="5"/>
  <c r="R52" i="17" s="1"/>
  <c r="G36" i="5"/>
  <c r="R59" i="17" s="1"/>
  <c r="G34" i="5"/>
  <c r="R58" i="17" s="1"/>
  <c r="G32" i="5"/>
  <c r="G30" i="5"/>
  <c r="R56" i="17" s="1"/>
  <c r="G125" i="5"/>
  <c r="G14" i="5"/>
  <c r="G9" i="5"/>
  <c r="F10" i="6" s="1"/>
  <c r="G17" i="5"/>
  <c r="X123" i="9"/>
  <c r="J154" i="9" s="1"/>
  <c r="AB64" i="47" s="1"/>
  <c r="X121" i="9"/>
  <c r="X92" i="9"/>
  <c r="J138" i="9" s="1"/>
  <c r="Y89" i="9"/>
  <c r="X118" i="9"/>
  <c r="X94" i="9"/>
  <c r="X87" i="9"/>
  <c r="X88" i="9" s="1"/>
  <c r="X122" i="9"/>
  <c r="X96" i="9"/>
  <c r="X114" i="9"/>
  <c r="X106" i="9"/>
  <c r="X113" i="9"/>
  <c r="X105" i="9"/>
  <c r="X124" i="9"/>
  <c r="X112" i="9"/>
  <c r="X115" i="9"/>
  <c r="X107" i="9"/>
  <c r="X103" i="9"/>
  <c r="X101" i="9"/>
  <c r="X120" i="9"/>
  <c r="J151" i="9" s="1"/>
  <c r="V64" i="47" s="1"/>
  <c r="X111" i="9"/>
  <c r="X104" i="9"/>
  <c r="X102" i="9"/>
  <c r="X100" i="9"/>
  <c r="X119" i="9"/>
  <c r="X110" i="9"/>
  <c r="X117" i="9"/>
  <c r="X109" i="9"/>
  <c r="X95" i="9"/>
  <c r="X93" i="9"/>
  <c r="X97" i="9" s="1"/>
  <c r="X116" i="9"/>
  <c r="X108" i="9"/>
  <c r="K232" i="3"/>
  <c r="K196" i="3" s="1"/>
  <c r="D51" i="9"/>
  <c r="AA186" i="3"/>
  <c r="H42" i="9" s="1"/>
  <c r="AA188" i="3"/>
  <c r="AE185" i="3"/>
  <c r="F15" i="5"/>
  <c r="G15" i="5" s="1"/>
  <c r="H15" i="5" s="1"/>
  <c r="I15" i="5" s="1"/>
  <c r="J15" i="5" s="1"/>
  <c r="K15" i="5" s="1"/>
  <c r="L15" i="5" s="1"/>
  <c r="M15" i="5" s="1"/>
  <c r="N15" i="5" s="1"/>
  <c r="O15" i="5" s="1"/>
  <c r="P15" i="5" s="1"/>
  <c r="Q15" i="5" s="1"/>
  <c r="R15" i="5" s="1"/>
  <c r="S15" i="5" s="1"/>
  <c r="T15" i="5" s="1"/>
  <c r="U15" i="5" s="1"/>
  <c r="V15" i="5" s="1"/>
  <c r="W15" i="5" s="1"/>
  <c r="X15" i="5" s="1"/>
  <c r="Y15" i="5" s="1"/>
  <c r="Z15" i="5" s="1"/>
  <c r="AA15" i="5" s="1"/>
  <c r="AB15" i="5" s="1"/>
  <c r="AC15" i="5" s="1"/>
  <c r="AD15" i="5" s="1"/>
  <c r="AE15" i="5" s="1"/>
  <c r="AF15" i="5" s="1"/>
  <c r="AG15" i="5" s="1"/>
  <c r="AH15" i="5" s="1"/>
  <c r="AI15" i="5" s="1"/>
  <c r="F16" i="5"/>
  <c r="F19" i="5" s="1"/>
  <c r="G63" i="47"/>
  <c r="I141" i="9"/>
  <c r="I156" i="9" s="1"/>
  <c r="G44" i="9"/>
  <c r="W190" i="3"/>
  <c r="M63" i="47"/>
  <c r="L41" i="3"/>
  <c r="AE13" i="3" s="1"/>
  <c r="AE17" i="3" s="1"/>
  <c r="BH14" i="38"/>
  <c r="AD4" i="38"/>
  <c r="BL12" i="38"/>
  <c r="BL11" i="38"/>
  <c r="BL10" i="38"/>
  <c r="O120" i="8"/>
  <c r="E22" i="13"/>
  <c r="J153" i="9"/>
  <c r="Y64" i="47" s="1"/>
  <c r="J150" i="9"/>
  <c r="S64" i="47" s="1"/>
  <c r="J147" i="9"/>
  <c r="J144" i="9"/>
  <c r="J136" i="9"/>
  <c r="K134" i="9"/>
  <c r="J137" i="9"/>
  <c r="K214" i="3"/>
  <c r="K216" i="3"/>
  <c r="K208" i="3"/>
  <c r="D48" i="9"/>
  <c r="K230" i="3"/>
  <c r="K223" i="3"/>
  <c r="K210" i="3"/>
  <c r="K211" i="3"/>
  <c r="K212" i="3"/>
  <c r="K209" i="3"/>
  <c r="K215" i="3"/>
  <c r="K213" i="3"/>
  <c r="E69" i="9"/>
  <c r="J7" i="43"/>
  <c r="I5" i="43"/>
  <c r="F36" i="11"/>
  <c r="R66" i="8"/>
  <c r="R107" i="8" s="1"/>
  <c r="G7" i="10"/>
  <c r="O17" i="31"/>
  <c r="P62" i="47"/>
  <c r="F38" i="11"/>
  <c r="S195" i="3"/>
  <c r="S231" i="3"/>
  <c r="S192" i="3"/>
  <c r="F46" i="9"/>
  <c r="P8" i="44"/>
  <c r="P9" i="44" s="1"/>
  <c r="J63" i="47" l="1"/>
  <c r="I145" i="9"/>
  <c r="I142" i="9" s="1"/>
  <c r="I148" i="9"/>
  <c r="P63" i="47" s="1"/>
  <c r="AH62" i="47"/>
  <c r="AK62" i="47" s="1"/>
  <c r="F29" i="5"/>
  <c r="F68" i="5" s="1"/>
  <c r="R57" i="16" s="1"/>
  <c r="O43" i="17"/>
  <c r="L8" i="42"/>
  <c r="M8" i="42" s="1"/>
  <c r="K12" i="42"/>
  <c r="K7" i="42"/>
  <c r="K52" i="42" s="1"/>
  <c r="K5" i="42"/>
  <c r="G122" i="5"/>
  <c r="G155" i="5" s="1"/>
  <c r="F22" i="13" s="1"/>
  <c r="F147" i="5"/>
  <c r="F110" i="5"/>
  <c r="AD68" i="17"/>
  <c r="AD69" i="17"/>
  <c r="AD74" i="17"/>
  <c r="AD73" i="17"/>
  <c r="G16" i="5"/>
  <c r="M7" i="5"/>
  <c r="J3" i="11"/>
  <c r="O234" i="3"/>
  <c r="O235" i="3" s="1"/>
  <c r="O236" i="3" s="1"/>
  <c r="E52" i="9"/>
  <c r="O217" i="3"/>
  <c r="E73" i="9" s="1"/>
  <c r="D69" i="9"/>
  <c r="D66" i="9"/>
  <c r="G64" i="47"/>
  <c r="J141" i="9"/>
  <c r="J156" i="9" s="1"/>
  <c r="X4" i="38"/>
  <c r="L40" i="3"/>
  <c r="J148" i="9"/>
  <c r="X125" i="9"/>
  <c r="J145" i="9" s="1"/>
  <c r="N27" i="10"/>
  <c r="F51" i="9"/>
  <c r="S232" i="3"/>
  <c r="S196" i="3" s="1"/>
  <c r="S197" i="3" s="1"/>
  <c r="L134" i="9"/>
  <c r="K137" i="9"/>
  <c r="K144" i="9"/>
  <c r="K153" i="9"/>
  <c r="Y65" i="47" s="1"/>
  <c r="K147" i="9"/>
  <c r="K150" i="9"/>
  <c r="S65" i="47" s="1"/>
  <c r="K136" i="9"/>
  <c r="J8" i="27"/>
  <c r="L28" i="12"/>
  <c r="AJ13" i="3"/>
  <c r="AD80" i="3"/>
  <c r="AD104" i="3" s="1"/>
  <c r="O85" i="3"/>
  <c r="O86" i="3" s="1"/>
  <c r="AZ81" i="3"/>
  <c r="D81" i="5"/>
  <c r="D85" i="5" s="1"/>
  <c r="D65" i="9"/>
  <c r="K233" i="3"/>
  <c r="K234" i="3"/>
  <c r="H44" i="9"/>
  <c r="AA190" i="3"/>
  <c r="J64" i="47"/>
  <c r="J139" i="9"/>
  <c r="L77" i="8"/>
  <c r="D79" i="9"/>
  <c r="W192" i="3"/>
  <c r="W231" i="3"/>
  <c r="G46" i="9"/>
  <c r="W195" i="3"/>
  <c r="T8" i="44"/>
  <c r="T9" i="44" s="1"/>
  <c r="H39" i="9"/>
  <c r="H41" i="9"/>
  <c r="F16" i="6"/>
  <c r="X23" i="8"/>
  <c r="I166" i="5"/>
  <c r="H9" i="6"/>
  <c r="I167" i="5"/>
  <c r="I165" i="5"/>
  <c r="I91" i="5"/>
  <c r="I82" i="5"/>
  <c r="I4" i="5"/>
  <c r="J8" i="5"/>
  <c r="I83" i="5"/>
  <c r="I5" i="5"/>
  <c r="AD24" i="8"/>
  <c r="K12" i="6"/>
  <c r="D52" i="9"/>
  <c r="D64" i="9"/>
  <c r="K217" i="3"/>
  <c r="M64" i="47"/>
  <c r="Y117" i="9"/>
  <c r="Y116" i="9"/>
  <c r="Y115" i="9"/>
  <c r="Y114" i="9"/>
  <c r="Y113" i="9"/>
  <c r="Y112" i="9"/>
  <c r="Y111" i="9"/>
  <c r="Y110" i="9"/>
  <c r="Y109" i="9"/>
  <c r="Y108" i="9"/>
  <c r="Y107" i="9"/>
  <c r="Y106" i="9"/>
  <c r="Y105" i="9"/>
  <c r="Y104" i="9"/>
  <c r="Y103" i="9"/>
  <c r="Y102" i="9"/>
  <c r="Y101" i="9"/>
  <c r="Y100" i="9"/>
  <c r="Y124" i="9"/>
  <c r="Y93" i="9"/>
  <c r="Y97" i="9" s="1"/>
  <c r="Y122" i="9"/>
  <c r="Y95" i="9"/>
  <c r="Y120" i="9"/>
  <c r="K151" i="9" s="1"/>
  <c r="V65" i="47" s="1"/>
  <c r="Y119" i="9"/>
  <c r="Y123" i="9"/>
  <c r="K154" i="9" s="1"/>
  <c r="AB65" i="47" s="1"/>
  <c r="Y121" i="9"/>
  <c r="Y87" i="9"/>
  <c r="Y88" i="9" s="1"/>
  <c r="Y118" i="9"/>
  <c r="Y96" i="9"/>
  <c r="Y94" i="9"/>
  <c r="Y92" i="9"/>
  <c r="K138" i="9" s="1"/>
  <c r="Z89" i="9"/>
  <c r="R57" i="17"/>
  <c r="R62" i="17"/>
  <c r="X108" i="8"/>
  <c r="L120" i="8"/>
  <c r="D22" i="13"/>
  <c r="U36" i="8"/>
  <c r="H9" i="10" s="1"/>
  <c r="G6" i="6"/>
  <c r="H163" i="5"/>
  <c r="H46" i="5"/>
  <c r="U67" i="17" s="1"/>
  <c r="H44" i="5"/>
  <c r="U62" i="17" s="1"/>
  <c r="H42" i="5"/>
  <c r="U51" i="17" s="1"/>
  <c r="H40" i="5"/>
  <c r="U50" i="17" s="1"/>
  <c r="H125" i="5"/>
  <c r="H17" i="5"/>
  <c r="H14" i="5"/>
  <c r="H9" i="5"/>
  <c r="G10" i="6" s="1"/>
  <c r="H38" i="5"/>
  <c r="U52" i="17" s="1"/>
  <c r="H36" i="5"/>
  <c r="U59" i="17" s="1"/>
  <c r="H21" i="5"/>
  <c r="U45" i="17" s="1"/>
  <c r="H95" i="5"/>
  <c r="H34" i="5"/>
  <c r="U58" i="17" s="1"/>
  <c r="H32" i="5"/>
  <c r="U57" i="17" s="1"/>
  <c r="H30" i="5"/>
  <c r="U56" i="17" s="1"/>
  <c r="H13" i="5"/>
  <c r="AA67" i="8"/>
  <c r="AE188" i="3"/>
  <c r="AI185" i="3"/>
  <c r="AE186" i="3"/>
  <c r="I42" i="9" s="1"/>
  <c r="J5" i="43"/>
  <c r="K7" i="43"/>
  <c r="D68" i="9"/>
  <c r="D72" i="9"/>
  <c r="AE63" i="47"/>
  <c r="R67" i="17"/>
  <c r="U66" i="8"/>
  <c r="U107" i="8" s="1"/>
  <c r="H7" i="10"/>
  <c r="E53" i="9"/>
  <c r="D71" i="9"/>
  <c r="D67" i="9"/>
  <c r="K197" i="3"/>
  <c r="S216" i="3"/>
  <c r="S208" i="3"/>
  <c r="F48" i="9"/>
  <c r="S230" i="3"/>
  <c r="S223" i="3"/>
  <c r="S210" i="3"/>
  <c r="S212" i="3"/>
  <c r="S213" i="3"/>
  <c r="S214" i="3"/>
  <c r="S209" i="3"/>
  <c r="S215" i="3"/>
  <c r="S211" i="3"/>
  <c r="D70" i="9"/>
  <c r="F112" i="5"/>
  <c r="F111" i="5"/>
  <c r="AH63" i="47" l="1"/>
  <c r="AK63" i="47" s="1"/>
  <c r="I157" i="9"/>
  <c r="R19" i="16"/>
  <c r="E7" i="13"/>
  <c r="O29" i="8"/>
  <c r="F69" i="5"/>
  <c r="O70" i="17"/>
  <c r="O76" i="17" s="1"/>
  <c r="O77" i="17" s="1"/>
  <c r="L12" i="42"/>
  <c r="L5" i="42"/>
  <c r="L6" i="42"/>
  <c r="L7" i="42"/>
  <c r="R76" i="8"/>
  <c r="R77" i="8" s="1"/>
  <c r="R120" i="8"/>
  <c r="E6" i="11"/>
  <c r="F15" i="13"/>
  <c r="U47" i="16"/>
  <c r="G112" i="5"/>
  <c r="G19" i="5"/>
  <c r="R43" i="17" s="1"/>
  <c r="H122" i="5"/>
  <c r="H155" i="5" s="1"/>
  <c r="U120" i="8" s="1"/>
  <c r="H16" i="5"/>
  <c r="H19" i="5" s="1"/>
  <c r="G111" i="5"/>
  <c r="AG69" i="17"/>
  <c r="AG68" i="17"/>
  <c r="AG73" i="17"/>
  <c r="AG74" i="17"/>
  <c r="K3" i="11"/>
  <c r="N7" i="5"/>
  <c r="O220" i="3"/>
  <c r="O221" i="3" s="1"/>
  <c r="E77" i="9" s="1"/>
  <c r="O218" i="3"/>
  <c r="E74" i="9" s="1"/>
  <c r="K235" i="3"/>
  <c r="K236" i="3" s="1"/>
  <c r="J142" i="9"/>
  <c r="J157" i="9" s="1"/>
  <c r="F53" i="9"/>
  <c r="F64" i="9"/>
  <c r="S217" i="3"/>
  <c r="F25" i="5"/>
  <c r="O47" i="17" s="1"/>
  <c r="F69" i="9"/>
  <c r="F72" i="9"/>
  <c r="G16" i="6"/>
  <c r="X66" i="8"/>
  <c r="X107" i="8" s="1"/>
  <c r="I7" i="10"/>
  <c r="AA195" i="3"/>
  <c r="AA231" i="3"/>
  <c r="AA192" i="3"/>
  <c r="H46" i="9"/>
  <c r="X8" i="44"/>
  <c r="G65" i="47"/>
  <c r="K141" i="9"/>
  <c r="K156" i="9" s="1"/>
  <c r="Y125" i="9"/>
  <c r="K145" i="9" s="1"/>
  <c r="K148" i="9"/>
  <c r="L153" i="9"/>
  <c r="Y66" i="47" s="1"/>
  <c r="L150" i="9"/>
  <c r="S66" i="47" s="1"/>
  <c r="L147" i="9"/>
  <c r="L144" i="9"/>
  <c r="L136" i="9"/>
  <c r="L137" i="9"/>
  <c r="M134" i="9"/>
  <c r="F68" i="9"/>
  <c r="AI188" i="3"/>
  <c r="AM185" i="3"/>
  <c r="AI186" i="3"/>
  <c r="J42" i="9" s="1"/>
  <c r="AD67" i="8"/>
  <c r="I41" i="9"/>
  <c r="I39" i="9"/>
  <c r="F67" i="9"/>
  <c r="F66" i="9"/>
  <c r="I44" i="9"/>
  <c r="AE190" i="3"/>
  <c r="Z121" i="9"/>
  <c r="Z92" i="9"/>
  <c r="L138" i="9" s="1"/>
  <c r="AA89" i="9"/>
  <c r="Z118" i="9"/>
  <c r="Z94" i="9"/>
  <c r="Z87" i="9"/>
  <c r="Z88" i="9" s="1"/>
  <c r="Z96" i="9"/>
  <c r="Z120" i="9"/>
  <c r="L151" i="9" s="1"/>
  <c r="V66" i="47" s="1"/>
  <c r="Z119" i="9"/>
  <c r="Z123" i="9"/>
  <c r="L154" i="9" s="1"/>
  <c r="AB66" i="47" s="1"/>
  <c r="Z113" i="9"/>
  <c r="Z105" i="9"/>
  <c r="Z114" i="9"/>
  <c r="Z124" i="9"/>
  <c r="Z112" i="9"/>
  <c r="Z122" i="9"/>
  <c r="Z111" i="9"/>
  <c r="Z104" i="9"/>
  <c r="Z102" i="9"/>
  <c r="Z100" i="9"/>
  <c r="Z110" i="9"/>
  <c r="Z117" i="9"/>
  <c r="Z109" i="9"/>
  <c r="Z95" i="9"/>
  <c r="Z93" i="9"/>
  <c r="Z97" i="9" s="1"/>
  <c r="Z116" i="9"/>
  <c r="Z108" i="9"/>
  <c r="Z106" i="9"/>
  <c r="Z115" i="9"/>
  <c r="Z107" i="9"/>
  <c r="Z103" i="9"/>
  <c r="Z101" i="9"/>
  <c r="X36" i="8"/>
  <c r="I9" i="10" s="1"/>
  <c r="H6" i="6"/>
  <c r="I163" i="5"/>
  <c r="I95" i="5"/>
  <c r="I125" i="5"/>
  <c r="I21" i="5"/>
  <c r="X45" i="17" s="1"/>
  <c r="I38" i="5"/>
  <c r="X52" i="17" s="1"/>
  <c r="I36" i="5"/>
  <c r="X59" i="17" s="1"/>
  <c r="I34" i="5"/>
  <c r="X58" i="17" s="1"/>
  <c r="I32" i="5"/>
  <c r="I30" i="5"/>
  <c r="X56" i="17" s="1"/>
  <c r="I46" i="5"/>
  <c r="I40" i="5"/>
  <c r="X50" i="17" s="1"/>
  <c r="I13" i="5"/>
  <c r="I42" i="5"/>
  <c r="X51" i="17" s="1"/>
  <c r="I14" i="5"/>
  <c r="I9" i="5"/>
  <c r="H10" i="6" s="1"/>
  <c r="I44" i="5"/>
  <c r="I17" i="5"/>
  <c r="W232" i="3"/>
  <c r="W196" i="3" s="1"/>
  <c r="G51" i="9"/>
  <c r="U10" i="8"/>
  <c r="F113" i="5"/>
  <c r="AE64" i="47"/>
  <c r="F71" i="9"/>
  <c r="F79" i="9"/>
  <c r="K220" i="3"/>
  <c r="D53" i="9"/>
  <c r="D10" i="31"/>
  <c r="AD90" i="3"/>
  <c r="AZ88" i="3"/>
  <c r="F114" i="5"/>
  <c r="F65" i="9"/>
  <c r="S233" i="3"/>
  <c r="S234" i="3"/>
  <c r="K5" i="43"/>
  <c r="L7" i="43"/>
  <c r="AA23" i="8"/>
  <c r="J168" i="5"/>
  <c r="J166" i="5"/>
  <c r="I9" i="6"/>
  <c r="J167" i="5"/>
  <c r="J165" i="5"/>
  <c r="J91" i="5"/>
  <c r="J82" i="5"/>
  <c r="J83" i="5"/>
  <c r="J5" i="5"/>
  <c r="K8" i="5"/>
  <c r="J4" i="5"/>
  <c r="M65" i="47"/>
  <c r="L52" i="42"/>
  <c r="AG24" i="8"/>
  <c r="L12" i="6"/>
  <c r="K218" i="3"/>
  <c r="D74" i="9" s="1"/>
  <c r="D73" i="9"/>
  <c r="W209" i="3"/>
  <c r="W211" i="3"/>
  <c r="W213" i="3"/>
  <c r="W214" i="3"/>
  <c r="W215" i="3"/>
  <c r="W210" i="3"/>
  <c r="G48" i="9"/>
  <c r="W223" i="3"/>
  <c r="W216" i="3"/>
  <c r="W230" i="3"/>
  <c r="W212" i="3"/>
  <c r="W208" i="3"/>
  <c r="Z9" i="27"/>
  <c r="N8" i="42"/>
  <c r="M7" i="42"/>
  <c r="M6" i="42"/>
  <c r="M5" i="42"/>
  <c r="M12" i="42"/>
  <c r="F52" i="9"/>
  <c r="AA108" i="8"/>
  <c r="O27" i="10"/>
  <c r="F70" i="9"/>
  <c r="J65" i="47"/>
  <c r="K139" i="9"/>
  <c r="P64" i="47"/>
  <c r="AD88" i="3" l="1"/>
  <c r="AH88" i="3" s="1"/>
  <c r="H29" i="5"/>
  <c r="H68" i="5" s="1"/>
  <c r="U70" i="17" s="1"/>
  <c r="U76" i="17" s="1"/>
  <c r="U43" i="17"/>
  <c r="AH80" i="3"/>
  <c r="AA32" i="12" s="1"/>
  <c r="AD87" i="3"/>
  <c r="H111" i="5"/>
  <c r="H112" i="5"/>
  <c r="H110" i="5"/>
  <c r="F6" i="11"/>
  <c r="U76" i="8"/>
  <c r="U77" i="8" s="1"/>
  <c r="G22" i="13"/>
  <c r="G15" i="13"/>
  <c r="X47" i="16"/>
  <c r="H147" i="5"/>
  <c r="G25" i="5"/>
  <c r="R47" i="17" s="1"/>
  <c r="I122" i="5"/>
  <c r="I155" i="5" s="1"/>
  <c r="X120" i="8" s="1"/>
  <c r="G29" i="5"/>
  <c r="G68" i="5" s="1"/>
  <c r="R70" i="17" s="1"/>
  <c r="R76" i="17" s="1"/>
  <c r="R77" i="17" s="1"/>
  <c r="G147" i="5"/>
  <c r="G110" i="5"/>
  <c r="G114" i="5" s="1"/>
  <c r="E76" i="9"/>
  <c r="O7" i="5"/>
  <c r="L3" i="11"/>
  <c r="AJ69" i="17"/>
  <c r="AJ68" i="17"/>
  <c r="AJ74" i="17"/>
  <c r="AJ73" i="17"/>
  <c r="F115" i="5"/>
  <c r="F116" i="5" s="1"/>
  <c r="S235" i="3"/>
  <c r="S236" i="3" s="1"/>
  <c r="K142" i="9"/>
  <c r="K157" i="9" s="1"/>
  <c r="AA66" i="8"/>
  <c r="AA107" i="8" s="1"/>
  <c r="J7" i="10"/>
  <c r="N7" i="42"/>
  <c r="N6" i="42"/>
  <c r="N5" i="42"/>
  <c r="N12" i="42"/>
  <c r="O8" i="42"/>
  <c r="G52" i="9"/>
  <c r="W197" i="3"/>
  <c r="G68" i="9"/>
  <c r="G70" i="9"/>
  <c r="AD108" i="8"/>
  <c r="AE65" i="47"/>
  <c r="AJ24" i="8"/>
  <c r="M12" i="6"/>
  <c r="X62" i="17"/>
  <c r="I46" i="9"/>
  <c r="AE195" i="3"/>
  <c r="AE192" i="3"/>
  <c r="AE231" i="3"/>
  <c r="AB8" i="44"/>
  <c r="AB9" i="44" s="1"/>
  <c r="X9" i="44"/>
  <c r="I10" i="8"/>
  <c r="P12" i="16"/>
  <c r="H8" i="15"/>
  <c r="AA28" i="12"/>
  <c r="D13" i="6"/>
  <c r="D128" i="5"/>
  <c r="D94" i="5"/>
  <c r="J66" i="47"/>
  <c r="L139" i="9"/>
  <c r="G67" i="9"/>
  <c r="G79" i="9"/>
  <c r="G65" i="9"/>
  <c r="AG67" i="8"/>
  <c r="I18" i="31" a="1"/>
  <c r="I18" i="31" s="1"/>
  <c r="I10" i="31"/>
  <c r="D14" i="31"/>
  <c r="B370" i="31" a="1"/>
  <c r="B370" i="31" s="1"/>
  <c r="O370" i="31" s="1"/>
  <c r="AL379" i="15" s="1"/>
  <c r="B381" i="31" a="1"/>
  <c r="B381" i="31" s="1"/>
  <c r="O381" i="31" s="1"/>
  <c r="AL390" i="15" s="1"/>
  <c r="B367" i="31" a="1"/>
  <c r="B367" i="31" s="1"/>
  <c r="O367" i="31" s="1"/>
  <c r="AL376" i="15" s="1"/>
  <c r="B353" i="31" a="1"/>
  <c r="B353" i="31" s="1"/>
  <c r="O353" i="31" s="1"/>
  <c r="AL362" i="15" s="1"/>
  <c r="B321" i="31" a="1"/>
  <c r="B321" i="31" s="1"/>
  <c r="O321" i="31" s="1"/>
  <c r="AL330" i="15" s="1"/>
  <c r="B289" i="31" a="1"/>
  <c r="B289" i="31" s="1"/>
  <c r="O289" i="31" s="1"/>
  <c r="AL298" i="15" s="1"/>
  <c r="B257" i="31" a="1"/>
  <c r="B257" i="31" s="1"/>
  <c r="O257" i="31" s="1"/>
  <c r="AL266" i="15" s="1"/>
  <c r="B352" i="31" a="1"/>
  <c r="B352" i="31" s="1"/>
  <c r="O352" i="31" s="1"/>
  <c r="AL361" i="15" s="1"/>
  <c r="B320" i="31" a="1"/>
  <c r="B320" i="31" s="1"/>
  <c r="O320" i="31" s="1"/>
  <c r="AL329" i="15" s="1"/>
  <c r="B288" i="31" a="1"/>
  <c r="B288" i="31" s="1"/>
  <c r="O288" i="31" s="1"/>
  <c r="AL297" i="15" s="1"/>
  <c r="B338" i="31" a="1"/>
  <c r="B338" i="31" s="1"/>
  <c r="O338" i="31" s="1"/>
  <c r="AL347" i="15" s="1"/>
  <c r="B306" i="31" a="1"/>
  <c r="B306" i="31" s="1"/>
  <c r="O306" i="31" s="1"/>
  <c r="AL315" i="15" s="1"/>
  <c r="B274" i="31" a="1"/>
  <c r="B274" i="31" s="1"/>
  <c r="O274" i="31" s="1"/>
  <c r="AL283" i="15" s="1"/>
  <c r="B239" i="31" a="1"/>
  <c r="B239" i="31" s="1"/>
  <c r="O239" i="31" s="1"/>
  <c r="AL248" i="15" s="1"/>
  <c r="B207" i="31" a="1"/>
  <c r="B207" i="31" s="1"/>
  <c r="O207" i="31" s="1"/>
  <c r="AL216" i="15" s="1"/>
  <c r="B175" i="31" a="1"/>
  <c r="B175" i="31" s="1"/>
  <c r="O175" i="31" s="1"/>
  <c r="AL184" i="15" s="1"/>
  <c r="B315" i="31" a="1"/>
  <c r="B315" i="31" s="1"/>
  <c r="O315" i="31" s="1"/>
  <c r="AL324" i="15" s="1"/>
  <c r="B246" i="31" a="1"/>
  <c r="B246" i="31" s="1"/>
  <c r="O246" i="31" s="1"/>
  <c r="AL255" i="15" s="1"/>
  <c r="B214" i="31" a="1"/>
  <c r="B214" i="31" s="1"/>
  <c r="O214" i="31" s="1"/>
  <c r="AL223" i="15" s="1"/>
  <c r="B182" i="31" a="1"/>
  <c r="B182" i="31" s="1"/>
  <c r="O182" i="31" s="1"/>
  <c r="AL191" i="15" s="1"/>
  <c r="B267" i="31" a="1"/>
  <c r="B267" i="31" s="1"/>
  <c r="O267" i="31" s="1"/>
  <c r="AL276" i="15" s="1"/>
  <c r="B319" i="31" a="1"/>
  <c r="B319" i="31" s="1"/>
  <c r="O319" i="31" s="1"/>
  <c r="AL328" i="15" s="1"/>
  <c r="B248" i="31" a="1"/>
  <c r="B248" i="31" s="1"/>
  <c r="O248" i="31" s="1"/>
  <c r="AL257" i="15" s="1"/>
  <c r="B216" i="31" a="1"/>
  <c r="B216" i="31" s="1"/>
  <c r="O216" i="31" s="1"/>
  <c r="AL225" i="15" s="1"/>
  <c r="B184" i="31" a="1"/>
  <c r="B184" i="31" s="1"/>
  <c r="O184" i="31" s="1"/>
  <c r="AL193" i="15" s="1"/>
  <c r="B181" i="31" a="1"/>
  <c r="B181" i="31" s="1"/>
  <c r="O181" i="31" s="1"/>
  <c r="AL190" i="15" s="1"/>
  <c r="B343" i="31" a="1"/>
  <c r="B343" i="31" s="1"/>
  <c r="O343" i="31" s="1"/>
  <c r="AL352" i="15" s="1"/>
  <c r="B225" i="31" a="1"/>
  <c r="B225" i="31" s="1"/>
  <c r="O225" i="31" s="1"/>
  <c r="AL234" i="15" s="1"/>
  <c r="B123" i="31" a="1"/>
  <c r="B123" i="31" s="1"/>
  <c r="O123" i="31" s="1"/>
  <c r="AL132" i="15" s="1"/>
  <c r="B91" i="31" a="1"/>
  <c r="B91" i="31" s="1"/>
  <c r="O91" i="31" s="1"/>
  <c r="AL100" i="15" s="1"/>
  <c r="B59" i="31" a="1"/>
  <c r="B59" i="31" s="1"/>
  <c r="O59" i="31" s="1"/>
  <c r="AL68" i="15" s="1"/>
  <c r="B27" i="31" a="1"/>
  <c r="B27" i="31" s="1"/>
  <c r="O27" i="31" s="1"/>
  <c r="AL36" i="15" s="1"/>
  <c r="B133" i="31" a="1"/>
  <c r="B133" i="31" s="1"/>
  <c r="O133" i="31" s="1"/>
  <c r="AL142" i="15" s="1"/>
  <c r="B209" i="31" a="1"/>
  <c r="B209" i="31" s="1"/>
  <c r="O209" i="31" s="1"/>
  <c r="AL218" i="15" s="1"/>
  <c r="B114" i="31" a="1"/>
  <c r="B114" i="31" s="1"/>
  <c r="O114" i="31" s="1"/>
  <c r="AL123" i="15" s="1"/>
  <c r="B82" i="31" a="1"/>
  <c r="B82" i="31" s="1"/>
  <c r="O82" i="31" s="1"/>
  <c r="AL91" i="15" s="1"/>
  <c r="B50" i="31" a="1"/>
  <c r="B50" i="31" s="1"/>
  <c r="O50" i="31" s="1"/>
  <c r="AL59" i="15" s="1"/>
  <c r="B131" i="31" a="1"/>
  <c r="B131" i="31" s="1"/>
  <c r="O131" i="31" s="1"/>
  <c r="AL140" i="15" s="1"/>
  <c r="B130" i="31" a="1"/>
  <c r="B130" i="31" s="1"/>
  <c r="O130" i="31" s="1"/>
  <c r="AL139" i="15" s="1"/>
  <c r="B101" i="31" a="1"/>
  <c r="B101" i="31" s="1"/>
  <c r="O101" i="31" s="1"/>
  <c r="AL110" i="15" s="1"/>
  <c r="B69" i="31" a="1"/>
  <c r="B69" i="31" s="1"/>
  <c r="O69" i="31" s="1"/>
  <c r="AL78" i="15" s="1"/>
  <c r="B37" i="31" a="1"/>
  <c r="B37" i="31" s="1"/>
  <c r="O37" i="31" s="1"/>
  <c r="AL46" i="15" s="1"/>
  <c r="B44" i="31" a="1"/>
  <c r="B44" i="31" s="1"/>
  <c r="O44" i="31" s="1"/>
  <c r="AL53" i="15" s="1"/>
  <c r="B40" i="31" a="1"/>
  <c r="B40" i="31" s="1"/>
  <c r="O40" i="31" s="1"/>
  <c r="AL49" i="15" s="1"/>
  <c r="B36" i="31" a="1"/>
  <c r="B36" i="31" s="1"/>
  <c r="O36" i="31" s="1"/>
  <c r="AL45" i="15" s="1"/>
  <c r="B32" i="31" a="1"/>
  <c r="B32" i="31" s="1"/>
  <c r="O32" i="31" s="1"/>
  <c r="AL41" i="15" s="1"/>
  <c r="B342" i="31" a="1"/>
  <c r="B342" i="31" s="1"/>
  <c r="O342" i="31" s="1"/>
  <c r="AL351" i="15" s="1"/>
  <c r="B134" i="31" a="1"/>
  <c r="B134" i="31" s="1"/>
  <c r="O134" i="31" s="1"/>
  <c r="AL143" i="15" s="1"/>
  <c r="B141" i="31" a="1"/>
  <c r="B141" i="31" s="1"/>
  <c r="O141" i="31" s="1"/>
  <c r="AL150" i="15" s="1"/>
  <c r="B54" i="31" a="1"/>
  <c r="B54" i="31" s="1"/>
  <c r="O54" i="31" s="1"/>
  <c r="AL63" i="15" s="1"/>
  <c r="B201" i="31" a="1"/>
  <c r="B201" i="31" s="1"/>
  <c r="O201" i="31" s="1"/>
  <c r="AL210" i="15" s="1"/>
  <c r="B366" i="31" a="1"/>
  <c r="B366" i="31" s="1"/>
  <c r="O366" i="31" s="1"/>
  <c r="AL375" i="15" s="1"/>
  <c r="B377" i="31" a="1"/>
  <c r="B377" i="31" s="1"/>
  <c r="O377" i="31" s="1"/>
  <c r="AL386" i="15" s="1"/>
  <c r="B363" i="31" a="1"/>
  <c r="B363" i="31" s="1"/>
  <c r="O363" i="31" s="1"/>
  <c r="AL372" i="15" s="1"/>
  <c r="B349" i="31" a="1"/>
  <c r="B349" i="31" s="1"/>
  <c r="O349" i="31" s="1"/>
  <c r="AL358" i="15" s="1"/>
  <c r="B317" i="31" a="1"/>
  <c r="B317" i="31" s="1"/>
  <c r="O317" i="31" s="1"/>
  <c r="AL326" i="15" s="1"/>
  <c r="B285" i="31" a="1"/>
  <c r="B285" i="31" s="1"/>
  <c r="O285" i="31" s="1"/>
  <c r="AL294" i="15" s="1"/>
  <c r="B348" i="31" a="1"/>
  <c r="B348" i="31" s="1"/>
  <c r="O348" i="31" s="1"/>
  <c r="AL357" i="15" s="1"/>
  <c r="B316" i="31" a="1"/>
  <c r="B316" i="31" s="1"/>
  <c r="O316" i="31" s="1"/>
  <c r="AL325" i="15" s="1"/>
  <c r="B284" i="31" a="1"/>
  <c r="B284" i="31" s="1"/>
  <c r="O284" i="31" s="1"/>
  <c r="AL293" i="15" s="1"/>
  <c r="B334" i="31" a="1"/>
  <c r="B334" i="31" s="1"/>
  <c r="O334" i="31" s="1"/>
  <c r="AL343" i="15" s="1"/>
  <c r="B302" i="31" a="1"/>
  <c r="B302" i="31" s="1"/>
  <c r="O302" i="31" s="1"/>
  <c r="AL311" i="15" s="1"/>
  <c r="B270" i="31" a="1"/>
  <c r="B270" i="31" s="1"/>
  <c r="O270" i="31" s="1"/>
  <c r="AL279" i="15" s="1"/>
  <c r="B235" i="31" a="1"/>
  <c r="B235" i="31" s="1"/>
  <c r="O235" i="31" s="1"/>
  <c r="AL244" i="15" s="1"/>
  <c r="B203" i="31" a="1"/>
  <c r="B203" i="31" s="1"/>
  <c r="O203" i="31" s="1"/>
  <c r="AL212" i="15" s="1"/>
  <c r="B171" i="31" a="1"/>
  <c r="B171" i="31" s="1"/>
  <c r="O171" i="31" s="1"/>
  <c r="AL180" i="15" s="1"/>
  <c r="B303" i="31" a="1"/>
  <c r="B303" i="31" s="1"/>
  <c r="O303" i="31" s="1"/>
  <c r="AL312" i="15" s="1"/>
  <c r="B242" i="31" a="1"/>
  <c r="B242" i="31" s="1"/>
  <c r="O242" i="31" s="1"/>
  <c r="AL251" i="15" s="1"/>
  <c r="B210" i="31" a="1"/>
  <c r="B210" i="31" s="1"/>
  <c r="O210" i="31" s="1"/>
  <c r="AL219" i="15" s="1"/>
  <c r="B178" i="31" a="1"/>
  <c r="B178" i="31" s="1"/>
  <c r="O178" i="31" s="1"/>
  <c r="AL187" i="15" s="1"/>
  <c r="B380" i="31" a="1"/>
  <c r="B380" i="31" s="1"/>
  <c r="O380" i="31" s="1"/>
  <c r="AL389" i="15" s="1"/>
  <c r="B259" i="31" a="1"/>
  <c r="B259" i="31" s="1"/>
  <c r="O259" i="31" s="1"/>
  <c r="AL268" i="15" s="1"/>
  <c r="B244" i="31" a="1"/>
  <c r="B244" i="31" s="1"/>
  <c r="O244" i="31" s="1"/>
  <c r="AL253" i="15" s="1"/>
  <c r="B212" i="31" a="1"/>
  <c r="B212" i="31" s="1"/>
  <c r="O212" i="31" s="1"/>
  <c r="AL221" i="15" s="1"/>
  <c r="B180" i="31" a="1"/>
  <c r="B180" i="31" s="1"/>
  <c r="O180" i="31" s="1"/>
  <c r="AL189" i="15" s="1"/>
  <c r="B359" i="31" a="1"/>
  <c r="B359" i="31" s="1"/>
  <c r="O359" i="31" s="1"/>
  <c r="AL368" i="15" s="1"/>
  <c r="B221" i="31" a="1"/>
  <c r="B221" i="31" s="1"/>
  <c r="O221" i="31" s="1"/>
  <c r="AL230" i="15" s="1"/>
  <c r="B229" i="31" a="1"/>
  <c r="B229" i="31" s="1"/>
  <c r="O229" i="31" s="1"/>
  <c r="AL238" i="15" s="1"/>
  <c r="B119" i="31" a="1"/>
  <c r="B119" i="31" s="1"/>
  <c r="O119" i="31" s="1"/>
  <c r="AL128" i="15" s="1"/>
  <c r="B87" i="31" a="1"/>
  <c r="B87" i="31" s="1"/>
  <c r="O87" i="31" s="1"/>
  <c r="AL96" i="15" s="1"/>
  <c r="B55" i="31" a="1"/>
  <c r="B55" i="31" s="1"/>
  <c r="O55" i="31" s="1"/>
  <c r="AL64" i="15" s="1"/>
  <c r="B110" i="31" a="1"/>
  <c r="B110" i="31" s="1"/>
  <c r="O110" i="31" s="1"/>
  <c r="AL119" i="15" s="1"/>
  <c r="B78" i="31" a="1"/>
  <c r="B78" i="31" s="1"/>
  <c r="O78" i="31" s="1"/>
  <c r="AL87" i="15" s="1"/>
  <c r="B46" i="31" a="1"/>
  <c r="B46" i="31" s="1"/>
  <c r="O46" i="31" s="1"/>
  <c r="AL55" i="15" s="1"/>
  <c r="B127" i="31" a="1"/>
  <c r="B127" i="31" s="1"/>
  <c r="O127" i="31" s="1"/>
  <c r="AL136" i="15" s="1"/>
  <c r="B97" i="31" a="1"/>
  <c r="B97" i="31" s="1"/>
  <c r="O97" i="31" s="1"/>
  <c r="AL106" i="15" s="1"/>
  <c r="B65" i="31" a="1"/>
  <c r="B65" i="31" s="1"/>
  <c r="O65" i="31" s="1"/>
  <c r="AL74" i="15" s="1"/>
  <c r="B33" i="31" a="1"/>
  <c r="B33" i="31" s="1"/>
  <c r="O33" i="31" s="1"/>
  <c r="AL42" i="15" s="1"/>
  <c r="B153" i="31" a="1"/>
  <c r="B153" i="31" s="1"/>
  <c r="O153" i="31" s="1"/>
  <c r="AL162" i="15" s="1"/>
  <c r="B28" i="31" a="1"/>
  <c r="B28" i="31" s="1"/>
  <c r="O28" i="31" s="1"/>
  <c r="AL37" i="15" s="1"/>
  <c r="B249" i="31" a="1"/>
  <c r="B249" i="31" s="1"/>
  <c r="O249" i="31" s="1"/>
  <c r="AL258" i="15" s="1"/>
  <c r="B177" i="31" a="1"/>
  <c r="B177" i="31" s="1"/>
  <c r="O177" i="31" s="1"/>
  <c r="AL186" i="15" s="1"/>
  <c r="B136" i="31" a="1"/>
  <c r="B136" i="31" s="1"/>
  <c r="O136" i="31" s="1"/>
  <c r="AL145" i="15" s="1"/>
  <c r="B357" i="31" a="1"/>
  <c r="B357" i="31" s="1"/>
  <c r="O357" i="31" s="1"/>
  <c r="AL366" i="15" s="1"/>
  <c r="B360" i="31" a="1"/>
  <c r="B360" i="31" s="1"/>
  <c r="O360" i="31" s="1"/>
  <c r="AL369" i="15" s="1"/>
  <c r="B310" i="31" a="1"/>
  <c r="B310" i="31" s="1"/>
  <c r="O310" i="31" s="1"/>
  <c r="AL319" i="15" s="1"/>
  <c r="B278" i="31" a="1"/>
  <c r="B278" i="31" s="1"/>
  <c r="O278" i="31" s="1"/>
  <c r="AL287" i="15" s="1"/>
  <c r="B295" i="31" a="1"/>
  <c r="B295" i="31" s="1"/>
  <c r="O295" i="31" s="1"/>
  <c r="AL304" i="15" s="1"/>
  <c r="B179" i="31" a="1"/>
  <c r="B179" i="31" s="1"/>
  <c r="O179" i="31" s="1"/>
  <c r="AL188" i="15" s="1"/>
  <c r="B331" i="31" a="1"/>
  <c r="B331" i="31" s="1"/>
  <c r="O331" i="31" s="1"/>
  <c r="AL340" i="15" s="1"/>
  <c r="B157" i="31" a="1"/>
  <c r="B157" i="31" s="1"/>
  <c r="O157" i="31" s="1"/>
  <c r="AL166" i="15" s="1"/>
  <c r="B95" i="31" a="1"/>
  <c r="B95" i="31" s="1"/>
  <c r="O95" i="31" s="1"/>
  <c r="AL104" i="15" s="1"/>
  <c r="B48" i="31" a="1"/>
  <c r="B48" i="31" s="1"/>
  <c r="O48" i="31" s="1"/>
  <c r="AL57" i="15" s="1"/>
  <c r="B362" i="31" a="1"/>
  <c r="B362" i="31" s="1"/>
  <c r="O362" i="31" s="1"/>
  <c r="AL371" i="15" s="1"/>
  <c r="B373" i="31" a="1"/>
  <c r="B373" i="31" s="1"/>
  <c r="O373" i="31" s="1"/>
  <c r="AL382" i="15" s="1"/>
  <c r="B345" i="31" a="1"/>
  <c r="B345" i="31" s="1"/>
  <c r="O345" i="31" s="1"/>
  <c r="AL354" i="15" s="1"/>
  <c r="B313" i="31" a="1"/>
  <c r="B313" i="31" s="1"/>
  <c r="O313" i="31" s="1"/>
  <c r="AL322" i="15" s="1"/>
  <c r="B281" i="31" a="1"/>
  <c r="B281" i="31" s="1"/>
  <c r="O281" i="31" s="1"/>
  <c r="AL290" i="15" s="1"/>
  <c r="B344" i="31" a="1"/>
  <c r="B344" i="31" s="1"/>
  <c r="O344" i="31" s="1"/>
  <c r="AL353" i="15" s="1"/>
  <c r="B312" i="31" a="1"/>
  <c r="B312" i="31" s="1"/>
  <c r="O312" i="31" s="1"/>
  <c r="AL321" i="15" s="1"/>
  <c r="B280" i="31" a="1"/>
  <c r="B280" i="31" s="1"/>
  <c r="O280" i="31" s="1"/>
  <c r="AL289" i="15" s="1"/>
  <c r="B364" i="31" a="1"/>
  <c r="B364" i="31" s="1"/>
  <c r="O364" i="31" s="1"/>
  <c r="AL373" i="15" s="1"/>
  <c r="B330" i="31" a="1"/>
  <c r="B330" i="31" s="1"/>
  <c r="O330" i="31" s="1"/>
  <c r="AL339" i="15" s="1"/>
  <c r="B298" i="31" a="1"/>
  <c r="B298" i="31" s="1"/>
  <c r="O298" i="31" s="1"/>
  <c r="AL307" i="15" s="1"/>
  <c r="B266" i="31" a="1"/>
  <c r="B266" i="31" s="1"/>
  <c r="O266" i="31" s="1"/>
  <c r="AL275" i="15" s="1"/>
  <c r="B263" i="31" a="1"/>
  <c r="B263" i="31" s="1"/>
  <c r="O263" i="31" s="1"/>
  <c r="AL272" i="15" s="1"/>
  <c r="B231" i="31" a="1"/>
  <c r="B231" i="31" s="1"/>
  <c r="O231" i="31" s="1"/>
  <c r="AL240" i="15" s="1"/>
  <c r="B199" i="31" a="1"/>
  <c r="B199" i="31" s="1"/>
  <c r="O199" i="31" s="1"/>
  <c r="AL208" i="15" s="1"/>
  <c r="B167" i="31" a="1"/>
  <c r="B167" i="31" s="1"/>
  <c r="O167" i="31" s="1"/>
  <c r="AL176" i="15" s="1"/>
  <c r="B238" i="31" a="1"/>
  <c r="B238" i="31" s="1"/>
  <c r="O238" i="31" s="1"/>
  <c r="AL247" i="15" s="1"/>
  <c r="B206" i="31" a="1"/>
  <c r="B206" i="31" s="1"/>
  <c r="O206" i="31" s="1"/>
  <c r="AL215" i="15" s="1"/>
  <c r="B174" i="31" a="1"/>
  <c r="B174" i="31" s="1"/>
  <c r="O174" i="31" s="1"/>
  <c r="AL183" i="15" s="1"/>
  <c r="B240" i="31" a="1"/>
  <c r="B240" i="31" s="1"/>
  <c r="O240" i="31" s="1"/>
  <c r="AL249" i="15" s="1"/>
  <c r="B208" i="31" a="1"/>
  <c r="B208" i="31" s="1"/>
  <c r="O208" i="31" s="1"/>
  <c r="AL217" i="15" s="1"/>
  <c r="B176" i="31" a="1"/>
  <c r="B176" i="31" s="1"/>
  <c r="O176" i="31" s="1"/>
  <c r="AL185" i="15" s="1"/>
  <c r="B241" i="31" a="1"/>
  <c r="B241" i="31" s="1"/>
  <c r="O241" i="31" s="1"/>
  <c r="AL250" i="15" s="1"/>
  <c r="B279" i="31" a="1"/>
  <c r="B279" i="31" s="1"/>
  <c r="O279" i="31" s="1"/>
  <c r="AL288" i="15" s="1"/>
  <c r="B217" i="31" a="1"/>
  <c r="B217" i="31" s="1"/>
  <c r="O217" i="31" s="1"/>
  <c r="AL226" i="15" s="1"/>
  <c r="B115" i="31" a="1"/>
  <c r="B115" i="31" s="1"/>
  <c r="O115" i="31" s="1"/>
  <c r="AL124" i="15" s="1"/>
  <c r="B83" i="31" a="1"/>
  <c r="B83" i="31" s="1"/>
  <c r="O83" i="31" s="1"/>
  <c r="AL92" i="15" s="1"/>
  <c r="B51" i="31" a="1"/>
  <c r="B51" i="31" s="1"/>
  <c r="O51" i="31" s="1"/>
  <c r="AL60" i="15" s="1"/>
  <c r="B128" i="31" a="1"/>
  <c r="B128" i="31" s="1"/>
  <c r="O128" i="31" s="1"/>
  <c r="AL137" i="15" s="1"/>
  <c r="B148" i="31" a="1"/>
  <c r="B148" i="31" s="1"/>
  <c r="O148" i="31" s="1"/>
  <c r="AL157" i="15" s="1"/>
  <c r="B106" i="31" a="1"/>
  <c r="B106" i="31" s="1"/>
  <c r="O106" i="31" s="1"/>
  <c r="AL115" i="15" s="1"/>
  <c r="B74" i="31" a="1"/>
  <c r="B74" i="31" s="1"/>
  <c r="O74" i="31" s="1"/>
  <c r="AL83" i="15" s="1"/>
  <c r="B42" i="31" a="1"/>
  <c r="B42" i="31" s="1"/>
  <c r="O42" i="31" s="1"/>
  <c r="AL51" i="15" s="1"/>
  <c r="B258" i="31" a="1"/>
  <c r="B258" i="31" s="1"/>
  <c r="O258" i="31" s="1"/>
  <c r="AL267" i="15" s="1"/>
  <c r="B125" i="31" a="1"/>
  <c r="B125" i="31" s="1"/>
  <c r="O125" i="31" s="1"/>
  <c r="AL134" i="15" s="1"/>
  <c r="B93" i="31" a="1"/>
  <c r="B93" i="31" s="1"/>
  <c r="O93" i="31" s="1"/>
  <c r="AL102" i="15" s="1"/>
  <c r="B61" i="31" a="1"/>
  <c r="B61" i="31" s="1"/>
  <c r="O61" i="31" s="1"/>
  <c r="AL70" i="15" s="1"/>
  <c r="B29" i="31" a="1"/>
  <c r="B29" i="31" s="1"/>
  <c r="O29" i="31" s="1"/>
  <c r="AL38" i="15" s="1"/>
  <c r="B152" i="31" a="1"/>
  <c r="B152" i="31" s="1"/>
  <c r="O152" i="31" s="1"/>
  <c r="AL161" i="15" s="1"/>
  <c r="B144" i="31" a="1"/>
  <c r="B144" i="31" s="1"/>
  <c r="O144" i="31" s="1"/>
  <c r="AL153" i="15" s="1"/>
  <c r="B129" i="31" a="1"/>
  <c r="B129" i="31" s="1"/>
  <c r="O129" i="31" s="1"/>
  <c r="AL138" i="15" s="1"/>
  <c r="B145" i="31" a="1"/>
  <c r="B145" i="31" s="1"/>
  <c r="O145" i="31" s="1"/>
  <c r="AL154" i="15" s="1"/>
  <c r="B116" i="31" a="1"/>
  <c r="B116" i="31" s="1"/>
  <c r="O116" i="31" s="1"/>
  <c r="AL125" i="15" s="1"/>
  <c r="B112" i="31" a="1"/>
  <c r="B112" i="31" s="1"/>
  <c r="O112" i="31" s="1"/>
  <c r="AL121" i="15" s="1"/>
  <c r="B374" i="31" a="1"/>
  <c r="B374" i="31" s="1"/>
  <c r="O374" i="31" s="1"/>
  <c r="AL383" i="15" s="1"/>
  <c r="B371" i="31" a="1"/>
  <c r="B371" i="31" s="1"/>
  <c r="O371" i="31" s="1"/>
  <c r="AL380" i="15" s="1"/>
  <c r="B293" i="31" a="1"/>
  <c r="B293" i="31" s="1"/>
  <c r="O293" i="31" s="1"/>
  <c r="AL302" i="15" s="1"/>
  <c r="B261" i="31" a="1"/>
  <c r="B261" i="31" s="1"/>
  <c r="O261" i="31" s="1"/>
  <c r="AL270" i="15" s="1"/>
  <c r="B186" i="31" a="1"/>
  <c r="B186" i="31" s="1"/>
  <c r="O186" i="31" s="1"/>
  <c r="AL195" i="15" s="1"/>
  <c r="B369" i="31" a="1"/>
  <c r="B369" i="31" s="1"/>
  <c r="O369" i="31" s="1"/>
  <c r="AL378" i="15" s="1"/>
  <c r="B368" i="31" a="1"/>
  <c r="B368" i="31" s="1"/>
  <c r="O368" i="31" s="1"/>
  <c r="AL377" i="15" s="1"/>
  <c r="B341" i="31" a="1"/>
  <c r="B341" i="31" s="1"/>
  <c r="O341" i="31" s="1"/>
  <c r="AL350" i="15" s="1"/>
  <c r="B309" i="31" a="1"/>
  <c r="B309" i="31" s="1"/>
  <c r="O309" i="31" s="1"/>
  <c r="AL318" i="15" s="1"/>
  <c r="B277" i="31" a="1"/>
  <c r="B277" i="31" s="1"/>
  <c r="O277" i="31" s="1"/>
  <c r="AL286" i="15" s="1"/>
  <c r="B340" i="31" a="1"/>
  <c r="B340" i="31" s="1"/>
  <c r="O340" i="31" s="1"/>
  <c r="AL349" i="15" s="1"/>
  <c r="B308" i="31" a="1"/>
  <c r="B308" i="31" s="1"/>
  <c r="O308" i="31" s="1"/>
  <c r="AL317" i="15" s="1"/>
  <c r="B276" i="31" a="1"/>
  <c r="B276" i="31" s="1"/>
  <c r="O276" i="31" s="1"/>
  <c r="AL285" i="15" s="1"/>
  <c r="B358" i="31" a="1"/>
  <c r="B358" i="31" s="1"/>
  <c r="O358" i="31" s="1"/>
  <c r="AL367" i="15" s="1"/>
  <c r="B326" i="31" a="1"/>
  <c r="B326" i="31" s="1"/>
  <c r="O326" i="31" s="1"/>
  <c r="AL335" i="15" s="1"/>
  <c r="B294" i="31" a="1"/>
  <c r="B294" i="31" s="1"/>
  <c r="O294" i="31" s="1"/>
  <c r="AL303" i="15" s="1"/>
  <c r="B262" i="31" a="1"/>
  <c r="B262" i="31" s="1"/>
  <c r="O262" i="31" s="1"/>
  <c r="AL271" i="15" s="1"/>
  <c r="B227" i="31" a="1"/>
  <c r="B227" i="31" s="1"/>
  <c r="O227" i="31" s="1"/>
  <c r="AL236" i="15" s="1"/>
  <c r="B195" i="31" a="1"/>
  <c r="B195" i="31" s="1"/>
  <c r="O195" i="31" s="1"/>
  <c r="AL204" i="15" s="1"/>
  <c r="B163" i="31" a="1"/>
  <c r="B163" i="31" s="1"/>
  <c r="O163" i="31" s="1"/>
  <c r="AL172" i="15" s="1"/>
  <c r="B283" i="31" a="1"/>
  <c r="B283" i="31" s="1"/>
  <c r="O283" i="31" s="1"/>
  <c r="AL292" i="15" s="1"/>
  <c r="B234" i="31" a="1"/>
  <c r="B234" i="31" s="1"/>
  <c r="O234" i="31" s="1"/>
  <c r="AL243" i="15" s="1"/>
  <c r="B202" i="31" a="1"/>
  <c r="B202" i="31" s="1"/>
  <c r="O202" i="31" s="1"/>
  <c r="AL211" i="15" s="1"/>
  <c r="B170" i="31" a="1"/>
  <c r="B170" i="31" s="1"/>
  <c r="O170" i="31" s="1"/>
  <c r="AL179" i="15" s="1"/>
  <c r="B287" i="31" a="1"/>
  <c r="B287" i="31" s="1"/>
  <c r="O287" i="31" s="1"/>
  <c r="AL296" i="15" s="1"/>
  <c r="B236" i="31" a="1"/>
  <c r="B236" i="31" s="1"/>
  <c r="O236" i="31" s="1"/>
  <c r="AL245" i="15" s="1"/>
  <c r="B204" i="31" a="1"/>
  <c r="B204" i="31" s="1"/>
  <c r="O204" i="31" s="1"/>
  <c r="AL213" i="15" s="1"/>
  <c r="B172" i="31" a="1"/>
  <c r="B172" i="31" s="1"/>
  <c r="O172" i="31" s="1"/>
  <c r="AL181" i="15" s="1"/>
  <c r="B233" i="31" a="1"/>
  <c r="B233" i="31" s="1"/>
  <c r="O233" i="31" s="1"/>
  <c r="AL242" i="15" s="1"/>
  <c r="B253" i="31" a="1"/>
  <c r="B253" i="31" s="1"/>
  <c r="O253" i="31" s="1"/>
  <c r="AL262" i="15" s="1"/>
  <c r="B205" i="31" a="1"/>
  <c r="B205" i="31" s="1"/>
  <c r="O205" i="31" s="1"/>
  <c r="AL214" i="15" s="1"/>
  <c r="B193" i="31" a="1"/>
  <c r="B193" i="31" s="1"/>
  <c r="O193" i="31" s="1"/>
  <c r="AL202" i="15" s="1"/>
  <c r="B111" i="31" a="1"/>
  <c r="B111" i="31" s="1"/>
  <c r="O111" i="31" s="1"/>
  <c r="AL120" i="15" s="1"/>
  <c r="B79" i="31" a="1"/>
  <c r="B79" i="31" s="1"/>
  <c r="O79" i="31" s="1"/>
  <c r="AL88" i="15" s="1"/>
  <c r="B47" i="31" a="1"/>
  <c r="B47" i="31" s="1"/>
  <c r="O47" i="31" s="1"/>
  <c r="AL56" i="15" s="1"/>
  <c r="B140" i="31" a="1"/>
  <c r="B140" i="31" s="1"/>
  <c r="O140" i="31" s="1"/>
  <c r="AL149" i="15" s="1"/>
  <c r="B102" i="31" a="1"/>
  <c r="B102" i="31" s="1"/>
  <c r="O102" i="31" s="1"/>
  <c r="AL111" i="15" s="1"/>
  <c r="B70" i="31" a="1"/>
  <c r="B70" i="31" s="1"/>
  <c r="O70" i="31" s="1"/>
  <c r="AL79" i="15" s="1"/>
  <c r="B38" i="31" a="1"/>
  <c r="B38" i="31" s="1"/>
  <c r="O38" i="31" s="1"/>
  <c r="AL47" i="15" s="1"/>
  <c r="B121" i="31" a="1"/>
  <c r="B121" i="31" s="1"/>
  <c r="O121" i="31" s="1"/>
  <c r="AL130" i="15" s="1"/>
  <c r="B89" i="31" a="1"/>
  <c r="B89" i="31" s="1"/>
  <c r="O89" i="31" s="1"/>
  <c r="AL98" i="15" s="1"/>
  <c r="B57" i="31" a="1"/>
  <c r="B57" i="31" s="1"/>
  <c r="O57" i="31" s="1"/>
  <c r="AL66" i="15" s="1"/>
  <c r="B25" i="31" a="1"/>
  <c r="B25" i="31" s="1"/>
  <c r="O25" i="31" s="1"/>
  <c r="AL34" i="15" s="1"/>
  <c r="B124" i="31" a="1"/>
  <c r="B124" i="31" s="1"/>
  <c r="O124" i="31" s="1"/>
  <c r="AL133" i="15" s="1"/>
  <c r="B120" i="31" a="1"/>
  <c r="B120" i="31" s="1"/>
  <c r="O120" i="31" s="1"/>
  <c r="AL129" i="15" s="1"/>
  <c r="B137" i="31" a="1"/>
  <c r="B137" i="31" s="1"/>
  <c r="O137" i="31" s="1"/>
  <c r="AL146" i="15" s="1"/>
  <c r="B324" i="31" a="1"/>
  <c r="B324" i="31" s="1"/>
  <c r="O324" i="31" s="1"/>
  <c r="AL333" i="15" s="1"/>
  <c r="B218" i="31" a="1"/>
  <c r="B218" i="31" s="1"/>
  <c r="O218" i="31" s="1"/>
  <c r="AL227" i="15" s="1"/>
  <c r="B323" i="31" a="1"/>
  <c r="B323" i="31" s="1"/>
  <c r="O323" i="31" s="1"/>
  <c r="AL332" i="15" s="1"/>
  <c r="B220" i="31" a="1"/>
  <c r="B220" i="31" s="1"/>
  <c r="O220" i="31" s="1"/>
  <c r="AL229" i="15" s="1"/>
  <c r="B156" i="31" a="1"/>
  <c r="B156" i="31" s="1"/>
  <c r="O156" i="31" s="1"/>
  <c r="AL165" i="15" s="1"/>
  <c r="B165" i="31" a="1"/>
  <c r="B165" i="31" s="1"/>
  <c r="O165" i="31" s="1"/>
  <c r="AL174" i="15" s="1"/>
  <c r="B63" i="31" a="1"/>
  <c r="B63" i="31" s="1"/>
  <c r="O63" i="31" s="1"/>
  <c r="AL72" i="15" s="1"/>
  <c r="B86" i="31" a="1"/>
  <c r="B86" i="31" s="1"/>
  <c r="O86" i="31" s="1"/>
  <c r="AL95" i="15" s="1"/>
  <c r="B105" i="31" a="1"/>
  <c r="B105" i="31" s="1"/>
  <c r="O105" i="31" s="1"/>
  <c r="AL114" i="15" s="1"/>
  <c r="B60" i="31" a="1"/>
  <c r="B60" i="31" s="1"/>
  <c r="O60" i="31" s="1"/>
  <c r="AL69" i="15" s="1"/>
  <c r="B365" i="31" a="1"/>
  <c r="B365" i="31" s="1"/>
  <c r="O365" i="31" s="1"/>
  <c r="AL374" i="15" s="1"/>
  <c r="B383" i="31" a="1"/>
  <c r="B383" i="31" s="1"/>
  <c r="O383" i="31" s="1"/>
  <c r="AL392" i="15" s="1"/>
  <c r="B337" i="31" a="1"/>
  <c r="B337" i="31" s="1"/>
  <c r="O337" i="31" s="1"/>
  <c r="AL346" i="15" s="1"/>
  <c r="B305" i="31" a="1"/>
  <c r="B305" i="31" s="1"/>
  <c r="O305" i="31" s="1"/>
  <c r="AL314" i="15" s="1"/>
  <c r="B273" i="31" a="1"/>
  <c r="B273" i="31" s="1"/>
  <c r="O273" i="31" s="1"/>
  <c r="AL282" i="15" s="1"/>
  <c r="B336" i="31" a="1"/>
  <c r="B336" i="31" s="1"/>
  <c r="O336" i="31" s="1"/>
  <c r="AL345" i="15" s="1"/>
  <c r="B304" i="31" a="1"/>
  <c r="B304" i="31" s="1"/>
  <c r="O304" i="31" s="1"/>
  <c r="AL313" i="15" s="1"/>
  <c r="B272" i="31" a="1"/>
  <c r="B272" i="31" s="1"/>
  <c r="O272" i="31" s="1"/>
  <c r="AL281" i="15" s="1"/>
  <c r="B354" i="31" a="1"/>
  <c r="B354" i="31" s="1"/>
  <c r="O354" i="31" s="1"/>
  <c r="AL363" i="15" s="1"/>
  <c r="B322" i="31" a="1"/>
  <c r="B322" i="31" s="1"/>
  <c r="O322" i="31" s="1"/>
  <c r="AL331" i="15" s="1"/>
  <c r="B290" i="31" a="1"/>
  <c r="B290" i="31" s="1"/>
  <c r="O290" i="31" s="1"/>
  <c r="AL299" i="15" s="1"/>
  <c r="B351" i="31" a="1"/>
  <c r="B351" i="31" s="1"/>
  <c r="O351" i="31" s="1"/>
  <c r="AL360" i="15" s="1"/>
  <c r="B255" i="31" a="1"/>
  <c r="B255" i="31" s="1"/>
  <c r="O255" i="31" s="1"/>
  <c r="AL264" i="15" s="1"/>
  <c r="B223" i="31" a="1"/>
  <c r="B223" i="31" s="1"/>
  <c r="O223" i="31" s="1"/>
  <c r="AL232" i="15" s="1"/>
  <c r="B191" i="31" a="1"/>
  <c r="B191" i="31" s="1"/>
  <c r="O191" i="31" s="1"/>
  <c r="AL200" i="15" s="1"/>
  <c r="B159" i="31" a="1"/>
  <c r="B159" i="31" s="1"/>
  <c r="O159" i="31" s="1"/>
  <c r="AL168" i="15" s="1"/>
  <c r="B271" i="31" a="1"/>
  <c r="B271" i="31" s="1"/>
  <c r="O271" i="31" s="1"/>
  <c r="AL280" i="15" s="1"/>
  <c r="B230" i="31" a="1"/>
  <c r="B230" i="31" s="1"/>
  <c r="O230" i="31" s="1"/>
  <c r="AL239" i="15" s="1"/>
  <c r="B198" i="31" a="1"/>
  <c r="B198" i="31" s="1"/>
  <c r="O198" i="31" s="1"/>
  <c r="AL207" i="15" s="1"/>
  <c r="B166" i="31" a="1"/>
  <c r="B166" i="31" s="1"/>
  <c r="O166" i="31" s="1"/>
  <c r="AL175" i="15" s="1"/>
  <c r="B232" i="31" a="1"/>
  <c r="B232" i="31" s="1"/>
  <c r="O232" i="31" s="1"/>
  <c r="AL241" i="15" s="1"/>
  <c r="B200" i="31" a="1"/>
  <c r="B200" i="31" s="1"/>
  <c r="O200" i="31" s="1"/>
  <c r="AL209" i="15" s="1"/>
  <c r="B168" i="31" a="1"/>
  <c r="B168" i="31" s="1"/>
  <c r="O168" i="31" s="1"/>
  <c r="AL177" i="15" s="1"/>
  <c r="B189" i="31" a="1"/>
  <c r="B189" i="31" s="1"/>
  <c r="O189" i="31" s="1"/>
  <c r="AL198" i="15" s="1"/>
  <c r="B197" i="31" a="1"/>
  <c r="B197" i="31" s="1"/>
  <c r="O197" i="31" s="1"/>
  <c r="AL206" i="15" s="1"/>
  <c r="B107" i="31" a="1"/>
  <c r="B107" i="31" s="1"/>
  <c r="O107" i="31" s="1"/>
  <c r="AL116" i="15" s="1"/>
  <c r="B75" i="31" a="1"/>
  <c r="B75" i="31" s="1"/>
  <c r="O75" i="31" s="1"/>
  <c r="AL84" i="15" s="1"/>
  <c r="B43" i="31" a="1"/>
  <c r="B43" i="31" s="1"/>
  <c r="O43" i="31" s="1"/>
  <c r="AL52" i="15" s="1"/>
  <c r="B169" i="31" a="1"/>
  <c r="B169" i="31" s="1"/>
  <c r="O169" i="31" s="1"/>
  <c r="AL178" i="15" s="1"/>
  <c r="B132" i="31" a="1"/>
  <c r="B132" i="31" s="1"/>
  <c r="O132" i="31" s="1"/>
  <c r="AL141" i="15" s="1"/>
  <c r="B98" i="31" a="1"/>
  <c r="B98" i="31" s="1"/>
  <c r="O98" i="31" s="1"/>
  <c r="AL107" i="15" s="1"/>
  <c r="B66" i="31" a="1"/>
  <c r="B66" i="31" s="1"/>
  <c r="O66" i="31" s="1"/>
  <c r="AL75" i="15" s="1"/>
  <c r="B34" i="31" a="1"/>
  <c r="B34" i="31" s="1"/>
  <c r="O34" i="31" s="1"/>
  <c r="AL43" i="15" s="1"/>
  <c r="B117" i="31" a="1"/>
  <c r="B117" i="31" s="1"/>
  <c r="O117" i="31" s="1"/>
  <c r="AL126" i="15" s="1"/>
  <c r="B85" i="31" a="1"/>
  <c r="B85" i="31" s="1"/>
  <c r="O85" i="31" s="1"/>
  <c r="AL94" i="15" s="1"/>
  <c r="B53" i="31" a="1"/>
  <c r="B53" i="31" s="1"/>
  <c r="O53" i="31" s="1"/>
  <c r="AL62" i="15" s="1"/>
  <c r="B311" i="31" a="1"/>
  <c r="B311" i="31" s="1"/>
  <c r="O311" i="31" s="1"/>
  <c r="AL320" i="15" s="1"/>
  <c r="B108" i="31" a="1"/>
  <c r="B108" i="31" s="1"/>
  <c r="O108" i="31" s="1"/>
  <c r="AL117" i="15" s="1"/>
  <c r="B104" i="31" a="1"/>
  <c r="B104" i="31" s="1"/>
  <c r="O104" i="31" s="1"/>
  <c r="AL113" i="15" s="1"/>
  <c r="B100" i="31" a="1"/>
  <c r="B100" i="31" s="1"/>
  <c r="O100" i="31" s="1"/>
  <c r="AL109" i="15" s="1"/>
  <c r="B96" i="31" a="1"/>
  <c r="B96" i="31" s="1"/>
  <c r="O96" i="31" s="1"/>
  <c r="AL105" i="15" s="1"/>
  <c r="B356" i="31" a="1"/>
  <c r="B356" i="31" s="1"/>
  <c r="O356" i="31" s="1"/>
  <c r="AL365" i="15" s="1"/>
  <c r="B260" i="31" a="1"/>
  <c r="B260" i="31" s="1"/>
  <c r="O260" i="31" s="1"/>
  <c r="AL269" i="15" s="1"/>
  <c r="B243" i="31" a="1"/>
  <c r="B243" i="31" s="1"/>
  <c r="O243" i="31" s="1"/>
  <c r="AL252" i="15" s="1"/>
  <c r="B188" i="31" a="1"/>
  <c r="B188" i="31" s="1"/>
  <c r="O188" i="31" s="1"/>
  <c r="AL197" i="15" s="1"/>
  <c r="B327" i="31" a="1"/>
  <c r="B327" i="31" s="1"/>
  <c r="O327" i="31" s="1"/>
  <c r="AL336" i="15" s="1"/>
  <c r="B138" i="31" a="1"/>
  <c r="B138" i="31" s="1"/>
  <c r="O138" i="31" s="1"/>
  <c r="AL147" i="15" s="1"/>
  <c r="B382" i="31" a="1"/>
  <c r="B382" i="31" s="1"/>
  <c r="O382" i="31" s="1"/>
  <c r="AL391" i="15" s="1"/>
  <c r="B361" i="31" a="1"/>
  <c r="B361" i="31" s="1"/>
  <c r="O361" i="31" s="1"/>
  <c r="AL370" i="15" s="1"/>
  <c r="B379" i="31" a="1"/>
  <c r="B379" i="31" s="1"/>
  <c r="O379" i="31" s="1"/>
  <c r="AL388" i="15" s="1"/>
  <c r="B333" i="31" a="1"/>
  <c r="B333" i="31" s="1"/>
  <c r="O333" i="31" s="1"/>
  <c r="AL342" i="15" s="1"/>
  <c r="B301" i="31" a="1"/>
  <c r="B301" i="31" s="1"/>
  <c r="O301" i="31" s="1"/>
  <c r="AL310" i="15" s="1"/>
  <c r="B269" i="31" a="1"/>
  <c r="B269" i="31" s="1"/>
  <c r="O269" i="31" s="1"/>
  <c r="AL278" i="15" s="1"/>
  <c r="B376" i="31" a="1"/>
  <c r="B376" i="31" s="1"/>
  <c r="O376" i="31" s="1"/>
  <c r="AL385" i="15" s="1"/>
  <c r="B332" i="31" a="1"/>
  <c r="B332" i="31" s="1"/>
  <c r="O332" i="31" s="1"/>
  <c r="AL341" i="15" s="1"/>
  <c r="B300" i="31" a="1"/>
  <c r="B300" i="31" s="1"/>
  <c r="O300" i="31" s="1"/>
  <c r="AL309" i="15" s="1"/>
  <c r="B268" i="31" a="1"/>
  <c r="B268" i="31" s="1"/>
  <c r="O268" i="31" s="1"/>
  <c r="AL277" i="15" s="1"/>
  <c r="B372" i="31" a="1"/>
  <c r="B372" i="31" s="1"/>
  <c r="O372" i="31" s="1"/>
  <c r="AL381" i="15" s="1"/>
  <c r="B350" i="31" a="1"/>
  <c r="B350" i="31" s="1"/>
  <c r="O350" i="31" s="1"/>
  <c r="AL359" i="15" s="1"/>
  <c r="B318" i="31" a="1"/>
  <c r="B318" i="31" s="1"/>
  <c r="O318" i="31" s="1"/>
  <c r="AL327" i="15" s="1"/>
  <c r="B286" i="31" a="1"/>
  <c r="B286" i="31" s="1"/>
  <c r="O286" i="31" s="1"/>
  <c r="AL295" i="15" s="1"/>
  <c r="B335" i="31" a="1"/>
  <c r="B335" i="31" s="1"/>
  <c r="O335" i="31" s="1"/>
  <c r="AL344" i="15" s="1"/>
  <c r="B251" i="31" a="1"/>
  <c r="B251" i="31" s="1"/>
  <c r="O251" i="31" s="1"/>
  <c r="AL260" i="15" s="1"/>
  <c r="B219" i="31" a="1"/>
  <c r="B219" i="31" s="1"/>
  <c r="O219" i="31" s="1"/>
  <c r="AL228" i="15" s="1"/>
  <c r="B187" i="31" a="1"/>
  <c r="B187" i="31" s="1"/>
  <c r="O187" i="31" s="1"/>
  <c r="AL196" i="15" s="1"/>
  <c r="B226" i="31" a="1"/>
  <c r="B226" i="31" s="1"/>
  <c r="O226" i="31" s="1"/>
  <c r="AL235" i="15" s="1"/>
  <c r="B194" i="31" a="1"/>
  <c r="B194" i="31" s="1"/>
  <c r="O194" i="31" s="1"/>
  <c r="AL203" i="15" s="1"/>
  <c r="B162" i="31" a="1"/>
  <c r="B162" i="31" s="1"/>
  <c r="O162" i="31" s="1"/>
  <c r="AL171" i="15" s="1"/>
  <c r="B299" i="31" a="1"/>
  <c r="B299" i="31" s="1"/>
  <c r="O299" i="31" s="1"/>
  <c r="AL308" i="15" s="1"/>
  <c r="B355" i="31" a="1"/>
  <c r="B355" i="31" s="1"/>
  <c r="O355" i="31" s="1"/>
  <c r="AL364" i="15" s="1"/>
  <c r="B228" i="31" a="1"/>
  <c r="B228" i="31" s="1"/>
  <c r="O228" i="31" s="1"/>
  <c r="AL237" i="15" s="1"/>
  <c r="B196" i="31" a="1"/>
  <c r="B196" i="31" s="1"/>
  <c r="B164" i="31" a="1"/>
  <c r="B164" i="31" s="1"/>
  <c r="O164" i="31" s="1"/>
  <c r="AL173" i="15" s="1"/>
  <c r="B213" i="31" a="1"/>
  <c r="B213" i="31" s="1"/>
  <c r="O213" i="31" s="1"/>
  <c r="AL222" i="15" s="1"/>
  <c r="B307" i="31" a="1"/>
  <c r="B307" i="31" s="1"/>
  <c r="O307" i="31" s="1"/>
  <c r="AL316" i="15" s="1"/>
  <c r="B151" i="31" a="1"/>
  <c r="B151" i="31" s="1"/>
  <c r="O151" i="31" s="1"/>
  <c r="AL160" i="15" s="1"/>
  <c r="B150" i="31" a="1"/>
  <c r="B150" i="31" s="1"/>
  <c r="O150" i="31" s="1"/>
  <c r="AL159" i="15" s="1"/>
  <c r="B103" i="31" a="1"/>
  <c r="B103" i="31" s="1"/>
  <c r="O103" i="31" s="1"/>
  <c r="AL112" i="15" s="1"/>
  <c r="B71" i="31" a="1"/>
  <c r="B71" i="31" s="1"/>
  <c r="O71" i="31" s="1"/>
  <c r="AL80" i="15" s="1"/>
  <c r="B39" i="31" a="1"/>
  <c r="B39" i="31" s="1"/>
  <c r="O39" i="31" s="1"/>
  <c r="AL48" i="15" s="1"/>
  <c r="B155" i="31" a="1"/>
  <c r="B155" i="31" s="1"/>
  <c r="O155" i="31" s="1"/>
  <c r="AL164" i="15" s="1"/>
  <c r="B237" i="31" a="1"/>
  <c r="B237" i="31" s="1"/>
  <c r="O237" i="31" s="1"/>
  <c r="AL246" i="15" s="1"/>
  <c r="B126" i="31" a="1"/>
  <c r="B126" i="31" s="1"/>
  <c r="O126" i="31" s="1"/>
  <c r="AL135" i="15" s="1"/>
  <c r="B94" i="31" a="1"/>
  <c r="B94" i="31" s="1"/>
  <c r="O94" i="31" s="1"/>
  <c r="AL103" i="15" s="1"/>
  <c r="B62" i="31" a="1"/>
  <c r="B62" i="31" s="1"/>
  <c r="O62" i="31" s="1"/>
  <c r="AL71" i="15" s="1"/>
  <c r="B30" i="31" a="1"/>
  <c r="B30" i="31" s="1"/>
  <c r="O30" i="31" s="1"/>
  <c r="AL39" i="15" s="1"/>
  <c r="B185" i="31" a="1"/>
  <c r="B185" i="31" s="1"/>
  <c r="O185" i="31" s="1"/>
  <c r="AL194" i="15" s="1"/>
  <c r="B161" i="31" a="1"/>
  <c r="B161" i="31" s="1"/>
  <c r="O161" i="31" s="1"/>
  <c r="AL170" i="15" s="1"/>
  <c r="B113" i="31" a="1"/>
  <c r="B113" i="31" s="1"/>
  <c r="O113" i="31" s="1"/>
  <c r="AL122" i="15" s="1"/>
  <c r="B81" i="31" a="1"/>
  <c r="B81" i="31" s="1"/>
  <c r="O81" i="31" s="1"/>
  <c r="AL90" i="15" s="1"/>
  <c r="B49" i="31" a="1"/>
  <c r="B49" i="31" s="1"/>
  <c r="O49" i="31" s="1"/>
  <c r="AL58" i="15" s="1"/>
  <c r="B245" i="31" a="1"/>
  <c r="B245" i="31" s="1"/>
  <c r="O245" i="31" s="1"/>
  <c r="AL254" i="15" s="1"/>
  <c r="B92" i="31" a="1"/>
  <c r="B92" i="31" s="1"/>
  <c r="O92" i="31" s="1"/>
  <c r="AL101" i="15" s="1"/>
  <c r="B88" i="31" a="1"/>
  <c r="B88" i="31" s="1"/>
  <c r="O88" i="31" s="1"/>
  <c r="AL97" i="15" s="1"/>
  <c r="B84" i="31" a="1"/>
  <c r="B84" i="31" s="1"/>
  <c r="O84" i="31" s="1"/>
  <c r="AL93" i="15" s="1"/>
  <c r="B80" i="31" a="1"/>
  <c r="B80" i="31" s="1"/>
  <c r="O80" i="31" s="1"/>
  <c r="AL89" i="15" s="1"/>
  <c r="B139" i="31" a="1"/>
  <c r="B139" i="31" s="1"/>
  <c r="O139" i="31" s="1"/>
  <c r="AL148" i="15" s="1"/>
  <c r="B41" i="31" a="1"/>
  <c r="B41" i="31" s="1"/>
  <c r="O41" i="31" s="1"/>
  <c r="AL50" i="15" s="1"/>
  <c r="B56" i="31" a="1"/>
  <c r="B56" i="31" s="1"/>
  <c r="O56" i="31" s="1"/>
  <c r="AL65" i="15" s="1"/>
  <c r="B378" i="31" a="1"/>
  <c r="B378" i="31" s="1"/>
  <c r="O378" i="31" s="1"/>
  <c r="AL387" i="15" s="1"/>
  <c r="B375" i="31" a="1"/>
  <c r="B375" i="31" s="1"/>
  <c r="O375" i="31" s="1"/>
  <c r="AL384" i="15" s="1"/>
  <c r="B329" i="31" a="1"/>
  <c r="B329" i="31" s="1"/>
  <c r="O329" i="31" s="1"/>
  <c r="AL338" i="15" s="1"/>
  <c r="B297" i="31" a="1"/>
  <c r="B297" i="31" s="1"/>
  <c r="O297" i="31" s="1"/>
  <c r="AL306" i="15" s="1"/>
  <c r="B265" i="31" a="1"/>
  <c r="B265" i="31" s="1"/>
  <c r="O265" i="31" s="1"/>
  <c r="AL274" i="15" s="1"/>
  <c r="B328" i="31" a="1"/>
  <c r="B328" i="31" s="1"/>
  <c r="O328" i="31" s="1"/>
  <c r="AL337" i="15" s="1"/>
  <c r="B296" i="31" a="1"/>
  <c r="B296" i="31" s="1"/>
  <c r="O296" i="31" s="1"/>
  <c r="AL305" i="15" s="1"/>
  <c r="B264" i="31" a="1"/>
  <c r="B264" i="31" s="1"/>
  <c r="O264" i="31" s="1"/>
  <c r="AL273" i="15" s="1"/>
  <c r="B346" i="31" a="1"/>
  <c r="B346" i="31" s="1"/>
  <c r="O346" i="31" s="1"/>
  <c r="AL355" i="15" s="1"/>
  <c r="B314" i="31" a="1"/>
  <c r="B314" i="31" s="1"/>
  <c r="O314" i="31" s="1"/>
  <c r="AL323" i="15" s="1"/>
  <c r="B282" i="31" a="1"/>
  <c r="B282" i="31" s="1"/>
  <c r="O282" i="31" s="1"/>
  <c r="AL291" i="15" s="1"/>
  <c r="B247" i="31" a="1"/>
  <c r="B247" i="31" s="1"/>
  <c r="O247" i="31" s="1"/>
  <c r="AL256" i="15" s="1"/>
  <c r="B215" i="31" a="1"/>
  <c r="B215" i="31" s="1"/>
  <c r="O215" i="31" s="1"/>
  <c r="AL224" i="15" s="1"/>
  <c r="B183" i="31" a="1"/>
  <c r="B183" i="31" s="1"/>
  <c r="O183" i="31" s="1"/>
  <c r="AL192" i="15" s="1"/>
  <c r="B347" i="31" a="1"/>
  <c r="B347" i="31" s="1"/>
  <c r="O347" i="31" s="1"/>
  <c r="AL356" i="15" s="1"/>
  <c r="B254" i="31" a="1"/>
  <c r="B254" i="31" s="1"/>
  <c r="O254" i="31" s="1"/>
  <c r="AL263" i="15" s="1"/>
  <c r="B222" i="31" a="1"/>
  <c r="B222" i="31" s="1"/>
  <c r="O222" i="31" s="1"/>
  <c r="AL231" i="15" s="1"/>
  <c r="B190" i="31" a="1"/>
  <c r="B190" i="31" s="1"/>
  <c r="O190" i="31" s="1"/>
  <c r="AL199" i="15" s="1"/>
  <c r="B158" i="31" a="1"/>
  <c r="B158" i="31" s="1"/>
  <c r="O158" i="31" s="1"/>
  <c r="AL167" i="15" s="1"/>
  <c r="B291" i="31" a="1"/>
  <c r="B291" i="31" s="1"/>
  <c r="O291" i="31" s="1"/>
  <c r="AL300" i="15" s="1"/>
  <c r="B339" i="31" a="1"/>
  <c r="B339" i="31" s="1"/>
  <c r="O339" i="31" s="1"/>
  <c r="AL348" i="15" s="1"/>
  <c r="B256" i="31" a="1"/>
  <c r="B256" i="31" s="1"/>
  <c r="O256" i="31" s="1"/>
  <c r="AL265" i="15" s="1"/>
  <c r="B224" i="31" a="1"/>
  <c r="B224" i="31" s="1"/>
  <c r="O224" i="31" s="1"/>
  <c r="AL233" i="15" s="1"/>
  <c r="B192" i="31" a="1"/>
  <c r="B192" i="31" s="1"/>
  <c r="O192" i="31" s="1"/>
  <c r="AL201" i="15" s="1"/>
  <c r="B160" i="31" a="1"/>
  <c r="B160" i="31" s="1"/>
  <c r="O160" i="31" s="1"/>
  <c r="AL169" i="15" s="1"/>
  <c r="B275" i="31" a="1"/>
  <c r="B275" i="31" s="1"/>
  <c r="O275" i="31" s="1"/>
  <c r="AL284" i="15" s="1"/>
  <c r="B173" i="31" a="1"/>
  <c r="B173" i="31" s="1"/>
  <c r="O173" i="31" s="1"/>
  <c r="AL182" i="15" s="1"/>
  <c r="B143" i="31" a="1"/>
  <c r="B143" i="31" s="1"/>
  <c r="O143" i="31" s="1"/>
  <c r="AL152" i="15" s="1"/>
  <c r="B142" i="31" a="1"/>
  <c r="B142" i="31" s="1"/>
  <c r="O142" i="31" s="1"/>
  <c r="AL151" i="15" s="1"/>
  <c r="B99" i="31" a="1"/>
  <c r="B99" i="31" s="1"/>
  <c r="O99" i="31" s="1"/>
  <c r="AL108" i="15" s="1"/>
  <c r="B67" i="31" a="1"/>
  <c r="B67" i="31" s="1"/>
  <c r="O67" i="31" s="1"/>
  <c r="AL76" i="15" s="1"/>
  <c r="B35" i="31" a="1"/>
  <c r="B35" i="31" s="1"/>
  <c r="O35" i="31" s="1"/>
  <c r="AL44" i="15" s="1"/>
  <c r="B149" i="31" a="1"/>
  <c r="B149" i="31" s="1"/>
  <c r="O149" i="31" s="1"/>
  <c r="AL158" i="15" s="1"/>
  <c r="B122" i="31" a="1"/>
  <c r="B122" i="31" s="1"/>
  <c r="O122" i="31" s="1"/>
  <c r="AL131" i="15" s="1"/>
  <c r="B90" i="31" a="1"/>
  <c r="B90" i="31" s="1"/>
  <c r="O90" i="31" s="1"/>
  <c r="AL99" i="15" s="1"/>
  <c r="B58" i="31" a="1"/>
  <c r="B58" i="31" s="1"/>
  <c r="O58" i="31" s="1"/>
  <c r="AL67" i="15" s="1"/>
  <c r="B26" i="31" a="1"/>
  <c r="B26" i="31" s="1"/>
  <c r="O26" i="31" s="1"/>
  <c r="AL35" i="15" s="1"/>
  <c r="B147" i="31" a="1"/>
  <c r="B147" i="31" s="1"/>
  <c r="O147" i="31" s="1"/>
  <c r="AL156" i="15" s="1"/>
  <c r="B146" i="31" a="1"/>
  <c r="B146" i="31" s="1"/>
  <c r="O146" i="31" s="1"/>
  <c r="AL155" i="15" s="1"/>
  <c r="B109" i="31" a="1"/>
  <c r="B109" i="31" s="1"/>
  <c r="O109" i="31" s="1"/>
  <c r="AL118" i="15" s="1"/>
  <c r="B77" i="31" a="1"/>
  <c r="B77" i="31" s="1"/>
  <c r="O77" i="31" s="1"/>
  <c r="AL86" i="15" s="1"/>
  <c r="B45" i="31" a="1"/>
  <c r="B45" i="31" s="1"/>
  <c r="O45" i="31" s="1"/>
  <c r="AL54" i="15" s="1"/>
  <c r="B76" i="31" a="1"/>
  <c r="B76" i="31" s="1"/>
  <c r="O76" i="31" s="1"/>
  <c r="AL85" i="15" s="1"/>
  <c r="B72" i="31" a="1"/>
  <c r="B72" i="31" s="1"/>
  <c r="O72" i="31" s="1"/>
  <c r="AL81" i="15" s="1"/>
  <c r="B68" i="31" a="1"/>
  <c r="B68" i="31" s="1"/>
  <c r="O68" i="31" s="1"/>
  <c r="AL77" i="15" s="1"/>
  <c r="B64" i="31" a="1"/>
  <c r="B64" i="31" s="1"/>
  <c r="O64" i="31" s="1"/>
  <c r="AL73" i="15" s="1"/>
  <c r="B325" i="31" a="1"/>
  <c r="B325" i="31" s="1"/>
  <c r="O325" i="31" s="1"/>
  <c r="AL334" i="15" s="1"/>
  <c r="B292" i="31" a="1"/>
  <c r="B292" i="31" s="1"/>
  <c r="O292" i="31" s="1"/>
  <c r="AL301" i="15" s="1"/>
  <c r="B211" i="31" a="1"/>
  <c r="B211" i="31" s="1"/>
  <c r="O211" i="31" s="1"/>
  <c r="AL220" i="15" s="1"/>
  <c r="B250" i="31" a="1"/>
  <c r="B250" i="31" s="1"/>
  <c r="O250" i="31" s="1"/>
  <c r="AL259" i="15" s="1"/>
  <c r="B154" i="31" a="1"/>
  <c r="B154" i="31" s="1"/>
  <c r="O154" i="31" s="1"/>
  <c r="AL163" i="15" s="1"/>
  <c r="B252" i="31" a="1"/>
  <c r="B252" i="31" s="1"/>
  <c r="O252" i="31" s="1"/>
  <c r="AL261" i="15" s="1"/>
  <c r="B135" i="31" a="1"/>
  <c r="B135" i="31" s="1"/>
  <c r="O135" i="31" s="1"/>
  <c r="AL144" i="15" s="1"/>
  <c r="B31" i="31" a="1"/>
  <c r="B31" i="31" s="1"/>
  <c r="O31" i="31" s="1"/>
  <c r="AL40" i="15" s="1"/>
  <c r="B118" i="31" a="1"/>
  <c r="B118" i="31" s="1"/>
  <c r="O118" i="31" s="1"/>
  <c r="AL127" i="15" s="1"/>
  <c r="B384" i="31" a="1"/>
  <c r="B384" i="31" s="1"/>
  <c r="O384" i="31" s="1"/>
  <c r="AL393" i="15" s="1"/>
  <c r="B73" i="31" a="1"/>
  <c r="B73" i="31" s="1"/>
  <c r="O73" i="31" s="1"/>
  <c r="AL82" i="15" s="1"/>
  <c r="B52" i="31" a="1"/>
  <c r="B52" i="31" s="1"/>
  <c r="O52" i="31" s="1"/>
  <c r="AL61" i="15" s="1"/>
  <c r="X57" i="17"/>
  <c r="AH64" i="47"/>
  <c r="AK64" i="47" s="1"/>
  <c r="I16" i="5"/>
  <c r="I19" i="5" s="1"/>
  <c r="J39" i="9"/>
  <c r="J41" i="9"/>
  <c r="P65" i="47"/>
  <c r="AH65" i="47" s="1"/>
  <c r="AA230" i="3"/>
  <c r="AA223" i="3"/>
  <c r="AA210" i="3"/>
  <c r="AA212" i="3"/>
  <c r="AA214" i="3"/>
  <c r="AA215" i="3"/>
  <c r="AA216" i="3"/>
  <c r="AA208" i="3"/>
  <c r="H48" i="9"/>
  <c r="AA211" i="3"/>
  <c r="AA213" i="3"/>
  <c r="AA209" i="3"/>
  <c r="G69" i="9"/>
  <c r="X67" i="17"/>
  <c r="M66" i="47"/>
  <c r="G72" i="9"/>
  <c r="M52" i="42"/>
  <c r="G66" i="9"/>
  <c r="AD23" i="8"/>
  <c r="K166" i="5"/>
  <c r="J9" i="6"/>
  <c r="K169" i="5"/>
  <c r="K167" i="5"/>
  <c r="K165" i="5"/>
  <c r="K168" i="5"/>
  <c r="K91" i="5"/>
  <c r="K82" i="5"/>
  <c r="K83" i="5"/>
  <c r="K4" i="5"/>
  <c r="L8" i="5"/>
  <c r="K5" i="5"/>
  <c r="L5" i="43"/>
  <c r="M7" i="43"/>
  <c r="H16" i="6"/>
  <c r="AM186" i="3"/>
  <c r="K42" i="9" s="1"/>
  <c r="AQ185" i="3"/>
  <c r="AM188" i="3"/>
  <c r="N134" i="9"/>
  <c r="M144" i="9"/>
  <c r="M137" i="9"/>
  <c r="M153" i="9"/>
  <c r="Y67" i="47" s="1"/>
  <c r="M150" i="9"/>
  <c r="S67" i="47" s="1"/>
  <c r="M136" i="9"/>
  <c r="M147" i="9"/>
  <c r="S218" i="3"/>
  <c r="F74" i="9" s="1"/>
  <c r="F73" i="9"/>
  <c r="S220" i="3"/>
  <c r="W234" i="3"/>
  <c r="W233" i="3"/>
  <c r="G64" i="9"/>
  <c r="W217" i="3"/>
  <c r="AA36" i="8"/>
  <c r="J9" i="10" s="1"/>
  <c r="I6" i="6"/>
  <c r="J163" i="5"/>
  <c r="J95" i="5"/>
  <c r="J125" i="5"/>
  <c r="J122" i="5" s="1"/>
  <c r="J155" i="5" s="1"/>
  <c r="AA120" i="8" s="1"/>
  <c r="J44" i="5"/>
  <c r="AA62" i="17" s="1"/>
  <c r="J42" i="5"/>
  <c r="AA51" i="17" s="1"/>
  <c r="J40" i="5"/>
  <c r="AA50" i="17" s="1"/>
  <c r="J13" i="5"/>
  <c r="J17" i="5"/>
  <c r="J14" i="5"/>
  <c r="J9" i="5"/>
  <c r="I10" i="6" s="1"/>
  <c r="J38" i="5"/>
  <c r="AA52" i="17" s="1"/>
  <c r="J36" i="5"/>
  <c r="AA59" i="17" s="1"/>
  <c r="J21" i="5"/>
  <c r="AA45" i="17" s="1"/>
  <c r="J34" i="5"/>
  <c r="AA58" i="17" s="1"/>
  <c r="J32" i="5"/>
  <c r="AA57" i="17" s="1"/>
  <c r="J30" i="5"/>
  <c r="AA56" i="17" s="1"/>
  <c r="J46" i="5"/>
  <c r="AA67" i="17" s="1"/>
  <c r="K221" i="3"/>
  <c r="D77" i="9" s="1"/>
  <c r="D76" i="9"/>
  <c r="L148" i="9"/>
  <c r="Z125" i="9"/>
  <c r="L145" i="9" s="1"/>
  <c r="J44" i="9"/>
  <c r="AI190" i="3"/>
  <c r="G66" i="47"/>
  <c r="L141" i="9"/>
  <c r="L156" i="9" s="1"/>
  <c r="H51" i="9"/>
  <c r="AA232" i="3"/>
  <c r="G71" i="9"/>
  <c r="AA124" i="9"/>
  <c r="AA93" i="9"/>
  <c r="AA97" i="9" s="1"/>
  <c r="AA122" i="9"/>
  <c r="AA95" i="9"/>
  <c r="AA120" i="9"/>
  <c r="M151" i="9" s="1"/>
  <c r="V67" i="47" s="1"/>
  <c r="AA119" i="9"/>
  <c r="AA123" i="9"/>
  <c r="M154" i="9" s="1"/>
  <c r="AB67" i="47" s="1"/>
  <c r="AA117" i="9"/>
  <c r="AA116" i="9"/>
  <c r="AA115" i="9"/>
  <c r="AA114" i="9"/>
  <c r="AA113" i="9"/>
  <c r="AA112" i="9"/>
  <c r="AA111" i="9"/>
  <c r="AA110" i="9"/>
  <c r="AA109" i="9"/>
  <c r="AA108" i="9"/>
  <c r="AA107" i="9"/>
  <c r="AA106" i="9"/>
  <c r="AA105" i="9"/>
  <c r="AA104" i="9"/>
  <c r="AA103" i="9"/>
  <c r="AA102" i="9"/>
  <c r="AA101" i="9"/>
  <c r="AA100" i="9"/>
  <c r="AA121" i="9"/>
  <c r="AA87" i="9"/>
  <c r="AA88" i="9" s="1"/>
  <c r="AA118" i="9"/>
  <c r="AA96" i="9"/>
  <c r="AA94" i="9"/>
  <c r="AA92" i="9"/>
  <c r="M138" i="9" s="1"/>
  <c r="AB89" i="9"/>
  <c r="U29" i="8" l="1"/>
  <c r="G7" i="13"/>
  <c r="H69" i="5"/>
  <c r="X19" i="16"/>
  <c r="X57" i="16"/>
  <c r="U77" i="17"/>
  <c r="I29" i="5"/>
  <c r="I68" i="5" s="1"/>
  <c r="H7" i="13" s="1"/>
  <c r="X43" i="17"/>
  <c r="G6" i="11"/>
  <c r="X76" i="8"/>
  <c r="X77" i="8" s="1"/>
  <c r="H15" i="13"/>
  <c r="AA47" i="16"/>
  <c r="BA11" i="16"/>
  <c r="AZ84" i="3"/>
  <c r="U13" i="8" s="1"/>
  <c r="U14" i="8" s="1"/>
  <c r="D95" i="5"/>
  <c r="D99" i="5" s="1"/>
  <c r="D101" i="5" s="1"/>
  <c r="AE66" i="47"/>
  <c r="H25" i="5"/>
  <c r="U47" i="17" s="1"/>
  <c r="H114" i="5"/>
  <c r="I110" i="5"/>
  <c r="H113" i="5"/>
  <c r="I147" i="5"/>
  <c r="H22" i="13"/>
  <c r="G113" i="5"/>
  <c r="G115" i="5" s="1"/>
  <c r="G116" i="5" s="1"/>
  <c r="F7" i="13"/>
  <c r="R29" i="8"/>
  <c r="U19" i="16"/>
  <c r="G69" i="5"/>
  <c r="U57" i="16"/>
  <c r="AM69" i="17"/>
  <c r="AM68" i="17"/>
  <c r="AM73" i="17"/>
  <c r="AM74" i="17"/>
  <c r="P7" i="5"/>
  <c r="M3" i="11"/>
  <c r="H65" i="9"/>
  <c r="E305" i="15"/>
  <c r="C296" i="31"/>
  <c r="T296" i="31" s="1"/>
  <c r="R296" i="31"/>
  <c r="Q296" i="31"/>
  <c r="S296" i="31" s="1"/>
  <c r="E296" i="31" s="1"/>
  <c r="E388" i="15"/>
  <c r="Q379" i="31"/>
  <c r="S379" i="31" s="1"/>
  <c r="E379" i="31" s="1"/>
  <c r="R379" i="31"/>
  <c r="C379" i="31"/>
  <c r="T379" i="31" s="1"/>
  <c r="E229" i="15"/>
  <c r="Q220" i="31"/>
  <c r="S220" i="31" s="1"/>
  <c r="E220" i="31" s="1"/>
  <c r="C220" i="31"/>
  <c r="T220" i="31" s="1"/>
  <c r="R220" i="31"/>
  <c r="E38" i="15"/>
  <c r="Q29" i="31"/>
  <c r="S29" i="31" s="1"/>
  <c r="E29" i="31" s="1"/>
  <c r="R29" i="31"/>
  <c r="E230" i="15"/>
  <c r="C221" i="31"/>
  <c r="T221" i="31" s="1"/>
  <c r="R221" i="31"/>
  <c r="Q221" i="31"/>
  <c r="S221" i="31" s="1"/>
  <c r="E221" i="31" s="1"/>
  <c r="E100" i="15"/>
  <c r="R91" i="31"/>
  <c r="Q91" i="31"/>
  <c r="S91" i="31" s="1"/>
  <c r="E91" i="31" s="1"/>
  <c r="AG108" i="8"/>
  <c r="J67" i="47"/>
  <c r="M139" i="9"/>
  <c r="AI231" i="3"/>
  <c r="AI192" i="3"/>
  <c r="J46" i="9"/>
  <c r="AI195" i="3"/>
  <c r="AF8" i="44"/>
  <c r="I16" i="6"/>
  <c r="S221" i="3"/>
  <c r="F77" i="9" s="1"/>
  <c r="F76" i="9"/>
  <c r="AD66" i="8"/>
  <c r="AD107" i="8" s="1"/>
  <c r="K7" i="10"/>
  <c r="E393" i="15"/>
  <c r="C384" i="31"/>
  <c r="T384" i="31" s="1"/>
  <c r="R384" i="31"/>
  <c r="Q384" i="31"/>
  <c r="S384" i="31" s="1"/>
  <c r="E384" i="31" s="1"/>
  <c r="E301" i="15"/>
  <c r="C292" i="31"/>
  <c r="T292" i="31" s="1"/>
  <c r="R292" i="31"/>
  <c r="Q292" i="31"/>
  <c r="S292" i="31" s="1"/>
  <c r="E292" i="31" s="1"/>
  <c r="E118" i="15"/>
  <c r="B118" i="15" s="1"/>
  <c r="Q109" i="31"/>
  <c r="S109" i="31" s="1"/>
  <c r="E109" i="31" s="1"/>
  <c r="R109" i="31"/>
  <c r="E44" i="15"/>
  <c r="R35" i="31"/>
  <c r="Q35" i="31"/>
  <c r="S35" i="31" s="1"/>
  <c r="E35" i="31" s="1"/>
  <c r="E201" i="15"/>
  <c r="Q192" i="31"/>
  <c r="S192" i="31" s="1"/>
  <c r="E192" i="31" s="1"/>
  <c r="R192" i="31"/>
  <c r="E263" i="15"/>
  <c r="C254" i="31"/>
  <c r="T254" i="31" s="1"/>
  <c r="R254" i="31"/>
  <c r="Q254" i="31"/>
  <c r="S254" i="31" s="1"/>
  <c r="E254" i="31" s="1"/>
  <c r="E273" i="15"/>
  <c r="C264" i="31"/>
  <c r="T264" i="31" s="1"/>
  <c r="R264" i="31"/>
  <c r="Q264" i="31"/>
  <c r="S264" i="31" s="1"/>
  <c r="E264" i="31" s="1"/>
  <c r="E65" i="15"/>
  <c r="R56" i="31"/>
  <c r="Q56" i="31"/>
  <c r="S56" i="31" s="1"/>
  <c r="E56" i="31" s="1"/>
  <c r="E58" i="15"/>
  <c r="B58" i="15" s="1"/>
  <c r="R49" i="31"/>
  <c r="Q49" i="31"/>
  <c r="S49" i="31" s="1"/>
  <c r="E49" i="31" s="1"/>
  <c r="E135" i="15"/>
  <c r="R126" i="31"/>
  <c r="Q126" i="31"/>
  <c r="S126" i="31" s="1"/>
  <c r="E126" i="31" s="1"/>
  <c r="E316" i="15"/>
  <c r="C307" i="31"/>
  <c r="T307" i="31" s="1"/>
  <c r="R307" i="31"/>
  <c r="Q307" i="31"/>
  <c r="S307" i="31" s="1"/>
  <c r="E307" i="31" s="1"/>
  <c r="E203" i="15"/>
  <c r="R194" i="31"/>
  <c r="Q194" i="31"/>
  <c r="S194" i="31" s="1"/>
  <c r="E194" i="31" s="1"/>
  <c r="E359" i="15"/>
  <c r="Q350" i="31"/>
  <c r="S350" i="31" s="1"/>
  <c r="E350" i="31" s="1"/>
  <c r="R350" i="31"/>
  <c r="C350" i="31"/>
  <c r="T350" i="31" s="1"/>
  <c r="E342" i="15"/>
  <c r="R333" i="31"/>
  <c r="Q333" i="31"/>
  <c r="S333" i="31" s="1"/>
  <c r="E333" i="31" s="1"/>
  <c r="C333" i="31"/>
  <c r="T333" i="31" s="1"/>
  <c r="E269" i="15"/>
  <c r="C260" i="31"/>
  <c r="T260" i="31" s="1"/>
  <c r="R260" i="31"/>
  <c r="Q260" i="31"/>
  <c r="S260" i="31" s="1"/>
  <c r="E260" i="31" s="1"/>
  <c r="E94" i="15"/>
  <c r="B94" i="15" s="1"/>
  <c r="R85" i="31"/>
  <c r="Q85" i="31"/>
  <c r="S85" i="31" s="1"/>
  <c r="E85" i="31" s="1"/>
  <c r="E84" i="15"/>
  <c r="R75" i="31"/>
  <c r="Q75" i="31"/>
  <c r="S75" i="31" s="1"/>
  <c r="E75" i="31" s="1"/>
  <c r="E207" i="15"/>
  <c r="C198" i="31"/>
  <c r="T198" i="31" s="1"/>
  <c r="Q198" i="31"/>
  <c r="S198" i="31" s="1"/>
  <c r="E198" i="31" s="1"/>
  <c r="R198" i="31"/>
  <c r="E299" i="15"/>
  <c r="Q290" i="31"/>
  <c r="S290" i="31" s="1"/>
  <c r="E290" i="31" s="1"/>
  <c r="C290" i="31"/>
  <c r="T290" i="31" s="1"/>
  <c r="R290" i="31"/>
  <c r="E346" i="15"/>
  <c r="B346" i="15" s="1"/>
  <c r="R337" i="31"/>
  <c r="Q337" i="31"/>
  <c r="S337" i="31" s="1"/>
  <c r="E337" i="31" s="1"/>
  <c r="C337" i="31"/>
  <c r="T337" i="31" s="1"/>
  <c r="E165" i="15"/>
  <c r="Q156" i="31"/>
  <c r="S156" i="31" s="1"/>
  <c r="E156" i="31" s="1"/>
  <c r="R156" i="31"/>
  <c r="E34" i="15"/>
  <c r="B34" i="15" s="1"/>
  <c r="D25" i="31"/>
  <c r="C25" i="31"/>
  <c r="K25" i="31"/>
  <c r="R25" i="31"/>
  <c r="Q25" i="31"/>
  <c r="S25" i="31" s="1"/>
  <c r="E25" i="31" s="1"/>
  <c r="E56" i="15"/>
  <c r="R47" i="31"/>
  <c r="Q47" i="31"/>
  <c r="S47" i="31" s="1"/>
  <c r="E47" i="31" s="1"/>
  <c r="E213" i="15"/>
  <c r="Q204" i="31"/>
  <c r="S204" i="31" s="1"/>
  <c r="E204" i="31" s="1"/>
  <c r="C204" i="31"/>
  <c r="T204" i="31" s="1"/>
  <c r="R204" i="31"/>
  <c r="E204" i="15"/>
  <c r="R195" i="31"/>
  <c r="Q195" i="31"/>
  <c r="S195" i="31" s="1"/>
  <c r="E195" i="31" s="1"/>
  <c r="E349" i="15"/>
  <c r="C340" i="31"/>
  <c r="T340" i="31" s="1"/>
  <c r="R340" i="31"/>
  <c r="Q340" i="31"/>
  <c r="S340" i="31" s="1"/>
  <c r="E340" i="31" s="1"/>
  <c r="E302" i="15"/>
  <c r="R293" i="31"/>
  <c r="Q293" i="31"/>
  <c r="S293" i="31" s="1"/>
  <c r="E293" i="31" s="1"/>
  <c r="C293" i="31"/>
  <c r="T293" i="31" s="1"/>
  <c r="E161" i="15"/>
  <c r="R152" i="31"/>
  <c r="Q152" i="31"/>
  <c r="S152" i="31" s="1"/>
  <c r="E152" i="31" s="1"/>
  <c r="E115" i="15"/>
  <c r="R106" i="31"/>
  <c r="Q106" i="31"/>
  <c r="S106" i="31" s="1"/>
  <c r="E106" i="31" s="1"/>
  <c r="E250" i="15"/>
  <c r="B250" i="15" s="1"/>
  <c r="C241" i="31"/>
  <c r="T241" i="31" s="1"/>
  <c r="R241" i="31"/>
  <c r="Q241" i="31"/>
  <c r="S241" i="31" s="1"/>
  <c r="E241" i="31" s="1"/>
  <c r="E208" i="15"/>
  <c r="R199" i="31"/>
  <c r="Q199" i="31"/>
  <c r="S199" i="31" s="1"/>
  <c r="E199" i="31" s="1"/>
  <c r="C199" i="31"/>
  <c r="T199" i="31" s="1"/>
  <c r="E321" i="15"/>
  <c r="C312" i="31"/>
  <c r="T312" i="31" s="1"/>
  <c r="Q312" i="31"/>
  <c r="S312" i="31" s="1"/>
  <c r="E312" i="31" s="1"/>
  <c r="R312" i="31"/>
  <c r="E104" i="15"/>
  <c r="R95" i="31"/>
  <c r="Q95" i="31"/>
  <c r="S95" i="31" s="1"/>
  <c r="E95" i="31" s="1"/>
  <c r="E366" i="15"/>
  <c r="R357" i="31"/>
  <c r="Q357" i="31"/>
  <c r="S357" i="31" s="1"/>
  <c r="E357" i="31" s="1"/>
  <c r="C357" i="31"/>
  <c r="T357" i="31" s="1"/>
  <c r="E106" i="15"/>
  <c r="B106" i="15" s="1"/>
  <c r="R97" i="31"/>
  <c r="Q97" i="31"/>
  <c r="S97" i="31" s="1"/>
  <c r="E97" i="31" s="1"/>
  <c r="E238" i="15"/>
  <c r="B238" i="15" s="1"/>
  <c r="C229" i="31"/>
  <c r="T229" i="31" s="1"/>
  <c r="R229" i="31"/>
  <c r="Q229" i="31"/>
  <c r="S229" i="31" s="1"/>
  <c r="E229" i="31" s="1"/>
  <c r="E187" i="15"/>
  <c r="R178" i="31"/>
  <c r="Q178" i="31"/>
  <c r="S178" i="31" s="1"/>
  <c r="E178" i="31" s="1"/>
  <c r="E311" i="15"/>
  <c r="Q302" i="31"/>
  <c r="S302" i="31" s="1"/>
  <c r="E302" i="31" s="1"/>
  <c r="C302" i="31"/>
  <c r="T302" i="31" s="1"/>
  <c r="R302" i="31"/>
  <c r="E372" i="15"/>
  <c r="Q363" i="31"/>
  <c r="S363" i="31" s="1"/>
  <c r="E363" i="31" s="1"/>
  <c r="C363" i="31"/>
  <c r="T363" i="31" s="1"/>
  <c r="R363" i="31"/>
  <c r="E139" i="15"/>
  <c r="R130" i="31"/>
  <c r="Q130" i="31"/>
  <c r="S130" i="31" s="1"/>
  <c r="E130" i="31" s="1"/>
  <c r="E68" i="15"/>
  <c r="R59" i="31"/>
  <c r="Q59" i="31"/>
  <c r="S59" i="31" s="1"/>
  <c r="E59" i="31" s="1"/>
  <c r="E257" i="15"/>
  <c r="Q248" i="31"/>
  <c r="S248" i="31" s="1"/>
  <c r="E248" i="31" s="1"/>
  <c r="C248" i="31"/>
  <c r="T248" i="31" s="1"/>
  <c r="R248" i="31"/>
  <c r="E216" i="15"/>
  <c r="R207" i="31"/>
  <c r="Q207" i="31"/>
  <c r="S207" i="31" s="1"/>
  <c r="E207" i="31" s="1"/>
  <c r="C207" i="31"/>
  <c r="T207" i="31" s="1"/>
  <c r="E266" i="15"/>
  <c r="R257" i="31"/>
  <c r="Q257" i="31"/>
  <c r="S257" i="31" s="1"/>
  <c r="E257" i="31" s="1"/>
  <c r="C257" i="31"/>
  <c r="T257" i="31" s="1"/>
  <c r="AC7" i="15"/>
  <c r="I11" i="31"/>
  <c r="I12" i="31" s="1"/>
  <c r="L142" i="9"/>
  <c r="L157" i="9" s="1"/>
  <c r="AA29" i="12"/>
  <c r="AA30" i="12"/>
  <c r="AK65" i="47"/>
  <c r="E76" i="15"/>
  <c r="R67" i="31"/>
  <c r="Q67" i="31"/>
  <c r="S67" i="31" s="1"/>
  <c r="E67" i="31" s="1"/>
  <c r="E246" i="15"/>
  <c r="C237" i="31"/>
  <c r="T237" i="31" s="1"/>
  <c r="R237" i="31"/>
  <c r="Q237" i="31"/>
  <c r="S237" i="31" s="1"/>
  <c r="E237" i="31" s="1"/>
  <c r="E116" i="15"/>
  <c r="R107" i="31"/>
  <c r="Q107" i="31"/>
  <c r="S107" i="31" s="1"/>
  <c r="E107" i="31" s="1"/>
  <c r="E286" i="15"/>
  <c r="B286" i="15" s="1"/>
  <c r="R277" i="31"/>
  <c r="Q277" i="31"/>
  <c r="S277" i="31" s="1"/>
  <c r="E277" i="31" s="1"/>
  <c r="C277" i="31"/>
  <c r="T277" i="31" s="1"/>
  <c r="E240" i="15"/>
  <c r="R231" i="31"/>
  <c r="Q231" i="31"/>
  <c r="S231" i="31" s="1"/>
  <c r="E231" i="31" s="1"/>
  <c r="C231" i="31"/>
  <c r="T231" i="31" s="1"/>
  <c r="E328" i="15"/>
  <c r="C319" i="31"/>
  <c r="T319" i="31" s="1"/>
  <c r="R319" i="31"/>
  <c r="Q319" i="31"/>
  <c r="S319" i="31" s="1"/>
  <c r="E319" i="31" s="1"/>
  <c r="R8" i="15"/>
  <c r="R7" i="15"/>
  <c r="AB118" i="9"/>
  <c r="AB94" i="9"/>
  <c r="AB87" i="9"/>
  <c r="AB88" i="9" s="1"/>
  <c r="AB96" i="9"/>
  <c r="AB123" i="9"/>
  <c r="N154" i="9" s="1"/>
  <c r="AB68" i="47" s="1"/>
  <c r="AB117" i="9"/>
  <c r="AB116" i="9"/>
  <c r="AB115" i="9"/>
  <c r="AB114" i="9"/>
  <c r="AB113" i="9"/>
  <c r="AB112" i="9"/>
  <c r="AB111" i="9"/>
  <c r="AB110" i="9"/>
  <c r="AB109" i="9"/>
  <c r="AB108" i="9"/>
  <c r="AB107" i="9"/>
  <c r="AB106" i="9"/>
  <c r="AB105" i="9"/>
  <c r="AB121" i="9"/>
  <c r="AB92" i="9"/>
  <c r="N138" i="9" s="1"/>
  <c r="AC89" i="9"/>
  <c r="AB124" i="9"/>
  <c r="AB122" i="9"/>
  <c r="AB104" i="9"/>
  <c r="AB102" i="9"/>
  <c r="AB100" i="9"/>
  <c r="AB120" i="9"/>
  <c r="N151" i="9" s="1"/>
  <c r="V68" i="47" s="1"/>
  <c r="AB119" i="9"/>
  <c r="AB95" i="9"/>
  <c r="AB93" i="9"/>
  <c r="AB97" i="9" s="1"/>
  <c r="AB103" i="9"/>
  <c r="AB101" i="9"/>
  <c r="K44" i="9"/>
  <c r="AM190" i="3"/>
  <c r="H69" i="9"/>
  <c r="AA196" i="3"/>
  <c r="E40" i="15"/>
  <c r="R31" i="31"/>
  <c r="Q31" i="31"/>
  <c r="S31" i="31" s="1"/>
  <c r="E31" i="31" s="1"/>
  <c r="E73" i="15"/>
  <c r="R64" i="31"/>
  <c r="Q64" i="31"/>
  <c r="S64" i="31" s="1"/>
  <c r="E64" i="31" s="1"/>
  <c r="E156" i="15"/>
  <c r="R147" i="31"/>
  <c r="Q147" i="31"/>
  <c r="S147" i="31" s="1"/>
  <c r="E147" i="31" s="1"/>
  <c r="E108" i="15"/>
  <c r="R99" i="31"/>
  <c r="Q99" i="31"/>
  <c r="S99" i="31" s="1"/>
  <c r="E99" i="31" s="1"/>
  <c r="E265" i="15"/>
  <c r="R256" i="31"/>
  <c r="Q256" i="31"/>
  <c r="S256" i="31" s="1"/>
  <c r="E256" i="31" s="1"/>
  <c r="C256" i="31"/>
  <c r="T256" i="31" s="1"/>
  <c r="E192" i="15"/>
  <c r="R183" i="31"/>
  <c r="Q183" i="31"/>
  <c r="S183" i="31" s="1"/>
  <c r="E183" i="31" s="1"/>
  <c r="E337" i="15"/>
  <c r="C328" i="31"/>
  <c r="T328" i="31" s="1"/>
  <c r="R328" i="31"/>
  <c r="Q328" i="31"/>
  <c r="S328" i="31" s="1"/>
  <c r="E328" i="31" s="1"/>
  <c r="E148" i="15"/>
  <c r="R139" i="31"/>
  <c r="Q139" i="31"/>
  <c r="S139" i="31" s="1"/>
  <c r="E139" i="31" s="1"/>
  <c r="E122" i="15"/>
  <c r="R113" i="31"/>
  <c r="Q113" i="31"/>
  <c r="S113" i="31" s="1"/>
  <c r="E113" i="31" s="1"/>
  <c r="E164" i="15"/>
  <c r="R155" i="31"/>
  <c r="Q155" i="31"/>
  <c r="S155" i="31" s="1"/>
  <c r="E155" i="31" s="1"/>
  <c r="E173" i="15"/>
  <c r="Q164" i="31"/>
  <c r="S164" i="31" s="1"/>
  <c r="E164" i="31" s="1"/>
  <c r="R164" i="31"/>
  <c r="E196" i="15"/>
  <c r="R187" i="31"/>
  <c r="Q187" i="31"/>
  <c r="S187" i="31" s="1"/>
  <c r="E187" i="31" s="1"/>
  <c r="E277" i="15"/>
  <c r="C268" i="31"/>
  <c r="T268" i="31" s="1"/>
  <c r="R268" i="31"/>
  <c r="Q268" i="31"/>
  <c r="S268" i="31" s="1"/>
  <c r="E268" i="31" s="1"/>
  <c r="E370" i="15"/>
  <c r="B370" i="15" s="1"/>
  <c r="C361" i="31"/>
  <c r="T361" i="31" s="1"/>
  <c r="R361" i="31"/>
  <c r="Q361" i="31"/>
  <c r="S361" i="31" s="1"/>
  <c r="E361" i="31" s="1"/>
  <c r="E105" i="15"/>
  <c r="R96" i="31"/>
  <c r="Q96" i="31"/>
  <c r="S96" i="31" s="1"/>
  <c r="E96" i="31" s="1"/>
  <c r="E43" i="15"/>
  <c r="R34" i="31"/>
  <c r="Q34" i="31"/>
  <c r="S34" i="31" s="1"/>
  <c r="E34" i="31" s="1"/>
  <c r="E206" i="15"/>
  <c r="C197" i="31"/>
  <c r="T197" i="31" s="1"/>
  <c r="R197" i="31"/>
  <c r="Q197" i="31"/>
  <c r="S197" i="31" s="1"/>
  <c r="E197" i="31" s="1"/>
  <c r="E280" i="15"/>
  <c r="C271" i="31"/>
  <c r="T271" i="31" s="1"/>
  <c r="R271" i="31"/>
  <c r="Q271" i="31"/>
  <c r="S271" i="31" s="1"/>
  <c r="E271" i="31" s="1"/>
  <c r="E363" i="15"/>
  <c r="Q354" i="31"/>
  <c r="S354" i="31" s="1"/>
  <c r="E354" i="31" s="1"/>
  <c r="C354" i="31"/>
  <c r="T354" i="31" s="1"/>
  <c r="R354" i="31"/>
  <c r="E374" i="15"/>
  <c r="C365" i="31"/>
  <c r="T365" i="31" s="1"/>
  <c r="R365" i="31"/>
  <c r="Q365" i="31"/>
  <c r="S365" i="31" s="1"/>
  <c r="E365" i="31" s="1"/>
  <c r="E332" i="15"/>
  <c r="C323" i="31"/>
  <c r="T323" i="31" s="1"/>
  <c r="R323" i="31"/>
  <c r="Q323" i="31"/>
  <c r="S323" i="31" s="1"/>
  <c r="E323" i="31" s="1"/>
  <c r="E98" i="15"/>
  <c r="R89" i="31"/>
  <c r="Q89" i="31"/>
  <c r="S89" i="31" s="1"/>
  <c r="E89" i="31" s="1"/>
  <c r="E120" i="15"/>
  <c r="R111" i="31"/>
  <c r="Q111" i="31"/>
  <c r="S111" i="31" s="1"/>
  <c r="E111" i="31" s="1"/>
  <c r="E296" i="15"/>
  <c r="C287" i="31"/>
  <c r="T287" i="31" s="1"/>
  <c r="R287" i="31"/>
  <c r="Q287" i="31"/>
  <c r="S287" i="31" s="1"/>
  <c r="E287" i="31" s="1"/>
  <c r="E271" i="15"/>
  <c r="Q262" i="31"/>
  <c r="S262" i="31" s="1"/>
  <c r="E262" i="31" s="1"/>
  <c r="R262" i="31"/>
  <c r="C262" i="31"/>
  <c r="T262" i="31" s="1"/>
  <c r="E318" i="15"/>
  <c r="R309" i="31"/>
  <c r="Q309" i="31"/>
  <c r="S309" i="31" s="1"/>
  <c r="E309" i="31" s="1"/>
  <c r="C309" i="31"/>
  <c r="T309" i="31" s="1"/>
  <c r="E383" i="15"/>
  <c r="R374" i="31"/>
  <c r="Q374" i="31"/>
  <c r="S374" i="31" s="1"/>
  <c r="E374" i="31" s="1"/>
  <c r="C374" i="31"/>
  <c r="T374" i="31" s="1"/>
  <c r="E70" i="15"/>
  <c r="B70" i="15" s="1"/>
  <c r="Q61" i="31"/>
  <c r="S61" i="31" s="1"/>
  <c r="E61" i="31" s="1"/>
  <c r="R61" i="31"/>
  <c r="E137" i="15"/>
  <c r="R128" i="31"/>
  <c r="Q128" i="31"/>
  <c r="S128" i="31" s="1"/>
  <c r="E128" i="31" s="1"/>
  <c r="E217" i="15"/>
  <c r="Q208" i="31"/>
  <c r="S208" i="31" s="1"/>
  <c r="E208" i="31" s="1"/>
  <c r="R208" i="31"/>
  <c r="C208" i="31"/>
  <c r="T208" i="31" s="1"/>
  <c r="E272" i="15"/>
  <c r="C263" i="31"/>
  <c r="T263" i="31" s="1"/>
  <c r="R263" i="31"/>
  <c r="Q263" i="31"/>
  <c r="S263" i="31" s="1"/>
  <c r="E263" i="31" s="1"/>
  <c r="E290" i="15"/>
  <c r="R281" i="31"/>
  <c r="Q281" i="31"/>
  <c r="S281" i="31" s="1"/>
  <c r="E281" i="31" s="1"/>
  <c r="C281" i="31"/>
  <c r="T281" i="31" s="1"/>
  <c r="E340" i="15"/>
  <c r="C331" i="31"/>
  <c r="T331" i="31" s="1"/>
  <c r="R331" i="31"/>
  <c r="Q331" i="31"/>
  <c r="S331" i="31" s="1"/>
  <c r="E331" i="31" s="1"/>
  <c r="E186" i="15"/>
  <c r="R177" i="31"/>
  <c r="Q177" i="31"/>
  <c r="S177" i="31" s="1"/>
  <c r="E177" i="31" s="1"/>
  <c r="E55" i="15"/>
  <c r="R46" i="31"/>
  <c r="Q46" i="31"/>
  <c r="S46" i="31" s="1"/>
  <c r="E46" i="31" s="1"/>
  <c r="E368" i="15"/>
  <c r="C359" i="31"/>
  <c r="T359" i="31" s="1"/>
  <c r="R359" i="31"/>
  <c r="Q359" i="31"/>
  <c r="S359" i="31" s="1"/>
  <c r="E359" i="31" s="1"/>
  <c r="E251" i="15"/>
  <c r="C242" i="31"/>
  <c r="T242" i="31" s="1"/>
  <c r="R242" i="31"/>
  <c r="Q242" i="31"/>
  <c r="S242" i="31" s="1"/>
  <c r="E242" i="31" s="1"/>
  <c r="E293" i="15"/>
  <c r="C284" i="31"/>
  <c r="T284" i="31" s="1"/>
  <c r="Q284" i="31"/>
  <c r="S284" i="31" s="1"/>
  <c r="E284" i="31" s="1"/>
  <c r="R284" i="31"/>
  <c r="E375" i="15"/>
  <c r="R366" i="31"/>
  <c r="Q366" i="31"/>
  <c r="S366" i="31" s="1"/>
  <c r="E366" i="31" s="1"/>
  <c r="C366" i="31"/>
  <c r="T366" i="31" s="1"/>
  <c r="E45" i="15"/>
  <c r="R36" i="31"/>
  <c r="Q36" i="31"/>
  <c r="S36" i="31" s="1"/>
  <c r="E36" i="31" s="1"/>
  <c r="E59" i="15"/>
  <c r="R50" i="31"/>
  <c r="Q50" i="31"/>
  <c r="S50" i="31" s="1"/>
  <c r="E50" i="31" s="1"/>
  <c r="E132" i="15"/>
  <c r="R123" i="31"/>
  <c r="Q123" i="31"/>
  <c r="S123" i="31" s="1"/>
  <c r="E123" i="31" s="1"/>
  <c r="E276" i="15"/>
  <c r="C267" i="31"/>
  <c r="T267" i="31" s="1"/>
  <c r="R267" i="31"/>
  <c r="Q267" i="31"/>
  <c r="S267" i="31" s="1"/>
  <c r="E267" i="31" s="1"/>
  <c r="E283" i="15"/>
  <c r="Q274" i="31"/>
  <c r="S274" i="31" s="1"/>
  <c r="E274" i="31" s="1"/>
  <c r="R274" i="31"/>
  <c r="C274" i="31"/>
  <c r="T274" i="31" s="1"/>
  <c r="E330" i="15"/>
  <c r="R321" i="31"/>
  <c r="Q321" i="31"/>
  <c r="S321" i="31" s="1"/>
  <c r="E321" i="31" s="1"/>
  <c r="C321" i="31"/>
  <c r="T321" i="31" s="1"/>
  <c r="AB11" i="16"/>
  <c r="AO11" i="16"/>
  <c r="AB12" i="16"/>
  <c r="AJ67" i="8"/>
  <c r="N52" i="42"/>
  <c r="N137" i="9"/>
  <c r="N153" i="9"/>
  <c r="Y68" i="47" s="1"/>
  <c r="N150" i="9"/>
  <c r="S68" i="47" s="1"/>
  <c r="N147" i="9"/>
  <c r="N144" i="9"/>
  <c r="N136" i="9"/>
  <c r="O134" i="9"/>
  <c r="E356" i="15"/>
  <c r="C347" i="31"/>
  <c r="T347" i="31" s="1"/>
  <c r="R347" i="31"/>
  <c r="Q347" i="31"/>
  <c r="S347" i="31" s="1"/>
  <c r="E347" i="31" s="1"/>
  <c r="E235" i="15"/>
  <c r="C226" i="31"/>
  <c r="T226" i="31" s="1"/>
  <c r="R226" i="31"/>
  <c r="Q226" i="31"/>
  <c r="S226" i="31" s="1"/>
  <c r="E226" i="31" s="1"/>
  <c r="E239" i="15"/>
  <c r="C230" i="31"/>
  <c r="T230" i="31" s="1"/>
  <c r="Q230" i="31"/>
  <c r="S230" i="31" s="1"/>
  <c r="E230" i="31" s="1"/>
  <c r="R230" i="31"/>
  <c r="E236" i="15"/>
  <c r="R227" i="31"/>
  <c r="Q227" i="31"/>
  <c r="S227" i="31" s="1"/>
  <c r="E227" i="31" s="1"/>
  <c r="C227" i="31"/>
  <c r="T227" i="31" s="1"/>
  <c r="E166" i="15"/>
  <c r="B166" i="15" s="1"/>
  <c r="R157" i="31"/>
  <c r="Q157" i="31"/>
  <c r="S157" i="31" s="1"/>
  <c r="E157" i="31" s="1"/>
  <c r="E41" i="15"/>
  <c r="R32" i="31"/>
  <c r="Q32" i="31"/>
  <c r="S32" i="31" s="1"/>
  <c r="E32" i="31" s="1"/>
  <c r="M67" i="47"/>
  <c r="AQ188" i="3"/>
  <c r="AU185" i="3"/>
  <c r="AQ186" i="3"/>
  <c r="L42" i="9" s="1"/>
  <c r="AD36" i="8"/>
  <c r="K9" i="10" s="1"/>
  <c r="J6" i="6"/>
  <c r="K95" i="5"/>
  <c r="K125" i="5"/>
  <c r="K122" i="5" s="1"/>
  <c r="K155" i="5" s="1"/>
  <c r="AD120" i="8" s="1"/>
  <c r="K46" i="5"/>
  <c r="AD67" i="17" s="1"/>
  <c r="K38" i="5"/>
  <c r="AD52" i="17" s="1"/>
  <c r="K36" i="5"/>
  <c r="AD59" i="17" s="1"/>
  <c r="K34" i="5"/>
  <c r="AD58" i="17" s="1"/>
  <c r="K32" i="5"/>
  <c r="AD57" i="17" s="1"/>
  <c r="K30" i="5"/>
  <c r="AD56" i="17" s="1"/>
  <c r="K163" i="5"/>
  <c r="K13" i="5"/>
  <c r="K17" i="5"/>
  <c r="K14" i="5"/>
  <c r="K9" i="5"/>
  <c r="J10" i="6" s="1"/>
  <c r="K21" i="5"/>
  <c r="AD45" i="17" s="1"/>
  <c r="K44" i="5"/>
  <c r="AD62" i="17" s="1"/>
  <c r="K42" i="5"/>
  <c r="AD51" i="17" s="1"/>
  <c r="K40" i="5"/>
  <c r="AD50" i="17" s="1"/>
  <c r="H67" i="9"/>
  <c r="H68" i="9"/>
  <c r="E144" i="15"/>
  <c r="R135" i="31"/>
  <c r="Q135" i="31"/>
  <c r="S135" i="31" s="1"/>
  <c r="E135" i="31" s="1"/>
  <c r="E77" i="15"/>
  <c r="R68" i="31"/>
  <c r="Q68" i="31"/>
  <c r="S68" i="31" s="1"/>
  <c r="E68" i="31" s="1"/>
  <c r="E35" i="15"/>
  <c r="C26" i="31"/>
  <c r="T26" i="31" s="1"/>
  <c r="R26" i="31"/>
  <c r="Q26" i="31"/>
  <c r="S26" i="31" s="1"/>
  <c r="E26" i="31" s="1"/>
  <c r="E151" i="15"/>
  <c r="R142" i="31"/>
  <c r="Q142" i="31"/>
  <c r="S142" i="31" s="1"/>
  <c r="E142" i="31" s="1"/>
  <c r="E348" i="15"/>
  <c r="C339" i="31"/>
  <c r="T339" i="31" s="1"/>
  <c r="R339" i="31"/>
  <c r="Q339" i="31"/>
  <c r="S339" i="31" s="1"/>
  <c r="E339" i="31" s="1"/>
  <c r="E224" i="15"/>
  <c r="R215" i="31"/>
  <c r="Q215" i="31"/>
  <c r="S215" i="31" s="1"/>
  <c r="E215" i="31" s="1"/>
  <c r="C215" i="31"/>
  <c r="T215" i="31" s="1"/>
  <c r="E274" i="15"/>
  <c r="B274" i="15" s="1"/>
  <c r="R265" i="31"/>
  <c r="Q265" i="31"/>
  <c r="S265" i="31" s="1"/>
  <c r="E265" i="31" s="1"/>
  <c r="C265" i="31"/>
  <c r="T265" i="31" s="1"/>
  <c r="E89" i="15"/>
  <c r="R80" i="31"/>
  <c r="Q80" i="31"/>
  <c r="S80" i="31" s="1"/>
  <c r="E80" i="31" s="1"/>
  <c r="E170" i="15"/>
  <c r="R161" i="31"/>
  <c r="Q161" i="31"/>
  <c r="S161" i="31" s="1"/>
  <c r="E161" i="31" s="1"/>
  <c r="E48" i="15"/>
  <c r="R39" i="31"/>
  <c r="Q39" i="31"/>
  <c r="S39" i="31" s="1"/>
  <c r="E39" i="31" s="1"/>
  <c r="E205" i="15"/>
  <c r="Q196" i="31"/>
  <c r="E228" i="15"/>
  <c r="R219" i="31"/>
  <c r="Q219" i="31"/>
  <c r="S219" i="31" s="1"/>
  <c r="E219" i="31" s="1"/>
  <c r="C219" i="31"/>
  <c r="T219" i="31" s="1"/>
  <c r="E309" i="15"/>
  <c r="C300" i="31"/>
  <c r="T300" i="31" s="1"/>
  <c r="R300" i="31"/>
  <c r="Q300" i="31"/>
  <c r="S300" i="31" s="1"/>
  <c r="E300" i="31" s="1"/>
  <c r="E391" i="15"/>
  <c r="R382" i="31"/>
  <c r="Q382" i="31"/>
  <c r="S382" i="31" s="1"/>
  <c r="E382" i="31" s="1"/>
  <c r="C382" i="31"/>
  <c r="T382" i="31" s="1"/>
  <c r="E109" i="15"/>
  <c r="R100" i="31"/>
  <c r="Q100" i="31"/>
  <c r="S100" i="31" s="1"/>
  <c r="E100" i="31" s="1"/>
  <c r="E75" i="15"/>
  <c r="R66" i="31"/>
  <c r="Q66" i="31"/>
  <c r="S66" i="31" s="1"/>
  <c r="E66" i="31" s="1"/>
  <c r="E198" i="15"/>
  <c r="R189" i="31"/>
  <c r="Q189" i="31"/>
  <c r="S189" i="31" s="1"/>
  <c r="E189" i="31" s="1"/>
  <c r="E168" i="15"/>
  <c r="R159" i="31"/>
  <c r="Q159" i="31"/>
  <c r="S159" i="31" s="1"/>
  <c r="E159" i="31" s="1"/>
  <c r="E281" i="15"/>
  <c r="C272" i="31"/>
  <c r="T272" i="31" s="1"/>
  <c r="R272" i="31"/>
  <c r="Q272" i="31"/>
  <c r="S272" i="31" s="1"/>
  <c r="E272" i="31" s="1"/>
  <c r="E69" i="15"/>
  <c r="R60" i="31"/>
  <c r="Q60" i="31"/>
  <c r="S60" i="31" s="1"/>
  <c r="E60" i="31" s="1"/>
  <c r="E227" i="15"/>
  <c r="C218" i="31"/>
  <c r="T218" i="31" s="1"/>
  <c r="R218" i="31"/>
  <c r="Q218" i="31"/>
  <c r="S218" i="31" s="1"/>
  <c r="E218" i="31" s="1"/>
  <c r="E130" i="15"/>
  <c r="B130" i="15" s="1"/>
  <c r="R121" i="31"/>
  <c r="Q121" i="31"/>
  <c r="S121" i="31" s="1"/>
  <c r="E121" i="31" s="1"/>
  <c r="E202" i="15"/>
  <c r="B202" i="15" s="1"/>
  <c r="R193" i="31"/>
  <c r="Q193" i="31"/>
  <c r="S193" i="31" s="1"/>
  <c r="E193" i="31" s="1"/>
  <c r="E179" i="15"/>
  <c r="R170" i="31"/>
  <c r="Q170" i="31"/>
  <c r="S170" i="31" s="1"/>
  <c r="E170" i="31" s="1"/>
  <c r="E303" i="15"/>
  <c r="Q294" i="31"/>
  <c r="S294" i="31" s="1"/>
  <c r="E294" i="31" s="1"/>
  <c r="R294" i="31"/>
  <c r="C294" i="31"/>
  <c r="T294" i="31" s="1"/>
  <c r="E350" i="15"/>
  <c r="R341" i="31"/>
  <c r="Q341" i="31"/>
  <c r="S341" i="31" s="1"/>
  <c r="E341" i="31" s="1"/>
  <c r="C341" i="31"/>
  <c r="T341" i="31" s="1"/>
  <c r="E121" i="15"/>
  <c r="R112" i="31"/>
  <c r="Q112" i="31"/>
  <c r="S112" i="31" s="1"/>
  <c r="E112" i="31" s="1"/>
  <c r="E102" i="15"/>
  <c r="Q93" i="31"/>
  <c r="S93" i="31" s="1"/>
  <c r="E93" i="31" s="1"/>
  <c r="R93" i="31"/>
  <c r="E60" i="15"/>
  <c r="R51" i="31"/>
  <c r="Q51" i="31"/>
  <c r="S51" i="31" s="1"/>
  <c r="E51" i="31" s="1"/>
  <c r="E249" i="15"/>
  <c r="Q240" i="31"/>
  <c r="S240" i="31" s="1"/>
  <c r="E240" i="31" s="1"/>
  <c r="R240" i="31"/>
  <c r="C240" i="31"/>
  <c r="T240" i="31" s="1"/>
  <c r="E275" i="15"/>
  <c r="Q266" i="31"/>
  <c r="S266" i="31" s="1"/>
  <c r="E266" i="31" s="1"/>
  <c r="C266" i="31"/>
  <c r="T266" i="31" s="1"/>
  <c r="R266" i="31"/>
  <c r="E322" i="15"/>
  <c r="B322" i="15" s="1"/>
  <c r="R313" i="31"/>
  <c r="Q313" i="31"/>
  <c r="S313" i="31" s="1"/>
  <c r="E313" i="31" s="1"/>
  <c r="C313" i="31"/>
  <c r="T313" i="31" s="1"/>
  <c r="E188" i="15"/>
  <c r="R179" i="31"/>
  <c r="Q179" i="31"/>
  <c r="S179" i="31" s="1"/>
  <c r="E179" i="31" s="1"/>
  <c r="E258" i="15"/>
  <c r="C249" i="31"/>
  <c r="T249" i="31" s="1"/>
  <c r="R249" i="31"/>
  <c r="Q249" i="31"/>
  <c r="S249" i="31" s="1"/>
  <c r="E249" i="31" s="1"/>
  <c r="E87" i="15"/>
  <c r="R78" i="31"/>
  <c r="Q78" i="31"/>
  <c r="S78" i="31" s="1"/>
  <c r="E78" i="31" s="1"/>
  <c r="E189" i="15"/>
  <c r="Q180" i="31"/>
  <c r="S180" i="31" s="1"/>
  <c r="E180" i="31" s="1"/>
  <c r="R180" i="31"/>
  <c r="E312" i="15"/>
  <c r="C303" i="31"/>
  <c r="T303" i="31" s="1"/>
  <c r="R303" i="31"/>
  <c r="Q303" i="31"/>
  <c r="S303" i="31" s="1"/>
  <c r="E303" i="31" s="1"/>
  <c r="E325" i="15"/>
  <c r="C316" i="31"/>
  <c r="T316" i="31" s="1"/>
  <c r="Q316" i="31"/>
  <c r="S316" i="31" s="1"/>
  <c r="E316" i="31" s="1"/>
  <c r="R316" i="31"/>
  <c r="E210" i="15"/>
  <c r="C201" i="31"/>
  <c r="T201" i="31" s="1"/>
  <c r="R201" i="31"/>
  <c r="Q201" i="31"/>
  <c r="S201" i="31" s="1"/>
  <c r="E201" i="31" s="1"/>
  <c r="E49" i="15"/>
  <c r="R40" i="31"/>
  <c r="Q40" i="31"/>
  <c r="S40" i="31" s="1"/>
  <c r="E40" i="31" s="1"/>
  <c r="E91" i="15"/>
  <c r="R82" i="31"/>
  <c r="Q82" i="31"/>
  <c r="S82" i="31" s="1"/>
  <c r="E82" i="31" s="1"/>
  <c r="E234" i="15"/>
  <c r="C225" i="31"/>
  <c r="T225" i="31" s="1"/>
  <c r="R225" i="31"/>
  <c r="Q225" i="31"/>
  <c r="S225" i="31" s="1"/>
  <c r="E225" i="31" s="1"/>
  <c r="E191" i="15"/>
  <c r="Q182" i="31"/>
  <c r="S182" i="31" s="1"/>
  <c r="E182" i="31" s="1"/>
  <c r="R182" i="31"/>
  <c r="E315" i="15"/>
  <c r="Q306" i="31"/>
  <c r="S306" i="31" s="1"/>
  <c r="E306" i="31" s="1"/>
  <c r="R306" i="31"/>
  <c r="C306" i="31"/>
  <c r="T306" i="31" s="1"/>
  <c r="E362" i="15"/>
  <c r="R353" i="31"/>
  <c r="Q353" i="31"/>
  <c r="S353" i="31" s="1"/>
  <c r="E353" i="31" s="1"/>
  <c r="C353" i="31"/>
  <c r="T353" i="31" s="1"/>
  <c r="AH87" i="3"/>
  <c r="AH89" i="3" s="1"/>
  <c r="AD89" i="3"/>
  <c r="AA125" i="9"/>
  <c r="M145" i="9" s="1"/>
  <c r="M148" i="9"/>
  <c r="E233" i="15"/>
  <c r="Q224" i="31"/>
  <c r="S224" i="31" s="1"/>
  <c r="E224" i="31" s="1"/>
  <c r="R224" i="31"/>
  <c r="C224" i="31"/>
  <c r="T224" i="31" s="1"/>
  <c r="E381" i="15"/>
  <c r="C372" i="31"/>
  <c r="T372" i="31" s="1"/>
  <c r="R372" i="31"/>
  <c r="Q372" i="31"/>
  <c r="S372" i="31" s="1"/>
  <c r="E372" i="31" s="1"/>
  <c r="E392" i="15"/>
  <c r="Q383" i="31"/>
  <c r="S383" i="31" s="1"/>
  <c r="E383" i="31" s="1"/>
  <c r="C383" i="31"/>
  <c r="T383" i="31" s="1"/>
  <c r="R383" i="31"/>
  <c r="E245" i="15"/>
  <c r="Q236" i="31"/>
  <c r="S236" i="31" s="1"/>
  <c r="E236" i="31" s="1"/>
  <c r="R236" i="31"/>
  <c r="C236" i="31"/>
  <c r="T236" i="31" s="1"/>
  <c r="E353" i="15"/>
  <c r="C344" i="31"/>
  <c r="T344" i="31" s="1"/>
  <c r="R344" i="31"/>
  <c r="Q344" i="31"/>
  <c r="S344" i="31" s="1"/>
  <c r="E344" i="31" s="1"/>
  <c r="E343" i="15"/>
  <c r="Q334" i="31"/>
  <c r="S334" i="31" s="1"/>
  <c r="E334" i="31" s="1"/>
  <c r="R334" i="31"/>
  <c r="C334" i="31"/>
  <c r="T334" i="31" s="1"/>
  <c r="E248" i="15"/>
  <c r="R239" i="31"/>
  <c r="Q239" i="31"/>
  <c r="S239" i="31" s="1"/>
  <c r="E239" i="31" s="1"/>
  <c r="C239" i="31"/>
  <c r="T239" i="31" s="1"/>
  <c r="AM24" i="8"/>
  <c r="N12" i="6"/>
  <c r="O12" i="6" s="1"/>
  <c r="P12" i="6" s="1"/>
  <c r="Q12" i="6" s="1"/>
  <c r="R12" i="6" s="1"/>
  <c r="S12" i="6" s="1"/>
  <c r="T12" i="6" s="1"/>
  <c r="U12" i="6" s="1"/>
  <c r="V12" i="6" s="1"/>
  <c r="W12" i="6" s="1"/>
  <c r="X12" i="6" s="1"/>
  <c r="Y12" i="6" s="1"/>
  <c r="Z12" i="6" s="1"/>
  <c r="AA12" i="6" s="1"/>
  <c r="AB12" i="6" s="1"/>
  <c r="AC12" i="6" s="1"/>
  <c r="AD12" i="6" s="1"/>
  <c r="AE12" i="6" s="1"/>
  <c r="AF12" i="6" s="1"/>
  <c r="AG12" i="6" s="1"/>
  <c r="AH12" i="6" s="1"/>
  <c r="P66" i="47"/>
  <c r="AH66" i="47" s="1"/>
  <c r="K41" i="9"/>
  <c r="K39" i="9"/>
  <c r="M5" i="43"/>
  <c r="N7" i="43"/>
  <c r="AG23" i="8"/>
  <c r="L166" i="5"/>
  <c r="K9" i="6"/>
  <c r="L169" i="5"/>
  <c r="L167" i="5"/>
  <c r="L170" i="5"/>
  <c r="L165" i="5"/>
  <c r="L168" i="5"/>
  <c r="L83" i="5"/>
  <c r="L5" i="5"/>
  <c r="L91" i="5"/>
  <c r="L82" i="5"/>
  <c r="M8" i="5"/>
  <c r="L4" i="5"/>
  <c r="H66" i="9"/>
  <c r="E261" i="15"/>
  <c r="Q252" i="31"/>
  <c r="S252" i="31" s="1"/>
  <c r="E252" i="31" s="1"/>
  <c r="R252" i="31"/>
  <c r="C252" i="31"/>
  <c r="T252" i="31" s="1"/>
  <c r="E81" i="15"/>
  <c r="R72" i="31"/>
  <c r="Q72" i="31"/>
  <c r="S72" i="31" s="1"/>
  <c r="E72" i="31" s="1"/>
  <c r="E67" i="15"/>
  <c r="R58" i="31"/>
  <c r="Q58" i="31"/>
  <c r="S58" i="31" s="1"/>
  <c r="E58" i="31" s="1"/>
  <c r="E152" i="15"/>
  <c r="R143" i="31"/>
  <c r="Q143" i="31"/>
  <c r="S143" i="31" s="1"/>
  <c r="E143" i="31" s="1"/>
  <c r="E300" i="15"/>
  <c r="C291" i="31"/>
  <c r="T291" i="31" s="1"/>
  <c r="R291" i="31"/>
  <c r="Q291" i="31"/>
  <c r="S291" i="31" s="1"/>
  <c r="E291" i="31" s="1"/>
  <c r="E256" i="15"/>
  <c r="R247" i="31"/>
  <c r="Q247" i="31"/>
  <c r="S247" i="31" s="1"/>
  <c r="E247" i="31" s="1"/>
  <c r="C247" i="31"/>
  <c r="T247" i="31" s="1"/>
  <c r="E306" i="15"/>
  <c r="R297" i="31"/>
  <c r="Q297" i="31"/>
  <c r="S297" i="31" s="1"/>
  <c r="E297" i="31" s="1"/>
  <c r="C297" i="31"/>
  <c r="T297" i="31" s="1"/>
  <c r="E93" i="15"/>
  <c r="R84" i="31"/>
  <c r="Q84" i="31"/>
  <c r="S84" i="31" s="1"/>
  <c r="E84" i="31" s="1"/>
  <c r="E194" i="15"/>
  <c r="R185" i="31"/>
  <c r="Q185" i="31"/>
  <c r="S185" i="31" s="1"/>
  <c r="E185" i="31" s="1"/>
  <c r="E80" i="15"/>
  <c r="R71" i="31"/>
  <c r="Q71" i="31"/>
  <c r="S71" i="31" s="1"/>
  <c r="E71" i="31" s="1"/>
  <c r="E237" i="15"/>
  <c r="Q228" i="31"/>
  <c r="S228" i="31" s="1"/>
  <c r="E228" i="31" s="1"/>
  <c r="C228" i="31"/>
  <c r="T228" i="31" s="1"/>
  <c r="R228" i="31"/>
  <c r="E260" i="15"/>
  <c r="R251" i="31"/>
  <c r="Q251" i="31"/>
  <c r="S251" i="31" s="1"/>
  <c r="E251" i="31" s="1"/>
  <c r="C251" i="31"/>
  <c r="T251" i="31" s="1"/>
  <c r="E341" i="15"/>
  <c r="C332" i="31"/>
  <c r="T332" i="31" s="1"/>
  <c r="R332" i="31"/>
  <c r="Q332" i="31"/>
  <c r="S332" i="31" s="1"/>
  <c r="E332" i="31" s="1"/>
  <c r="E147" i="15"/>
  <c r="R138" i="31"/>
  <c r="Q138" i="31"/>
  <c r="S138" i="31" s="1"/>
  <c r="E138" i="31" s="1"/>
  <c r="E113" i="15"/>
  <c r="R104" i="31"/>
  <c r="Q104" i="31"/>
  <c r="S104" i="31" s="1"/>
  <c r="E104" i="31" s="1"/>
  <c r="E107" i="15"/>
  <c r="R98" i="31"/>
  <c r="Q98" i="31"/>
  <c r="S98" i="31" s="1"/>
  <c r="E98" i="31" s="1"/>
  <c r="E177" i="15"/>
  <c r="Q168" i="31"/>
  <c r="S168" i="31" s="1"/>
  <c r="E168" i="31" s="1"/>
  <c r="R168" i="31"/>
  <c r="E200" i="15"/>
  <c r="R191" i="31"/>
  <c r="Q191" i="31"/>
  <c r="S191" i="31" s="1"/>
  <c r="E191" i="31" s="1"/>
  <c r="E313" i="15"/>
  <c r="C304" i="31"/>
  <c r="T304" i="31" s="1"/>
  <c r="R304" i="31"/>
  <c r="Q304" i="31"/>
  <c r="S304" i="31" s="1"/>
  <c r="E304" i="31" s="1"/>
  <c r="E114" i="15"/>
  <c r="R105" i="31"/>
  <c r="Q105" i="31"/>
  <c r="S105" i="31" s="1"/>
  <c r="E105" i="31" s="1"/>
  <c r="E333" i="15"/>
  <c r="C324" i="31"/>
  <c r="T324" i="31" s="1"/>
  <c r="R324" i="31"/>
  <c r="Q324" i="31"/>
  <c r="S324" i="31" s="1"/>
  <c r="E324" i="31" s="1"/>
  <c r="E47" i="15"/>
  <c r="R38" i="31"/>
  <c r="Q38" i="31"/>
  <c r="S38" i="31" s="1"/>
  <c r="E38" i="31" s="1"/>
  <c r="E214" i="15"/>
  <c r="B214" i="15" s="1"/>
  <c r="C205" i="31"/>
  <c r="T205" i="31" s="1"/>
  <c r="R205" i="31"/>
  <c r="Q205" i="31"/>
  <c r="S205" i="31" s="1"/>
  <c r="E205" i="31" s="1"/>
  <c r="E211" i="15"/>
  <c r="C202" i="31"/>
  <c r="T202" i="31" s="1"/>
  <c r="R202" i="31"/>
  <c r="Q202" i="31"/>
  <c r="S202" i="31" s="1"/>
  <c r="E202" i="31" s="1"/>
  <c r="E335" i="15"/>
  <c r="Q326" i="31"/>
  <c r="S326" i="31" s="1"/>
  <c r="E326" i="31" s="1"/>
  <c r="C326" i="31"/>
  <c r="T326" i="31" s="1"/>
  <c r="R326" i="31"/>
  <c r="E377" i="15"/>
  <c r="C368" i="31"/>
  <c r="T368" i="31" s="1"/>
  <c r="R368" i="31"/>
  <c r="Q368" i="31"/>
  <c r="S368" i="31" s="1"/>
  <c r="E368" i="31" s="1"/>
  <c r="E125" i="15"/>
  <c r="R116" i="31"/>
  <c r="Q116" i="31"/>
  <c r="S116" i="31" s="1"/>
  <c r="E116" i="31" s="1"/>
  <c r="E134" i="15"/>
  <c r="Q125" i="31"/>
  <c r="S125" i="31" s="1"/>
  <c r="E125" i="31" s="1"/>
  <c r="R125" i="31"/>
  <c r="E92" i="15"/>
  <c r="R83" i="31"/>
  <c r="Q83" i="31"/>
  <c r="S83" i="31" s="1"/>
  <c r="E83" i="31" s="1"/>
  <c r="E183" i="15"/>
  <c r="Q174" i="31"/>
  <c r="S174" i="31" s="1"/>
  <c r="E174" i="31" s="1"/>
  <c r="R174" i="31"/>
  <c r="E307" i="15"/>
  <c r="Q298" i="31"/>
  <c r="S298" i="31" s="1"/>
  <c r="E298" i="31" s="1"/>
  <c r="C298" i="31"/>
  <c r="T298" i="31" s="1"/>
  <c r="R298" i="31"/>
  <c r="E354" i="15"/>
  <c r="R345" i="31"/>
  <c r="Q345" i="31"/>
  <c r="S345" i="31" s="1"/>
  <c r="E345" i="31" s="1"/>
  <c r="C345" i="31"/>
  <c r="T345" i="31" s="1"/>
  <c r="E304" i="15"/>
  <c r="C295" i="31"/>
  <c r="T295" i="31" s="1"/>
  <c r="R295" i="31"/>
  <c r="Q295" i="31"/>
  <c r="S295" i="31" s="1"/>
  <c r="E295" i="31" s="1"/>
  <c r="E37" i="15"/>
  <c r="R28" i="31"/>
  <c r="Q28" i="31"/>
  <c r="S28" i="31" s="1"/>
  <c r="E28" i="31" s="1"/>
  <c r="E119" i="15"/>
  <c r="R110" i="31"/>
  <c r="Q110" i="31"/>
  <c r="S110" i="31" s="1"/>
  <c r="E110" i="31" s="1"/>
  <c r="E221" i="15"/>
  <c r="Q212" i="31"/>
  <c r="S212" i="31" s="1"/>
  <c r="E212" i="31" s="1"/>
  <c r="C212" i="31"/>
  <c r="T212" i="31" s="1"/>
  <c r="R212" i="31"/>
  <c r="E180" i="15"/>
  <c r="R171" i="31"/>
  <c r="Q171" i="31"/>
  <c r="S171" i="31" s="1"/>
  <c r="E171" i="31" s="1"/>
  <c r="E357" i="15"/>
  <c r="C348" i="31"/>
  <c r="T348" i="31" s="1"/>
  <c r="R348" i="31"/>
  <c r="Q348" i="31"/>
  <c r="S348" i="31" s="1"/>
  <c r="E348" i="31" s="1"/>
  <c r="E63" i="15"/>
  <c r="R54" i="31"/>
  <c r="Q54" i="31"/>
  <c r="S54" i="31" s="1"/>
  <c r="E54" i="31" s="1"/>
  <c r="E53" i="15"/>
  <c r="R44" i="31"/>
  <c r="Q44" i="31"/>
  <c r="S44" i="31" s="1"/>
  <c r="E44" i="31" s="1"/>
  <c r="E123" i="15"/>
  <c r="R114" i="31"/>
  <c r="Q114" i="31"/>
  <c r="S114" i="31" s="1"/>
  <c r="E114" i="31" s="1"/>
  <c r="E352" i="15"/>
  <c r="C343" i="31"/>
  <c r="T343" i="31" s="1"/>
  <c r="R343" i="31"/>
  <c r="Q343" i="31"/>
  <c r="S343" i="31" s="1"/>
  <c r="E343" i="31" s="1"/>
  <c r="E223" i="15"/>
  <c r="C214" i="31"/>
  <c r="T214" i="31" s="1"/>
  <c r="Q214" i="31"/>
  <c r="S214" i="31" s="1"/>
  <c r="E214" i="31" s="1"/>
  <c r="R214" i="31"/>
  <c r="E347" i="15"/>
  <c r="Q338" i="31"/>
  <c r="S338" i="31" s="1"/>
  <c r="E338" i="31" s="1"/>
  <c r="C338" i="31"/>
  <c r="T338" i="31" s="1"/>
  <c r="R338" i="31"/>
  <c r="E376" i="15"/>
  <c r="Q367" i="31"/>
  <c r="S367" i="31" s="1"/>
  <c r="E367" i="31" s="1"/>
  <c r="R367" i="31"/>
  <c r="C367" i="31"/>
  <c r="T367" i="31" s="1"/>
  <c r="J26" i="16"/>
  <c r="H70" i="9"/>
  <c r="E127" i="15"/>
  <c r="R118" i="31"/>
  <c r="Q118" i="31"/>
  <c r="S118" i="31" s="1"/>
  <c r="E118" i="31" s="1"/>
  <c r="E222" i="15"/>
  <c r="C213" i="31"/>
  <c r="T213" i="31" s="1"/>
  <c r="R213" i="31"/>
  <c r="Q213" i="31"/>
  <c r="S213" i="31" s="1"/>
  <c r="E213" i="31" s="1"/>
  <c r="E331" i="15"/>
  <c r="Q322" i="31"/>
  <c r="S322" i="31" s="1"/>
  <c r="E322" i="31" s="1"/>
  <c r="C322" i="31"/>
  <c r="T322" i="31" s="1"/>
  <c r="R322" i="31"/>
  <c r="E380" i="15"/>
  <c r="Q371" i="31"/>
  <c r="S371" i="31" s="1"/>
  <c r="E371" i="31" s="1"/>
  <c r="C371" i="31"/>
  <c r="T371" i="31" s="1"/>
  <c r="R371" i="31"/>
  <c r="E145" i="15"/>
  <c r="R136" i="31"/>
  <c r="Q136" i="31"/>
  <c r="S136" i="31" s="1"/>
  <c r="E136" i="31" s="1"/>
  <c r="J16" i="5"/>
  <c r="J19" i="5" s="1"/>
  <c r="W235" i="3"/>
  <c r="H64" i="9"/>
  <c r="AA217" i="3"/>
  <c r="H79" i="9"/>
  <c r="E163" i="15"/>
  <c r="R154" i="31"/>
  <c r="Q154" i="31"/>
  <c r="S154" i="31" s="1"/>
  <c r="E154" i="31" s="1"/>
  <c r="E85" i="15"/>
  <c r="R76" i="31"/>
  <c r="Q76" i="31"/>
  <c r="S76" i="31" s="1"/>
  <c r="E76" i="31" s="1"/>
  <c r="E99" i="15"/>
  <c r="R90" i="31"/>
  <c r="Q90" i="31"/>
  <c r="S90" i="31" s="1"/>
  <c r="E90" i="31" s="1"/>
  <c r="E182" i="15"/>
  <c r="R173" i="31"/>
  <c r="Q173" i="31"/>
  <c r="S173" i="31" s="1"/>
  <c r="E173" i="31" s="1"/>
  <c r="E167" i="15"/>
  <c r="Q158" i="31"/>
  <c r="S158" i="31" s="1"/>
  <c r="E158" i="31" s="1"/>
  <c r="R158" i="31"/>
  <c r="E291" i="15"/>
  <c r="Q282" i="31"/>
  <c r="S282" i="31" s="1"/>
  <c r="E282" i="31" s="1"/>
  <c r="R282" i="31"/>
  <c r="C282" i="31"/>
  <c r="T282" i="31" s="1"/>
  <c r="E338" i="15"/>
  <c r="R329" i="31"/>
  <c r="Q329" i="31"/>
  <c r="S329" i="31" s="1"/>
  <c r="E329" i="31" s="1"/>
  <c r="C329" i="31"/>
  <c r="T329" i="31" s="1"/>
  <c r="E97" i="15"/>
  <c r="R88" i="31"/>
  <c r="Q88" i="31"/>
  <c r="S88" i="31" s="1"/>
  <c r="E88" i="31" s="1"/>
  <c r="E39" i="15"/>
  <c r="R30" i="31"/>
  <c r="Q30" i="31"/>
  <c r="S30" i="31" s="1"/>
  <c r="E30" i="31" s="1"/>
  <c r="E112" i="15"/>
  <c r="R103" i="31"/>
  <c r="Q103" i="31"/>
  <c r="S103" i="31" s="1"/>
  <c r="E103" i="31" s="1"/>
  <c r="E364" i="15"/>
  <c r="C355" i="31"/>
  <c r="T355" i="31" s="1"/>
  <c r="R355" i="31"/>
  <c r="Q355" i="31"/>
  <c r="S355" i="31" s="1"/>
  <c r="E355" i="31" s="1"/>
  <c r="E344" i="15"/>
  <c r="C335" i="31"/>
  <c r="T335" i="31" s="1"/>
  <c r="R335" i="31"/>
  <c r="Q335" i="31"/>
  <c r="S335" i="31" s="1"/>
  <c r="E335" i="31" s="1"/>
  <c r="E385" i="15"/>
  <c r="C376" i="31"/>
  <c r="T376" i="31" s="1"/>
  <c r="R376" i="31"/>
  <c r="Q376" i="31"/>
  <c r="S376" i="31" s="1"/>
  <c r="E376" i="31" s="1"/>
  <c r="E336" i="15"/>
  <c r="C327" i="31"/>
  <c r="T327" i="31" s="1"/>
  <c r="R327" i="31"/>
  <c r="Q327" i="31"/>
  <c r="S327" i="31" s="1"/>
  <c r="E327" i="31" s="1"/>
  <c r="E117" i="15"/>
  <c r="R108" i="31"/>
  <c r="Q108" i="31"/>
  <c r="S108" i="31" s="1"/>
  <c r="E108" i="31" s="1"/>
  <c r="E141" i="15"/>
  <c r="R132" i="31"/>
  <c r="Q132" i="31"/>
  <c r="S132" i="31" s="1"/>
  <c r="E132" i="31" s="1"/>
  <c r="E209" i="15"/>
  <c r="Q200" i="31"/>
  <c r="S200" i="31" s="1"/>
  <c r="E200" i="31" s="1"/>
  <c r="R200" i="31"/>
  <c r="C200" i="31"/>
  <c r="T200" i="31" s="1"/>
  <c r="E232" i="15"/>
  <c r="R223" i="31"/>
  <c r="Q223" i="31"/>
  <c r="S223" i="31" s="1"/>
  <c r="E223" i="31" s="1"/>
  <c r="C223" i="31"/>
  <c r="T223" i="31" s="1"/>
  <c r="E345" i="15"/>
  <c r="C336" i="31"/>
  <c r="T336" i="31" s="1"/>
  <c r="R336" i="31"/>
  <c r="Q336" i="31"/>
  <c r="S336" i="31" s="1"/>
  <c r="E336" i="31" s="1"/>
  <c r="E95" i="15"/>
  <c r="R86" i="31"/>
  <c r="Q86" i="31"/>
  <c r="S86" i="31" s="1"/>
  <c r="E86" i="31" s="1"/>
  <c r="E146" i="15"/>
  <c r="R137" i="31"/>
  <c r="Q137" i="31"/>
  <c r="S137" i="31" s="1"/>
  <c r="E137" i="31" s="1"/>
  <c r="E79" i="15"/>
  <c r="R70" i="31"/>
  <c r="Q70" i="31"/>
  <c r="S70" i="31" s="1"/>
  <c r="E70" i="31" s="1"/>
  <c r="E262" i="15"/>
  <c r="B262" i="15" s="1"/>
  <c r="C253" i="31"/>
  <c r="T253" i="31" s="1"/>
  <c r="R253" i="31"/>
  <c r="Q253" i="31"/>
  <c r="S253" i="31" s="1"/>
  <c r="E253" i="31" s="1"/>
  <c r="E243" i="15"/>
  <c r="C234" i="31"/>
  <c r="T234" i="31" s="1"/>
  <c r="R234" i="31"/>
  <c r="Q234" i="31"/>
  <c r="S234" i="31" s="1"/>
  <c r="E234" i="31" s="1"/>
  <c r="E367" i="15"/>
  <c r="Q358" i="31"/>
  <c r="S358" i="31" s="1"/>
  <c r="E358" i="31" s="1"/>
  <c r="C358" i="31"/>
  <c r="T358" i="31" s="1"/>
  <c r="R358" i="31"/>
  <c r="E378" i="15"/>
  <c r="C369" i="31"/>
  <c r="T369" i="31" s="1"/>
  <c r="R369" i="31"/>
  <c r="Q369" i="31"/>
  <c r="S369" i="31" s="1"/>
  <c r="E369" i="31" s="1"/>
  <c r="E154" i="15"/>
  <c r="B154" i="15" s="1"/>
  <c r="R145" i="31"/>
  <c r="Q145" i="31"/>
  <c r="S145" i="31" s="1"/>
  <c r="E145" i="31" s="1"/>
  <c r="E267" i="15"/>
  <c r="Q258" i="31"/>
  <c r="S258" i="31" s="1"/>
  <c r="E258" i="31" s="1"/>
  <c r="C258" i="31"/>
  <c r="T258" i="31" s="1"/>
  <c r="R258" i="31"/>
  <c r="E124" i="15"/>
  <c r="R115" i="31"/>
  <c r="Q115" i="31"/>
  <c r="S115" i="31" s="1"/>
  <c r="E115" i="31" s="1"/>
  <c r="E215" i="15"/>
  <c r="C206" i="31"/>
  <c r="T206" i="31" s="1"/>
  <c r="Q206" i="31"/>
  <c r="S206" i="31" s="1"/>
  <c r="E206" i="31" s="1"/>
  <c r="R206" i="31"/>
  <c r="E339" i="15"/>
  <c r="Q330" i="31"/>
  <c r="S330" i="31" s="1"/>
  <c r="E330" i="31" s="1"/>
  <c r="R330" i="31"/>
  <c r="C330" i="31"/>
  <c r="T330" i="31" s="1"/>
  <c r="E382" i="15"/>
  <c r="B382" i="15" s="1"/>
  <c r="C373" i="31"/>
  <c r="T373" i="31" s="1"/>
  <c r="R373" i="31"/>
  <c r="Q373" i="31"/>
  <c r="S373" i="31" s="1"/>
  <c r="E373" i="31" s="1"/>
  <c r="E287" i="15"/>
  <c r="Q278" i="31"/>
  <c r="S278" i="31" s="1"/>
  <c r="E278" i="31" s="1"/>
  <c r="C278" i="31"/>
  <c r="T278" i="31" s="1"/>
  <c r="R278" i="31"/>
  <c r="E162" i="15"/>
  <c r="R153" i="31"/>
  <c r="Q153" i="31"/>
  <c r="S153" i="31" s="1"/>
  <c r="E153" i="31" s="1"/>
  <c r="E64" i="15"/>
  <c r="R55" i="31"/>
  <c r="Q55" i="31"/>
  <c r="S55" i="31" s="1"/>
  <c r="E55" i="31" s="1"/>
  <c r="E253" i="15"/>
  <c r="Q244" i="31"/>
  <c r="S244" i="31" s="1"/>
  <c r="E244" i="31" s="1"/>
  <c r="R244" i="31"/>
  <c r="C244" i="31"/>
  <c r="T244" i="31" s="1"/>
  <c r="E212" i="15"/>
  <c r="R203" i="31"/>
  <c r="Q203" i="31"/>
  <c r="S203" i="31" s="1"/>
  <c r="E203" i="31" s="1"/>
  <c r="C203" i="31"/>
  <c r="T203" i="31" s="1"/>
  <c r="E294" i="15"/>
  <c r="R285" i="31"/>
  <c r="Q285" i="31"/>
  <c r="S285" i="31" s="1"/>
  <c r="E285" i="31" s="1"/>
  <c r="C285" i="31"/>
  <c r="T285" i="31" s="1"/>
  <c r="E150" i="15"/>
  <c r="R141" i="31"/>
  <c r="Q141" i="31"/>
  <c r="S141" i="31" s="1"/>
  <c r="E141" i="31" s="1"/>
  <c r="E46" i="15"/>
  <c r="B46" i="15" s="1"/>
  <c r="R37" i="31"/>
  <c r="Q37" i="31"/>
  <c r="S37" i="31" s="1"/>
  <c r="E37" i="31" s="1"/>
  <c r="E218" i="15"/>
  <c r="C209" i="31"/>
  <c r="T209" i="31" s="1"/>
  <c r="R209" i="31"/>
  <c r="Q209" i="31"/>
  <c r="S209" i="31" s="1"/>
  <c r="E209" i="31" s="1"/>
  <c r="E190" i="15"/>
  <c r="B190" i="15" s="1"/>
  <c r="R181" i="31"/>
  <c r="Q181" i="31"/>
  <c r="S181" i="31" s="1"/>
  <c r="E181" i="31" s="1"/>
  <c r="E255" i="15"/>
  <c r="C246" i="31"/>
  <c r="T246" i="31" s="1"/>
  <c r="R246" i="31"/>
  <c r="Q246" i="31"/>
  <c r="S246" i="31" s="1"/>
  <c r="E246" i="31" s="1"/>
  <c r="E297" i="15"/>
  <c r="C288" i="31"/>
  <c r="T288" i="31" s="1"/>
  <c r="R288" i="31"/>
  <c r="Q288" i="31"/>
  <c r="S288" i="31" s="1"/>
  <c r="E288" i="31" s="1"/>
  <c r="E390" i="15"/>
  <c r="C381" i="31"/>
  <c r="T381" i="31" s="1"/>
  <c r="R381" i="31"/>
  <c r="Q381" i="31"/>
  <c r="S381" i="31" s="1"/>
  <c r="E381" i="31" s="1"/>
  <c r="E155" i="15"/>
  <c r="R146" i="31"/>
  <c r="Q146" i="31"/>
  <c r="S146" i="31" s="1"/>
  <c r="E146" i="31" s="1"/>
  <c r="E90" i="15"/>
  <c r="R81" i="31"/>
  <c r="Q81" i="31"/>
  <c r="S81" i="31" s="1"/>
  <c r="E81" i="31" s="1"/>
  <c r="E126" i="15"/>
  <c r="R117" i="31"/>
  <c r="Q117" i="31"/>
  <c r="S117" i="31" s="1"/>
  <c r="E117" i="31" s="1"/>
  <c r="E66" i="15"/>
  <c r="R57" i="31"/>
  <c r="Q57" i="31"/>
  <c r="S57" i="31" s="1"/>
  <c r="E57" i="31" s="1"/>
  <c r="E157" i="15"/>
  <c r="R148" i="31"/>
  <c r="Q148" i="31"/>
  <c r="S148" i="31" s="1"/>
  <c r="E148" i="31" s="1"/>
  <c r="E136" i="15"/>
  <c r="R127" i="31"/>
  <c r="Q127" i="31"/>
  <c r="S127" i="31" s="1"/>
  <c r="E127" i="31" s="1"/>
  <c r="E386" i="15"/>
  <c r="C377" i="31"/>
  <c r="T377" i="31" s="1"/>
  <c r="R377" i="31"/>
  <c r="Q377" i="31"/>
  <c r="S377" i="31" s="1"/>
  <c r="E377" i="31" s="1"/>
  <c r="E298" i="15"/>
  <c r="B298" i="15" s="1"/>
  <c r="R289" i="31"/>
  <c r="Q289" i="31"/>
  <c r="S289" i="31" s="1"/>
  <c r="E289" i="31" s="1"/>
  <c r="C289" i="31"/>
  <c r="T289" i="31" s="1"/>
  <c r="AA76" i="8"/>
  <c r="AA77" i="8" s="1"/>
  <c r="AD47" i="16"/>
  <c r="H6" i="11"/>
  <c r="H72" i="9"/>
  <c r="AA234" i="3"/>
  <c r="AA233" i="3"/>
  <c r="E61" i="15"/>
  <c r="R52" i="31"/>
  <c r="Q52" i="31"/>
  <c r="S52" i="31" s="1"/>
  <c r="E52" i="31" s="1"/>
  <c r="E259" i="15"/>
  <c r="C250" i="31"/>
  <c r="T250" i="31" s="1"/>
  <c r="R250" i="31"/>
  <c r="Q250" i="31"/>
  <c r="S250" i="31" s="1"/>
  <c r="E250" i="31" s="1"/>
  <c r="E54" i="15"/>
  <c r="Q45" i="31"/>
  <c r="S45" i="31" s="1"/>
  <c r="E45" i="31" s="1"/>
  <c r="R45" i="31"/>
  <c r="E131" i="15"/>
  <c r="R122" i="31"/>
  <c r="Q122" i="31"/>
  <c r="S122" i="31" s="1"/>
  <c r="E122" i="31" s="1"/>
  <c r="E284" i="15"/>
  <c r="C275" i="31"/>
  <c r="T275" i="31" s="1"/>
  <c r="R275" i="31"/>
  <c r="Q275" i="31"/>
  <c r="S275" i="31" s="1"/>
  <c r="E275" i="31" s="1"/>
  <c r="E199" i="15"/>
  <c r="Q190" i="31"/>
  <c r="S190" i="31" s="1"/>
  <c r="E190" i="31" s="1"/>
  <c r="R190" i="31"/>
  <c r="E323" i="15"/>
  <c r="Q314" i="31"/>
  <c r="S314" i="31" s="1"/>
  <c r="E314" i="31" s="1"/>
  <c r="R314" i="31"/>
  <c r="C314" i="31"/>
  <c r="T314" i="31" s="1"/>
  <c r="E384" i="15"/>
  <c r="Q375" i="31"/>
  <c r="S375" i="31" s="1"/>
  <c r="E375" i="31" s="1"/>
  <c r="C375" i="31"/>
  <c r="T375" i="31" s="1"/>
  <c r="R375" i="31"/>
  <c r="E101" i="15"/>
  <c r="R92" i="31"/>
  <c r="Q92" i="31"/>
  <c r="S92" i="31" s="1"/>
  <c r="E92" i="31" s="1"/>
  <c r="E71" i="15"/>
  <c r="R62" i="31"/>
  <c r="Q62" i="31"/>
  <c r="S62" i="31" s="1"/>
  <c r="E62" i="31" s="1"/>
  <c r="E159" i="15"/>
  <c r="R150" i="31"/>
  <c r="Q150" i="31"/>
  <c r="S150" i="31" s="1"/>
  <c r="E150" i="31" s="1"/>
  <c r="E308" i="15"/>
  <c r="C299" i="31"/>
  <c r="T299" i="31" s="1"/>
  <c r="R299" i="31"/>
  <c r="Q299" i="31"/>
  <c r="S299" i="31" s="1"/>
  <c r="E299" i="31" s="1"/>
  <c r="E295" i="15"/>
  <c r="Q286" i="31"/>
  <c r="S286" i="31" s="1"/>
  <c r="E286" i="31" s="1"/>
  <c r="R286" i="31"/>
  <c r="C286" i="31"/>
  <c r="T286" i="31" s="1"/>
  <c r="E278" i="15"/>
  <c r="R269" i="31"/>
  <c r="Q269" i="31"/>
  <c r="S269" i="31" s="1"/>
  <c r="E269" i="31" s="1"/>
  <c r="C269" i="31"/>
  <c r="T269" i="31" s="1"/>
  <c r="E197" i="15"/>
  <c r="Q188" i="31"/>
  <c r="S188" i="31" s="1"/>
  <c r="E188" i="31" s="1"/>
  <c r="R188" i="31"/>
  <c r="E320" i="15"/>
  <c r="C311" i="31"/>
  <c r="T311" i="31" s="1"/>
  <c r="R311" i="31"/>
  <c r="Q311" i="31"/>
  <c r="S311" i="31" s="1"/>
  <c r="E311" i="31" s="1"/>
  <c r="E178" i="15"/>
  <c r="B178" i="15" s="1"/>
  <c r="R169" i="31"/>
  <c r="Q169" i="31"/>
  <c r="S169" i="31" s="1"/>
  <c r="E169" i="31" s="1"/>
  <c r="E241" i="15"/>
  <c r="Q232" i="31"/>
  <c r="S232" i="31" s="1"/>
  <c r="E232" i="31" s="1"/>
  <c r="R232" i="31"/>
  <c r="C232" i="31"/>
  <c r="T232" i="31" s="1"/>
  <c r="E264" i="15"/>
  <c r="R255" i="31"/>
  <c r="Q255" i="31"/>
  <c r="S255" i="31" s="1"/>
  <c r="E255" i="31" s="1"/>
  <c r="C255" i="31"/>
  <c r="T255" i="31" s="1"/>
  <c r="E282" i="15"/>
  <c r="R273" i="31"/>
  <c r="Q273" i="31"/>
  <c r="S273" i="31" s="1"/>
  <c r="E273" i="31" s="1"/>
  <c r="C273" i="31"/>
  <c r="T273" i="31" s="1"/>
  <c r="E72" i="15"/>
  <c r="R63" i="31"/>
  <c r="Q63" i="31"/>
  <c r="S63" i="31" s="1"/>
  <c r="E63" i="31" s="1"/>
  <c r="E129" i="15"/>
  <c r="R120" i="31"/>
  <c r="Q120" i="31"/>
  <c r="S120" i="31" s="1"/>
  <c r="E120" i="31" s="1"/>
  <c r="E111" i="15"/>
  <c r="R102" i="31"/>
  <c r="Q102" i="31"/>
  <c r="S102" i="31" s="1"/>
  <c r="E102" i="31" s="1"/>
  <c r="E242" i="15"/>
  <c r="C233" i="31"/>
  <c r="T233" i="31" s="1"/>
  <c r="R233" i="31"/>
  <c r="Q233" i="31"/>
  <c r="S233" i="31" s="1"/>
  <c r="E233" i="31" s="1"/>
  <c r="E292" i="15"/>
  <c r="C283" i="31"/>
  <c r="T283" i="31" s="1"/>
  <c r="R283" i="31"/>
  <c r="Q283" i="31"/>
  <c r="S283" i="31" s="1"/>
  <c r="E283" i="31" s="1"/>
  <c r="E285" i="15"/>
  <c r="C276" i="31"/>
  <c r="T276" i="31" s="1"/>
  <c r="R276" i="31"/>
  <c r="Q276" i="31"/>
  <c r="S276" i="31" s="1"/>
  <c r="E276" i="31" s="1"/>
  <c r="E195" i="15"/>
  <c r="R186" i="31"/>
  <c r="Q186" i="31"/>
  <c r="S186" i="31" s="1"/>
  <c r="E186" i="31" s="1"/>
  <c r="E138" i="15"/>
  <c r="R129" i="31"/>
  <c r="Q129" i="31"/>
  <c r="S129" i="31" s="1"/>
  <c r="E129" i="31" s="1"/>
  <c r="E51" i="15"/>
  <c r="R42" i="31"/>
  <c r="Q42" i="31"/>
  <c r="S42" i="31" s="1"/>
  <c r="E42" i="31" s="1"/>
  <c r="E226" i="15"/>
  <c r="B226" i="15" s="1"/>
  <c r="C217" i="31"/>
  <c r="T217" i="31" s="1"/>
  <c r="R217" i="31"/>
  <c r="Q217" i="31"/>
  <c r="S217" i="31" s="1"/>
  <c r="E217" i="31" s="1"/>
  <c r="E247" i="15"/>
  <c r="C238" i="31"/>
  <c r="T238" i="31" s="1"/>
  <c r="R238" i="31"/>
  <c r="Q238" i="31"/>
  <c r="S238" i="31" s="1"/>
  <c r="E238" i="31" s="1"/>
  <c r="E373" i="15"/>
  <c r="C364" i="31"/>
  <c r="T364" i="31" s="1"/>
  <c r="R364" i="31"/>
  <c r="Q364" i="31"/>
  <c r="S364" i="31" s="1"/>
  <c r="E364" i="31" s="1"/>
  <c r="E371" i="15"/>
  <c r="Q362" i="31"/>
  <c r="S362" i="31" s="1"/>
  <c r="E362" i="31" s="1"/>
  <c r="C362" i="31"/>
  <c r="T362" i="31" s="1"/>
  <c r="R362" i="31"/>
  <c r="E319" i="15"/>
  <c r="Q310" i="31"/>
  <c r="S310" i="31" s="1"/>
  <c r="E310" i="31" s="1"/>
  <c r="C310" i="31"/>
  <c r="T310" i="31" s="1"/>
  <c r="R310" i="31"/>
  <c r="E42" i="15"/>
  <c r="R33" i="31"/>
  <c r="Q33" i="31"/>
  <c r="S33" i="31" s="1"/>
  <c r="E33" i="31" s="1"/>
  <c r="E96" i="15"/>
  <c r="R87" i="31"/>
  <c r="Q87" i="31"/>
  <c r="S87" i="31" s="1"/>
  <c r="E87" i="31" s="1"/>
  <c r="E268" i="15"/>
  <c r="C259" i="31"/>
  <c r="T259" i="31" s="1"/>
  <c r="R259" i="31"/>
  <c r="Q259" i="31"/>
  <c r="S259" i="31" s="1"/>
  <c r="E259" i="31" s="1"/>
  <c r="E244" i="15"/>
  <c r="R235" i="31"/>
  <c r="Q235" i="31"/>
  <c r="S235" i="31" s="1"/>
  <c r="E235" i="31" s="1"/>
  <c r="C235" i="31"/>
  <c r="T235" i="31" s="1"/>
  <c r="E326" i="15"/>
  <c r="R317" i="31"/>
  <c r="Q317" i="31"/>
  <c r="S317" i="31" s="1"/>
  <c r="E317" i="31" s="1"/>
  <c r="C317" i="31"/>
  <c r="T317" i="31" s="1"/>
  <c r="E143" i="15"/>
  <c r="R134" i="31"/>
  <c r="Q134" i="31"/>
  <c r="S134" i="31" s="1"/>
  <c r="E134" i="31" s="1"/>
  <c r="E78" i="15"/>
  <c r="R69" i="31"/>
  <c r="Q69" i="31"/>
  <c r="S69" i="31" s="1"/>
  <c r="E69" i="31" s="1"/>
  <c r="E142" i="15"/>
  <c r="B142" i="15" s="1"/>
  <c r="R133" i="31"/>
  <c r="Q133" i="31"/>
  <c r="S133" i="31" s="1"/>
  <c r="E133" i="31" s="1"/>
  <c r="E193" i="15"/>
  <c r="Q184" i="31"/>
  <c r="S184" i="31" s="1"/>
  <c r="E184" i="31" s="1"/>
  <c r="R184" i="31"/>
  <c r="E324" i="15"/>
  <c r="C315" i="31"/>
  <c r="T315" i="31" s="1"/>
  <c r="R315" i="31"/>
  <c r="Q315" i="31"/>
  <c r="S315" i="31" s="1"/>
  <c r="E315" i="31" s="1"/>
  <c r="E329" i="15"/>
  <c r="C320" i="31"/>
  <c r="T320" i="31" s="1"/>
  <c r="R320" i="31"/>
  <c r="Q320" i="31"/>
  <c r="S320" i="31" s="1"/>
  <c r="E320" i="31" s="1"/>
  <c r="E379" i="15"/>
  <c r="R370" i="31"/>
  <c r="Q370" i="31"/>
  <c r="S370" i="31" s="1"/>
  <c r="E370" i="31" s="1"/>
  <c r="C370" i="31"/>
  <c r="T370" i="31" s="1"/>
  <c r="AE211" i="3"/>
  <c r="AE213" i="3"/>
  <c r="AE215" i="3"/>
  <c r="AE216" i="3"/>
  <c r="AE208" i="3"/>
  <c r="AE209" i="3"/>
  <c r="AE214" i="3"/>
  <c r="AE210" i="3"/>
  <c r="I48" i="9"/>
  <c r="AE223" i="3"/>
  <c r="AE230" i="3"/>
  <c r="AE212" i="3"/>
  <c r="O12" i="42"/>
  <c r="P8" i="42"/>
  <c r="O6" i="42"/>
  <c r="O7" i="42"/>
  <c r="O5" i="42"/>
  <c r="G73" i="9"/>
  <c r="W218" i="3"/>
  <c r="G74" i="9" s="1"/>
  <c r="E334" i="15"/>
  <c r="B334" i="15" s="1"/>
  <c r="R325" i="31"/>
  <c r="Q325" i="31"/>
  <c r="S325" i="31" s="1"/>
  <c r="E325" i="31" s="1"/>
  <c r="C325" i="31"/>
  <c r="T325" i="31" s="1"/>
  <c r="E50" i="15"/>
  <c r="R41" i="31"/>
  <c r="Q41" i="31"/>
  <c r="S41" i="31" s="1"/>
  <c r="E41" i="31" s="1"/>
  <c r="E365" i="15"/>
  <c r="C356" i="31"/>
  <c r="T356" i="31" s="1"/>
  <c r="R356" i="31"/>
  <c r="Q356" i="31"/>
  <c r="S356" i="31" s="1"/>
  <c r="E356" i="31" s="1"/>
  <c r="E88" i="15"/>
  <c r="R79" i="31"/>
  <c r="Q79" i="31"/>
  <c r="S79" i="31" s="1"/>
  <c r="E79" i="31" s="1"/>
  <c r="E185" i="15"/>
  <c r="Q176" i="31"/>
  <c r="S176" i="31" s="1"/>
  <c r="E176" i="31" s="1"/>
  <c r="R176" i="31"/>
  <c r="E219" i="15"/>
  <c r="C210" i="31"/>
  <c r="T210" i="31" s="1"/>
  <c r="R210" i="31"/>
  <c r="Q210" i="31"/>
  <c r="S210" i="31" s="1"/>
  <c r="E210" i="31" s="1"/>
  <c r="E140" i="15"/>
  <c r="R131" i="31"/>
  <c r="Q131" i="31"/>
  <c r="S131" i="31" s="1"/>
  <c r="E131" i="31" s="1"/>
  <c r="G67" i="47"/>
  <c r="M141" i="9"/>
  <c r="M156" i="9" s="1"/>
  <c r="H71" i="9"/>
  <c r="I112" i="5"/>
  <c r="I111" i="5"/>
  <c r="E82" i="15"/>
  <c r="B82" i="15" s="1"/>
  <c r="R73" i="31"/>
  <c r="Q73" i="31"/>
  <c r="S73" i="31" s="1"/>
  <c r="E73" i="31" s="1"/>
  <c r="E220" i="15"/>
  <c r="R211" i="31"/>
  <c r="Q211" i="31"/>
  <c r="S211" i="31" s="1"/>
  <c r="E211" i="31" s="1"/>
  <c r="C211" i="31"/>
  <c r="T211" i="31" s="1"/>
  <c r="E86" i="15"/>
  <c r="Q77" i="31"/>
  <c r="S77" i="31" s="1"/>
  <c r="E77" i="31" s="1"/>
  <c r="R77" i="31"/>
  <c r="E158" i="15"/>
  <c r="R149" i="31"/>
  <c r="Q149" i="31"/>
  <c r="S149" i="31" s="1"/>
  <c r="E149" i="31" s="1"/>
  <c r="E169" i="15"/>
  <c r="Q160" i="31"/>
  <c r="S160" i="31" s="1"/>
  <c r="E160" i="31" s="1"/>
  <c r="R160" i="31"/>
  <c r="E231" i="15"/>
  <c r="C222" i="31"/>
  <c r="T222" i="31" s="1"/>
  <c r="Q222" i="31"/>
  <c r="S222" i="31" s="1"/>
  <c r="E222" i="31" s="1"/>
  <c r="R222" i="31"/>
  <c r="E355" i="15"/>
  <c r="Q346" i="31"/>
  <c r="S346" i="31" s="1"/>
  <c r="E346" i="31" s="1"/>
  <c r="R346" i="31"/>
  <c r="C346" i="31"/>
  <c r="T346" i="31" s="1"/>
  <c r="E387" i="15"/>
  <c r="R378" i="31"/>
  <c r="Q378" i="31"/>
  <c r="S378" i="31" s="1"/>
  <c r="E378" i="31" s="1"/>
  <c r="C378" i="31"/>
  <c r="T378" i="31" s="1"/>
  <c r="E254" i="15"/>
  <c r="C245" i="31"/>
  <c r="T245" i="31" s="1"/>
  <c r="R245" i="31"/>
  <c r="Q245" i="31"/>
  <c r="S245" i="31" s="1"/>
  <c r="E245" i="31" s="1"/>
  <c r="E103" i="15"/>
  <c r="R94" i="31"/>
  <c r="Q94" i="31"/>
  <c r="S94" i="31" s="1"/>
  <c r="E94" i="31" s="1"/>
  <c r="E160" i="15"/>
  <c r="R151" i="31"/>
  <c r="Q151" i="31"/>
  <c r="S151" i="31" s="1"/>
  <c r="E151" i="31" s="1"/>
  <c r="E171" i="15"/>
  <c r="R162" i="31"/>
  <c r="Q162" i="31"/>
  <c r="S162" i="31" s="1"/>
  <c r="E162" i="31" s="1"/>
  <c r="E327" i="15"/>
  <c r="Q318" i="31"/>
  <c r="S318" i="31" s="1"/>
  <c r="E318" i="31" s="1"/>
  <c r="R318" i="31"/>
  <c r="C318" i="31"/>
  <c r="T318" i="31" s="1"/>
  <c r="E310" i="15"/>
  <c r="B310" i="15" s="1"/>
  <c r="R301" i="31"/>
  <c r="Q301" i="31"/>
  <c r="S301" i="31" s="1"/>
  <c r="E301" i="31" s="1"/>
  <c r="C301" i="31"/>
  <c r="T301" i="31" s="1"/>
  <c r="E252" i="15"/>
  <c r="R243" i="31"/>
  <c r="Q243" i="31"/>
  <c r="S243" i="31" s="1"/>
  <c r="E243" i="31" s="1"/>
  <c r="C243" i="31"/>
  <c r="T243" i="31" s="1"/>
  <c r="E62" i="15"/>
  <c r="R53" i="31"/>
  <c r="Q53" i="31"/>
  <c r="S53" i="31" s="1"/>
  <c r="E53" i="31" s="1"/>
  <c r="E52" i="15"/>
  <c r="R43" i="31"/>
  <c r="Q43" i="31"/>
  <c r="S43" i="31" s="1"/>
  <c r="E43" i="31" s="1"/>
  <c r="E175" i="15"/>
  <c r="Q166" i="31"/>
  <c r="S166" i="31" s="1"/>
  <c r="E166" i="31" s="1"/>
  <c r="R166" i="31"/>
  <c r="E360" i="15"/>
  <c r="C351" i="31"/>
  <c r="T351" i="31" s="1"/>
  <c r="R351" i="31"/>
  <c r="Q351" i="31"/>
  <c r="S351" i="31" s="1"/>
  <c r="E351" i="31" s="1"/>
  <c r="E314" i="15"/>
  <c r="R305" i="31"/>
  <c r="Q305" i="31"/>
  <c r="S305" i="31" s="1"/>
  <c r="E305" i="31" s="1"/>
  <c r="C305" i="31"/>
  <c r="T305" i="31" s="1"/>
  <c r="E174" i="15"/>
  <c r="R165" i="31"/>
  <c r="Q165" i="31"/>
  <c r="S165" i="31" s="1"/>
  <c r="E165" i="31" s="1"/>
  <c r="E133" i="15"/>
  <c r="R124" i="31"/>
  <c r="Q124" i="31"/>
  <c r="S124" i="31" s="1"/>
  <c r="E124" i="31" s="1"/>
  <c r="E149" i="15"/>
  <c r="R140" i="31"/>
  <c r="Q140" i="31"/>
  <c r="S140" i="31" s="1"/>
  <c r="E140" i="31" s="1"/>
  <c r="E181" i="15"/>
  <c r="Q172" i="31"/>
  <c r="S172" i="31" s="1"/>
  <c r="E172" i="31" s="1"/>
  <c r="R172" i="31"/>
  <c r="E172" i="15"/>
  <c r="R163" i="31"/>
  <c r="Q163" i="31"/>
  <c r="S163" i="31" s="1"/>
  <c r="E163" i="31" s="1"/>
  <c r="E317" i="15"/>
  <c r="C308" i="31"/>
  <c r="T308" i="31" s="1"/>
  <c r="R308" i="31"/>
  <c r="Q308" i="31"/>
  <c r="S308" i="31" s="1"/>
  <c r="E308" i="31" s="1"/>
  <c r="E270" i="15"/>
  <c r="R261" i="31"/>
  <c r="Q261" i="31"/>
  <c r="S261" i="31" s="1"/>
  <c r="E261" i="31" s="1"/>
  <c r="C261" i="31"/>
  <c r="T261" i="31" s="1"/>
  <c r="E153" i="15"/>
  <c r="R144" i="31"/>
  <c r="Q144" i="31"/>
  <c r="S144" i="31" s="1"/>
  <c r="E144" i="31" s="1"/>
  <c r="E83" i="15"/>
  <c r="R74" i="31"/>
  <c r="Q74" i="31"/>
  <c r="S74" i="31" s="1"/>
  <c r="E74" i="31" s="1"/>
  <c r="E288" i="15"/>
  <c r="C279" i="31"/>
  <c r="T279" i="31" s="1"/>
  <c r="R279" i="31"/>
  <c r="Q279" i="31"/>
  <c r="S279" i="31" s="1"/>
  <c r="E279" i="31" s="1"/>
  <c r="E176" i="15"/>
  <c r="R167" i="31"/>
  <c r="Q167" i="31"/>
  <c r="S167" i="31" s="1"/>
  <c r="E167" i="31" s="1"/>
  <c r="E289" i="15"/>
  <c r="C280" i="31"/>
  <c r="T280" i="31" s="1"/>
  <c r="Q280" i="31"/>
  <c r="S280" i="31" s="1"/>
  <c r="E280" i="31" s="1"/>
  <c r="R280" i="31"/>
  <c r="E57" i="15"/>
  <c r="R48" i="31"/>
  <c r="Q48" i="31"/>
  <c r="S48" i="31" s="1"/>
  <c r="E48" i="31" s="1"/>
  <c r="E369" i="15"/>
  <c r="R360" i="31"/>
  <c r="Q360" i="31"/>
  <c r="S360" i="31" s="1"/>
  <c r="E360" i="31" s="1"/>
  <c r="C360" i="31"/>
  <c r="T360" i="31" s="1"/>
  <c r="E74" i="15"/>
  <c r="R65" i="31"/>
  <c r="Q65" i="31"/>
  <c r="S65" i="31" s="1"/>
  <c r="E65" i="31" s="1"/>
  <c r="E128" i="15"/>
  <c r="R119" i="31"/>
  <c r="Q119" i="31"/>
  <c r="S119" i="31" s="1"/>
  <c r="E119" i="31" s="1"/>
  <c r="E389" i="15"/>
  <c r="C380" i="31"/>
  <c r="T380" i="31" s="1"/>
  <c r="R380" i="31"/>
  <c r="Q380" i="31"/>
  <c r="S380" i="31" s="1"/>
  <c r="E380" i="31" s="1"/>
  <c r="E279" i="15"/>
  <c r="Q270" i="31"/>
  <c r="S270" i="31" s="1"/>
  <c r="E270" i="31" s="1"/>
  <c r="C270" i="31"/>
  <c r="T270" i="31" s="1"/>
  <c r="R270" i="31"/>
  <c r="E358" i="15"/>
  <c r="B358" i="15" s="1"/>
  <c r="R349" i="31"/>
  <c r="Q349" i="31"/>
  <c r="S349" i="31" s="1"/>
  <c r="E349" i="31" s="1"/>
  <c r="C349" i="31"/>
  <c r="T349" i="31" s="1"/>
  <c r="E351" i="15"/>
  <c r="Q342" i="31"/>
  <c r="S342" i="31" s="1"/>
  <c r="E342" i="31" s="1"/>
  <c r="C342" i="31"/>
  <c r="T342" i="31" s="1"/>
  <c r="R342" i="31"/>
  <c r="E110" i="15"/>
  <c r="R101" i="31"/>
  <c r="Q101" i="31"/>
  <c r="S101" i="31" s="1"/>
  <c r="E101" i="31" s="1"/>
  <c r="E36" i="15"/>
  <c r="R27" i="31"/>
  <c r="Q27" i="31"/>
  <c r="S27" i="31" s="1"/>
  <c r="E27" i="31" s="1"/>
  <c r="E225" i="15"/>
  <c r="Q216" i="31"/>
  <c r="S216" i="31" s="1"/>
  <c r="E216" i="31" s="1"/>
  <c r="R216" i="31"/>
  <c r="C216" i="31"/>
  <c r="T216" i="31" s="1"/>
  <c r="E184" i="15"/>
  <c r="R175" i="31"/>
  <c r="Q175" i="31"/>
  <c r="S175" i="31" s="1"/>
  <c r="E175" i="31" s="1"/>
  <c r="E361" i="15"/>
  <c r="C352" i="31"/>
  <c r="T352" i="31" s="1"/>
  <c r="R352" i="31"/>
  <c r="Q352" i="31"/>
  <c r="S352" i="31" s="1"/>
  <c r="E352" i="31" s="1"/>
  <c r="L69" i="8"/>
  <c r="AE232" i="3"/>
  <c r="AE196" i="3" s="1"/>
  <c r="I51" i="9"/>
  <c r="W220" i="3"/>
  <c r="G53" i="9"/>
  <c r="AA57" i="16" l="1"/>
  <c r="AA19" i="16"/>
  <c r="I69" i="5"/>
  <c r="J29" i="5"/>
  <c r="J68" i="5" s="1"/>
  <c r="AA70" i="17" s="1"/>
  <c r="AA76" i="17" s="1"/>
  <c r="AA43" i="17"/>
  <c r="X29" i="8"/>
  <c r="X70" i="17"/>
  <c r="X76" i="17" s="1"/>
  <c r="X77" i="17" s="1"/>
  <c r="AZ85" i="3"/>
  <c r="BE84" i="3" s="1"/>
  <c r="L30" i="12"/>
  <c r="L32" i="12" s="1"/>
  <c r="H115" i="5"/>
  <c r="H116" i="5" s="1"/>
  <c r="J147" i="5"/>
  <c r="C27" i="31"/>
  <c r="T27" i="31" s="1"/>
  <c r="C28" i="31"/>
  <c r="J110" i="5"/>
  <c r="J25" i="31"/>
  <c r="F25" i="31" s="1"/>
  <c r="I16" i="31"/>
  <c r="K16" i="5"/>
  <c r="K19" i="5" s="1"/>
  <c r="AE67" i="47"/>
  <c r="AP74" i="17"/>
  <c r="AP73" i="17"/>
  <c r="AP68" i="17"/>
  <c r="AP69" i="17"/>
  <c r="Q7" i="5"/>
  <c r="N3" i="11"/>
  <c r="I52" i="9"/>
  <c r="AE197" i="3"/>
  <c r="AK66" i="47"/>
  <c r="I79" i="9"/>
  <c r="I69" i="9"/>
  <c r="AA218" i="3"/>
  <c r="H74" i="9" s="1"/>
  <c r="H73" i="9"/>
  <c r="AM67" i="8"/>
  <c r="AC122" i="9"/>
  <c r="AC95" i="9"/>
  <c r="AC120" i="9"/>
  <c r="O151" i="9" s="1"/>
  <c r="V69" i="47" s="1"/>
  <c r="V70" i="47" s="1"/>
  <c r="AC119" i="9"/>
  <c r="AC117" i="9"/>
  <c r="AC116" i="9"/>
  <c r="AC115" i="9"/>
  <c r="AC114" i="9"/>
  <c r="AC113" i="9"/>
  <c r="AC112" i="9"/>
  <c r="AC111" i="9"/>
  <c r="AC110" i="9"/>
  <c r="AC109" i="9"/>
  <c r="AC108" i="9"/>
  <c r="AC107" i="9"/>
  <c r="AC106" i="9"/>
  <c r="AC105" i="9"/>
  <c r="AC104" i="9"/>
  <c r="AC103" i="9"/>
  <c r="AC102" i="9"/>
  <c r="AC101" i="9"/>
  <c r="AC100" i="9"/>
  <c r="AC121" i="9"/>
  <c r="AC124" i="9"/>
  <c r="AC93" i="9"/>
  <c r="AC97" i="9" s="1"/>
  <c r="AC123" i="9"/>
  <c r="O154" i="9" s="1"/>
  <c r="AB69" i="47" s="1"/>
  <c r="AB70" i="47" s="1"/>
  <c r="AC87" i="9"/>
  <c r="AC88" i="9" s="1"/>
  <c r="AC118" i="9"/>
  <c r="AC96" i="9"/>
  <c r="AC94" i="9"/>
  <c r="AC92" i="9"/>
  <c r="O138" i="9" s="1"/>
  <c r="T25" i="31"/>
  <c r="AV51" i="44"/>
  <c r="AR52" i="44"/>
  <c r="T52" i="44"/>
  <c r="L51" i="44"/>
  <c r="H51" i="44"/>
  <c r="AZ52" i="44"/>
  <c r="X52" i="44"/>
  <c r="L52" i="44"/>
  <c r="AN51" i="44"/>
  <c r="P52" i="44"/>
  <c r="AJ52" i="44"/>
  <c r="AF51" i="44"/>
  <c r="AR51" i="44"/>
  <c r="AV52" i="44"/>
  <c r="AB51" i="44"/>
  <c r="AF52" i="44"/>
  <c r="X51" i="44"/>
  <c r="AB52" i="44"/>
  <c r="AN52" i="44"/>
  <c r="H52" i="44"/>
  <c r="T51" i="44"/>
  <c r="AJ51" i="44"/>
  <c r="AZ51" i="44"/>
  <c r="P51" i="44"/>
  <c r="AF9" i="44"/>
  <c r="I67" i="9"/>
  <c r="W236" i="3"/>
  <c r="O7" i="43"/>
  <c r="N5" i="43"/>
  <c r="AO12" i="16"/>
  <c r="AM8" i="15"/>
  <c r="AA31" i="12"/>
  <c r="L59" i="12" s="1"/>
  <c r="AI224" i="3"/>
  <c r="J80" i="9" s="1"/>
  <c r="AA224" i="3"/>
  <c r="H80" i="9" s="1"/>
  <c r="AY224" i="3"/>
  <c r="N80" i="9" s="1"/>
  <c r="S224" i="3"/>
  <c r="AU224" i="3"/>
  <c r="M80" i="9" s="1"/>
  <c r="O224" i="3"/>
  <c r="AQ224" i="3"/>
  <c r="L80" i="9" s="1"/>
  <c r="K224" i="3"/>
  <c r="CI281" i="3"/>
  <c r="BC224" i="3"/>
  <c r="O80" i="9" s="1"/>
  <c r="AM224" i="3"/>
  <c r="K80" i="9" s="1"/>
  <c r="AE224" i="3"/>
  <c r="I80" i="9" s="1"/>
  <c r="W224" i="3"/>
  <c r="G80" i="9" s="1"/>
  <c r="M68" i="47"/>
  <c r="AJ108" i="8"/>
  <c r="AI232" i="3"/>
  <c r="AI196" i="3" s="1"/>
  <c r="AI197" i="3" s="1"/>
  <c r="J51" i="9"/>
  <c r="I66" i="9"/>
  <c r="AJ23" i="8"/>
  <c r="L9" i="6"/>
  <c r="M169" i="5"/>
  <c r="M167" i="5"/>
  <c r="M170" i="5"/>
  <c r="M165" i="5"/>
  <c r="M168" i="5"/>
  <c r="M171" i="5"/>
  <c r="M166" i="5"/>
  <c r="M82" i="5"/>
  <c r="M91" i="5"/>
  <c r="M83" i="5"/>
  <c r="M4" i="5"/>
  <c r="N8" i="5"/>
  <c r="M5" i="5"/>
  <c r="AD76" i="8"/>
  <c r="AD77" i="8" s="1"/>
  <c r="AG47" i="16"/>
  <c r="I6" i="11"/>
  <c r="I25" i="5"/>
  <c r="X47" i="17" s="1"/>
  <c r="I70" i="9"/>
  <c r="J16" i="6"/>
  <c r="AM195" i="3"/>
  <c r="AM192" i="3"/>
  <c r="K46" i="9"/>
  <c r="AM231" i="3"/>
  <c r="AJ8" i="44"/>
  <c r="AJ9" i="44" s="1"/>
  <c r="N148" i="9"/>
  <c r="AB125" i="9"/>
  <c r="N145" i="9" s="1"/>
  <c r="AI212" i="3"/>
  <c r="AI214" i="3"/>
  <c r="AI216" i="3"/>
  <c r="AI208" i="3"/>
  <c r="J48" i="9"/>
  <c r="AI209" i="3"/>
  <c r="AI230" i="3"/>
  <c r="AI223" i="3"/>
  <c r="AI210" i="3"/>
  <c r="AI215" i="3"/>
  <c r="AI211" i="3"/>
  <c r="AI213" i="3"/>
  <c r="I65" i="9"/>
  <c r="J112" i="5"/>
  <c r="J111" i="5"/>
  <c r="D190" i="5"/>
  <c r="D182" i="5"/>
  <c r="D174" i="5"/>
  <c r="D166" i="5"/>
  <c r="D193" i="5"/>
  <c r="D185" i="5"/>
  <c r="D177" i="5"/>
  <c r="D169" i="5"/>
  <c r="D188" i="5"/>
  <c r="D180" i="5"/>
  <c r="D172" i="5"/>
  <c r="D191" i="5"/>
  <c r="D183" i="5"/>
  <c r="D175" i="5"/>
  <c r="D167" i="5"/>
  <c r="D194" i="5"/>
  <c r="D186" i="5"/>
  <c r="D178" i="5"/>
  <c r="D170" i="5"/>
  <c r="D165" i="5"/>
  <c r="D189" i="5"/>
  <c r="D181" i="5"/>
  <c r="D173" i="5"/>
  <c r="D192" i="5"/>
  <c r="D184" i="5"/>
  <c r="D176" i="5"/>
  <c r="D168" i="5"/>
  <c r="D187" i="5"/>
  <c r="D171" i="5"/>
  <c r="D179" i="5"/>
  <c r="I113" i="5"/>
  <c r="P67" i="47"/>
  <c r="AH67" i="47" s="1"/>
  <c r="G68" i="47"/>
  <c r="N141" i="9"/>
  <c r="N156" i="9" s="1"/>
  <c r="O52" i="42"/>
  <c r="I64" i="9"/>
  <c r="AE217" i="3"/>
  <c r="AG36" i="8"/>
  <c r="L9" i="10" s="1"/>
  <c r="K6" i="6"/>
  <c r="L125" i="5"/>
  <c r="L46" i="5"/>
  <c r="AG67" i="17" s="1"/>
  <c r="L44" i="5"/>
  <c r="L42" i="5"/>
  <c r="AG51" i="17" s="1"/>
  <c r="L163" i="5"/>
  <c r="L95" i="5"/>
  <c r="L40" i="5"/>
  <c r="AG50" i="17" s="1"/>
  <c r="L17" i="5"/>
  <c r="L14" i="5"/>
  <c r="L9" i="5"/>
  <c r="K10" i="6" s="1"/>
  <c r="L21" i="5"/>
  <c r="AG45" i="17" s="1"/>
  <c r="L38" i="5"/>
  <c r="AG52" i="17" s="1"/>
  <c r="L36" i="5"/>
  <c r="AG59" i="17" s="1"/>
  <c r="L34" i="5"/>
  <c r="AG58" i="17" s="1"/>
  <c r="L32" i="5"/>
  <c r="L30" i="5"/>
  <c r="AG56" i="17" s="1"/>
  <c r="L13" i="5"/>
  <c r="L39" i="9"/>
  <c r="L41" i="9"/>
  <c r="M142" i="9"/>
  <c r="M157" i="9" s="1"/>
  <c r="I68" i="9"/>
  <c r="I72" i="9"/>
  <c r="AA235" i="3"/>
  <c r="AA236" i="3" s="1"/>
  <c r="AG66" i="8"/>
  <c r="AG107" i="8" s="1"/>
  <c r="L7" i="10"/>
  <c r="I114" i="5"/>
  <c r="AY185" i="3"/>
  <c r="AU186" i="3"/>
  <c r="M42" i="9" s="1"/>
  <c r="AU188" i="3"/>
  <c r="O153" i="9"/>
  <c r="Y69" i="47" s="1"/>
  <c r="Y70" i="47" s="1"/>
  <c r="O150" i="9"/>
  <c r="S69" i="47" s="1"/>
  <c r="S70" i="47" s="1"/>
  <c r="O147" i="9"/>
  <c r="O144" i="9"/>
  <c r="O136" i="9"/>
  <c r="O137" i="9"/>
  <c r="H52" i="9"/>
  <c r="AA197" i="3"/>
  <c r="G76" i="9"/>
  <c r="W221" i="3"/>
  <c r="G77" i="9" s="1"/>
  <c r="P12" i="42"/>
  <c r="Q8" i="42"/>
  <c r="P7" i="42"/>
  <c r="P52" i="42" s="1"/>
  <c r="P6" i="42"/>
  <c r="P5" i="42"/>
  <c r="AE233" i="3"/>
  <c r="AE234" i="3"/>
  <c r="I71" i="9"/>
  <c r="L44" i="9"/>
  <c r="AQ190" i="3"/>
  <c r="J68" i="47"/>
  <c r="N139" i="9"/>
  <c r="W34" i="15"/>
  <c r="AD57" i="16" l="1"/>
  <c r="AD19" i="16"/>
  <c r="AA77" i="17"/>
  <c r="AA29" i="8"/>
  <c r="J69" i="5"/>
  <c r="K29" i="5"/>
  <c r="K68" i="5" s="1"/>
  <c r="AD70" i="17" s="1"/>
  <c r="AD76" i="17" s="1"/>
  <c r="AD43" i="17"/>
  <c r="J114" i="5"/>
  <c r="AK67" i="47"/>
  <c r="BE83" i="3"/>
  <c r="BE80" i="3"/>
  <c r="BE81" i="3"/>
  <c r="AZ87" i="3"/>
  <c r="BE82" i="3"/>
  <c r="M34" i="15"/>
  <c r="K147" i="5"/>
  <c r="K110" i="5"/>
  <c r="K111" i="5"/>
  <c r="K112" i="5"/>
  <c r="L122" i="5"/>
  <c r="L155" i="5" s="1"/>
  <c r="AG120" i="8" s="1"/>
  <c r="N18" i="31"/>
  <c r="N16" i="31"/>
  <c r="T28" i="31"/>
  <c r="C29" i="31"/>
  <c r="H25" i="31"/>
  <c r="K249" i="3" s="1"/>
  <c r="R7" i="5"/>
  <c r="O3" i="11"/>
  <c r="AS68" i="17"/>
  <c r="AS73" i="17"/>
  <c r="AS74" i="17"/>
  <c r="AS69" i="17"/>
  <c r="S71" i="47"/>
  <c r="J113" i="5"/>
  <c r="Y71" i="47"/>
  <c r="W226" i="3"/>
  <c r="G82" i="9" s="1"/>
  <c r="T53" i="44"/>
  <c r="X53" i="44"/>
  <c r="AE235" i="3"/>
  <c r="AE236" i="3" s="1"/>
  <c r="N142" i="9"/>
  <c r="N157" i="9" s="1"/>
  <c r="AN53" i="44"/>
  <c r="AZ53" i="44"/>
  <c r="AJ53" i="44"/>
  <c r="I115" i="5"/>
  <c r="I116" i="5" s="1"/>
  <c r="P53" i="44"/>
  <c r="AE68" i="47"/>
  <c r="AR53" i="44"/>
  <c r="AF53" i="44"/>
  <c r="K16" i="6"/>
  <c r="J67" i="9"/>
  <c r="J72" i="9"/>
  <c r="E80" i="9"/>
  <c r="O226" i="3"/>
  <c r="J71" i="9"/>
  <c r="J53" i="9"/>
  <c r="H53" i="44"/>
  <c r="D51" i="44"/>
  <c r="AC125" i="9"/>
  <c r="O145" i="9" s="1"/>
  <c r="O148" i="9"/>
  <c r="G69" i="47"/>
  <c r="O141" i="9"/>
  <c r="O156" i="9" s="1"/>
  <c r="J66" i="9"/>
  <c r="J70" i="9"/>
  <c r="F80" i="9"/>
  <c r="S226" i="3"/>
  <c r="O5" i="43"/>
  <c r="D52" i="44"/>
  <c r="L53" i="44"/>
  <c r="M44" i="9"/>
  <c r="AU190" i="3"/>
  <c r="M41" i="9"/>
  <c r="M39" i="9"/>
  <c r="AY186" i="3"/>
  <c r="N42" i="9" s="1"/>
  <c r="AY188" i="3"/>
  <c r="BC185" i="3"/>
  <c r="AG57" i="17"/>
  <c r="L16" i="5"/>
  <c r="L19" i="5" s="1"/>
  <c r="J79" i="9"/>
  <c r="J52" i="9"/>
  <c r="AM213" i="3"/>
  <c r="AM215" i="3"/>
  <c r="AM209" i="3"/>
  <c r="AM230" i="3"/>
  <c r="AM223" i="3"/>
  <c r="AM210" i="3"/>
  <c r="AM211" i="3"/>
  <c r="AM216" i="3"/>
  <c r="AM212" i="3"/>
  <c r="AM214" i="3"/>
  <c r="AM208" i="3"/>
  <c r="K48" i="9"/>
  <c r="AJ66" i="8"/>
  <c r="AJ107" i="8" s="1"/>
  <c r="M7" i="10"/>
  <c r="AG62" i="17"/>
  <c r="AI233" i="3"/>
  <c r="AI234" i="3"/>
  <c r="J68" i="9"/>
  <c r="AM232" i="3"/>
  <c r="AM196" i="3" s="1"/>
  <c r="K51" i="9"/>
  <c r="AQ192" i="3"/>
  <c r="L46" i="9"/>
  <c r="AQ195" i="3"/>
  <c r="AQ231" i="3"/>
  <c r="AN8" i="44"/>
  <c r="AN9" i="44" s="1"/>
  <c r="M69" i="47"/>
  <c r="M70" i="47" s="1"/>
  <c r="I73" i="9"/>
  <c r="AE218" i="3"/>
  <c r="I74" i="9" s="1"/>
  <c r="J65" i="9"/>
  <c r="Q7" i="42"/>
  <c r="Q6" i="42"/>
  <c r="Q5" i="42"/>
  <c r="Q12" i="42"/>
  <c r="R8" i="42"/>
  <c r="H53" i="9"/>
  <c r="AA220" i="3"/>
  <c r="J25" i="5"/>
  <c r="AA47" i="17" s="1"/>
  <c r="P68" i="47"/>
  <c r="AH68" i="47" s="1"/>
  <c r="AJ36" i="8"/>
  <c r="M9" i="10" s="1"/>
  <c r="L6" i="6"/>
  <c r="M163" i="5"/>
  <c r="M125" i="5"/>
  <c r="M46" i="5"/>
  <c r="AJ67" i="17" s="1"/>
  <c r="M44" i="5"/>
  <c r="AJ62" i="17" s="1"/>
  <c r="M42" i="5"/>
  <c r="AJ51" i="17" s="1"/>
  <c r="M40" i="5"/>
  <c r="AJ50" i="17" s="1"/>
  <c r="M122" i="5"/>
  <c r="M155" i="5" s="1"/>
  <c r="AJ120" i="8" s="1"/>
  <c r="M95" i="5"/>
  <c r="M13" i="5"/>
  <c r="M21" i="5"/>
  <c r="AJ45" i="17" s="1"/>
  <c r="M38" i="5"/>
  <c r="AJ52" i="17" s="1"/>
  <c r="M36" i="5"/>
  <c r="AJ59" i="17" s="1"/>
  <c r="M34" i="5"/>
  <c r="AJ58" i="17" s="1"/>
  <c r="M32" i="5"/>
  <c r="AJ57" i="17" s="1"/>
  <c r="M30" i="5"/>
  <c r="AJ56" i="17" s="1"/>
  <c r="M14" i="5"/>
  <c r="M9" i="5"/>
  <c r="L10" i="6" s="1"/>
  <c r="M17" i="5"/>
  <c r="D80" i="9"/>
  <c r="BH224" i="3"/>
  <c r="BM224" i="3"/>
  <c r="K226" i="3"/>
  <c r="AV53" i="44"/>
  <c r="J69" i="47"/>
  <c r="O139" i="9"/>
  <c r="I53" i="9"/>
  <c r="AE220" i="3"/>
  <c r="J69" i="9"/>
  <c r="J64" i="9"/>
  <c r="AI217" i="3"/>
  <c r="AI220" i="3" s="1"/>
  <c r="AM23" i="8"/>
  <c r="N172" i="5"/>
  <c r="N167" i="5"/>
  <c r="N170" i="5"/>
  <c r="N165" i="5"/>
  <c r="N168" i="5"/>
  <c r="N171" i="5"/>
  <c r="N166" i="5"/>
  <c r="M9" i="6"/>
  <c r="N82" i="5"/>
  <c r="N83" i="5"/>
  <c r="N169" i="5"/>
  <c r="N91" i="5"/>
  <c r="O8" i="5"/>
  <c r="N4" i="5"/>
  <c r="N5" i="5"/>
  <c r="AB53" i="44"/>
  <c r="AM108" i="8"/>
  <c r="AD77" i="17" l="1"/>
  <c r="AD29" i="8"/>
  <c r="AG19" i="16"/>
  <c r="K69" i="5"/>
  <c r="AG57" i="16"/>
  <c r="L29" i="5"/>
  <c r="L68" i="5" s="1"/>
  <c r="AG70" i="17" s="1"/>
  <c r="AG76" i="17" s="1"/>
  <c r="AG43" i="17"/>
  <c r="J115" i="5"/>
  <c r="J116" i="5" s="1"/>
  <c r="AK68" i="47"/>
  <c r="I9" i="8"/>
  <c r="I14" i="8" s="1"/>
  <c r="BE85" i="3"/>
  <c r="AZ89" i="3"/>
  <c r="BE88" i="3" s="1"/>
  <c r="AA34" i="12"/>
  <c r="K25" i="5"/>
  <c r="AD47" i="17" s="1"/>
  <c r="K113" i="5"/>
  <c r="AG76" i="8"/>
  <c r="AG77" i="8" s="1"/>
  <c r="AJ47" i="16"/>
  <c r="J6" i="11"/>
  <c r="K114" i="5"/>
  <c r="I25" i="31"/>
  <c r="L25" i="31" s="1"/>
  <c r="H34" i="15"/>
  <c r="L110" i="5"/>
  <c r="T29" i="31"/>
  <c r="C30" i="31"/>
  <c r="L147" i="5"/>
  <c r="AV73" i="17"/>
  <c r="AV74" i="17"/>
  <c r="AV68" i="17"/>
  <c r="AV69" i="17"/>
  <c r="M16" i="5"/>
  <c r="M19" i="5" s="1"/>
  <c r="P3" i="11"/>
  <c r="S7" i="5"/>
  <c r="W227" i="3"/>
  <c r="G83" i="9" s="1"/>
  <c r="O142" i="9"/>
  <c r="O157" i="9" s="1"/>
  <c r="AI235" i="3"/>
  <c r="AI236" i="3" s="1"/>
  <c r="D53" i="44"/>
  <c r="K52" i="9"/>
  <c r="AM197" i="3"/>
  <c r="AI226" i="3"/>
  <c r="AI221" i="3"/>
  <c r="J77" i="9" s="1"/>
  <c r="J76" i="9"/>
  <c r="O167" i="5"/>
  <c r="O170" i="5"/>
  <c r="O165" i="5"/>
  <c r="O173" i="5"/>
  <c r="O168" i="5"/>
  <c r="O171" i="5"/>
  <c r="O166" i="5"/>
  <c r="N9" i="6"/>
  <c r="O169" i="5"/>
  <c r="O82" i="5"/>
  <c r="O83" i="5"/>
  <c r="O91" i="5"/>
  <c r="O172" i="5"/>
  <c r="O4" i="5"/>
  <c r="O5" i="5"/>
  <c r="P8" i="5"/>
  <c r="L16" i="6"/>
  <c r="AQ232" i="3"/>
  <c r="AQ196" i="3" s="1"/>
  <c r="L51" i="9"/>
  <c r="K71" i="9"/>
  <c r="AU231" i="3"/>
  <c r="AU195" i="3"/>
  <c r="AU192" i="3"/>
  <c r="M46" i="9"/>
  <c r="AR8" i="44"/>
  <c r="AR9" i="44" s="1"/>
  <c r="J70" i="47"/>
  <c r="R12" i="42"/>
  <c r="R6" i="42"/>
  <c r="S8" i="42"/>
  <c r="R5" i="42"/>
  <c r="R7" i="42"/>
  <c r="K68" i="9"/>
  <c r="K69" i="9"/>
  <c r="BC188" i="3"/>
  <c r="BG185" i="3"/>
  <c r="BC186" i="3"/>
  <c r="O42" i="9" s="1"/>
  <c r="AE69" i="47"/>
  <c r="G70" i="47"/>
  <c r="I76" i="9"/>
  <c r="AE221" i="3"/>
  <c r="I77" i="9" s="1"/>
  <c r="AE226" i="3"/>
  <c r="AQ214" i="3"/>
  <c r="AQ216" i="3"/>
  <c r="AQ208" i="3"/>
  <c r="L48" i="9"/>
  <c r="AQ230" i="3"/>
  <c r="AQ223" i="3"/>
  <c r="AQ210" i="3"/>
  <c r="AQ211" i="3"/>
  <c r="AQ212" i="3"/>
  <c r="AQ215" i="3"/>
  <c r="AQ213" i="3"/>
  <c r="AQ209" i="3"/>
  <c r="K72" i="9"/>
  <c r="N44" i="9"/>
  <c r="AY190" i="3"/>
  <c r="AM66" i="8"/>
  <c r="AM107" i="8" s="1"/>
  <c r="N7" i="10"/>
  <c r="K227" i="3"/>
  <c r="D83" i="9" s="1"/>
  <c r="D82" i="9"/>
  <c r="AJ76" i="8"/>
  <c r="AJ77" i="8" s="1"/>
  <c r="AM47" i="16"/>
  <c r="K6" i="11"/>
  <c r="K67" i="9"/>
  <c r="L112" i="5"/>
  <c r="L111" i="5"/>
  <c r="N41" i="9"/>
  <c r="N39" i="9"/>
  <c r="S227" i="3"/>
  <c r="F83" i="9" s="1"/>
  <c r="F82" i="9"/>
  <c r="E82" i="9"/>
  <c r="O227" i="3"/>
  <c r="E83" i="9" s="1"/>
  <c r="AA226" i="3"/>
  <c r="AA221" i="3"/>
  <c r="H77" i="9" s="1"/>
  <c r="H76" i="9"/>
  <c r="K66" i="9"/>
  <c r="K79" i="9"/>
  <c r="T16" i="12"/>
  <c r="O249" i="3"/>
  <c r="B10" i="22"/>
  <c r="AM36" i="8"/>
  <c r="N9" i="10" s="1"/>
  <c r="M6" i="6"/>
  <c r="N163" i="5"/>
  <c r="N125" i="5"/>
  <c r="N122" i="5"/>
  <c r="N155" i="5" s="1"/>
  <c r="N95" i="5"/>
  <c r="N44" i="5"/>
  <c r="AM62" i="17" s="1"/>
  <c r="N42" i="5"/>
  <c r="AM51" i="17" s="1"/>
  <c r="N46" i="5"/>
  <c r="AM67" i="17" s="1"/>
  <c r="N17" i="5"/>
  <c r="N14" i="5"/>
  <c r="N9" i="5"/>
  <c r="M10" i="6" s="1"/>
  <c r="N38" i="5"/>
  <c r="AM52" i="17" s="1"/>
  <c r="N36" i="5"/>
  <c r="AM59" i="17" s="1"/>
  <c r="N34" i="5"/>
  <c r="AM58" i="17" s="1"/>
  <c r="N32" i="5"/>
  <c r="AM57" i="17" s="1"/>
  <c r="N30" i="5"/>
  <c r="AM56" i="17" s="1"/>
  <c r="N21" i="5"/>
  <c r="AM45" i="17" s="1"/>
  <c r="N40" i="5"/>
  <c r="AM50" i="17" s="1"/>
  <c r="N13" i="5"/>
  <c r="K64" i="9"/>
  <c r="AM217" i="3"/>
  <c r="AM234" i="3"/>
  <c r="AM233" i="3"/>
  <c r="Q52" i="42"/>
  <c r="AI218" i="3"/>
  <c r="J74" i="9" s="1"/>
  <c r="J73" i="9"/>
  <c r="K70" i="9"/>
  <c r="K65" i="9"/>
  <c r="P69" i="47"/>
  <c r="P70" i="47" s="1"/>
  <c r="M71" i="47" s="1"/>
  <c r="AJ19" i="16" l="1"/>
  <c r="AG77" i="17"/>
  <c r="L69" i="5"/>
  <c r="AJ57" i="16"/>
  <c r="AG29" i="8"/>
  <c r="M29" i="5"/>
  <c r="M68" i="5" s="1"/>
  <c r="AJ70" i="17" s="1"/>
  <c r="AJ76" i="17" s="1"/>
  <c r="AJ43" i="17"/>
  <c r="BE87" i="3"/>
  <c r="BE89" i="3" s="1"/>
  <c r="M110" i="5"/>
  <c r="K115" i="5"/>
  <c r="K116" i="5" s="1"/>
  <c r="M112" i="5"/>
  <c r="R34" i="15"/>
  <c r="M147" i="5"/>
  <c r="T30" i="31"/>
  <c r="C31" i="31"/>
  <c r="M111" i="5"/>
  <c r="T7" i="5"/>
  <c r="Q3" i="11"/>
  <c r="N16" i="5"/>
  <c r="AY74" i="17"/>
  <c r="AY73" i="17"/>
  <c r="AY69" i="17"/>
  <c r="AY68" i="17"/>
  <c r="AM235" i="3"/>
  <c r="AM236" i="3" s="1"/>
  <c r="L113" i="5"/>
  <c r="G71" i="47"/>
  <c r="L69" i="9"/>
  <c r="N6" i="6"/>
  <c r="O163" i="5"/>
  <c r="O46" i="5"/>
  <c r="AP67" i="17" s="1"/>
  <c r="O44" i="5"/>
  <c r="AP62" i="17" s="1"/>
  <c r="O42" i="5"/>
  <c r="AP51" i="17" s="1"/>
  <c r="O40" i="5"/>
  <c r="AP50" i="17" s="1"/>
  <c r="O95" i="5"/>
  <c r="O13" i="5"/>
  <c r="O21" i="5"/>
  <c r="AP45" i="17" s="1"/>
  <c r="O125" i="5"/>
  <c r="O38" i="5"/>
  <c r="AP52" i="17" s="1"/>
  <c r="O36" i="5"/>
  <c r="AP59" i="17" s="1"/>
  <c r="O34" i="5"/>
  <c r="AP58" i="17" s="1"/>
  <c r="O32" i="5"/>
  <c r="AP57" i="17" s="1"/>
  <c r="O30" i="5"/>
  <c r="AP56" i="17" s="1"/>
  <c r="O14" i="5"/>
  <c r="O9" i="5"/>
  <c r="N10" i="6" s="1"/>
  <c r="O17" i="5"/>
  <c r="AM120" i="8"/>
  <c r="I22" i="13"/>
  <c r="L71" i="9"/>
  <c r="L64" i="9"/>
  <c r="AQ217" i="3"/>
  <c r="O44" i="9"/>
  <c r="R44" i="9" s="1"/>
  <c r="BC190" i="3"/>
  <c r="BH188" i="3"/>
  <c r="BM188" i="3"/>
  <c r="L52" i="9"/>
  <c r="L72" i="9"/>
  <c r="R52" i="42"/>
  <c r="AU215" i="3"/>
  <c r="AU209" i="3"/>
  <c r="AU211" i="3"/>
  <c r="AU212" i="3"/>
  <c r="AU213" i="3"/>
  <c r="AU223" i="3"/>
  <c r="AU216" i="3"/>
  <c r="AU230" i="3"/>
  <c r="AU210" i="3"/>
  <c r="AU208" i="3"/>
  <c r="AU214" i="3"/>
  <c r="M48" i="9"/>
  <c r="L25" i="5"/>
  <c r="AG47" i="17" s="1"/>
  <c r="AY195" i="3"/>
  <c r="AY231" i="3"/>
  <c r="AY192" i="3"/>
  <c r="N46" i="9"/>
  <c r="AV8" i="44"/>
  <c r="L68" i="9"/>
  <c r="AQ197" i="3"/>
  <c r="AE227" i="3"/>
  <c r="I83" i="9" s="1"/>
  <c r="I82" i="9"/>
  <c r="AH69" i="47"/>
  <c r="AH70" i="47" s="1"/>
  <c r="AU232" i="3"/>
  <c r="AU196" i="3" s="1"/>
  <c r="M51" i="9"/>
  <c r="L114" i="5"/>
  <c r="AM220" i="3"/>
  <c r="K53" i="9"/>
  <c r="AB34" i="15"/>
  <c r="N25" i="31"/>
  <c r="D26" i="31"/>
  <c r="M16" i="6"/>
  <c r="L67" i="9"/>
  <c r="L70" i="9"/>
  <c r="T8" i="42"/>
  <c r="S12" i="42"/>
  <c r="S6" i="42"/>
  <c r="S7" i="42"/>
  <c r="S5" i="42"/>
  <c r="AE70" i="47"/>
  <c r="AA227" i="3"/>
  <c r="H83" i="9" s="1"/>
  <c r="H82" i="9"/>
  <c r="L66" i="9"/>
  <c r="AM76" i="8"/>
  <c r="AM77" i="8" s="1"/>
  <c r="AP47" i="16"/>
  <c r="I15" i="13"/>
  <c r="L6" i="11"/>
  <c r="L79" i="9"/>
  <c r="AI227" i="3"/>
  <c r="J83" i="9" s="1"/>
  <c r="J82" i="9"/>
  <c r="K73" i="9"/>
  <c r="AM218" i="3"/>
  <c r="K74" i="9" s="1"/>
  <c r="L65" i="9"/>
  <c r="AQ233" i="3"/>
  <c r="AQ234" i="3"/>
  <c r="Q44" i="9"/>
  <c r="O41" i="9"/>
  <c r="O92" i="9" s="1"/>
  <c r="G18" i="47" s="1"/>
  <c r="O39" i="9"/>
  <c r="K38" i="9" s="1"/>
  <c r="K40" i="9" s="1"/>
  <c r="P170" i="5"/>
  <c r="P165" i="5"/>
  <c r="P173" i="5"/>
  <c r="P168" i="5"/>
  <c r="P171" i="5"/>
  <c r="P174" i="5"/>
  <c r="P166" i="5"/>
  <c r="O9" i="6"/>
  <c r="P169" i="5"/>
  <c r="P172" i="5"/>
  <c r="P83" i="5"/>
  <c r="P167" i="5"/>
  <c r="P91" i="5"/>
  <c r="P82" i="5"/>
  <c r="P5" i="5"/>
  <c r="Q8" i="5"/>
  <c r="P4" i="5"/>
  <c r="M69" i="5" l="1"/>
  <c r="AM19" i="16"/>
  <c r="AJ29" i="8"/>
  <c r="AJ77" i="17"/>
  <c r="AM57" i="16"/>
  <c r="M114" i="5"/>
  <c r="M25" i="5"/>
  <c r="AJ47" i="17" s="1"/>
  <c r="M113" i="5"/>
  <c r="O122" i="5"/>
  <c r="O155" i="5" s="1"/>
  <c r="N112" i="5"/>
  <c r="N19" i="5"/>
  <c r="AM43" i="17" s="1"/>
  <c r="T31" i="31"/>
  <c r="C32" i="31"/>
  <c r="N111" i="5"/>
  <c r="BB69" i="17"/>
  <c r="BE69" i="17" s="1"/>
  <c r="BB74" i="17"/>
  <c r="BE74" i="17" s="1"/>
  <c r="BB73" i="17"/>
  <c r="BB68" i="17"/>
  <c r="BE68" i="17" s="1"/>
  <c r="U7" i="5"/>
  <c r="R3" i="11"/>
  <c r="L115" i="5"/>
  <c r="L116" i="5" s="1"/>
  <c r="AK69" i="47"/>
  <c r="AE71" i="47"/>
  <c r="AQ235" i="3"/>
  <c r="AQ236" i="3" s="1"/>
  <c r="S52" i="42"/>
  <c r="M66" i="9"/>
  <c r="M65" i="9"/>
  <c r="N16" i="6"/>
  <c r="AQ220" i="3"/>
  <c r="L53" i="9"/>
  <c r="M64" i="9"/>
  <c r="AU217" i="3"/>
  <c r="M67" i="9"/>
  <c r="AU233" i="3"/>
  <c r="AU234" i="3"/>
  <c r="M71" i="9"/>
  <c r="AV9" i="44"/>
  <c r="M72" i="9"/>
  <c r="BC192" i="3"/>
  <c r="BC231" i="3"/>
  <c r="O46" i="9"/>
  <c r="R46" i="9" s="1"/>
  <c r="R45" i="9" s="1"/>
  <c r="BC195" i="3"/>
  <c r="AZ8" i="44"/>
  <c r="AZ9" i="44" s="1"/>
  <c r="BM190" i="3"/>
  <c r="BH190" i="3"/>
  <c r="BH189" i="3" s="1"/>
  <c r="U8" i="42"/>
  <c r="T7" i="42"/>
  <c r="T6" i="42"/>
  <c r="T5" i="42"/>
  <c r="T12" i="42"/>
  <c r="K76" i="9"/>
  <c r="AM226" i="3"/>
  <c r="AM221" i="3"/>
  <c r="K77" i="9" s="1"/>
  <c r="M79" i="9"/>
  <c r="O38" i="9"/>
  <c r="O40" i="9" s="1"/>
  <c r="N38" i="9"/>
  <c r="N40" i="9" s="1"/>
  <c r="E38" i="9"/>
  <c r="E40" i="9" s="1"/>
  <c r="H38" i="9"/>
  <c r="H40" i="9" s="1"/>
  <c r="D38" i="9"/>
  <c r="D40" i="9" s="1"/>
  <c r="G38" i="9"/>
  <c r="G40" i="9" s="1"/>
  <c r="F38" i="9"/>
  <c r="F40" i="9" s="1"/>
  <c r="I38" i="9"/>
  <c r="I40" i="9" s="1"/>
  <c r="L38" i="9"/>
  <c r="L40" i="9" s="1"/>
  <c r="J38" i="9"/>
  <c r="J40" i="9" s="1"/>
  <c r="J26" i="31"/>
  <c r="AY216" i="3"/>
  <c r="AY208" i="3"/>
  <c r="N48" i="9"/>
  <c r="AY230" i="3"/>
  <c r="AY223" i="3"/>
  <c r="AY210" i="3"/>
  <c r="AY212" i="3"/>
  <c r="AY213" i="3"/>
  <c r="AY214" i="3"/>
  <c r="AY211" i="3"/>
  <c r="AY215" i="3"/>
  <c r="AY209" i="3"/>
  <c r="M69" i="9"/>
  <c r="M38" i="9"/>
  <c r="M40" i="9" s="1"/>
  <c r="O16" i="5"/>
  <c r="O19" i="5" s="1"/>
  <c r="AG34" i="15"/>
  <c r="K26" i="31"/>
  <c r="M70" i="9"/>
  <c r="Q173" i="5"/>
  <c r="Q168" i="5"/>
  <c r="Q171" i="5"/>
  <c r="Q174" i="5"/>
  <c r="Q166" i="5"/>
  <c r="P9" i="6"/>
  <c r="Q169" i="5"/>
  <c r="Q172" i="5"/>
  <c r="Q175" i="5"/>
  <c r="Q167" i="5"/>
  <c r="Q91" i="5"/>
  <c r="Q170" i="5"/>
  <c r="Q82" i="5"/>
  <c r="Q83" i="5"/>
  <c r="Q4" i="5"/>
  <c r="R8" i="5"/>
  <c r="Q5" i="5"/>
  <c r="Q165" i="5"/>
  <c r="O6" i="6"/>
  <c r="P163" i="5"/>
  <c r="P46" i="5"/>
  <c r="AS67" i="17" s="1"/>
  <c r="P44" i="5"/>
  <c r="AS62" i="17" s="1"/>
  <c r="P42" i="5"/>
  <c r="AS51" i="17" s="1"/>
  <c r="P40" i="5"/>
  <c r="AS50" i="17" s="1"/>
  <c r="P125" i="5"/>
  <c r="P17" i="5"/>
  <c r="P14" i="5"/>
  <c r="P9" i="5"/>
  <c r="O10" i="6" s="1"/>
  <c r="P95" i="5"/>
  <c r="P36" i="5"/>
  <c r="AS59" i="17" s="1"/>
  <c r="P21" i="5"/>
  <c r="AS45" i="17" s="1"/>
  <c r="P34" i="5"/>
  <c r="AS58" i="17" s="1"/>
  <c r="P32" i="5"/>
  <c r="AS57" i="17" s="1"/>
  <c r="P30" i="5"/>
  <c r="AS56" i="17" s="1"/>
  <c r="P13" i="5"/>
  <c r="P38" i="5"/>
  <c r="AS52" i="17" s="1"/>
  <c r="M52" i="9"/>
  <c r="AQ218" i="3"/>
  <c r="L74" i="9" s="1"/>
  <c r="L73" i="9"/>
  <c r="N51" i="9"/>
  <c r="AY232" i="3"/>
  <c r="AY196" i="3" s="1"/>
  <c r="AU197" i="3"/>
  <c r="M68" i="9"/>
  <c r="O29" i="5" l="1"/>
  <c r="O68" i="5" s="1"/>
  <c r="AP70" i="17" s="1"/>
  <c r="AP76" i="17" s="1"/>
  <c r="AP43" i="17"/>
  <c r="BE73" i="17"/>
  <c r="M115" i="5"/>
  <c r="M116" i="5" s="1"/>
  <c r="M6" i="11"/>
  <c r="N25" i="5"/>
  <c r="AM47" i="17" s="1"/>
  <c r="O110" i="5"/>
  <c r="AS47" i="16"/>
  <c r="O147" i="5"/>
  <c r="T32" i="31"/>
  <c r="C33" i="31"/>
  <c r="P122" i="5"/>
  <c r="P155" i="5" s="1"/>
  <c r="N29" i="5"/>
  <c r="N68" i="5" s="1"/>
  <c r="AM70" i="17" s="1"/>
  <c r="AM76" i="17" s="1"/>
  <c r="AM77" i="17" s="1"/>
  <c r="N147" i="5"/>
  <c r="N110" i="5"/>
  <c r="S3" i="11"/>
  <c r="V7" i="5"/>
  <c r="L112" i="17"/>
  <c r="L108" i="17"/>
  <c r="L107" i="17"/>
  <c r="L113" i="17"/>
  <c r="AU235" i="3"/>
  <c r="AU236" i="3" s="1"/>
  <c r="F26" i="31"/>
  <c r="D8" i="44"/>
  <c r="N52" i="9"/>
  <c r="AY197" i="3"/>
  <c r="O112" i="5"/>
  <c r="O111" i="5"/>
  <c r="N67" i="9"/>
  <c r="Q60" i="9"/>
  <c r="Q62" i="9"/>
  <c r="Q56" i="9"/>
  <c r="Q46" i="9"/>
  <c r="Q58" i="9"/>
  <c r="Q61" i="9"/>
  <c r="Q57" i="9"/>
  <c r="Q50" i="9"/>
  <c r="E21" i="5" s="1"/>
  <c r="L45" i="17" s="1"/>
  <c r="Q63" i="9"/>
  <c r="Q59" i="9"/>
  <c r="Q55" i="9"/>
  <c r="V8" i="42"/>
  <c r="U7" i="42"/>
  <c r="U52" i="42" s="1"/>
  <c r="U6" i="42"/>
  <c r="U5" i="42"/>
  <c r="U12" i="42"/>
  <c r="AU220" i="3"/>
  <c r="M53" i="9"/>
  <c r="AY233" i="3"/>
  <c r="AY234" i="3"/>
  <c r="N70" i="9"/>
  <c r="N64" i="9"/>
  <c r="AY217" i="3"/>
  <c r="BC232" i="3"/>
  <c r="O51" i="9"/>
  <c r="R51" i="9" s="1"/>
  <c r="BM195" i="3"/>
  <c r="BH195" i="3"/>
  <c r="T52" i="42"/>
  <c r="N69" i="9"/>
  <c r="N72" i="9"/>
  <c r="K82" i="9"/>
  <c r="AM227" i="3"/>
  <c r="K83" i="9" s="1"/>
  <c r="BH231" i="3"/>
  <c r="BM231" i="3"/>
  <c r="M73" i="9"/>
  <c r="AU218" i="3"/>
  <c r="M74" i="9" s="1"/>
  <c r="AQ226" i="3"/>
  <c r="AQ221" i="3"/>
  <c r="L77" i="9" s="1"/>
  <c r="L76" i="9"/>
  <c r="N79" i="9"/>
  <c r="P16" i="5"/>
  <c r="P19" i="5" s="1"/>
  <c r="O16" i="6"/>
  <c r="P6" i="6"/>
  <c r="Q163" i="5"/>
  <c r="Q95" i="5"/>
  <c r="Q125" i="5"/>
  <c r="Q40" i="5"/>
  <c r="AV50" i="17" s="1"/>
  <c r="Q21" i="5"/>
  <c r="AV45" i="17" s="1"/>
  <c r="Q38" i="5"/>
  <c r="AV52" i="17" s="1"/>
  <c r="Q36" i="5"/>
  <c r="AV59" i="17" s="1"/>
  <c r="Q34" i="5"/>
  <c r="AV58" i="17" s="1"/>
  <c r="Q32" i="5"/>
  <c r="AV57" i="17" s="1"/>
  <c r="Q30" i="5"/>
  <c r="AV56" i="17" s="1"/>
  <c r="Q13" i="5"/>
  <c r="Q44" i="5"/>
  <c r="AV62" i="17" s="1"/>
  <c r="Q17" i="5"/>
  <c r="Q14" i="5"/>
  <c r="Q9" i="5"/>
  <c r="P10" i="6" s="1"/>
  <c r="Q46" i="5"/>
  <c r="AV67" i="17" s="1"/>
  <c r="Q42" i="5"/>
  <c r="AV51" i="17" s="1"/>
  <c r="W35" i="15"/>
  <c r="N68" i="9"/>
  <c r="M35" i="15"/>
  <c r="M26" i="31"/>
  <c r="BC209" i="3"/>
  <c r="BC211" i="3"/>
  <c r="BC213" i="3"/>
  <c r="BC214" i="3"/>
  <c r="BC215" i="3"/>
  <c r="BC216" i="3"/>
  <c r="BC230" i="3"/>
  <c r="BC212" i="3"/>
  <c r="BC208" i="3"/>
  <c r="O48" i="9"/>
  <c r="R48" i="9" s="1"/>
  <c r="BC223" i="3"/>
  <c r="BC210" i="3"/>
  <c r="BM192" i="3"/>
  <c r="BH192" i="3"/>
  <c r="R176" i="5"/>
  <c r="R168" i="5"/>
  <c r="R171" i="5"/>
  <c r="R174" i="5"/>
  <c r="R166" i="5"/>
  <c r="Q9" i="6"/>
  <c r="R169" i="5"/>
  <c r="R172" i="5"/>
  <c r="R175" i="5"/>
  <c r="R167" i="5"/>
  <c r="R170" i="5"/>
  <c r="R165" i="5"/>
  <c r="R173" i="5"/>
  <c r="R91" i="5"/>
  <c r="R82" i="5"/>
  <c r="R83" i="5"/>
  <c r="R5" i="5"/>
  <c r="S8" i="5"/>
  <c r="R4" i="5"/>
  <c r="N65" i="9"/>
  <c r="N66" i="9"/>
  <c r="N71" i="9"/>
  <c r="O69" i="5" l="1"/>
  <c r="AS57" i="16"/>
  <c r="AS19" i="16"/>
  <c r="AP77" i="17"/>
  <c r="AQ245" i="3"/>
  <c r="BD5" i="3" s="1"/>
  <c r="AQ16" i="8" s="1"/>
  <c r="U18" i="17"/>
  <c r="U33" i="17"/>
  <c r="U16" i="17"/>
  <c r="U14" i="17"/>
  <c r="U17" i="17"/>
  <c r="U34" i="17"/>
  <c r="U35" i="17"/>
  <c r="U21" i="17"/>
  <c r="U15" i="17"/>
  <c r="U32" i="17"/>
  <c r="U13" i="17"/>
  <c r="U19" i="17"/>
  <c r="U20" i="17"/>
  <c r="P29" i="5"/>
  <c r="P68" i="5" s="1"/>
  <c r="AS70" i="17" s="1"/>
  <c r="AS76" i="17" s="1"/>
  <c r="AS43" i="17"/>
  <c r="N6" i="11"/>
  <c r="O114" i="5"/>
  <c r="Q122" i="5"/>
  <c r="Q155" i="5" s="1"/>
  <c r="AV47" i="16"/>
  <c r="N114" i="5"/>
  <c r="N113" i="5"/>
  <c r="P147" i="5"/>
  <c r="Q16" i="5"/>
  <c r="Q19" i="5" s="1"/>
  <c r="I7" i="13"/>
  <c r="N69" i="5"/>
  <c r="AM29" i="8"/>
  <c r="AP57" i="16"/>
  <c r="AP19" i="16"/>
  <c r="T33" i="31"/>
  <c r="C34" i="31"/>
  <c r="P110" i="5"/>
  <c r="H26" i="31"/>
  <c r="H35" i="15" s="1"/>
  <c r="O112" i="17"/>
  <c r="O113" i="17"/>
  <c r="O108" i="17"/>
  <c r="O107" i="17"/>
  <c r="W7" i="5"/>
  <c r="T3" i="11"/>
  <c r="AY235" i="3"/>
  <c r="AY236" i="3" s="1"/>
  <c r="O113" i="5"/>
  <c r="Q48" i="9"/>
  <c r="Q47" i="9" s="1"/>
  <c r="E17" i="5" s="1"/>
  <c r="AQ227" i="3"/>
  <c r="L83" i="9" s="1"/>
  <c r="L82" i="9"/>
  <c r="F23" i="5"/>
  <c r="G23" i="5" s="1"/>
  <c r="O66" i="9"/>
  <c r="R66" i="9" s="1"/>
  <c r="BM210" i="3"/>
  <c r="J73" i="22" s="1"/>
  <c r="BH210" i="3"/>
  <c r="O71" i="9"/>
  <c r="R71" i="9" s="1"/>
  <c r="BM215" i="3"/>
  <c r="J78" i="22" s="1"/>
  <c r="BH215" i="3"/>
  <c r="Q51" i="9"/>
  <c r="E23" i="5" s="1"/>
  <c r="O72" i="9"/>
  <c r="R72" i="9" s="1"/>
  <c r="BM216" i="3"/>
  <c r="J79" i="22" s="1"/>
  <c r="BH216" i="3"/>
  <c r="O79" i="9"/>
  <c r="BH223" i="3"/>
  <c r="BM223" i="3"/>
  <c r="C58" i="22" s="1"/>
  <c r="P16" i="6"/>
  <c r="P112" i="5"/>
  <c r="P111" i="5"/>
  <c r="N53" i="9"/>
  <c r="AY220" i="3"/>
  <c r="S171" i="5"/>
  <c r="S174" i="5"/>
  <c r="S166" i="5"/>
  <c r="R9" i="6"/>
  <c r="S177" i="5"/>
  <c r="S169" i="5"/>
  <c r="S172" i="5"/>
  <c r="S175" i="5"/>
  <c r="S167" i="5"/>
  <c r="S170" i="5"/>
  <c r="S165" i="5"/>
  <c r="S173" i="5"/>
  <c r="S91" i="5"/>
  <c r="S176" i="5"/>
  <c r="S82" i="5"/>
  <c r="S83" i="5"/>
  <c r="S4" i="5"/>
  <c r="S168" i="5"/>
  <c r="T8" i="5"/>
  <c r="S5" i="5"/>
  <c r="R47" i="9"/>
  <c r="O70" i="9"/>
  <c r="BM214" i="3"/>
  <c r="J77" i="22" s="1"/>
  <c r="BH214" i="3"/>
  <c r="V7" i="42"/>
  <c r="V6" i="42"/>
  <c r="V5" i="42"/>
  <c r="V12" i="42"/>
  <c r="W8" i="42"/>
  <c r="Q45" i="9"/>
  <c r="E16" i="5"/>
  <c r="Q6" i="6"/>
  <c r="R163" i="5"/>
  <c r="R95" i="5"/>
  <c r="R125" i="5"/>
  <c r="R46" i="5"/>
  <c r="AY67" i="17" s="1"/>
  <c r="R13" i="5"/>
  <c r="R44" i="5"/>
  <c r="AY62" i="17" s="1"/>
  <c r="R42" i="5"/>
  <c r="AY51" i="17" s="1"/>
  <c r="R17" i="5"/>
  <c r="R14" i="5"/>
  <c r="R9" i="5"/>
  <c r="Q10" i="6" s="1"/>
  <c r="R34" i="5"/>
  <c r="AY58" i="17" s="1"/>
  <c r="R32" i="5"/>
  <c r="AY57" i="17" s="1"/>
  <c r="R30" i="5"/>
  <c r="AY56" i="17" s="1"/>
  <c r="R40" i="5"/>
  <c r="AY50" i="17" s="1"/>
  <c r="R36" i="5"/>
  <c r="AY59" i="17" s="1"/>
  <c r="R21" i="5"/>
  <c r="AY45" i="17" s="1"/>
  <c r="R38" i="5"/>
  <c r="AY52" i="17" s="1"/>
  <c r="O64" i="9"/>
  <c r="R64" i="9" s="1"/>
  <c r="BC217" i="3"/>
  <c r="BM208" i="3"/>
  <c r="J71" i="22" s="1"/>
  <c r="BH208" i="3"/>
  <c r="O69" i="9"/>
  <c r="R69" i="9" s="1"/>
  <c r="BH213" i="3"/>
  <c r="BM213" i="3"/>
  <c r="J76" i="22" s="1"/>
  <c r="BM232" i="3"/>
  <c r="BH232" i="3"/>
  <c r="BC196" i="3"/>
  <c r="O67" i="9"/>
  <c r="BM211" i="3"/>
  <c r="J74" i="22" s="1"/>
  <c r="BH211" i="3"/>
  <c r="BA130" i="3"/>
  <c r="AX130" i="3" s="1"/>
  <c r="I31" i="17" s="1"/>
  <c r="BA121" i="3"/>
  <c r="AX121" i="3" s="1"/>
  <c r="I24" i="17" s="1"/>
  <c r="BH191" i="3"/>
  <c r="BA126" i="3"/>
  <c r="AX126" i="3" s="1"/>
  <c r="I29" i="17" s="1"/>
  <c r="BA124" i="3"/>
  <c r="AX124" i="3" s="1"/>
  <c r="I27" i="17" s="1"/>
  <c r="AQ248" i="3"/>
  <c r="BA127" i="3"/>
  <c r="AX127" i="3" s="1"/>
  <c r="I30" i="17" s="1"/>
  <c r="BA122" i="3"/>
  <c r="AX122" i="3" s="1"/>
  <c r="I25" i="17" s="1"/>
  <c r="BA120" i="3"/>
  <c r="AX120" i="3" s="1"/>
  <c r="I23" i="17" s="1"/>
  <c r="BA125" i="3"/>
  <c r="AX125" i="3" s="1"/>
  <c r="I28" i="17" s="1"/>
  <c r="BA123" i="3"/>
  <c r="AX123" i="3" s="1"/>
  <c r="I26" i="17" s="1"/>
  <c r="BA119" i="3"/>
  <c r="AK123" i="3"/>
  <c r="AK119" i="3"/>
  <c r="AK127" i="3"/>
  <c r="AK121" i="3"/>
  <c r="AK124" i="3"/>
  <c r="AK122" i="3"/>
  <c r="AK125" i="3"/>
  <c r="AK126" i="3"/>
  <c r="AK120" i="3"/>
  <c r="AI248" i="3"/>
  <c r="K19" i="12" s="1"/>
  <c r="O68" i="9"/>
  <c r="R68" i="9" s="1"/>
  <c r="BM212" i="3"/>
  <c r="J75" i="22" s="1"/>
  <c r="BH212" i="3"/>
  <c r="O65" i="9"/>
  <c r="R65" i="9" s="1"/>
  <c r="BM209" i="3"/>
  <c r="J72" i="22" s="1"/>
  <c r="BH209" i="3"/>
  <c r="O25" i="5"/>
  <c r="AP47" i="17" s="1"/>
  <c r="AK8" i="27"/>
  <c r="L35" i="12"/>
  <c r="B16" i="12"/>
  <c r="L39" i="12"/>
  <c r="BD135" i="3"/>
  <c r="I36" i="17" s="1"/>
  <c r="O36" i="17" s="1"/>
  <c r="U36" i="17" s="1"/>
  <c r="B6" i="22"/>
  <c r="L58" i="12"/>
  <c r="L56" i="12"/>
  <c r="BC233" i="3"/>
  <c r="BC234" i="3"/>
  <c r="BH230" i="3"/>
  <c r="BM230" i="3"/>
  <c r="AY218" i="3"/>
  <c r="N74" i="9" s="1"/>
  <c r="N73" i="9"/>
  <c r="M76" i="9"/>
  <c r="AU226" i="3"/>
  <c r="AU221" i="3"/>
  <c r="M77" i="9" s="1"/>
  <c r="AS77" i="17" l="1"/>
  <c r="U27" i="17"/>
  <c r="O27" i="17"/>
  <c r="F43" i="11" s="1"/>
  <c r="O28" i="17"/>
  <c r="F42" i="11" s="1"/>
  <c r="U28" i="17"/>
  <c r="O24" i="17"/>
  <c r="F46" i="11" s="1"/>
  <c r="U24" i="17"/>
  <c r="U29" i="17"/>
  <c r="O29" i="17"/>
  <c r="F41" i="11" s="1"/>
  <c r="U31" i="17"/>
  <c r="O31" i="17"/>
  <c r="F39" i="11" s="1"/>
  <c r="O26" i="17"/>
  <c r="F44" i="11" s="1"/>
  <c r="U26" i="17"/>
  <c r="U23" i="17"/>
  <c r="O23" i="17"/>
  <c r="F47" i="11" s="1"/>
  <c r="U25" i="17"/>
  <c r="O25" i="17"/>
  <c r="F45" i="11" s="1"/>
  <c r="P69" i="5"/>
  <c r="Q29" i="5"/>
  <c r="Q68" i="5" s="1"/>
  <c r="AV70" i="17" s="1"/>
  <c r="AV76" i="17" s="1"/>
  <c r="AV43" i="17"/>
  <c r="O30" i="17"/>
  <c r="F40" i="11" s="1"/>
  <c r="U30" i="17"/>
  <c r="AV19" i="16"/>
  <c r="AV57" i="16"/>
  <c r="Q112" i="5"/>
  <c r="Q111" i="5"/>
  <c r="N115" i="5"/>
  <c r="N116" i="5" s="1"/>
  <c r="O115" i="5"/>
  <c r="O116" i="5" s="1"/>
  <c r="Q147" i="5"/>
  <c r="R122" i="5"/>
  <c r="R155" i="5" s="1"/>
  <c r="Q110" i="5"/>
  <c r="AY47" i="16"/>
  <c r="I26" i="31"/>
  <c r="R35" i="15" s="1"/>
  <c r="O6" i="11"/>
  <c r="R16" i="5"/>
  <c r="R19" i="5" s="1"/>
  <c r="T34" i="31"/>
  <c r="C35" i="31"/>
  <c r="R46" i="17"/>
  <c r="R48" i="17" s="1"/>
  <c r="R78" i="17" s="1"/>
  <c r="H23" i="5"/>
  <c r="G26" i="5"/>
  <c r="X7" i="5"/>
  <c r="U3" i="11"/>
  <c r="R113" i="17"/>
  <c r="R112" i="17"/>
  <c r="R107" i="17"/>
  <c r="R108" i="17"/>
  <c r="AK128" i="3"/>
  <c r="Q64" i="9"/>
  <c r="E14" i="5"/>
  <c r="E15" i="5"/>
  <c r="R6" i="6"/>
  <c r="S95" i="5"/>
  <c r="S125" i="5"/>
  <c r="S122" i="5" s="1"/>
  <c r="S163" i="5"/>
  <c r="S46" i="5"/>
  <c r="BB67" i="17" s="1"/>
  <c r="BE67" i="17" s="1"/>
  <c r="S38" i="5"/>
  <c r="BB52" i="17" s="1"/>
  <c r="BE52" i="17" s="1"/>
  <c r="S36" i="5"/>
  <c r="BB59" i="17" s="1"/>
  <c r="BE59" i="17" s="1"/>
  <c r="S34" i="5"/>
  <c r="BB58" i="17" s="1"/>
  <c r="BE58" i="17" s="1"/>
  <c r="S32" i="5"/>
  <c r="BB57" i="17" s="1"/>
  <c r="BE57" i="17" s="1"/>
  <c r="S30" i="5"/>
  <c r="BB56" i="17" s="1"/>
  <c r="BE56" i="17" s="1"/>
  <c r="S13" i="5"/>
  <c r="S44" i="5"/>
  <c r="BB62" i="17" s="1"/>
  <c r="BE62" i="17" s="1"/>
  <c r="S42" i="5"/>
  <c r="BB51" i="17" s="1"/>
  <c r="BE51" i="17" s="1"/>
  <c r="S17" i="5"/>
  <c r="S14" i="5"/>
  <c r="S9" i="5"/>
  <c r="R10" i="6" s="1"/>
  <c r="S40" i="5"/>
  <c r="BB50" i="17" s="1"/>
  <c r="BE50" i="17" s="1"/>
  <c r="S21" i="5"/>
  <c r="BB45" i="17" s="1"/>
  <c r="BE45" i="17" s="1"/>
  <c r="E112" i="5"/>
  <c r="E111" i="5"/>
  <c r="E19" i="5"/>
  <c r="L43" i="17" s="1"/>
  <c r="AX119" i="3"/>
  <c r="I22" i="17" s="1"/>
  <c r="BA128" i="3"/>
  <c r="W12" i="42"/>
  <c r="X8" i="42"/>
  <c r="W7" i="42"/>
  <c r="W52" i="42" s="1"/>
  <c r="W5" i="42"/>
  <c r="W6" i="42"/>
  <c r="T174" i="5"/>
  <c r="T166" i="5"/>
  <c r="S9" i="6"/>
  <c r="T177" i="5"/>
  <c r="T169" i="5"/>
  <c r="T172" i="5"/>
  <c r="T175" i="5"/>
  <c r="T167" i="5"/>
  <c r="T178" i="5"/>
  <c r="T170" i="5"/>
  <c r="T165" i="5"/>
  <c r="T173" i="5"/>
  <c r="T176" i="5"/>
  <c r="T168" i="5"/>
  <c r="T171" i="5"/>
  <c r="T83" i="5"/>
  <c r="T91" i="5"/>
  <c r="T82" i="5"/>
  <c r="T5" i="5"/>
  <c r="U8" i="5"/>
  <c r="T4" i="5"/>
  <c r="P25" i="5"/>
  <c r="AS47" i="17" s="1"/>
  <c r="Q69" i="9"/>
  <c r="R67" i="9"/>
  <c r="Q67" i="9"/>
  <c r="C69" i="22" a="1"/>
  <c r="C69" i="22" s="1"/>
  <c r="B69" i="22" s="1" a="1"/>
  <c r="B69" i="22" s="1"/>
  <c r="C76" i="22" a="1"/>
  <c r="C76" i="22" s="1"/>
  <c r="B76" i="22" s="1" a="1"/>
  <c r="B76" i="22" s="1"/>
  <c r="C77" i="22" a="1"/>
  <c r="C77" i="22" s="1"/>
  <c r="B77" i="22" s="1" a="1"/>
  <c r="B77" i="22" s="1"/>
  <c r="C74" i="22" a="1"/>
  <c r="C74" i="22" s="1"/>
  <c r="B74" i="22" s="1" a="1"/>
  <c r="B74" i="22" s="1"/>
  <c r="C72" i="22" a="1"/>
  <c r="C72" i="22" s="1"/>
  <c r="B72" i="22" s="1" a="1"/>
  <c r="B72" i="22" s="1"/>
  <c r="C65" i="22" a="1"/>
  <c r="C65" i="22" s="1"/>
  <c r="C68" i="22" a="1"/>
  <c r="C68" i="22" s="1"/>
  <c r="C70" i="22" a="1"/>
  <c r="C70" i="22" s="1"/>
  <c r="B70" i="22" s="1" a="1"/>
  <c r="B70" i="22" s="1"/>
  <c r="C63" i="22" a="1"/>
  <c r="C63" i="22" s="1"/>
  <c r="C64" i="22" a="1"/>
  <c r="C64" i="22" s="1"/>
  <c r="C75" i="22" a="1"/>
  <c r="C75" i="22" s="1"/>
  <c r="B75" i="22" s="1" a="1"/>
  <c r="B75" i="22" s="1"/>
  <c r="C71" i="22" a="1"/>
  <c r="C71" i="22" s="1"/>
  <c r="B71" i="22" s="1" a="1"/>
  <c r="B71" i="22" s="1"/>
  <c r="C62" i="22" a="1"/>
  <c r="C62" i="22" s="1"/>
  <c r="C73" i="22" a="1"/>
  <c r="C73" i="22" s="1"/>
  <c r="B73" i="22" s="1" a="1"/>
  <c r="B73" i="22" s="1"/>
  <c r="C66" i="22" a="1"/>
  <c r="C66" i="22" s="1"/>
  <c r="C78" i="22" a="1"/>
  <c r="C78" i="22" s="1"/>
  <c r="B78" i="22" s="1" a="1"/>
  <c r="B78" i="22" s="1"/>
  <c r="C79" i="22" a="1"/>
  <c r="C79" i="22" s="1"/>
  <c r="B79" i="22" s="1" a="1"/>
  <c r="B79" i="22" s="1"/>
  <c r="C67" i="22" a="1"/>
  <c r="C67" i="22" s="1"/>
  <c r="R70" i="9"/>
  <c r="Q70" i="9"/>
  <c r="R79" i="9"/>
  <c r="Q79" i="9"/>
  <c r="B8" i="22"/>
  <c r="K245" i="3"/>
  <c r="L52" i="12"/>
  <c r="O52" i="9"/>
  <c r="BM196" i="3"/>
  <c r="BH196" i="3"/>
  <c r="BC197" i="3"/>
  <c r="BM197" i="3" s="1"/>
  <c r="K244" i="3" s="1"/>
  <c r="O46" i="17"/>
  <c r="O48" i="17" s="1"/>
  <c r="O78" i="17" s="1"/>
  <c r="F26" i="5"/>
  <c r="O73" i="9"/>
  <c r="BC218" i="3"/>
  <c r="O74" i="9" s="1"/>
  <c r="BH217" i="3"/>
  <c r="BH218" i="3" s="1"/>
  <c r="BM217" i="3"/>
  <c r="AY221" i="3"/>
  <c r="N77" i="9" s="1"/>
  <c r="AY226" i="3"/>
  <c r="N76" i="9"/>
  <c r="Q72" i="9"/>
  <c r="BH234" i="3"/>
  <c r="BM234" i="3"/>
  <c r="M82" i="9"/>
  <c r="AU227" i="3"/>
  <c r="M83" i="9" s="1"/>
  <c r="BH233" i="3"/>
  <c r="BM233" i="3"/>
  <c r="V52" i="42"/>
  <c r="P113" i="5"/>
  <c r="L46" i="17"/>
  <c r="Q68" i="9"/>
  <c r="Q65" i="9"/>
  <c r="BC235" i="3"/>
  <c r="D6" i="22"/>
  <c r="C6" i="22"/>
  <c r="E7" i="22" s="1"/>
  <c r="Q16" i="6"/>
  <c r="P114" i="5"/>
  <c r="Q71" i="9"/>
  <c r="Q66" i="9"/>
  <c r="AZ104" i="3" l="1"/>
  <c r="AY57" i="16"/>
  <c r="Q69" i="5"/>
  <c r="AY19" i="16"/>
  <c r="AV77" i="17"/>
  <c r="R29" i="5"/>
  <c r="R68" i="5" s="1"/>
  <c r="AY70" i="17" s="1"/>
  <c r="AY76" i="17" s="1"/>
  <c r="AY43" i="17"/>
  <c r="O22" i="17"/>
  <c r="U22" i="17"/>
  <c r="Q25" i="5"/>
  <c r="AV47" i="17" s="1"/>
  <c r="Q114" i="5"/>
  <c r="BB47" i="16"/>
  <c r="R147" i="5"/>
  <c r="L26" i="31"/>
  <c r="AB35" i="15" s="1"/>
  <c r="P6" i="11"/>
  <c r="Q113" i="5"/>
  <c r="R111" i="5"/>
  <c r="R112" i="5"/>
  <c r="R110" i="5"/>
  <c r="S155" i="5"/>
  <c r="J22" i="13" s="1"/>
  <c r="U46" i="17"/>
  <c r="U48" i="17" s="1"/>
  <c r="U78" i="17" s="1"/>
  <c r="I23" i="5"/>
  <c r="H26" i="5"/>
  <c r="T35" i="31"/>
  <c r="C36" i="31"/>
  <c r="G27" i="5"/>
  <c r="R26" i="8"/>
  <c r="U59" i="16"/>
  <c r="U18" i="16"/>
  <c r="U20" i="16" s="1"/>
  <c r="G71" i="5"/>
  <c r="F5" i="13"/>
  <c r="S16" i="5"/>
  <c r="S19" i="5" s="1"/>
  <c r="U112" i="17"/>
  <c r="U108" i="17"/>
  <c r="U107" i="17"/>
  <c r="U113" i="17"/>
  <c r="Y7" i="5"/>
  <c r="V3" i="11"/>
  <c r="R73" i="9"/>
  <c r="P115" i="5"/>
  <c r="P116" i="5" s="1"/>
  <c r="B63" i="22" a="1"/>
  <c r="B63" i="22" s="1"/>
  <c r="Q73" i="9"/>
  <c r="S6" i="6"/>
  <c r="T125" i="5"/>
  <c r="T122" i="5" s="1"/>
  <c r="T155" i="5" s="1"/>
  <c r="T163" i="5"/>
  <c r="T46" i="5"/>
  <c r="L106" i="17" s="1"/>
  <c r="T44" i="5"/>
  <c r="L101" i="17" s="1"/>
  <c r="T42" i="5"/>
  <c r="L90" i="17" s="1"/>
  <c r="T17" i="5"/>
  <c r="T14" i="5"/>
  <c r="T9" i="5"/>
  <c r="S10" i="6" s="1"/>
  <c r="T40" i="5"/>
  <c r="L89" i="17" s="1"/>
  <c r="T21" i="5"/>
  <c r="L84" i="17" s="1"/>
  <c r="T32" i="5"/>
  <c r="L96" i="17" s="1"/>
  <c r="T30" i="5"/>
  <c r="L95" i="17" s="1"/>
  <c r="T13" i="5"/>
  <c r="T34" i="5"/>
  <c r="L97" i="17" s="1"/>
  <c r="T38" i="5"/>
  <c r="L91" i="17" s="1"/>
  <c r="T36" i="5"/>
  <c r="L98" i="17" s="1"/>
  <c r="B66" i="22" a="1"/>
  <c r="B66" i="22" s="1"/>
  <c r="B68" i="22" a="1"/>
  <c r="B68" i="22" s="1"/>
  <c r="O26" i="8"/>
  <c r="R59" i="16"/>
  <c r="R18" i="16"/>
  <c r="R20" i="16" s="1"/>
  <c r="F71" i="5"/>
  <c r="E5" i="13"/>
  <c r="BC220" i="3"/>
  <c r="O53" i="9"/>
  <c r="BH197" i="3"/>
  <c r="K246" i="3"/>
  <c r="AK9" i="27"/>
  <c r="K16" i="12"/>
  <c r="O245" i="3"/>
  <c r="X12" i="42"/>
  <c r="Y8" i="42"/>
  <c r="X7" i="42"/>
  <c r="X52" i="42" s="1"/>
  <c r="X6" i="42"/>
  <c r="X5" i="42"/>
  <c r="C55" i="22"/>
  <c r="C59" i="22" s="1"/>
  <c r="BM218" i="3"/>
  <c r="B7" i="22"/>
  <c r="L57" i="12"/>
  <c r="L60" i="12" s="1"/>
  <c r="B65" i="22" a="1"/>
  <c r="B65" i="22" s="1"/>
  <c r="N77" i="22"/>
  <c r="N69" i="22"/>
  <c r="N75" i="22"/>
  <c r="N67" i="22"/>
  <c r="N73" i="22"/>
  <c r="N79" i="22"/>
  <c r="N71" i="22"/>
  <c r="N72" i="22"/>
  <c r="N78" i="22"/>
  <c r="N70" i="22"/>
  <c r="N65" i="22"/>
  <c r="N76" i="22"/>
  <c r="N66" i="22"/>
  <c r="N64" i="22"/>
  <c r="N74" i="22"/>
  <c r="N63" i="22"/>
  <c r="B62" i="22" a="1"/>
  <c r="B62" i="22" s="1"/>
  <c r="N68" i="22"/>
  <c r="N62" i="22"/>
  <c r="AX128" i="3"/>
  <c r="BC236" i="3"/>
  <c r="BH235" i="3"/>
  <c r="BH236" i="3" s="1"/>
  <c r="BM235" i="3"/>
  <c r="BM236" i="3" s="1"/>
  <c r="R52" i="9"/>
  <c r="Q52" i="9"/>
  <c r="R16" i="6"/>
  <c r="AY227" i="3"/>
  <c r="N83" i="9" s="1"/>
  <c r="N82" i="9"/>
  <c r="E110" i="5"/>
  <c r="E29" i="5"/>
  <c r="E147" i="5"/>
  <c r="B67" i="22" a="1"/>
  <c r="B67" i="22" s="1"/>
  <c r="B64" i="22" a="1"/>
  <c r="B64" i="22" s="1"/>
  <c r="L50" i="12"/>
  <c r="J50" i="12" s="1"/>
  <c r="J48" i="12"/>
  <c r="J44" i="12"/>
  <c r="J46" i="12"/>
  <c r="J45" i="12"/>
  <c r="J47" i="12"/>
  <c r="J42" i="12"/>
  <c r="J43" i="12"/>
  <c r="J41" i="12"/>
  <c r="J49" i="12"/>
  <c r="T9" i="6"/>
  <c r="U177" i="5"/>
  <c r="U169" i="5"/>
  <c r="U172" i="5"/>
  <c r="U175" i="5"/>
  <c r="U167" i="5"/>
  <c r="U178" i="5"/>
  <c r="U170" i="5"/>
  <c r="U165" i="5"/>
  <c r="U173" i="5"/>
  <c r="U176" i="5"/>
  <c r="U168" i="5"/>
  <c r="U179" i="5"/>
  <c r="U171" i="5"/>
  <c r="U166" i="5"/>
  <c r="U82" i="5"/>
  <c r="U174" i="5"/>
  <c r="U91" i="5"/>
  <c r="U83" i="5"/>
  <c r="U4" i="5"/>
  <c r="V8" i="5"/>
  <c r="U5" i="5"/>
  <c r="BE47" i="16"/>
  <c r="J15" i="13"/>
  <c r="Q6" i="11"/>
  <c r="AD109" i="3" l="1"/>
  <c r="AI109" i="3" s="1"/>
  <c r="AI104" i="3"/>
  <c r="R69" i="5"/>
  <c r="BB19" i="16"/>
  <c r="BB57" i="16"/>
  <c r="AY77" i="17"/>
  <c r="S29" i="5"/>
  <c r="S68" i="5" s="1"/>
  <c r="BB70" i="17" s="1"/>
  <c r="BB76" i="17" s="1"/>
  <c r="BB43" i="17"/>
  <c r="BE43" i="17" s="1"/>
  <c r="Q115" i="5"/>
  <c r="Q116" i="5" s="1"/>
  <c r="R114" i="5"/>
  <c r="D27" i="31"/>
  <c r="J27" i="31" s="1"/>
  <c r="N26" i="31"/>
  <c r="K27" i="31" s="1"/>
  <c r="R113" i="5"/>
  <c r="S110" i="5"/>
  <c r="S147" i="5"/>
  <c r="S111" i="5"/>
  <c r="S112" i="5"/>
  <c r="R25" i="5"/>
  <c r="AY47" i="17" s="1"/>
  <c r="E10" i="31"/>
  <c r="J10" i="31" s="1"/>
  <c r="AF28" i="12"/>
  <c r="G123" i="5"/>
  <c r="G124" i="5"/>
  <c r="G85" i="5"/>
  <c r="G72" i="5"/>
  <c r="G145" i="5"/>
  <c r="G142" i="5"/>
  <c r="R110" i="8"/>
  <c r="G143" i="5"/>
  <c r="R115" i="8" s="1"/>
  <c r="G144" i="5"/>
  <c r="H27" i="5"/>
  <c r="H71" i="5"/>
  <c r="U26" i="8"/>
  <c r="X59" i="16"/>
  <c r="X18" i="16"/>
  <c r="X20" i="16" s="1"/>
  <c r="G5" i="13"/>
  <c r="U52" i="16"/>
  <c r="U22" i="16"/>
  <c r="U38" i="16"/>
  <c r="X46" i="17"/>
  <c r="X48" i="17" s="1"/>
  <c r="X78" i="17" s="1"/>
  <c r="J23" i="5"/>
  <c r="I26" i="5"/>
  <c r="F124" i="5"/>
  <c r="F123" i="5"/>
  <c r="R27" i="8"/>
  <c r="R32" i="8"/>
  <c r="R30" i="8"/>
  <c r="T36" i="31"/>
  <c r="C37" i="31"/>
  <c r="Z7" i="5"/>
  <c r="W3" i="11"/>
  <c r="X107" i="17"/>
  <c r="X108" i="17"/>
  <c r="X113" i="17"/>
  <c r="X112" i="17"/>
  <c r="AC10" i="15"/>
  <c r="E14" i="31"/>
  <c r="J11" i="31" s="1"/>
  <c r="L63" i="22" a="1"/>
  <c r="L63" i="22" s="1"/>
  <c r="L64" i="22" a="1"/>
  <c r="L64" i="22" s="1"/>
  <c r="L74" i="22" a="1"/>
  <c r="L74" i="22" s="1"/>
  <c r="L71" i="22" a="1"/>
  <c r="L71" i="22" s="1"/>
  <c r="L66" i="22" a="1"/>
  <c r="L66" i="22" s="1"/>
  <c r="L76" i="22" a="1"/>
  <c r="L76" i="22" s="1"/>
  <c r="L67" i="22" a="1"/>
  <c r="L67" i="22" s="1"/>
  <c r="L78" i="22" a="1"/>
  <c r="L78" i="22" s="1"/>
  <c r="L75" i="22" a="1"/>
  <c r="L75" i="22" s="1"/>
  <c r="L68" i="22" a="1"/>
  <c r="L68" i="22" s="1"/>
  <c r="L70" i="22" a="1"/>
  <c r="L70" i="22" s="1"/>
  <c r="L77" i="22" a="1"/>
  <c r="L77" i="22" s="1"/>
  <c r="L69" i="22" a="1"/>
  <c r="L69" i="22" s="1"/>
  <c r="L65" i="22" a="1"/>
  <c r="L65" i="22" s="1"/>
  <c r="L73" i="22" a="1"/>
  <c r="L73" i="22" s="1"/>
  <c r="O32" i="8"/>
  <c r="O30" i="8"/>
  <c r="C7" i="22"/>
  <c r="C10" i="22"/>
  <c r="C8" i="22"/>
  <c r="C9" i="22"/>
  <c r="E68" i="5"/>
  <c r="L70" i="17" s="1"/>
  <c r="T16" i="5"/>
  <c r="T19" i="5" s="1"/>
  <c r="Y7" i="42"/>
  <c r="Y52" i="42" s="1"/>
  <c r="Y6" i="42"/>
  <c r="Y5" i="42"/>
  <c r="Y12" i="42"/>
  <c r="Z8" i="42"/>
  <c r="O76" i="9"/>
  <c r="BC226" i="3"/>
  <c r="BC221" i="3"/>
  <c r="O77" i="9" s="1"/>
  <c r="BM220" i="3"/>
  <c r="BM221" i="3" s="1"/>
  <c r="BH220" i="3"/>
  <c r="O95" i="16"/>
  <c r="R6" i="11"/>
  <c r="O244" i="3"/>
  <c r="O246" i="3" s="1"/>
  <c r="AI245" i="3" s="1"/>
  <c r="E25" i="5"/>
  <c r="L47" i="17" s="1"/>
  <c r="Q53" i="9"/>
  <c r="Q76" i="9" s="1"/>
  <c r="Q77" i="9" s="1"/>
  <c r="L72" i="22" a="1"/>
  <c r="L72" i="22" s="1"/>
  <c r="L79" i="22" a="1"/>
  <c r="L79" i="22" s="1"/>
  <c r="S16" i="6"/>
  <c r="E114" i="5"/>
  <c r="E113" i="5"/>
  <c r="R53" i="9"/>
  <c r="R76" i="9" s="1"/>
  <c r="R77" i="9" s="1"/>
  <c r="L62" i="22" a="1"/>
  <c r="L62" i="22" s="1"/>
  <c r="T6" i="6"/>
  <c r="U163" i="5"/>
  <c r="U125" i="5"/>
  <c r="U46" i="5"/>
  <c r="O106" i="17" s="1"/>
  <c r="U44" i="5"/>
  <c r="O101" i="17" s="1"/>
  <c r="U42" i="5"/>
  <c r="O90" i="17" s="1"/>
  <c r="U40" i="5"/>
  <c r="O89" i="17" s="1"/>
  <c r="U95" i="5"/>
  <c r="U13" i="5"/>
  <c r="U21" i="5"/>
  <c r="O84" i="17" s="1"/>
  <c r="U38" i="5"/>
  <c r="O91" i="17" s="1"/>
  <c r="U36" i="5"/>
  <c r="O98" i="17" s="1"/>
  <c r="U34" i="5"/>
  <c r="O97" i="17" s="1"/>
  <c r="U32" i="5"/>
  <c r="O96" i="17" s="1"/>
  <c r="U30" i="5"/>
  <c r="O95" i="17" s="1"/>
  <c r="U17" i="5"/>
  <c r="U14" i="5"/>
  <c r="U9" i="5"/>
  <c r="T10" i="6" s="1"/>
  <c r="J52" i="12"/>
  <c r="O110" i="8"/>
  <c r="F142" i="5"/>
  <c r="F143" i="5"/>
  <c r="O115" i="8" s="1"/>
  <c r="F144" i="5"/>
  <c r="F85" i="5"/>
  <c r="F72" i="5"/>
  <c r="F145" i="5"/>
  <c r="V180" i="5"/>
  <c r="V172" i="5"/>
  <c r="V175" i="5"/>
  <c r="V167" i="5"/>
  <c r="V178" i="5"/>
  <c r="V170" i="5"/>
  <c r="V165" i="5"/>
  <c r="V173" i="5"/>
  <c r="V176" i="5"/>
  <c r="V168" i="5"/>
  <c r="V179" i="5"/>
  <c r="V171" i="5"/>
  <c r="V174" i="5"/>
  <c r="V166" i="5"/>
  <c r="U9" i="6"/>
  <c r="V82" i="5"/>
  <c r="V169" i="5"/>
  <c r="V83" i="5"/>
  <c r="V177" i="5"/>
  <c r="V91" i="5"/>
  <c r="W8" i="5"/>
  <c r="V4" i="5"/>
  <c r="V5" i="5"/>
  <c r="F48" i="11"/>
  <c r="R52" i="16"/>
  <c r="R38" i="16"/>
  <c r="R22" i="16"/>
  <c r="AZ99" i="3" l="1"/>
  <c r="E95" i="5"/>
  <c r="BB77" i="17"/>
  <c r="J7" i="13"/>
  <c r="S69" i="5"/>
  <c r="BE19" i="16"/>
  <c r="BE57" i="16"/>
  <c r="L48" i="17"/>
  <c r="T29" i="5"/>
  <c r="T68" i="5" s="1"/>
  <c r="L109" i="17" s="1"/>
  <c r="L83" i="17"/>
  <c r="BE70" i="17"/>
  <c r="L76" i="17"/>
  <c r="AA245" i="3"/>
  <c r="S114" i="5"/>
  <c r="S113" i="5"/>
  <c r="R115" i="5"/>
  <c r="R116" i="5" s="1"/>
  <c r="AG35" i="15"/>
  <c r="AF10" i="8"/>
  <c r="T95" i="5"/>
  <c r="S25" i="5"/>
  <c r="BB47" i="17" s="1"/>
  <c r="BE47" i="17" s="1"/>
  <c r="U122" i="5"/>
  <c r="U155" i="5" s="1"/>
  <c r="L24" i="31"/>
  <c r="M25" i="31" s="1"/>
  <c r="T110" i="5"/>
  <c r="T147" i="5"/>
  <c r="AA46" i="17"/>
  <c r="AA48" i="17" s="1"/>
  <c r="AA78" i="17" s="1"/>
  <c r="K23" i="5"/>
  <c r="J26" i="5"/>
  <c r="G149" i="5"/>
  <c r="H123" i="5"/>
  <c r="H124" i="5"/>
  <c r="H85" i="5"/>
  <c r="H72" i="5"/>
  <c r="H145" i="5"/>
  <c r="H142" i="5"/>
  <c r="H143" i="5"/>
  <c r="U115" i="8" s="1"/>
  <c r="U110" i="8"/>
  <c r="H144" i="5"/>
  <c r="R114" i="8"/>
  <c r="F13" i="13"/>
  <c r="U42" i="16"/>
  <c r="U32" i="8"/>
  <c r="U27" i="8"/>
  <c r="U30" i="8"/>
  <c r="T37" i="31"/>
  <c r="C38" i="31"/>
  <c r="R33" i="8"/>
  <c r="R78" i="8"/>
  <c r="I27" i="5"/>
  <c r="H5" i="13"/>
  <c r="AA59" i="16"/>
  <c r="AA18" i="16"/>
  <c r="AA20" i="16" s="1"/>
  <c r="I71" i="5"/>
  <c r="X26" i="8"/>
  <c r="X22" i="16"/>
  <c r="X38" i="16"/>
  <c r="X52" i="16"/>
  <c r="AA113" i="17"/>
  <c r="AA112" i="17"/>
  <c r="AA108" i="17"/>
  <c r="AA107" i="17"/>
  <c r="U16" i="5"/>
  <c r="X3" i="11"/>
  <c r="AA7" i="5"/>
  <c r="J12" i="31"/>
  <c r="AF31" i="12" s="1"/>
  <c r="AM11" i="15"/>
  <c r="F27" i="31"/>
  <c r="E115" i="5"/>
  <c r="E116" i="5" s="1"/>
  <c r="R42" i="16"/>
  <c r="T16" i="6"/>
  <c r="AR8" i="27"/>
  <c r="B19" i="12"/>
  <c r="K251" i="3"/>
  <c r="T112" i="5"/>
  <c r="T111" i="5"/>
  <c r="F8" i="22"/>
  <c r="E9" i="22"/>
  <c r="D11" i="22"/>
  <c r="F10" i="22"/>
  <c r="O114" i="8"/>
  <c r="E13" i="13"/>
  <c r="BH221" i="3"/>
  <c r="E8" i="22"/>
  <c r="F7" i="22"/>
  <c r="G7" i="22" s="1"/>
  <c r="W36" i="15"/>
  <c r="U6" i="6"/>
  <c r="V163" i="5"/>
  <c r="V125" i="5"/>
  <c r="V122" i="5" s="1"/>
  <c r="V155" i="5" s="1"/>
  <c r="V95" i="5"/>
  <c r="V17" i="5"/>
  <c r="V14" i="5"/>
  <c r="V9" i="5"/>
  <c r="U10" i="6" s="1"/>
  <c r="V44" i="5"/>
  <c r="R101" i="17" s="1"/>
  <c r="V42" i="5"/>
  <c r="R90" i="17" s="1"/>
  <c r="V40" i="5"/>
  <c r="R89" i="17" s="1"/>
  <c r="V38" i="5"/>
  <c r="R91" i="17" s="1"/>
  <c r="V36" i="5"/>
  <c r="R98" i="17" s="1"/>
  <c r="V34" i="5"/>
  <c r="R97" i="17" s="1"/>
  <c r="V32" i="5"/>
  <c r="R96" i="17" s="1"/>
  <c r="V30" i="5"/>
  <c r="R95" i="17" s="1"/>
  <c r="V13" i="5"/>
  <c r="V46" i="5"/>
  <c r="R106" i="17" s="1"/>
  <c r="V21" i="5"/>
  <c r="R84" i="17" s="1"/>
  <c r="E26" i="5"/>
  <c r="L29" i="8"/>
  <c r="O57" i="16"/>
  <c r="O19" i="16"/>
  <c r="E69" i="5"/>
  <c r="D7" i="13"/>
  <c r="O78" i="8"/>
  <c r="O33" i="8"/>
  <c r="O82" i="9"/>
  <c r="BC227" i="3"/>
  <c r="O83" i="9" s="1"/>
  <c r="BH226" i="3"/>
  <c r="BH227" i="3" s="1"/>
  <c r="BM226" i="3"/>
  <c r="BM227" i="3" s="1"/>
  <c r="W175" i="5"/>
  <c r="W167" i="5"/>
  <c r="W178" i="5"/>
  <c r="W170" i="5"/>
  <c r="W165" i="5"/>
  <c r="W181" i="5"/>
  <c r="W173" i="5"/>
  <c r="W176" i="5"/>
  <c r="W168" i="5"/>
  <c r="W179" i="5"/>
  <c r="W171" i="5"/>
  <c r="W174" i="5"/>
  <c r="W166" i="5"/>
  <c r="V9" i="6"/>
  <c r="W177" i="5"/>
  <c r="W169" i="5"/>
  <c r="W82" i="5"/>
  <c r="W83" i="5"/>
  <c r="W172" i="5"/>
  <c r="W91" i="5"/>
  <c r="W4" i="5"/>
  <c r="W5" i="5"/>
  <c r="W180" i="5"/>
  <c r="X8" i="5"/>
  <c r="M36" i="15"/>
  <c r="M27" i="31"/>
  <c r="F149" i="5"/>
  <c r="N18" i="27"/>
  <c r="N17" i="27" s="1"/>
  <c r="H30" i="27" s="1"/>
  <c r="H34" i="27" s="1"/>
  <c r="K18" i="27"/>
  <c r="K17" i="27" s="1"/>
  <c r="AR9" i="27"/>
  <c r="H18" i="27"/>
  <c r="H17" i="27" s="1"/>
  <c r="E30" i="27" s="1"/>
  <c r="E34" i="27" s="1"/>
  <c r="E18" i="27"/>
  <c r="E17" i="27" s="1"/>
  <c r="B18" i="27"/>
  <c r="B17" i="27" s="1"/>
  <c r="T18" i="27"/>
  <c r="T17" i="27" s="1"/>
  <c r="Q18" i="27"/>
  <c r="Q17" i="27" s="1"/>
  <c r="O251" i="3"/>
  <c r="AA248" i="3"/>
  <c r="AY248" i="3"/>
  <c r="O257" i="3"/>
  <c r="Z12" i="42"/>
  <c r="Z7" i="42"/>
  <c r="Z52" i="42" s="1"/>
  <c r="AA8" i="42"/>
  <c r="Z5" i="42"/>
  <c r="Z6" i="42"/>
  <c r="F9" i="22"/>
  <c r="E10" i="22"/>
  <c r="O69" i="16" l="1"/>
  <c r="T69" i="5"/>
  <c r="O105" i="16"/>
  <c r="L77" i="17"/>
  <c r="BE77" i="17" s="1"/>
  <c r="BE76" i="17"/>
  <c r="L78" i="17"/>
  <c r="L115" i="17"/>
  <c r="L116" i="17" s="1"/>
  <c r="AY5" i="3"/>
  <c r="S115" i="5"/>
  <c r="S116" i="5" s="1"/>
  <c r="AR10" i="8"/>
  <c r="AF32" i="12"/>
  <c r="S6" i="11"/>
  <c r="R95" i="16"/>
  <c r="U112" i="5"/>
  <c r="U19" i="5"/>
  <c r="O83" i="17" s="1"/>
  <c r="H149" i="5"/>
  <c r="H27" i="31"/>
  <c r="H36" i="15" s="1"/>
  <c r="X42" i="16"/>
  <c r="X27" i="8"/>
  <c r="X32" i="8"/>
  <c r="X30" i="8"/>
  <c r="J27" i="5"/>
  <c r="AD18" i="16"/>
  <c r="AD20" i="16" s="1"/>
  <c r="AA26" i="8"/>
  <c r="AD59" i="16"/>
  <c r="J71" i="5"/>
  <c r="I124" i="5"/>
  <c r="I123" i="5"/>
  <c r="I145" i="5"/>
  <c r="I142" i="5"/>
  <c r="I143" i="5"/>
  <c r="X115" i="8" s="1"/>
  <c r="I144" i="5"/>
  <c r="I72" i="5"/>
  <c r="X110" i="8"/>
  <c r="I85" i="5"/>
  <c r="AD46" i="17"/>
  <c r="AD48" i="17" s="1"/>
  <c r="L23" i="5"/>
  <c r="K26" i="5"/>
  <c r="F27" i="5"/>
  <c r="AA52" i="16"/>
  <c r="AA22" i="16"/>
  <c r="AA38" i="16"/>
  <c r="T38" i="31"/>
  <c r="C39" i="31"/>
  <c r="U33" i="8"/>
  <c r="U78" i="8"/>
  <c r="U114" i="8"/>
  <c r="G13" i="13"/>
  <c r="U111" i="5"/>
  <c r="AB7" i="5"/>
  <c r="Y3" i="11"/>
  <c r="AD112" i="17"/>
  <c r="AD113" i="17"/>
  <c r="AD107" i="17"/>
  <c r="AD108" i="17"/>
  <c r="G10" i="22"/>
  <c r="G8" i="22"/>
  <c r="T25" i="5"/>
  <c r="L86" i="17" s="1"/>
  <c r="T19" i="12"/>
  <c r="AU5" i="3"/>
  <c r="CI271" i="3"/>
  <c r="CI299" i="3"/>
  <c r="CI291" i="3"/>
  <c r="V16" i="5"/>
  <c r="V19" i="5" s="1"/>
  <c r="AB8" i="42"/>
  <c r="AA12" i="42"/>
  <c r="AA7" i="42"/>
  <c r="AA52" i="42" s="1"/>
  <c r="AA5" i="42"/>
  <c r="AA6" i="42"/>
  <c r="AC19" i="12"/>
  <c r="CR299" i="3"/>
  <c r="CR291" i="3"/>
  <c r="CR271" i="3"/>
  <c r="CR281" i="3"/>
  <c r="AC16" i="12"/>
  <c r="DA281" i="3"/>
  <c r="DA271" i="3"/>
  <c r="DA299" i="3"/>
  <c r="DA291" i="3"/>
  <c r="T113" i="5"/>
  <c r="O265" i="3"/>
  <c r="O264" i="3"/>
  <c r="O263" i="3"/>
  <c r="L26" i="8"/>
  <c r="O18" i="16"/>
  <c r="O20" i="16" s="1"/>
  <c r="O59" i="16"/>
  <c r="D5" i="13"/>
  <c r="E71" i="5"/>
  <c r="T114" i="5"/>
  <c r="U16" i="6"/>
  <c r="G9" i="22"/>
  <c r="V6" i="6"/>
  <c r="W163" i="5"/>
  <c r="W46" i="5"/>
  <c r="U106" i="17" s="1"/>
  <c r="W44" i="5"/>
  <c r="U101" i="17" s="1"/>
  <c r="W42" i="5"/>
  <c r="U90" i="17" s="1"/>
  <c r="W40" i="5"/>
  <c r="U89" i="17" s="1"/>
  <c r="W95" i="5"/>
  <c r="W13" i="5"/>
  <c r="W21" i="5"/>
  <c r="U84" i="17" s="1"/>
  <c r="W38" i="5"/>
  <c r="U91" i="17" s="1"/>
  <c r="W36" i="5"/>
  <c r="U98" i="17" s="1"/>
  <c r="W34" i="5"/>
  <c r="U97" i="17" s="1"/>
  <c r="W32" i="5"/>
  <c r="U96" i="17" s="1"/>
  <c r="W30" i="5"/>
  <c r="U95" i="17" s="1"/>
  <c r="W17" i="5"/>
  <c r="W14" i="5"/>
  <c r="W9" i="5"/>
  <c r="V10" i="6" s="1"/>
  <c r="W125" i="5"/>
  <c r="AQ23" i="8"/>
  <c r="AQ66" i="8" s="1"/>
  <c r="AQ107" i="8" s="1"/>
  <c r="X178" i="5"/>
  <c r="X170" i="5"/>
  <c r="X165" i="5"/>
  <c r="X181" i="5"/>
  <c r="X173" i="5"/>
  <c r="X176" i="5"/>
  <c r="X168" i="5"/>
  <c r="X179" i="5"/>
  <c r="X171" i="5"/>
  <c r="X182" i="5"/>
  <c r="X174" i="5"/>
  <c r="X166" i="5"/>
  <c r="W9" i="6"/>
  <c r="X177" i="5"/>
  <c r="X169" i="5"/>
  <c r="X180" i="5"/>
  <c r="X172" i="5"/>
  <c r="X83" i="5"/>
  <c r="X167" i="5"/>
  <c r="X175" i="5"/>
  <c r="X5" i="5"/>
  <c r="Y8" i="5"/>
  <c r="X82" i="5"/>
  <c r="X4" i="5"/>
  <c r="X91" i="5"/>
  <c r="U95" i="16"/>
  <c r="T6" i="11"/>
  <c r="V29" i="5" l="1"/>
  <c r="V68" i="5" s="1"/>
  <c r="R109" i="17" s="1"/>
  <c r="R115" i="17" s="1"/>
  <c r="R83" i="17"/>
  <c r="AD78" i="17"/>
  <c r="I27" i="31"/>
  <c r="L27" i="31" s="1"/>
  <c r="U25" i="5"/>
  <c r="O86" i="17" s="1"/>
  <c r="V147" i="5"/>
  <c r="V110" i="5"/>
  <c r="X33" i="8"/>
  <c r="X78" i="8"/>
  <c r="AD26" i="8"/>
  <c r="K27" i="5"/>
  <c r="K71" i="5"/>
  <c r="AG18" i="16"/>
  <c r="AG20" i="16" s="1"/>
  <c r="AG59" i="16"/>
  <c r="H13" i="13"/>
  <c r="X114" i="8"/>
  <c r="J123" i="5"/>
  <c r="J124" i="5"/>
  <c r="J144" i="5"/>
  <c r="J85" i="5"/>
  <c r="J72" i="5"/>
  <c r="J145" i="5"/>
  <c r="J143" i="5"/>
  <c r="AA115" i="8" s="1"/>
  <c r="AA110" i="8"/>
  <c r="J142" i="5"/>
  <c r="AA114" i="8" s="1"/>
  <c r="W122" i="5"/>
  <c r="W155" i="5" s="1"/>
  <c r="T39" i="31"/>
  <c r="C40" i="31"/>
  <c r="AG46" i="17"/>
  <c r="AG48" i="17" s="1"/>
  <c r="AG78" i="17" s="1"/>
  <c r="M23" i="5"/>
  <c r="L26" i="5"/>
  <c r="L32" i="8"/>
  <c r="L78" i="8" s="1"/>
  <c r="O27" i="8"/>
  <c r="AA27" i="8"/>
  <c r="AA30" i="8"/>
  <c r="AA32" i="8"/>
  <c r="U29" i="5"/>
  <c r="U68" i="5" s="1"/>
  <c r="O109" i="17" s="1"/>
  <c r="U147" i="5"/>
  <c r="U110" i="5"/>
  <c r="AD52" i="16"/>
  <c r="AD38" i="16"/>
  <c r="AD22" i="16"/>
  <c r="AA42" i="16"/>
  <c r="I149" i="5"/>
  <c r="AG112" i="17"/>
  <c r="AG113" i="17"/>
  <c r="AG107" i="17"/>
  <c r="AG108" i="17"/>
  <c r="W16" i="5"/>
  <c r="W112" i="5" s="1"/>
  <c r="AC7" i="5"/>
  <c r="Z3" i="11"/>
  <c r="T115" i="5"/>
  <c r="T116" i="5" s="1"/>
  <c r="Y181" i="5"/>
  <c r="Y173" i="5"/>
  <c r="Y176" i="5"/>
  <c r="Y168" i="5"/>
  <c r="Y179" i="5"/>
  <c r="Y171" i="5"/>
  <c r="Y182" i="5"/>
  <c r="Y174" i="5"/>
  <c r="Y166" i="5"/>
  <c r="X9" i="6"/>
  <c r="Y177" i="5"/>
  <c r="Y169" i="5"/>
  <c r="Y180" i="5"/>
  <c r="Y172" i="5"/>
  <c r="Y183" i="5"/>
  <c r="Y175" i="5"/>
  <c r="Y167" i="5"/>
  <c r="Y178" i="5"/>
  <c r="Y91" i="5"/>
  <c r="Y170" i="5"/>
  <c r="Y165" i="5"/>
  <c r="Y82" i="5"/>
  <c r="Y4" i="5"/>
  <c r="Z8" i="5"/>
  <c r="Y5" i="5"/>
  <c r="Y83" i="5"/>
  <c r="V16" i="6"/>
  <c r="W6" i="6"/>
  <c r="X163" i="5"/>
  <c r="X46" i="5"/>
  <c r="X106" i="17" s="1"/>
  <c r="X44" i="5"/>
  <c r="X101" i="17" s="1"/>
  <c r="X42" i="5"/>
  <c r="X90" i="17" s="1"/>
  <c r="X40" i="5"/>
  <c r="X89" i="17" s="1"/>
  <c r="X125" i="5"/>
  <c r="AQ77" i="8" s="1"/>
  <c r="X17" i="5"/>
  <c r="X14" i="5"/>
  <c r="X9" i="5"/>
  <c r="W10" i="6" s="1"/>
  <c r="X30" i="5"/>
  <c r="X95" i="17" s="1"/>
  <c r="X13" i="5"/>
  <c r="X95" i="5"/>
  <c r="X32" i="5"/>
  <c r="X96" i="17" s="1"/>
  <c r="X38" i="5"/>
  <c r="X91" i="17" s="1"/>
  <c r="X36" i="5"/>
  <c r="X98" i="17" s="1"/>
  <c r="X21" i="5"/>
  <c r="X84" i="17" s="1"/>
  <c r="X34" i="5"/>
  <c r="X97" i="17" s="1"/>
  <c r="AQ36" i="8"/>
  <c r="L110" i="8"/>
  <c r="E142" i="5"/>
  <c r="E143" i="5"/>
  <c r="L115" i="8" s="1"/>
  <c r="E144" i="5"/>
  <c r="E145" i="5"/>
  <c r="E72" i="5"/>
  <c r="E124" i="5"/>
  <c r="E123" i="5"/>
  <c r="L30" i="8"/>
  <c r="V112" i="5"/>
  <c r="V111" i="5"/>
  <c r="O52" i="16"/>
  <c r="O38" i="16"/>
  <c r="O22" i="16"/>
  <c r="AC8" i="42"/>
  <c r="AB7" i="42"/>
  <c r="AB52" i="42" s="1"/>
  <c r="AB6" i="42"/>
  <c r="AB5" i="42"/>
  <c r="AB12" i="42"/>
  <c r="V69" i="5" l="1"/>
  <c r="U69" i="16"/>
  <c r="U105" i="16"/>
  <c r="R116" i="17"/>
  <c r="O115" i="17"/>
  <c r="O116" i="17" s="1"/>
  <c r="R36" i="15"/>
  <c r="L33" i="8"/>
  <c r="X95" i="16"/>
  <c r="U6" i="11"/>
  <c r="V114" i="5"/>
  <c r="J149" i="5"/>
  <c r="U114" i="5"/>
  <c r="U113" i="5"/>
  <c r="AJ46" i="17"/>
  <c r="AJ48" i="17" s="1"/>
  <c r="AJ78" i="17" s="1"/>
  <c r="N23" i="5"/>
  <c r="M26" i="5"/>
  <c r="T40" i="31"/>
  <c r="C41" i="31"/>
  <c r="R105" i="16"/>
  <c r="R69" i="16"/>
  <c r="U69" i="5"/>
  <c r="AG38" i="16"/>
  <c r="AG22" i="16"/>
  <c r="AG52" i="16"/>
  <c r="AD42" i="16"/>
  <c r="AA33" i="8"/>
  <c r="AA78" i="8"/>
  <c r="K123" i="5"/>
  <c r="K124" i="5"/>
  <c r="K143" i="5"/>
  <c r="AD115" i="8" s="1"/>
  <c r="K85" i="5"/>
  <c r="K145" i="5"/>
  <c r="K142" i="5"/>
  <c r="AD114" i="8" s="1"/>
  <c r="K72" i="5"/>
  <c r="K144" i="5"/>
  <c r="AD110" i="8"/>
  <c r="X122" i="5"/>
  <c r="X155" i="5" s="1"/>
  <c r="K22" i="13" s="1"/>
  <c r="AD32" i="8"/>
  <c r="AD27" i="8"/>
  <c r="AD30" i="8"/>
  <c r="W111" i="5"/>
  <c r="W19" i="5"/>
  <c r="U83" i="17" s="1"/>
  <c r="L27" i="5"/>
  <c r="L71" i="5"/>
  <c r="AJ18" i="16"/>
  <c r="AJ20" i="16" s="1"/>
  <c r="AG26" i="8"/>
  <c r="AJ59" i="16"/>
  <c r="AA3" i="11"/>
  <c r="AD7" i="5"/>
  <c r="AJ112" i="17"/>
  <c r="AJ107" i="17"/>
  <c r="AJ113" i="17"/>
  <c r="AJ108" i="17"/>
  <c r="O42" i="16"/>
  <c r="L114" i="8"/>
  <c r="D13" i="13"/>
  <c r="X6" i="6"/>
  <c r="Y163" i="5"/>
  <c r="Y95" i="5"/>
  <c r="Y125" i="5"/>
  <c r="Y21" i="5"/>
  <c r="AA84" i="17" s="1"/>
  <c r="Y38" i="5"/>
  <c r="AA91" i="17" s="1"/>
  <c r="Y36" i="5"/>
  <c r="AA98" i="17" s="1"/>
  <c r="Y34" i="5"/>
  <c r="AA97" i="17" s="1"/>
  <c r="Y32" i="5"/>
  <c r="AA96" i="17" s="1"/>
  <c r="Y30" i="5"/>
  <c r="AA95" i="17" s="1"/>
  <c r="Y46" i="5"/>
  <c r="AA106" i="17" s="1"/>
  <c r="Y13" i="5"/>
  <c r="Y44" i="5"/>
  <c r="AA101" i="17" s="1"/>
  <c r="Y17" i="5"/>
  <c r="Y40" i="5"/>
  <c r="AA89" i="17" s="1"/>
  <c r="Y14" i="5"/>
  <c r="Y9" i="5"/>
  <c r="X10" i="6" s="1"/>
  <c r="Y42" i="5"/>
  <c r="AA90" i="17" s="1"/>
  <c r="X16" i="5"/>
  <c r="X19" i="5" s="1"/>
  <c r="Z184" i="5"/>
  <c r="Z176" i="5"/>
  <c r="Z168" i="5"/>
  <c r="Z179" i="5"/>
  <c r="Z171" i="5"/>
  <c r="Z182" i="5"/>
  <c r="Z174" i="5"/>
  <c r="Z166" i="5"/>
  <c r="Y9" i="6"/>
  <c r="Z177" i="5"/>
  <c r="Z169" i="5"/>
  <c r="Z180" i="5"/>
  <c r="Z172" i="5"/>
  <c r="Z183" i="5"/>
  <c r="Z175" i="5"/>
  <c r="Z167" i="5"/>
  <c r="Z178" i="5"/>
  <c r="Z170" i="5"/>
  <c r="Z165" i="5"/>
  <c r="Z91" i="5"/>
  <c r="Z181" i="5"/>
  <c r="Z82" i="5"/>
  <c r="Z83" i="5"/>
  <c r="Z5" i="5"/>
  <c r="AA8" i="5"/>
  <c r="Z4" i="5"/>
  <c r="Z173" i="5"/>
  <c r="V25" i="5"/>
  <c r="R86" i="17" s="1"/>
  <c r="W16" i="6"/>
  <c r="AD8" i="42"/>
  <c r="AC7" i="42"/>
  <c r="AC52" i="42" s="1"/>
  <c r="AC6" i="42"/>
  <c r="AC5" i="42"/>
  <c r="AC12" i="42"/>
  <c r="AB36" i="15"/>
  <c r="N27" i="31"/>
  <c r="D28" i="31"/>
  <c r="V113" i="5"/>
  <c r="X29" i="5" l="1"/>
  <c r="X68" i="5" s="1"/>
  <c r="X109" i="17" s="1"/>
  <c r="X115" i="17" s="1"/>
  <c r="X83" i="17"/>
  <c r="AQ120" i="8"/>
  <c r="X110" i="5"/>
  <c r="V6" i="11"/>
  <c r="X147" i="5"/>
  <c r="W25" i="5"/>
  <c r="U86" i="17" s="1"/>
  <c r="AA95" i="16"/>
  <c r="AQ76" i="8"/>
  <c r="U115" i="5"/>
  <c r="U116" i="5" s="1"/>
  <c r="K15" i="13"/>
  <c r="L123" i="5"/>
  <c r="L124" i="5"/>
  <c r="L145" i="5"/>
  <c r="AG110" i="8"/>
  <c r="L142" i="5"/>
  <c r="AG114" i="8" s="1"/>
  <c r="L143" i="5"/>
  <c r="AG115" i="8" s="1"/>
  <c r="L144" i="5"/>
  <c r="L85" i="5"/>
  <c r="L72" i="5"/>
  <c r="AG42" i="16"/>
  <c r="AJ38" i="16"/>
  <c r="AJ52" i="16"/>
  <c r="AJ22" i="16"/>
  <c r="AD78" i="8"/>
  <c r="AD33" i="8"/>
  <c r="T41" i="31"/>
  <c r="C42" i="31"/>
  <c r="W29" i="5"/>
  <c r="W68" i="5" s="1"/>
  <c r="U109" i="17" s="1"/>
  <c r="W110" i="5"/>
  <c r="W147" i="5"/>
  <c r="M71" i="5"/>
  <c r="M27" i="5"/>
  <c r="AM59" i="16"/>
  <c r="AJ26" i="8"/>
  <c r="AM18" i="16"/>
  <c r="AM20" i="16" s="1"/>
  <c r="Y122" i="5"/>
  <c r="Y155" i="5" s="1"/>
  <c r="AG27" i="8"/>
  <c r="AG30" i="8"/>
  <c r="AG32" i="8"/>
  <c r="K149" i="5"/>
  <c r="AM46" i="17"/>
  <c r="AM48" i="17" s="1"/>
  <c r="AM78" i="17" s="1"/>
  <c r="O23" i="5"/>
  <c r="N26" i="5"/>
  <c r="Y16" i="5"/>
  <c r="Y19" i="5" s="1"/>
  <c r="AM112" i="17"/>
  <c r="AM108" i="17"/>
  <c r="AM107" i="17"/>
  <c r="AM113" i="17"/>
  <c r="AB3" i="11"/>
  <c r="AE7" i="5"/>
  <c r="AD7" i="42"/>
  <c r="AD52" i="42" s="1"/>
  <c r="AD6" i="42"/>
  <c r="AD5" i="42"/>
  <c r="AD12" i="42"/>
  <c r="AE8" i="42"/>
  <c r="X112" i="5"/>
  <c r="X111" i="5"/>
  <c r="J28" i="31"/>
  <c r="AA179" i="5"/>
  <c r="AA171" i="5"/>
  <c r="AA182" i="5"/>
  <c r="AA174" i="5"/>
  <c r="AA166" i="5"/>
  <c r="Z9" i="6"/>
  <c r="AA185" i="5"/>
  <c r="AA177" i="5"/>
  <c r="AA169" i="5"/>
  <c r="AA180" i="5"/>
  <c r="AA172" i="5"/>
  <c r="AA183" i="5"/>
  <c r="AA175" i="5"/>
  <c r="AA167" i="5"/>
  <c r="AA178" i="5"/>
  <c r="AA170" i="5"/>
  <c r="AA165" i="5"/>
  <c r="AA181" i="5"/>
  <c r="AA173" i="5"/>
  <c r="AA91" i="5"/>
  <c r="AA176" i="5"/>
  <c r="AA184" i="5"/>
  <c r="AA82" i="5"/>
  <c r="AA83" i="5"/>
  <c r="AA168" i="5"/>
  <c r="AA4" i="5"/>
  <c r="AA5" i="5"/>
  <c r="AB8" i="5"/>
  <c r="AG36" i="15"/>
  <c r="K28" i="31"/>
  <c r="Y6" i="6"/>
  <c r="Z163" i="5"/>
  <c r="Z95" i="5"/>
  <c r="Z125" i="5"/>
  <c r="Z44" i="5"/>
  <c r="AD101" i="17" s="1"/>
  <c r="Z42" i="5"/>
  <c r="AD90" i="17" s="1"/>
  <c r="Z40" i="5"/>
  <c r="AD89" i="17" s="1"/>
  <c r="Z46" i="5"/>
  <c r="AD106" i="17" s="1"/>
  <c r="Z13" i="5"/>
  <c r="Z17" i="5"/>
  <c r="Z14" i="5"/>
  <c r="Z9" i="5"/>
  <c r="Y10" i="6" s="1"/>
  <c r="Z38" i="5"/>
  <c r="AD91" i="17" s="1"/>
  <c r="Z36" i="5"/>
  <c r="AD98" i="17" s="1"/>
  <c r="Z21" i="5"/>
  <c r="AD84" i="17" s="1"/>
  <c r="Z30" i="5"/>
  <c r="AD95" i="17" s="1"/>
  <c r="Z34" i="5"/>
  <c r="AD97" i="17" s="1"/>
  <c r="Z32" i="5"/>
  <c r="AD96" i="17" s="1"/>
  <c r="V115" i="5"/>
  <c r="V116" i="5" s="1"/>
  <c r="X16" i="6"/>
  <c r="X69" i="5" l="1"/>
  <c r="K7" i="13"/>
  <c r="AA105" i="16"/>
  <c r="AA69" i="16"/>
  <c r="AQ29" i="8"/>
  <c r="X116" i="17"/>
  <c r="Y29" i="5"/>
  <c r="Y68" i="5" s="1"/>
  <c r="AA109" i="17" s="1"/>
  <c r="AA115" i="17" s="1"/>
  <c r="AA83" i="17"/>
  <c r="U115" i="17"/>
  <c r="U116" i="17" s="1"/>
  <c r="Y110" i="5"/>
  <c r="X114" i="5"/>
  <c r="Y111" i="5"/>
  <c r="Y112" i="5"/>
  <c r="W6" i="11"/>
  <c r="Y147" i="5"/>
  <c r="AD95" i="16"/>
  <c r="Z122" i="5"/>
  <c r="Z155" i="5" s="1"/>
  <c r="AM22" i="16"/>
  <c r="AM38" i="16"/>
  <c r="AM52" i="16"/>
  <c r="W114" i="5"/>
  <c r="W113" i="5"/>
  <c r="AJ42" i="16"/>
  <c r="AJ32" i="8"/>
  <c r="AJ27" i="8"/>
  <c r="AJ30" i="8"/>
  <c r="X105" i="16"/>
  <c r="X69" i="16"/>
  <c r="W69" i="5"/>
  <c r="AP46" i="17"/>
  <c r="AP48" i="17" s="1"/>
  <c r="AP78" i="17" s="1"/>
  <c r="P23" i="5"/>
  <c r="O26" i="5"/>
  <c r="T42" i="31"/>
  <c r="C43" i="31"/>
  <c r="AG33" i="8"/>
  <c r="AG78" i="8"/>
  <c r="M123" i="5"/>
  <c r="M124" i="5"/>
  <c r="AJ110" i="8"/>
  <c r="M142" i="5"/>
  <c r="AJ114" i="8" s="1"/>
  <c r="M72" i="5"/>
  <c r="M143" i="5"/>
  <c r="AJ115" i="8" s="1"/>
  <c r="M144" i="5"/>
  <c r="M145" i="5"/>
  <c r="M85" i="5"/>
  <c r="I5" i="13"/>
  <c r="N27" i="5"/>
  <c r="AP59" i="16"/>
  <c r="N71" i="5"/>
  <c r="AP18" i="16"/>
  <c r="AP20" i="16" s="1"/>
  <c r="AM26" i="8"/>
  <c r="L149" i="5"/>
  <c r="AF7" i="5"/>
  <c r="AC3" i="11"/>
  <c r="AP108" i="17"/>
  <c r="AP113" i="17"/>
  <c r="AP107" i="17"/>
  <c r="AP112" i="17"/>
  <c r="Z16" i="5"/>
  <c r="X113" i="5"/>
  <c r="AE12" i="42"/>
  <c r="AF8" i="42"/>
  <c r="AE5" i="42"/>
  <c r="AE7" i="42"/>
  <c r="AE52" i="42" s="1"/>
  <c r="AE6" i="42"/>
  <c r="M37" i="15"/>
  <c r="M28" i="31"/>
  <c r="X25" i="5"/>
  <c r="X86" i="17" s="1"/>
  <c r="W37" i="15"/>
  <c r="F28" i="31"/>
  <c r="Y16" i="6"/>
  <c r="AB182" i="5"/>
  <c r="AB174" i="5"/>
  <c r="AB166" i="5"/>
  <c r="AA9" i="6"/>
  <c r="AB185" i="5"/>
  <c r="AB177" i="5"/>
  <c r="AB169" i="5"/>
  <c r="AB180" i="5"/>
  <c r="AB172" i="5"/>
  <c r="AB183" i="5"/>
  <c r="AB175" i="5"/>
  <c r="AB167" i="5"/>
  <c r="AB186" i="5"/>
  <c r="AB178" i="5"/>
  <c r="AB170" i="5"/>
  <c r="AB165" i="5"/>
  <c r="AB181" i="5"/>
  <c r="AB173" i="5"/>
  <c r="AB184" i="5"/>
  <c r="AB176" i="5"/>
  <c r="AB168" i="5"/>
  <c r="AB171" i="5"/>
  <c r="AB179" i="5"/>
  <c r="AB83" i="5"/>
  <c r="AB5" i="5"/>
  <c r="AC8" i="5"/>
  <c r="AB91" i="5"/>
  <c r="AB82" i="5"/>
  <c r="AB4" i="5"/>
  <c r="Z6" i="6"/>
  <c r="AA95" i="5"/>
  <c r="AA163" i="5"/>
  <c r="AA125" i="5"/>
  <c r="AA122" i="5" s="1"/>
  <c r="AA155" i="5" s="1"/>
  <c r="AA46" i="5"/>
  <c r="AG106" i="17" s="1"/>
  <c r="AA38" i="5"/>
  <c r="AG91" i="17" s="1"/>
  <c r="AA36" i="5"/>
  <c r="AG98" i="17" s="1"/>
  <c r="AA34" i="5"/>
  <c r="AG97" i="17" s="1"/>
  <c r="AA32" i="5"/>
  <c r="AG96" i="17" s="1"/>
  <c r="AA30" i="5"/>
  <c r="AG95" i="17" s="1"/>
  <c r="AA13" i="5"/>
  <c r="AA17" i="5"/>
  <c r="AA14" i="5"/>
  <c r="AA9" i="5"/>
  <c r="Z10" i="6" s="1"/>
  <c r="AA21" i="5"/>
  <c r="AG84" i="17" s="1"/>
  <c r="AA40" i="5"/>
  <c r="AG89" i="17" s="1"/>
  <c r="AA42" i="5"/>
  <c r="AG90" i="17" s="1"/>
  <c r="AA44" i="5"/>
  <c r="AG101" i="17" s="1"/>
  <c r="Y69" i="5" l="1"/>
  <c r="AD69" i="16"/>
  <c r="AD105" i="16"/>
  <c r="AA116" i="17"/>
  <c r="AG95" i="16"/>
  <c r="Y113" i="5"/>
  <c r="Y114" i="5"/>
  <c r="Y25" i="5"/>
  <c r="AA86" i="17" s="1"/>
  <c r="X115" i="5"/>
  <c r="X116" i="5" s="1"/>
  <c r="X6" i="11"/>
  <c r="W115" i="5"/>
  <c r="W116" i="5" s="1"/>
  <c r="AS46" i="17"/>
  <c r="AS48" i="17" s="1"/>
  <c r="AS78" i="17" s="1"/>
  <c r="Q23" i="5"/>
  <c r="P26" i="5"/>
  <c r="AM32" i="8"/>
  <c r="AM27" i="8"/>
  <c r="AM30" i="8"/>
  <c r="AP38" i="16"/>
  <c r="AP22" i="16"/>
  <c r="AP52" i="16"/>
  <c r="M149" i="5"/>
  <c r="AJ78" i="8"/>
  <c r="AJ33" i="8"/>
  <c r="AM42" i="16"/>
  <c r="Z111" i="5"/>
  <c r="Z19" i="5"/>
  <c r="AD83" i="17" s="1"/>
  <c r="O27" i="5"/>
  <c r="O71" i="5"/>
  <c r="AS18" i="16"/>
  <c r="AS20" i="16" s="1"/>
  <c r="AS59" i="16"/>
  <c r="N123" i="5"/>
  <c r="N124" i="5"/>
  <c r="N85" i="5"/>
  <c r="N144" i="5"/>
  <c r="AM110" i="8"/>
  <c r="N143" i="5"/>
  <c r="AM115" i="8" s="1"/>
  <c r="N72" i="5"/>
  <c r="N145" i="5"/>
  <c r="N142" i="5"/>
  <c r="T43" i="31"/>
  <c r="C44" i="31"/>
  <c r="Z112" i="5"/>
  <c r="AS113" i="17"/>
  <c r="AS112" i="17"/>
  <c r="AS107" i="17"/>
  <c r="AS108" i="17"/>
  <c r="AG7" i="5"/>
  <c r="AD3" i="11"/>
  <c r="Z16" i="6"/>
  <c r="AJ95" i="16"/>
  <c r="Y6" i="11"/>
  <c r="AB9" i="6"/>
  <c r="AC185" i="5"/>
  <c r="AC177" i="5"/>
  <c r="AC169" i="5"/>
  <c r="AC180" i="5"/>
  <c r="AC172" i="5"/>
  <c r="AC183" i="5"/>
  <c r="AC175" i="5"/>
  <c r="AC167" i="5"/>
  <c r="AC186" i="5"/>
  <c r="AC178" i="5"/>
  <c r="AC170" i="5"/>
  <c r="AC165" i="5"/>
  <c r="AC181" i="5"/>
  <c r="AC173" i="5"/>
  <c r="AC184" i="5"/>
  <c r="AC176" i="5"/>
  <c r="AC168" i="5"/>
  <c r="AC187" i="5"/>
  <c r="AC179" i="5"/>
  <c r="AC171" i="5"/>
  <c r="AC166" i="5"/>
  <c r="AC174" i="5"/>
  <c r="AC82" i="5"/>
  <c r="AC182" i="5"/>
  <c r="AC91" i="5"/>
  <c r="AC83" i="5"/>
  <c r="AC4" i="5"/>
  <c r="AD8" i="5"/>
  <c r="AC5" i="5"/>
  <c r="AF12" i="42"/>
  <c r="AG8" i="42"/>
  <c r="AF7" i="42"/>
  <c r="AF52" i="42" s="1"/>
  <c r="AF6" i="42"/>
  <c r="AF5" i="42"/>
  <c r="AA16" i="5"/>
  <c r="AA19" i="5" s="1"/>
  <c r="AA6" i="6"/>
  <c r="AB163" i="5"/>
  <c r="AB125" i="5"/>
  <c r="AB46" i="5"/>
  <c r="AJ106" i="17" s="1"/>
  <c r="AB44" i="5"/>
  <c r="AJ101" i="17" s="1"/>
  <c r="AB42" i="5"/>
  <c r="AJ90" i="17" s="1"/>
  <c r="AB40" i="5"/>
  <c r="AJ89" i="17" s="1"/>
  <c r="AB17" i="5"/>
  <c r="AB14" i="5"/>
  <c r="AB9" i="5"/>
  <c r="AA10" i="6" s="1"/>
  <c r="AB21" i="5"/>
  <c r="AJ84" i="17" s="1"/>
  <c r="AB95" i="5"/>
  <c r="AB38" i="5"/>
  <c r="AJ91" i="17" s="1"/>
  <c r="AB36" i="5"/>
  <c r="AJ98" i="17" s="1"/>
  <c r="AB34" i="5"/>
  <c r="AJ97" i="17" s="1"/>
  <c r="AB13" i="5"/>
  <c r="AB32" i="5"/>
  <c r="AJ96" i="17" s="1"/>
  <c r="AB30" i="5"/>
  <c r="AJ95" i="17" s="1"/>
  <c r="H28" i="31"/>
  <c r="AA29" i="5" l="1"/>
  <c r="AA68" i="5" s="1"/>
  <c r="AG109" i="17" s="1"/>
  <c r="AG115" i="17" s="1"/>
  <c r="AG83" i="17"/>
  <c r="Y115" i="5"/>
  <c r="Y116" i="5" s="1"/>
  <c r="Z25" i="5"/>
  <c r="AD86" i="17" s="1"/>
  <c r="N149" i="5"/>
  <c r="AP42" i="16"/>
  <c r="AM33" i="8"/>
  <c r="AM78" i="8"/>
  <c r="AB122" i="5"/>
  <c r="AB155" i="5" s="1"/>
  <c r="AA110" i="5"/>
  <c r="AS22" i="16"/>
  <c r="AS38" i="16"/>
  <c r="AS52" i="16"/>
  <c r="I13" i="13"/>
  <c r="AM114" i="8"/>
  <c r="O123" i="5"/>
  <c r="O124" i="5"/>
  <c r="O143" i="5"/>
  <c r="O144" i="5"/>
  <c r="O85" i="5"/>
  <c r="O72" i="5"/>
  <c r="O145" i="5"/>
  <c r="O142" i="5"/>
  <c r="P27" i="5"/>
  <c r="AV18" i="16"/>
  <c r="AV20" i="16" s="1"/>
  <c r="P71" i="5"/>
  <c r="AV59" i="16"/>
  <c r="Z29" i="5"/>
  <c r="Z68" i="5" s="1"/>
  <c r="AD109" i="17" s="1"/>
  <c r="Z147" i="5"/>
  <c r="Z110" i="5"/>
  <c r="AV46" i="17"/>
  <c r="AV48" i="17" s="1"/>
  <c r="AV78" i="17" s="1"/>
  <c r="R23" i="5"/>
  <c r="Q26" i="5"/>
  <c r="AA147" i="5"/>
  <c r="T44" i="31"/>
  <c r="C45" i="31"/>
  <c r="AH7" i="5"/>
  <c r="AE3" i="11"/>
  <c r="AV108" i="17"/>
  <c r="AV112" i="17"/>
  <c r="AV113" i="17"/>
  <c r="AV107" i="17"/>
  <c r="AB16" i="5"/>
  <c r="AB111" i="5" s="1"/>
  <c r="H37" i="15"/>
  <c r="I28" i="31"/>
  <c r="AB6" i="6"/>
  <c r="AC163" i="5"/>
  <c r="AC125" i="5"/>
  <c r="AC46" i="5"/>
  <c r="AM106" i="17" s="1"/>
  <c r="AC44" i="5"/>
  <c r="AM101" i="17" s="1"/>
  <c r="AC42" i="5"/>
  <c r="AM90" i="17" s="1"/>
  <c r="AC40" i="5"/>
  <c r="AM89" i="17" s="1"/>
  <c r="AC95" i="5"/>
  <c r="AC13" i="5"/>
  <c r="AC21" i="5"/>
  <c r="AM84" i="17" s="1"/>
  <c r="AC38" i="5"/>
  <c r="AM91" i="17" s="1"/>
  <c r="AC36" i="5"/>
  <c r="AM98" i="17" s="1"/>
  <c r="AC34" i="5"/>
  <c r="AM97" i="17" s="1"/>
  <c r="AC32" i="5"/>
  <c r="AM96" i="17" s="1"/>
  <c r="AC30" i="5"/>
  <c r="AM95" i="17" s="1"/>
  <c r="AC14" i="5"/>
  <c r="AC9" i="5"/>
  <c r="AB10" i="6" s="1"/>
  <c r="AC17" i="5"/>
  <c r="AA112" i="5"/>
  <c r="AA111" i="5"/>
  <c r="AD188" i="5"/>
  <c r="AD180" i="5"/>
  <c r="AD172" i="5"/>
  <c r="AD183" i="5"/>
  <c r="AD175" i="5"/>
  <c r="AD167" i="5"/>
  <c r="AD186" i="5"/>
  <c r="AD178" i="5"/>
  <c r="AD170" i="5"/>
  <c r="AD165" i="5"/>
  <c r="AD181" i="5"/>
  <c r="AD173" i="5"/>
  <c r="AD184" i="5"/>
  <c r="AD176" i="5"/>
  <c r="AD168" i="5"/>
  <c r="AD187" i="5"/>
  <c r="AD179" i="5"/>
  <c r="AD171" i="5"/>
  <c r="AD182" i="5"/>
  <c r="AD174" i="5"/>
  <c r="AD166" i="5"/>
  <c r="AC9" i="6"/>
  <c r="AD185" i="5"/>
  <c r="AD169" i="5"/>
  <c r="AD82" i="5"/>
  <c r="AD83" i="5"/>
  <c r="AD177" i="5"/>
  <c r="AD91" i="5"/>
  <c r="AE8" i="5"/>
  <c r="AD4" i="5"/>
  <c r="AD5" i="5"/>
  <c r="AA16" i="6"/>
  <c r="AG7" i="42"/>
  <c r="AG52" i="42" s="1"/>
  <c r="AG6" i="42"/>
  <c r="AG5" i="42"/>
  <c r="AH8" i="42"/>
  <c r="AG12" i="42"/>
  <c r="AG116" i="17" l="1"/>
  <c r="AA69" i="5"/>
  <c r="AJ69" i="16"/>
  <c r="AJ105" i="16"/>
  <c r="AD115" i="17"/>
  <c r="AD116" i="17" s="1"/>
  <c r="AC122" i="5"/>
  <c r="AC155" i="5" s="1"/>
  <c r="Z6" i="11"/>
  <c r="AM95" i="16"/>
  <c r="O149" i="5"/>
  <c r="AY59" i="16"/>
  <c r="Q27" i="5"/>
  <c r="Q71" i="5"/>
  <c r="AY18" i="16"/>
  <c r="AY20" i="16" s="1"/>
  <c r="AA114" i="5"/>
  <c r="AB112" i="5"/>
  <c r="AB19" i="5"/>
  <c r="AJ83" i="17" s="1"/>
  <c r="AY46" i="17"/>
  <c r="AY48" i="17" s="1"/>
  <c r="AY78" i="17" s="1"/>
  <c r="S23" i="5"/>
  <c r="R26" i="5"/>
  <c r="P124" i="5"/>
  <c r="P123" i="5"/>
  <c r="P85" i="5"/>
  <c r="P72" i="5"/>
  <c r="P145" i="5"/>
  <c r="P144" i="5"/>
  <c r="P142" i="5"/>
  <c r="P143" i="5"/>
  <c r="Z69" i="5"/>
  <c r="AG69" i="16"/>
  <c r="AG105" i="16"/>
  <c r="T45" i="31"/>
  <c r="C46" i="31"/>
  <c r="Z114" i="5"/>
  <c r="Z113" i="5"/>
  <c r="AV38" i="16"/>
  <c r="AV22" i="16"/>
  <c r="AV52" i="16"/>
  <c r="AS42" i="16"/>
  <c r="AC16" i="5"/>
  <c r="AY108" i="17"/>
  <c r="AY107" i="17"/>
  <c r="AY112" i="17"/>
  <c r="AY113" i="17"/>
  <c r="AI7" i="5"/>
  <c r="AG3" i="11" s="1"/>
  <c r="AF3" i="11"/>
  <c r="AA113" i="5"/>
  <c r="AH12" i="42"/>
  <c r="AI8" i="42"/>
  <c r="AH5" i="42"/>
  <c r="AH6" i="42"/>
  <c r="AH7" i="42"/>
  <c r="AH52" i="42" s="1"/>
  <c r="AC6" i="6"/>
  <c r="AD163" i="5"/>
  <c r="AD125" i="5"/>
  <c r="AD122" i="5" s="1"/>
  <c r="AD155" i="5" s="1"/>
  <c r="AD95" i="5"/>
  <c r="AD44" i="5"/>
  <c r="AP101" i="17" s="1"/>
  <c r="AD42" i="5"/>
  <c r="AP90" i="17" s="1"/>
  <c r="AD40" i="5"/>
  <c r="AP89" i="17" s="1"/>
  <c r="AD17" i="5"/>
  <c r="AD14" i="5"/>
  <c r="AD9" i="5"/>
  <c r="AC10" i="6" s="1"/>
  <c r="AD46" i="5"/>
  <c r="AP106" i="17" s="1"/>
  <c r="AD38" i="5"/>
  <c r="AP91" i="17" s="1"/>
  <c r="AD36" i="5"/>
  <c r="AP98" i="17" s="1"/>
  <c r="AD34" i="5"/>
  <c r="AP97" i="17" s="1"/>
  <c r="AD32" i="5"/>
  <c r="AP96" i="17" s="1"/>
  <c r="AD30" i="5"/>
  <c r="AP95" i="17" s="1"/>
  <c r="AD21" i="5"/>
  <c r="AP84" i="17" s="1"/>
  <c r="AD13" i="5"/>
  <c r="AE183" i="5"/>
  <c r="AE175" i="5"/>
  <c r="AE167" i="5"/>
  <c r="AE186" i="5"/>
  <c r="AE178" i="5"/>
  <c r="AE170" i="5"/>
  <c r="AE165" i="5"/>
  <c r="AE189" i="5"/>
  <c r="AE181" i="5"/>
  <c r="AE173" i="5"/>
  <c r="AE184" i="5"/>
  <c r="AE176" i="5"/>
  <c r="AE168" i="5"/>
  <c r="AE187" i="5"/>
  <c r="AE179" i="5"/>
  <c r="AE171" i="5"/>
  <c r="AE182" i="5"/>
  <c r="AE174" i="5"/>
  <c r="AE166" i="5"/>
  <c r="AD9" i="6"/>
  <c r="AE185" i="5"/>
  <c r="AE177" i="5"/>
  <c r="AE169" i="5"/>
  <c r="AE188" i="5"/>
  <c r="AE82" i="5"/>
  <c r="AE83" i="5"/>
  <c r="AE172" i="5"/>
  <c r="AE91" i="5"/>
  <c r="AE180" i="5"/>
  <c r="AE4" i="5"/>
  <c r="AE5" i="5"/>
  <c r="AF8" i="5"/>
  <c r="AA25" i="5"/>
  <c r="AG86" i="17" s="1"/>
  <c r="AB16" i="6"/>
  <c r="R37" i="15"/>
  <c r="L28" i="31"/>
  <c r="AA6" i="11" l="1"/>
  <c r="AP95" i="16"/>
  <c r="AA115" i="5"/>
  <c r="AA116" i="5" s="1"/>
  <c r="AB25" i="5"/>
  <c r="AJ86" i="17" s="1"/>
  <c r="AC111" i="5"/>
  <c r="AC19" i="5"/>
  <c r="AM83" i="17" s="1"/>
  <c r="BB59" i="16"/>
  <c r="R27" i="5"/>
  <c r="BB18" i="16"/>
  <c r="BB20" i="16" s="1"/>
  <c r="R71" i="5"/>
  <c r="AV42" i="16"/>
  <c r="Q124" i="5"/>
  <c r="Q123" i="5"/>
  <c r="Q142" i="5"/>
  <c r="Q72" i="5"/>
  <c r="Q144" i="5"/>
  <c r="Q143" i="5"/>
  <c r="Q85" i="5"/>
  <c r="Q145" i="5"/>
  <c r="Z115" i="5"/>
  <c r="Z116" i="5" s="1"/>
  <c r="BB46" i="17"/>
  <c r="BB48" i="17" s="1"/>
  <c r="T23" i="5"/>
  <c r="S26" i="5"/>
  <c r="P149" i="5"/>
  <c r="AB29" i="5"/>
  <c r="AB68" i="5" s="1"/>
  <c r="AJ109" i="17" s="1"/>
  <c r="AB110" i="5"/>
  <c r="AB147" i="5"/>
  <c r="T46" i="31"/>
  <c r="C47" i="31"/>
  <c r="AY38" i="16"/>
  <c r="AY52" i="16"/>
  <c r="AY22" i="16"/>
  <c r="AC112" i="5"/>
  <c r="BB108" i="17"/>
  <c r="BE108" i="17" s="1"/>
  <c r="BB112" i="17"/>
  <c r="BB107" i="17"/>
  <c r="BE107" i="17" s="1"/>
  <c r="BB113" i="17"/>
  <c r="BE113" i="17" s="1"/>
  <c r="AD6" i="6"/>
  <c r="AE163" i="5"/>
  <c r="AE46" i="5"/>
  <c r="AS106" i="17" s="1"/>
  <c r="AE44" i="5"/>
  <c r="AS101" i="17" s="1"/>
  <c r="AE42" i="5"/>
  <c r="AS90" i="17" s="1"/>
  <c r="AE40" i="5"/>
  <c r="AS89" i="17" s="1"/>
  <c r="AE38" i="5"/>
  <c r="AS91" i="17" s="1"/>
  <c r="AE95" i="5"/>
  <c r="AE13" i="5"/>
  <c r="AE125" i="5"/>
  <c r="AE122" i="5" s="1"/>
  <c r="AE155" i="5" s="1"/>
  <c r="AE21" i="5"/>
  <c r="AS84" i="17" s="1"/>
  <c r="AE36" i="5"/>
  <c r="AS98" i="17" s="1"/>
  <c r="AE34" i="5"/>
  <c r="AS97" i="17" s="1"/>
  <c r="AE32" i="5"/>
  <c r="AS96" i="17" s="1"/>
  <c r="AE30" i="5"/>
  <c r="AS95" i="17" s="1"/>
  <c r="AE14" i="5"/>
  <c r="AE9" i="5"/>
  <c r="AD10" i="6" s="1"/>
  <c r="AE17" i="5"/>
  <c r="AD16" i="5"/>
  <c r="AD19" i="5" s="1"/>
  <c r="AJ8" i="42"/>
  <c r="AI12" i="42"/>
  <c r="AI6" i="42"/>
  <c r="AI7" i="42"/>
  <c r="AI52" i="42" s="1"/>
  <c r="AI5" i="42"/>
  <c r="AB37" i="15"/>
  <c r="N28" i="31"/>
  <c r="D29" i="31"/>
  <c r="AC16" i="6"/>
  <c r="AS95" i="16"/>
  <c r="AB6" i="11"/>
  <c r="AF186" i="5"/>
  <c r="AF178" i="5"/>
  <c r="AF170" i="5"/>
  <c r="AF165" i="5"/>
  <c r="AF189" i="5"/>
  <c r="AF181" i="5"/>
  <c r="AF173" i="5"/>
  <c r="AF184" i="5"/>
  <c r="AF176" i="5"/>
  <c r="AF168" i="5"/>
  <c r="AF187" i="5"/>
  <c r="AF179" i="5"/>
  <c r="AF171" i="5"/>
  <c r="AF190" i="5"/>
  <c r="AF182" i="5"/>
  <c r="AF174" i="5"/>
  <c r="AF166" i="5"/>
  <c r="AE9" i="6"/>
  <c r="AF185" i="5"/>
  <c r="AF177" i="5"/>
  <c r="AF169" i="5"/>
  <c r="AF188" i="5"/>
  <c r="AF180" i="5"/>
  <c r="AF172" i="5"/>
  <c r="AF183" i="5"/>
  <c r="AF83" i="5"/>
  <c r="AF167" i="5"/>
  <c r="AF175" i="5"/>
  <c r="AF5" i="5"/>
  <c r="AF91" i="5"/>
  <c r="AF82" i="5"/>
  <c r="AG8" i="5"/>
  <c r="AF4" i="5"/>
  <c r="AJ115" i="17" l="1"/>
  <c r="AJ116" i="17" s="1"/>
  <c r="AD29" i="5"/>
  <c r="AD68" i="5" s="1"/>
  <c r="AP109" i="17" s="1"/>
  <c r="AP115" i="17" s="1"/>
  <c r="AP83" i="17"/>
  <c r="BE112" i="17"/>
  <c r="BB78" i="17"/>
  <c r="BE78" i="17" s="1"/>
  <c r="BE48" i="17"/>
  <c r="AC25" i="5"/>
  <c r="AM86" i="17" s="1"/>
  <c r="AD110" i="5"/>
  <c r="AD147" i="5"/>
  <c r="T47" i="31"/>
  <c r="C48" i="31"/>
  <c r="J5" i="13"/>
  <c r="S27" i="5"/>
  <c r="S71" i="5"/>
  <c r="BE18" i="16"/>
  <c r="BE20" i="16" s="1"/>
  <c r="BE59" i="16"/>
  <c r="R85" i="5"/>
  <c r="R124" i="5"/>
  <c r="R123" i="5"/>
  <c r="R145" i="5"/>
  <c r="R142" i="5"/>
  <c r="R144" i="5"/>
  <c r="R72" i="5"/>
  <c r="R143" i="5"/>
  <c r="L85" i="17"/>
  <c r="L87" i="17" s="1"/>
  <c r="U23" i="5"/>
  <c r="T26" i="5"/>
  <c r="BB22" i="16"/>
  <c r="BB52" i="16"/>
  <c r="BB38" i="16"/>
  <c r="AY42" i="16"/>
  <c r="BE46" i="17"/>
  <c r="AB114" i="5"/>
  <c r="AB113" i="5"/>
  <c r="AM105" i="16"/>
  <c r="AM69" i="16"/>
  <c r="AB69" i="5"/>
  <c r="AC29" i="5"/>
  <c r="AC68" i="5" s="1"/>
  <c r="AM109" i="17" s="1"/>
  <c r="AM115" i="17" s="1"/>
  <c r="AM116" i="17" s="1"/>
  <c r="AC147" i="5"/>
  <c r="AC110" i="5"/>
  <c r="Q149" i="5"/>
  <c r="AE16" i="5"/>
  <c r="AG189" i="5"/>
  <c r="AG181" i="5"/>
  <c r="AG173" i="5"/>
  <c r="AG184" i="5"/>
  <c r="AG176" i="5"/>
  <c r="AG168" i="5"/>
  <c r="AG187" i="5"/>
  <c r="AG179" i="5"/>
  <c r="AG171" i="5"/>
  <c r="AG190" i="5"/>
  <c r="AG182" i="5"/>
  <c r="AG174" i="5"/>
  <c r="AG166" i="5"/>
  <c r="AF9" i="6"/>
  <c r="AG185" i="5"/>
  <c r="AG177" i="5"/>
  <c r="AG169" i="5"/>
  <c r="AG188" i="5"/>
  <c r="AG180" i="5"/>
  <c r="AG172" i="5"/>
  <c r="AG191" i="5"/>
  <c r="AG183" i="5"/>
  <c r="AG175" i="5"/>
  <c r="AG167" i="5"/>
  <c r="AG186" i="5"/>
  <c r="AG91" i="5"/>
  <c r="AG170" i="5"/>
  <c r="AG165" i="5"/>
  <c r="AG82" i="5"/>
  <c r="AG4" i="5"/>
  <c r="AG83" i="5"/>
  <c r="AH8" i="5"/>
  <c r="AG178" i="5"/>
  <c r="AG5" i="5"/>
  <c r="J29" i="31"/>
  <c r="AG37" i="15"/>
  <c r="K29" i="31"/>
  <c r="AV95" i="16"/>
  <c r="AC6" i="11"/>
  <c r="AD16" i="6"/>
  <c r="AK8" i="42"/>
  <c r="AJ7" i="42"/>
  <c r="AJ52" i="42" s="1"/>
  <c r="AJ6" i="42"/>
  <c r="AJ5" i="42"/>
  <c r="AJ12" i="42"/>
  <c r="AD112" i="5"/>
  <c r="AD111" i="5"/>
  <c r="AE6" i="6"/>
  <c r="AF163" i="5"/>
  <c r="AF46" i="5"/>
  <c r="AV106" i="17" s="1"/>
  <c r="AF44" i="5"/>
  <c r="AV101" i="17" s="1"/>
  <c r="AF42" i="5"/>
  <c r="AV90" i="17" s="1"/>
  <c r="AF40" i="5"/>
  <c r="AV89" i="17" s="1"/>
  <c r="AF125" i="5"/>
  <c r="AF17" i="5"/>
  <c r="AF14" i="5"/>
  <c r="AF9" i="5"/>
  <c r="AE10" i="6" s="1"/>
  <c r="AF38" i="5"/>
  <c r="AV91" i="17" s="1"/>
  <c r="AF95" i="5"/>
  <c r="AF36" i="5"/>
  <c r="AV98" i="17" s="1"/>
  <c r="AF21" i="5"/>
  <c r="AV84" i="17" s="1"/>
  <c r="AF34" i="5"/>
  <c r="AV97" i="17" s="1"/>
  <c r="AF32" i="5"/>
  <c r="AV96" i="17" s="1"/>
  <c r="AF30" i="5"/>
  <c r="AV95" i="17" s="1"/>
  <c r="AF13" i="5"/>
  <c r="AD69" i="5" l="1"/>
  <c r="AP116" i="17"/>
  <c r="AS105" i="16"/>
  <c r="AS69" i="16"/>
  <c r="L117" i="17"/>
  <c r="AD114" i="5"/>
  <c r="AF122" i="5"/>
  <c r="AF155" i="5" s="1"/>
  <c r="R149" i="5"/>
  <c r="AC113" i="5"/>
  <c r="AC114" i="5"/>
  <c r="AB115" i="5"/>
  <c r="AB116" i="5" s="1"/>
  <c r="BE52" i="16"/>
  <c r="BE22" i="16"/>
  <c r="BE38" i="16"/>
  <c r="S145" i="5"/>
  <c r="S123" i="5"/>
  <c r="S124" i="5"/>
  <c r="S85" i="5"/>
  <c r="S143" i="5"/>
  <c r="S72" i="5"/>
  <c r="S144" i="5"/>
  <c r="S142" i="5"/>
  <c r="J13" i="13" s="1"/>
  <c r="BB42" i="16"/>
  <c r="AP105" i="16"/>
  <c r="AP69" i="16"/>
  <c r="AC69" i="5"/>
  <c r="T27" i="5"/>
  <c r="O107" i="16"/>
  <c r="O68" i="16"/>
  <c r="O70" i="16" s="1"/>
  <c r="T71" i="5"/>
  <c r="AE112" i="5"/>
  <c r="AE19" i="5"/>
  <c r="AS83" i="17" s="1"/>
  <c r="O85" i="17"/>
  <c r="O87" i="17" s="1"/>
  <c r="O117" i="17" s="1"/>
  <c r="V23" i="5"/>
  <c r="U26" i="5"/>
  <c r="T48" i="31"/>
  <c r="C49" i="31"/>
  <c r="AE111" i="5"/>
  <c r="F29" i="31"/>
  <c r="H29" i="31" s="1"/>
  <c r="AD113" i="5"/>
  <c r="W38" i="15"/>
  <c r="AE16" i="6"/>
  <c r="AF16" i="5"/>
  <c r="AF19" i="5" s="1"/>
  <c r="M38" i="15"/>
  <c r="M29" i="31"/>
  <c r="AL8" i="42"/>
  <c r="AK7" i="42"/>
  <c r="AK52" i="42" s="1"/>
  <c r="AK6" i="42"/>
  <c r="AK5" i="42"/>
  <c r="AK12" i="42"/>
  <c r="AF6" i="6"/>
  <c r="AG163" i="5"/>
  <c r="AG95" i="5"/>
  <c r="AG125" i="5"/>
  <c r="AG21" i="5"/>
  <c r="AY84" i="17" s="1"/>
  <c r="AG36" i="5"/>
  <c r="AY98" i="17" s="1"/>
  <c r="AG34" i="5"/>
  <c r="AY97" i="17" s="1"/>
  <c r="AG32" i="5"/>
  <c r="AY96" i="17" s="1"/>
  <c r="AG30" i="5"/>
  <c r="AY95" i="17" s="1"/>
  <c r="AG13" i="5"/>
  <c r="AG40" i="5"/>
  <c r="AY89" i="17" s="1"/>
  <c r="AG38" i="5"/>
  <c r="AY91" i="17" s="1"/>
  <c r="AG14" i="5"/>
  <c r="AG9" i="5"/>
  <c r="AF10" i="6" s="1"/>
  <c r="AG46" i="5"/>
  <c r="AY106" i="17" s="1"/>
  <c r="AG42" i="5"/>
  <c r="AY90" i="17" s="1"/>
  <c r="AG17" i="5"/>
  <c r="AG44" i="5"/>
  <c r="AY101" i="17" s="1"/>
  <c r="AD25" i="5"/>
  <c r="AP86" i="17" s="1"/>
  <c r="AU23" i="8"/>
  <c r="AU66" i="8" s="1"/>
  <c r="AU107" i="8" s="1"/>
  <c r="AH192" i="5"/>
  <c r="AH184" i="5"/>
  <c r="AH176" i="5"/>
  <c r="AH168" i="5"/>
  <c r="AH187" i="5"/>
  <c r="AH179" i="5"/>
  <c r="AH171" i="5"/>
  <c r="AH190" i="5"/>
  <c r="AH182" i="5"/>
  <c r="AH174" i="5"/>
  <c r="AH166" i="5"/>
  <c r="AG9" i="6"/>
  <c r="AH185" i="5"/>
  <c r="AH177" i="5"/>
  <c r="AH169" i="5"/>
  <c r="AH188" i="5"/>
  <c r="AH180" i="5"/>
  <c r="AH172" i="5"/>
  <c r="AH191" i="5"/>
  <c r="AH183" i="5"/>
  <c r="AH175" i="5"/>
  <c r="AH167" i="5"/>
  <c r="AH186" i="5"/>
  <c r="AH178" i="5"/>
  <c r="AH170" i="5"/>
  <c r="AH165" i="5"/>
  <c r="AH189" i="5"/>
  <c r="AH181" i="5"/>
  <c r="AH91" i="5"/>
  <c r="AH82" i="5"/>
  <c r="AH173" i="5"/>
  <c r="AH83" i="5"/>
  <c r="AH5" i="5"/>
  <c r="AI8" i="5"/>
  <c r="AH4" i="5"/>
  <c r="AF29" i="5" l="1"/>
  <c r="AF68" i="5" s="1"/>
  <c r="AV109" i="17" s="1"/>
  <c r="AV115" i="17" s="1"/>
  <c r="AV83" i="17"/>
  <c r="AD115" i="5"/>
  <c r="AD116" i="5" s="1"/>
  <c r="AF110" i="5"/>
  <c r="AD6" i="11"/>
  <c r="AY95" i="16"/>
  <c r="AC115" i="5"/>
  <c r="AC116" i="5" s="1"/>
  <c r="AF147" i="5"/>
  <c r="T123" i="5"/>
  <c r="T124" i="5"/>
  <c r="T142" i="5"/>
  <c r="T143" i="5"/>
  <c r="T144" i="5"/>
  <c r="T85" i="5"/>
  <c r="T72" i="5"/>
  <c r="T145" i="5"/>
  <c r="AG122" i="5"/>
  <c r="AG155" i="5" s="1"/>
  <c r="T49" i="31"/>
  <c r="C50" i="31"/>
  <c r="O72" i="16"/>
  <c r="O100" i="16"/>
  <c r="O86" i="16"/>
  <c r="AE29" i="5"/>
  <c r="AE68" i="5" s="1"/>
  <c r="AS109" i="17" s="1"/>
  <c r="AS115" i="17" s="1"/>
  <c r="AE110" i="5"/>
  <c r="AE113" i="5" s="1"/>
  <c r="AE147" i="5"/>
  <c r="R68" i="16"/>
  <c r="R70" i="16" s="1"/>
  <c r="U27" i="5"/>
  <c r="R107" i="16"/>
  <c r="U71" i="5"/>
  <c r="R85" i="17"/>
  <c r="R87" i="17" s="1"/>
  <c r="R117" i="17" s="1"/>
  <c r="W23" i="5"/>
  <c r="V26" i="5"/>
  <c r="S149" i="5"/>
  <c r="BE42" i="16"/>
  <c r="AE25" i="5"/>
  <c r="AS86" i="17" s="1"/>
  <c r="AG16" i="5"/>
  <c r="AI187" i="5"/>
  <c r="AI179" i="5"/>
  <c r="AI171" i="5"/>
  <c r="AI190" i="5"/>
  <c r="AI182" i="5"/>
  <c r="AI174" i="5"/>
  <c r="AI166" i="5"/>
  <c r="AH9" i="6"/>
  <c r="AI193" i="5"/>
  <c r="AI185" i="5"/>
  <c r="AI177" i="5"/>
  <c r="AI169" i="5"/>
  <c r="AI188" i="5"/>
  <c r="AI180" i="5"/>
  <c r="AI172" i="5"/>
  <c r="AI191" i="5"/>
  <c r="AI183" i="5"/>
  <c r="AI175" i="5"/>
  <c r="AI167" i="5"/>
  <c r="AI186" i="5"/>
  <c r="AI178" i="5"/>
  <c r="AI170" i="5"/>
  <c r="AI165" i="5"/>
  <c r="AI189" i="5"/>
  <c r="AI181" i="5"/>
  <c r="AI173" i="5"/>
  <c r="AI192" i="5"/>
  <c r="AI184" i="5"/>
  <c r="AI176" i="5"/>
  <c r="AI91" i="5"/>
  <c r="AI168" i="5"/>
  <c r="AI4" i="5"/>
  <c r="AI5" i="5"/>
  <c r="AF16" i="6"/>
  <c r="AL7" i="42"/>
  <c r="AL52" i="42" s="1"/>
  <c r="AL6" i="42"/>
  <c r="AL5" i="42"/>
  <c r="AL12" i="42"/>
  <c r="AM8" i="42"/>
  <c r="AG6" i="6"/>
  <c r="AH163" i="5"/>
  <c r="AH95" i="5"/>
  <c r="AH125" i="5"/>
  <c r="AU77" i="8" s="1"/>
  <c r="AH46" i="5"/>
  <c r="BB106" i="17" s="1"/>
  <c r="BE106" i="17" s="1"/>
  <c r="AH38" i="5"/>
  <c r="BB91" i="17" s="1"/>
  <c r="BE91" i="17" s="1"/>
  <c r="AH13" i="5"/>
  <c r="AH44" i="5"/>
  <c r="BB101" i="17" s="1"/>
  <c r="BE101" i="17" s="1"/>
  <c r="AH42" i="5"/>
  <c r="BB90" i="17" s="1"/>
  <c r="BE90" i="17" s="1"/>
  <c r="AH40" i="5"/>
  <c r="BB89" i="17" s="1"/>
  <c r="BE89" i="17" s="1"/>
  <c r="AH17" i="5"/>
  <c r="AH14" i="5"/>
  <c r="AH9" i="5"/>
  <c r="AG10" i="6" s="1"/>
  <c r="AH36" i="5"/>
  <c r="BB98" i="17" s="1"/>
  <c r="BE98" i="17" s="1"/>
  <c r="AH21" i="5"/>
  <c r="BB84" i="17" s="1"/>
  <c r="BE84" i="17" s="1"/>
  <c r="AH34" i="5"/>
  <c r="BB97" i="17" s="1"/>
  <c r="BE97" i="17" s="1"/>
  <c r="AH32" i="5"/>
  <c r="BB96" i="17" s="1"/>
  <c r="BE96" i="17" s="1"/>
  <c r="AH30" i="5"/>
  <c r="BB95" i="17" s="1"/>
  <c r="BE95" i="17" s="1"/>
  <c r="AU36" i="8"/>
  <c r="H38" i="15"/>
  <c r="I29" i="31"/>
  <c r="AF112" i="5"/>
  <c r="AF111" i="5"/>
  <c r="AF69" i="5" l="1"/>
  <c r="AY69" i="16"/>
  <c r="AY105" i="16"/>
  <c r="AV116" i="17"/>
  <c r="AS116" i="17"/>
  <c r="BB95" i="16"/>
  <c r="AF114" i="5"/>
  <c r="AE6" i="11"/>
  <c r="AE114" i="5"/>
  <c r="AE115" i="5" s="1"/>
  <c r="AE116" i="5" s="1"/>
  <c r="U123" i="5"/>
  <c r="U124" i="5"/>
  <c r="U144" i="5"/>
  <c r="U143" i="5"/>
  <c r="U85" i="5"/>
  <c r="U72" i="5"/>
  <c r="U145" i="5"/>
  <c r="U142" i="5"/>
  <c r="AE69" i="5"/>
  <c r="AV105" i="16"/>
  <c r="AV69" i="16"/>
  <c r="T149" i="5"/>
  <c r="U85" i="17"/>
  <c r="U87" i="17" s="1"/>
  <c r="U117" i="17" s="1"/>
  <c r="X23" i="5"/>
  <c r="W26" i="5"/>
  <c r="O90" i="16"/>
  <c r="T50" i="31"/>
  <c r="C51" i="31"/>
  <c r="AG111" i="5"/>
  <c r="AG19" i="5"/>
  <c r="AY83" i="17" s="1"/>
  <c r="R86" i="16"/>
  <c r="R72" i="16"/>
  <c r="R100" i="16"/>
  <c r="AH122" i="5"/>
  <c r="AH155" i="5" s="1"/>
  <c r="AU120" i="8" s="1"/>
  <c r="V27" i="5"/>
  <c r="U68" i="16"/>
  <c r="U70" i="16" s="1"/>
  <c r="V71" i="5"/>
  <c r="U107" i="16"/>
  <c r="AG112" i="5"/>
  <c r="AF25" i="5"/>
  <c r="AV86" i="17" s="1"/>
  <c r="AG16" i="6"/>
  <c r="AH6" i="6"/>
  <c r="AI95" i="5"/>
  <c r="AI163" i="5"/>
  <c r="AI125" i="5"/>
  <c r="AI13" i="5"/>
  <c r="C13" i="5" s="1"/>
  <c r="AI17" i="5"/>
  <c r="AI14" i="5"/>
  <c r="AI9" i="5"/>
  <c r="AH10" i="6" s="1"/>
  <c r="AI21" i="5"/>
  <c r="C21" i="5" s="1"/>
  <c r="AI27" i="5"/>
  <c r="C67" i="5"/>
  <c r="C66" i="5"/>
  <c r="AM12" i="42"/>
  <c r="AN8" i="42"/>
  <c r="AM6" i="42"/>
  <c r="AM5" i="42"/>
  <c r="AM7" i="42"/>
  <c r="AM52" i="42" s="1"/>
  <c r="AJ47" i="44"/>
  <c r="AF47" i="44"/>
  <c r="AZ46" i="44"/>
  <c r="AR37" i="44"/>
  <c r="AJ38" i="44"/>
  <c r="N102" i="9"/>
  <c r="O102" i="9" s="1"/>
  <c r="L47" i="44"/>
  <c r="H37" i="44"/>
  <c r="A27" i="44"/>
  <c r="A26" i="44"/>
  <c r="AZ38" i="44"/>
  <c r="N105" i="9"/>
  <c r="O105" i="9" s="1"/>
  <c r="T46" i="44"/>
  <c r="N101" i="9"/>
  <c r="O101" i="9" s="1"/>
  <c r="L46" i="44"/>
  <c r="N108" i="9"/>
  <c r="O108" i="9" s="1"/>
  <c r="AZ37" i="44"/>
  <c r="AZ47" i="44"/>
  <c r="P46" i="44"/>
  <c r="AJ37" i="44"/>
  <c r="N106" i="9"/>
  <c r="O106" i="9" s="1"/>
  <c r="AN37" i="44"/>
  <c r="AB47" i="44"/>
  <c r="AN46" i="44"/>
  <c r="AN38" i="44"/>
  <c r="AV46" i="44"/>
  <c r="N104" i="9"/>
  <c r="O104" i="9" s="1"/>
  <c r="AR46" i="44"/>
  <c r="A23" i="44"/>
  <c r="AF37" i="44"/>
  <c r="AR38" i="44"/>
  <c r="P37" i="44"/>
  <c r="N94" i="9"/>
  <c r="O94" i="9" s="1"/>
  <c r="A21" i="44"/>
  <c r="A19" i="44"/>
  <c r="A25" i="44"/>
  <c r="O119" i="9"/>
  <c r="L38" i="44"/>
  <c r="X37" i="44"/>
  <c r="AB37" i="44"/>
  <c r="H46" i="44"/>
  <c r="A20" i="44"/>
  <c r="X47" i="44"/>
  <c r="T37" i="44"/>
  <c r="H38" i="44"/>
  <c r="AB46" i="44"/>
  <c r="X46" i="44"/>
  <c r="E121" i="9"/>
  <c r="T38" i="44"/>
  <c r="AV37" i="44"/>
  <c r="AF38" i="44"/>
  <c r="X38" i="44"/>
  <c r="A22" i="44"/>
  <c r="H47" i="44"/>
  <c r="AV47" i="44"/>
  <c r="N107" i="9"/>
  <c r="O107" i="9" s="1"/>
  <c r="A24" i="44"/>
  <c r="E122" i="9"/>
  <c r="P38" i="44"/>
  <c r="N103" i="9"/>
  <c r="O103" i="9" s="1"/>
  <c r="L37" i="44"/>
  <c r="AV38" i="44"/>
  <c r="AB38" i="44"/>
  <c r="AJ46" i="44"/>
  <c r="AR47" i="44"/>
  <c r="O122" i="9"/>
  <c r="AF46" i="44"/>
  <c r="AN47" i="44"/>
  <c r="N100" i="9"/>
  <c r="O100" i="9" s="1"/>
  <c r="O121" i="9"/>
  <c r="P47" i="44"/>
  <c r="T47" i="44"/>
  <c r="E119" i="9"/>
  <c r="E118" i="9"/>
  <c r="C93" i="22"/>
  <c r="D93" i="22" s="1" a="1"/>
  <c r="D93" i="22" s="1"/>
  <c r="A14" i="44"/>
  <c r="O118" i="9"/>
  <c r="D103" i="9"/>
  <c r="E103" i="9" s="1" a="1"/>
  <c r="E103" i="9" s="1"/>
  <c r="D105" i="9"/>
  <c r="E105" i="9" s="1" a="1"/>
  <c r="E105" i="9" s="1"/>
  <c r="D108" i="9"/>
  <c r="E108" i="9" s="1" a="1"/>
  <c r="E108" i="9" s="1"/>
  <c r="D107" i="9"/>
  <c r="E107" i="9" s="1" a="1"/>
  <c r="E107" i="9" s="1"/>
  <c r="D109" i="9"/>
  <c r="E109" i="9" s="1" a="1"/>
  <c r="E109" i="9" s="1"/>
  <c r="D106" i="9"/>
  <c r="E106" i="9" s="1" a="1"/>
  <c r="E106" i="9" s="1"/>
  <c r="D104" i="9"/>
  <c r="E104" i="9" s="1" a="1"/>
  <c r="E104" i="9" s="1"/>
  <c r="D101" i="9"/>
  <c r="E101" i="9" s="1" a="1"/>
  <c r="E101" i="9" s="1"/>
  <c r="D102" i="9"/>
  <c r="E102" i="9" s="1" a="1"/>
  <c r="E102" i="9" s="1"/>
  <c r="A45" i="44"/>
  <c r="N95" i="9"/>
  <c r="O95" i="9" s="1"/>
  <c r="D113" i="9"/>
  <c r="E113" i="9" s="1" a="1"/>
  <c r="E113" i="9" s="1"/>
  <c r="A31" i="44"/>
  <c r="D117" i="9"/>
  <c r="E117" i="9" s="1" a="1"/>
  <c r="E117" i="9" s="1"/>
  <c r="D115" i="9"/>
  <c r="E115" i="9" s="1" a="1"/>
  <c r="E115" i="9" s="1"/>
  <c r="D120" i="9"/>
  <c r="E120" i="9" s="1" a="1"/>
  <c r="E120" i="9" s="1"/>
  <c r="D110" i="9"/>
  <c r="E110" i="9" s="1" a="1"/>
  <c r="E110" i="9" s="1"/>
  <c r="D114" i="9"/>
  <c r="E114" i="9" s="1" a="1"/>
  <c r="E114" i="9" s="1"/>
  <c r="D112" i="9"/>
  <c r="E112" i="9" s="1" a="1"/>
  <c r="E112" i="9" s="1"/>
  <c r="N114" i="9"/>
  <c r="O114" i="9" s="1"/>
  <c r="A35" i="44"/>
  <c r="A29" i="44"/>
  <c r="C95" i="22"/>
  <c r="D95" i="22" s="1" a="1"/>
  <c r="D95" i="22" s="1"/>
  <c r="A32" i="44"/>
  <c r="A36" i="44"/>
  <c r="C92" i="22"/>
  <c r="D92" i="22" s="1" a="1"/>
  <c r="D92" i="22" s="1"/>
  <c r="D96" i="22" s="1"/>
  <c r="C88" i="22" s="1"/>
  <c r="N93" i="9"/>
  <c r="O93" i="9" s="1"/>
  <c r="D111" i="9"/>
  <c r="E111" i="9" s="1" a="1"/>
  <c r="E111" i="9" s="1"/>
  <c r="D100" i="9"/>
  <c r="E100" i="9" s="1" a="1"/>
  <c r="E100" i="9" s="1"/>
  <c r="E125" i="9" s="1"/>
  <c r="E129" i="9" s="1"/>
  <c r="D116" i="9"/>
  <c r="E116" i="9" s="1" a="1"/>
  <c r="E116" i="9" s="1"/>
  <c r="A11" i="44"/>
  <c r="N113" i="9"/>
  <c r="O113" i="9" s="1"/>
  <c r="N110" i="9"/>
  <c r="O110" i="9" s="1"/>
  <c r="A33" i="44"/>
  <c r="N117" i="9"/>
  <c r="O117" i="9" s="1"/>
  <c r="A34" i="44"/>
  <c r="N112" i="9"/>
  <c r="O112" i="9" s="1"/>
  <c r="A28" i="44"/>
  <c r="N120" i="9"/>
  <c r="O120" i="9" s="1"/>
  <c r="N116" i="9"/>
  <c r="O116" i="9" s="1"/>
  <c r="C94" i="22"/>
  <c r="D94" i="22" s="1" a="1"/>
  <c r="D94" i="22" s="1"/>
  <c r="N115" i="9"/>
  <c r="O115" i="9" s="1"/>
  <c r="N111" i="9"/>
  <c r="O111" i="9" s="1"/>
  <c r="A30" i="44"/>
  <c r="A15" i="44"/>
  <c r="A16" i="44"/>
  <c r="A42" i="44"/>
  <c r="N109" i="9"/>
  <c r="O109" i="9" s="1"/>
  <c r="N96" i="9"/>
  <c r="O96" i="9" s="1"/>
  <c r="AH16" i="5"/>
  <c r="AH19" i="5" s="1"/>
  <c r="AF113" i="5"/>
  <c r="R38" i="15"/>
  <c r="L29" i="31"/>
  <c r="AH29" i="5" l="1"/>
  <c r="AH68" i="5" s="1"/>
  <c r="BB109" i="17" s="1"/>
  <c r="BB83" i="17"/>
  <c r="BE83" i="17" s="1"/>
  <c r="AF115" i="5"/>
  <c r="AF116" i="5" s="1"/>
  <c r="AU76" i="8"/>
  <c r="L22" i="13"/>
  <c r="AF6" i="11"/>
  <c r="L15" i="13"/>
  <c r="BE95" i="16"/>
  <c r="AH110" i="5"/>
  <c r="AI30" i="5"/>
  <c r="C30" i="5" s="1"/>
  <c r="AI122" i="5"/>
  <c r="AG6" i="11" s="1"/>
  <c r="AH147" i="5"/>
  <c r="AI155" i="5"/>
  <c r="AZ26" i="3"/>
  <c r="AI82" i="5" s="1"/>
  <c r="AI32" i="5"/>
  <c r="C32" i="5" s="1"/>
  <c r="AG25" i="5"/>
  <c r="AY86" i="17" s="1"/>
  <c r="X107" i="16"/>
  <c r="W27" i="5"/>
  <c r="W71" i="5"/>
  <c r="X68" i="16"/>
  <c r="X70" i="16" s="1"/>
  <c r="AI34" i="5"/>
  <c r="C34" i="5" s="1"/>
  <c r="X85" i="17"/>
  <c r="X87" i="17" s="1"/>
  <c r="X117" i="17" s="1"/>
  <c r="Y23" i="5"/>
  <c r="X26" i="5"/>
  <c r="U149" i="5"/>
  <c r="AI36" i="5"/>
  <c r="C36" i="5" s="1"/>
  <c r="V124" i="5"/>
  <c r="V123" i="5"/>
  <c r="V142" i="5"/>
  <c r="V143" i="5"/>
  <c r="V144" i="5"/>
  <c r="V85" i="5"/>
  <c r="V72" i="5"/>
  <c r="V145" i="5"/>
  <c r="AI40" i="5"/>
  <c r="C40" i="5" s="1"/>
  <c r="AI46" i="5"/>
  <c r="C46" i="5" s="1"/>
  <c r="U100" i="16"/>
  <c r="U86" i="16"/>
  <c r="U72" i="16"/>
  <c r="T51" i="31"/>
  <c r="C52" i="31"/>
  <c r="AI38" i="5"/>
  <c r="C38" i="5" s="1"/>
  <c r="AI42" i="5"/>
  <c r="C42" i="5" s="1"/>
  <c r="R90" i="16"/>
  <c r="AG29" i="5"/>
  <c r="AG68" i="5" s="1"/>
  <c r="AY109" i="17" s="1"/>
  <c r="AY115" i="17" s="1"/>
  <c r="AG110" i="5"/>
  <c r="AG114" i="5" s="1"/>
  <c r="AG147" i="5"/>
  <c r="AI44" i="5"/>
  <c r="C44" i="5" s="1"/>
  <c r="O97" i="9"/>
  <c r="G17" i="47" s="1"/>
  <c r="AB38" i="15"/>
  <c r="N29" i="31"/>
  <c r="D30" i="31"/>
  <c r="D37" i="44"/>
  <c r="L33" i="44"/>
  <c r="H33" i="44"/>
  <c r="P33" i="44"/>
  <c r="T33" i="44"/>
  <c r="X33" i="44"/>
  <c r="AB33" i="44"/>
  <c r="AF33" i="44"/>
  <c r="AJ33" i="44"/>
  <c r="AN33" i="44"/>
  <c r="AR33" i="44"/>
  <c r="AV33" i="44"/>
  <c r="AZ33" i="44"/>
  <c r="H129" i="9"/>
  <c r="L45" i="44"/>
  <c r="H45" i="44"/>
  <c r="P45" i="44"/>
  <c r="T45" i="44"/>
  <c r="X45" i="44"/>
  <c r="AB45" i="44"/>
  <c r="AF45" i="44"/>
  <c r="AJ45" i="44"/>
  <c r="AN45" i="44"/>
  <c r="AR45" i="44"/>
  <c r="AV45" i="44"/>
  <c r="AZ45" i="44"/>
  <c r="AI16" i="5"/>
  <c r="AI19" i="5" s="1"/>
  <c r="AI29" i="5" s="1"/>
  <c r="L32" i="44"/>
  <c r="H32" i="44"/>
  <c r="P32" i="44"/>
  <c r="T32" i="44"/>
  <c r="X32" i="44"/>
  <c r="AB32" i="44"/>
  <c r="AF32" i="44"/>
  <c r="AJ32" i="44"/>
  <c r="AN32" i="44"/>
  <c r="AR32" i="44"/>
  <c r="AV32" i="44"/>
  <c r="AZ32" i="44"/>
  <c r="N17" i="47"/>
  <c r="O125" i="9"/>
  <c r="AR22" i="44"/>
  <c r="AN22" i="44"/>
  <c r="AB22" i="44"/>
  <c r="L22" i="44"/>
  <c r="AZ22" i="44"/>
  <c r="AV22" i="44"/>
  <c r="P22" i="44"/>
  <c r="AJ22" i="44"/>
  <c r="X22" i="44"/>
  <c r="T22" i="44"/>
  <c r="AF22" i="44"/>
  <c r="H22" i="44"/>
  <c r="D38" i="44"/>
  <c r="AV23" i="44"/>
  <c r="AF23" i="44"/>
  <c r="L23" i="44"/>
  <c r="H23" i="44"/>
  <c r="AB23" i="44"/>
  <c r="AZ23" i="44"/>
  <c r="AJ23" i="44"/>
  <c r="P23" i="44"/>
  <c r="T23" i="44"/>
  <c r="AR23" i="44"/>
  <c r="X23" i="44"/>
  <c r="AN23" i="44"/>
  <c r="U17" i="47"/>
  <c r="L11" i="44"/>
  <c r="H11" i="44"/>
  <c r="P11" i="44"/>
  <c r="T11" i="44"/>
  <c r="X11" i="44"/>
  <c r="AB11" i="44"/>
  <c r="AF11" i="44"/>
  <c r="AJ11" i="44"/>
  <c r="AN11" i="44"/>
  <c r="AR11" i="44"/>
  <c r="AV11" i="44"/>
  <c r="AZ11" i="44"/>
  <c r="L14" i="44"/>
  <c r="AB14" i="44"/>
  <c r="X14" i="44"/>
  <c r="AV14" i="44"/>
  <c r="AF14" i="44"/>
  <c r="AJ14" i="44"/>
  <c r="AN14" i="44"/>
  <c r="T14" i="44"/>
  <c r="AZ14" i="44"/>
  <c r="P14" i="44"/>
  <c r="H14" i="44"/>
  <c r="AR14" i="44"/>
  <c r="AZ25" i="44"/>
  <c r="P25" i="44"/>
  <c r="AB25" i="44"/>
  <c r="AN25" i="44"/>
  <c r="L25" i="44"/>
  <c r="AV25" i="44"/>
  <c r="H25" i="44"/>
  <c r="X25" i="44"/>
  <c r="AJ25" i="44"/>
  <c r="T25" i="44"/>
  <c r="AF25" i="44"/>
  <c r="AR25" i="44"/>
  <c r="AN12" i="42"/>
  <c r="AO8" i="42"/>
  <c r="AN7" i="42"/>
  <c r="AN52" i="42" s="1"/>
  <c r="AN6" i="42"/>
  <c r="AN5" i="42"/>
  <c r="L16" i="44"/>
  <c r="H16" i="44"/>
  <c r="P16" i="44"/>
  <c r="T16" i="44"/>
  <c r="AB16" i="44"/>
  <c r="X16" i="44"/>
  <c r="AF16" i="44"/>
  <c r="AJ16" i="44"/>
  <c r="AN16" i="44"/>
  <c r="AR16" i="44"/>
  <c r="AV16" i="44"/>
  <c r="AZ16" i="44"/>
  <c r="L28" i="44"/>
  <c r="H28" i="44"/>
  <c r="P28" i="44"/>
  <c r="T28" i="44"/>
  <c r="X28" i="44"/>
  <c r="AB28" i="44"/>
  <c r="AF28" i="44"/>
  <c r="AJ28" i="44"/>
  <c r="AN28" i="44"/>
  <c r="AR28" i="44"/>
  <c r="AV28" i="44"/>
  <c r="AZ28" i="44"/>
  <c r="L29" i="44"/>
  <c r="H29" i="44"/>
  <c r="P29" i="44"/>
  <c r="T29" i="44"/>
  <c r="X29" i="44"/>
  <c r="AB29" i="44"/>
  <c r="AF29" i="44"/>
  <c r="AJ29" i="44"/>
  <c r="AN29" i="44"/>
  <c r="AR29" i="44"/>
  <c r="AV29" i="44"/>
  <c r="AZ29" i="44"/>
  <c r="AZ19" i="44"/>
  <c r="AJ19" i="44"/>
  <c r="AB19" i="44"/>
  <c r="L19" i="44"/>
  <c r="AF19" i="44"/>
  <c r="AV19" i="44"/>
  <c r="AN19" i="44"/>
  <c r="AR19" i="44"/>
  <c r="X19" i="44"/>
  <c r="T19" i="44"/>
  <c r="H19" i="44"/>
  <c r="P19" i="44"/>
  <c r="L36" i="44"/>
  <c r="H36" i="44"/>
  <c r="P36" i="44"/>
  <c r="T36" i="44"/>
  <c r="X36" i="44"/>
  <c r="AB36" i="44"/>
  <c r="AF36" i="44"/>
  <c r="AJ36" i="44"/>
  <c r="AN36" i="44"/>
  <c r="AR36" i="44"/>
  <c r="AV36" i="44"/>
  <c r="AZ36" i="44"/>
  <c r="D47" i="44"/>
  <c r="AH112" i="5"/>
  <c r="AH111" i="5"/>
  <c r="L35" i="44"/>
  <c r="H35" i="44"/>
  <c r="P35" i="44"/>
  <c r="T35" i="44"/>
  <c r="X35" i="44"/>
  <c r="AB35" i="44"/>
  <c r="AF35" i="44"/>
  <c r="AJ35" i="44"/>
  <c r="AN35" i="44"/>
  <c r="AR35" i="44"/>
  <c r="AV35" i="44"/>
  <c r="AZ35" i="44"/>
  <c r="L31" i="44"/>
  <c r="H31" i="44"/>
  <c r="P31" i="44"/>
  <c r="T31" i="44"/>
  <c r="X31" i="44"/>
  <c r="AB31" i="44"/>
  <c r="AF31" i="44"/>
  <c r="AJ31" i="44"/>
  <c r="AN31" i="44"/>
  <c r="AR31" i="44"/>
  <c r="AV31" i="44"/>
  <c r="AZ31" i="44"/>
  <c r="AJ20" i="44"/>
  <c r="AN20" i="44"/>
  <c r="AR20" i="44"/>
  <c r="AV20" i="44"/>
  <c r="T20" i="44"/>
  <c r="AZ20" i="44"/>
  <c r="L20" i="44"/>
  <c r="AB20" i="44"/>
  <c r="P20" i="44"/>
  <c r="X20" i="44"/>
  <c r="AF20" i="44"/>
  <c r="H20" i="44"/>
  <c r="AF21" i="44"/>
  <c r="X21" i="44"/>
  <c r="P21" i="44"/>
  <c r="AR21" i="44"/>
  <c r="AB21" i="44"/>
  <c r="AZ21" i="44"/>
  <c r="T21" i="44"/>
  <c r="AN21" i="44"/>
  <c r="H21" i="44"/>
  <c r="L21" i="44"/>
  <c r="AJ21" i="44"/>
  <c r="AV21" i="44"/>
  <c r="AJ26" i="44"/>
  <c r="T26" i="44"/>
  <c r="AR26" i="44"/>
  <c r="AB26" i="44"/>
  <c r="AF26" i="44"/>
  <c r="H26" i="44"/>
  <c r="AN26" i="44"/>
  <c r="P26" i="44"/>
  <c r="X26" i="44"/>
  <c r="L26" i="44"/>
  <c r="AV26" i="44"/>
  <c r="AZ26" i="44"/>
  <c r="L15" i="44"/>
  <c r="H15" i="44"/>
  <c r="P15" i="44"/>
  <c r="T15" i="44"/>
  <c r="X15" i="44"/>
  <c r="AB15" i="44"/>
  <c r="AF15" i="44"/>
  <c r="AJ15" i="44"/>
  <c r="AN15" i="44"/>
  <c r="AR15" i="44"/>
  <c r="AV15" i="44"/>
  <c r="AZ15" i="44"/>
  <c r="L30" i="44"/>
  <c r="H30" i="44"/>
  <c r="P30" i="44"/>
  <c r="T30" i="44"/>
  <c r="X30" i="44"/>
  <c r="AB30" i="44"/>
  <c r="AF30" i="44"/>
  <c r="AJ30" i="44"/>
  <c r="AN30" i="44"/>
  <c r="AR30" i="44"/>
  <c r="AV30" i="44"/>
  <c r="AZ30" i="44"/>
  <c r="L34" i="44"/>
  <c r="H34" i="44"/>
  <c r="P34" i="44"/>
  <c r="T34" i="44"/>
  <c r="X34" i="44"/>
  <c r="AB34" i="44"/>
  <c r="AF34" i="44"/>
  <c r="AJ34" i="44"/>
  <c r="AN34" i="44"/>
  <c r="AR34" i="44"/>
  <c r="AV34" i="44"/>
  <c r="AZ34" i="44"/>
  <c r="L24" i="44"/>
  <c r="AB24" i="44"/>
  <c r="AZ24" i="44"/>
  <c r="AF24" i="44"/>
  <c r="T24" i="44"/>
  <c r="AN24" i="44"/>
  <c r="AJ24" i="44"/>
  <c r="H24" i="44"/>
  <c r="AR24" i="44"/>
  <c r="AV24" i="44"/>
  <c r="X24" i="44"/>
  <c r="P24" i="44"/>
  <c r="D46" i="44"/>
  <c r="H27" i="44"/>
  <c r="AB27" i="44"/>
  <c r="AF27" i="44"/>
  <c r="X27" i="44"/>
  <c r="AJ27" i="44"/>
  <c r="T27" i="44"/>
  <c r="AR27" i="44"/>
  <c r="AV27" i="44"/>
  <c r="L27" i="44"/>
  <c r="AN27" i="44"/>
  <c r="AZ27" i="44"/>
  <c r="P27" i="44"/>
  <c r="AU29" i="8" l="1"/>
  <c r="L7" i="13"/>
  <c r="AH69" i="5"/>
  <c r="BE105" i="16"/>
  <c r="BE69" i="16"/>
  <c r="AY116" i="17"/>
  <c r="BE109" i="17"/>
  <c r="BB115" i="17"/>
  <c r="BB116" i="17" s="1"/>
  <c r="AI68" i="5"/>
  <c r="AI69" i="5" s="1"/>
  <c r="C29" i="5"/>
  <c r="AI147" i="5"/>
  <c r="C19" i="5"/>
  <c r="AI110" i="5"/>
  <c r="C110" i="5" s="1"/>
  <c r="AZ27" i="3"/>
  <c r="AZ28" i="3" s="1"/>
  <c r="E82" i="5"/>
  <c r="AG113" i="5"/>
  <c r="AG115" i="5" s="1"/>
  <c r="AG116" i="5" s="1"/>
  <c r="X27" i="5"/>
  <c r="AQ27" i="8" s="1"/>
  <c r="X71" i="5"/>
  <c r="K5" i="13"/>
  <c r="AA107" i="16"/>
  <c r="AQ26" i="8"/>
  <c r="AA68" i="16"/>
  <c r="AA70" i="16" s="1"/>
  <c r="T52" i="31"/>
  <c r="C53" i="31"/>
  <c r="V149" i="5"/>
  <c r="AA85" i="17"/>
  <c r="AA87" i="17" s="1"/>
  <c r="AA117" i="17" s="1"/>
  <c r="Z23" i="5"/>
  <c r="Y26" i="5"/>
  <c r="W124" i="5"/>
  <c r="W123" i="5"/>
  <c r="W72" i="5"/>
  <c r="W143" i="5"/>
  <c r="W145" i="5"/>
  <c r="W144" i="5"/>
  <c r="W85" i="5"/>
  <c r="W142" i="5"/>
  <c r="U90" i="16"/>
  <c r="AI83" i="5"/>
  <c r="BB69" i="16"/>
  <c r="BB105" i="16"/>
  <c r="AG69" i="5"/>
  <c r="X100" i="16"/>
  <c r="X72" i="16"/>
  <c r="X86" i="16"/>
  <c r="AH25" i="5"/>
  <c r="BB86" i="17" s="1"/>
  <c r="BE86" i="17" s="1"/>
  <c r="AR39" i="44"/>
  <c r="AR40" i="44" s="1"/>
  <c r="X17" i="44"/>
  <c r="X12" i="44"/>
  <c r="AZ17" i="44"/>
  <c r="AZ12" i="44"/>
  <c r="AI112" i="5"/>
  <c r="C112" i="5" s="1"/>
  <c r="AI111" i="5"/>
  <c r="C16" i="5"/>
  <c r="D33" i="44"/>
  <c r="AV39" i="44"/>
  <c r="AV40" i="44" s="1"/>
  <c r="D29" i="44"/>
  <c r="D16" i="44"/>
  <c r="AV17" i="44"/>
  <c r="AV12" i="44"/>
  <c r="P17" i="44"/>
  <c r="P12" i="44"/>
  <c r="D22" i="44"/>
  <c r="D32" i="44"/>
  <c r="AN39" i="44"/>
  <c r="AN40" i="44" s="1"/>
  <c r="AF39" i="44"/>
  <c r="AF40" i="44" s="1"/>
  <c r="AR12" i="44"/>
  <c r="AR17" i="44"/>
  <c r="D11" i="44"/>
  <c r="H17" i="44"/>
  <c r="H12" i="44"/>
  <c r="D30" i="44"/>
  <c r="T17" i="44"/>
  <c r="T12" i="44"/>
  <c r="D24" i="44"/>
  <c r="D15" i="44"/>
  <c r="D26" i="44"/>
  <c r="D31" i="44"/>
  <c r="AH113" i="5"/>
  <c r="D36" i="44"/>
  <c r="D21" i="44"/>
  <c r="AH114" i="5"/>
  <c r="P39" i="44"/>
  <c r="P40" i="44" s="1"/>
  <c r="L39" i="44"/>
  <c r="L40" i="44" s="1"/>
  <c r="AN17" i="44"/>
  <c r="AN12" i="44"/>
  <c r="L17" i="44"/>
  <c r="L12" i="44"/>
  <c r="D45" i="44"/>
  <c r="J30" i="31"/>
  <c r="D34" i="44"/>
  <c r="D20" i="44"/>
  <c r="H39" i="44"/>
  <c r="H40" i="44" s="1"/>
  <c r="D19" i="44"/>
  <c r="AB39" i="44"/>
  <c r="AB40" i="44" s="1"/>
  <c r="AJ17" i="44"/>
  <c r="AJ12" i="44"/>
  <c r="U18" i="47"/>
  <c r="D23" i="44"/>
  <c r="AG38" i="15"/>
  <c r="K30" i="31"/>
  <c r="T39" i="44"/>
  <c r="T40" i="44" s="1"/>
  <c r="AJ39" i="44"/>
  <c r="AJ40" i="44" s="1"/>
  <c r="D28" i="44"/>
  <c r="D25" i="44"/>
  <c r="D14" i="44"/>
  <c r="AF17" i="44"/>
  <c r="AF12" i="44"/>
  <c r="D27" i="44"/>
  <c r="D35" i="44"/>
  <c r="X39" i="44"/>
  <c r="X40" i="44" s="1"/>
  <c r="AZ39" i="44"/>
  <c r="AZ40" i="44" s="1"/>
  <c r="AO7" i="42"/>
  <c r="AO52" i="42" s="1"/>
  <c r="AO6" i="42"/>
  <c r="AO5" i="42"/>
  <c r="AP8" i="42"/>
  <c r="AO12" i="42"/>
  <c r="AB17" i="44"/>
  <c r="AB12" i="44"/>
  <c r="N18" i="47"/>
  <c r="BE116" i="17" l="1"/>
  <c r="BE115" i="17"/>
  <c r="E83" i="5"/>
  <c r="E85" i="5" s="1"/>
  <c r="C68" i="5"/>
  <c r="F86" i="5"/>
  <c r="G86" i="5"/>
  <c r="H86" i="5"/>
  <c r="I86" i="5"/>
  <c r="J86" i="5"/>
  <c r="K86" i="5"/>
  <c r="L86" i="5"/>
  <c r="M86" i="5"/>
  <c r="N86" i="5"/>
  <c r="O86" i="5"/>
  <c r="P86" i="5"/>
  <c r="Q86" i="5"/>
  <c r="R86" i="5"/>
  <c r="S86" i="5"/>
  <c r="T86" i="5"/>
  <c r="U86" i="5"/>
  <c r="V86" i="5"/>
  <c r="W86" i="5"/>
  <c r="T53" i="31"/>
  <c r="C54" i="31"/>
  <c r="W149" i="5"/>
  <c r="AA86" i="16"/>
  <c r="AA72" i="16"/>
  <c r="AA100" i="16"/>
  <c r="X90" i="16"/>
  <c r="Y71" i="5"/>
  <c r="Y27" i="5"/>
  <c r="AD68" i="16"/>
  <c r="AD70" i="16" s="1"/>
  <c r="AD107" i="16"/>
  <c r="AQ32" i="8"/>
  <c r="AQ30" i="8"/>
  <c r="AD85" i="17"/>
  <c r="AD87" i="17" s="1"/>
  <c r="AD117" i="17" s="1"/>
  <c r="AA23" i="5"/>
  <c r="Z26" i="5"/>
  <c r="W39" i="15"/>
  <c r="X123" i="5"/>
  <c r="X124" i="5"/>
  <c r="X144" i="5"/>
  <c r="X85" i="5"/>
  <c r="X72" i="5"/>
  <c r="X145" i="5"/>
  <c r="X142" i="5"/>
  <c r="X143" i="5"/>
  <c r="AQ115" i="8" s="1"/>
  <c r="AQ110" i="8"/>
  <c r="AF42" i="44"/>
  <c r="AF43" i="44" s="1"/>
  <c r="AH115" i="5"/>
  <c r="AH116" i="5" s="1"/>
  <c r="AN42" i="44"/>
  <c r="AN43" i="44" s="1"/>
  <c r="F30" i="31"/>
  <c r="H30" i="31" s="1"/>
  <c r="AR42" i="44"/>
  <c r="AR49" i="44" s="1"/>
  <c r="AR55" i="44" s="1"/>
  <c r="AZ42" i="44"/>
  <c r="AZ49" i="44" s="1"/>
  <c r="AZ55" i="44" s="1"/>
  <c r="AB42" i="44"/>
  <c r="AB43" i="44" s="1"/>
  <c r="C111" i="5"/>
  <c r="AI25" i="5"/>
  <c r="M39" i="15"/>
  <c r="M30" i="31"/>
  <c r="P42" i="44"/>
  <c r="AP12" i="42"/>
  <c r="AP6" i="42"/>
  <c r="AP7" i="42"/>
  <c r="AP52" i="42" s="1"/>
  <c r="AQ8" i="42"/>
  <c r="AP5" i="42"/>
  <c r="AJ42" i="44"/>
  <c r="AV42" i="44"/>
  <c r="T42" i="44"/>
  <c r="H42" i="44"/>
  <c r="AI113" i="5"/>
  <c r="X42" i="44"/>
  <c r="D39" i="44"/>
  <c r="D40" i="44" s="1"/>
  <c r="L42" i="44"/>
  <c r="D17" i="44"/>
  <c r="D12" i="44"/>
  <c r="AI114" i="5"/>
  <c r="C114" i="5" s="1"/>
  <c r="E149" i="5" l="1"/>
  <c r="AZ85" i="5"/>
  <c r="E86" i="5"/>
  <c r="AA90" i="16"/>
  <c r="AG85" i="17"/>
  <c r="AG87" i="17" s="1"/>
  <c r="AG117" i="17" s="1"/>
  <c r="AB23" i="5"/>
  <c r="AA26" i="5"/>
  <c r="Y123" i="5"/>
  <c r="Y124" i="5"/>
  <c r="Y145" i="5"/>
  <c r="Y72" i="5"/>
  <c r="Y142" i="5"/>
  <c r="Y143" i="5"/>
  <c r="Y144" i="5"/>
  <c r="Y85" i="5"/>
  <c r="Y86" i="5"/>
  <c r="X86" i="5"/>
  <c r="AQ114" i="8"/>
  <c r="K13" i="13"/>
  <c r="AQ33" i="8"/>
  <c r="AQ78" i="8"/>
  <c r="X149" i="5"/>
  <c r="T54" i="31"/>
  <c r="C55" i="31"/>
  <c r="AD86" i="16"/>
  <c r="AD100" i="16"/>
  <c r="AD72" i="16"/>
  <c r="I30" i="31"/>
  <c r="R39" i="15" s="1"/>
  <c r="Z71" i="5"/>
  <c r="Z27" i="5"/>
  <c r="AG68" i="16"/>
  <c r="AG70" i="16" s="1"/>
  <c r="AG107" i="16"/>
  <c r="H39" i="15"/>
  <c r="AN49" i="44"/>
  <c r="AN55" i="44" s="1"/>
  <c r="AR43" i="44"/>
  <c r="AF49" i="44"/>
  <c r="AF55" i="44" s="1"/>
  <c r="AZ43" i="44"/>
  <c r="AB49" i="44"/>
  <c r="AB55" i="44" s="1"/>
  <c r="D42" i="44"/>
  <c r="D43" i="44" s="1"/>
  <c r="C113" i="5"/>
  <c r="C115" i="5" s="1"/>
  <c r="AI115" i="5"/>
  <c r="AI116" i="5" s="1"/>
  <c r="AJ43" i="44"/>
  <c r="AJ49" i="44"/>
  <c r="AJ55" i="44" s="1"/>
  <c r="P49" i="44"/>
  <c r="P55" i="44" s="1"/>
  <c r="P43" i="44"/>
  <c r="T49" i="44"/>
  <c r="T55" i="44" s="1"/>
  <c r="T43" i="44"/>
  <c r="AR8" i="42"/>
  <c r="AQ12" i="42"/>
  <c r="AQ7" i="42"/>
  <c r="AQ52" i="42" s="1"/>
  <c r="AQ6" i="42"/>
  <c r="AQ5" i="42"/>
  <c r="H43" i="44"/>
  <c r="H49" i="44"/>
  <c r="H55" i="44" s="1"/>
  <c r="AV49" i="44"/>
  <c r="AV55" i="44" s="1"/>
  <c r="AV43" i="44"/>
  <c r="L43" i="44"/>
  <c r="L49" i="44"/>
  <c r="L55" i="44" s="1"/>
  <c r="X43" i="44"/>
  <c r="X49" i="44"/>
  <c r="X55" i="44" s="1"/>
  <c r="C25" i="5"/>
  <c r="Z142" i="5" l="1"/>
  <c r="Z124" i="5"/>
  <c r="Z123" i="5"/>
  <c r="Z85" i="5"/>
  <c r="Z143" i="5"/>
  <c r="Z145" i="5"/>
  <c r="Z144" i="5"/>
  <c r="Z72" i="5"/>
  <c r="Y149" i="5"/>
  <c r="AA27" i="5"/>
  <c r="AJ107" i="16"/>
  <c r="AJ68" i="16"/>
  <c r="AJ70" i="16" s="1"/>
  <c r="AA71" i="5"/>
  <c r="AG100" i="16"/>
  <c r="AG86" i="16"/>
  <c r="AG72" i="16"/>
  <c r="AJ85" i="17"/>
  <c r="AJ87" i="17" s="1"/>
  <c r="AJ117" i="17" s="1"/>
  <c r="AC23" i="5"/>
  <c r="AB26" i="5"/>
  <c r="Z86" i="5"/>
  <c r="AD90" i="16"/>
  <c r="T55" i="31"/>
  <c r="C56" i="31"/>
  <c r="L30" i="31"/>
  <c r="D31" i="31" s="1"/>
  <c r="D49" i="44"/>
  <c r="D55" i="44" s="1"/>
  <c r="AS8" i="42"/>
  <c r="AR7" i="42"/>
  <c r="AR52" i="42" s="1"/>
  <c r="AR6" i="42"/>
  <c r="AR5" i="42"/>
  <c r="AR12" i="42"/>
  <c r="AB39" i="15" l="1"/>
  <c r="N30" i="31"/>
  <c r="K31" i="31" s="1"/>
  <c r="W40" i="15" s="1"/>
  <c r="AA123" i="5"/>
  <c r="AA124" i="5"/>
  <c r="AA142" i="5"/>
  <c r="AA143" i="5"/>
  <c r="AA144" i="5"/>
  <c r="AA85" i="5"/>
  <c r="AA86" i="5" s="1"/>
  <c r="AA72" i="5"/>
  <c r="AA145" i="5"/>
  <c r="AJ100" i="16"/>
  <c r="AJ72" i="16"/>
  <c r="AJ86" i="16"/>
  <c r="AM68" i="16"/>
  <c r="AM70" i="16" s="1"/>
  <c r="AB27" i="5"/>
  <c r="AB71" i="5"/>
  <c r="AM107" i="16"/>
  <c r="Z149" i="5"/>
  <c r="AM85" i="17"/>
  <c r="AM87" i="17" s="1"/>
  <c r="AM117" i="17" s="1"/>
  <c r="AD23" i="5"/>
  <c r="AC26" i="5"/>
  <c r="T56" i="31"/>
  <c r="C57" i="31"/>
  <c r="AG90" i="16"/>
  <c r="AT8" i="42"/>
  <c r="AS7" i="42"/>
  <c r="AS52" i="42" s="1"/>
  <c r="AS6" i="42"/>
  <c r="AS5" i="42"/>
  <c r="AS12" i="42"/>
  <c r="J31" i="31"/>
  <c r="AG39" i="15" l="1"/>
  <c r="T57" i="31"/>
  <c r="C58" i="31"/>
  <c r="AB142" i="5"/>
  <c r="AB123" i="5"/>
  <c r="AB124" i="5"/>
  <c r="AB145" i="5"/>
  <c r="AB72" i="5"/>
  <c r="AB85" i="5"/>
  <c r="AB144" i="5"/>
  <c r="AB143" i="5"/>
  <c r="AM72" i="16"/>
  <c r="AM86" i="16"/>
  <c r="AM100" i="16"/>
  <c r="AC71" i="5"/>
  <c r="AC27" i="5"/>
  <c r="AP68" i="16"/>
  <c r="AP70" i="16" s="1"/>
  <c r="AP107" i="16"/>
  <c r="AJ90" i="16"/>
  <c r="AP85" i="17"/>
  <c r="AP87" i="17" s="1"/>
  <c r="AP117" i="17" s="1"/>
  <c r="AE23" i="5"/>
  <c r="AD26" i="5"/>
  <c r="AA149" i="5"/>
  <c r="M40" i="15"/>
  <c r="M31" i="31"/>
  <c r="F31" i="31"/>
  <c r="H31" i="31" s="1"/>
  <c r="AT7" i="42"/>
  <c r="AT52" i="42" s="1"/>
  <c r="AT6" i="42"/>
  <c r="AT5" i="42"/>
  <c r="AT12" i="42"/>
  <c r="AU8" i="42"/>
  <c r="AM90" i="16" l="1"/>
  <c r="AP72" i="16"/>
  <c r="AP100" i="16"/>
  <c r="AP86" i="16"/>
  <c r="AD27" i="5"/>
  <c r="AS107" i="16"/>
  <c r="AS68" i="16"/>
  <c r="AS70" i="16" s="1"/>
  <c r="AD71" i="5"/>
  <c r="AS85" i="17"/>
  <c r="AS87" i="17" s="1"/>
  <c r="AS117" i="17" s="1"/>
  <c r="AF23" i="5"/>
  <c r="AE26" i="5"/>
  <c r="AC124" i="5"/>
  <c r="AC123" i="5"/>
  <c r="AC85" i="5"/>
  <c r="AC72" i="5"/>
  <c r="AC144" i="5"/>
  <c r="AC142" i="5"/>
  <c r="AC145" i="5"/>
  <c r="AC143" i="5"/>
  <c r="AB149" i="5"/>
  <c r="AB86" i="5"/>
  <c r="T58" i="31"/>
  <c r="C59" i="31"/>
  <c r="AU12" i="42"/>
  <c r="AV8" i="42"/>
  <c r="AU7" i="42"/>
  <c r="AU52" i="42" s="1"/>
  <c r="AU5" i="42"/>
  <c r="AU6" i="42"/>
  <c r="H40" i="15"/>
  <c r="I31" i="31"/>
  <c r="AC149" i="5" l="1"/>
  <c r="AS72" i="16"/>
  <c r="AS100" i="16"/>
  <c r="AS86" i="16"/>
  <c r="T59" i="31"/>
  <c r="C60" i="31"/>
  <c r="AV68" i="16"/>
  <c r="AV70" i="16" s="1"/>
  <c r="AE27" i="5"/>
  <c r="AV107" i="16"/>
  <c r="AE71" i="5"/>
  <c r="AV85" i="17"/>
  <c r="AV87" i="17" s="1"/>
  <c r="AV117" i="17" s="1"/>
  <c r="AG23" i="5"/>
  <c r="AF26" i="5"/>
  <c r="AP90" i="16"/>
  <c r="AC86" i="5"/>
  <c r="AD124" i="5"/>
  <c r="AD123" i="5"/>
  <c r="AD142" i="5"/>
  <c r="AD143" i="5"/>
  <c r="AD144" i="5"/>
  <c r="AD85" i="5"/>
  <c r="AD72" i="5"/>
  <c r="AD145" i="5"/>
  <c r="R40" i="15"/>
  <c r="L31" i="31"/>
  <c r="AV12" i="42"/>
  <c r="AW8" i="42"/>
  <c r="AV7" i="42"/>
  <c r="AV52" i="42" s="1"/>
  <c r="AV6" i="42"/>
  <c r="AV5" i="42"/>
  <c r="AE145" i="5" l="1"/>
  <c r="AE123" i="5"/>
  <c r="AE124" i="5"/>
  <c r="AE143" i="5"/>
  <c r="AE142" i="5"/>
  <c r="AE85" i="5"/>
  <c r="AE72" i="5"/>
  <c r="AE144" i="5"/>
  <c r="AS90" i="16"/>
  <c r="AV100" i="16"/>
  <c r="AV72" i="16"/>
  <c r="AV86" i="16"/>
  <c r="AY107" i="16"/>
  <c r="AF27" i="5"/>
  <c r="AF71" i="5"/>
  <c r="AY68" i="16"/>
  <c r="AY70" i="16" s="1"/>
  <c r="AY85" i="17"/>
  <c r="AY87" i="17" s="1"/>
  <c r="AY117" i="17" s="1"/>
  <c r="AH23" i="5"/>
  <c r="AG26" i="5"/>
  <c r="AD149" i="5"/>
  <c r="AD86" i="5"/>
  <c r="T60" i="31"/>
  <c r="C61" i="31"/>
  <c r="AB40" i="15"/>
  <c r="N31" i="31"/>
  <c r="D32" i="31"/>
  <c r="AW7" i="42"/>
  <c r="AW52" i="42" s="1"/>
  <c r="AW6" i="42"/>
  <c r="AW5" i="42"/>
  <c r="AX8" i="42"/>
  <c r="AW12" i="42"/>
  <c r="BB68" i="16" l="1"/>
  <c r="BB70" i="16" s="1"/>
  <c r="AG27" i="5"/>
  <c r="BB107" i="16"/>
  <c r="AG71" i="5"/>
  <c r="BB85" i="17"/>
  <c r="BB87" i="17" s="1"/>
  <c r="AI23" i="5"/>
  <c r="AH26" i="5"/>
  <c r="AV90" i="16"/>
  <c r="T61" i="31"/>
  <c r="C62" i="31"/>
  <c r="AY100" i="16"/>
  <c r="AY86" i="16"/>
  <c r="AY72" i="16"/>
  <c r="AE149" i="5"/>
  <c r="AE86" i="5"/>
  <c r="AF85" i="5"/>
  <c r="AF123" i="5"/>
  <c r="AF124" i="5"/>
  <c r="AF143" i="5"/>
  <c r="AF144" i="5"/>
  <c r="AF142" i="5"/>
  <c r="AF72" i="5"/>
  <c r="AF145" i="5"/>
  <c r="J32" i="31"/>
  <c r="AG40" i="15"/>
  <c r="K32" i="31"/>
  <c r="W41" i="15" s="1"/>
  <c r="AX12" i="42"/>
  <c r="AX7" i="42"/>
  <c r="AX52" i="42" s="1"/>
  <c r="AY8" i="42"/>
  <c r="AX5" i="42"/>
  <c r="AX6" i="42"/>
  <c r="BB117" i="17" l="1"/>
  <c r="BE117" i="17" s="1"/>
  <c r="BE87" i="17"/>
  <c r="AF149" i="5"/>
  <c r="AF86" i="5"/>
  <c r="T62" i="31"/>
  <c r="C63" i="31"/>
  <c r="AG144" i="5"/>
  <c r="AG124" i="5"/>
  <c r="AG123" i="5"/>
  <c r="AG85" i="5"/>
  <c r="AG143" i="5"/>
  <c r="AG145" i="5"/>
  <c r="AG142" i="5"/>
  <c r="AG72" i="5"/>
  <c r="BE68" i="16"/>
  <c r="BE70" i="16" s="1"/>
  <c r="AH27" i="5"/>
  <c r="AU27" i="8" s="1"/>
  <c r="AU26" i="8"/>
  <c r="AH71" i="5"/>
  <c r="BE107" i="16"/>
  <c r="L5" i="13"/>
  <c r="BB86" i="16"/>
  <c r="BB72" i="16"/>
  <c r="BB100" i="16"/>
  <c r="AY90" i="16"/>
  <c r="C23" i="5"/>
  <c r="AI26" i="5"/>
  <c r="BE85" i="17"/>
  <c r="AZ8" i="42"/>
  <c r="AY12" i="42"/>
  <c r="AY5" i="42"/>
  <c r="AY6" i="42"/>
  <c r="AY7" i="42"/>
  <c r="AY52" i="42" s="1"/>
  <c r="M41" i="15"/>
  <c r="M32" i="31"/>
  <c r="F32" i="31"/>
  <c r="H32" i="31" s="1"/>
  <c r="BE40" i="17" l="1"/>
  <c r="AI71" i="5"/>
  <c r="C26" i="5"/>
  <c r="C71" i="5" s="1"/>
  <c r="C72" i="5" s="1"/>
  <c r="AU110" i="8"/>
  <c r="AZ22" i="3"/>
  <c r="AZ23" i="3" s="1"/>
  <c r="AH123" i="5"/>
  <c r="AH124" i="5"/>
  <c r="AH142" i="5"/>
  <c r="AH72" i="5"/>
  <c r="AH145" i="5"/>
  <c r="AH85" i="5"/>
  <c r="AH143" i="5"/>
  <c r="AU115" i="8" s="1"/>
  <c r="AH144" i="5"/>
  <c r="T63" i="31"/>
  <c r="C64" i="31"/>
  <c r="AU32" i="8"/>
  <c r="AU30" i="8"/>
  <c r="BE100" i="16"/>
  <c r="BE72" i="16"/>
  <c r="BE86" i="16"/>
  <c r="BB90" i="16"/>
  <c r="AG149" i="5"/>
  <c r="AG86" i="5"/>
  <c r="BA8" i="42"/>
  <c r="AZ7" i="42"/>
  <c r="AZ52" i="42" s="1"/>
  <c r="AZ6" i="42"/>
  <c r="AZ5" i="42"/>
  <c r="AZ12" i="42"/>
  <c r="H41" i="15"/>
  <c r="I32" i="31"/>
  <c r="T64" i="31" l="1"/>
  <c r="C65" i="31"/>
  <c r="L13" i="13"/>
  <c r="AU114" i="8"/>
  <c r="AH149" i="5"/>
  <c r="AH86" i="5"/>
  <c r="BE90" i="16"/>
  <c r="AI123" i="5"/>
  <c r="AI124" i="5"/>
  <c r="AI85" i="5"/>
  <c r="AI72" i="5"/>
  <c r="AI144" i="5"/>
  <c r="AI145" i="5"/>
  <c r="AI142" i="5"/>
  <c r="AI143" i="5"/>
  <c r="AU78" i="8"/>
  <c r="AU33" i="8"/>
  <c r="R41" i="15"/>
  <c r="L32" i="31"/>
  <c r="BB8" i="42"/>
  <c r="BA7" i="42"/>
  <c r="BA52" i="42" s="1"/>
  <c r="BA6" i="42"/>
  <c r="BA5" i="42"/>
  <c r="BA12" i="42"/>
  <c r="AI149" i="5" l="1"/>
  <c r="AI86" i="5"/>
  <c r="Q3" i="5"/>
  <c r="AI253" i="3" s="1"/>
  <c r="S3" i="5"/>
  <c r="AQ253" i="3" s="1"/>
  <c r="O3" i="5"/>
  <c r="AA253" i="3" s="1"/>
  <c r="T65" i="31"/>
  <c r="C66" i="31"/>
  <c r="AB41" i="15"/>
  <c r="N32" i="31"/>
  <c r="D33" i="31"/>
  <c r="BB7" i="42"/>
  <c r="BB52" i="42" s="1"/>
  <c r="BB6" i="42"/>
  <c r="BB5" i="42"/>
  <c r="BB12" i="42"/>
  <c r="BC8" i="42"/>
  <c r="T66" i="31" l="1"/>
  <c r="C67" i="31"/>
  <c r="J33" i="31"/>
  <c r="AG41" i="15"/>
  <c r="K33" i="31"/>
  <c r="W42" i="15" s="1"/>
  <c r="BC12" i="42"/>
  <c r="BD8" i="42"/>
  <c r="BC5" i="42"/>
  <c r="BC6" i="42"/>
  <c r="BC7" i="42"/>
  <c r="BC52" i="42" s="1"/>
  <c r="T67" i="31" l="1"/>
  <c r="C68" i="31"/>
  <c r="M42" i="15"/>
  <c r="M33" i="31"/>
  <c r="F33" i="31"/>
  <c r="H33" i="31" s="1"/>
  <c r="BD12" i="42"/>
  <c r="BE8" i="42"/>
  <c r="BD7" i="42"/>
  <c r="BD52" i="42" s="1"/>
  <c r="BD6" i="42"/>
  <c r="BD5" i="42"/>
  <c r="T68" i="31" l="1"/>
  <c r="C69" i="31"/>
  <c r="BE7" i="42"/>
  <c r="BE52" i="42" s="1"/>
  <c r="BE6" i="42"/>
  <c r="BE5" i="42"/>
  <c r="BF8" i="42"/>
  <c r="BE12" i="42"/>
  <c r="H42" i="15"/>
  <c r="I33" i="31"/>
  <c r="T69" i="31" l="1"/>
  <c r="C70" i="31"/>
  <c r="R42" i="15"/>
  <c r="L33" i="31"/>
  <c r="BF12" i="42"/>
  <c r="BF6" i="42"/>
  <c r="BF7" i="42"/>
  <c r="BF52" i="42" s="1"/>
  <c r="BG8" i="42"/>
  <c r="BF5" i="42"/>
  <c r="T70" i="31" l="1"/>
  <c r="C71" i="31"/>
  <c r="BH8" i="42"/>
  <c r="BG12" i="42"/>
  <c r="BG6" i="42"/>
  <c r="BG5" i="42"/>
  <c r="BG7" i="42"/>
  <c r="BG52" i="42" s="1"/>
  <c r="AB42" i="15"/>
  <c r="N33" i="31"/>
  <c r="D34" i="31"/>
  <c r="T71" i="31" l="1"/>
  <c r="C72" i="31"/>
  <c r="J34" i="31"/>
  <c r="AG42" i="15"/>
  <c r="K34" i="31"/>
  <c r="W43" i="15" s="1"/>
  <c r="BI8" i="42"/>
  <c r="BH7" i="42"/>
  <c r="BH52" i="42" s="1"/>
  <c r="BH6" i="42"/>
  <c r="BH5" i="42"/>
  <c r="BH12" i="42"/>
  <c r="T72" i="31" l="1"/>
  <c r="C73" i="31"/>
  <c r="F34" i="31"/>
  <c r="H34" i="31" s="1"/>
  <c r="H43" i="15" s="1"/>
  <c r="BJ8" i="42"/>
  <c r="BI7" i="42"/>
  <c r="BI52" i="42" s="1"/>
  <c r="BI6" i="42"/>
  <c r="BI5" i="42"/>
  <c r="BI12" i="42"/>
  <c r="M43" i="15"/>
  <c r="M34" i="31"/>
  <c r="T73" i="31" l="1"/>
  <c r="C74" i="31"/>
  <c r="I34" i="31"/>
  <c r="R43" i="15" s="1"/>
  <c r="BJ7" i="42"/>
  <c r="BJ52" i="42" s="1"/>
  <c r="BJ6" i="42"/>
  <c r="BJ5" i="42"/>
  <c r="BJ12" i="42"/>
  <c r="BK8" i="42"/>
  <c r="T74" i="31" l="1"/>
  <c r="C75" i="31"/>
  <c r="L34" i="31"/>
  <c r="AB43" i="15" s="1"/>
  <c r="BK12" i="42"/>
  <c r="BL8" i="42"/>
  <c r="BK6" i="42"/>
  <c r="BK7" i="42"/>
  <c r="BK52" i="42" s="1"/>
  <c r="BK5" i="42"/>
  <c r="T75" i="31" l="1"/>
  <c r="C76" i="31"/>
  <c r="N34" i="31"/>
  <c r="AG43" i="15" s="1"/>
  <c r="D35" i="31"/>
  <c r="J35" i="31" s="1"/>
  <c r="BL12" i="42"/>
  <c r="BM8" i="42"/>
  <c r="BL7" i="42"/>
  <c r="BL52" i="42" s="1"/>
  <c r="BL6" i="42"/>
  <c r="BL5" i="42"/>
  <c r="T76" i="31" l="1"/>
  <c r="C77" i="31"/>
  <c r="K35" i="31"/>
  <c r="W44" i="15" s="1"/>
  <c r="M44" i="15"/>
  <c r="M35" i="31"/>
  <c r="BM7" i="42"/>
  <c r="BM52" i="42" s="1"/>
  <c r="BM6" i="42"/>
  <c r="BM5" i="42"/>
  <c r="BN8" i="42"/>
  <c r="BM12" i="42"/>
  <c r="T77" i="31" l="1"/>
  <c r="C78" i="31"/>
  <c r="F35" i="31"/>
  <c r="H35" i="31" s="1"/>
  <c r="H44" i="15" s="1"/>
  <c r="BN12" i="42"/>
  <c r="BN7" i="42"/>
  <c r="BO8" i="42"/>
  <c r="BN6" i="42"/>
  <c r="BN5" i="42"/>
  <c r="T78" i="31" l="1"/>
  <c r="C79" i="31"/>
  <c r="I35" i="31"/>
  <c r="L35" i="31" s="1"/>
  <c r="BN52" i="42"/>
  <c r="E13" i="42"/>
  <c r="BP8" i="42"/>
  <c r="BO12" i="42"/>
  <c r="BO7" i="42"/>
  <c r="BO52" i="42" s="1"/>
  <c r="BO5" i="42"/>
  <c r="BO6" i="42"/>
  <c r="T79" i="31" l="1"/>
  <c r="C80" i="31"/>
  <c r="R44" i="15"/>
  <c r="BQ8" i="42"/>
  <c r="BP7" i="42"/>
  <c r="BP52" i="42" s="1"/>
  <c r="BP6" i="42"/>
  <c r="BP5" i="42"/>
  <c r="BP12" i="42"/>
  <c r="AB44" i="15"/>
  <c r="N35" i="31"/>
  <c r="D36" i="31"/>
  <c r="T80" i="31" l="1"/>
  <c r="C81" i="31"/>
  <c r="J36" i="31"/>
  <c r="AG44" i="15"/>
  <c r="K36" i="31"/>
  <c r="W45" i="15" s="1"/>
  <c r="BR8" i="42"/>
  <c r="BQ7" i="42"/>
  <c r="BQ52" i="42" s="1"/>
  <c r="BQ6" i="42"/>
  <c r="BQ5" i="42"/>
  <c r="BQ12" i="42"/>
  <c r="T81" i="31" l="1"/>
  <c r="C82" i="31"/>
  <c r="BR7" i="42"/>
  <c r="BR52" i="42" s="1"/>
  <c r="BR6" i="42"/>
  <c r="BR5" i="42"/>
  <c r="BR12" i="42"/>
  <c r="BS8" i="42"/>
  <c r="M45" i="15"/>
  <c r="M36" i="31"/>
  <c r="F36" i="31"/>
  <c r="H36" i="31" s="1"/>
  <c r="T82" i="31" l="1"/>
  <c r="C83" i="31"/>
  <c r="H45" i="15"/>
  <c r="I36" i="31"/>
  <c r="BS12" i="42"/>
  <c r="BT8" i="42"/>
  <c r="BS7" i="42"/>
  <c r="BS52" i="42" s="1"/>
  <c r="BS5" i="42"/>
  <c r="BS6" i="42"/>
  <c r="T83" i="31" l="1"/>
  <c r="C84" i="31"/>
  <c r="R45" i="15"/>
  <c r="L36" i="31"/>
  <c r="BT12" i="42"/>
  <c r="BU8" i="42"/>
  <c r="BT7" i="42"/>
  <c r="BT52" i="42" s="1"/>
  <c r="BT6" i="42"/>
  <c r="BT5" i="42"/>
  <c r="T84" i="31" l="1"/>
  <c r="C85" i="31"/>
  <c r="BU7" i="42"/>
  <c r="BU52" i="42" s="1"/>
  <c r="BU6" i="42"/>
  <c r="BU5" i="42"/>
  <c r="BV8" i="42"/>
  <c r="BU12" i="42"/>
  <c r="AB45" i="15"/>
  <c r="N36" i="31"/>
  <c r="D37" i="31"/>
  <c r="T85" i="31" l="1"/>
  <c r="C86" i="31"/>
  <c r="AG45" i="15"/>
  <c r="K37" i="31"/>
  <c r="W46" i="15" s="1"/>
  <c r="BV12" i="42"/>
  <c r="BW8" i="42"/>
  <c r="BV5" i="42"/>
  <c r="BV7" i="42"/>
  <c r="BV52" i="42" s="1"/>
  <c r="BV6" i="42"/>
  <c r="J37" i="31"/>
  <c r="T86" i="31" l="1"/>
  <c r="C87" i="31"/>
  <c r="F37" i="31"/>
  <c r="H37" i="31" s="1"/>
  <c r="I37" i="31" s="1"/>
  <c r="BX8" i="42"/>
  <c r="BW12" i="42"/>
  <c r="BW5" i="42"/>
  <c r="BW6" i="42"/>
  <c r="BW7" i="42"/>
  <c r="BW52" i="42" s="1"/>
  <c r="M46" i="15"/>
  <c r="M37" i="31"/>
  <c r="T87" i="31" l="1"/>
  <c r="C88" i="31"/>
  <c r="H46" i="15"/>
  <c r="R46" i="15"/>
  <c r="L37" i="31"/>
  <c r="BY8" i="42"/>
  <c r="BX7" i="42"/>
  <c r="BX52" i="42" s="1"/>
  <c r="BX6" i="42"/>
  <c r="BX5" i="42"/>
  <c r="BX12" i="42"/>
  <c r="T88" i="31" l="1"/>
  <c r="C89" i="31"/>
  <c r="AB46" i="15"/>
  <c r="N37" i="31"/>
  <c r="D38" i="31"/>
  <c r="BZ8" i="42"/>
  <c r="BY7" i="42"/>
  <c r="BY52" i="42" s="1"/>
  <c r="BY6" i="42"/>
  <c r="BY5" i="42"/>
  <c r="BY12" i="42"/>
  <c r="T89" i="31" l="1"/>
  <c r="C90" i="31"/>
  <c r="BZ7" i="42"/>
  <c r="BZ52" i="42" s="1"/>
  <c r="BZ6" i="42"/>
  <c r="BZ5" i="42"/>
  <c r="BZ12" i="42"/>
  <c r="CA8" i="42"/>
  <c r="AG46" i="15"/>
  <c r="AQ46" i="15" s="1"/>
  <c r="K38" i="31"/>
  <c r="W47" i="15" s="1"/>
  <c r="J38" i="31"/>
  <c r="T90" i="31" l="1"/>
  <c r="C91" i="31"/>
  <c r="CA12" i="42"/>
  <c r="CB8" i="42"/>
  <c r="CA6" i="42"/>
  <c r="CA7" i="42"/>
  <c r="CA52" i="42" s="1"/>
  <c r="CA5" i="42"/>
  <c r="M47" i="15"/>
  <c r="M38" i="31"/>
  <c r="F38" i="31"/>
  <c r="H38" i="31" s="1"/>
  <c r="T91" i="31" l="1"/>
  <c r="C92" i="31"/>
  <c r="H47" i="15"/>
  <c r="I38" i="31"/>
  <c r="CB12" i="42"/>
  <c r="CC8" i="42"/>
  <c r="CB7" i="42"/>
  <c r="CB52" i="42" s="1"/>
  <c r="CB6" i="42"/>
  <c r="CB5" i="42"/>
  <c r="T92" i="31" l="1"/>
  <c r="C93" i="31"/>
  <c r="CC7" i="42"/>
  <c r="CC52" i="42" s="1"/>
  <c r="CC6" i="42"/>
  <c r="CC5" i="42"/>
  <c r="CC12" i="42"/>
  <c r="CD8" i="42"/>
  <c r="R47" i="15"/>
  <c r="L38" i="31"/>
  <c r="T93" i="31" l="1"/>
  <c r="C94" i="31"/>
  <c r="CD12" i="42"/>
  <c r="CD6" i="42"/>
  <c r="CE8" i="42"/>
  <c r="CD5" i="42"/>
  <c r="CD7" i="42"/>
  <c r="CD52" i="42" s="1"/>
  <c r="AB47" i="15"/>
  <c r="N38" i="31"/>
  <c r="D39" i="31"/>
  <c r="T94" i="31" l="1"/>
  <c r="C95" i="31"/>
  <c r="AG47" i="15"/>
  <c r="AQ47" i="15" s="1"/>
  <c r="K39" i="31"/>
  <c r="W48" i="15" s="1"/>
  <c r="CF8" i="42"/>
  <c r="CE12" i="42"/>
  <c r="CE6" i="42"/>
  <c r="CE7" i="42"/>
  <c r="CE52" i="42" s="1"/>
  <c r="CE5" i="42"/>
  <c r="J39" i="31"/>
  <c r="T95" i="31" l="1"/>
  <c r="C96" i="31"/>
  <c r="CG8" i="42"/>
  <c r="CF7" i="42"/>
  <c r="CF52" i="42" s="1"/>
  <c r="CF6" i="42"/>
  <c r="CF5" i="42"/>
  <c r="CF12" i="42"/>
  <c r="M48" i="15"/>
  <c r="M39" i="31"/>
  <c r="F39" i="31"/>
  <c r="H39" i="31" s="1"/>
  <c r="T96" i="31" l="1"/>
  <c r="C97" i="31"/>
  <c r="H48" i="15"/>
  <c r="I39" i="31"/>
  <c r="CH8" i="42"/>
  <c r="CG7" i="42"/>
  <c r="CG52" i="42" s="1"/>
  <c r="CG6" i="42"/>
  <c r="CG5" i="42"/>
  <c r="CG12" i="42"/>
  <c r="T97" i="31" l="1"/>
  <c r="C98" i="31"/>
  <c r="R48" i="15"/>
  <c r="L39" i="31"/>
  <c r="CH7" i="42"/>
  <c r="CH52" i="42" s="1"/>
  <c r="CH6" i="42"/>
  <c r="CH5" i="42"/>
  <c r="CH12" i="42"/>
  <c r="CI8" i="42"/>
  <c r="T98" i="31" l="1"/>
  <c r="C99" i="31"/>
  <c r="CI12" i="42"/>
  <c r="CJ8" i="42"/>
  <c r="CI7" i="42"/>
  <c r="CI52" i="42" s="1"/>
  <c r="CI5" i="42"/>
  <c r="CI6" i="42"/>
  <c r="AB48" i="15"/>
  <c r="N39" i="31"/>
  <c r="D40" i="31"/>
  <c r="T99" i="31" l="1"/>
  <c r="C100" i="31"/>
  <c r="AG48" i="15"/>
  <c r="AQ48" i="15" s="1"/>
  <c r="K40" i="31"/>
  <c r="W49" i="15" s="1"/>
  <c r="CJ12" i="42"/>
  <c r="CK8" i="42"/>
  <c r="CJ7" i="42"/>
  <c r="CJ52" i="42" s="1"/>
  <c r="CJ6" i="42"/>
  <c r="CJ5" i="42"/>
  <c r="J40" i="31"/>
  <c r="T100" i="31" l="1"/>
  <c r="C101" i="31"/>
  <c r="CK7" i="42"/>
  <c r="CK52" i="42" s="1"/>
  <c r="CK6" i="42"/>
  <c r="CK5" i="42"/>
  <c r="CK12" i="42"/>
  <c r="CL8" i="42"/>
  <c r="M49" i="15"/>
  <c r="M40" i="31"/>
  <c r="F40" i="31"/>
  <c r="H40" i="31" s="1"/>
  <c r="T101" i="31" l="1"/>
  <c r="C102" i="31"/>
  <c r="CL12" i="42"/>
  <c r="CL7" i="42"/>
  <c r="CL52" i="42" s="1"/>
  <c r="CM8" i="42"/>
  <c r="CL5" i="42"/>
  <c r="CL6" i="42"/>
  <c r="H49" i="15"/>
  <c r="I40" i="31"/>
  <c r="T102" i="31" l="1"/>
  <c r="C103" i="31"/>
  <c r="R49" i="15"/>
  <c r="L40" i="31"/>
  <c r="CN8" i="42"/>
  <c r="CM12" i="42"/>
  <c r="CM7" i="42"/>
  <c r="CM52" i="42" s="1"/>
  <c r="CM5" i="42"/>
  <c r="CM6" i="42"/>
  <c r="T103" i="31" l="1"/>
  <c r="C104" i="31"/>
  <c r="CO8" i="42"/>
  <c r="CN7" i="42"/>
  <c r="CN52" i="42" s="1"/>
  <c r="CN6" i="42"/>
  <c r="CN5" i="42"/>
  <c r="CN12" i="42"/>
  <c r="AB49" i="15"/>
  <c r="N40" i="31"/>
  <c r="D41" i="31"/>
  <c r="T104" i="31" l="1"/>
  <c r="C105" i="31"/>
  <c r="AG49" i="15"/>
  <c r="AQ49" i="15" s="1"/>
  <c r="K41" i="31"/>
  <c r="W50" i="15" s="1"/>
  <c r="J41" i="31"/>
  <c r="CP8" i="42"/>
  <c r="CO7" i="42"/>
  <c r="CO52" i="42" s="1"/>
  <c r="CO6" i="42"/>
  <c r="CO5" i="42"/>
  <c r="CO12" i="42"/>
  <c r="T105" i="31" l="1"/>
  <c r="C106" i="31"/>
  <c r="M50" i="15"/>
  <c r="M41" i="31"/>
  <c r="F41" i="31"/>
  <c r="H41" i="31" s="1"/>
  <c r="CP7" i="42"/>
  <c r="CP52" i="42" s="1"/>
  <c r="CP6" i="42"/>
  <c r="CP5" i="42"/>
  <c r="CP12" i="42"/>
  <c r="CQ8" i="42"/>
  <c r="T106" i="31" l="1"/>
  <c r="C107" i="31"/>
  <c r="CQ12" i="42"/>
  <c r="CR8" i="42"/>
  <c r="CQ5" i="42"/>
  <c r="CQ7" i="42"/>
  <c r="CQ52" i="42" s="1"/>
  <c r="CQ6" i="42"/>
  <c r="H50" i="15"/>
  <c r="I41" i="31"/>
  <c r="T107" i="31" l="1"/>
  <c r="C108" i="31"/>
  <c r="R50" i="15"/>
  <c r="L41" i="31"/>
  <c r="CR12" i="42"/>
  <c r="CS8" i="42"/>
  <c r="CR7" i="42"/>
  <c r="CR52" i="42" s="1"/>
  <c r="CR6" i="42"/>
  <c r="CR5" i="42"/>
  <c r="T108" i="31" l="1"/>
  <c r="C109" i="31"/>
  <c r="AB50" i="15"/>
  <c r="N41" i="31"/>
  <c r="D42" i="31"/>
  <c r="CS7" i="42"/>
  <c r="CS52" i="42" s="1"/>
  <c r="CS6" i="42"/>
  <c r="CS5" i="42"/>
  <c r="CT8" i="42"/>
  <c r="CS12" i="42"/>
  <c r="T109" i="31" l="1"/>
  <c r="C110" i="31"/>
  <c r="AG50" i="15"/>
  <c r="AQ50" i="15" s="1"/>
  <c r="K42" i="31"/>
  <c r="W51" i="15" s="1"/>
  <c r="J42" i="31"/>
  <c r="CT12" i="42"/>
  <c r="CU8" i="42"/>
  <c r="CT5" i="42"/>
  <c r="CT6" i="42"/>
  <c r="CT7" i="42"/>
  <c r="CT52" i="42" s="1"/>
  <c r="T110" i="31" l="1"/>
  <c r="C111" i="31"/>
  <c r="F42" i="31"/>
  <c r="H42" i="31" s="1"/>
  <c r="CV8" i="42"/>
  <c r="CU12" i="42"/>
  <c r="CU6" i="42"/>
  <c r="CU7" i="42"/>
  <c r="CU52" i="42" s="1"/>
  <c r="CU5" i="42"/>
  <c r="M51" i="15"/>
  <c r="M42" i="31"/>
  <c r="T111" i="31" l="1"/>
  <c r="C112" i="31"/>
  <c r="CW8" i="42"/>
  <c r="CV7" i="42"/>
  <c r="CV52" i="42" s="1"/>
  <c r="CV6" i="42"/>
  <c r="CV5" i="42"/>
  <c r="CV12" i="42"/>
  <c r="H51" i="15"/>
  <c r="I42" i="31"/>
  <c r="T112" i="31" l="1"/>
  <c r="C113" i="31"/>
  <c r="R51" i="15"/>
  <c r="L42" i="31"/>
  <c r="CX8" i="42"/>
  <c r="CW7" i="42"/>
  <c r="CW52" i="42" s="1"/>
  <c r="CW6" i="42"/>
  <c r="CW5" i="42"/>
  <c r="CW12" i="42"/>
  <c r="T113" i="31" l="1"/>
  <c r="C114" i="31"/>
  <c r="AB51" i="15"/>
  <c r="N42" i="31"/>
  <c r="D43" i="31"/>
  <c r="CX7" i="42"/>
  <c r="CX52" i="42" s="1"/>
  <c r="CX6" i="42"/>
  <c r="CX5" i="42"/>
  <c r="CX12" i="42"/>
  <c r="CY8" i="42"/>
  <c r="T114" i="31" l="1"/>
  <c r="C115" i="31"/>
  <c r="J43" i="31"/>
  <c r="AG51" i="15"/>
  <c r="AQ51" i="15" s="1"/>
  <c r="K43" i="31"/>
  <c r="W52" i="15" s="1"/>
  <c r="CY12" i="42"/>
  <c r="CZ8" i="42"/>
  <c r="CY6" i="42"/>
  <c r="CY5" i="42"/>
  <c r="CY7" i="42"/>
  <c r="CY52" i="42" s="1"/>
  <c r="T115" i="31" l="1"/>
  <c r="C116" i="31"/>
  <c r="M52" i="15"/>
  <c r="M43" i="31"/>
  <c r="F43" i="31"/>
  <c r="H43" i="31" s="1"/>
  <c r="CZ12" i="42"/>
  <c r="DA8" i="42"/>
  <c r="CZ7" i="42"/>
  <c r="CZ52" i="42" s="1"/>
  <c r="CZ6" i="42"/>
  <c r="CZ5" i="42"/>
  <c r="T116" i="31" l="1"/>
  <c r="C117" i="31"/>
  <c r="DA7" i="42"/>
  <c r="DA52" i="42" s="1"/>
  <c r="DA6" i="42"/>
  <c r="DA5" i="42"/>
  <c r="DB8" i="42"/>
  <c r="DA12" i="42"/>
  <c r="H52" i="15"/>
  <c r="I43" i="31"/>
  <c r="T117" i="31" l="1"/>
  <c r="C118" i="31"/>
  <c r="R52" i="15"/>
  <c r="L43" i="31"/>
  <c r="DB12" i="42"/>
  <c r="DB6" i="42"/>
  <c r="DB7" i="42"/>
  <c r="DB52" i="42" s="1"/>
  <c r="DC8" i="42"/>
  <c r="DB5" i="42"/>
  <c r="T118" i="31" l="1"/>
  <c r="C119" i="31"/>
  <c r="AB52" i="15"/>
  <c r="N43" i="31"/>
  <c r="D44" i="31"/>
  <c r="DD8" i="42"/>
  <c r="DC12" i="42"/>
  <c r="DC7" i="42"/>
  <c r="DC52" i="42" s="1"/>
  <c r="DC5" i="42"/>
  <c r="DC6" i="42"/>
  <c r="T119" i="31" l="1"/>
  <c r="C120" i="31"/>
  <c r="AG52" i="15"/>
  <c r="AQ52" i="15" s="1"/>
  <c r="K44" i="31"/>
  <c r="W53" i="15" s="1"/>
  <c r="DE8" i="42"/>
  <c r="DD7" i="42"/>
  <c r="DD52" i="42" s="1"/>
  <c r="DD6" i="42"/>
  <c r="DD5" i="42"/>
  <c r="DD12" i="42"/>
  <c r="J44" i="31"/>
  <c r="T120" i="31" l="1"/>
  <c r="C121" i="31"/>
  <c r="DF8" i="42"/>
  <c r="DE7" i="42"/>
  <c r="DE52" i="42" s="1"/>
  <c r="DE6" i="42"/>
  <c r="DE5" i="42"/>
  <c r="DE12" i="42"/>
  <c r="M53" i="15"/>
  <c r="M44" i="31"/>
  <c r="F44" i="31"/>
  <c r="H44" i="31" s="1"/>
  <c r="T121" i="31" l="1"/>
  <c r="C122" i="31"/>
  <c r="H53" i="15"/>
  <c r="I44" i="31"/>
  <c r="DF7" i="42"/>
  <c r="DF52" i="42" s="1"/>
  <c r="DF6" i="42"/>
  <c r="DF5" i="42"/>
  <c r="DF12" i="42"/>
  <c r="DG8" i="42"/>
  <c r="T122" i="31" l="1"/>
  <c r="C123" i="31"/>
  <c r="R53" i="15"/>
  <c r="L44" i="31"/>
  <c r="DG12" i="42"/>
  <c r="DH8" i="42"/>
  <c r="DG7" i="42"/>
  <c r="DG52" i="42" s="1"/>
  <c r="DG5" i="42"/>
  <c r="DG6" i="42"/>
  <c r="T123" i="31" l="1"/>
  <c r="C124" i="31"/>
  <c r="DH12" i="42"/>
  <c r="DI8" i="42"/>
  <c r="DH7" i="42"/>
  <c r="DH52" i="42" s="1"/>
  <c r="DH6" i="42"/>
  <c r="DH5" i="42"/>
  <c r="AB53" i="15"/>
  <c r="N44" i="31"/>
  <c r="D45" i="31"/>
  <c r="T124" i="31" l="1"/>
  <c r="C125" i="31"/>
  <c r="AG53" i="15"/>
  <c r="AQ53" i="15" s="1"/>
  <c r="K45" i="31"/>
  <c r="W54" i="15" s="1"/>
  <c r="DI7" i="42"/>
  <c r="DI52" i="42" s="1"/>
  <c r="DI6" i="42"/>
  <c r="DI5" i="42"/>
  <c r="DJ8" i="42"/>
  <c r="DI12" i="42"/>
  <c r="J45" i="31"/>
  <c r="T125" i="31" l="1"/>
  <c r="C126" i="31"/>
  <c r="M54" i="15"/>
  <c r="M45" i="31"/>
  <c r="DJ12" i="42"/>
  <c r="DJ7" i="42"/>
  <c r="DJ52" i="42" s="1"/>
  <c r="DK8" i="42"/>
  <c r="DJ5" i="42"/>
  <c r="DJ6" i="42"/>
  <c r="F45" i="31"/>
  <c r="H45" i="31" s="1"/>
  <c r="T126" i="31" l="1"/>
  <c r="C127" i="31"/>
  <c r="H54" i="15"/>
  <c r="I45" i="31"/>
  <c r="DL8" i="42"/>
  <c r="DK12" i="42"/>
  <c r="DK5" i="42"/>
  <c r="DK7" i="42"/>
  <c r="DK52" i="42" s="1"/>
  <c r="DK6" i="42"/>
  <c r="T127" i="31" l="1"/>
  <c r="C128" i="31"/>
  <c r="DM8" i="42"/>
  <c r="DL7" i="42"/>
  <c r="DL52" i="42" s="1"/>
  <c r="DL6" i="42"/>
  <c r="DL5" i="42"/>
  <c r="DL12" i="42"/>
  <c r="R54" i="15"/>
  <c r="L45" i="31"/>
  <c r="T128" i="31" l="1"/>
  <c r="C129" i="31"/>
  <c r="AB54" i="15"/>
  <c r="N45" i="31"/>
  <c r="D46" i="31"/>
  <c r="DN8" i="42"/>
  <c r="DM7" i="42"/>
  <c r="DM52" i="42" s="1"/>
  <c r="DM6" i="42"/>
  <c r="DM5" i="42"/>
  <c r="DM12" i="42"/>
  <c r="T129" i="31" l="1"/>
  <c r="C130" i="31"/>
  <c r="DN7" i="42"/>
  <c r="DN52" i="42" s="1"/>
  <c r="DN6" i="42"/>
  <c r="DN5" i="42"/>
  <c r="DN12" i="42"/>
  <c r="DO8" i="42"/>
  <c r="J46" i="31"/>
  <c r="AG54" i="15"/>
  <c r="AQ54" i="15" s="1"/>
  <c r="K46" i="31"/>
  <c r="W55" i="15" s="1"/>
  <c r="T130" i="31" l="1"/>
  <c r="C131" i="31"/>
  <c r="DO12" i="42"/>
  <c r="DP8" i="42"/>
  <c r="DO5" i="42"/>
  <c r="DO6" i="42"/>
  <c r="DO7" i="42"/>
  <c r="DO52" i="42" s="1"/>
  <c r="M55" i="15"/>
  <c r="M46" i="31"/>
  <c r="F46" i="31"/>
  <c r="H46" i="31" s="1"/>
  <c r="T131" i="31" l="1"/>
  <c r="C132" i="31"/>
  <c r="H55" i="15"/>
  <c r="I46" i="31"/>
  <c r="DP12" i="42"/>
  <c r="DQ8" i="42"/>
  <c r="DP7" i="42"/>
  <c r="DP52" i="42" s="1"/>
  <c r="DP6" i="42"/>
  <c r="DP5" i="42"/>
  <c r="T132" i="31" l="1"/>
  <c r="C133" i="31"/>
  <c r="R55" i="15"/>
  <c r="L46" i="31"/>
  <c r="DQ7" i="42"/>
  <c r="DQ52" i="42" s="1"/>
  <c r="DQ6" i="42"/>
  <c r="DQ5" i="42"/>
  <c r="DR8" i="42"/>
  <c r="DQ12" i="42"/>
  <c r="T133" i="31" l="1"/>
  <c r="C134" i="31"/>
  <c r="DR12" i="42"/>
  <c r="DR6" i="42"/>
  <c r="DR7" i="42"/>
  <c r="DR52" i="42" s="1"/>
  <c r="DS8" i="42"/>
  <c r="DR5" i="42"/>
  <c r="AB55" i="15"/>
  <c r="N46" i="31"/>
  <c r="D47" i="31"/>
  <c r="T134" i="31" l="1"/>
  <c r="C135" i="31"/>
  <c r="AG55" i="15"/>
  <c r="AQ55" i="15" s="1"/>
  <c r="K47" i="31"/>
  <c r="W56" i="15" s="1"/>
  <c r="DT8" i="42"/>
  <c r="DS12" i="42"/>
  <c r="DS6" i="42"/>
  <c r="DS5" i="42"/>
  <c r="DS7" i="42"/>
  <c r="DS52" i="42" s="1"/>
  <c r="J47" i="31"/>
  <c r="T135" i="31" l="1"/>
  <c r="C136" i="31"/>
  <c r="DU8" i="42"/>
  <c r="DT7" i="42"/>
  <c r="DT52" i="42" s="1"/>
  <c r="DT6" i="42"/>
  <c r="DT5" i="42"/>
  <c r="DT12" i="42"/>
  <c r="M56" i="15"/>
  <c r="M47" i="31"/>
  <c r="F47" i="31"/>
  <c r="H47" i="31" s="1"/>
  <c r="T136" i="31" l="1"/>
  <c r="C137" i="31"/>
  <c r="H56" i="15"/>
  <c r="I47" i="31"/>
  <c r="DV8" i="42"/>
  <c r="DU7" i="42"/>
  <c r="DU52" i="42" s="1"/>
  <c r="DU6" i="42"/>
  <c r="DU5" i="42"/>
  <c r="DU12" i="42"/>
  <c r="T137" i="31" l="1"/>
  <c r="C138" i="31"/>
  <c r="DV7" i="42"/>
  <c r="DV6" i="42"/>
  <c r="DV5" i="42"/>
  <c r="DV12" i="42"/>
  <c r="R56" i="15"/>
  <c r="L47" i="31"/>
  <c r="T138" i="31" l="1"/>
  <c r="C139" i="31"/>
  <c r="AB56" i="15"/>
  <c r="N47" i="31"/>
  <c r="D48" i="31"/>
  <c r="M47" i="44"/>
  <c r="N47" i="44" s="1"/>
  <c r="Q52" i="44"/>
  <c r="R52" i="44" s="1"/>
  <c r="AC26" i="44"/>
  <c r="AD26" i="44" s="1"/>
  <c r="M33" i="44"/>
  <c r="N33" i="44" s="1"/>
  <c r="AG14" i="44"/>
  <c r="AH14" i="44" s="1"/>
  <c r="AC38" i="44"/>
  <c r="AD38" i="44" s="1"/>
  <c r="AO37" i="44"/>
  <c r="AP37" i="44" s="1"/>
  <c r="Q34" i="44"/>
  <c r="R34" i="44" s="1"/>
  <c r="I47" i="44"/>
  <c r="AK37" i="44"/>
  <c r="AL37" i="44" s="1"/>
  <c r="Y30" i="44"/>
  <c r="Z30" i="44" s="1"/>
  <c r="AW21" i="44"/>
  <c r="AX21" i="44" s="1"/>
  <c r="M27" i="44"/>
  <c r="N27" i="44" s="1"/>
  <c r="U31" i="44"/>
  <c r="V31" i="44" s="1"/>
  <c r="U23" i="44"/>
  <c r="V23" i="44" s="1"/>
  <c r="AS23" i="44"/>
  <c r="AT23" i="44" s="1"/>
  <c r="Q29" i="44"/>
  <c r="R29" i="44" s="1"/>
  <c r="M51" i="44"/>
  <c r="Q24" i="44"/>
  <c r="R24" i="44" s="1"/>
  <c r="AG23" i="44"/>
  <c r="AH23" i="44" s="1"/>
  <c r="I31" i="44"/>
  <c r="AG52" i="44"/>
  <c r="AH52" i="44" s="1"/>
  <c r="BA52" i="44"/>
  <c r="BB52" i="44" s="1"/>
  <c r="Q19" i="44"/>
  <c r="AC28" i="44"/>
  <c r="AD28" i="44" s="1"/>
  <c r="AG38" i="44"/>
  <c r="AH38" i="44" s="1"/>
  <c r="U8" i="44"/>
  <c r="Q33" i="44"/>
  <c r="R33" i="44" s="1"/>
  <c r="AK20" i="44"/>
  <c r="AL20" i="44" s="1"/>
  <c r="AG11" i="44"/>
  <c r="U33" i="44"/>
  <c r="V33" i="44" s="1"/>
  <c r="AS27" i="44"/>
  <c r="AT27" i="44" s="1"/>
  <c r="AC47" i="44"/>
  <c r="AD47" i="44" s="1"/>
  <c r="Q28" i="44"/>
  <c r="R28" i="44" s="1"/>
  <c r="M52" i="44"/>
  <c r="N52" i="44" s="1"/>
  <c r="AK26" i="44"/>
  <c r="AL26" i="44" s="1"/>
  <c r="Q26" i="44"/>
  <c r="R26" i="44" s="1"/>
  <c r="Q11" i="44"/>
  <c r="AK38" i="44"/>
  <c r="AL38" i="44" s="1"/>
  <c r="Y8" i="44"/>
  <c r="I11" i="44"/>
  <c r="AO16" i="44"/>
  <c r="AP16" i="44" s="1"/>
  <c r="M31" i="44"/>
  <c r="N31" i="44" s="1"/>
  <c r="I8" i="44"/>
  <c r="U47" i="44"/>
  <c r="V47" i="44" s="1"/>
  <c r="AK51" i="44"/>
  <c r="AG33" i="44"/>
  <c r="AH33" i="44" s="1"/>
  <c r="I27" i="44"/>
  <c r="AC11" i="44"/>
  <c r="AG45" i="44"/>
  <c r="AH45" i="44" s="1"/>
  <c r="Y35" i="44"/>
  <c r="Z35" i="44" s="1"/>
  <c r="AG37" i="44"/>
  <c r="AH37" i="44" s="1"/>
  <c r="Q15" i="44"/>
  <c r="R15" i="44" s="1"/>
  <c r="Y14" i="44"/>
  <c r="Z14" i="44" s="1"/>
  <c r="I19" i="44"/>
  <c r="M38" i="44"/>
  <c r="N38" i="44" s="1"/>
  <c r="I51" i="44"/>
  <c r="BA33" i="44"/>
  <c r="BB33" i="44" s="1"/>
  <c r="Y34" i="44"/>
  <c r="Z34" i="44" s="1"/>
  <c r="Y16" i="44"/>
  <c r="Z16" i="44" s="1"/>
  <c r="BA27" i="44"/>
  <c r="BB27" i="44" s="1"/>
  <c r="AK46" i="44"/>
  <c r="AL46" i="44" s="1"/>
  <c r="Y37" i="44"/>
  <c r="Z37" i="44" s="1"/>
  <c r="AO46" i="44"/>
  <c r="AP46" i="44" s="1"/>
  <c r="AW34" i="44"/>
  <c r="AX34" i="44" s="1"/>
  <c r="AG47" i="44"/>
  <c r="AH47" i="44" s="1"/>
  <c r="M8" i="44"/>
  <c r="AC24" i="44"/>
  <c r="AD24" i="44" s="1"/>
  <c r="AS19" i="44"/>
  <c r="AG22" i="44"/>
  <c r="AH22" i="44" s="1"/>
  <c r="I25" i="44"/>
  <c r="BA29" i="44"/>
  <c r="BB29" i="44" s="1"/>
  <c r="AC52" i="44"/>
  <c r="AD52" i="44" s="1"/>
  <c r="I37" i="44"/>
  <c r="AS37" i="44"/>
  <c r="AT37" i="44" s="1"/>
  <c r="Q20" i="44"/>
  <c r="R20" i="44" s="1"/>
  <c r="AO33" i="44"/>
  <c r="AP33" i="44" s="1"/>
  <c r="I14" i="44"/>
  <c r="AS47" i="44"/>
  <c r="AT47" i="44" s="1"/>
  <c r="M11" i="44"/>
  <c r="BA38" i="44"/>
  <c r="BB38" i="44" s="1"/>
  <c r="AK31" i="44"/>
  <c r="AL31" i="44" s="1"/>
  <c r="BA31" i="44"/>
  <c r="BB31" i="44" s="1"/>
  <c r="AC45" i="44"/>
  <c r="AD45" i="44" s="1"/>
  <c r="AS33" i="44"/>
  <c r="AT33" i="44" s="1"/>
  <c r="AW32" i="44"/>
  <c r="AX32" i="44" s="1"/>
  <c r="Y21" i="44"/>
  <c r="Z21" i="44" s="1"/>
  <c r="AO23" i="44"/>
  <c r="AP23" i="44" s="1"/>
  <c r="U51" i="44"/>
  <c r="I28" i="44"/>
  <c r="BA24" i="44"/>
  <c r="BB24" i="44" s="1"/>
  <c r="AK30" i="44"/>
  <c r="AL30" i="44" s="1"/>
  <c r="AG46" i="44"/>
  <c r="AH46" i="44" s="1"/>
  <c r="AO26" i="44"/>
  <c r="AP26" i="44" s="1"/>
  <c r="M21" i="44"/>
  <c r="N21" i="44" s="1"/>
  <c r="AW46" i="44"/>
  <c r="AX46" i="44" s="1"/>
  <c r="AG15" i="44"/>
  <c r="AH15" i="44" s="1"/>
  <c r="U20" i="44"/>
  <c r="V20" i="44" s="1"/>
  <c r="AS32" i="44"/>
  <c r="AT32" i="44" s="1"/>
  <c r="AW16" i="44"/>
  <c r="AX16" i="44" s="1"/>
  <c r="I46" i="44"/>
  <c r="AO52" i="44"/>
  <c r="AP52" i="44" s="1"/>
  <c r="AG24" i="44"/>
  <c r="AH24" i="44" s="1"/>
  <c r="AO21" i="44"/>
  <c r="AP21" i="44" s="1"/>
  <c r="AS29" i="44"/>
  <c r="AT29" i="44" s="1"/>
  <c r="AK16" i="44"/>
  <c r="AL16" i="44" s="1"/>
  <c r="BA35" i="44"/>
  <c r="BB35" i="44" s="1"/>
  <c r="AC46" i="44"/>
  <c r="AD46" i="44" s="1"/>
  <c r="AO15" i="44"/>
  <c r="AP15" i="44" s="1"/>
  <c r="AC35" i="44"/>
  <c r="AD35" i="44" s="1"/>
  <c r="AS24" i="44"/>
  <c r="AT24" i="44" s="1"/>
  <c r="Q37" i="44"/>
  <c r="R37" i="44" s="1"/>
  <c r="Y11" i="44"/>
  <c r="M16" i="44"/>
  <c r="N16" i="44" s="1"/>
  <c r="M30" i="44"/>
  <c r="N30" i="44" s="1"/>
  <c r="U15" i="44"/>
  <c r="V15" i="44" s="1"/>
  <c r="M37" i="44"/>
  <c r="N37" i="44" s="1"/>
  <c r="AO35" i="44"/>
  <c r="AP35" i="44" s="1"/>
  <c r="M14" i="44"/>
  <c r="N14" i="44" s="1"/>
  <c r="I34" i="44"/>
  <c r="I26" i="44"/>
  <c r="Y25" i="44"/>
  <c r="Z25" i="44" s="1"/>
  <c r="AO27" i="44"/>
  <c r="AP27" i="44" s="1"/>
  <c r="AG26" i="44"/>
  <c r="AH26" i="44" s="1"/>
  <c r="AS15" i="44"/>
  <c r="AT15" i="44" s="1"/>
  <c r="M24" i="44"/>
  <c r="N24" i="44" s="1"/>
  <c r="AW24" i="44"/>
  <c r="AX24" i="44" s="1"/>
  <c r="AS28" i="44"/>
  <c r="AT28" i="44" s="1"/>
  <c r="AK24" i="44"/>
  <c r="AL24" i="44" s="1"/>
  <c r="U14" i="44"/>
  <c r="V14" i="44" s="1"/>
  <c r="U16" i="44"/>
  <c r="V16" i="44" s="1"/>
  <c r="U11" i="44"/>
  <c r="Q25" i="44"/>
  <c r="R25" i="44" s="1"/>
  <c r="U52" i="44"/>
  <c r="V52" i="44" s="1"/>
  <c r="AC25" i="44"/>
  <c r="AD25" i="44" s="1"/>
  <c r="AS46" i="44"/>
  <c r="AT46" i="44" s="1"/>
  <c r="AK22" i="44"/>
  <c r="AL22" i="44" s="1"/>
  <c r="AG16" i="44"/>
  <c r="AH16" i="44" s="1"/>
  <c r="I21" i="44"/>
  <c r="AO47" i="44"/>
  <c r="AP47" i="44" s="1"/>
  <c r="AC14" i="44"/>
  <c r="AD14" i="44" s="1"/>
  <c r="AW25" i="44"/>
  <c r="AX25" i="44" s="1"/>
  <c r="M19" i="44"/>
  <c r="AS26" i="44"/>
  <c r="AT26" i="44" s="1"/>
  <c r="Y51" i="44"/>
  <c r="AO28" i="44"/>
  <c r="AP28" i="44" s="1"/>
  <c r="BA15" i="44"/>
  <c r="BB15" i="44" s="1"/>
  <c r="AO31" i="44"/>
  <c r="AP31" i="44" s="1"/>
  <c r="Y23" i="44"/>
  <c r="Z23" i="44" s="1"/>
  <c r="AC29" i="44"/>
  <c r="AD29" i="44" s="1"/>
  <c r="U24" i="44"/>
  <c r="V24" i="44" s="1"/>
  <c r="AW23" i="44"/>
  <c r="AX23" i="44" s="1"/>
  <c r="M32" i="44"/>
  <c r="N32" i="44" s="1"/>
  <c r="AC33" i="44"/>
  <c r="AD33" i="44" s="1"/>
  <c r="Y24" i="44"/>
  <c r="Z24" i="44" s="1"/>
  <c r="AK28" i="44"/>
  <c r="AL28" i="44" s="1"/>
  <c r="Q32" i="44"/>
  <c r="R32" i="44" s="1"/>
  <c r="BA19" i="44"/>
  <c r="U29" i="44"/>
  <c r="V29" i="44" s="1"/>
  <c r="U34" i="44"/>
  <c r="V34" i="44" s="1"/>
  <c r="AC37" i="44"/>
  <c r="AD37" i="44" s="1"/>
  <c r="Q30" i="44"/>
  <c r="R30" i="44" s="1"/>
  <c r="AS34" i="44"/>
  <c r="AT34" i="44" s="1"/>
  <c r="U26" i="44"/>
  <c r="V26" i="44" s="1"/>
  <c r="AW52" i="44"/>
  <c r="AX52" i="44" s="1"/>
  <c r="Y46" i="44"/>
  <c r="Z46" i="44" s="1"/>
  <c r="BA20" i="44"/>
  <c r="BB20" i="44" s="1"/>
  <c r="AO38" i="44"/>
  <c r="AP38" i="44" s="1"/>
  <c r="BA46" i="44"/>
  <c r="BB46" i="44" s="1"/>
  <c r="AG32" i="44"/>
  <c r="AH32" i="44" s="1"/>
  <c r="I24" i="44"/>
  <c r="AC8" i="44"/>
  <c r="BA23" i="44"/>
  <c r="BB23" i="44" s="1"/>
  <c r="BA47" i="44"/>
  <c r="BB47" i="44" s="1"/>
  <c r="I29" i="44"/>
  <c r="AK47" i="44"/>
  <c r="AL47" i="44" s="1"/>
  <c r="M25" i="44"/>
  <c r="N25" i="44" s="1"/>
  <c r="M35" i="44"/>
  <c r="N35" i="44" s="1"/>
  <c r="Y52" i="44"/>
  <c r="Z52" i="44" s="1"/>
  <c r="AC19" i="44"/>
  <c r="Q51" i="44"/>
  <c r="AG35" i="44"/>
  <c r="AH35" i="44" s="1"/>
  <c r="AC15" i="44"/>
  <c r="AD15" i="44" s="1"/>
  <c r="AO20" i="44"/>
  <c r="AP20" i="44" s="1"/>
  <c r="AS38" i="44"/>
  <c r="AT38" i="44" s="1"/>
  <c r="M23" i="44"/>
  <c r="N23" i="44" s="1"/>
  <c r="AC20" i="44"/>
  <c r="AD20" i="44" s="1"/>
  <c r="I35" i="44"/>
  <c r="U25" i="44"/>
  <c r="V25" i="44" s="1"/>
  <c r="M20" i="44"/>
  <c r="N20" i="44" s="1"/>
  <c r="AW37" i="44"/>
  <c r="AX37" i="44" s="1"/>
  <c r="U32" i="44"/>
  <c r="V32" i="44" s="1"/>
  <c r="AC21" i="44"/>
  <c r="AD21" i="44" s="1"/>
  <c r="AW38" i="44"/>
  <c r="AX38" i="44" s="1"/>
  <c r="AG51" i="44"/>
  <c r="AO51" i="44"/>
  <c r="AC22" i="44"/>
  <c r="AD22" i="44" s="1"/>
  <c r="AC32" i="44"/>
  <c r="AD32" i="44" s="1"/>
  <c r="BA25" i="44"/>
  <c r="BB25" i="44" s="1"/>
  <c r="I33" i="44"/>
  <c r="AK45" i="44"/>
  <c r="AL45" i="44" s="1"/>
  <c r="I38" i="44"/>
  <c r="AG29" i="44"/>
  <c r="AH29" i="44" s="1"/>
  <c r="AO22" i="44"/>
  <c r="AP22" i="44" s="1"/>
  <c r="AC16" i="44"/>
  <c r="AD16" i="44" s="1"/>
  <c r="U36" i="44"/>
  <c r="V36" i="44" s="1"/>
  <c r="Q45" i="44"/>
  <c r="R45" i="44" s="1"/>
  <c r="AW33" i="44"/>
  <c r="AX33" i="44" s="1"/>
  <c r="Q38" i="44"/>
  <c r="R38" i="44" s="1"/>
  <c r="AS36" i="44"/>
  <c r="AT36" i="44" s="1"/>
  <c r="I22" i="44"/>
  <c r="I30" i="44"/>
  <c r="AC30" i="44"/>
  <c r="AD30" i="44" s="1"/>
  <c r="AW14" i="44"/>
  <c r="AX14" i="44" s="1"/>
  <c r="AS11" i="44"/>
  <c r="AK52" i="44"/>
  <c r="AL52" i="44" s="1"/>
  <c r="AK27" i="44"/>
  <c r="AL27" i="44" s="1"/>
  <c r="AK33" i="44"/>
  <c r="AL33" i="44" s="1"/>
  <c r="AC36" i="44"/>
  <c r="AD36" i="44" s="1"/>
  <c r="AS25" i="44"/>
  <c r="AT25" i="44" s="1"/>
  <c r="AG30" i="44"/>
  <c r="AH30" i="44" s="1"/>
  <c r="Y31" i="44"/>
  <c r="Z31" i="44" s="1"/>
  <c r="AO8" i="44"/>
  <c r="AW28" i="44"/>
  <c r="AX28" i="44" s="1"/>
  <c r="U21" i="44"/>
  <c r="V21" i="44" s="1"/>
  <c r="U45" i="44"/>
  <c r="V45" i="44" s="1"/>
  <c r="I52" i="44"/>
  <c r="AS14" i="44"/>
  <c r="AT14" i="44" s="1"/>
  <c r="AG28" i="44"/>
  <c r="AH28" i="44" s="1"/>
  <c r="AK23" i="44"/>
  <c r="AL23" i="44" s="1"/>
  <c r="BA11" i="44"/>
  <c r="AG36" i="44"/>
  <c r="AH36" i="44" s="1"/>
  <c r="AW45" i="44"/>
  <c r="AX45" i="44" s="1"/>
  <c r="BA26" i="44"/>
  <c r="BB26" i="44" s="1"/>
  <c r="AW30" i="44"/>
  <c r="AX30" i="44" s="1"/>
  <c r="Y38" i="44"/>
  <c r="Z38" i="44" s="1"/>
  <c r="AK11" i="44"/>
  <c r="AO30" i="44"/>
  <c r="AP30" i="44" s="1"/>
  <c r="M34" i="44"/>
  <c r="N34" i="44" s="1"/>
  <c r="AC51" i="44"/>
  <c r="Y28" i="44"/>
  <c r="Z28" i="44" s="1"/>
  <c r="BA8" i="44"/>
  <c r="U27" i="44"/>
  <c r="V27" i="44" s="1"/>
  <c r="Y22" i="44"/>
  <c r="Z22" i="44" s="1"/>
  <c r="AO19" i="44"/>
  <c r="AK29" i="44"/>
  <c r="AL29" i="44" s="1"/>
  <c r="AW8" i="44"/>
  <c r="Q35" i="44"/>
  <c r="R35" i="44" s="1"/>
  <c r="U46" i="44"/>
  <c r="V46" i="44" s="1"/>
  <c r="AS22" i="44"/>
  <c r="AT22" i="44" s="1"/>
  <c r="AO29" i="44"/>
  <c r="AP29" i="44" s="1"/>
  <c r="U22" i="44"/>
  <c r="V22" i="44" s="1"/>
  <c r="AS31" i="44"/>
  <c r="AT31" i="44" s="1"/>
  <c r="U37" i="44"/>
  <c r="V37" i="44" s="1"/>
  <c r="M36" i="44"/>
  <c r="N36" i="44" s="1"/>
  <c r="Q27" i="44"/>
  <c r="R27" i="44" s="1"/>
  <c r="Q23" i="44"/>
  <c r="R23" i="44" s="1"/>
  <c r="Y36" i="44"/>
  <c r="Z36" i="44" s="1"/>
  <c r="AK35" i="44"/>
  <c r="AL35" i="44" s="1"/>
  <c r="Q36" i="44"/>
  <c r="R36" i="44" s="1"/>
  <c r="AC31" i="44"/>
  <c r="AD31" i="44" s="1"/>
  <c r="BA45" i="44"/>
  <c r="BB45" i="44" s="1"/>
  <c r="AG21" i="44"/>
  <c r="AH21" i="44" s="1"/>
  <c r="I32" i="44"/>
  <c r="AK8" i="44"/>
  <c r="BA14" i="44"/>
  <c r="BB14" i="44" s="1"/>
  <c r="I45" i="44"/>
  <c r="Y45" i="44"/>
  <c r="Z45" i="44" s="1"/>
  <c r="AG8" i="44"/>
  <c r="AO24" i="44"/>
  <c r="AP24" i="44" s="1"/>
  <c r="AC23" i="44"/>
  <c r="AD23" i="44" s="1"/>
  <c r="AS35" i="44"/>
  <c r="AT35" i="44" s="1"/>
  <c r="Y15" i="44"/>
  <c r="Z15" i="44" s="1"/>
  <c r="M15" i="44"/>
  <c r="N15" i="44" s="1"/>
  <c r="Y32" i="44"/>
  <c r="Z32" i="44" s="1"/>
  <c r="AW51" i="44"/>
  <c r="AS30" i="44"/>
  <c r="AT30" i="44" s="1"/>
  <c r="AK15" i="44"/>
  <c r="AL15" i="44" s="1"/>
  <c r="AS16" i="44"/>
  <c r="AT16" i="44" s="1"/>
  <c r="AK36" i="44"/>
  <c r="AL36" i="44" s="1"/>
  <c r="Y27" i="44"/>
  <c r="Z27" i="44" s="1"/>
  <c r="AW35" i="44"/>
  <c r="AX35" i="44" s="1"/>
  <c r="AW47" i="44"/>
  <c r="AX47" i="44" s="1"/>
  <c r="AK14" i="44"/>
  <c r="AL14" i="44" s="1"/>
  <c r="AS45" i="44"/>
  <c r="AT45" i="44" s="1"/>
  <c r="AW31" i="44"/>
  <c r="AX31" i="44" s="1"/>
  <c r="AW29" i="44"/>
  <c r="AX29" i="44" s="1"/>
  <c r="AO25" i="44"/>
  <c r="AP25" i="44" s="1"/>
  <c r="Y29" i="44"/>
  <c r="Z29" i="44" s="1"/>
  <c r="AW26" i="44"/>
  <c r="AX26" i="44" s="1"/>
  <c r="Q16" i="44"/>
  <c r="R16" i="44" s="1"/>
  <c r="AO32" i="44"/>
  <c r="AP32" i="44" s="1"/>
  <c r="AS51" i="44"/>
  <c r="BA32" i="44"/>
  <c r="BB32" i="44" s="1"/>
  <c r="BA34" i="44"/>
  <c r="BB34" i="44" s="1"/>
  <c r="I15" i="44"/>
  <c r="I23" i="44"/>
  <c r="Y20" i="44"/>
  <c r="Z20" i="44" s="1"/>
  <c r="AK34" i="44"/>
  <c r="AL34" i="44" s="1"/>
  <c r="U35" i="44"/>
  <c r="V35" i="44" s="1"/>
  <c r="AC34" i="44"/>
  <c r="AD34" i="44" s="1"/>
  <c r="I36" i="44"/>
  <c r="AG34" i="44"/>
  <c r="AH34" i="44" s="1"/>
  <c r="Q46" i="44"/>
  <c r="R46" i="44" s="1"/>
  <c r="AS20" i="44"/>
  <c r="AT20" i="44" s="1"/>
  <c r="Q22" i="44"/>
  <c r="R22" i="44" s="1"/>
  <c r="Y26" i="44"/>
  <c r="Z26" i="44" s="1"/>
  <c r="AK25" i="44"/>
  <c r="AL25" i="44" s="1"/>
  <c r="AC27" i="44"/>
  <c r="AD27" i="44" s="1"/>
  <c r="BA16" i="44"/>
  <c r="BB16" i="44" s="1"/>
  <c r="U28" i="44"/>
  <c r="V28" i="44" s="1"/>
  <c r="AS8" i="44"/>
  <c r="Q14" i="44"/>
  <c r="R14" i="44" s="1"/>
  <c r="Q21" i="44"/>
  <c r="R21" i="44" s="1"/>
  <c r="Q31" i="44"/>
  <c r="R31" i="44" s="1"/>
  <c r="Q8" i="44"/>
  <c r="M46" i="44"/>
  <c r="N46" i="44" s="1"/>
  <c r="AW15" i="44"/>
  <c r="AX15" i="44" s="1"/>
  <c r="AS52" i="44"/>
  <c r="AT52" i="44" s="1"/>
  <c r="U30" i="44"/>
  <c r="V30" i="44" s="1"/>
  <c r="AG25" i="44"/>
  <c r="AH25" i="44" s="1"/>
  <c r="AG27" i="44"/>
  <c r="AH27" i="44" s="1"/>
  <c r="M29" i="44"/>
  <c r="N29" i="44" s="1"/>
  <c r="AO36" i="44"/>
  <c r="AP36" i="44" s="1"/>
  <c r="AW36" i="44"/>
  <c r="AX36" i="44" s="1"/>
  <c r="M22" i="44"/>
  <c r="N22" i="44" s="1"/>
  <c r="AK21" i="44"/>
  <c r="AL21" i="44" s="1"/>
  <c r="AW19" i="44"/>
  <c r="M26" i="44"/>
  <c r="N26" i="44" s="1"/>
  <c r="AO14" i="44"/>
  <c r="AP14" i="44" s="1"/>
  <c r="AW11" i="44"/>
  <c r="AW27" i="44"/>
  <c r="AX27" i="44" s="1"/>
  <c r="AO45" i="44"/>
  <c r="AP45" i="44" s="1"/>
  <c r="I16" i="44"/>
  <c r="BA22" i="44"/>
  <c r="BB22" i="44" s="1"/>
  <c r="U19" i="44"/>
  <c r="BA28" i="44"/>
  <c r="BB28" i="44" s="1"/>
  <c r="AK32" i="44"/>
  <c r="AL32" i="44" s="1"/>
  <c r="Y47" i="44"/>
  <c r="Z47" i="44" s="1"/>
  <c r="I20" i="44"/>
  <c r="Q47" i="44"/>
  <c r="R47" i="44" s="1"/>
  <c r="U38" i="44"/>
  <c r="V38" i="44" s="1"/>
  <c r="BA36" i="44"/>
  <c r="BB36" i="44" s="1"/>
  <c r="Y19" i="44"/>
  <c r="AG20" i="44"/>
  <c r="AH20" i="44" s="1"/>
  <c r="M45" i="44"/>
  <c r="N45" i="44" s="1"/>
  <c r="AK19" i="44"/>
  <c r="M28" i="44"/>
  <c r="N28" i="44" s="1"/>
  <c r="AS21" i="44"/>
  <c r="AT21" i="44" s="1"/>
  <c r="Y33" i="44"/>
  <c r="Z33" i="44" s="1"/>
  <c r="AG19" i="44"/>
  <c r="AO34" i="44"/>
  <c r="AP34" i="44" s="1"/>
  <c r="AG31" i="44"/>
  <c r="AH31" i="44" s="1"/>
  <c r="BA37" i="44"/>
  <c r="BB37" i="44" s="1"/>
  <c r="BA30" i="44"/>
  <c r="BB30" i="44" s="1"/>
  <c r="AO11" i="44"/>
  <c r="BA51" i="44"/>
  <c r="AW20" i="44"/>
  <c r="AX20" i="44" s="1"/>
  <c r="BA21" i="44"/>
  <c r="BB21" i="44" s="1"/>
  <c r="AW22" i="44"/>
  <c r="AX22" i="44" s="1"/>
  <c r="DV52" i="42"/>
  <c r="F117" i="9"/>
  <c r="N13" i="47"/>
  <c r="F124" i="9"/>
  <c r="F120" i="9"/>
  <c r="F29" i="10"/>
  <c r="H32" i="10"/>
  <c r="F113" i="9"/>
  <c r="E37" i="43"/>
  <c r="K115" i="9"/>
  <c r="E32" i="10"/>
  <c r="F111" i="9"/>
  <c r="B16" i="22"/>
  <c r="K122" i="9"/>
  <c r="E15" i="43"/>
  <c r="K123" i="9"/>
  <c r="E49" i="43"/>
  <c r="E21" i="43"/>
  <c r="I112" i="9"/>
  <c r="F112" i="9"/>
  <c r="K108" i="9"/>
  <c r="K109" i="9"/>
  <c r="E33" i="43"/>
  <c r="H29" i="10"/>
  <c r="F107" i="9"/>
  <c r="D28" i="42"/>
  <c r="K101" i="9"/>
  <c r="F114" i="9"/>
  <c r="K110" i="9"/>
  <c r="E23" i="43"/>
  <c r="E9" i="43"/>
  <c r="E32" i="43"/>
  <c r="K106" i="9"/>
  <c r="H30" i="10"/>
  <c r="K114" i="9"/>
  <c r="G14" i="47"/>
  <c r="K118" i="9"/>
  <c r="F108" i="9"/>
  <c r="E32" i="42"/>
  <c r="K102" i="9"/>
  <c r="G13" i="47"/>
  <c r="B38" i="22" s="1"/>
  <c r="K105" i="9"/>
  <c r="E56" i="43"/>
  <c r="E34" i="43"/>
  <c r="E31" i="43"/>
  <c r="F57" i="43"/>
  <c r="F122" i="9"/>
  <c r="C89" i="22"/>
  <c r="F115" i="9"/>
  <c r="F116" i="9"/>
  <c r="E30" i="43"/>
  <c r="K113" i="9"/>
  <c r="I100" i="9"/>
  <c r="F119" i="9"/>
  <c r="F105" i="9"/>
  <c r="E36" i="43"/>
  <c r="F103" i="9"/>
  <c r="E25" i="43"/>
  <c r="F106" i="9"/>
  <c r="K121" i="9"/>
  <c r="D53" i="10"/>
  <c r="E27" i="42"/>
  <c r="K117" i="9"/>
  <c r="J12" i="46"/>
  <c r="E51" i="43"/>
  <c r="F110" i="9"/>
  <c r="F102" i="9"/>
  <c r="K107" i="9"/>
  <c r="AH12" i="46"/>
  <c r="F123" i="9"/>
  <c r="E57" i="43"/>
  <c r="F32" i="10"/>
  <c r="F30" i="10"/>
  <c r="K103" i="9"/>
  <c r="I115" i="9"/>
  <c r="K116" i="9"/>
  <c r="E14" i="43"/>
  <c r="F100" i="9"/>
  <c r="K111" i="9"/>
  <c r="D32" i="10"/>
  <c r="E27" i="43"/>
  <c r="E30" i="10"/>
  <c r="K112" i="9"/>
  <c r="G32" i="10"/>
  <c r="E20" i="43"/>
  <c r="K104" i="9"/>
  <c r="F121" i="9"/>
  <c r="E16" i="43"/>
  <c r="E19" i="43"/>
  <c r="I107" i="9"/>
  <c r="B13" i="46"/>
  <c r="F109" i="9"/>
  <c r="G30" i="10"/>
  <c r="K120" i="9"/>
  <c r="K100" i="9"/>
  <c r="F118" i="9"/>
  <c r="D33" i="42"/>
  <c r="E30" i="42"/>
  <c r="D37" i="42"/>
  <c r="D22" i="42"/>
  <c r="C11" i="42"/>
  <c r="D40" i="10"/>
  <c r="D34" i="42"/>
  <c r="E29" i="10"/>
  <c r="B17" i="22"/>
  <c r="E11" i="42"/>
  <c r="C17" i="42"/>
  <c r="J12" i="45"/>
  <c r="E42" i="43"/>
  <c r="AB13" i="47"/>
  <c r="C29" i="42"/>
  <c r="F50" i="43"/>
  <c r="C38" i="42"/>
  <c r="D49" i="42"/>
  <c r="B12" i="45"/>
  <c r="C18" i="42"/>
  <c r="B18" i="22"/>
  <c r="I123" i="9"/>
  <c r="C35" i="42"/>
  <c r="E54" i="42"/>
  <c r="E16" i="42"/>
  <c r="D13" i="42"/>
  <c r="C24" i="42"/>
  <c r="C30" i="42"/>
  <c r="F42" i="43"/>
  <c r="E28" i="43"/>
  <c r="E35" i="43"/>
  <c r="E22" i="43"/>
  <c r="I103" i="9"/>
  <c r="E28" i="42"/>
  <c r="F29" i="43"/>
  <c r="B27" i="22"/>
  <c r="D60" i="10"/>
  <c r="E21" i="42"/>
  <c r="B12" i="46"/>
  <c r="F14" i="43"/>
  <c r="B28" i="22"/>
  <c r="I120" i="9"/>
  <c r="C22" i="42"/>
  <c r="Z12" i="45"/>
  <c r="E55" i="42"/>
  <c r="C16" i="42"/>
  <c r="E33" i="42"/>
  <c r="E26" i="43"/>
  <c r="F101" i="9"/>
  <c r="F51" i="43"/>
  <c r="D18" i="42"/>
  <c r="E29" i="43"/>
  <c r="F24" i="43"/>
  <c r="K119" i="9"/>
  <c r="F56" i="43"/>
  <c r="E25" i="42"/>
  <c r="C13" i="42"/>
  <c r="R12" i="45"/>
  <c r="D21" i="42"/>
  <c r="F32" i="43"/>
  <c r="D48" i="42"/>
  <c r="Z12" i="46"/>
  <c r="I114" i="9"/>
  <c r="I116" i="9"/>
  <c r="F37" i="43"/>
  <c r="D17" i="42"/>
  <c r="C33" i="42"/>
  <c r="E39" i="42"/>
  <c r="D35" i="42"/>
  <c r="D38" i="42"/>
  <c r="D56" i="10"/>
  <c r="D54" i="42"/>
  <c r="B30" i="22"/>
  <c r="D52" i="10"/>
  <c r="C48" i="42"/>
  <c r="C34" i="42"/>
  <c r="D42" i="10"/>
  <c r="C37" i="42"/>
  <c r="K124" i="9"/>
  <c r="E40" i="42"/>
  <c r="E38" i="42"/>
  <c r="F23" i="43"/>
  <c r="I121" i="9"/>
  <c r="C54" i="42"/>
  <c r="D30" i="10"/>
  <c r="E48" i="42"/>
  <c r="F28" i="43"/>
  <c r="F104" i="9"/>
  <c r="F31" i="43"/>
  <c r="F27" i="43"/>
  <c r="E24" i="43"/>
  <c r="AI13" i="47"/>
  <c r="E11" i="43"/>
  <c r="I101" i="9"/>
  <c r="C27" i="42"/>
  <c r="D16" i="42"/>
  <c r="E35" i="42"/>
  <c r="E49" i="42"/>
  <c r="D26" i="42"/>
  <c r="B19" i="22"/>
  <c r="D43" i="10"/>
  <c r="E29" i="42"/>
  <c r="F16" i="43"/>
  <c r="F33" i="43"/>
  <c r="I108" i="9"/>
  <c r="D23" i="42"/>
  <c r="D54" i="10"/>
  <c r="C39" i="42"/>
  <c r="D39" i="42"/>
  <c r="C90" i="22"/>
  <c r="D36" i="10"/>
  <c r="E18" i="42"/>
  <c r="D55" i="42"/>
  <c r="I113" i="9"/>
  <c r="I118" i="9"/>
  <c r="D31" i="42"/>
  <c r="E50" i="43"/>
  <c r="G29" i="10"/>
  <c r="R12" i="46"/>
  <c r="R13" i="46" s="1"/>
  <c r="E47" i="42"/>
  <c r="I111" i="9"/>
  <c r="E23" i="42"/>
  <c r="D39" i="10"/>
  <c r="F25" i="43"/>
  <c r="D51" i="10"/>
  <c r="C47" i="42"/>
  <c r="B29" i="22"/>
  <c r="D46" i="10"/>
  <c r="C36" i="42"/>
  <c r="F35" i="43"/>
  <c r="F26" i="43"/>
  <c r="F34" i="43"/>
  <c r="D29" i="42"/>
  <c r="D32" i="42"/>
  <c r="F9" i="43"/>
  <c r="F10" i="43" s="1"/>
  <c r="C26" i="42"/>
  <c r="AH12" i="45"/>
  <c r="E22" i="42"/>
  <c r="E36" i="42"/>
  <c r="I30" i="10"/>
  <c r="C23" i="42"/>
  <c r="D11" i="42"/>
  <c r="D12" i="42" s="1"/>
  <c r="D41" i="10"/>
  <c r="I32" i="10"/>
  <c r="D44" i="10"/>
  <c r="F36" i="43"/>
  <c r="D47" i="42"/>
  <c r="I124" i="9"/>
  <c r="D24" i="42"/>
  <c r="I106" i="9"/>
  <c r="C40" i="42"/>
  <c r="I29" i="10"/>
  <c r="I109" i="9"/>
  <c r="D58" i="10"/>
  <c r="D45" i="10"/>
  <c r="F49" i="43"/>
  <c r="D25" i="42"/>
  <c r="E37" i="42"/>
  <c r="C49" i="42"/>
  <c r="F30" i="43"/>
  <c r="D30" i="42"/>
  <c r="D49" i="10"/>
  <c r="D37" i="10"/>
  <c r="E26" i="42"/>
  <c r="I105" i="9"/>
  <c r="C28" i="42"/>
  <c r="D59" i="10"/>
  <c r="D48" i="10"/>
  <c r="E31" i="42"/>
  <c r="D27" i="42"/>
  <c r="F22" i="43"/>
  <c r="E24" i="42"/>
  <c r="I104" i="9"/>
  <c r="D38" i="10"/>
  <c r="C25" i="42"/>
  <c r="C32" i="42"/>
  <c r="F20" i="43"/>
  <c r="C87" i="22"/>
  <c r="U13" i="47"/>
  <c r="F21" i="43"/>
  <c r="I122" i="9"/>
  <c r="E17" i="42"/>
  <c r="I102" i="9"/>
  <c r="C21" i="42"/>
  <c r="I117" i="9"/>
  <c r="D50" i="10"/>
  <c r="D47" i="10"/>
  <c r="D55" i="10"/>
  <c r="F15" i="43"/>
  <c r="D40" i="42"/>
  <c r="H26" i="43"/>
  <c r="I119" i="9"/>
  <c r="E34" i="42"/>
  <c r="C31" i="42"/>
  <c r="C55" i="42"/>
  <c r="D57" i="10"/>
  <c r="D36" i="42"/>
  <c r="I110" i="9"/>
  <c r="J30" i="10"/>
  <c r="F19" i="43"/>
  <c r="F11" i="43"/>
  <c r="D29" i="10"/>
  <c r="G27" i="43"/>
  <c r="H20" i="43"/>
  <c r="G35" i="43"/>
  <c r="K30" i="10"/>
  <c r="J29" i="10"/>
  <c r="G14" i="43"/>
  <c r="G50" i="43"/>
  <c r="G28" i="43"/>
  <c r="G26" i="43"/>
  <c r="G23" i="43"/>
  <c r="G57" i="43"/>
  <c r="I32" i="43"/>
  <c r="G31" i="43"/>
  <c r="K29" i="10"/>
  <c r="G30" i="43"/>
  <c r="G33" i="43"/>
  <c r="G22" i="43"/>
  <c r="G34" i="43"/>
  <c r="H16" i="43"/>
  <c r="J32" i="10"/>
  <c r="K32" i="10"/>
  <c r="G24" i="43"/>
  <c r="G25" i="43"/>
  <c r="G29" i="43"/>
  <c r="G20" i="43"/>
  <c r="G19" i="43"/>
  <c r="H28" i="43"/>
  <c r="G42" i="43"/>
  <c r="G56" i="43"/>
  <c r="G15" i="43"/>
  <c r="H56" i="43"/>
  <c r="G37" i="43"/>
  <c r="G9" i="43"/>
  <c r="G10" i="43" s="1"/>
  <c r="H15" i="43"/>
  <c r="G21" i="43"/>
  <c r="G11" i="43"/>
  <c r="G49" i="43"/>
  <c r="G51" i="43"/>
  <c r="G16" i="43"/>
  <c r="H50" i="43"/>
  <c r="G36" i="43"/>
  <c r="K29" i="43"/>
  <c r="G32" i="43"/>
  <c r="I37" i="43"/>
  <c r="L29" i="10"/>
  <c r="H21" i="43"/>
  <c r="L30" i="10"/>
  <c r="H22" i="43"/>
  <c r="H49" i="43"/>
  <c r="H36" i="43"/>
  <c r="I25" i="43"/>
  <c r="H37" i="43"/>
  <c r="I14" i="43"/>
  <c r="H25" i="43"/>
  <c r="I50" i="43"/>
  <c r="I19" i="43"/>
  <c r="I34" i="43"/>
  <c r="H42" i="43"/>
  <c r="H51" i="43"/>
  <c r="H11" i="43"/>
  <c r="H30" i="43"/>
  <c r="I49" i="43"/>
  <c r="I9" i="43"/>
  <c r="I10" i="43" s="1"/>
  <c r="I57" i="43"/>
  <c r="I21" i="43"/>
  <c r="I27" i="43"/>
  <c r="I56" i="43"/>
  <c r="I16" i="43"/>
  <c r="H14" i="43"/>
  <c r="I11" i="43"/>
  <c r="I30" i="43"/>
  <c r="I36" i="43"/>
  <c r="H27" i="43"/>
  <c r="H32" i="43"/>
  <c r="H35" i="43"/>
  <c r="I35" i="43"/>
  <c r="H57" i="43"/>
  <c r="I28" i="43"/>
  <c r="I29" i="43"/>
  <c r="L32" i="10"/>
  <c r="H9" i="43"/>
  <c r="H10" i="43" s="1"/>
  <c r="I20" i="43"/>
  <c r="H24" i="43"/>
  <c r="I24" i="43"/>
  <c r="H33" i="43"/>
  <c r="I51" i="43"/>
  <c r="H19" i="43"/>
  <c r="I33" i="43"/>
  <c r="I31" i="43"/>
  <c r="I23" i="43"/>
  <c r="J27" i="43"/>
  <c r="M30" i="10"/>
  <c r="J11" i="43"/>
  <c r="J29" i="43"/>
  <c r="J36" i="43"/>
  <c r="J19" i="43"/>
  <c r="K35" i="43"/>
  <c r="K34" i="43"/>
  <c r="H34" i="43"/>
  <c r="J56" i="43"/>
  <c r="K20" i="43"/>
  <c r="K36" i="43"/>
  <c r="K9" i="43"/>
  <c r="K10" i="43" s="1"/>
  <c r="J57" i="43"/>
  <c r="J25" i="43"/>
  <c r="K50" i="43"/>
  <c r="J35" i="43"/>
  <c r="K57" i="43"/>
  <c r="J24" i="43"/>
  <c r="K15" i="43"/>
  <c r="K14" i="43"/>
  <c r="K49" i="43"/>
  <c r="J22" i="43"/>
  <c r="K16" i="43"/>
  <c r="J14" i="43"/>
  <c r="H29" i="43"/>
  <c r="J16" i="43"/>
  <c r="J42" i="43"/>
  <c r="K11" i="43"/>
  <c r="K25" i="43"/>
  <c r="K31" i="43"/>
  <c r="J33" i="43"/>
  <c r="K27" i="43"/>
  <c r="J21" i="43"/>
  <c r="K33" i="43"/>
  <c r="K30" i="43"/>
  <c r="J20" i="43"/>
  <c r="N29" i="10"/>
  <c r="M29" i="10"/>
  <c r="K56" i="43"/>
  <c r="K24" i="43"/>
  <c r="H31" i="43"/>
  <c r="J34" i="43"/>
  <c r="K22" i="43"/>
  <c r="K32" i="43"/>
  <c r="K26" i="43"/>
  <c r="J15" i="43"/>
  <c r="J23" i="43"/>
  <c r="K21" i="43"/>
  <c r="J50" i="43"/>
  <c r="K37" i="43"/>
  <c r="H23" i="43"/>
  <c r="I15" i="43"/>
  <c r="I26" i="43"/>
  <c r="I42" i="43"/>
  <c r="K51" i="43"/>
  <c r="J49" i="43"/>
  <c r="K23" i="43"/>
  <c r="K19" i="43"/>
  <c r="I22" i="43"/>
  <c r="J51" i="43"/>
  <c r="J31" i="43"/>
  <c r="N30" i="10"/>
  <c r="M32" i="10"/>
  <c r="J30" i="43"/>
  <c r="J28" i="43"/>
  <c r="M16" i="43"/>
  <c r="N51" i="43"/>
  <c r="M37" i="43"/>
  <c r="L14" i="43"/>
  <c r="K42" i="43"/>
  <c r="L34" i="43"/>
  <c r="L29" i="43"/>
  <c r="L37" i="43"/>
  <c r="L22" i="43"/>
  <c r="M23" i="43"/>
  <c r="M32" i="43"/>
  <c r="M51" i="43"/>
  <c r="M21" i="43"/>
  <c r="L50" i="43"/>
  <c r="L27" i="43"/>
  <c r="L15" i="43"/>
  <c r="M24" i="43"/>
  <c r="L35" i="43"/>
  <c r="M34" i="43"/>
  <c r="M28" i="43"/>
  <c r="J26" i="43"/>
  <c r="L36" i="43"/>
  <c r="J9" i="43"/>
  <c r="J10" i="43" s="1"/>
  <c r="M56" i="43"/>
  <c r="O32" i="10"/>
  <c r="J37" i="43"/>
  <c r="L19" i="43"/>
  <c r="M19" i="43"/>
  <c r="L57" i="43"/>
  <c r="M11" i="43"/>
  <c r="L49" i="43"/>
  <c r="M36" i="43"/>
  <c r="L24" i="43"/>
  <c r="L42" i="43"/>
  <c r="M57" i="43"/>
  <c r="M42" i="43"/>
  <c r="L23" i="43"/>
  <c r="M49" i="43"/>
  <c r="M50" i="43"/>
  <c r="M20" i="43"/>
  <c r="M27" i="43"/>
  <c r="M26" i="43"/>
  <c r="M33" i="43"/>
  <c r="L56" i="43"/>
  <c r="M30" i="43"/>
  <c r="N32" i="10"/>
  <c r="L21" i="43"/>
  <c r="L28" i="43"/>
  <c r="J32" i="43"/>
  <c r="M15" i="43"/>
  <c r="L9" i="43"/>
  <c r="L10" i="43" s="1"/>
  <c r="K28" i="43"/>
  <c r="L51" i="43"/>
  <c r="L31" i="43"/>
  <c r="M29" i="43"/>
  <c r="N16" i="43"/>
  <c r="N20" i="43"/>
  <c r="L11" i="43"/>
  <c r="O30" i="10"/>
  <c r="L33" i="43"/>
  <c r="M9" i="43"/>
  <c r="M10" i="43" s="1"/>
  <c r="M35" i="43"/>
  <c r="M22" i="43"/>
  <c r="L26" i="43"/>
  <c r="L20" i="43"/>
  <c r="M25" i="43"/>
  <c r="N37" i="43"/>
  <c r="N36" i="43"/>
  <c r="O14" i="43"/>
  <c r="N19" i="43"/>
  <c r="N49" i="43"/>
  <c r="N33" i="43"/>
  <c r="N35" i="43"/>
  <c r="N30" i="43"/>
  <c r="N50" i="43"/>
  <c r="N22" i="43"/>
  <c r="O29" i="10"/>
  <c r="N34" i="43"/>
  <c r="N32" i="43"/>
  <c r="N9" i="43"/>
  <c r="N10" i="43" s="1"/>
  <c r="L30" i="43"/>
  <c r="N57" i="43"/>
  <c r="N15" i="43"/>
  <c r="N27" i="43"/>
  <c r="L16" i="43"/>
  <c r="N24" i="43"/>
  <c r="N42" i="43"/>
  <c r="L32" i="43"/>
  <c r="M31" i="43"/>
  <c r="N23" i="43"/>
  <c r="N29" i="43"/>
  <c r="N31" i="43"/>
  <c r="N28" i="43"/>
  <c r="N56" i="43"/>
  <c r="L25" i="43"/>
  <c r="N26" i="43"/>
  <c r="M14" i="43"/>
  <c r="O57" i="43"/>
  <c r="N25" i="43"/>
  <c r="N14" i="43"/>
  <c r="N21" i="43"/>
  <c r="N11" i="43"/>
  <c r="O50" i="43"/>
  <c r="O27" i="43"/>
  <c r="O26" i="43"/>
  <c r="O29" i="43"/>
  <c r="O15" i="43"/>
  <c r="O42" i="43"/>
  <c r="O31" i="43"/>
  <c r="O51" i="43"/>
  <c r="O19" i="43"/>
  <c r="O22" i="43"/>
  <c r="O32" i="43"/>
  <c r="O20" i="43"/>
  <c r="O23" i="43"/>
  <c r="O33" i="43"/>
  <c r="O28" i="43"/>
  <c r="O25" i="43"/>
  <c r="O24" i="43"/>
  <c r="O37" i="43"/>
  <c r="O21" i="43"/>
  <c r="O35" i="43"/>
  <c r="O30" i="43"/>
  <c r="O11" i="43"/>
  <c r="O49" i="43"/>
  <c r="O56" i="43"/>
  <c r="O34" i="43"/>
  <c r="O36" i="43"/>
  <c r="O9" i="43"/>
  <c r="O10" i="43" s="1"/>
  <c r="O16" i="43"/>
  <c r="AI14" i="47" l="1"/>
  <c r="H31" i="10"/>
  <c r="Z13" i="46"/>
  <c r="D31" i="10"/>
  <c r="G31" i="10"/>
  <c r="O58" i="43"/>
  <c r="K58" i="43"/>
  <c r="T139" i="31"/>
  <c r="C140" i="31"/>
  <c r="N31" i="10"/>
  <c r="C24" i="43"/>
  <c r="G58" i="43"/>
  <c r="J31" i="10"/>
  <c r="F58" i="43"/>
  <c r="J58" i="43"/>
  <c r="D41" i="42"/>
  <c r="D42" i="42" s="1"/>
  <c r="E58" i="43"/>
  <c r="C56" i="43"/>
  <c r="AL19" i="44"/>
  <c r="AL39" i="44" s="1"/>
  <c r="AK39" i="44"/>
  <c r="AK40" i="44" s="1"/>
  <c r="N17" i="43"/>
  <c r="N12" i="43"/>
  <c r="N58" i="43"/>
  <c r="N43" i="43"/>
  <c r="N44" i="43" s="1"/>
  <c r="M17" i="43"/>
  <c r="M12" i="43"/>
  <c r="G43" i="43"/>
  <c r="G44" i="43" s="1"/>
  <c r="I31" i="10"/>
  <c r="C56" i="42"/>
  <c r="C29" i="43"/>
  <c r="Z13" i="45"/>
  <c r="C30" i="22"/>
  <c r="C28" i="22"/>
  <c r="C27" i="22"/>
  <c r="E28" i="22" s="1"/>
  <c r="D27" i="22"/>
  <c r="C29" i="22"/>
  <c r="J13" i="45"/>
  <c r="C34" i="43"/>
  <c r="AO17" i="44"/>
  <c r="AO12" i="44"/>
  <c r="AP12" i="44" s="1"/>
  <c r="AP11" i="44"/>
  <c r="J20" i="44"/>
  <c r="E20" i="44"/>
  <c r="F20" i="44" s="1"/>
  <c r="R8" i="44"/>
  <c r="Q9" i="44"/>
  <c r="R9" i="44" s="1"/>
  <c r="AX51" i="44"/>
  <c r="AX53" i="44" s="1"/>
  <c r="AW53" i="44"/>
  <c r="E30" i="44"/>
  <c r="F30" i="44" s="1"/>
  <c r="J30" i="44"/>
  <c r="AP51" i="44"/>
  <c r="AP53" i="44" s="1"/>
  <c r="AO53" i="44"/>
  <c r="J35" i="44"/>
  <c r="E35" i="44"/>
  <c r="F35" i="44" s="1"/>
  <c r="AD19" i="44"/>
  <c r="AD39" i="44" s="1"/>
  <c r="AC39" i="44"/>
  <c r="AC40" i="44" s="1"/>
  <c r="AC9" i="44"/>
  <c r="AD9" i="44" s="1"/>
  <c r="AD8" i="44"/>
  <c r="U17" i="44"/>
  <c r="U12" i="44"/>
  <c r="V12" i="44" s="1"/>
  <c r="V11" i="44"/>
  <c r="E8" i="44"/>
  <c r="I9" i="44"/>
  <c r="J9" i="44" s="1"/>
  <c r="J8" i="44"/>
  <c r="O17" i="43"/>
  <c r="O12" i="43"/>
  <c r="L58" i="43"/>
  <c r="M43" i="43"/>
  <c r="M44" i="43" s="1"/>
  <c r="J43" i="43"/>
  <c r="J44" i="43" s="1"/>
  <c r="I43" i="43"/>
  <c r="I44" i="43" s="1"/>
  <c r="D90" i="22"/>
  <c r="D89" i="22"/>
  <c r="D88" i="22"/>
  <c r="R13" i="45"/>
  <c r="D19" i="42"/>
  <c r="E31" i="10"/>
  <c r="C25" i="43"/>
  <c r="C21" i="43"/>
  <c r="BA9" i="44"/>
  <c r="BB9" i="44" s="1"/>
  <c r="BB8" i="44"/>
  <c r="E38" i="44"/>
  <c r="F38" i="44" s="1"/>
  <c r="J38" i="44"/>
  <c r="E28" i="44"/>
  <c r="F28" i="44" s="1"/>
  <c r="J28" i="44"/>
  <c r="E37" i="44"/>
  <c r="F37" i="44" s="1"/>
  <c r="J37" i="44"/>
  <c r="M53" i="44"/>
  <c r="N51" i="44"/>
  <c r="N53" i="44" s="1"/>
  <c r="U14" i="47"/>
  <c r="B40" i="22"/>
  <c r="E21" i="44"/>
  <c r="F21" i="44" s="1"/>
  <c r="J21" i="44"/>
  <c r="M9" i="44"/>
  <c r="N9" i="44" s="1"/>
  <c r="N8" i="44"/>
  <c r="U9" i="44"/>
  <c r="V9" i="44" s="1"/>
  <c r="V8" i="44"/>
  <c r="O31" i="10"/>
  <c r="L43" i="43"/>
  <c r="L44" i="43" s="1"/>
  <c r="K17" i="43"/>
  <c r="K12" i="43"/>
  <c r="H43" i="43"/>
  <c r="H44" i="43" s="1"/>
  <c r="L31" i="10"/>
  <c r="H58" i="43"/>
  <c r="F17" i="43"/>
  <c r="F12" i="43"/>
  <c r="AH13" i="45"/>
  <c r="C19" i="42"/>
  <c r="E19" i="42"/>
  <c r="C19" i="43"/>
  <c r="E43" i="43"/>
  <c r="E44" i="43" s="1"/>
  <c r="C27" i="43"/>
  <c r="F31" i="10"/>
  <c r="C51" i="43"/>
  <c r="C49" i="43"/>
  <c r="C37" i="43"/>
  <c r="J23" i="44"/>
  <c r="E23" i="44"/>
  <c r="F23" i="44" s="1"/>
  <c r="AL8" i="44"/>
  <c r="AK9" i="44"/>
  <c r="AL9" i="44" s="1"/>
  <c r="Z51" i="44"/>
  <c r="Z53" i="44" s="1"/>
  <c r="Y53" i="44"/>
  <c r="J26" i="44"/>
  <c r="E26" i="44"/>
  <c r="F26" i="44" s="1"/>
  <c r="Y17" i="44"/>
  <c r="Y12" i="44"/>
  <c r="Z12" i="44" s="1"/>
  <c r="Z11" i="44"/>
  <c r="U53" i="44"/>
  <c r="V51" i="44"/>
  <c r="V53" i="44" s="1"/>
  <c r="J51" i="44"/>
  <c r="I53" i="44"/>
  <c r="E51" i="44"/>
  <c r="AD11" i="44"/>
  <c r="AC12" i="44"/>
  <c r="AD12" i="44" s="1"/>
  <c r="AC17" i="44"/>
  <c r="I17" i="44"/>
  <c r="I12" i="44"/>
  <c r="J12" i="44" s="1"/>
  <c r="E11" i="44"/>
  <c r="J11" i="44"/>
  <c r="J47" i="44"/>
  <c r="E47" i="44"/>
  <c r="F47" i="44" s="1"/>
  <c r="AG53" i="44"/>
  <c r="AH51" i="44"/>
  <c r="AH53" i="44" s="1"/>
  <c r="J24" i="44"/>
  <c r="E24" i="44"/>
  <c r="F24" i="44" s="1"/>
  <c r="L12" i="43"/>
  <c r="L17" i="43"/>
  <c r="I17" i="43"/>
  <c r="I12" i="43"/>
  <c r="F43" i="43"/>
  <c r="F44" i="43" s="1"/>
  <c r="C41" i="42"/>
  <c r="C42" i="42" s="1"/>
  <c r="D56" i="42"/>
  <c r="C26" i="43"/>
  <c r="C22" i="43"/>
  <c r="E56" i="42"/>
  <c r="C16" i="43"/>
  <c r="J13" i="46"/>
  <c r="C36" i="43"/>
  <c r="C32" i="43"/>
  <c r="Z19" i="44"/>
  <c r="Z39" i="44" s="1"/>
  <c r="Y39" i="44"/>
  <c r="Y40" i="44" s="1"/>
  <c r="V19" i="44"/>
  <c r="V39" i="44" s="1"/>
  <c r="U39" i="44"/>
  <c r="U40" i="44" s="1"/>
  <c r="AX19" i="44"/>
  <c r="AX39" i="44" s="1"/>
  <c r="AW39" i="44"/>
  <c r="AW40" i="44" s="1"/>
  <c r="AS9" i="44"/>
  <c r="AT9" i="44" s="1"/>
  <c r="AT8" i="44"/>
  <c r="J15" i="44"/>
  <c r="E15" i="44"/>
  <c r="F15" i="44" s="1"/>
  <c r="J32" i="44"/>
  <c r="E32" i="44"/>
  <c r="F32" i="44" s="1"/>
  <c r="AD51" i="44"/>
  <c r="AD53" i="44" s="1"/>
  <c r="AC53" i="44"/>
  <c r="J33" i="44"/>
  <c r="E33" i="44"/>
  <c r="F33" i="44" s="1"/>
  <c r="J34" i="44"/>
  <c r="E34" i="44"/>
  <c r="F34" i="44" s="1"/>
  <c r="M17" i="44"/>
  <c r="M12" i="44"/>
  <c r="N12" i="44" s="1"/>
  <c r="N11" i="44"/>
  <c r="J27" i="44"/>
  <c r="E27" i="44"/>
  <c r="F27" i="44" s="1"/>
  <c r="Z8" i="44"/>
  <c r="Y9" i="44"/>
  <c r="Z9" i="44" s="1"/>
  <c r="R19" i="44"/>
  <c r="R39" i="44" s="1"/>
  <c r="Q39" i="44"/>
  <c r="Q40" i="44" s="1"/>
  <c r="J48" i="31"/>
  <c r="C30" i="43"/>
  <c r="N14" i="47"/>
  <c r="B39" i="22"/>
  <c r="J45" i="44"/>
  <c r="E45" i="44"/>
  <c r="F45" i="44" s="1"/>
  <c r="J52" i="44"/>
  <c r="E52" i="44"/>
  <c r="F52" i="44" s="1"/>
  <c r="K43" i="43"/>
  <c r="K44" i="43" s="1"/>
  <c r="J17" i="43"/>
  <c r="J12" i="43"/>
  <c r="D61" i="10"/>
  <c r="H57" i="10"/>
  <c r="H49" i="10"/>
  <c r="AF56" i="45" s="1"/>
  <c r="H41" i="10"/>
  <c r="L57" i="45" s="1"/>
  <c r="H55" i="10"/>
  <c r="H47" i="10"/>
  <c r="AF54" i="45" s="1"/>
  <c r="H39" i="10"/>
  <c r="L55" i="45" s="1"/>
  <c r="H53" i="10"/>
  <c r="AF60" i="45" s="1"/>
  <c r="H45" i="10"/>
  <c r="H37" i="10"/>
  <c r="L53" i="45" s="1"/>
  <c r="H59" i="10"/>
  <c r="H51" i="10"/>
  <c r="AF58" i="45" s="1"/>
  <c r="H43" i="10"/>
  <c r="L59" i="45" s="1"/>
  <c r="H54" i="10"/>
  <c r="AF61" i="45" s="1"/>
  <c r="H46" i="10"/>
  <c r="AF53" i="45" s="1"/>
  <c r="H38" i="10"/>
  <c r="L54" i="45" s="1"/>
  <c r="H56" i="10"/>
  <c r="H48" i="10"/>
  <c r="AF55" i="45" s="1"/>
  <c r="H40" i="10"/>
  <c r="L56" i="45" s="1"/>
  <c r="H58" i="10"/>
  <c r="H50" i="10"/>
  <c r="AF57" i="45" s="1"/>
  <c r="H42" i="10"/>
  <c r="L58" i="45" s="1"/>
  <c r="H60" i="10"/>
  <c r="H52" i="10"/>
  <c r="AF59" i="45" s="1"/>
  <c r="H44" i="10"/>
  <c r="L60" i="45" s="1"/>
  <c r="H36" i="10"/>
  <c r="L52" i="45" s="1"/>
  <c r="C35" i="43"/>
  <c r="K125" i="9"/>
  <c r="E131" i="9" s="1"/>
  <c r="H131" i="9" s="1"/>
  <c r="C57" i="43"/>
  <c r="C9" i="43"/>
  <c r="E10" i="43"/>
  <c r="C33" i="43"/>
  <c r="C15" i="43"/>
  <c r="AH19" i="44"/>
  <c r="AH39" i="44" s="1"/>
  <c r="AG39" i="44"/>
  <c r="AG40" i="44" s="1"/>
  <c r="AX8" i="44"/>
  <c r="AW9" i="44"/>
  <c r="AX9" i="44" s="1"/>
  <c r="BA17" i="44"/>
  <c r="BA12" i="44"/>
  <c r="BB12" i="44" s="1"/>
  <c r="BB11" i="44"/>
  <c r="AO9" i="44"/>
  <c r="AP9" i="44" s="1"/>
  <c r="AP8" i="44"/>
  <c r="AS17" i="44"/>
  <c r="AS12" i="44"/>
  <c r="AT12" i="44" s="1"/>
  <c r="AT11" i="44"/>
  <c r="E29" i="44"/>
  <c r="F29" i="44" s="1"/>
  <c r="J29" i="44"/>
  <c r="M39" i="44"/>
  <c r="M40" i="44" s="1"/>
  <c r="N19" i="44"/>
  <c r="N39" i="44" s="1"/>
  <c r="J25" i="44"/>
  <c r="E25" i="44"/>
  <c r="F25" i="44" s="1"/>
  <c r="I39" i="44"/>
  <c r="I40" i="44" s="1"/>
  <c r="E19" i="44"/>
  <c r="J19" i="44"/>
  <c r="AG56" i="15"/>
  <c r="AQ56" i="15" s="1"/>
  <c r="K48" i="31"/>
  <c r="W57" i="15" s="1"/>
  <c r="E22" i="44"/>
  <c r="F22" i="44" s="1"/>
  <c r="J22" i="44"/>
  <c r="M58" i="43"/>
  <c r="M31" i="10"/>
  <c r="H17" i="43"/>
  <c r="H12" i="43"/>
  <c r="G17" i="43"/>
  <c r="G12" i="43"/>
  <c r="K31" i="10"/>
  <c r="E41" i="42"/>
  <c r="E42" i="42" s="1"/>
  <c r="C28" i="43"/>
  <c r="AB14" i="47"/>
  <c r="G118" i="9"/>
  <c r="L53" i="46" s="1"/>
  <c r="F125" i="9"/>
  <c r="E128" i="9" s="1"/>
  <c r="H128" i="9" s="1"/>
  <c r="G123" i="9"/>
  <c r="L58" i="46" s="1"/>
  <c r="G120" i="9"/>
  <c r="L55" i="46" s="1"/>
  <c r="G121" i="9"/>
  <c r="L56" i="46" s="1"/>
  <c r="G117" i="9"/>
  <c r="L52" i="46" s="1"/>
  <c r="G116" i="9"/>
  <c r="L51" i="46" s="1"/>
  <c r="G115" i="9"/>
  <c r="L50" i="46" s="1"/>
  <c r="G114" i="9"/>
  <c r="L49" i="46" s="1"/>
  <c r="G113" i="9"/>
  <c r="L48" i="46" s="1"/>
  <c r="G112" i="9"/>
  <c r="L47" i="46" s="1"/>
  <c r="G111" i="9"/>
  <c r="L46" i="46" s="1"/>
  <c r="G110" i="9"/>
  <c r="L45" i="46" s="1"/>
  <c r="G109" i="9"/>
  <c r="L44" i="46" s="1"/>
  <c r="G108" i="9"/>
  <c r="L43" i="46" s="1"/>
  <c r="G107" i="9"/>
  <c r="L42" i="46" s="1"/>
  <c r="G106" i="9"/>
  <c r="L41" i="46" s="1"/>
  <c r="G105" i="9"/>
  <c r="L40" i="46" s="1"/>
  <c r="G104" i="9"/>
  <c r="L39" i="46" s="1"/>
  <c r="G103" i="9"/>
  <c r="L38" i="46" s="1"/>
  <c r="G102" i="9"/>
  <c r="L37" i="46" s="1"/>
  <c r="G101" i="9"/>
  <c r="L36" i="46" s="1"/>
  <c r="G100" i="9"/>
  <c r="H100" i="9" s="1" a="1"/>
  <c r="H100" i="9" s="1"/>
  <c r="D35" i="46" s="1"/>
  <c r="G119" i="9"/>
  <c r="L54" i="46" s="1"/>
  <c r="G124" i="9"/>
  <c r="L59" i="46" s="1"/>
  <c r="G122" i="9"/>
  <c r="L57" i="46" s="1"/>
  <c r="C23" i="43"/>
  <c r="E16" i="44"/>
  <c r="F16" i="44" s="1"/>
  <c r="J16" i="44"/>
  <c r="E36" i="44"/>
  <c r="F36" i="44" s="1"/>
  <c r="J36" i="44"/>
  <c r="BB19" i="44"/>
  <c r="BB39" i="44" s="1"/>
  <c r="BA39" i="44"/>
  <c r="BA40" i="44" s="1"/>
  <c r="J14" i="44"/>
  <c r="E14" i="44"/>
  <c r="F14" i="44" s="1"/>
  <c r="AL51" i="44"/>
  <c r="AL53" i="44" s="1"/>
  <c r="AK53" i="44"/>
  <c r="R11" i="44"/>
  <c r="Q17" i="44"/>
  <c r="Q12" i="44"/>
  <c r="R12" i="44" s="1"/>
  <c r="AH11" i="44"/>
  <c r="AG17" i="44"/>
  <c r="AG12" i="44"/>
  <c r="AH12" i="44" s="1"/>
  <c r="AX11" i="44"/>
  <c r="AW17" i="44"/>
  <c r="AW12" i="44"/>
  <c r="AX12" i="44" s="1"/>
  <c r="O43" i="43"/>
  <c r="O44" i="43" s="1"/>
  <c r="I58" i="43"/>
  <c r="C50" i="43"/>
  <c r="C11" i="43"/>
  <c r="E17" i="43"/>
  <c r="E12" i="43"/>
  <c r="C42" i="43"/>
  <c r="C20" i="43"/>
  <c r="C14" i="43"/>
  <c r="AH13" i="46"/>
  <c r="I125" i="9"/>
  <c r="E130" i="9" s="1"/>
  <c r="H130" i="9" s="1"/>
  <c r="C31" i="43"/>
  <c r="D16" i="22"/>
  <c r="C18" i="22"/>
  <c r="C16" i="22"/>
  <c r="E17" i="22" s="1"/>
  <c r="C19" i="22"/>
  <c r="C17" i="22"/>
  <c r="BA53" i="44"/>
  <c r="BB51" i="44"/>
  <c r="BB53" i="44" s="1"/>
  <c r="AS53" i="44"/>
  <c r="AT51" i="44"/>
  <c r="AT53" i="44" s="1"/>
  <c r="AG9" i="44"/>
  <c r="AH9" i="44" s="1"/>
  <c r="AH8" i="44"/>
  <c r="AO39" i="44"/>
  <c r="AO40" i="44" s="1"/>
  <c r="AP19" i="44"/>
  <c r="AP39" i="44" s="1"/>
  <c r="AK17" i="44"/>
  <c r="AK12" i="44"/>
  <c r="AL12" i="44" s="1"/>
  <c r="AL11" i="44"/>
  <c r="R51" i="44"/>
  <c r="R53" i="44" s="1"/>
  <c r="Q53" i="44"/>
  <c r="J46" i="44"/>
  <c r="E46" i="44"/>
  <c r="F46" i="44" s="1"/>
  <c r="AS39" i="44"/>
  <c r="AS40" i="44" s="1"/>
  <c r="AT19" i="44"/>
  <c r="AT39" i="44" s="1"/>
  <c r="J31" i="44"/>
  <c r="E31" i="44"/>
  <c r="F31" i="44" s="1"/>
  <c r="J46" i="43" l="1"/>
  <c r="E46" i="43"/>
  <c r="E47" i="43" s="1"/>
  <c r="H46" i="43"/>
  <c r="H53" i="43" s="1"/>
  <c r="H60" i="43" s="1"/>
  <c r="I46" i="43"/>
  <c r="I53" i="43" s="1"/>
  <c r="I60" i="43" s="1"/>
  <c r="G46" i="43"/>
  <c r="G53" i="43" s="1"/>
  <c r="G60" i="43" s="1"/>
  <c r="G36" i="10" a="1"/>
  <c r="G36" i="10" s="1"/>
  <c r="D52" i="45" s="1"/>
  <c r="T140" i="31"/>
  <c r="C141" i="31"/>
  <c r="V40" i="44"/>
  <c r="G55" i="10" a="1"/>
  <c r="G55" i="10" s="1"/>
  <c r="X61" i="45" s="1"/>
  <c r="G60" i="10" a="1"/>
  <c r="G60" i="10" s="1"/>
  <c r="G38" i="10" a="1"/>
  <c r="G38" i="10" s="1"/>
  <c r="D54" i="45" s="1"/>
  <c r="N40" i="44"/>
  <c r="BB40" i="44"/>
  <c r="G58" i="10" a="1"/>
  <c r="G58" i="10" s="1"/>
  <c r="G56" i="10" a="1"/>
  <c r="G56" i="10" s="1"/>
  <c r="G59" i="10" a="1"/>
  <c r="G59" i="10" s="1"/>
  <c r="Z40" i="44"/>
  <c r="F46" i="43"/>
  <c r="F53" i="43" s="1"/>
  <c r="F60" i="43" s="1"/>
  <c r="G42" i="10" a="1"/>
  <c r="G42" i="10" s="1"/>
  <c r="D58" i="45" s="1"/>
  <c r="N46" i="43"/>
  <c r="N53" i="43" s="1"/>
  <c r="N60" i="43" s="1"/>
  <c r="H118" i="9" a="1"/>
  <c r="H118" i="9" s="1"/>
  <c r="D53" i="46" s="1"/>
  <c r="AG53" i="46" s="1" a="1"/>
  <c r="AG53" i="46" s="1"/>
  <c r="AL53" i="46" s="1"/>
  <c r="AP40" i="44"/>
  <c r="G57" i="10" a="1"/>
  <c r="G57" i="10" s="1"/>
  <c r="C17" i="43"/>
  <c r="G40" i="10" a="1"/>
  <c r="G40" i="10" s="1"/>
  <c r="D56" i="45" s="1"/>
  <c r="G37" i="10" a="1"/>
  <c r="G37" i="10" s="1"/>
  <c r="D53" i="45" s="1"/>
  <c r="L46" i="43"/>
  <c r="L53" i="43" s="1"/>
  <c r="L60" i="43" s="1"/>
  <c r="C44" i="42"/>
  <c r="C45" i="42" s="1"/>
  <c r="D44" i="42"/>
  <c r="D51" i="42" s="1"/>
  <c r="D58" i="42" s="1"/>
  <c r="E18" i="22"/>
  <c r="F17" i="22"/>
  <c r="G17" i="22" s="1"/>
  <c r="Q42" i="44"/>
  <c r="R17" i="44"/>
  <c r="R42" i="44" s="1"/>
  <c r="L35" i="46"/>
  <c r="G125" i="9"/>
  <c r="H109" i="9" a="1"/>
  <c r="H109" i="9" s="1"/>
  <c r="D44" i="46" s="1"/>
  <c r="AF52" i="45"/>
  <c r="L61" i="45"/>
  <c r="R40" i="44"/>
  <c r="E17" i="44"/>
  <c r="E12" i="44"/>
  <c r="F12" i="44" s="1"/>
  <c r="F11" i="44"/>
  <c r="J53" i="44"/>
  <c r="C43" i="43"/>
  <c r="C44" i="43" s="1"/>
  <c r="AG42" i="44"/>
  <c r="AH17" i="44"/>
  <c r="AH42" i="44" s="1"/>
  <c r="H103" i="9" a="1"/>
  <c r="H103" i="9" s="1"/>
  <c r="D38" i="46" s="1"/>
  <c r="H117" i="9" a="1"/>
  <c r="H117" i="9" s="1"/>
  <c r="D52" i="46" s="1"/>
  <c r="D20" i="22"/>
  <c r="F19" i="22"/>
  <c r="H123" i="9" a="1"/>
  <c r="H123" i="9" s="1"/>
  <c r="D58" i="46" s="1"/>
  <c r="H110" i="9" a="1"/>
  <c r="H110" i="9" s="1"/>
  <c r="D45" i="46" s="1"/>
  <c r="H121" i="9" a="1"/>
  <c r="H121" i="9" s="1"/>
  <c r="D56" i="46" s="1"/>
  <c r="J39" i="44"/>
  <c r="J40" i="44" s="1"/>
  <c r="BA42" i="44"/>
  <c r="BB17" i="44"/>
  <c r="BB42" i="44" s="1"/>
  <c r="G44" i="10" a="1"/>
  <c r="G44" i="10" s="1"/>
  <c r="D60" i="45" s="1"/>
  <c r="G47" i="10" a="1"/>
  <c r="G47" i="10" s="1"/>
  <c r="X53" i="45" s="1"/>
  <c r="E44" i="42"/>
  <c r="E30" i="22"/>
  <c r="F29" i="22"/>
  <c r="H111" i="9" a="1"/>
  <c r="H111" i="9" s="1"/>
  <c r="D46" i="46" s="1"/>
  <c r="E39" i="44"/>
  <c r="F19" i="44"/>
  <c r="F39" i="44" s="1"/>
  <c r="G45" i="10" a="1"/>
  <c r="G45" i="10" s="1"/>
  <c r="D61" i="45" s="1"/>
  <c r="J17" i="44"/>
  <c r="I42" i="44"/>
  <c r="K46" i="43"/>
  <c r="E19" i="22"/>
  <c r="F18" i="22"/>
  <c r="H102" i="9" a="1"/>
  <c r="H102" i="9" s="1"/>
  <c r="D37" i="46" s="1"/>
  <c r="H124" i="9" a="1"/>
  <c r="H124" i="9" s="1"/>
  <c r="D59" i="46" s="1"/>
  <c r="G48" i="10" a="1"/>
  <c r="G48" i="10" s="1"/>
  <c r="X54" i="45" s="1"/>
  <c r="G46" i="10" a="1"/>
  <c r="G46" i="10" s="1"/>
  <c r="X52" i="45" s="1"/>
  <c r="G43" i="10" a="1"/>
  <c r="G43" i="10" s="1"/>
  <c r="D59" i="45" s="1"/>
  <c r="J53" i="43"/>
  <c r="J60" i="43" s="1"/>
  <c r="J47" i="43"/>
  <c r="AD17" i="44"/>
  <c r="AD42" i="44" s="1"/>
  <c r="AC42" i="44"/>
  <c r="U42" i="44"/>
  <c r="V17" i="44"/>
  <c r="V42" i="44" s="1"/>
  <c r="H112" i="9" a="1"/>
  <c r="H112" i="9" s="1"/>
  <c r="D47" i="46" s="1"/>
  <c r="E53" i="43"/>
  <c r="E60" i="43" s="1"/>
  <c r="H104" i="9" a="1"/>
  <c r="H104" i="9" s="1"/>
  <c r="D39" i="46" s="1"/>
  <c r="H105" i="9" a="1"/>
  <c r="H105" i="9" s="1"/>
  <c r="D40" i="46" s="1"/>
  <c r="H113" i="9" a="1"/>
  <c r="H113" i="9" s="1"/>
  <c r="D48" i="46" s="1"/>
  <c r="AS42" i="44"/>
  <c r="AT17" i="44"/>
  <c r="AT42" i="44" s="1"/>
  <c r="G50" i="10" a="1"/>
  <c r="G50" i="10" s="1"/>
  <c r="X56" i="45" s="1"/>
  <c r="G54" i="10" a="1"/>
  <c r="G54" i="10" s="1"/>
  <c r="X60" i="45" s="1"/>
  <c r="G53" i="10" a="1"/>
  <c r="G53" i="10" s="1"/>
  <c r="X59" i="45" s="1"/>
  <c r="M57" i="15"/>
  <c r="M48" i="31"/>
  <c r="F28" i="22"/>
  <c r="G28" i="22" s="1"/>
  <c r="E29" i="22"/>
  <c r="AL40" i="44"/>
  <c r="H106" i="9" a="1"/>
  <c r="H106" i="9" s="1"/>
  <c r="D41" i="46" s="1"/>
  <c r="H114" i="9" a="1"/>
  <c r="H114" i="9" s="1"/>
  <c r="D49" i="46" s="1"/>
  <c r="H119" i="9" a="1"/>
  <c r="H119" i="9" s="1"/>
  <c r="D54" i="46" s="1"/>
  <c r="AH40" i="44"/>
  <c r="G41" i="10" a="1"/>
  <c r="G41" i="10" s="1"/>
  <c r="D57" i="45" s="1"/>
  <c r="G51" i="10" a="1"/>
  <c r="G51" i="10" s="1"/>
  <c r="X57" i="45" s="1"/>
  <c r="AX40" i="44"/>
  <c r="Z17" i="44"/>
  <c r="Z42" i="44" s="1"/>
  <c r="Y42" i="44"/>
  <c r="O46" i="43"/>
  <c r="D31" i="22"/>
  <c r="F30" i="22"/>
  <c r="M46" i="43"/>
  <c r="C58" i="43"/>
  <c r="AW42" i="44"/>
  <c r="AX17" i="44"/>
  <c r="AX42" i="44" s="1"/>
  <c r="H107" i="9" a="1"/>
  <c r="H107" i="9" s="1"/>
  <c r="D42" i="46" s="1"/>
  <c r="H115" i="9" a="1"/>
  <c r="H115" i="9" s="1"/>
  <c r="D50" i="46" s="1"/>
  <c r="G52" i="10" a="1"/>
  <c r="G52" i="10" s="1"/>
  <c r="X58" i="45" s="1"/>
  <c r="F48" i="31"/>
  <c r="H48" i="31" s="1"/>
  <c r="F51" i="44"/>
  <c r="F53" i="44" s="1"/>
  <c r="E53" i="44"/>
  <c r="F8" i="44"/>
  <c r="AP17" i="44"/>
  <c r="AP42" i="44" s="1"/>
  <c r="AO42" i="44"/>
  <c r="Q35" i="46" a="1"/>
  <c r="Q35" i="46" s="1"/>
  <c r="AG35" i="46" a="1"/>
  <c r="AG35" i="46" s="1"/>
  <c r="Y35" i="46" a="1"/>
  <c r="Y35" i="46" s="1"/>
  <c r="AT40" i="44"/>
  <c r="AK42" i="44"/>
  <c r="AL17" i="44"/>
  <c r="AL42" i="44" s="1"/>
  <c r="H101" i="9" a="1"/>
  <c r="H101" i="9" s="1"/>
  <c r="D36" i="46" s="1"/>
  <c r="H120" i="9" a="1"/>
  <c r="H120" i="9" s="1"/>
  <c r="D55" i="46" s="1"/>
  <c r="H108" i="9" a="1"/>
  <c r="H108" i="9" s="1"/>
  <c r="D43" i="46" s="1"/>
  <c r="H116" i="9" a="1"/>
  <c r="H116" i="9" s="1"/>
  <c r="D51" i="46" s="1"/>
  <c r="H122" i="9" a="1"/>
  <c r="H122" i="9" s="1"/>
  <c r="D57" i="46" s="1"/>
  <c r="G39" i="10" a="1"/>
  <c r="G39" i="10" s="1"/>
  <c r="D55" i="45" s="1"/>
  <c r="G49" i="10" a="1"/>
  <c r="G49" i="10" s="1"/>
  <c r="X55" i="45" s="1"/>
  <c r="M42" i="44"/>
  <c r="N17" i="44"/>
  <c r="N42" i="44" s="1"/>
  <c r="AD40" i="44"/>
  <c r="I47" i="43" l="1"/>
  <c r="G47" i="43"/>
  <c r="Q53" i="46" a="1"/>
  <c r="Q53" i="46" s="1"/>
  <c r="V53" i="46" s="1"/>
  <c r="Y53" i="46" a="1"/>
  <c r="Y53" i="46" s="1"/>
  <c r="AD53" i="46" s="1"/>
  <c r="N47" i="43"/>
  <c r="H47" i="43"/>
  <c r="F47" i="43"/>
  <c r="D45" i="42"/>
  <c r="T141" i="31"/>
  <c r="C142" i="31"/>
  <c r="L47" i="43"/>
  <c r="J42" i="44"/>
  <c r="J43" i="44" s="1"/>
  <c r="G29" i="22"/>
  <c r="C51" i="42"/>
  <c r="C58" i="42" s="1"/>
  <c r="Y36" i="46" a="1"/>
  <c r="Y36" i="46" s="1"/>
  <c r="AD36" i="46" s="1"/>
  <c r="Q36" i="46" a="1"/>
  <c r="Q36" i="46" s="1"/>
  <c r="AG36" i="46" a="1"/>
  <c r="AG36" i="46" s="1"/>
  <c r="AL36" i="46" s="1"/>
  <c r="O47" i="43"/>
  <c r="O53" i="43"/>
  <c r="O60" i="43" s="1"/>
  <c r="Y39" i="46" a="1"/>
  <c r="Y39" i="46" s="1"/>
  <c r="AD39" i="46" s="1"/>
  <c r="Q39" i="46" a="1"/>
  <c r="Q39" i="46" s="1"/>
  <c r="AG39" i="46" a="1"/>
  <c r="AG39" i="46" s="1"/>
  <c r="AL39" i="46" s="1"/>
  <c r="AO35" i="46"/>
  <c r="AL35" i="46"/>
  <c r="AD35" i="46"/>
  <c r="L60" i="46"/>
  <c r="V35" i="46"/>
  <c r="AG59" i="46" a="1"/>
  <c r="AG59" i="46" s="1"/>
  <c r="AL59" i="46" s="1"/>
  <c r="Y59" i="46" a="1"/>
  <c r="Y59" i="46" s="1"/>
  <c r="AD59" i="46" s="1"/>
  <c r="G19" i="22"/>
  <c r="BB49" i="44"/>
  <c r="BB55" i="44" s="1"/>
  <c r="BB43" i="44"/>
  <c r="R43" i="44"/>
  <c r="R49" i="44"/>
  <c r="R55" i="44" s="1"/>
  <c r="M43" i="44"/>
  <c r="M49" i="44"/>
  <c r="M55" i="44" s="1"/>
  <c r="G61" i="43"/>
  <c r="F61" i="43"/>
  <c r="E61" i="43"/>
  <c r="J61" i="43"/>
  <c r="I61" i="43"/>
  <c r="H61" i="43"/>
  <c r="AX49" i="44"/>
  <c r="AX55" i="44" s="1"/>
  <c r="AX43" i="44"/>
  <c r="J54" i="43"/>
  <c r="I54" i="43"/>
  <c r="H54" i="43"/>
  <c r="G54" i="43"/>
  <c r="F54" i="43"/>
  <c r="E54" i="43"/>
  <c r="V43" i="44"/>
  <c r="V49" i="44"/>
  <c r="V55" i="44" s="1"/>
  <c r="G30" i="22"/>
  <c r="BA49" i="44"/>
  <c r="BA55" i="44" s="1"/>
  <c r="BA43" i="44"/>
  <c r="Y44" i="46" a="1"/>
  <c r="Y44" i="46" s="1"/>
  <c r="AD44" i="46" s="1"/>
  <c r="Q44" i="46" a="1"/>
  <c r="Q44" i="46" s="1"/>
  <c r="AG44" i="46" a="1"/>
  <c r="AG44" i="46" s="1"/>
  <c r="AL44" i="46" s="1"/>
  <c r="Q43" i="44"/>
  <c r="Q49" i="44"/>
  <c r="Q55" i="44" s="1"/>
  <c r="AL43" i="44"/>
  <c r="AL49" i="44"/>
  <c r="AL55" i="44" s="1"/>
  <c r="AO49" i="44"/>
  <c r="AO55" i="44" s="1"/>
  <c r="AO43" i="44"/>
  <c r="AG50" i="46" a="1"/>
  <c r="AG50" i="46" s="1"/>
  <c r="AL50" i="46" s="1"/>
  <c r="Y50" i="46" a="1"/>
  <c r="Y50" i="46" s="1"/>
  <c r="AD50" i="46" s="1"/>
  <c r="Q50" i="46" a="1"/>
  <c r="Q50" i="46" s="1"/>
  <c r="AW49" i="44"/>
  <c r="AW55" i="44" s="1"/>
  <c r="AW43" i="44"/>
  <c r="Q54" i="46" a="1"/>
  <c r="Q54" i="46" s="1"/>
  <c r="AG54" i="46" a="1"/>
  <c r="AG54" i="46" s="1"/>
  <c r="AL54" i="46" s="1"/>
  <c r="Y54" i="46" a="1"/>
  <c r="Y54" i="46" s="1"/>
  <c r="AD54" i="46" s="1"/>
  <c r="AT43" i="44"/>
  <c r="AT49" i="44"/>
  <c r="AT55" i="44" s="1"/>
  <c r="U49" i="44"/>
  <c r="U55" i="44" s="1"/>
  <c r="U43" i="44"/>
  <c r="I49" i="44"/>
  <c r="I55" i="44" s="1"/>
  <c r="I43" i="44"/>
  <c r="E45" i="42"/>
  <c r="E51" i="42"/>
  <c r="E58" i="42" s="1"/>
  <c r="Y57" i="46" a="1"/>
  <c r="Y57" i="46" s="1"/>
  <c r="AD57" i="46" s="1"/>
  <c r="Q57" i="46" a="1"/>
  <c r="Q57" i="46" s="1"/>
  <c r="AG57" i="46" a="1"/>
  <c r="AG57" i="46" s="1"/>
  <c r="AL57" i="46" s="1"/>
  <c r="AK49" i="44"/>
  <c r="AK55" i="44" s="1"/>
  <c r="AK43" i="44"/>
  <c r="AP49" i="44"/>
  <c r="AP55" i="44" s="1"/>
  <c r="AP43" i="44"/>
  <c r="AG42" i="46" a="1"/>
  <c r="AG42" i="46" s="1"/>
  <c r="AL42" i="46" s="1"/>
  <c r="Y42" i="46" a="1"/>
  <c r="Y42" i="46" s="1"/>
  <c r="AD42" i="46" s="1"/>
  <c r="Q42" i="46" a="1"/>
  <c r="Q42" i="46" s="1"/>
  <c r="Y43" i="44"/>
  <c r="Y49" i="44"/>
  <c r="Y55" i="44" s="1"/>
  <c r="Y49" i="46" a="1"/>
  <c r="Y49" i="46" s="1"/>
  <c r="AD49" i="46" s="1"/>
  <c r="Q49" i="46" a="1"/>
  <c r="Q49" i="46" s="1"/>
  <c r="AG49" i="46" a="1"/>
  <c r="AG49" i="46" s="1"/>
  <c r="AL49" i="46" s="1"/>
  <c r="AS49" i="44"/>
  <c r="AS55" i="44" s="1"/>
  <c r="AS43" i="44"/>
  <c r="AG58" i="46" a="1"/>
  <c r="AG58" i="46" s="1"/>
  <c r="AL58" i="46" s="1"/>
  <c r="Y58" i="46" a="1"/>
  <c r="Y58" i="46" s="1"/>
  <c r="AD58" i="46" s="1"/>
  <c r="Q38" i="46" a="1"/>
  <c r="Q38" i="46" s="1"/>
  <c r="AG38" i="46" a="1"/>
  <c r="AG38" i="46" s="1"/>
  <c r="AL38" i="46" s="1"/>
  <c r="Y38" i="46" a="1"/>
  <c r="Y38" i="46" s="1"/>
  <c r="AD38" i="46" s="1"/>
  <c r="G18" i="22"/>
  <c r="Q43" i="46" a="1"/>
  <c r="Q43" i="46" s="1"/>
  <c r="AG43" i="46" a="1"/>
  <c r="AG43" i="46" s="1"/>
  <c r="AL43" i="46" s="1"/>
  <c r="Y43" i="46" a="1"/>
  <c r="Y43" i="46" s="1"/>
  <c r="AD43" i="46" s="1"/>
  <c r="Q51" i="46" a="1"/>
  <c r="Q51" i="46" s="1"/>
  <c r="AG51" i="46" a="1"/>
  <c r="AG51" i="46" s="1"/>
  <c r="AL51" i="46" s="1"/>
  <c r="Y51" i="46" a="1"/>
  <c r="Y51" i="46" s="1"/>
  <c r="AD51" i="46" s="1"/>
  <c r="H57" i="15"/>
  <c r="I48" i="31"/>
  <c r="M53" i="43"/>
  <c r="M60" i="43" s="1"/>
  <c r="M47" i="43"/>
  <c r="Z49" i="44"/>
  <c r="Z55" i="44" s="1"/>
  <c r="Z43" i="44"/>
  <c r="Y41" i="46" a="1"/>
  <c r="Y41" i="46" s="1"/>
  <c r="AD41" i="46" s="1"/>
  <c r="Q41" i="46" a="1"/>
  <c r="Q41" i="46" s="1"/>
  <c r="AG41" i="46" a="1"/>
  <c r="AG41" i="46" s="1"/>
  <c r="AL41" i="46" s="1"/>
  <c r="Y47" i="46" a="1"/>
  <c r="Y47" i="46" s="1"/>
  <c r="AD47" i="46" s="1"/>
  <c r="Q47" i="46" a="1"/>
  <c r="Q47" i="46" s="1"/>
  <c r="AG47" i="46" a="1"/>
  <c r="AG47" i="46" s="1"/>
  <c r="AL47" i="46" s="1"/>
  <c r="AC43" i="44"/>
  <c r="AC49" i="44"/>
  <c r="AC55" i="44" s="1"/>
  <c r="K53" i="43"/>
  <c r="K60" i="43" s="1"/>
  <c r="K47" i="43"/>
  <c r="Q46" i="46" a="1"/>
  <c r="Q46" i="46" s="1"/>
  <c r="AG46" i="46" a="1"/>
  <c r="AG46" i="46" s="1"/>
  <c r="AL46" i="46" s="1"/>
  <c r="Y46" i="46" a="1"/>
  <c r="Y46" i="46" s="1"/>
  <c r="AD46" i="46" s="1"/>
  <c r="AH43" i="44"/>
  <c r="AH49" i="44"/>
  <c r="AH55" i="44" s="1"/>
  <c r="C46" i="43"/>
  <c r="Q48" i="46" a="1"/>
  <c r="Q48" i="46" s="1"/>
  <c r="AG48" i="46" a="1"/>
  <c r="AG48" i="46" s="1"/>
  <c r="AL48" i="46" s="1"/>
  <c r="Y48" i="46" a="1"/>
  <c r="Y48" i="46" s="1"/>
  <c r="AD48" i="46" s="1"/>
  <c r="AD49" i="44"/>
  <c r="AD55" i="44" s="1"/>
  <c r="AD43" i="44"/>
  <c r="AG37" i="46" a="1"/>
  <c r="AG37" i="46" s="1"/>
  <c r="AL37" i="46" s="1"/>
  <c r="Y37" i="46" a="1"/>
  <c r="Y37" i="46" s="1"/>
  <c r="AD37" i="46" s="1"/>
  <c r="Q37" i="46" a="1"/>
  <c r="Q37" i="46" s="1"/>
  <c r="Q56" i="46" a="1"/>
  <c r="Q56" i="46" s="1"/>
  <c r="AG56" i="46" a="1"/>
  <c r="AG56" i="46" s="1"/>
  <c r="AL56" i="46" s="1"/>
  <c r="Y56" i="46" a="1"/>
  <c r="Y56" i="46" s="1"/>
  <c r="AD56" i="46" s="1"/>
  <c r="AG43" i="44"/>
  <c r="AG49" i="44"/>
  <c r="AG55" i="44" s="1"/>
  <c r="E42" i="44"/>
  <c r="F17" i="44"/>
  <c r="F42" i="44" s="1"/>
  <c r="N43" i="44"/>
  <c r="N49" i="44"/>
  <c r="N55" i="44" s="1"/>
  <c r="Y55" i="46" a="1"/>
  <c r="Y55" i="46" s="1"/>
  <c r="AD55" i="46" s="1"/>
  <c r="Q55" i="46" a="1"/>
  <c r="Q55" i="46" s="1"/>
  <c r="AG55" i="46" a="1"/>
  <c r="AG55" i="46" s="1"/>
  <c r="AL55" i="46" s="1"/>
  <c r="Q40" i="46" a="1"/>
  <c r="Q40" i="46" s="1"/>
  <c r="AG40" i="46" a="1"/>
  <c r="AG40" i="46" s="1"/>
  <c r="AL40" i="46" s="1"/>
  <c r="Y40" i="46" a="1"/>
  <c r="Y40" i="46" s="1"/>
  <c r="AD40" i="46" s="1"/>
  <c r="AG45" i="46" a="1"/>
  <c r="AG45" i="46" s="1"/>
  <c r="AL45" i="46" s="1"/>
  <c r="Y45" i="46" a="1"/>
  <c r="Y45" i="46" s="1"/>
  <c r="AD45" i="46" s="1"/>
  <c r="Q45" i="46" a="1"/>
  <c r="Q45" i="46" s="1"/>
  <c r="Y52" i="46" a="1"/>
  <c r="Y52" i="46" s="1"/>
  <c r="AD52" i="46" s="1"/>
  <c r="Q52" i="46" a="1"/>
  <c r="Q52" i="46" s="1"/>
  <c r="AG52" i="46" a="1"/>
  <c r="AG52" i="46" s="1"/>
  <c r="AL52" i="46" s="1"/>
  <c r="AO53" i="46" l="1"/>
  <c r="J49" i="44"/>
  <c r="J55" i="44" s="1"/>
  <c r="T142" i="31"/>
  <c r="C143" i="31"/>
  <c r="N61" i="43"/>
  <c r="V56" i="46"/>
  <c r="AO56" i="46"/>
  <c r="V48" i="46"/>
  <c r="AO48" i="46"/>
  <c r="V38" i="46"/>
  <c r="AO38" i="46"/>
  <c r="V42" i="46"/>
  <c r="AO42" i="46"/>
  <c r="V57" i="46"/>
  <c r="AO57" i="46"/>
  <c r="AO50" i="46"/>
  <c r="V50" i="46"/>
  <c r="O54" i="43"/>
  <c r="AO37" i="46"/>
  <c r="V37" i="46"/>
  <c r="C53" i="43"/>
  <c r="C60" i="43" s="1"/>
  <c r="C47" i="43"/>
  <c r="AO51" i="46"/>
  <c r="V51" i="46"/>
  <c r="K54" i="43"/>
  <c r="O61" i="43"/>
  <c r="F43" i="44"/>
  <c r="F49" i="44"/>
  <c r="F55" i="44" s="1"/>
  <c r="V44" i="46"/>
  <c r="AO44" i="46"/>
  <c r="L54" i="43"/>
  <c r="K61" i="43"/>
  <c r="V45" i="46"/>
  <c r="AO45" i="46"/>
  <c r="AO49" i="46"/>
  <c r="V49" i="46"/>
  <c r="L61" i="43"/>
  <c r="V52" i="46"/>
  <c r="AO52" i="46"/>
  <c r="V47" i="46"/>
  <c r="AO47" i="46"/>
  <c r="AO43" i="46"/>
  <c r="V43" i="46"/>
  <c r="M54" i="43"/>
  <c r="AG60" i="46"/>
  <c r="V40" i="46"/>
  <c r="AO40" i="46"/>
  <c r="E49" i="44"/>
  <c r="E55" i="44" s="1"/>
  <c r="E43" i="44"/>
  <c r="Y60" i="46"/>
  <c r="R57" i="15"/>
  <c r="L48" i="31"/>
  <c r="V54" i="46"/>
  <c r="AO54" i="46"/>
  <c r="M61" i="43"/>
  <c r="V55" i="46"/>
  <c r="AO55" i="46"/>
  <c r="V46" i="46"/>
  <c r="AO46" i="46"/>
  <c r="N54" i="43"/>
  <c r="V36" i="46"/>
  <c r="AO36" i="46"/>
  <c r="V41" i="46"/>
  <c r="AO41" i="46"/>
  <c r="V39" i="46"/>
  <c r="AO39" i="46"/>
  <c r="T143" i="31" l="1"/>
  <c r="C144" i="31"/>
  <c r="AB57" i="15"/>
  <c r="N48" i="31"/>
  <c r="D49" i="31"/>
  <c r="T144" i="31" l="1"/>
  <c r="C145" i="31"/>
  <c r="AG57" i="15"/>
  <c r="AQ57" i="15" s="1"/>
  <c r="K49" i="31"/>
  <c r="W58" i="15" s="1"/>
  <c r="J49" i="31"/>
  <c r="T145" i="31" l="1"/>
  <c r="C146" i="31"/>
  <c r="M58" i="15"/>
  <c r="M49" i="31"/>
  <c r="F49" i="31"/>
  <c r="H49" i="31" s="1"/>
  <c r="T146" i="31" l="1"/>
  <c r="C147" i="31"/>
  <c r="H58" i="15"/>
  <c r="I49" i="31"/>
  <c r="T147" i="31" l="1"/>
  <c r="C148" i="31"/>
  <c r="R58" i="15"/>
  <c r="L49" i="31"/>
  <c r="T148" i="31" l="1"/>
  <c r="C149" i="31"/>
  <c r="AB58" i="15"/>
  <c r="N49" i="31"/>
  <c r="D50" i="31"/>
  <c r="T149" i="31" l="1"/>
  <c r="C150" i="31"/>
  <c r="AG58" i="15"/>
  <c r="AQ58" i="15" s="1"/>
  <c r="K50" i="31"/>
  <c r="W59" i="15" s="1"/>
  <c r="J50" i="31"/>
  <c r="T150" i="31" l="1"/>
  <c r="C151" i="31"/>
  <c r="M59" i="15"/>
  <c r="M50" i="31"/>
  <c r="F50" i="31"/>
  <c r="H50" i="31" s="1"/>
  <c r="T151" i="31" l="1"/>
  <c r="C152" i="31"/>
  <c r="H59" i="15"/>
  <c r="I50" i="31"/>
  <c r="T152" i="31" l="1"/>
  <c r="C153" i="31"/>
  <c r="R59" i="15"/>
  <c r="L50" i="31"/>
  <c r="T153" i="31" l="1"/>
  <c r="C154" i="31"/>
  <c r="AB59" i="15"/>
  <c r="N50" i="31"/>
  <c r="D51" i="31"/>
  <c r="T154" i="31" l="1"/>
  <c r="C155" i="31"/>
  <c r="AG59" i="15"/>
  <c r="AQ59" i="15" s="1"/>
  <c r="K51" i="31"/>
  <c r="W60" i="15" s="1"/>
  <c r="J51" i="31"/>
  <c r="T155" i="31" l="1"/>
  <c r="C156" i="31"/>
  <c r="M60" i="15"/>
  <c r="M51" i="31"/>
  <c r="F51" i="31"/>
  <c r="H51" i="31" s="1"/>
  <c r="T156" i="31" l="1"/>
  <c r="C157" i="31"/>
  <c r="H60" i="15"/>
  <c r="I51" i="31"/>
  <c r="T157" i="31" l="1"/>
  <c r="C158" i="31"/>
  <c r="R60" i="15"/>
  <c r="L51" i="31"/>
  <c r="T158" i="31" l="1"/>
  <c r="C159" i="31"/>
  <c r="AB60" i="15"/>
  <c r="N51" i="31"/>
  <c r="D52" i="31"/>
  <c r="T159" i="31" l="1"/>
  <c r="C160" i="31"/>
  <c r="J52" i="31"/>
  <c r="AG60" i="15"/>
  <c r="AQ60" i="15" s="1"/>
  <c r="K52" i="31"/>
  <c r="W61" i="15" s="1"/>
  <c r="T160" i="31" l="1"/>
  <c r="C161" i="31"/>
  <c r="M61" i="15"/>
  <c r="M52" i="31"/>
  <c r="F52" i="31"/>
  <c r="H52" i="31" s="1"/>
  <c r="T161" i="31" l="1"/>
  <c r="C162" i="31"/>
  <c r="H61" i="15"/>
  <c r="I52" i="31"/>
  <c r="T162" i="31" l="1"/>
  <c r="C163" i="31"/>
  <c r="R61" i="15"/>
  <c r="L52" i="31"/>
  <c r="T163" i="31" l="1"/>
  <c r="C164" i="31"/>
  <c r="AB61" i="15"/>
  <c r="N52" i="31"/>
  <c r="D53" i="31"/>
  <c r="T164" i="31" l="1"/>
  <c r="C165" i="31"/>
  <c r="J53" i="31"/>
  <c r="AG61" i="15"/>
  <c r="AQ61" i="15" s="1"/>
  <c r="K53" i="31"/>
  <c r="W62" i="15" s="1"/>
  <c r="T165" i="31" l="1"/>
  <c r="C166" i="31"/>
  <c r="M62" i="15"/>
  <c r="M53" i="31"/>
  <c r="F53" i="31"/>
  <c r="H53" i="31" s="1"/>
  <c r="T166" i="31" l="1"/>
  <c r="C167" i="31"/>
  <c r="H62" i="15"/>
  <c r="I53" i="31"/>
  <c r="T167" i="31" l="1"/>
  <c r="C168" i="31"/>
  <c r="R62" i="15"/>
  <c r="L53" i="31"/>
  <c r="T168" i="31" l="1"/>
  <c r="C169" i="31"/>
  <c r="AB62" i="15"/>
  <c r="N53" i="31"/>
  <c r="D54" i="31"/>
  <c r="T169" i="31" l="1"/>
  <c r="C170" i="31"/>
  <c r="J54" i="31"/>
  <c r="AG62" i="15"/>
  <c r="AQ62" i="15" s="1"/>
  <c r="K54" i="31"/>
  <c r="W63" i="15" s="1"/>
  <c r="T170" i="31" l="1"/>
  <c r="C171" i="31"/>
  <c r="M63" i="15"/>
  <c r="M54" i="31"/>
  <c r="F54" i="31"/>
  <c r="H54" i="31" s="1"/>
  <c r="T171" i="31" l="1"/>
  <c r="C172" i="31"/>
  <c r="H63" i="15"/>
  <c r="I54" i="31"/>
  <c r="T172" i="31" l="1"/>
  <c r="C173" i="31"/>
  <c r="R63" i="15"/>
  <c r="L54" i="31"/>
  <c r="T173" i="31" l="1"/>
  <c r="C174" i="31"/>
  <c r="AB63" i="15"/>
  <c r="N54" i="31"/>
  <c r="D55" i="31"/>
  <c r="T174" i="31" l="1"/>
  <c r="C175" i="31"/>
  <c r="J55" i="31"/>
  <c r="AG63" i="15"/>
  <c r="AQ63" i="15" s="1"/>
  <c r="K55" i="31"/>
  <c r="W64" i="15" s="1"/>
  <c r="T175" i="31" l="1"/>
  <c r="C176" i="31"/>
  <c r="M64" i="15"/>
  <c r="M55" i="31"/>
  <c r="F55" i="31"/>
  <c r="H55" i="31" s="1"/>
  <c r="T176" i="31" l="1"/>
  <c r="C177" i="31"/>
  <c r="H64" i="15"/>
  <c r="I55" i="31"/>
  <c r="T177" i="31" l="1"/>
  <c r="C178" i="31"/>
  <c r="R64" i="15"/>
  <c r="L55" i="31"/>
  <c r="T178" i="31" l="1"/>
  <c r="C179" i="31"/>
  <c r="AB64" i="15"/>
  <c r="N55" i="31"/>
  <c r="D56" i="31"/>
  <c r="T179" i="31" l="1"/>
  <c r="C180" i="31"/>
  <c r="J56" i="31"/>
  <c r="AG64" i="15"/>
  <c r="AQ64" i="15" s="1"/>
  <c r="K56" i="31"/>
  <c r="W65" i="15" s="1"/>
  <c r="T180" i="31" l="1"/>
  <c r="C181" i="31"/>
  <c r="M65" i="15"/>
  <c r="M56" i="31"/>
  <c r="F56" i="31"/>
  <c r="H56" i="31" s="1"/>
  <c r="T181" i="31" l="1"/>
  <c r="C182" i="31"/>
  <c r="H65" i="15"/>
  <c r="I56" i="31"/>
  <c r="T182" i="31" l="1"/>
  <c r="C183" i="31"/>
  <c r="R65" i="15"/>
  <c r="L56" i="31"/>
  <c r="T183" i="31" l="1"/>
  <c r="C184" i="31"/>
  <c r="AB65" i="15"/>
  <c r="N56" i="31"/>
  <c r="D57" i="31"/>
  <c r="T184" i="31" l="1"/>
  <c r="C185" i="31"/>
  <c r="J57" i="31"/>
  <c r="AG65" i="15"/>
  <c r="AQ65" i="15" s="1"/>
  <c r="K57" i="31"/>
  <c r="W66" i="15" s="1"/>
  <c r="T185" i="31" l="1"/>
  <c r="C186" i="31"/>
  <c r="M66" i="15"/>
  <c r="M57" i="31"/>
  <c r="F57" i="31"/>
  <c r="H57" i="31" s="1"/>
  <c r="T186" i="31" l="1"/>
  <c r="C187" i="31"/>
  <c r="H66" i="15"/>
  <c r="I57" i="31"/>
  <c r="T187" i="31" l="1"/>
  <c r="C188" i="31"/>
  <c r="R66" i="15"/>
  <c r="L57" i="31"/>
  <c r="T188" i="31" l="1"/>
  <c r="C189" i="31"/>
  <c r="AB66" i="15"/>
  <c r="N57" i="31"/>
  <c r="D58" i="31"/>
  <c r="T189" i="31" l="1"/>
  <c r="C190" i="31"/>
  <c r="AG66" i="15"/>
  <c r="AQ66" i="15" s="1"/>
  <c r="K58" i="31"/>
  <c r="W67" i="15" s="1"/>
  <c r="J58" i="31"/>
  <c r="T190" i="31" l="1"/>
  <c r="C191" i="31"/>
  <c r="F58" i="31"/>
  <c r="H58" i="31" s="1"/>
  <c r="H67" i="15" s="1"/>
  <c r="M67" i="15"/>
  <c r="M58" i="31"/>
  <c r="T191" i="31" l="1"/>
  <c r="C192" i="31"/>
  <c r="I58" i="31"/>
  <c r="R67" i="15" s="1"/>
  <c r="T192" i="31" l="1"/>
  <c r="C193" i="31"/>
  <c r="L58" i="31"/>
  <c r="AB67" i="15" s="1"/>
  <c r="T193" i="31" l="1"/>
  <c r="C194" i="31"/>
  <c r="D59" i="31"/>
  <c r="J59" i="31" s="1"/>
  <c r="N58" i="31"/>
  <c r="K59" i="31" s="1"/>
  <c r="W68" i="15" s="1"/>
  <c r="T194" i="31" l="1"/>
  <c r="C195" i="31"/>
  <c r="AG67" i="15"/>
  <c r="AQ67" i="15" s="1"/>
  <c r="M68" i="15"/>
  <c r="M59" i="31"/>
  <c r="F59" i="31"/>
  <c r="H59" i="31" s="1"/>
  <c r="T195" i="31" l="1"/>
  <c r="C196" i="31"/>
  <c r="H68" i="15"/>
  <c r="I59" i="31"/>
  <c r="T196" i="31" l="1"/>
  <c r="E124" i="9"/>
  <c r="Q59" i="46" s="1" a="1"/>
  <c r="Q59" i="46" s="1"/>
  <c r="O123" i="9"/>
  <c r="O124" i="9"/>
  <c r="E123" i="9"/>
  <c r="Q58" i="46" s="1" a="1"/>
  <c r="Q58" i="46" s="1"/>
  <c r="R68" i="15"/>
  <c r="L59" i="31"/>
  <c r="AB17" i="47" l="1"/>
  <c r="AB18" i="47" s="1"/>
  <c r="Q60" i="46"/>
  <c r="V58" i="46"/>
  <c r="AO58" i="46"/>
  <c r="AO59" i="46"/>
  <c r="V59" i="46"/>
  <c r="F23" i="6"/>
  <c r="F21" i="6"/>
  <c r="F20" i="6"/>
  <c r="S20" i="6"/>
  <c r="T97" i="5" s="1"/>
  <c r="D23" i="6"/>
  <c r="S23" i="6"/>
  <c r="S21" i="6"/>
  <c r="T23" i="6"/>
  <c r="T21" i="6" s="1"/>
  <c r="U23" i="6"/>
  <c r="D20" i="6"/>
  <c r="V23" i="6"/>
  <c r="U21" i="6"/>
  <c r="V20" i="6"/>
  <c r="W97" i="5" s="1"/>
  <c r="W20" i="6"/>
  <c r="X97" i="5" s="1"/>
  <c r="W23" i="6"/>
  <c r="W21" i="6" s="1"/>
  <c r="T20" i="6"/>
  <c r="U97" i="5" s="1"/>
  <c r="U20" i="6"/>
  <c r="V21" i="6"/>
  <c r="X23" i="6"/>
  <c r="X21" i="6" s="1"/>
  <c r="Z23" i="6"/>
  <c r="Y20" i="6"/>
  <c r="X20" i="6"/>
  <c r="Y97" i="5" s="1"/>
  <c r="Z20" i="6"/>
  <c r="AA97" i="5" s="1"/>
  <c r="Z21" i="6"/>
  <c r="Y23" i="6"/>
  <c r="Y21" i="6" s="1"/>
  <c r="AC20" i="6"/>
  <c r="AA23" i="6"/>
  <c r="AA20" i="6"/>
  <c r="AB20" i="6"/>
  <c r="AC97" i="5" s="1"/>
  <c r="AC23" i="6"/>
  <c r="AC21" i="6"/>
  <c r="AB23" i="6"/>
  <c r="AB21" i="6" s="1"/>
  <c r="AE20" i="6"/>
  <c r="AD20" i="6"/>
  <c r="AD23" i="6"/>
  <c r="AD21" i="6" s="1"/>
  <c r="AE23" i="6"/>
  <c r="AE21" i="6" s="1"/>
  <c r="AF21" i="6"/>
  <c r="AG20" i="6"/>
  <c r="AF20" i="6"/>
  <c r="AF23" i="6"/>
  <c r="AG23" i="6"/>
  <c r="AH23" i="6"/>
  <c r="AH20" i="6"/>
  <c r="AI97" i="5" s="1"/>
  <c r="AB68" i="15"/>
  <c r="N59" i="31"/>
  <c r="D60" i="31"/>
  <c r="B41" i="22" l="1"/>
  <c r="AI17" i="47"/>
  <c r="AI18" i="47" s="1"/>
  <c r="AO33" i="46"/>
  <c r="T25" i="6"/>
  <c r="T14" i="6"/>
  <c r="W14" i="6"/>
  <c r="W25" i="6"/>
  <c r="AD25" i="6"/>
  <c r="AD14" i="6"/>
  <c r="AE35" i="6" s="1"/>
  <c r="Y25" i="6"/>
  <c r="Y14" i="6"/>
  <c r="Z35" i="6" s="1"/>
  <c r="AH26" i="6"/>
  <c r="AI98" i="5"/>
  <c r="AE26" i="6"/>
  <c r="AF98" i="5"/>
  <c r="AY78" i="16" s="1"/>
  <c r="AC14" i="6"/>
  <c r="AD35" i="6" s="1"/>
  <c r="AC25" i="6"/>
  <c r="Z14" i="6"/>
  <c r="Z25" i="6"/>
  <c r="V25" i="6"/>
  <c r="V14" i="6"/>
  <c r="W98" i="5"/>
  <c r="X78" i="16" s="1"/>
  <c r="V26" i="6"/>
  <c r="AH21" i="6"/>
  <c r="AC26" i="6"/>
  <c r="AD98" i="5"/>
  <c r="AS78" i="16" s="1"/>
  <c r="AJ76" i="16"/>
  <c r="V97" i="5"/>
  <c r="AG26" i="6"/>
  <c r="AH98" i="5"/>
  <c r="AD26" i="6"/>
  <c r="AE98" i="5"/>
  <c r="AV78" i="16" s="1"/>
  <c r="AP76" i="16"/>
  <c r="AD76" i="16"/>
  <c r="R76" i="16"/>
  <c r="E97" i="5"/>
  <c r="G97" i="5"/>
  <c r="AF26" i="6"/>
  <c r="AG98" i="5"/>
  <c r="BB78" i="16" s="1"/>
  <c r="AE97" i="5"/>
  <c r="AB97" i="5"/>
  <c r="U26" i="6"/>
  <c r="V98" i="5"/>
  <c r="U78" i="16" s="1"/>
  <c r="T98" i="5"/>
  <c r="O78" i="16" s="1"/>
  <c r="S26" i="6"/>
  <c r="AG97" i="5"/>
  <c r="AA26" i="6"/>
  <c r="AB98" i="5"/>
  <c r="AM78" i="16" s="1"/>
  <c r="Z97" i="5"/>
  <c r="W26" i="6"/>
  <c r="X98" i="5"/>
  <c r="T26" i="6"/>
  <c r="U98" i="5"/>
  <c r="R78" i="16" s="1"/>
  <c r="D21" i="6"/>
  <c r="D26" i="6"/>
  <c r="E98" i="5"/>
  <c r="F26" i="6"/>
  <c r="G98" i="5"/>
  <c r="AH97" i="5"/>
  <c r="AF97" i="5"/>
  <c r="AA21" i="6"/>
  <c r="Z26" i="6"/>
  <c r="AA98" i="5"/>
  <c r="AJ78" i="16" s="1"/>
  <c r="AA76" i="16"/>
  <c r="AQ39" i="8"/>
  <c r="S25" i="6"/>
  <c r="S14" i="6"/>
  <c r="AE14" i="6"/>
  <c r="AE25" i="6"/>
  <c r="AG21" i="6"/>
  <c r="AB26" i="6"/>
  <c r="AC98" i="5"/>
  <c r="AP78" i="16" s="1"/>
  <c r="AD97" i="5"/>
  <c r="X26" i="6"/>
  <c r="Y98" i="5"/>
  <c r="AD78" i="16" s="1"/>
  <c r="X76" i="16"/>
  <c r="AF14" i="6"/>
  <c r="AG35" i="6" s="1"/>
  <c r="AF25" i="6"/>
  <c r="AB25" i="6"/>
  <c r="AB14" i="6"/>
  <c r="Y26" i="6"/>
  <c r="Z98" i="5"/>
  <c r="AG78" i="16" s="1"/>
  <c r="X25" i="6"/>
  <c r="X14" i="6"/>
  <c r="U25" i="6"/>
  <c r="U14" i="6"/>
  <c r="O76" i="16"/>
  <c r="F25" i="6"/>
  <c r="F14" i="6"/>
  <c r="G35" i="6" s="1"/>
  <c r="J60" i="31"/>
  <c r="AG68" i="15"/>
  <c r="AQ68" i="15" s="1"/>
  <c r="K60" i="31"/>
  <c r="B37" i="22" l="1"/>
  <c r="C40" i="22" s="1"/>
  <c r="X187" i="5"/>
  <c r="T186" i="5"/>
  <c r="W187" i="5"/>
  <c r="W190" i="5"/>
  <c r="W192" i="5"/>
  <c r="W191" i="5"/>
  <c r="W194" i="5"/>
  <c r="W183" i="5"/>
  <c r="W189" i="5"/>
  <c r="W188" i="5"/>
  <c r="W186" i="5"/>
  <c r="W185" i="5"/>
  <c r="W184" i="5"/>
  <c r="T190" i="5"/>
  <c r="W193" i="5"/>
  <c r="T194" i="5"/>
  <c r="X188" i="5"/>
  <c r="X184" i="5"/>
  <c r="T183" i="5"/>
  <c r="T191" i="5"/>
  <c r="U194" i="5"/>
  <c r="T182" i="5"/>
  <c r="T189" i="5"/>
  <c r="U187" i="5"/>
  <c r="T180" i="5"/>
  <c r="T181" i="5"/>
  <c r="X186" i="5"/>
  <c r="U186" i="5"/>
  <c r="U193" i="5"/>
  <c r="X192" i="5"/>
  <c r="U185" i="5"/>
  <c r="X190" i="5"/>
  <c r="T193" i="5"/>
  <c r="AC35" i="6"/>
  <c r="AC96" i="5"/>
  <c r="AP77" i="16"/>
  <c r="AP79" i="16" s="1"/>
  <c r="AC34" i="6"/>
  <c r="X185" i="5"/>
  <c r="X191" i="5"/>
  <c r="AY76" i="16"/>
  <c r="AF192" i="5"/>
  <c r="AF194" i="5"/>
  <c r="AF193" i="5"/>
  <c r="U192" i="5"/>
  <c r="U183" i="5"/>
  <c r="Y193" i="5"/>
  <c r="AC192" i="5"/>
  <c r="BE78" i="16"/>
  <c r="AU40" i="8"/>
  <c r="AA191" i="5"/>
  <c r="AG77" i="16"/>
  <c r="Z34" i="6"/>
  <c r="Z36" i="6" s="1"/>
  <c r="Z96" i="5"/>
  <c r="D25" i="6"/>
  <c r="D14" i="6"/>
  <c r="D16" i="6" s="1"/>
  <c r="AM76" i="16"/>
  <c r="O28" i="16"/>
  <c r="L39" i="8"/>
  <c r="E10" i="10" s="1"/>
  <c r="Y191" i="5"/>
  <c r="AC189" i="5"/>
  <c r="AA189" i="5"/>
  <c r="AA35" i="6"/>
  <c r="AJ77" i="16"/>
  <c r="AJ79" i="16" s="1"/>
  <c r="AA34" i="6"/>
  <c r="AA96" i="5"/>
  <c r="AG14" i="6"/>
  <c r="AH194" i="5" s="1"/>
  <c r="AG25" i="6"/>
  <c r="T184" i="5"/>
  <c r="U77" i="16"/>
  <c r="V34" i="6"/>
  <c r="V96" i="5"/>
  <c r="V104" i="5" s="1"/>
  <c r="AU39" i="8"/>
  <c r="BE76" i="16"/>
  <c r="U184" i="5"/>
  <c r="Y185" i="5"/>
  <c r="AC193" i="5"/>
  <c r="AA188" i="5"/>
  <c r="AV77" i="16"/>
  <c r="AE34" i="6"/>
  <c r="AE36" i="6" s="1"/>
  <c r="AE96" i="5"/>
  <c r="BB77" i="16"/>
  <c r="AG96" i="5"/>
  <c r="AG34" i="6"/>
  <c r="AG36" i="6" s="1"/>
  <c r="AY77" i="16"/>
  <c r="AF34" i="6"/>
  <c r="AF96" i="5"/>
  <c r="BB76" i="16"/>
  <c r="AG194" i="5"/>
  <c r="AG193" i="5"/>
  <c r="AV76" i="16"/>
  <c r="AE194" i="5"/>
  <c r="AE191" i="5"/>
  <c r="AE193" i="5"/>
  <c r="AE192" i="5"/>
  <c r="Y192" i="5"/>
  <c r="Y186" i="5"/>
  <c r="AC190" i="5"/>
  <c r="AA193" i="5"/>
  <c r="AH25" i="6"/>
  <c r="AH14" i="6"/>
  <c r="AS77" i="16"/>
  <c r="AD34" i="6"/>
  <c r="AD36" i="6" s="1"/>
  <c r="AD96" i="5"/>
  <c r="T35" i="6"/>
  <c r="T96" i="5"/>
  <c r="T34" i="6"/>
  <c r="O77" i="16"/>
  <c r="O79" i="16" s="1"/>
  <c r="R40" i="8"/>
  <c r="G8" i="10" s="1"/>
  <c r="U30" i="16"/>
  <c r="AA78" i="16"/>
  <c r="AQ40" i="8"/>
  <c r="Y188" i="5"/>
  <c r="Y187" i="5"/>
  <c r="AC191" i="5"/>
  <c r="V35" i="6"/>
  <c r="AA192" i="5"/>
  <c r="Y35" i="6"/>
  <c r="AD77" i="16"/>
  <c r="AD79" i="16" s="1"/>
  <c r="Y34" i="6"/>
  <c r="Y96" i="5"/>
  <c r="T185" i="5"/>
  <c r="T187" i="5"/>
  <c r="X189" i="5"/>
  <c r="U190" i="5"/>
  <c r="U181" i="5"/>
  <c r="Y190" i="5"/>
  <c r="U76" i="16"/>
  <c r="V186" i="5"/>
  <c r="V189" i="5"/>
  <c r="V193" i="5"/>
  <c r="V192" i="5"/>
  <c r="V185" i="5"/>
  <c r="V184" i="5"/>
  <c r="V182" i="5"/>
  <c r="V187" i="5"/>
  <c r="V194" i="5"/>
  <c r="V188" i="5"/>
  <c r="V183" i="5"/>
  <c r="V191" i="5"/>
  <c r="V190" i="5"/>
  <c r="AA194" i="5"/>
  <c r="X35" i="6"/>
  <c r="X34" i="6"/>
  <c r="X96" i="5"/>
  <c r="AA77" i="16"/>
  <c r="W69" i="15"/>
  <c r="AA25" i="6"/>
  <c r="AA14" i="6"/>
  <c r="AB192" i="5" s="1"/>
  <c r="U188" i="5"/>
  <c r="U189" i="5"/>
  <c r="Y189" i="5"/>
  <c r="AA187" i="5"/>
  <c r="W35" i="6"/>
  <c r="X77" i="16"/>
  <c r="X79" i="16" s="1"/>
  <c r="W34" i="6"/>
  <c r="W96" i="5"/>
  <c r="U35" i="6"/>
  <c r="R77" i="16"/>
  <c r="R79" i="16" s="1"/>
  <c r="U34" i="6"/>
  <c r="U96" i="5"/>
  <c r="G96" i="5"/>
  <c r="G34" i="6"/>
  <c r="G36" i="6" s="1"/>
  <c r="U29" i="16"/>
  <c r="AS76" i="16"/>
  <c r="AD194" i="5"/>
  <c r="AD192" i="5"/>
  <c r="AD190" i="5"/>
  <c r="AD191" i="5"/>
  <c r="AD193" i="5"/>
  <c r="T192" i="5"/>
  <c r="T188" i="5"/>
  <c r="X193" i="5"/>
  <c r="X194" i="5"/>
  <c r="AF35" i="6"/>
  <c r="L40" i="8"/>
  <c r="E8" i="10" s="1"/>
  <c r="O30" i="16"/>
  <c r="AG76" i="16"/>
  <c r="Z187" i="5"/>
  <c r="Z188" i="5"/>
  <c r="Z186" i="5"/>
  <c r="Z193" i="5"/>
  <c r="Z191" i="5"/>
  <c r="Z192" i="5"/>
  <c r="Z190" i="5"/>
  <c r="Z189" i="5"/>
  <c r="Z194" i="5"/>
  <c r="R39" i="8"/>
  <c r="G10" i="10" s="1"/>
  <c r="U28" i="16"/>
  <c r="G168" i="5"/>
  <c r="G173" i="5"/>
  <c r="G182" i="5"/>
  <c r="G189" i="5"/>
  <c r="G174" i="5"/>
  <c r="G172" i="5"/>
  <c r="G178" i="5"/>
  <c r="G167" i="5"/>
  <c r="G180" i="5"/>
  <c r="G169" i="5"/>
  <c r="G187" i="5"/>
  <c r="G183" i="5"/>
  <c r="G186" i="5"/>
  <c r="G179" i="5"/>
  <c r="G181" i="5"/>
  <c r="G177" i="5"/>
  <c r="G192" i="5"/>
  <c r="G188" i="5"/>
  <c r="G175" i="5"/>
  <c r="G193" i="5"/>
  <c r="G185" i="5"/>
  <c r="G191" i="5"/>
  <c r="G184" i="5"/>
  <c r="G170" i="5"/>
  <c r="G194" i="5"/>
  <c r="G171" i="5"/>
  <c r="G176" i="5"/>
  <c r="G190" i="5"/>
  <c r="U191" i="5"/>
  <c r="U182" i="5"/>
  <c r="Y194" i="5"/>
  <c r="AC194" i="5"/>
  <c r="AA190" i="5"/>
  <c r="M69" i="15"/>
  <c r="M60" i="31"/>
  <c r="F60" i="31"/>
  <c r="H60" i="31" s="1"/>
  <c r="C39" i="22" l="1"/>
  <c r="F39" i="22" s="1"/>
  <c r="D37" i="22"/>
  <c r="C38" i="22"/>
  <c r="F38" i="22" s="1"/>
  <c r="C37" i="22"/>
  <c r="E38" i="22" s="1"/>
  <c r="C41" i="22"/>
  <c r="D42" i="22" s="1"/>
  <c r="AG79" i="16"/>
  <c r="AG106" i="16" s="1"/>
  <c r="AG108" i="16" s="1"/>
  <c r="AS79" i="16"/>
  <c r="AS106" i="16" s="1"/>
  <c r="AS108" i="16" s="1"/>
  <c r="E169" i="5"/>
  <c r="E181" i="5"/>
  <c r="E189" i="5"/>
  <c r="E182" i="5"/>
  <c r="U79" i="16"/>
  <c r="U106" i="16" s="1"/>
  <c r="U108" i="16" s="1"/>
  <c r="E184" i="5"/>
  <c r="BB79" i="16"/>
  <c r="BB87" i="16" s="1"/>
  <c r="W36" i="6"/>
  <c r="E188" i="5"/>
  <c r="U36" i="6"/>
  <c r="X36" i="6"/>
  <c r="E172" i="5"/>
  <c r="E173" i="5"/>
  <c r="E191" i="5"/>
  <c r="E177" i="5"/>
  <c r="AA79" i="16"/>
  <c r="AA106" i="16" s="1"/>
  <c r="AA108" i="16" s="1"/>
  <c r="E194" i="5"/>
  <c r="E179" i="5"/>
  <c r="E167" i="5"/>
  <c r="E183" i="5"/>
  <c r="E168" i="5"/>
  <c r="E174" i="5"/>
  <c r="E171" i="5"/>
  <c r="E176" i="5"/>
  <c r="E178" i="5"/>
  <c r="E175" i="5"/>
  <c r="E180" i="5"/>
  <c r="E192" i="5"/>
  <c r="AC36" i="6"/>
  <c r="E190" i="5"/>
  <c r="E186" i="5"/>
  <c r="E165" i="5"/>
  <c r="E187" i="5"/>
  <c r="E170" i="5"/>
  <c r="E185" i="5"/>
  <c r="E166" i="5"/>
  <c r="E193" i="5"/>
  <c r="AJ87" i="16"/>
  <c r="AJ106" i="16"/>
  <c r="AJ108" i="16" s="1"/>
  <c r="AJ83" i="16"/>
  <c r="R106" i="16"/>
  <c r="R108" i="16" s="1"/>
  <c r="R87" i="16"/>
  <c r="R83" i="16"/>
  <c r="O87" i="16"/>
  <c r="O106" i="16"/>
  <c r="O108" i="16" s="1"/>
  <c r="O83" i="16"/>
  <c r="X106" i="16"/>
  <c r="X108" i="16" s="1"/>
  <c r="X87" i="16"/>
  <c r="X83" i="16"/>
  <c r="X104" i="5"/>
  <c r="AQ38" i="8"/>
  <c r="K21" i="13"/>
  <c r="X99" i="5"/>
  <c r="X154" i="5"/>
  <c r="AE104" i="5"/>
  <c r="AE154" i="5"/>
  <c r="AE99" i="5"/>
  <c r="AB191" i="5"/>
  <c r="Z104" i="5"/>
  <c r="Z154" i="5"/>
  <c r="Z99" i="5"/>
  <c r="W154" i="5"/>
  <c r="W99" i="5"/>
  <c r="W104" i="5"/>
  <c r="AI35" i="6"/>
  <c r="AI34" i="6"/>
  <c r="BE77" i="16"/>
  <c r="BE79" i="16" s="1"/>
  <c r="AH96" i="5"/>
  <c r="AH34" i="6"/>
  <c r="AH35" i="6"/>
  <c r="AB190" i="5"/>
  <c r="AF104" i="5"/>
  <c r="AF99" i="5"/>
  <c r="AF154" i="5"/>
  <c r="AA154" i="5"/>
  <c r="AA99" i="5"/>
  <c r="AA104" i="5"/>
  <c r="G104" i="5"/>
  <c r="G99" i="5"/>
  <c r="F21" i="13"/>
  <c r="R38" i="8"/>
  <c r="G154" i="5"/>
  <c r="AM77" i="16"/>
  <c r="AM79" i="16" s="1"/>
  <c r="AB34" i="6"/>
  <c r="AB96" i="5"/>
  <c r="AB35" i="6"/>
  <c r="T36" i="6"/>
  <c r="AF36" i="6"/>
  <c r="AA36" i="6"/>
  <c r="AB193" i="5"/>
  <c r="U104" i="5"/>
  <c r="U154" i="5"/>
  <c r="U99" i="5"/>
  <c r="AP87" i="16"/>
  <c r="AP106" i="16"/>
  <c r="AP108" i="16" s="1"/>
  <c r="AP83" i="16"/>
  <c r="T154" i="5"/>
  <c r="T104" i="5"/>
  <c r="AV79" i="16"/>
  <c r="V154" i="5"/>
  <c r="V99" i="5"/>
  <c r="AC104" i="5"/>
  <c r="AC154" i="5"/>
  <c r="AC99" i="5"/>
  <c r="AD106" i="16"/>
  <c r="AD108" i="16" s="1"/>
  <c r="AD87" i="16"/>
  <c r="AD83" i="16"/>
  <c r="Y104" i="5"/>
  <c r="Y154" i="5"/>
  <c r="Y99" i="5"/>
  <c r="E41" i="22"/>
  <c r="F40" i="22"/>
  <c r="V36" i="6"/>
  <c r="AB194" i="5"/>
  <c r="U31" i="16"/>
  <c r="Y36" i="6"/>
  <c r="AD104" i="5"/>
  <c r="AD154" i="5"/>
  <c r="AD99" i="5"/>
  <c r="AG104" i="5"/>
  <c r="AG99" i="5"/>
  <c r="AG154" i="5"/>
  <c r="AB188" i="5"/>
  <c r="E35" i="6"/>
  <c r="O29" i="16"/>
  <c r="O31" i="16" s="1"/>
  <c r="E34" i="6"/>
  <c r="E96" i="5"/>
  <c r="D17" i="6"/>
  <c r="AB189" i="5"/>
  <c r="AY79" i="16"/>
  <c r="H69" i="15"/>
  <c r="I60" i="31"/>
  <c r="E39" i="22" l="1"/>
  <c r="G39" i="22" s="1"/>
  <c r="E40" i="22"/>
  <c r="G40" i="22" s="1"/>
  <c r="BB106" i="16"/>
  <c r="BB108" i="16" s="1"/>
  <c r="G38" i="22"/>
  <c r="F41" i="22"/>
  <c r="G41" i="22" s="1"/>
  <c r="AG87" i="16"/>
  <c r="AG88" i="16" s="1"/>
  <c r="AG83" i="16"/>
  <c r="BB83" i="16"/>
  <c r="AS83" i="16"/>
  <c r="AS87" i="16"/>
  <c r="AS91" i="16" s="1"/>
  <c r="AS92" i="16" s="1"/>
  <c r="U83" i="16"/>
  <c r="U87" i="16"/>
  <c r="U91" i="16" s="1"/>
  <c r="U92" i="16" s="1"/>
  <c r="AA83" i="16"/>
  <c r="AA87" i="16"/>
  <c r="AA88" i="16" s="1"/>
  <c r="E36" i="6"/>
  <c r="O39" i="16"/>
  <c r="O58" i="16"/>
  <c r="O60" i="16" s="1"/>
  <c r="O35" i="16"/>
  <c r="U135" i="5"/>
  <c r="U101" i="5"/>
  <c r="U134" i="5"/>
  <c r="G11" i="10"/>
  <c r="R71" i="8"/>
  <c r="R119" i="8" s="1"/>
  <c r="R42" i="8"/>
  <c r="G12" i="10" s="1"/>
  <c r="R82" i="8"/>
  <c r="R91" i="16"/>
  <c r="R92" i="16" s="1"/>
  <c r="R88" i="16"/>
  <c r="D21" i="13"/>
  <c r="E99" i="5"/>
  <c r="L38" i="8"/>
  <c r="E154" i="5"/>
  <c r="E104" i="5"/>
  <c r="X135" i="5"/>
  <c r="AQ83" i="8" s="1"/>
  <c r="K9" i="13"/>
  <c r="K6" i="13" s="1"/>
  <c r="X101" i="5"/>
  <c r="X134" i="5"/>
  <c r="AV87" i="16"/>
  <c r="AV106" i="16"/>
  <c r="AV108" i="16" s="1"/>
  <c r="AV83" i="16"/>
  <c r="G101" i="5"/>
  <c r="G135" i="5"/>
  <c r="R83" i="8" s="1"/>
  <c r="F9" i="13"/>
  <c r="F6" i="13" s="1"/>
  <c r="G134" i="5"/>
  <c r="AE135" i="5"/>
  <c r="AE101" i="5"/>
  <c r="AE134" i="5"/>
  <c r="X91" i="16"/>
  <c r="X92" i="16" s="1"/>
  <c r="X88" i="16"/>
  <c r="AD91" i="16"/>
  <c r="AD92" i="16" s="1"/>
  <c r="AD88" i="16"/>
  <c r="AD135" i="5"/>
  <c r="AD101" i="5"/>
  <c r="AD134" i="5"/>
  <c r="AA135" i="5"/>
  <c r="AA101" i="5"/>
  <c r="AA134" i="5"/>
  <c r="AQ71" i="8"/>
  <c r="AQ119" i="8" s="1"/>
  <c r="AQ42" i="8"/>
  <c r="AQ82" i="8"/>
  <c r="AG135" i="5"/>
  <c r="AG101" i="5"/>
  <c r="AG134" i="5"/>
  <c r="AC135" i="5"/>
  <c r="AC101" i="5"/>
  <c r="AC134" i="5"/>
  <c r="AY106" i="16"/>
  <c r="AY108" i="16" s="1"/>
  <c r="AY87" i="16"/>
  <c r="AY83" i="16"/>
  <c r="Y101" i="5"/>
  <c r="Y135" i="5"/>
  <c r="Y134" i="5"/>
  <c r="AB104" i="5"/>
  <c r="AB154" i="5"/>
  <c r="AB99" i="5"/>
  <c r="AH36" i="6"/>
  <c r="W135" i="5"/>
  <c r="W101" i="5"/>
  <c r="W134" i="5"/>
  <c r="L74" i="8"/>
  <c r="E13" i="6"/>
  <c r="E128" i="5"/>
  <c r="C4" i="11"/>
  <c r="C5" i="11" s="1"/>
  <c r="D18" i="6"/>
  <c r="AM106" i="16"/>
  <c r="AM108" i="16" s="1"/>
  <c r="AM87" i="16"/>
  <c r="AM83" i="16"/>
  <c r="AB36" i="6"/>
  <c r="AH104" i="5"/>
  <c r="AH99" i="5"/>
  <c r="AH154" i="5"/>
  <c r="L21" i="13"/>
  <c r="AU38" i="8"/>
  <c r="V135" i="5"/>
  <c r="V101" i="5"/>
  <c r="V134" i="5"/>
  <c r="AF135" i="5"/>
  <c r="AF101" i="5"/>
  <c r="AF134" i="5"/>
  <c r="Z101" i="5"/>
  <c r="Z135" i="5"/>
  <c r="Z134" i="5"/>
  <c r="BB91" i="16"/>
  <c r="BB92" i="16" s="1"/>
  <c r="BB88" i="16"/>
  <c r="O91" i="16"/>
  <c r="O92" i="16" s="1"/>
  <c r="O88" i="16"/>
  <c r="U58" i="16"/>
  <c r="U60" i="16" s="1"/>
  <c r="U39" i="16"/>
  <c r="U35" i="16"/>
  <c r="AP91" i="16"/>
  <c r="AP92" i="16" s="1"/>
  <c r="AP88" i="16"/>
  <c r="BE87" i="16"/>
  <c r="BE106" i="16"/>
  <c r="BE108" i="16" s="1"/>
  <c r="BE83" i="16"/>
  <c r="AJ91" i="16"/>
  <c r="AJ92" i="16" s="1"/>
  <c r="AJ88" i="16"/>
  <c r="R69" i="15"/>
  <c r="L60" i="31"/>
  <c r="AG91" i="16" l="1"/>
  <c r="AG92" i="16" s="1"/>
  <c r="AS88" i="16"/>
  <c r="U88" i="16"/>
  <c r="AA91" i="16"/>
  <c r="AA92" i="16" s="1"/>
  <c r="O69" i="8"/>
  <c r="AC153" i="5"/>
  <c r="AC156" i="5" s="1"/>
  <c r="AC150" i="5"/>
  <c r="E11" i="10"/>
  <c r="L71" i="8"/>
  <c r="L119" i="8" s="1"/>
  <c r="L42" i="8"/>
  <c r="L82" i="8"/>
  <c r="D9" i="13"/>
  <c r="D6" i="13" s="1"/>
  <c r="E135" i="5"/>
  <c r="L83" i="8" s="1"/>
  <c r="E134" i="5"/>
  <c r="E101" i="5"/>
  <c r="U153" i="5"/>
  <c r="U156" i="5" s="1"/>
  <c r="U150" i="5"/>
  <c r="U43" i="16"/>
  <c r="U44" i="16" s="1"/>
  <c r="U40" i="16"/>
  <c r="V153" i="5"/>
  <c r="V156" i="5" s="1"/>
  <c r="V150" i="5"/>
  <c r="W150" i="5"/>
  <c r="W153" i="5"/>
  <c r="W156" i="5" s="1"/>
  <c r="Y150" i="5"/>
  <c r="Y153" i="5"/>
  <c r="Y156" i="5" s="1"/>
  <c r="AA150" i="5"/>
  <c r="AA153" i="5"/>
  <c r="AA156" i="5" s="1"/>
  <c r="AU71" i="8"/>
  <c r="AU119" i="8" s="1"/>
  <c r="AU42" i="8"/>
  <c r="AU82" i="8"/>
  <c r="G150" i="5"/>
  <c r="G153" i="5"/>
  <c r="F10" i="13"/>
  <c r="F20" i="13" s="1"/>
  <c r="F23" i="13" s="1"/>
  <c r="AM91" i="16"/>
  <c r="AM92" i="16" s="1"/>
  <c r="AM88" i="16"/>
  <c r="Z150" i="5"/>
  <c r="Z153" i="5"/>
  <c r="Z156" i="5" s="1"/>
  <c r="AY91" i="16"/>
  <c r="AY92" i="16" s="1"/>
  <c r="AY88" i="16"/>
  <c r="AE153" i="5"/>
  <c r="AE156" i="5" s="1"/>
  <c r="AE150" i="5"/>
  <c r="X150" i="5"/>
  <c r="X153" i="5"/>
  <c r="K10" i="13"/>
  <c r="K20" i="13" s="1"/>
  <c r="K23" i="13" s="1"/>
  <c r="AG150" i="5"/>
  <c r="AG153" i="5"/>
  <c r="AG156" i="5" s="1"/>
  <c r="BE91" i="16"/>
  <c r="BE92" i="16" s="1"/>
  <c r="BE88" i="16"/>
  <c r="AB135" i="5"/>
  <c r="AB101" i="5"/>
  <c r="AB134" i="5"/>
  <c r="AD150" i="5"/>
  <c r="AD153" i="5"/>
  <c r="AD156" i="5" s="1"/>
  <c r="L81" i="8"/>
  <c r="L80" i="8"/>
  <c r="AF150" i="5"/>
  <c r="AF153" i="5"/>
  <c r="AF156" i="5" s="1"/>
  <c r="L9" i="13"/>
  <c r="L6" i="13" s="1"/>
  <c r="AH135" i="5"/>
  <c r="AU83" i="8" s="1"/>
  <c r="AH101" i="5"/>
  <c r="AH134" i="5"/>
  <c r="O33" i="16"/>
  <c r="O48" i="16" s="1"/>
  <c r="D17" i="13"/>
  <c r="D18" i="13" s="1"/>
  <c r="E132" i="5"/>
  <c r="E133" i="5"/>
  <c r="E129" i="5"/>
  <c r="D16" i="13" s="1"/>
  <c r="AV91" i="16"/>
  <c r="AV92" i="16" s="1"/>
  <c r="AV88" i="16"/>
  <c r="O43" i="16"/>
  <c r="O44" i="16" s="1"/>
  <c r="O40" i="16"/>
  <c r="AB69" i="15"/>
  <c r="N60" i="31"/>
  <c r="D61" i="31"/>
  <c r="AQ111" i="8" l="1"/>
  <c r="X156" i="5"/>
  <c r="AB150" i="5"/>
  <c r="AB153" i="5"/>
  <c r="AB156" i="5" s="1"/>
  <c r="E12" i="10"/>
  <c r="L43" i="8"/>
  <c r="R111" i="8"/>
  <c r="G156" i="5"/>
  <c r="R116" i="8"/>
  <c r="F12" i="13"/>
  <c r="E153" i="5"/>
  <c r="D10" i="13"/>
  <c r="E150" i="5"/>
  <c r="E102" i="5"/>
  <c r="AY245" i="3" s="1"/>
  <c r="E103" i="5"/>
  <c r="K12" i="13"/>
  <c r="AQ116" i="8"/>
  <c r="AH150" i="5"/>
  <c r="L10" i="13"/>
  <c r="L20" i="13" s="1"/>
  <c r="L23" i="13" s="1"/>
  <c r="AH153" i="5"/>
  <c r="O49" i="16"/>
  <c r="O53" i="16"/>
  <c r="O54" i="16" s="1"/>
  <c r="J61" i="31"/>
  <c r="AG69" i="15"/>
  <c r="AQ69" i="15" s="1"/>
  <c r="K61" i="31"/>
  <c r="AU111" i="8" l="1"/>
  <c r="AH156" i="5"/>
  <c r="E156" i="5"/>
  <c r="L111" i="8"/>
  <c r="L12" i="13"/>
  <c r="AU116" i="8"/>
  <c r="L116" i="8"/>
  <c r="D12" i="13"/>
  <c r="W70" i="15"/>
  <c r="D20" i="13"/>
  <c r="D23" i="13" s="1"/>
  <c r="R118" i="8"/>
  <c r="R121" i="8" s="1"/>
  <c r="R112" i="8"/>
  <c r="AQ118" i="8"/>
  <c r="AQ121" i="8" s="1"/>
  <c r="AQ112" i="8"/>
  <c r="M70" i="15"/>
  <c r="M61" i="31"/>
  <c r="F61" i="31"/>
  <c r="H61" i="31" s="1"/>
  <c r="R122" i="8" l="1"/>
  <c r="R123" i="8"/>
  <c r="L112" i="8"/>
  <c r="L118" i="8"/>
  <c r="L121" i="8" s="1"/>
  <c r="E157" i="5"/>
  <c r="E158" i="5" s="1"/>
  <c r="AQ122" i="8"/>
  <c r="AQ123" i="8"/>
  <c r="AU118" i="8"/>
  <c r="AU121" i="8" s="1"/>
  <c r="AU112" i="8"/>
  <c r="H70" i="15"/>
  <c r="I61" i="31"/>
  <c r="AU122" i="8" l="1"/>
  <c r="AU123" i="8"/>
  <c r="L122" i="8"/>
  <c r="L123" i="8"/>
  <c r="R70" i="15"/>
  <c r="L61" i="31"/>
  <c r="AB70" i="15" l="1"/>
  <c r="N61" i="31"/>
  <c r="D62" i="31"/>
  <c r="J62" i="31" l="1"/>
  <c r="AG70" i="15"/>
  <c r="AQ70" i="15" s="1"/>
  <c r="K62" i="31"/>
  <c r="W71" i="15" l="1"/>
  <c r="M71" i="15"/>
  <c r="M62" i="31"/>
  <c r="F62" i="31"/>
  <c r="H62" i="31" s="1"/>
  <c r="H71" i="15" l="1"/>
  <c r="I62" i="31"/>
  <c r="R71" i="15" l="1"/>
  <c r="L62" i="31"/>
  <c r="AB71" i="15" l="1"/>
  <c r="N62" i="31"/>
  <c r="D63" i="31"/>
  <c r="J63" i="31" l="1"/>
  <c r="AG71" i="15"/>
  <c r="AQ71" i="15" s="1"/>
  <c r="K63" i="31"/>
  <c r="W72" i="15" l="1"/>
  <c r="M72" i="15"/>
  <c r="M63" i="31"/>
  <c r="F63" i="31"/>
  <c r="H63" i="31" s="1"/>
  <c r="H72" i="15" l="1"/>
  <c r="I63" i="31"/>
  <c r="R72" i="15" l="1"/>
  <c r="L63" i="31"/>
  <c r="AB72" i="15" l="1"/>
  <c r="N63" i="31"/>
  <c r="D64" i="31"/>
  <c r="J64" i="31" l="1"/>
  <c r="AG72" i="15"/>
  <c r="AQ72" i="15" s="1"/>
  <c r="K64" i="31"/>
  <c r="W73" i="15" s="1"/>
  <c r="M73" i="15" l="1"/>
  <c r="M64" i="31"/>
  <c r="F64" i="31"/>
  <c r="H64" i="31" s="1"/>
  <c r="H73" i="15" l="1"/>
  <c r="I64" i="31"/>
  <c r="R73" i="15" l="1"/>
  <c r="L64" i="31"/>
  <c r="AB73" i="15" l="1"/>
  <c r="N64" i="31"/>
  <c r="D65" i="31"/>
  <c r="J65" i="31" l="1"/>
  <c r="AG73" i="15"/>
  <c r="AQ73" i="15" s="1"/>
  <c r="K65" i="31"/>
  <c r="W74" i="15" l="1"/>
  <c r="M74" i="15"/>
  <c r="M65" i="31"/>
  <c r="F65" i="31"/>
  <c r="H65" i="31" s="1"/>
  <c r="H74" i="15" l="1"/>
  <c r="I65" i="31"/>
  <c r="R74" i="15" l="1"/>
  <c r="L65" i="31"/>
  <c r="AB74" i="15" l="1"/>
  <c r="N65" i="31"/>
  <c r="D66" i="31"/>
  <c r="J66" i="31" l="1"/>
  <c r="AG74" i="15"/>
  <c r="AQ74" i="15" s="1"/>
  <c r="K66" i="31"/>
  <c r="W75" i="15" l="1"/>
  <c r="M75" i="15"/>
  <c r="M66" i="31"/>
  <c r="F66" i="31"/>
  <c r="H66" i="31" s="1"/>
  <c r="H75" i="15" l="1"/>
  <c r="I66" i="31"/>
  <c r="R75" i="15" l="1"/>
  <c r="L66" i="31"/>
  <c r="AB75" i="15" l="1"/>
  <c r="N66" i="31"/>
  <c r="D67" i="31"/>
  <c r="J67" i="31" l="1"/>
  <c r="AG75" i="15"/>
  <c r="AQ75" i="15" s="1"/>
  <c r="K67" i="31"/>
  <c r="W76" i="15" l="1"/>
  <c r="M76" i="15"/>
  <c r="M67" i="31"/>
  <c r="F67" i="31"/>
  <c r="H67" i="31" s="1"/>
  <c r="H76" i="15" l="1"/>
  <c r="I67" i="31"/>
  <c r="R76" i="15" l="1"/>
  <c r="L67" i="31"/>
  <c r="AB76" i="15" l="1"/>
  <c r="N67" i="31"/>
  <c r="D68" i="31"/>
  <c r="J68" i="31" l="1"/>
  <c r="AG76" i="15"/>
  <c r="AQ76" i="15" s="1"/>
  <c r="K68" i="31"/>
  <c r="W77" i="15" l="1"/>
  <c r="M77" i="15"/>
  <c r="M68" i="31"/>
  <c r="F68" i="31"/>
  <c r="H68" i="31" s="1"/>
  <c r="H77" i="15" l="1"/>
  <c r="I68" i="31"/>
  <c r="R77" i="15" l="1"/>
  <c r="L68" i="31"/>
  <c r="AB77" i="15" l="1"/>
  <c r="N68" i="31"/>
  <c r="D69" i="31"/>
  <c r="J69" i="31" l="1"/>
  <c r="AG77" i="15"/>
  <c r="AQ77" i="15" s="1"/>
  <c r="K69" i="31"/>
  <c r="W78" i="15" s="1"/>
  <c r="M78" i="15" l="1"/>
  <c r="M69" i="31"/>
  <c r="F69" i="31"/>
  <c r="H69" i="31" s="1"/>
  <c r="H78" i="15" l="1"/>
  <c r="I69" i="31"/>
  <c r="R78" i="15" l="1"/>
  <c r="L69" i="31"/>
  <c r="AB78" i="15" l="1"/>
  <c r="N69" i="31"/>
  <c r="D70" i="31"/>
  <c r="J70" i="31" l="1"/>
  <c r="AG78" i="15"/>
  <c r="AQ78" i="15" s="1"/>
  <c r="K70" i="31"/>
  <c r="W79" i="15" s="1"/>
  <c r="M79" i="15" l="1"/>
  <c r="M70" i="31"/>
  <c r="F70" i="31"/>
  <c r="H70" i="31" s="1"/>
  <c r="H79" i="15" l="1"/>
  <c r="I70" i="31"/>
  <c r="R79" i="15" l="1"/>
  <c r="L70" i="31"/>
  <c r="AB79" i="15" l="1"/>
  <c r="N70" i="31"/>
  <c r="D71" i="31"/>
  <c r="J71" i="31" l="1"/>
  <c r="AG79" i="15"/>
  <c r="AQ79" i="15" s="1"/>
  <c r="K71" i="31"/>
  <c r="W80" i="15" s="1"/>
  <c r="M80" i="15" l="1"/>
  <c r="M71" i="31"/>
  <c r="F71" i="31"/>
  <c r="H71" i="31" s="1"/>
  <c r="H80" i="15" l="1"/>
  <c r="I71" i="31"/>
  <c r="R80" i="15" l="1"/>
  <c r="L71" i="31"/>
  <c r="AB80" i="15" l="1"/>
  <c r="N71" i="31"/>
  <c r="D72" i="31"/>
  <c r="J72" i="31" l="1"/>
  <c r="AG80" i="15"/>
  <c r="AQ80" i="15" s="1"/>
  <c r="K72" i="31"/>
  <c r="W81" i="15" s="1"/>
  <c r="M81" i="15" l="1"/>
  <c r="M72" i="31"/>
  <c r="F72" i="31"/>
  <c r="H72" i="31" s="1"/>
  <c r="H81" i="15" l="1"/>
  <c r="I72" i="31"/>
  <c r="R81" i="15" l="1"/>
  <c r="L72" i="31"/>
  <c r="AB81" i="15" l="1"/>
  <c r="N72" i="31"/>
  <c r="D73" i="31"/>
  <c r="J73" i="31" l="1"/>
  <c r="AG81" i="15"/>
  <c r="AQ81" i="15" s="1"/>
  <c r="K73" i="31"/>
  <c r="W82" i="15" s="1"/>
  <c r="M82" i="15" l="1"/>
  <c r="M73" i="31"/>
  <c r="F73" i="31"/>
  <c r="H73" i="31" s="1"/>
  <c r="H82" i="15" l="1"/>
  <c r="I73" i="31"/>
  <c r="R82" i="15" l="1"/>
  <c r="L73" i="31"/>
  <c r="AB82" i="15" l="1"/>
  <c r="N73" i="31"/>
  <c r="D74" i="31"/>
  <c r="J74" i="31" l="1"/>
  <c r="AG82" i="15"/>
  <c r="AQ82" i="15" s="1"/>
  <c r="K74" i="31"/>
  <c r="W83" i="15" s="1"/>
  <c r="M83" i="15" l="1"/>
  <c r="M74" i="31"/>
  <c r="F74" i="31"/>
  <c r="H74" i="31" s="1"/>
  <c r="H83" i="15" l="1"/>
  <c r="I74" i="31"/>
  <c r="R83" i="15" l="1"/>
  <c r="L74" i="31"/>
  <c r="AB83" i="15" l="1"/>
  <c r="N74" i="31"/>
  <c r="D75" i="31"/>
  <c r="J75" i="31" l="1"/>
  <c r="AG83" i="15"/>
  <c r="AQ83" i="15" s="1"/>
  <c r="K75" i="31"/>
  <c r="W84" i="15" s="1"/>
  <c r="M84" i="15" l="1"/>
  <c r="M75" i="31"/>
  <c r="F75" i="31"/>
  <c r="H75" i="31" s="1"/>
  <c r="H84" i="15" l="1"/>
  <c r="I75" i="31"/>
  <c r="R84" i="15" l="1"/>
  <c r="L75" i="31"/>
  <c r="AB84" i="15" l="1"/>
  <c r="N75" i="31"/>
  <c r="D76" i="31"/>
  <c r="J76" i="31" l="1"/>
  <c r="AG84" i="15"/>
  <c r="AQ84" i="15" s="1"/>
  <c r="K76" i="31"/>
  <c r="W85" i="15" s="1"/>
  <c r="M85" i="15" l="1"/>
  <c r="M76" i="31"/>
  <c r="F76" i="31"/>
  <c r="H76" i="31" s="1"/>
  <c r="H85" i="15" l="1"/>
  <c r="I76" i="31"/>
  <c r="R85" i="15" l="1"/>
  <c r="L76" i="31"/>
  <c r="AB85" i="15" l="1"/>
  <c r="N76" i="31"/>
  <c r="D77" i="31"/>
  <c r="J77" i="31" l="1"/>
  <c r="AG85" i="15"/>
  <c r="AQ85" i="15" s="1"/>
  <c r="K77" i="31"/>
  <c r="W86" i="15" l="1"/>
  <c r="M86" i="15"/>
  <c r="M77" i="31"/>
  <c r="F77" i="31"/>
  <c r="H77" i="31" s="1"/>
  <c r="H86" i="15" l="1"/>
  <c r="I77" i="31"/>
  <c r="R86" i="15" l="1"/>
  <c r="L77" i="31"/>
  <c r="AB86" i="15" l="1"/>
  <c r="N77" i="31"/>
  <c r="D78" i="31"/>
  <c r="AG86" i="15" l="1"/>
  <c r="AQ86" i="15" s="1"/>
  <c r="K78" i="31"/>
  <c r="J78" i="31"/>
  <c r="W87" i="15" l="1"/>
  <c r="F78" i="31"/>
  <c r="H78" i="31" s="1"/>
  <c r="M87" i="15"/>
  <c r="M78" i="31"/>
  <c r="H87" i="15" l="1"/>
  <c r="I78" i="31"/>
  <c r="R87" i="15" s="1"/>
  <c r="L78" i="31" l="1"/>
  <c r="AB87" i="15" s="1"/>
  <c r="D79" i="31" l="1"/>
  <c r="J79" i="31" s="1"/>
  <c r="N78" i="31"/>
  <c r="AG87" i="15" s="1"/>
  <c r="AQ87" i="15" s="1"/>
  <c r="K79" i="31" l="1"/>
  <c r="M88" i="15"/>
  <c r="M79" i="31"/>
  <c r="W88" i="15" l="1"/>
  <c r="F79" i="31"/>
  <c r="H79" i="31" s="1"/>
  <c r="H88" i="15" l="1"/>
  <c r="I79" i="31"/>
  <c r="R88" i="15" s="1"/>
  <c r="L79" i="31" l="1"/>
  <c r="AB88" i="15" s="1"/>
  <c r="D80" i="31" l="1"/>
  <c r="J80" i="31" s="1"/>
  <c r="N79" i="31"/>
  <c r="AG88" i="15" s="1"/>
  <c r="AQ88" i="15" s="1"/>
  <c r="K80" i="31" l="1"/>
  <c r="M89" i="15"/>
  <c r="M80" i="31"/>
  <c r="W89" i="15" l="1"/>
  <c r="F80" i="31"/>
  <c r="H80" i="31" s="1"/>
  <c r="H89" i="15" s="1"/>
  <c r="I80" i="31" l="1"/>
  <c r="R89" i="15" s="1"/>
  <c r="L80" i="31" l="1"/>
  <c r="N80" i="31" s="1"/>
  <c r="D81" i="31" l="1"/>
  <c r="J81" i="31" s="1"/>
  <c r="AB89" i="15"/>
  <c r="AG89" i="15"/>
  <c r="K81" i="31"/>
  <c r="W90" i="15" s="1"/>
  <c r="AQ89" i="15" l="1"/>
  <c r="M90" i="15"/>
  <c r="M81" i="31"/>
  <c r="F81" i="31"/>
  <c r="H81" i="31" s="1"/>
  <c r="H90" i="15" l="1"/>
  <c r="I81" i="31"/>
  <c r="R90" i="15" l="1"/>
  <c r="L81" i="31"/>
  <c r="AB90" i="15" l="1"/>
  <c r="N81" i="31"/>
  <c r="D82" i="31"/>
  <c r="AG90" i="15" l="1"/>
  <c r="AQ90" i="15" s="1"/>
  <c r="K82" i="31"/>
  <c r="W91" i="15" s="1"/>
  <c r="J82" i="31"/>
  <c r="M91" i="15" l="1"/>
  <c r="M82" i="31"/>
  <c r="F82" i="31"/>
  <c r="H82" i="31" s="1"/>
  <c r="H91" i="15" l="1"/>
  <c r="I82" i="31"/>
  <c r="R91" i="15" l="1"/>
  <c r="L82" i="31"/>
  <c r="AB91" i="15" l="1"/>
  <c r="N82" i="31"/>
  <c r="D83" i="31"/>
  <c r="AG91" i="15" l="1"/>
  <c r="AQ91" i="15" s="1"/>
  <c r="K83" i="31"/>
  <c r="W92" i="15" s="1"/>
  <c r="J83" i="31"/>
  <c r="M92" i="15" l="1"/>
  <c r="M83" i="31"/>
  <c r="F83" i="31"/>
  <c r="H83" i="31" s="1"/>
  <c r="H92" i="15" l="1"/>
  <c r="I83" i="31"/>
  <c r="R92" i="15" l="1"/>
  <c r="L83" i="31"/>
  <c r="AB92" i="15" l="1"/>
  <c r="N83" i="31"/>
  <c r="D84" i="31"/>
  <c r="J84" i="31" l="1"/>
  <c r="AG92" i="15"/>
  <c r="AQ92" i="15" s="1"/>
  <c r="K84" i="31"/>
  <c r="W93" i="15" s="1"/>
  <c r="M93" i="15" l="1"/>
  <c r="M84" i="31"/>
  <c r="F84" i="31"/>
  <c r="H84" i="31" s="1"/>
  <c r="H93" i="15" l="1"/>
  <c r="I84" i="31"/>
  <c r="R93" i="15" l="1"/>
  <c r="L84" i="31"/>
  <c r="AB93" i="15" l="1"/>
  <c r="N84" i="31"/>
  <c r="D85" i="31"/>
  <c r="J85" i="31" l="1"/>
  <c r="AG93" i="15"/>
  <c r="AQ93" i="15" s="1"/>
  <c r="K85" i="31"/>
  <c r="W94" i="15" s="1"/>
  <c r="M94" i="15" l="1"/>
  <c r="M85" i="31"/>
  <c r="F85" i="31"/>
  <c r="H85" i="31" s="1"/>
  <c r="H94" i="15" l="1"/>
  <c r="I85" i="31"/>
  <c r="R94" i="15" l="1"/>
  <c r="L85" i="31"/>
  <c r="AB94" i="15" l="1"/>
  <c r="N85" i="31"/>
  <c r="D86" i="31"/>
  <c r="J86" i="31" l="1"/>
  <c r="AG94" i="15"/>
  <c r="AQ94" i="15" s="1"/>
  <c r="K86" i="31"/>
  <c r="W95" i="15" s="1"/>
  <c r="F86" i="31" l="1"/>
  <c r="H86" i="31" s="1"/>
  <c r="H95" i="15" s="1"/>
  <c r="M95" i="15"/>
  <c r="M86" i="31"/>
  <c r="I86" i="31" l="1"/>
  <c r="R95" i="15" s="1"/>
  <c r="L86" i="31" l="1"/>
  <c r="AB95" i="15" s="1"/>
  <c r="D87" i="31" l="1"/>
  <c r="J87" i="31" s="1"/>
  <c r="N86" i="31"/>
  <c r="AG95" i="15" s="1"/>
  <c r="AQ95" i="15" s="1"/>
  <c r="K87" i="31" l="1"/>
  <c r="W96" i="15" s="1"/>
  <c r="M96" i="15"/>
  <c r="M87" i="31"/>
  <c r="F87" i="31" l="1"/>
  <c r="H87" i="31" s="1"/>
  <c r="H96" i="15" s="1"/>
  <c r="I87" i="31" l="1"/>
  <c r="R96" i="15" s="1"/>
  <c r="L87" i="31" l="1"/>
  <c r="AB96" i="15" s="1"/>
  <c r="D88" i="31" l="1"/>
  <c r="J88" i="31" s="1"/>
  <c r="N87" i="31"/>
  <c r="AG96" i="15" s="1"/>
  <c r="AQ96" i="15" s="1"/>
  <c r="K88" i="31" l="1"/>
  <c r="W97" i="15" s="1"/>
  <c r="M97" i="15"/>
  <c r="M88" i="31"/>
  <c r="F88" i="31" l="1"/>
  <c r="H88" i="31" s="1"/>
  <c r="H97" i="15" s="1"/>
  <c r="I88" i="31" l="1"/>
  <c r="R97" i="15" s="1"/>
  <c r="L88" i="31" l="1"/>
  <c r="AB97" i="15" s="1"/>
  <c r="D89" i="31" l="1"/>
  <c r="J89" i="31" s="1"/>
  <c r="N88" i="31"/>
  <c r="AG97" i="15" s="1"/>
  <c r="AQ97" i="15" s="1"/>
  <c r="K89" i="31" l="1"/>
  <c r="M98" i="15"/>
  <c r="M89" i="31"/>
  <c r="W98" i="15" l="1"/>
  <c r="F89" i="31"/>
  <c r="H89" i="31" s="1"/>
  <c r="H98" i="15" l="1"/>
  <c r="I89" i="31"/>
  <c r="R98" i="15" s="1"/>
  <c r="L89" i="31" l="1"/>
  <c r="AB98" i="15" s="1"/>
  <c r="D90" i="31" l="1"/>
  <c r="J90" i="31" s="1"/>
  <c r="N89" i="31"/>
  <c r="AG98" i="15" s="1"/>
  <c r="AQ98" i="15" s="1"/>
  <c r="K90" i="31" l="1"/>
  <c r="M99" i="15"/>
  <c r="M90" i="31"/>
  <c r="W99" i="15" l="1"/>
  <c r="F90" i="31"/>
  <c r="H90" i="31" s="1"/>
  <c r="H99" i="15" l="1"/>
  <c r="I90" i="31"/>
  <c r="R99" i="15" s="1"/>
  <c r="L90" i="31" l="1"/>
  <c r="AB99" i="15" s="1"/>
  <c r="D91" i="31" l="1"/>
  <c r="J91" i="31" s="1"/>
  <c r="M100" i="15" s="1"/>
  <c r="N90" i="31"/>
  <c r="AG99" i="15" s="1"/>
  <c r="AQ99" i="15" s="1"/>
  <c r="M91" i="31" l="1"/>
  <c r="K91" i="31"/>
  <c r="W100" i="15" l="1"/>
  <c r="F91" i="31"/>
  <c r="H91" i="31" s="1"/>
  <c r="H100" i="15" l="1"/>
  <c r="I91" i="31"/>
  <c r="R100" i="15" s="1"/>
  <c r="L91" i="31" l="1"/>
  <c r="N91" i="31" s="1"/>
  <c r="AG100" i="15" s="1"/>
  <c r="D92" i="31" l="1"/>
  <c r="J92" i="31" s="1"/>
  <c r="M101" i="15" s="1"/>
  <c r="K92" i="31"/>
  <c r="AB100" i="15"/>
  <c r="AQ100" i="15" s="1"/>
  <c r="M92" i="31" l="1"/>
  <c r="W101" i="15"/>
  <c r="F92" i="31"/>
  <c r="H92" i="31" s="1"/>
  <c r="H101" i="15" l="1"/>
  <c r="I92" i="31"/>
  <c r="R101" i="15" s="1"/>
  <c r="L92" i="31" l="1"/>
  <c r="AB101" i="15" s="1"/>
  <c r="D93" i="31" l="1"/>
  <c r="J93" i="31" s="1"/>
  <c r="N92" i="31"/>
  <c r="AG101" i="15" s="1"/>
  <c r="AQ101" i="15" s="1"/>
  <c r="K93" i="31" l="1"/>
  <c r="W102" i="15" s="1"/>
  <c r="M102" i="15"/>
  <c r="M93" i="31"/>
  <c r="F93" i="31" l="1"/>
  <c r="H93" i="31" s="1"/>
  <c r="H102" i="15" s="1"/>
  <c r="I93" i="31" l="1"/>
  <c r="R102" i="15" s="1"/>
  <c r="L93" i="31" l="1"/>
  <c r="AB102" i="15" s="1"/>
  <c r="D94" i="31" l="1"/>
  <c r="J94" i="31" s="1"/>
  <c r="N93" i="31"/>
  <c r="AG102" i="15" s="1"/>
  <c r="AQ102" i="15" s="1"/>
  <c r="K94" i="31" l="1"/>
  <c r="W103" i="15" s="1"/>
  <c r="M103" i="15"/>
  <c r="M94" i="31"/>
  <c r="F94" i="31" l="1"/>
  <c r="H94" i="31" s="1"/>
  <c r="H103" i="15" s="1"/>
  <c r="I94" i="31" l="1"/>
  <c r="R103" i="15" s="1"/>
  <c r="L94" i="31" l="1"/>
  <c r="AB103" i="15" s="1"/>
  <c r="D95" i="31" l="1"/>
  <c r="J95" i="31" s="1"/>
  <c r="N94" i="31"/>
  <c r="AG103" i="15" s="1"/>
  <c r="AQ103" i="15" s="1"/>
  <c r="K95" i="31" l="1"/>
  <c r="W104" i="15" s="1"/>
  <c r="M104" i="15"/>
  <c r="M95" i="31"/>
  <c r="F95" i="31" l="1"/>
  <c r="H95" i="31" s="1"/>
  <c r="H104" i="15" s="1"/>
  <c r="I95" i="31" l="1"/>
  <c r="R104" i="15" s="1"/>
  <c r="L95" i="31" l="1"/>
  <c r="AB104" i="15" s="1"/>
  <c r="D96" i="31" l="1"/>
  <c r="J96" i="31" s="1"/>
  <c r="N95" i="31"/>
  <c r="AG104" i="15" s="1"/>
  <c r="AQ104" i="15" s="1"/>
  <c r="K96" i="31" l="1"/>
  <c r="W105" i="15" s="1"/>
  <c r="M105" i="15"/>
  <c r="M96" i="31"/>
  <c r="F96" i="31" l="1"/>
  <c r="H96" i="31" s="1"/>
  <c r="H105" i="15" s="1"/>
  <c r="I96" i="31" l="1"/>
  <c r="R105" i="15" s="1"/>
  <c r="L96" i="31" l="1"/>
  <c r="AB105" i="15" s="1"/>
  <c r="D97" i="31" l="1"/>
  <c r="J97" i="31" s="1"/>
  <c r="N96" i="31"/>
  <c r="AG105" i="15" s="1"/>
  <c r="AQ105" i="15" s="1"/>
  <c r="K97" i="31" l="1"/>
  <c r="W106" i="15" s="1"/>
  <c r="M106" i="15"/>
  <c r="M97" i="31"/>
  <c r="F97" i="31" l="1"/>
  <c r="H97" i="31" s="1"/>
  <c r="H106" i="15" s="1"/>
  <c r="I97" i="31" l="1"/>
  <c r="R106" i="15" s="1"/>
  <c r="L97" i="31" l="1"/>
  <c r="AB106" i="15" s="1"/>
  <c r="D98" i="31" l="1"/>
  <c r="J98" i="31" s="1"/>
  <c r="N97" i="31"/>
  <c r="AG106" i="15" s="1"/>
  <c r="AQ106" i="15" s="1"/>
  <c r="K98" i="31" l="1"/>
  <c r="W107" i="15" s="1"/>
  <c r="M107" i="15"/>
  <c r="M98" i="31"/>
  <c r="F98" i="31" l="1"/>
  <c r="H98" i="31" s="1"/>
  <c r="H107" i="15" s="1"/>
  <c r="I98" i="31" l="1"/>
  <c r="R107" i="15" s="1"/>
  <c r="L98" i="31" l="1"/>
  <c r="AB107" i="15" s="1"/>
  <c r="D99" i="31" l="1"/>
  <c r="J99" i="31" s="1"/>
  <c r="N98" i="31"/>
  <c r="AG107" i="15" s="1"/>
  <c r="AQ107" i="15" s="1"/>
  <c r="K99" i="31" l="1"/>
  <c r="W108" i="15" s="1"/>
  <c r="M108" i="15"/>
  <c r="M99" i="31"/>
  <c r="F99" i="31" l="1"/>
  <c r="H99" i="31" s="1"/>
  <c r="H108" i="15" s="1"/>
  <c r="I99" i="31" l="1"/>
  <c r="R108" i="15" s="1"/>
  <c r="L99" i="31" l="1"/>
  <c r="AB108" i="15" s="1"/>
  <c r="D100" i="31" l="1"/>
  <c r="J100" i="31" s="1"/>
  <c r="N99" i="31"/>
  <c r="AG108" i="15" s="1"/>
  <c r="AQ108" i="15" s="1"/>
  <c r="K100" i="31" l="1"/>
  <c r="W109" i="15" s="1"/>
  <c r="M109" i="15"/>
  <c r="M100" i="31"/>
  <c r="F100" i="31" l="1"/>
  <c r="H100" i="31" s="1"/>
  <c r="H109" i="15" s="1"/>
  <c r="I100" i="31" l="1"/>
  <c r="R109" i="15" s="1"/>
  <c r="L100" i="31" l="1"/>
  <c r="AB109" i="15" s="1"/>
  <c r="D101" i="31" l="1"/>
  <c r="J101" i="31" s="1"/>
  <c r="N100" i="31"/>
  <c r="K101" i="31" s="1"/>
  <c r="AG109" i="15" l="1"/>
  <c r="AQ109" i="15" s="1"/>
  <c r="W110" i="15"/>
  <c r="M110" i="15"/>
  <c r="M101" i="31"/>
  <c r="F101" i="31"/>
  <c r="H101" i="31" s="1"/>
  <c r="H110" i="15" l="1"/>
  <c r="I101" i="31"/>
  <c r="R110" i="15" l="1"/>
  <c r="L101" i="31"/>
  <c r="AB110" i="15" l="1"/>
  <c r="N101" i="31"/>
  <c r="D102" i="31"/>
  <c r="J102" i="31" l="1"/>
  <c r="AG110" i="15"/>
  <c r="AQ110" i="15" s="1"/>
  <c r="K102" i="31"/>
  <c r="W111" i="15" l="1"/>
  <c r="M111" i="15"/>
  <c r="M102" i="31"/>
  <c r="F102" i="31"/>
  <c r="H102" i="31" s="1"/>
  <c r="H111" i="15" l="1"/>
  <c r="I102" i="31"/>
  <c r="R111" i="15" l="1"/>
  <c r="L102" i="31"/>
  <c r="AB111" i="15" l="1"/>
  <c r="N102" i="31"/>
  <c r="D103" i="31"/>
  <c r="AG111" i="15" l="1"/>
  <c r="AQ111" i="15" s="1"/>
  <c r="K103" i="31"/>
  <c r="J103" i="31"/>
  <c r="W112" i="15" l="1"/>
  <c r="M112" i="15"/>
  <c r="M103" i="31"/>
  <c r="F103" i="31"/>
  <c r="H103" i="31" s="1"/>
  <c r="H112" i="15" l="1"/>
  <c r="I103" i="31"/>
  <c r="R112" i="15" l="1"/>
  <c r="L103" i="31"/>
  <c r="AB112" i="15" l="1"/>
  <c r="N103" i="31"/>
  <c r="D104" i="31"/>
  <c r="J104" i="31" l="1"/>
  <c r="AG112" i="15"/>
  <c r="AQ112" i="15" s="1"/>
  <c r="K104" i="31"/>
  <c r="W113" i="15" l="1"/>
  <c r="M113" i="15"/>
  <c r="M104" i="31"/>
  <c r="F104" i="31"/>
  <c r="H104" i="31" s="1"/>
  <c r="H113" i="15" l="1"/>
  <c r="I104" i="31"/>
  <c r="R113" i="15" l="1"/>
  <c r="L104" i="31"/>
  <c r="AB113" i="15" l="1"/>
  <c r="N104" i="31"/>
  <c r="D105" i="31"/>
  <c r="J105" i="31" l="1"/>
  <c r="AG113" i="15"/>
  <c r="AQ113" i="15" s="1"/>
  <c r="K105" i="31"/>
  <c r="W114" i="15" s="1"/>
  <c r="M114" i="15" l="1"/>
  <c r="M105" i="31"/>
  <c r="F105" i="31"/>
  <c r="H105" i="31" s="1"/>
  <c r="H114" i="15" l="1"/>
  <c r="I105" i="31"/>
  <c r="R114" i="15" l="1"/>
  <c r="L105" i="31"/>
  <c r="AB114" i="15" l="1"/>
  <c r="N105" i="31"/>
  <c r="D106" i="31"/>
  <c r="J106" i="31" l="1"/>
  <c r="AG114" i="15"/>
  <c r="AQ114" i="15" s="1"/>
  <c r="K106" i="31"/>
  <c r="W115" i="15" s="1"/>
  <c r="M115" i="15" l="1"/>
  <c r="M106" i="31"/>
  <c r="F106" i="31"/>
  <c r="H106" i="31" s="1"/>
  <c r="H115" i="15" l="1"/>
  <c r="I106" i="31"/>
  <c r="R115" i="15" l="1"/>
  <c r="L106" i="31"/>
  <c r="AB115" i="15" l="1"/>
  <c r="N106" i="31"/>
  <c r="D107" i="31"/>
  <c r="J107" i="31" l="1"/>
  <c r="AG115" i="15"/>
  <c r="AQ115" i="15" s="1"/>
  <c r="K107" i="31"/>
  <c r="W116" i="15" s="1"/>
  <c r="M116" i="15" l="1"/>
  <c r="M107" i="31"/>
  <c r="F107" i="31"/>
  <c r="H107" i="31" s="1"/>
  <c r="H116" i="15" l="1"/>
  <c r="I107" i="31"/>
  <c r="R116" i="15" l="1"/>
  <c r="L107" i="31"/>
  <c r="AB116" i="15" l="1"/>
  <c r="N107" i="31"/>
  <c r="D108" i="31"/>
  <c r="J108" i="31" l="1"/>
  <c r="AG116" i="15"/>
  <c r="AQ116" i="15" s="1"/>
  <c r="K108" i="31"/>
  <c r="W117" i="15" s="1"/>
  <c r="M117" i="15" l="1"/>
  <c r="M108" i="31"/>
  <c r="F108" i="31"/>
  <c r="H108" i="31" s="1"/>
  <c r="H117" i="15" l="1"/>
  <c r="I108" i="31"/>
  <c r="R117" i="15" l="1"/>
  <c r="L108" i="31"/>
  <c r="AB117" i="15" l="1"/>
  <c r="N108" i="31"/>
  <c r="D109" i="31"/>
  <c r="J109" i="31" l="1"/>
  <c r="AG117" i="15"/>
  <c r="AQ117" i="15" s="1"/>
  <c r="K109" i="31"/>
  <c r="W118" i="15" s="1"/>
  <c r="M118" i="15" l="1"/>
  <c r="M109" i="31"/>
  <c r="F109" i="31"/>
  <c r="H109" i="31" s="1"/>
  <c r="H118" i="15" l="1"/>
  <c r="I109" i="31"/>
  <c r="R118" i="15" l="1"/>
  <c r="L109" i="31"/>
  <c r="AB118" i="15" l="1"/>
  <c r="N109" i="31"/>
  <c r="D110" i="31"/>
  <c r="J110" i="31" l="1"/>
  <c r="AG118" i="15"/>
  <c r="AQ118" i="15" s="1"/>
  <c r="K110" i="31"/>
  <c r="W119" i="15" s="1"/>
  <c r="M119" i="15" l="1"/>
  <c r="M110" i="31"/>
  <c r="F110" i="31"/>
  <c r="H110" i="31" s="1"/>
  <c r="H119" i="15" l="1"/>
  <c r="I110" i="31"/>
  <c r="R119" i="15" l="1"/>
  <c r="L110" i="31"/>
  <c r="AB119" i="15" l="1"/>
  <c r="N110" i="31"/>
  <c r="D111" i="31"/>
  <c r="J111" i="31" l="1"/>
  <c r="AG119" i="15"/>
  <c r="AQ119" i="15" s="1"/>
  <c r="K111" i="31"/>
  <c r="W120" i="15" s="1"/>
  <c r="M120" i="15" l="1"/>
  <c r="M111" i="31"/>
  <c r="F111" i="31"/>
  <c r="H111" i="31" s="1"/>
  <c r="H120" i="15" l="1"/>
  <c r="I111" i="31"/>
  <c r="R120" i="15" l="1"/>
  <c r="L111" i="31"/>
  <c r="AB120" i="15" l="1"/>
  <c r="N111" i="31"/>
  <c r="D112" i="31"/>
  <c r="AG120" i="15" l="1"/>
  <c r="AQ120" i="15" s="1"/>
  <c r="K112" i="31"/>
  <c r="W121" i="15" s="1"/>
  <c r="J112" i="31"/>
  <c r="M121" i="15" l="1"/>
  <c r="M112" i="31"/>
  <c r="F112" i="31"/>
  <c r="H112" i="31" s="1"/>
  <c r="H121" i="15" l="1"/>
  <c r="I112" i="31"/>
  <c r="R121" i="15" l="1"/>
  <c r="L112" i="31"/>
  <c r="AB121" i="15" l="1"/>
  <c r="N112" i="31"/>
  <c r="D113" i="31"/>
  <c r="AG121" i="15" l="1"/>
  <c r="AQ121" i="15" s="1"/>
  <c r="K113" i="31"/>
  <c r="J113" i="31"/>
  <c r="W122" i="15" l="1"/>
  <c r="M122" i="15"/>
  <c r="M113" i="31"/>
  <c r="F113" i="31"/>
  <c r="H113" i="31" s="1"/>
  <c r="H122" i="15" l="1"/>
  <c r="I113" i="31"/>
  <c r="R122" i="15" l="1"/>
  <c r="L113" i="31"/>
  <c r="AB122" i="15" l="1"/>
  <c r="N113" i="31"/>
  <c r="D114" i="31"/>
  <c r="J114" i="31" l="1"/>
  <c r="AG122" i="15"/>
  <c r="AQ122" i="15" s="1"/>
  <c r="K114" i="31"/>
  <c r="W123" i="15" l="1"/>
  <c r="M123" i="15"/>
  <c r="M114" i="31"/>
  <c r="F114" i="31"/>
  <c r="H114" i="31" s="1"/>
  <c r="H123" i="15" l="1"/>
  <c r="I114" i="31"/>
  <c r="R123" i="15" l="1"/>
  <c r="L114" i="31"/>
  <c r="AB123" i="15" l="1"/>
  <c r="N114" i="31"/>
  <c r="D115" i="31"/>
  <c r="AG123" i="15" l="1"/>
  <c r="AQ123" i="15" s="1"/>
  <c r="K115" i="31"/>
  <c r="J115" i="31"/>
  <c r="W124" i="15" l="1"/>
  <c r="M124" i="15"/>
  <c r="M115" i="31"/>
  <c r="F115" i="31"/>
  <c r="H115" i="31" s="1"/>
  <c r="H124" i="15" l="1"/>
  <c r="I115" i="31"/>
  <c r="R124" i="15" l="1"/>
  <c r="L115" i="31"/>
  <c r="AB124" i="15" l="1"/>
  <c r="N115" i="31"/>
  <c r="D116" i="31"/>
  <c r="AG124" i="15" l="1"/>
  <c r="AQ124" i="15" s="1"/>
  <c r="K116" i="31"/>
  <c r="J116" i="31"/>
  <c r="W125" i="15" l="1"/>
  <c r="F116" i="31"/>
  <c r="H116" i="31" s="1"/>
  <c r="H125" i="15" s="1"/>
  <c r="M125" i="15"/>
  <c r="M116" i="31"/>
  <c r="I116" i="31" l="1"/>
  <c r="R125" i="15" s="1"/>
  <c r="L116" i="31" l="1"/>
  <c r="AB125" i="15" s="1"/>
  <c r="D117" i="31" l="1"/>
  <c r="J117" i="31" s="1"/>
  <c r="N116" i="31"/>
  <c r="AG125" i="15" s="1"/>
  <c r="AQ125" i="15" s="1"/>
  <c r="K117" i="31" l="1"/>
  <c r="W126" i="15" s="1"/>
  <c r="M126" i="15"/>
  <c r="M117" i="31"/>
  <c r="F117" i="31" l="1"/>
  <c r="H117" i="31" s="1"/>
  <c r="H126" i="15" s="1"/>
  <c r="I117" i="31" l="1"/>
  <c r="R126" i="15" s="1"/>
  <c r="L117" i="31" l="1"/>
  <c r="AB126" i="15" s="1"/>
  <c r="D118" i="31" l="1"/>
  <c r="J118" i="31" s="1"/>
  <c r="N117" i="31"/>
  <c r="AG126" i="15" s="1"/>
  <c r="AQ126" i="15" s="1"/>
  <c r="K118" i="31" l="1"/>
  <c r="W127" i="15" s="1"/>
  <c r="M127" i="15"/>
  <c r="M118" i="31"/>
  <c r="F118" i="31" l="1"/>
  <c r="H118" i="31" s="1"/>
  <c r="H127" i="15" s="1"/>
  <c r="I118" i="31" l="1"/>
  <c r="R127" i="15" s="1"/>
  <c r="L118" i="31" l="1"/>
  <c r="AB127" i="15" s="1"/>
  <c r="D119" i="31" l="1"/>
  <c r="J119" i="31" s="1"/>
  <c r="N118" i="31"/>
  <c r="AG127" i="15" s="1"/>
  <c r="AQ127" i="15" s="1"/>
  <c r="K119" i="31" l="1"/>
  <c r="W128" i="15" s="1"/>
  <c r="M128" i="15"/>
  <c r="M119" i="31"/>
  <c r="F119" i="31" l="1"/>
  <c r="H119" i="31" s="1"/>
  <c r="H128" i="15" s="1"/>
  <c r="I119" i="31" l="1"/>
  <c r="R128" i="15" s="1"/>
  <c r="L119" i="31" l="1"/>
  <c r="AB128" i="15" s="1"/>
  <c r="D120" i="31" l="1"/>
  <c r="J120" i="31" s="1"/>
  <c r="N119" i="31"/>
  <c r="AG128" i="15" s="1"/>
  <c r="AQ128" i="15" s="1"/>
  <c r="K120" i="31" l="1"/>
  <c r="W129" i="15" s="1"/>
  <c r="M129" i="15"/>
  <c r="M120" i="31"/>
  <c r="F120" i="31" l="1"/>
  <c r="H120" i="31" s="1"/>
  <c r="H129" i="15" s="1"/>
  <c r="I120" i="31" l="1"/>
  <c r="R129" i="15" s="1"/>
  <c r="L120" i="31" l="1"/>
  <c r="AB129" i="15" s="1"/>
  <c r="D121" i="31" l="1"/>
  <c r="J121" i="31" s="1"/>
  <c r="N120" i="31"/>
  <c r="AG129" i="15" s="1"/>
  <c r="AQ129" i="15" s="1"/>
  <c r="K121" i="31" l="1"/>
  <c r="W130" i="15" s="1"/>
  <c r="M130" i="15"/>
  <c r="M121" i="31"/>
  <c r="F121" i="31" l="1"/>
  <c r="H121" i="31" s="1"/>
  <c r="H130" i="15" s="1"/>
  <c r="I121" i="31" l="1"/>
  <c r="R130" i="15" s="1"/>
  <c r="L121" i="31" l="1"/>
  <c r="AB130" i="15" s="1"/>
  <c r="D122" i="31" l="1"/>
  <c r="J122" i="31" s="1"/>
  <c r="N121" i="31"/>
  <c r="AG130" i="15" s="1"/>
  <c r="AQ130" i="15" s="1"/>
  <c r="K122" i="31" l="1"/>
  <c r="W131" i="15" s="1"/>
  <c r="M131" i="15"/>
  <c r="M122" i="31"/>
  <c r="F122" i="31" l="1"/>
  <c r="H122" i="31" s="1"/>
  <c r="H131" i="15" s="1"/>
  <c r="I122" i="31" l="1"/>
  <c r="R131" i="15" s="1"/>
  <c r="L122" i="31" l="1"/>
  <c r="AB131" i="15" s="1"/>
  <c r="N122" i="31" l="1"/>
  <c r="AG131" i="15" s="1"/>
  <c r="AQ131" i="15" s="1"/>
  <c r="D123" i="31"/>
  <c r="J123" i="31" s="1"/>
  <c r="M132" i="15" s="1"/>
  <c r="M123" i="31" l="1"/>
  <c r="K123" i="31"/>
  <c r="W132" i="15" s="1"/>
  <c r="F123" i="31" l="1"/>
  <c r="H123" i="31" s="1"/>
  <c r="H132" i="15" s="1"/>
  <c r="I123" i="31" l="1"/>
  <c r="R132" i="15" s="1"/>
  <c r="L123" i="31" l="1"/>
  <c r="AB132" i="15" s="1"/>
  <c r="D124" i="31" l="1"/>
  <c r="J124" i="31" s="1"/>
  <c r="M133" i="15" s="1"/>
  <c r="N123" i="31"/>
  <c r="K124" i="31" s="1"/>
  <c r="W133" i="15" s="1"/>
  <c r="M124" i="31" l="1"/>
  <c r="F124" i="31"/>
  <c r="H124" i="31" s="1"/>
  <c r="H133" i="15" s="1"/>
  <c r="AG132" i="15"/>
  <c r="AQ132" i="15" s="1"/>
  <c r="I124" i="31" l="1"/>
  <c r="R133" i="15" s="1"/>
  <c r="L124" i="31" l="1"/>
  <c r="AB133" i="15" s="1"/>
  <c r="D125" i="31" l="1"/>
  <c r="J125" i="31" s="1"/>
  <c r="N124" i="31"/>
  <c r="AG133" i="15" s="1"/>
  <c r="AQ133" i="15" s="1"/>
  <c r="K125" i="31" l="1"/>
  <c r="W134" i="15" s="1"/>
  <c r="M134" i="15"/>
  <c r="M125" i="31"/>
  <c r="F125" i="31" l="1"/>
  <c r="H125" i="31" s="1"/>
  <c r="I125" i="31" s="1"/>
  <c r="H134" i="15" l="1"/>
  <c r="R134" i="15"/>
  <c r="L125" i="31"/>
  <c r="AB134" i="15" l="1"/>
  <c r="N125" i="31"/>
  <c r="D126" i="31"/>
  <c r="J126" i="31" l="1"/>
  <c r="AG134" i="15"/>
  <c r="AQ134" i="15" s="1"/>
  <c r="K126" i="31"/>
  <c r="W135" i="15" l="1"/>
  <c r="M135" i="15"/>
  <c r="M126" i="31"/>
  <c r="F126" i="31"/>
  <c r="H126" i="31" s="1"/>
  <c r="H135" i="15" l="1"/>
  <c r="I126" i="31"/>
  <c r="R135" i="15" l="1"/>
  <c r="L126" i="31"/>
  <c r="AB135" i="15" l="1"/>
  <c r="N126" i="31"/>
  <c r="D127" i="31"/>
  <c r="J127" i="31" l="1"/>
  <c r="AG135" i="15"/>
  <c r="AQ135" i="15" s="1"/>
  <c r="K127" i="31"/>
  <c r="W136" i="15" l="1"/>
  <c r="M136" i="15"/>
  <c r="M127" i="31"/>
  <c r="F127" i="31"/>
  <c r="H127" i="31" s="1"/>
  <c r="H136" i="15" l="1"/>
  <c r="I127" i="31"/>
  <c r="R136" i="15" l="1"/>
  <c r="L127" i="31"/>
  <c r="AB136" i="15" l="1"/>
  <c r="N127" i="31"/>
  <c r="D128" i="31"/>
  <c r="J128" i="31" l="1"/>
  <c r="AG136" i="15"/>
  <c r="AQ136" i="15" s="1"/>
  <c r="K128" i="31"/>
  <c r="W137" i="15" l="1"/>
  <c r="M137" i="15"/>
  <c r="M128" i="31"/>
  <c r="F128" i="31"/>
  <c r="H128" i="31" s="1"/>
  <c r="H137" i="15" l="1"/>
  <c r="I128" i="31"/>
  <c r="R137" i="15" l="1"/>
  <c r="L128" i="31"/>
  <c r="AB137" i="15" l="1"/>
  <c r="N128" i="31"/>
  <c r="D129" i="31"/>
  <c r="J129" i="31" l="1"/>
  <c r="AG137" i="15"/>
  <c r="AQ137" i="15" s="1"/>
  <c r="K129" i="31"/>
  <c r="W138" i="15" s="1"/>
  <c r="M138" i="15" l="1"/>
  <c r="M129" i="31"/>
  <c r="F129" i="31"/>
  <c r="H129" i="31" s="1"/>
  <c r="H138" i="15" l="1"/>
  <c r="I129" i="31"/>
  <c r="R138" i="15" l="1"/>
  <c r="L129" i="31"/>
  <c r="AB138" i="15" l="1"/>
  <c r="N129" i="31"/>
  <c r="D130" i="31"/>
  <c r="J130" i="31" l="1"/>
  <c r="AG138" i="15"/>
  <c r="AQ138" i="15" s="1"/>
  <c r="K130" i="31"/>
  <c r="W139" i="15" s="1"/>
  <c r="M139" i="15" l="1"/>
  <c r="M130" i="31"/>
  <c r="F130" i="31"/>
  <c r="H130" i="31" s="1"/>
  <c r="H139" i="15" l="1"/>
  <c r="I130" i="31"/>
  <c r="R139" i="15" l="1"/>
  <c r="L130" i="31"/>
  <c r="AB139" i="15" l="1"/>
  <c r="N130" i="31"/>
  <c r="D131" i="31"/>
  <c r="AG139" i="15" l="1"/>
  <c r="AQ139" i="15" s="1"/>
  <c r="K131" i="31"/>
  <c r="W140" i="15" s="1"/>
  <c r="J131" i="31"/>
  <c r="M140" i="15" l="1"/>
  <c r="M131" i="31"/>
  <c r="F131" i="31"/>
  <c r="H131" i="31" s="1"/>
  <c r="H140" i="15" l="1"/>
  <c r="I131" i="31"/>
  <c r="R140" i="15" l="1"/>
  <c r="L131" i="31"/>
  <c r="AB140" i="15" l="1"/>
  <c r="N131" i="31"/>
  <c r="D132" i="31"/>
  <c r="J132" i="31" l="1"/>
  <c r="AG140" i="15"/>
  <c r="AQ140" i="15" s="1"/>
  <c r="K132" i="31"/>
  <c r="W141" i="15" s="1"/>
  <c r="M141" i="15" l="1"/>
  <c r="M132" i="31"/>
  <c r="F132" i="31"/>
  <c r="H132" i="31" s="1"/>
  <c r="H141" i="15" l="1"/>
  <c r="I132" i="31"/>
  <c r="R141" i="15" l="1"/>
  <c r="L132" i="31"/>
  <c r="AB141" i="15" l="1"/>
  <c r="N132" i="31"/>
  <c r="D133" i="31"/>
  <c r="J133" i="31" l="1"/>
  <c r="AG141" i="15"/>
  <c r="AQ141" i="15" s="1"/>
  <c r="K133" i="31"/>
  <c r="W142" i="15" s="1"/>
  <c r="M142" i="15" l="1"/>
  <c r="M133" i="31"/>
  <c r="F133" i="31"/>
  <c r="H133" i="31" s="1"/>
  <c r="H142" i="15" l="1"/>
  <c r="I133" i="31"/>
  <c r="R142" i="15" l="1"/>
  <c r="L133" i="31"/>
  <c r="AB142" i="15" l="1"/>
  <c r="N133" i="31"/>
  <c r="D134" i="31"/>
  <c r="AG142" i="15" l="1"/>
  <c r="AQ142" i="15" s="1"/>
  <c r="K134" i="31"/>
  <c r="W143" i="15" s="1"/>
  <c r="J134" i="31"/>
  <c r="M143" i="15" l="1"/>
  <c r="M134" i="31"/>
  <c r="F134" i="31"/>
  <c r="H134" i="31" s="1"/>
  <c r="H143" i="15" l="1"/>
  <c r="I134" i="31"/>
  <c r="R143" i="15" l="1"/>
  <c r="L134" i="31"/>
  <c r="AB143" i="15" l="1"/>
  <c r="N134" i="31"/>
  <c r="D135" i="31"/>
  <c r="J135" i="31" l="1"/>
  <c r="AG143" i="15"/>
  <c r="AQ143" i="15" s="1"/>
  <c r="K135" i="31"/>
  <c r="W144" i="15" s="1"/>
  <c r="M144" i="15" l="1"/>
  <c r="M135" i="31"/>
  <c r="F135" i="31"/>
  <c r="H135" i="31" s="1"/>
  <c r="H144" i="15" l="1"/>
  <c r="I135" i="31"/>
  <c r="R144" i="15" l="1"/>
  <c r="L135" i="31"/>
  <c r="AB144" i="15" l="1"/>
  <c r="N135" i="31"/>
  <c r="D136" i="31"/>
  <c r="J136" i="31" l="1"/>
  <c r="AG144" i="15"/>
  <c r="AQ144" i="15" s="1"/>
  <c r="K136" i="31"/>
  <c r="W145" i="15" s="1"/>
  <c r="M145" i="15" l="1"/>
  <c r="M136" i="31"/>
  <c r="F136" i="31"/>
  <c r="H136" i="31" s="1"/>
  <c r="H145" i="15" l="1"/>
  <c r="I136" i="31"/>
  <c r="R145" i="15" l="1"/>
  <c r="L136" i="31"/>
  <c r="AB145" i="15" l="1"/>
  <c r="N136" i="31"/>
  <c r="D137" i="31"/>
  <c r="J137" i="31" l="1"/>
  <c r="AG145" i="15"/>
  <c r="AQ145" i="15" s="1"/>
  <c r="K137" i="31"/>
  <c r="W146" i="15" l="1"/>
  <c r="M146" i="15"/>
  <c r="M137" i="31"/>
  <c r="F137" i="31"/>
  <c r="H137" i="31" s="1"/>
  <c r="H146" i="15" l="1"/>
  <c r="I137" i="31"/>
  <c r="R146" i="15" l="1"/>
  <c r="L137" i="31"/>
  <c r="AB146" i="15" l="1"/>
  <c r="N137" i="31"/>
  <c r="D138" i="31"/>
  <c r="AG146" i="15" l="1"/>
  <c r="AQ146" i="15" s="1"/>
  <c r="K138" i="31"/>
  <c r="J138" i="31"/>
  <c r="W147" i="15" l="1"/>
  <c r="M147" i="15"/>
  <c r="M138" i="31"/>
  <c r="F138" i="31"/>
  <c r="H138" i="31" s="1"/>
  <c r="H147" i="15" l="1"/>
  <c r="I138" i="31"/>
  <c r="R147" i="15" l="1"/>
  <c r="L138" i="31"/>
  <c r="AB147" i="15" l="1"/>
  <c r="N138" i="31"/>
  <c r="D139" i="31"/>
  <c r="J139" i="31" l="1"/>
  <c r="AG147" i="15"/>
  <c r="AQ147" i="15" s="1"/>
  <c r="K139" i="31"/>
  <c r="W148" i="15" l="1"/>
  <c r="M148" i="15"/>
  <c r="M139" i="31"/>
  <c r="F139" i="31"/>
  <c r="H139" i="31" s="1"/>
  <c r="H148" i="15" l="1"/>
  <c r="I139" i="31"/>
  <c r="R148" i="15" l="1"/>
  <c r="L139" i="31"/>
  <c r="AB148" i="15" l="1"/>
  <c r="N139" i="31"/>
  <c r="D140" i="31"/>
  <c r="J140" i="31" l="1"/>
  <c r="AG148" i="15"/>
  <c r="AQ148" i="15" s="1"/>
  <c r="K140" i="31"/>
  <c r="W149" i="15" l="1"/>
  <c r="M149" i="15"/>
  <c r="M140" i="31"/>
  <c r="F140" i="31"/>
  <c r="H140" i="31" s="1"/>
  <c r="H149" i="15" l="1"/>
  <c r="I140" i="31"/>
  <c r="R149" i="15" l="1"/>
  <c r="L140" i="31"/>
  <c r="AB149" i="15" l="1"/>
  <c r="N140" i="31"/>
  <c r="D141" i="31"/>
  <c r="J141" i="31" l="1"/>
  <c r="AG149" i="15"/>
  <c r="AQ149" i="15" s="1"/>
  <c r="K141" i="31"/>
  <c r="W150" i="15" s="1"/>
  <c r="M150" i="15" l="1"/>
  <c r="M141" i="31"/>
  <c r="F141" i="31"/>
  <c r="H141" i="31" s="1"/>
  <c r="H150" i="15" l="1"/>
  <c r="I141" i="31"/>
  <c r="R150" i="15" l="1"/>
  <c r="L141" i="31"/>
  <c r="AB150" i="15" l="1"/>
  <c r="N141" i="31"/>
  <c r="D142" i="31"/>
  <c r="J142" i="31" l="1"/>
  <c r="AG150" i="15"/>
  <c r="AQ150" i="15" s="1"/>
  <c r="K142" i="31"/>
  <c r="W151" i="15" s="1"/>
  <c r="M151" i="15" l="1"/>
  <c r="M142" i="31"/>
  <c r="F142" i="31"/>
  <c r="H142" i="31" s="1"/>
  <c r="H151" i="15" l="1"/>
  <c r="I142" i="31"/>
  <c r="R151" i="15" l="1"/>
  <c r="L142" i="31"/>
  <c r="AB151" i="15" l="1"/>
  <c r="N142" i="31"/>
  <c r="D143" i="31"/>
  <c r="J143" i="31" l="1"/>
  <c r="AG151" i="15"/>
  <c r="AQ151" i="15" s="1"/>
  <c r="K143" i="31"/>
  <c r="W152" i="15" s="1"/>
  <c r="M152" i="15" l="1"/>
  <c r="M143" i="31"/>
  <c r="F143" i="31"/>
  <c r="H143" i="31" s="1"/>
  <c r="H152" i="15" l="1"/>
  <c r="I143" i="31"/>
  <c r="R152" i="15" l="1"/>
  <c r="L143" i="31"/>
  <c r="AB152" i="15" l="1"/>
  <c r="N143" i="31"/>
  <c r="D144" i="31"/>
  <c r="AG152" i="15" l="1"/>
  <c r="AQ152" i="15" s="1"/>
  <c r="K144" i="31"/>
  <c r="W153" i="15" s="1"/>
  <c r="J144" i="31"/>
  <c r="M153" i="15" l="1"/>
  <c r="M144" i="31"/>
  <c r="F144" i="31"/>
  <c r="H144" i="31" s="1"/>
  <c r="H153" i="15" l="1"/>
  <c r="I144" i="31"/>
  <c r="R153" i="15" l="1"/>
  <c r="L144" i="31"/>
  <c r="AB153" i="15" l="1"/>
  <c r="N144" i="31"/>
  <c r="D145" i="31"/>
  <c r="J145" i="31" l="1"/>
  <c r="AG153" i="15"/>
  <c r="AQ153" i="15" s="1"/>
  <c r="K145" i="31"/>
  <c r="W154" i="15" s="1"/>
  <c r="M154" i="15" l="1"/>
  <c r="M145" i="31"/>
  <c r="F145" i="31"/>
  <c r="H145" i="31" s="1"/>
  <c r="H154" i="15" l="1"/>
  <c r="I145" i="31"/>
  <c r="R154" i="15" l="1"/>
  <c r="L145" i="31"/>
  <c r="AB154" i="15" l="1"/>
  <c r="N145" i="31"/>
  <c r="D146" i="31"/>
  <c r="J146" i="31" l="1"/>
  <c r="AG154" i="15"/>
  <c r="AQ154" i="15" s="1"/>
  <c r="K146" i="31"/>
  <c r="W155" i="15" s="1"/>
  <c r="M155" i="15" l="1"/>
  <c r="M146" i="31"/>
  <c r="F146" i="31"/>
  <c r="H146" i="31" s="1"/>
  <c r="H155" i="15" l="1"/>
  <c r="I146" i="31"/>
  <c r="R155" i="15" l="1"/>
  <c r="L146" i="31"/>
  <c r="AB155" i="15" l="1"/>
  <c r="N146" i="31"/>
  <c r="D147" i="31"/>
  <c r="J147" i="31" l="1"/>
  <c r="AG155" i="15"/>
  <c r="AQ155" i="15" s="1"/>
  <c r="K147" i="31"/>
  <c r="W156" i="15" s="1"/>
  <c r="M156" i="15" l="1"/>
  <c r="M147" i="31"/>
  <c r="F147" i="31"/>
  <c r="H147" i="31" s="1"/>
  <c r="H156" i="15" l="1"/>
  <c r="I147" i="31"/>
  <c r="R156" i="15" l="1"/>
  <c r="L147" i="31"/>
  <c r="AB156" i="15" l="1"/>
  <c r="N147" i="31"/>
  <c r="D148" i="31"/>
  <c r="J148" i="31" l="1"/>
  <c r="AG156" i="15"/>
  <c r="AQ156" i="15" s="1"/>
  <c r="K148" i="31"/>
  <c r="W157" i="15" s="1"/>
  <c r="M157" i="15" l="1"/>
  <c r="M148" i="31"/>
  <c r="F148" i="31"/>
  <c r="H148" i="31" s="1"/>
  <c r="H157" i="15" l="1"/>
  <c r="I148" i="31"/>
  <c r="R157" i="15" l="1"/>
  <c r="L148" i="31"/>
  <c r="AB157" i="15" l="1"/>
  <c r="N148" i="31"/>
  <c r="D149" i="31"/>
  <c r="J149" i="31" l="1"/>
  <c r="AG157" i="15"/>
  <c r="AQ157" i="15" s="1"/>
  <c r="K149" i="31"/>
  <c r="W158" i="15" l="1"/>
  <c r="M158" i="15"/>
  <c r="M149" i="31"/>
  <c r="F149" i="31"/>
  <c r="H149" i="31" s="1"/>
  <c r="H158" i="15" l="1"/>
  <c r="I149" i="31"/>
  <c r="R158" i="15" l="1"/>
  <c r="L149" i="31"/>
  <c r="AB158" i="15" l="1"/>
  <c r="N149" i="31"/>
  <c r="D150" i="31"/>
  <c r="J150" i="31" l="1"/>
  <c r="AG158" i="15"/>
  <c r="AQ158" i="15" s="1"/>
  <c r="K150" i="31"/>
  <c r="W159" i="15" l="1"/>
  <c r="M159" i="15"/>
  <c r="M150" i="31"/>
  <c r="F150" i="31"/>
  <c r="H150" i="31" s="1"/>
  <c r="H159" i="15" l="1"/>
  <c r="I150" i="31"/>
  <c r="R159" i="15" l="1"/>
  <c r="L150" i="31"/>
  <c r="AB159" i="15" l="1"/>
  <c r="N150" i="31"/>
  <c r="D151" i="31"/>
  <c r="J151" i="31" l="1"/>
  <c r="AG159" i="15"/>
  <c r="AQ159" i="15" s="1"/>
  <c r="K151" i="31"/>
  <c r="W160" i="15" l="1"/>
  <c r="M160" i="15"/>
  <c r="M151" i="31"/>
  <c r="F151" i="31"/>
  <c r="H151" i="31" s="1"/>
  <c r="H160" i="15" l="1"/>
  <c r="I151" i="31"/>
  <c r="R160" i="15" l="1"/>
  <c r="L151" i="31"/>
  <c r="AB160" i="15" l="1"/>
  <c r="N151" i="31"/>
  <c r="D152" i="31"/>
  <c r="J152" i="31" l="1"/>
  <c r="AG160" i="15"/>
  <c r="AQ160" i="15" s="1"/>
  <c r="K152" i="31"/>
  <c r="W161" i="15" l="1"/>
  <c r="M161" i="15"/>
  <c r="M152" i="31"/>
  <c r="F152" i="31"/>
  <c r="H152" i="31" s="1"/>
  <c r="H161" i="15" l="1"/>
  <c r="I152" i="31"/>
  <c r="R161" i="15" l="1"/>
  <c r="L152" i="31"/>
  <c r="AB161" i="15" l="1"/>
  <c r="N152" i="31"/>
  <c r="D153" i="31"/>
  <c r="J153" i="31" l="1"/>
  <c r="AG161" i="15"/>
  <c r="AQ161" i="15" s="1"/>
  <c r="K153" i="31"/>
  <c r="W162" i="15" s="1"/>
  <c r="M162" i="15" l="1"/>
  <c r="M153" i="31"/>
  <c r="F153" i="31"/>
  <c r="H153" i="31" s="1"/>
  <c r="H162" i="15" l="1"/>
  <c r="I153" i="31"/>
  <c r="R162" i="15" l="1"/>
  <c r="L153" i="31"/>
  <c r="AB162" i="15" l="1"/>
  <c r="N153" i="31"/>
  <c r="D154" i="31"/>
  <c r="J154" i="31" l="1"/>
  <c r="AG162" i="15"/>
  <c r="AQ162" i="15" s="1"/>
  <c r="K154" i="31"/>
  <c r="W163" i="15" s="1"/>
  <c r="M163" i="15" l="1"/>
  <c r="M154" i="31"/>
  <c r="F154" i="31"/>
  <c r="H154" i="31" s="1"/>
  <c r="H163" i="15" l="1"/>
  <c r="I154" i="31"/>
  <c r="R163" i="15" l="1"/>
  <c r="L154" i="31"/>
  <c r="AB163" i="15" l="1"/>
  <c r="N154" i="31"/>
  <c r="D155" i="31"/>
  <c r="J155" i="31" l="1"/>
  <c r="AG163" i="15"/>
  <c r="AQ163" i="15" s="1"/>
  <c r="K155" i="31"/>
  <c r="W164" i="15" s="1"/>
  <c r="M164" i="15" l="1"/>
  <c r="M155" i="31"/>
  <c r="F155" i="31"/>
  <c r="H155" i="31" s="1"/>
  <c r="H164" i="15" l="1"/>
  <c r="I155" i="31"/>
  <c r="R164" i="15" l="1"/>
  <c r="L155" i="31"/>
  <c r="AB164" i="15" l="1"/>
  <c r="N155" i="31"/>
  <c r="D156" i="31"/>
  <c r="J156" i="31" l="1"/>
  <c r="AG164" i="15"/>
  <c r="AQ164" i="15" s="1"/>
  <c r="K156" i="31"/>
  <c r="W165" i="15" s="1"/>
  <c r="M165" i="15" l="1"/>
  <c r="M156" i="31"/>
  <c r="F156" i="31"/>
  <c r="H156" i="31" s="1"/>
  <c r="H165" i="15" l="1"/>
  <c r="I156" i="31"/>
  <c r="R165" i="15" l="1"/>
  <c r="L156" i="31"/>
  <c r="AB165" i="15" l="1"/>
  <c r="N156" i="31"/>
  <c r="D157" i="31"/>
  <c r="J157" i="31" l="1"/>
  <c r="AG165" i="15"/>
  <c r="AQ165" i="15" s="1"/>
  <c r="K157" i="31"/>
  <c r="W166" i="15" s="1"/>
  <c r="F157" i="31" l="1"/>
  <c r="H157" i="31" s="1"/>
  <c r="H166" i="15" s="1"/>
  <c r="M166" i="15"/>
  <c r="M157" i="31"/>
  <c r="I157" i="31" l="1"/>
  <c r="R166" i="15" s="1"/>
  <c r="L157" i="31" l="1"/>
  <c r="AB166" i="15" s="1"/>
  <c r="D158" i="31" l="1"/>
  <c r="J158" i="31" s="1"/>
  <c r="N157" i="31"/>
  <c r="AG166" i="15" s="1"/>
  <c r="AQ166" i="15" s="1"/>
  <c r="K158" i="31" l="1"/>
  <c r="W167" i="15" s="1"/>
  <c r="M167" i="15"/>
  <c r="M158" i="31"/>
  <c r="F158" i="31" l="1"/>
  <c r="H158" i="31" s="1"/>
  <c r="H167" i="15" s="1"/>
  <c r="I158" i="31" l="1"/>
  <c r="R167" i="15" s="1"/>
  <c r="L158" i="31" l="1"/>
  <c r="AB167" i="15" s="1"/>
  <c r="D159" i="31" l="1"/>
  <c r="J159" i="31" s="1"/>
  <c r="N158" i="31"/>
  <c r="AG167" i="15" s="1"/>
  <c r="AQ167" i="15" s="1"/>
  <c r="K159" i="31" l="1"/>
  <c r="W168" i="15" s="1"/>
  <c r="M168" i="15"/>
  <c r="M159" i="31"/>
  <c r="F159" i="31" l="1"/>
  <c r="H159" i="31" s="1"/>
  <c r="H168" i="15" s="1"/>
  <c r="I159" i="31" l="1"/>
  <c r="R168" i="15" s="1"/>
  <c r="L159" i="31" l="1"/>
  <c r="AB168" i="15" s="1"/>
  <c r="N159" i="31" l="1"/>
  <c r="K160" i="31" s="1"/>
  <c r="W169" i="15" s="1"/>
  <c r="D160" i="31"/>
  <c r="J160" i="31" s="1"/>
  <c r="M169" i="15" s="1"/>
  <c r="M160" i="31" l="1"/>
  <c r="F160" i="31"/>
  <c r="H160" i="31" s="1"/>
  <c r="I160" i="31" s="1"/>
  <c r="AG168" i="15"/>
  <c r="AQ168" i="15" s="1"/>
  <c r="H169" i="15" l="1"/>
  <c r="R169" i="15"/>
  <c r="L160" i="31"/>
  <c r="AB169" i="15" l="1"/>
  <c r="N160" i="31"/>
  <c r="D161" i="31"/>
  <c r="J161" i="31" l="1"/>
  <c r="AG169" i="15"/>
  <c r="AQ169" i="15" s="1"/>
  <c r="K161" i="31"/>
  <c r="W170" i="15" l="1"/>
  <c r="F161" i="31"/>
  <c r="H161" i="31" s="1"/>
  <c r="M170" i="15"/>
  <c r="M161" i="31"/>
  <c r="H170" i="15" l="1"/>
  <c r="I161" i="31"/>
  <c r="R170" i="15" s="1"/>
  <c r="L161" i="31" l="1"/>
  <c r="AB170" i="15" s="1"/>
  <c r="D162" i="31" l="1"/>
  <c r="J162" i="31" s="1"/>
  <c r="N161" i="31"/>
  <c r="AG170" i="15" s="1"/>
  <c r="AQ170" i="15" s="1"/>
  <c r="K162" i="31" l="1"/>
  <c r="M171" i="15"/>
  <c r="M162" i="31"/>
  <c r="W171" i="15" l="1"/>
  <c r="F162" i="31"/>
  <c r="H162" i="31" s="1"/>
  <c r="H171" i="15" l="1"/>
  <c r="I162" i="31"/>
  <c r="R171" i="15" s="1"/>
  <c r="L162" i="31" l="1"/>
  <c r="AB171" i="15" s="1"/>
  <c r="D163" i="31" l="1"/>
  <c r="J163" i="31" s="1"/>
  <c r="N162" i="31"/>
  <c r="AG171" i="15" s="1"/>
  <c r="AQ171" i="15" s="1"/>
  <c r="K163" i="31" l="1"/>
  <c r="M172" i="15"/>
  <c r="M163" i="31"/>
  <c r="W172" i="15" l="1"/>
  <c r="F163" i="31"/>
  <c r="H163" i="31" s="1"/>
  <c r="H172" i="15" l="1"/>
  <c r="I163" i="31"/>
  <c r="R172" i="15" s="1"/>
  <c r="L163" i="31" l="1"/>
  <c r="AB172" i="15" s="1"/>
  <c r="D164" i="31" l="1"/>
  <c r="J164" i="31" s="1"/>
  <c r="N163" i="31"/>
  <c r="AG172" i="15" s="1"/>
  <c r="AQ172" i="15" s="1"/>
  <c r="K164" i="31" l="1"/>
  <c r="M173" i="15"/>
  <c r="M164" i="31"/>
  <c r="W173" i="15" l="1"/>
  <c r="F164" i="31"/>
  <c r="H164" i="31" s="1"/>
  <c r="H173" i="15" l="1"/>
  <c r="I164" i="31"/>
  <c r="R173" i="15" s="1"/>
  <c r="L164" i="31" l="1"/>
  <c r="AB173" i="15" s="1"/>
  <c r="D165" i="31" l="1"/>
  <c r="J165" i="31" s="1"/>
  <c r="N164" i="31"/>
  <c r="AG173" i="15" s="1"/>
  <c r="AQ173" i="15" s="1"/>
  <c r="K165" i="31" l="1"/>
  <c r="W174" i="15" s="1"/>
  <c r="M174" i="15"/>
  <c r="M165" i="31"/>
  <c r="F165" i="31" l="1"/>
  <c r="H165" i="31" s="1"/>
  <c r="H174" i="15" s="1"/>
  <c r="I165" i="31" l="1"/>
  <c r="R174" i="15" s="1"/>
  <c r="L165" i="31" l="1"/>
  <c r="AB174" i="15" s="1"/>
  <c r="D166" i="31" l="1"/>
  <c r="J166" i="31" s="1"/>
  <c r="N165" i="31"/>
  <c r="AG174" i="15" s="1"/>
  <c r="AQ174" i="15" s="1"/>
  <c r="K166" i="31" l="1"/>
  <c r="W175" i="15" s="1"/>
  <c r="M175" i="15"/>
  <c r="M166" i="31"/>
  <c r="F166" i="31" l="1"/>
  <c r="H166" i="31" s="1"/>
  <c r="H175" i="15" s="1"/>
  <c r="I166" i="31" l="1"/>
  <c r="R175" i="15" s="1"/>
  <c r="L166" i="31" l="1"/>
  <c r="AB175" i="15" s="1"/>
  <c r="D167" i="31" l="1"/>
  <c r="J167" i="31" s="1"/>
  <c r="N166" i="31"/>
  <c r="AG175" i="15" s="1"/>
  <c r="AQ175" i="15" s="1"/>
  <c r="K167" i="31" l="1"/>
  <c r="W176" i="15" s="1"/>
  <c r="M176" i="15"/>
  <c r="M167" i="31"/>
  <c r="F167" i="31" l="1"/>
  <c r="H167" i="31" s="1"/>
  <c r="H176" i="15" s="1"/>
  <c r="I167" i="31" l="1"/>
  <c r="L167" i="31" s="1"/>
  <c r="R176" i="15" l="1"/>
  <c r="AB176" i="15"/>
  <c r="N167" i="31"/>
  <c r="D168" i="31"/>
  <c r="J168" i="31" l="1"/>
  <c r="AG176" i="15"/>
  <c r="AQ176" i="15" s="1"/>
  <c r="K168" i="31"/>
  <c r="W177" i="15" s="1"/>
  <c r="M177" i="15" l="1"/>
  <c r="M168" i="31"/>
  <c r="F168" i="31"/>
  <c r="H168" i="31" s="1"/>
  <c r="H177" i="15" l="1"/>
  <c r="I168" i="31"/>
  <c r="R177" i="15" l="1"/>
  <c r="L168" i="31"/>
  <c r="AB177" i="15" l="1"/>
  <c r="N168" i="31"/>
  <c r="D169" i="31"/>
  <c r="J169" i="31" l="1"/>
  <c r="AG177" i="15"/>
  <c r="AQ177" i="15" s="1"/>
  <c r="K169" i="31"/>
  <c r="W178" i="15" s="1"/>
  <c r="F169" i="31" l="1"/>
  <c r="H169" i="31" s="1"/>
  <c r="H178" i="15" s="1"/>
  <c r="M178" i="15"/>
  <c r="M169" i="31"/>
  <c r="I169" i="31" l="1"/>
  <c r="R178" i="15" s="1"/>
  <c r="L169" i="31" l="1"/>
  <c r="AB178" i="15" s="1"/>
  <c r="D170" i="31" l="1"/>
  <c r="J170" i="31" s="1"/>
  <c r="N169" i="31"/>
  <c r="AG178" i="15" s="1"/>
  <c r="AQ178" i="15" s="1"/>
  <c r="K170" i="31" l="1"/>
  <c r="W179" i="15" s="1"/>
  <c r="M179" i="15"/>
  <c r="M170" i="31"/>
  <c r="F170" i="31" l="1"/>
  <c r="H170" i="31" s="1"/>
  <c r="H179" i="15" s="1"/>
  <c r="I170" i="31" l="1"/>
  <c r="R179" i="15" s="1"/>
  <c r="L170" i="31" l="1"/>
  <c r="AB179" i="15" s="1"/>
  <c r="D171" i="31" l="1"/>
  <c r="J171" i="31" s="1"/>
  <c r="N170" i="31"/>
  <c r="AG179" i="15" s="1"/>
  <c r="AQ179" i="15" s="1"/>
  <c r="K171" i="31" l="1"/>
  <c r="W180" i="15" s="1"/>
  <c r="M180" i="15"/>
  <c r="M171" i="31"/>
  <c r="F171" i="31" l="1"/>
  <c r="H171" i="31" s="1"/>
  <c r="H180" i="15" s="1"/>
  <c r="I171" i="31" l="1"/>
  <c r="R180" i="15" s="1"/>
  <c r="L171" i="31" l="1"/>
  <c r="AB180" i="15" s="1"/>
  <c r="D172" i="31" l="1"/>
  <c r="J172" i="31" s="1"/>
  <c r="N171" i="31"/>
  <c r="AG180" i="15" s="1"/>
  <c r="AQ180" i="15" s="1"/>
  <c r="K172" i="31" l="1"/>
  <c r="W181" i="15" s="1"/>
  <c r="M181" i="15"/>
  <c r="M172" i="31"/>
  <c r="F172" i="31" l="1"/>
  <c r="H172" i="31" s="1"/>
  <c r="H181" i="15" s="1"/>
  <c r="I172" i="31" l="1"/>
  <c r="R181" i="15" s="1"/>
  <c r="L172" i="31" l="1"/>
  <c r="AB181" i="15" s="1"/>
  <c r="D173" i="31" l="1"/>
  <c r="J173" i="31" s="1"/>
  <c r="N172" i="31"/>
  <c r="AG181" i="15" s="1"/>
  <c r="AQ181" i="15" s="1"/>
  <c r="K173" i="31" l="1"/>
  <c r="W182" i="15" s="1"/>
  <c r="M182" i="15"/>
  <c r="M173" i="31"/>
  <c r="F173" i="31" l="1"/>
  <c r="H173" i="31" s="1"/>
  <c r="H182" i="15" s="1"/>
  <c r="I173" i="31" l="1"/>
  <c r="R182" i="15" s="1"/>
  <c r="L173" i="31" l="1"/>
  <c r="AB182" i="15" s="1"/>
  <c r="D174" i="31" l="1"/>
  <c r="J174" i="31" s="1"/>
  <c r="M183" i="15" s="1"/>
  <c r="N173" i="31"/>
  <c r="AG182" i="15" s="1"/>
  <c r="AQ182" i="15" s="1"/>
  <c r="M174" i="31" l="1"/>
  <c r="K174" i="31"/>
  <c r="W183" i="15" s="1"/>
  <c r="F174" i="31" l="1"/>
  <c r="H174" i="31" s="1"/>
  <c r="I174" i="31" s="1"/>
  <c r="H183" i="15" l="1"/>
  <c r="R183" i="15"/>
  <c r="L174" i="31"/>
  <c r="AB183" i="15" s="1"/>
  <c r="D175" i="31" l="1"/>
  <c r="J175" i="31" s="1"/>
  <c r="N174" i="31"/>
  <c r="AG183" i="15" s="1"/>
  <c r="AQ183" i="15" s="1"/>
  <c r="K175" i="31" l="1"/>
  <c r="W184" i="15" s="1"/>
  <c r="M184" i="15"/>
  <c r="M175" i="31"/>
  <c r="F175" i="31" l="1"/>
  <c r="H175" i="31" s="1"/>
  <c r="I175" i="31" s="1"/>
  <c r="R184" i="15" s="1"/>
  <c r="H184" i="15" l="1"/>
  <c r="L175" i="31"/>
  <c r="AB184" i="15" s="1"/>
  <c r="D176" i="31" l="1"/>
  <c r="J176" i="31" s="1"/>
  <c r="N175" i="31"/>
  <c r="AG184" i="15" s="1"/>
  <c r="AQ184" i="15" s="1"/>
  <c r="K176" i="31" l="1"/>
  <c r="M185" i="15"/>
  <c r="M176" i="31"/>
  <c r="W185" i="15" l="1"/>
  <c r="F176" i="31"/>
  <c r="H176" i="31" s="1"/>
  <c r="H185" i="15" l="1"/>
  <c r="I176" i="31"/>
  <c r="R185" i="15" s="1"/>
  <c r="L176" i="31" l="1"/>
  <c r="AB185" i="15" s="1"/>
  <c r="D177" i="31" l="1"/>
  <c r="J177" i="31" s="1"/>
  <c r="N176" i="31"/>
  <c r="AG185" i="15" s="1"/>
  <c r="AQ185" i="15" s="1"/>
  <c r="K177" i="31" l="1"/>
  <c r="W186" i="15" s="1"/>
  <c r="M186" i="15"/>
  <c r="M177" i="31"/>
  <c r="F177" i="31" l="1"/>
  <c r="H177" i="31" s="1"/>
  <c r="H186" i="15" s="1"/>
  <c r="I177" i="31" l="1"/>
  <c r="R186" i="15" s="1"/>
  <c r="L177" i="31" l="1"/>
  <c r="AB186" i="15" s="1"/>
  <c r="D178" i="31" l="1"/>
  <c r="J178" i="31" s="1"/>
  <c r="N177" i="31"/>
  <c r="K178" i="31" s="1"/>
  <c r="W187" i="15" s="1"/>
  <c r="AG186" i="15" l="1"/>
  <c r="AQ186" i="15" s="1"/>
  <c r="M187" i="15"/>
  <c r="M178" i="31"/>
  <c r="F178" i="31"/>
  <c r="H178" i="31" s="1"/>
  <c r="H187" i="15" l="1"/>
  <c r="I178" i="31"/>
  <c r="R187" i="15" l="1"/>
  <c r="L178" i="31"/>
  <c r="AB187" i="15" l="1"/>
  <c r="N178" i="31"/>
  <c r="D179" i="31"/>
  <c r="J179" i="31" l="1"/>
  <c r="AG187" i="15"/>
  <c r="AQ187" i="15" s="1"/>
  <c r="K179" i="31"/>
  <c r="W188" i="15" s="1"/>
  <c r="M188" i="15" l="1"/>
  <c r="M179" i="31"/>
  <c r="F179" i="31"/>
  <c r="H179" i="31" s="1"/>
  <c r="H188" i="15" l="1"/>
  <c r="I179" i="31"/>
  <c r="R188" i="15" l="1"/>
  <c r="L179" i="31"/>
  <c r="AB188" i="15" l="1"/>
  <c r="N179" i="31"/>
  <c r="D180" i="31"/>
  <c r="AG188" i="15" l="1"/>
  <c r="AQ188" i="15" s="1"/>
  <c r="K180" i="31"/>
  <c r="W189" i="15" s="1"/>
  <c r="J180" i="31"/>
  <c r="M189" i="15" l="1"/>
  <c r="M180" i="31"/>
  <c r="F180" i="31"/>
  <c r="H180" i="31" s="1"/>
  <c r="H189" i="15" l="1"/>
  <c r="I180" i="31"/>
  <c r="R189" i="15" l="1"/>
  <c r="L180" i="31"/>
  <c r="AB189" i="15" l="1"/>
  <c r="N180" i="31"/>
  <c r="D181" i="31"/>
  <c r="AG189" i="15" l="1"/>
  <c r="AQ189" i="15" s="1"/>
  <c r="K181" i="31"/>
  <c r="W190" i="15" s="1"/>
  <c r="J181" i="31"/>
  <c r="M190" i="15" l="1"/>
  <c r="M181" i="31"/>
  <c r="F181" i="31"/>
  <c r="H181" i="31" s="1"/>
  <c r="H190" i="15" l="1"/>
  <c r="I181" i="31"/>
  <c r="R190" i="15" l="1"/>
  <c r="L181" i="31"/>
  <c r="AB190" i="15" l="1"/>
  <c r="N181" i="31"/>
  <c r="D182" i="31"/>
  <c r="J182" i="31" l="1"/>
  <c r="AG190" i="15"/>
  <c r="AQ190" i="15" s="1"/>
  <c r="K182" i="31"/>
  <c r="W191" i="15" s="1"/>
  <c r="M191" i="15" l="1"/>
  <c r="M182" i="31"/>
  <c r="F182" i="31"/>
  <c r="H182" i="31" s="1"/>
  <c r="H191" i="15" l="1"/>
  <c r="I182" i="31"/>
  <c r="R191" i="15" l="1"/>
  <c r="L182" i="31"/>
  <c r="AB191" i="15" l="1"/>
  <c r="N182" i="31"/>
  <c r="D183" i="31"/>
  <c r="J183" i="31" l="1"/>
  <c r="AG191" i="15"/>
  <c r="AQ191" i="15" s="1"/>
  <c r="K183" i="31"/>
  <c r="W192" i="15" s="1"/>
  <c r="F183" i="31" l="1"/>
  <c r="H183" i="31" s="1"/>
  <c r="H192" i="15" s="1"/>
  <c r="M192" i="15"/>
  <c r="M183" i="31"/>
  <c r="I183" i="31" l="1"/>
  <c r="R192" i="15" s="1"/>
  <c r="L183" i="31" l="1"/>
  <c r="AB192" i="15" s="1"/>
  <c r="D184" i="31" l="1"/>
  <c r="J184" i="31" s="1"/>
  <c r="N183" i="31"/>
  <c r="AG192" i="15" s="1"/>
  <c r="AQ192" i="15" s="1"/>
  <c r="K184" i="31" l="1"/>
  <c r="W193" i="15" s="1"/>
  <c r="M193" i="15"/>
  <c r="M184" i="31"/>
  <c r="F184" i="31" l="1"/>
  <c r="H184" i="31" s="1"/>
  <c r="H193" i="15" s="1"/>
  <c r="I184" i="31" l="1"/>
  <c r="R193" i="15" s="1"/>
  <c r="L184" i="31" l="1"/>
  <c r="AB193" i="15" s="1"/>
  <c r="D185" i="31" l="1"/>
  <c r="J185" i="31" s="1"/>
  <c r="N184" i="31"/>
  <c r="AG193" i="15" s="1"/>
  <c r="AQ193" i="15" s="1"/>
  <c r="K185" i="31" l="1"/>
  <c r="M194" i="15"/>
  <c r="M185" i="31"/>
  <c r="W194" i="15" l="1"/>
  <c r="F185" i="31"/>
  <c r="H185" i="31" s="1"/>
  <c r="H194" i="15" l="1"/>
  <c r="I185" i="31"/>
  <c r="L185" i="31" s="1"/>
  <c r="AB194" i="15" s="1"/>
  <c r="D186" i="31" l="1"/>
  <c r="J186" i="31" s="1"/>
  <c r="N185" i="31"/>
  <c r="AG194" i="15" s="1"/>
  <c r="R194" i="15"/>
  <c r="K186" i="31" l="1"/>
  <c r="AQ194" i="15"/>
  <c r="M195" i="15"/>
  <c r="M186" i="31"/>
  <c r="W195" i="15" l="1"/>
  <c r="F186" i="31"/>
  <c r="H186" i="31" s="1"/>
  <c r="H195" i="15" l="1"/>
  <c r="I186" i="31"/>
  <c r="R195" i="15" s="1"/>
  <c r="L186" i="31" l="1"/>
  <c r="AB195" i="15" s="1"/>
  <c r="D187" i="31" l="1"/>
  <c r="J187" i="31" s="1"/>
  <c r="N186" i="31"/>
  <c r="AG195" i="15" s="1"/>
  <c r="AQ195" i="15" s="1"/>
  <c r="K187" i="31" l="1"/>
  <c r="M196" i="15"/>
  <c r="M187" i="31"/>
  <c r="W196" i="15" l="1"/>
  <c r="F187" i="31"/>
  <c r="H187" i="31" s="1"/>
  <c r="H196" i="15" l="1"/>
  <c r="I187" i="31"/>
  <c r="R196" i="15" s="1"/>
  <c r="L187" i="31" l="1"/>
  <c r="AB196" i="15" s="1"/>
  <c r="D188" i="31" l="1"/>
  <c r="J188" i="31" s="1"/>
  <c r="N187" i="31"/>
  <c r="AG196" i="15" s="1"/>
  <c r="AQ196" i="15" s="1"/>
  <c r="K188" i="31" l="1"/>
  <c r="W197" i="15" s="1"/>
  <c r="M197" i="15"/>
  <c r="M188" i="31"/>
  <c r="F188" i="31" l="1"/>
  <c r="H188" i="31" s="1"/>
  <c r="H197" i="15" s="1"/>
  <c r="I188" i="31" l="1"/>
  <c r="R197" i="15" s="1"/>
  <c r="L188" i="31" l="1"/>
  <c r="AB197" i="15" s="1"/>
  <c r="D189" i="31" l="1"/>
  <c r="J189" i="31" s="1"/>
  <c r="N188" i="31"/>
  <c r="AG197" i="15" s="1"/>
  <c r="AQ197" i="15" s="1"/>
  <c r="K189" i="31" l="1"/>
  <c r="W198" i="15" s="1"/>
  <c r="M198" i="15"/>
  <c r="M189" i="31"/>
  <c r="F189" i="31" l="1"/>
  <c r="H189" i="31" s="1"/>
  <c r="H198" i="15" s="1"/>
  <c r="I189" i="31" l="1"/>
  <c r="R198" i="15" s="1"/>
  <c r="L189" i="31" l="1"/>
  <c r="AB198" i="15" s="1"/>
  <c r="D190" i="31" l="1"/>
  <c r="J190" i="31" s="1"/>
  <c r="N189" i="31"/>
  <c r="K190" i="31" s="1"/>
  <c r="W199" i="15" s="1"/>
  <c r="AG198" i="15" l="1"/>
  <c r="AQ198" i="15" s="1"/>
  <c r="M199" i="15"/>
  <c r="M190" i="31"/>
  <c r="F190" i="31"/>
  <c r="H190" i="31" s="1"/>
  <c r="H199" i="15" l="1"/>
  <c r="I190" i="31"/>
  <c r="R199" i="15" l="1"/>
  <c r="L190" i="31"/>
  <c r="AB199" i="15" l="1"/>
  <c r="N190" i="31"/>
  <c r="D191" i="31"/>
  <c r="J191" i="31" l="1"/>
  <c r="AG199" i="15"/>
  <c r="AQ199" i="15" s="1"/>
  <c r="K191" i="31"/>
  <c r="W200" i="15" s="1"/>
  <c r="M200" i="15" l="1"/>
  <c r="M191" i="31"/>
  <c r="F191" i="31"/>
  <c r="H191" i="31" s="1"/>
  <c r="H200" i="15" l="1"/>
  <c r="I191" i="31"/>
  <c r="R200" i="15" l="1"/>
  <c r="L191" i="31"/>
  <c r="AB200" i="15" l="1"/>
  <c r="N191" i="31"/>
  <c r="D192" i="31"/>
  <c r="AG200" i="15" l="1"/>
  <c r="AQ200" i="15" s="1"/>
  <c r="K192" i="31"/>
  <c r="W201" i="15" s="1"/>
  <c r="J192" i="31"/>
  <c r="M201" i="15" l="1"/>
  <c r="M192" i="31"/>
  <c r="F192" i="31"/>
  <c r="H192" i="31" s="1"/>
  <c r="H201" i="15" l="1"/>
  <c r="I192" i="31"/>
  <c r="R201" i="15" l="1"/>
  <c r="L192" i="31"/>
  <c r="AB201" i="15" l="1"/>
  <c r="N192" i="31"/>
  <c r="D193" i="31"/>
  <c r="J193" i="31" l="1"/>
  <c r="AG201" i="15"/>
  <c r="AQ201" i="15" s="1"/>
  <c r="K193" i="31"/>
  <c r="W202" i="15" s="1"/>
  <c r="M202" i="15" l="1"/>
  <c r="M193" i="31"/>
  <c r="F193" i="31"/>
  <c r="H193" i="31" s="1"/>
  <c r="H202" i="15" l="1"/>
  <c r="I193" i="31"/>
  <c r="R202" i="15" l="1"/>
  <c r="L193" i="31"/>
  <c r="AB202" i="15" l="1"/>
  <c r="N193" i="31"/>
  <c r="D194" i="31"/>
  <c r="AG202" i="15" l="1"/>
  <c r="AQ202" i="15" s="1"/>
  <c r="K194" i="31"/>
  <c r="W203" i="15" s="1"/>
  <c r="J194" i="31"/>
  <c r="F194" i="31" l="1"/>
  <c r="H194" i="31" s="1"/>
  <c r="H203" i="15" s="1"/>
  <c r="M203" i="15"/>
  <c r="M194" i="31"/>
  <c r="I194" i="31" l="1"/>
  <c r="R203" i="15" s="1"/>
  <c r="L194" i="31" l="1"/>
  <c r="AB203" i="15" s="1"/>
  <c r="D195" i="31" l="1"/>
  <c r="J195" i="31" s="1"/>
  <c r="N194" i="31"/>
  <c r="AG203" i="15" s="1"/>
  <c r="AQ203" i="15" s="1"/>
  <c r="K195" i="31" l="1"/>
  <c r="W204" i="15" s="1"/>
  <c r="M204" i="15"/>
  <c r="M195" i="31"/>
  <c r="F195" i="31" l="1"/>
  <c r="H195" i="31" s="1"/>
  <c r="H204" i="15" s="1"/>
  <c r="I195" i="31" l="1"/>
  <c r="R204" i="15" s="1"/>
  <c r="L195" i="31" l="1"/>
  <c r="N195" i="31" s="1"/>
  <c r="AG204" i="15" s="1"/>
  <c r="AB204" i="15" l="1"/>
  <c r="AQ204" i="15" s="1"/>
  <c r="D196" i="31"/>
  <c r="K196" i="31"/>
  <c r="W205" i="15" s="1"/>
  <c r="J196" i="31" l="1"/>
  <c r="M196" i="31" s="1"/>
  <c r="M205" i="15" l="1"/>
  <c r="R196" i="31"/>
  <c r="S196" i="31" s="1"/>
  <c r="E196" i="31" s="1"/>
  <c r="F196" i="31" s="1"/>
  <c r="H196" i="31" s="1"/>
  <c r="H205" i="15" s="1"/>
  <c r="I196" i="31" l="1"/>
  <c r="R205" i="15" s="1"/>
  <c r="L196" i="31" l="1"/>
  <c r="AB205" i="15" l="1"/>
  <c r="O196" i="31"/>
  <c r="AL205" i="15" s="1"/>
  <c r="N196" i="31"/>
  <c r="AG205" i="15" s="1"/>
  <c r="D197" i="31"/>
  <c r="J16" i="31" s="1"/>
  <c r="O18" i="31" s="1"/>
  <c r="AQ205" i="15" l="1"/>
  <c r="K197" i="31"/>
  <c r="W206" i="15" s="1"/>
  <c r="J197" i="31"/>
  <c r="O16" i="31"/>
  <c r="M206" i="15" l="1"/>
  <c r="M197" i="31"/>
  <c r="F197" i="31"/>
  <c r="H197" i="31" s="1"/>
  <c r="H206" i="15" s="1"/>
  <c r="I197" i="31" l="1"/>
  <c r="R206" i="15" l="1"/>
  <c r="L197" i="31"/>
  <c r="AB206" i="15" l="1"/>
  <c r="N197" i="31"/>
  <c r="D198" i="31"/>
  <c r="J198" i="31" s="1"/>
  <c r="M207" i="15" s="1"/>
  <c r="M198" i="31" l="1"/>
  <c r="AG206" i="15"/>
  <c r="AQ206" i="15" s="1"/>
  <c r="K198" i="31"/>
  <c r="W207" i="15" s="1"/>
  <c r="F198" i="31" l="1"/>
  <c r="H198" i="31" s="1"/>
  <c r="H207" i="15" l="1"/>
  <c r="I198" i="31"/>
  <c r="R207" i="15" l="1"/>
  <c r="L198" i="31"/>
  <c r="AB207" i="15" l="1"/>
  <c r="N198" i="31"/>
  <c r="D199" i="31"/>
  <c r="K199" i="31" l="1"/>
  <c r="W208" i="15" s="1"/>
  <c r="AG207" i="15"/>
  <c r="AQ207" i="15" s="1"/>
  <c r="J199" i="31"/>
  <c r="M208" i="15" l="1"/>
  <c r="M199" i="31"/>
  <c r="F199" i="31"/>
  <c r="H199" i="31" s="1"/>
  <c r="I199" i="31" s="1"/>
  <c r="H208" i="15" l="1"/>
  <c r="R208" i="15"/>
  <c r="L199" i="31"/>
  <c r="AB208" i="15" l="1"/>
  <c r="N199" i="31"/>
  <c r="D200" i="31"/>
  <c r="J200" i="31" s="1"/>
  <c r="M209" i="15" s="1"/>
  <c r="M200" i="31" l="1"/>
  <c r="K200" i="31"/>
  <c r="W209" i="15" s="1"/>
  <c r="AG208" i="15"/>
  <c r="AQ208" i="15" s="1"/>
  <c r="F200" i="31" l="1"/>
  <c r="H200" i="31" s="1"/>
  <c r="I200" i="31" l="1"/>
  <c r="H209" i="15"/>
  <c r="R209" i="15" l="1"/>
  <c r="L200" i="31"/>
  <c r="AB209" i="15" l="1"/>
  <c r="N200" i="31"/>
  <c r="D201" i="31"/>
  <c r="J201" i="31" s="1"/>
  <c r="M210" i="15" s="1"/>
  <c r="M201" i="31" l="1"/>
  <c r="AG209" i="15"/>
  <c r="AQ209" i="15" s="1"/>
  <c r="K201" i="31"/>
  <c r="W210" i="15" s="1"/>
  <c r="F201" i="31" l="1"/>
  <c r="H201" i="31" s="1"/>
  <c r="H210" i="15" l="1"/>
  <c r="I201" i="31"/>
  <c r="R210" i="15" l="1"/>
  <c r="L201" i="31"/>
  <c r="AB210" i="15" l="1"/>
  <c r="N201" i="31"/>
  <c r="D202" i="31"/>
  <c r="J202" i="31" s="1"/>
  <c r="M211" i="15" s="1"/>
  <c r="M202" i="31" l="1"/>
  <c r="AG210" i="15"/>
  <c r="AQ210" i="15" s="1"/>
  <c r="K202" i="31"/>
  <c r="W211" i="15" s="1"/>
  <c r="F202" i="31" l="1"/>
  <c r="H202" i="31" s="1"/>
  <c r="H211" i="15" s="1"/>
  <c r="I202" i="31" l="1"/>
  <c r="R211" i="15" l="1"/>
  <c r="L202" i="31"/>
  <c r="AB211" i="15" l="1"/>
  <c r="D203" i="31"/>
  <c r="N202" i="31"/>
  <c r="J203" i="31" l="1"/>
  <c r="AG211" i="15"/>
  <c r="AQ211" i="15" s="1"/>
  <c r="K203" i="31"/>
  <c r="W212" i="15" s="1"/>
  <c r="M212" i="15" l="1"/>
  <c r="M203" i="31"/>
  <c r="F203" i="31"/>
  <c r="H203" i="31" s="1"/>
  <c r="H212" i="15" l="1"/>
  <c r="I203" i="31"/>
  <c r="R212" i="15" l="1"/>
  <c r="L203" i="31"/>
  <c r="AB212" i="15" l="1"/>
  <c r="D204" i="31"/>
  <c r="N203" i="31"/>
  <c r="AG212" i="15" l="1"/>
  <c r="AQ212" i="15" s="1"/>
  <c r="K204" i="31"/>
  <c r="W213" i="15" s="1"/>
  <c r="J204" i="31"/>
  <c r="M213" i="15" l="1"/>
  <c r="M204" i="31"/>
  <c r="F204" i="31"/>
  <c r="H204" i="31" s="1"/>
  <c r="H213" i="15" s="1"/>
  <c r="I204" i="31" l="1"/>
  <c r="R213" i="15" s="1"/>
  <c r="L204" i="31" l="1"/>
  <c r="D205" i="31" l="1"/>
  <c r="J205" i="31" s="1"/>
  <c r="M214" i="15" s="1"/>
  <c r="N204" i="31"/>
  <c r="AG213" i="15" s="1"/>
  <c r="AB213" i="15"/>
  <c r="M205" i="31" l="1"/>
  <c r="K205" i="31"/>
  <c r="W214" i="15" s="1"/>
  <c r="AQ213" i="15"/>
  <c r="F205" i="31" l="1"/>
  <c r="H205" i="31" s="1"/>
  <c r="H214" i="15" s="1"/>
  <c r="I205" i="31" l="1"/>
  <c r="R214" i="15" s="1"/>
  <c r="L205" i="31" l="1"/>
  <c r="AB214" i="15" s="1"/>
  <c r="D206" i="31" l="1"/>
  <c r="J206" i="31" s="1"/>
  <c r="M215" i="15" s="1"/>
  <c r="N205" i="31"/>
  <c r="AG214" i="15" s="1"/>
  <c r="AQ214" i="15" s="1"/>
  <c r="M206" i="31" l="1"/>
  <c r="K206" i="31"/>
  <c r="W215" i="15" s="1"/>
  <c r="F206" i="31" l="1"/>
  <c r="H206" i="31" s="1"/>
  <c r="H215" i="15" s="1"/>
  <c r="I206" i="31" l="1"/>
  <c r="R215" i="15" s="1"/>
  <c r="L206" i="31" l="1"/>
  <c r="AB215" i="15" s="1"/>
  <c r="D207" i="31" l="1"/>
  <c r="J207" i="31" s="1"/>
  <c r="M216" i="15" s="1"/>
  <c r="N206" i="31"/>
  <c r="K207" i="31" s="1"/>
  <c r="W216" i="15" s="1"/>
  <c r="M207" i="31" l="1"/>
  <c r="AG215" i="15"/>
  <c r="AQ215" i="15" s="1"/>
  <c r="F207" i="31"/>
  <c r="H207" i="31" s="1"/>
  <c r="H216" i="15" l="1"/>
  <c r="I207" i="31"/>
  <c r="R216" i="15" l="1"/>
  <c r="L207" i="31"/>
  <c r="AB216" i="15" l="1"/>
  <c r="D208" i="31"/>
  <c r="N207" i="31"/>
  <c r="J208" i="31" l="1"/>
  <c r="AG216" i="15"/>
  <c r="AQ216" i="15" s="1"/>
  <c r="K208" i="31"/>
  <c r="W217" i="15" s="1"/>
  <c r="M217" i="15" l="1"/>
  <c r="M208" i="31"/>
  <c r="F208" i="31"/>
  <c r="H208" i="31" s="1"/>
  <c r="H217" i="15" l="1"/>
  <c r="I208" i="31"/>
  <c r="R217" i="15" l="1"/>
  <c r="L208" i="31"/>
  <c r="AB217" i="15" l="1"/>
  <c r="N208" i="31"/>
  <c r="D209" i="31"/>
  <c r="AG217" i="15" l="1"/>
  <c r="AQ217" i="15" s="1"/>
  <c r="K209" i="31"/>
  <c r="W218" i="15" s="1"/>
  <c r="J209" i="31"/>
  <c r="M218" i="15" l="1"/>
  <c r="M209" i="31"/>
  <c r="F209" i="31"/>
  <c r="H209" i="31" s="1"/>
  <c r="H218" i="15" l="1"/>
  <c r="I209" i="31"/>
  <c r="R218" i="15" l="1"/>
  <c r="L209" i="31"/>
  <c r="AB218" i="15" l="1"/>
  <c r="D210" i="31"/>
  <c r="N209" i="31"/>
  <c r="J210" i="31" l="1"/>
  <c r="AG218" i="15"/>
  <c r="AQ218" i="15" s="1"/>
  <c r="K210" i="31"/>
  <c r="W219" i="15" s="1"/>
  <c r="M219" i="15" l="1"/>
  <c r="M210" i="31"/>
  <c r="F210" i="31"/>
  <c r="H210" i="31" s="1"/>
  <c r="H219" i="15" l="1"/>
  <c r="I210" i="31"/>
  <c r="R219" i="15" l="1"/>
  <c r="L210" i="31"/>
  <c r="AB219" i="15" l="1"/>
  <c r="D211" i="31"/>
  <c r="N210" i="31"/>
  <c r="AG219" i="15" l="1"/>
  <c r="AQ219" i="15" s="1"/>
  <c r="K211" i="31"/>
  <c r="W220" i="15" s="1"/>
  <c r="J211" i="31"/>
  <c r="M220" i="15" l="1"/>
  <c r="M211" i="31"/>
  <c r="F211" i="31"/>
  <c r="H211" i="31" s="1"/>
  <c r="I211" i="31" l="1"/>
  <c r="H220" i="15"/>
  <c r="R220" i="15" l="1"/>
  <c r="L211" i="31"/>
  <c r="AB220" i="15" l="1"/>
  <c r="D212" i="31"/>
  <c r="N211" i="31"/>
  <c r="AG220" i="15" l="1"/>
  <c r="AQ220" i="15" s="1"/>
  <c r="K212" i="31"/>
  <c r="W221" i="15" s="1"/>
  <c r="J212" i="31"/>
  <c r="M221" i="15" l="1"/>
  <c r="M212" i="31"/>
  <c r="F212" i="31"/>
  <c r="H212" i="31" s="1"/>
  <c r="H221" i="15" l="1"/>
  <c r="I212" i="31"/>
  <c r="R221" i="15" l="1"/>
  <c r="L212" i="31"/>
  <c r="AB221" i="15" l="1"/>
  <c r="D213" i="31"/>
  <c r="N212" i="31"/>
  <c r="AG221" i="15" l="1"/>
  <c r="AQ221" i="15" s="1"/>
  <c r="K213" i="31"/>
  <c r="W222" i="15" s="1"/>
  <c r="J213" i="31"/>
  <c r="M222" i="15" l="1"/>
  <c r="M213" i="31"/>
  <c r="F213" i="31"/>
  <c r="H213" i="31" s="1"/>
  <c r="H222" i="15" l="1"/>
  <c r="I213" i="31"/>
  <c r="R222" i="15" l="1"/>
  <c r="L213" i="31"/>
  <c r="AB222" i="15" l="1"/>
  <c r="D214" i="31"/>
  <c r="N213" i="31"/>
  <c r="AG222" i="15" l="1"/>
  <c r="AQ222" i="15" s="1"/>
  <c r="K214" i="31"/>
  <c r="W223" i="15" s="1"/>
  <c r="J214" i="31"/>
  <c r="M223" i="15" l="1"/>
  <c r="M214" i="31"/>
  <c r="F214" i="31"/>
  <c r="H214" i="31" s="1"/>
  <c r="H223" i="15" l="1"/>
  <c r="I214" i="31"/>
  <c r="R223" i="15" l="1"/>
  <c r="L214" i="31"/>
  <c r="AB223" i="15" l="1"/>
  <c r="N214" i="31"/>
  <c r="D215" i="31"/>
  <c r="J215" i="31" l="1"/>
  <c r="AG223" i="15"/>
  <c r="AQ223" i="15" s="1"/>
  <c r="K215" i="31"/>
  <c r="W224" i="15" s="1"/>
  <c r="M224" i="15" l="1"/>
  <c r="M215" i="31"/>
  <c r="F215" i="31"/>
  <c r="H215" i="31" s="1"/>
  <c r="H224" i="15" l="1"/>
  <c r="I215" i="31"/>
  <c r="R224" i="15" l="1"/>
  <c r="L215" i="31"/>
  <c r="D216" i="31" l="1"/>
  <c r="AB224" i="15"/>
  <c r="N215" i="31"/>
  <c r="AG224" i="15" l="1"/>
  <c r="AQ224" i="15" s="1"/>
  <c r="K216" i="31"/>
  <c r="W225" i="15" s="1"/>
  <c r="J216" i="31"/>
  <c r="M225" i="15" l="1"/>
  <c r="M216" i="31"/>
  <c r="F216" i="31"/>
  <c r="H216" i="31" s="1"/>
  <c r="I216" i="31" s="1"/>
  <c r="H225" i="15" l="1"/>
  <c r="R225" i="15"/>
  <c r="L216" i="31"/>
  <c r="D217" i="31" l="1"/>
  <c r="AB225" i="15"/>
  <c r="N216" i="31"/>
  <c r="K217" i="31" l="1"/>
  <c r="W226" i="15" s="1"/>
  <c r="AG225" i="15"/>
  <c r="AQ225" i="15" s="1"/>
  <c r="J217" i="31"/>
  <c r="M226" i="15" l="1"/>
  <c r="M217" i="31"/>
  <c r="F217" i="31"/>
  <c r="H217" i="31" s="1"/>
  <c r="H226" i="15" s="1"/>
  <c r="I217" i="31" l="1"/>
  <c r="R226" i="15" s="1"/>
  <c r="L217" i="31" l="1"/>
  <c r="AB226" i="15" s="1"/>
  <c r="D218" i="31" l="1"/>
  <c r="J218" i="31" s="1"/>
  <c r="M227" i="15" s="1"/>
  <c r="N217" i="31"/>
  <c r="AG226" i="15" s="1"/>
  <c r="AQ226" i="15" s="1"/>
  <c r="M218" i="31" l="1"/>
  <c r="K218" i="31"/>
  <c r="W227" i="15" s="1"/>
  <c r="F218" i="31" l="1"/>
  <c r="H218" i="31" s="1"/>
  <c r="H227" i="15" s="1"/>
  <c r="I218" i="31" l="1"/>
  <c r="R227" i="15" s="1"/>
  <c r="L218" i="31" l="1"/>
  <c r="D219" i="31" s="1"/>
  <c r="N218" i="31" l="1"/>
  <c r="AG227" i="15" s="1"/>
  <c r="AB227" i="15"/>
  <c r="J219" i="31"/>
  <c r="M228" i="15" s="1"/>
  <c r="M219" i="31" l="1"/>
  <c r="AQ227" i="15"/>
  <c r="K219" i="31"/>
  <c r="W228" i="15" s="1"/>
  <c r="F219" i="31" l="1"/>
  <c r="H219" i="31" s="1"/>
  <c r="I219" i="31" s="1"/>
  <c r="L219" i="31" s="1"/>
  <c r="R228" i="15" l="1"/>
  <c r="H228" i="15"/>
  <c r="D220" i="31"/>
  <c r="N219" i="31"/>
  <c r="AB228" i="15"/>
  <c r="AG228" i="15" l="1"/>
  <c r="AQ228" i="15" s="1"/>
  <c r="K220" i="31"/>
  <c r="W229" i="15" s="1"/>
  <c r="J220" i="31"/>
  <c r="M229" i="15" l="1"/>
  <c r="M220" i="31"/>
  <c r="F220" i="31"/>
  <c r="H220" i="31" s="1"/>
  <c r="I220" i="31" l="1"/>
  <c r="H229" i="15"/>
  <c r="L220" i="31" l="1"/>
  <c r="R229" i="15"/>
  <c r="AB229" i="15" l="1"/>
  <c r="D221" i="31"/>
  <c r="N220" i="31"/>
  <c r="AG229" i="15" l="1"/>
  <c r="AQ229" i="15" s="1"/>
  <c r="K221" i="31"/>
  <c r="W230" i="15" s="1"/>
  <c r="J221" i="31"/>
  <c r="M230" i="15" l="1"/>
  <c r="M221" i="31"/>
  <c r="F221" i="31"/>
  <c r="H221" i="31" s="1"/>
  <c r="H230" i="15" l="1"/>
  <c r="I221" i="31"/>
  <c r="R230" i="15" l="1"/>
  <c r="L221" i="31"/>
  <c r="AB230" i="15" l="1"/>
  <c r="D222" i="31"/>
  <c r="N221" i="31"/>
  <c r="J222" i="31" l="1"/>
  <c r="K222" i="31"/>
  <c r="W231" i="15" s="1"/>
  <c r="AG230" i="15"/>
  <c r="AQ230" i="15" s="1"/>
  <c r="M231" i="15" l="1"/>
  <c r="M222" i="31"/>
  <c r="F222" i="31"/>
  <c r="H222" i="31" s="1"/>
  <c r="H231" i="15" l="1"/>
  <c r="I222" i="31"/>
  <c r="R231" i="15" l="1"/>
  <c r="L222" i="31"/>
  <c r="N222" i="31" l="1"/>
  <c r="D223" i="31"/>
  <c r="AB231" i="15"/>
  <c r="J223" i="31" l="1"/>
  <c r="K223" i="31"/>
  <c r="W232" i="15" s="1"/>
  <c r="AG231" i="15"/>
  <c r="AQ231" i="15" s="1"/>
  <c r="M232" i="15" l="1"/>
  <c r="M223" i="31"/>
  <c r="F223" i="31"/>
  <c r="H223" i="31" s="1"/>
  <c r="H232" i="15" l="1"/>
  <c r="I223" i="31"/>
  <c r="R232" i="15" l="1"/>
  <c r="L223" i="31"/>
  <c r="N223" i="31" l="1"/>
  <c r="AB232" i="15"/>
  <c r="D224" i="31"/>
  <c r="J224" i="31" l="1"/>
  <c r="AG232" i="15"/>
  <c r="AQ232" i="15" s="1"/>
  <c r="K224" i="31"/>
  <c r="W233" i="15" s="1"/>
  <c r="M233" i="15" l="1"/>
  <c r="M224" i="31"/>
  <c r="F224" i="31"/>
  <c r="H224" i="31" s="1"/>
  <c r="H233" i="15" l="1"/>
  <c r="I224" i="31"/>
  <c r="R233" i="15" l="1"/>
  <c r="L224" i="31"/>
  <c r="D225" i="31" l="1"/>
  <c r="AB233" i="15"/>
  <c r="N224" i="31"/>
  <c r="K225" i="31" l="1"/>
  <c r="W234" i="15" s="1"/>
  <c r="AG233" i="15"/>
  <c r="AQ233" i="15" s="1"/>
  <c r="J225" i="31"/>
  <c r="M234" i="15" l="1"/>
  <c r="M225" i="31"/>
  <c r="F225" i="31"/>
  <c r="H225" i="31" s="1"/>
  <c r="I225" i="31" s="1"/>
  <c r="H234" i="15" l="1"/>
  <c r="R234" i="15"/>
  <c r="L225" i="31"/>
  <c r="AB234" i="15" l="1"/>
  <c r="N225" i="31"/>
  <c r="D226" i="31"/>
  <c r="K226" i="31" l="1"/>
  <c r="W235" i="15" s="1"/>
  <c r="AG234" i="15"/>
  <c r="AQ234" i="15" s="1"/>
  <c r="J226" i="31"/>
  <c r="M235" i="15" l="1"/>
  <c r="M226" i="31"/>
  <c r="F226" i="31"/>
  <c r="H226" i="31" s="1"/>
  <c r="I226" i="31" s="1"/>
  <c r="H235" i="15" l="1"/>
  <c r="L226" i="31"/>
  <c r="R235" i="15"/>
  <c r="D227" i="31" l="1"/>
  <c r="N226" i="31"/>
  <c r="AB235" i="15"/>
  <c r="AG235" i="15" l="1"/>
  <c r="AQ235" i="15" s="1"/>
  <c r="K227" i="31"/>
  <c r="W236" i="15" s="1"/>
  <c r="J227" i="31"/>
  <c r="M236" i="15" l="1"/>
  <c r="M227" i="31"/>
  <c r="F227" i="31"/>
  <c r="H227" i="31" s="1"/>
  <c r="I227" i="31" s="1"/>
  <c r="H236" i="15" l="1"/>
  <c r="L227" i="31"/>
  <c r="R236" i="15"/>
  <c r="D228" i="31" l="1"/>
  <c r="J228" i="31" s="1"/>
  <c r="M237" i="15" s="1"/>
  <c r="N227" i="31"/>
  <c r="AB236" i="15"/>
  <c r="M228" i="31" l="1"/>
  <c r="K228" i="31"/>
  <c r="AG236" i="15"/>
  <c r="AQ236" i="15" s="1"/>
  <c r="W237" i="15" l="1"/>
  <c r="F228" i="31"/>
  <c r="H228" i="31" s="1"/>
  <c r="I228" i="31" l="1"/>
  <c r="H237" i="15"/>
  <c r="R237" i="15" l="1"/>
  <c r="L228" i="31"/>
  <c r="D229" i="31" l="1"/>
  <c r="J229" i="31" s="1"/>
  <c r="M238" i="15" s="1"/>
  <c r="AB237" i="15"/>
  <c r="N228" i="31"/>
  <c r="M229" i="31" l="1"/>
  <c r="K229" i="31"/>
  <c r="AG237" i="15"/>
  <c r="AQ237" i="15" s="1"/>
  <c r="W238" i="15" l="1"/>
  <c r="F229" i="31"/>
  <c r="H229" i="31" s="1"/>
  <c r="I229" i="31" l="1"/>
  <c r="H238" i="15"/>
  <c r="R238" i="15" l="1"/>
  <c r="L229" i="31"/>
  <c r="N229" i="31" l="1"/>
  <c r="AB238" i="15"/>
  <c r="D230" i="31"/>
  <c r="J230" i="31" s="1"/>
  <c r="M239" i="15" s="1"/>
  <c r="M230" i="31" l="1"/>
  <c r="K230" i="31"/>
  <c r="W239" i="15" s="1"/>
  <c r="AG238" i="15"/>
  <c r="AQ238" i="15" s="1"/>
  <c r="F230" i="31" l="1"/>
  <c r="H230" i="31" s="1"/>
  <c r="I230" i="31" l="1"/>
  <c r="H239" i="15"/>
  <c r="L230" i="31" l="1"/>
  <c r="R239" i="15"/>
  <c r="D231" i="31" l="1"/>
  <c r="J231" i="31" s="1"/>
  <c r="M240" i="15" s="1"/>
  <c r="AB239" i="15"/>
  <c r="N230" i="31"/>
  <c r="M231" i="31" l="1"/>
  <c r="AG239" i="15"/>
  <c r="AQ239" i="15" s="1"/>
  <c r="K231" i="31"/>
  <c r="W240" i="15" l="1"/>
  <c r="F231" i="31"/>
  <c r="H231" i="31" s="1"/>
  <c r="I231" i="31" l="1"/>
  <c r="H240" i="15"/>
  <c r="L231" i="31" l="1"/>
  <c r="R240" i="15"/>
  <c r="AB240" i="15" l="1"/>
  <c r="N231" i="31"/>
  <c r="D232" i="31"/>
  <c r="J232" i="31" s="1"/>
  <c r="M241" i="15" s="1"/>
  <c r="M232" i="31" l="1"/>
  <c r="K232" i="31"/>
  <c r="AG240" i="15"/>
  <c r="AQ240" i="15" s="1"/>
  <c r="W241" i="15" l="1"/>
  <c r="F232" i="31"/>
  <c r="H232" i="31" s="1"/>
  <c r="I232" i="31" l="1"/>
  <c r="H241" i="15"/>
  <c r="R241" i="15" l="1"/>
  <c r="L232" i="31"/>
  <c r="AB241" i="15" l="1"/>
  <c r="N232" i="31"/>
  <c r="D233" i="31"/>
  <c r="K233" i="31" l="1"/>
  <c r="W242" i="15" s="1"/>
  <c r="AG241" i="15"/>
  <c r="AQ241" i="15" s="1"/>
  <c r="J233" i="31"/>
  <c r="M242" i="15" l="1"/>
  <c r="M233" i="31"/>
  <c r="F233" i="31"/>
  <c r="H233" i="31" s="1"/>
  <c r="I233" i="31" s="1"/>
  <c r="H242" i="15" l="1"/>
  <c r="R242" i="15"/>
  <c r="L233" i="31"/>
  <c r="D234" i="31" l="1"/>
  <c r="J234" i="31" s="1"/>
  <c r="M243" i="15" s="1"/>
  <c r="AB242" i="15"/>
  <c r="N233" i="31"/>
  <c r="M234" i="31" l="1"/>
  <c r="K234" i="31"/>
  <c r="W243" i="15" s="1"/>
  <c r="AG242" i="15"/>
  <c r="AQ242" i="15" s="1"/>
  <c r="F234" i="31" l="1"/>
  <c r="H234" i="31" s="1"/>
  <c r="I234" i="31" l="1"/>
  <c r="H243" i="15"/>
  <c r="R243" i="15" l="1"/>
  <c r="L234" i="31"/>
  <c r="D235" i="31" l="1"/>
  <c r="J235" i="31" s="1"/>
  <c r="M244" i="15" s="1"/>
  <c r="AB243" i="15"/>
  <c r="N234" i="31"/>
  <c r="M235" i="31" l="1"/>
  <c r="K235" i="31"/>
  <c r="AG243" i="15"/>
  <c r="AQ243" i="15" s="1"/>
  <c r="W244" i="15" l="1"/>
  <c r="F235" i="31"/>
  <c r="H235" i="31" s="1"/>
  <c r="I235" i="31" l="1"/>
  <c r="H244" i="15"/>
  <c r="R244" i="15" l="1"/>
  <c r="L235" i="31"/>
  <c r="D236" i="31" l="1"/>
  <c r="J236" i="31" s="1"/>
  <c r="M245" i="15" s="1"/>
  <c r="N235" i="31"/>
  <c r="AB244" i="15"/>
  <c r="M236" i="31" l="1"/>
  <c r="K236" i="31"/>
  <c r="AG244" i="15"/>
  <c r="AQ244" i="15" s="1"/>
  <c r="W245" i="15" l="1"/>
  <c r="F236" i="31"/>
  <c r="H236" i="31" s="1"/>
  <c r="I236" i="31" l="1"/>
  <c r="H245" i="15"/>
  <c r="R245" i="15" l="1"/>
  <c r="L236" i="31"/>
  <c r="D237" i="31" l="1"/>
  <c r="J237" i="31" s="1"/>
  <c r="M246" i="15" s="1"/>
  <c r="AB245" i="15"/>
  <c r="N236" i="31"/>
  <c r="M237" i="31" l="1"/>
  <c r="K237" i="31"/>
  <c r="AG245" i="15"/>
  <c r="AQ245" i="15" s="1"/>
  <c r="F237" i="31" l="1"/>
  <c r="H237" i="31" s="1"/>
  <c r="W246" i="15"/>
  <c r="I237" i="31" l="1"/>
  <c r="H246" i="15"/>
  <c r="R246" i="15" l="1"/>
  <c r="L237" i="31"/>
  <c r="D238" i="31" l="1"/>
  <c r="J238" i="31" s="1"/>
  <c r="M247" i="15" s="1"/>
  <c r="AB246" i="15"/>
  <c r="N237" i="31"/>
  <c r="M238" i="31" l="1"/>
  <c r="AG246" i="15"/>
  <c r="AQ246" i="15" s="1"/>
  <c r="K238" i="31"/>
  <c r="W247" i="15" l="1"/>
  <c r="F238" i="31"/>
  <c r="H238" i="31" s="1"/>
  <c r="H247" i="15" l="1"/>
  <c r="I238" i="31"/>
  <c r="R247" i="15" l="1"/>
  <c r="L238" i="31"/>
  <c r="D239" i="31" l="1"/>
  <c r="J239" i="31" s="1"/>
  <c r="M248" i="15" s="1"/>
  <c r="N238" i="31"/>
  <c r="AB247" i="15"/>
  <c r="M239" i="31" l="1"/>
  <c r="K239" i="31"/>
  <c r="AG247" i="15"/>
  <c r="AQ247" i="15" s="1"/>
  <c r="W248" i="15" l="1"/>
  <c r="F239" i="31"/>
  <c r="H239" i="31" s="1"/>
  <c r="I239" i="31" l="1"/>
  <c r="H248" i="15"/>
  <c r="R248" i="15" l="1"/>
  <c r="L239" i="31"/>
  <c r="AB248" i="15" l="1"/>
  <c r="D240" i="31"/>
  <c r="N239" i="31"/>
  <c r="J240" i="31" l="1"/>
  <c r="AG248" i="15"/>
  <c r="AQ248" i="15" s="1"/>
  <c r="K240" i="31"/>
  <c r="W249" i="15" s="1"/>
  <c r="M249" i="15" l="1"/>
  <c r="M240" i="31"/>
  <c r="F240" i="31"/>
  <c r="H240" i="31" s="1"/>
  <c r="H249" i="15" l="1"/>
  <c r="I240" i="31"/>
  <c r="R249" i="15" l="1"/>
  <c r="L240" i="31"/>
  <c r="AB249" i="15" l="1"/>
  <c r="D241" i="31"/>
  <c r="N240" i="31"/>
  <c r="J241" i="31" l="1"/>
  <c r="AG249" i="15"/>
  <c r="AQ249" i="15" s="1"/>
  <c r="K241" i="31"/>
  <c r="W250" i="15" s="1"/>
  <c r="M250" i="15" l="1"/>
  <c r="M241" i="31"/>
  <c r="F241" i="31"/>
  <c r="H241" i="31" s="1"/>
  <c r="H250" i="15" l="1"/>
  <c r="I241" i="31"/>
  <c r="L241" i="31" l="1"/>
  <c r="R250" i="15"/>
  <c r="D242" i="31" l="1"/>
  <c r="AB250" i="15"/>
  <c r="N241" i="31"/>
  <c r="AG250" i="15" l="1"/>
  <c r="AQ250" i="15" s="1"/>
  <c r="K242" i="31"/>
  <c r="W251" i="15" s="1"/>
  <c r="J242" i="31"/>
  <c r="M251" i="15" l="1"/>
  <c r="M242" i="31"/>
  <c r="F242" i="31"/>
  <c r="H242" i="31" s="1"/>
  <c r="H251" i="15" l="1"/>
  <c r="I242" i="31"/>
  <c r="R251" i="15" l="1"/>
  <c r="L242" i="31"/>
  <c r="D243" i="31" l="1"/>
  <c r="AB251" i="15"/>
  <c r="N242" i="31"/>
  <c r="AG251" i="15" l="1"/>
  <c r="AQ251" i="15" s="1"/>
  <c r="K243" i="31"/>
  <c r="W252" i="15" s="1"/>
  <c r="J243" i="31"/>
  <c r="M252" i="15" l="1"/>
  <c r="M243" i="31"/>
  <c r="F243" i="31"/>
  <c r="H243" i="31" s="1"/>
  <c r="H252" i="15" s="1"/>
  <c r="I243" i="31" l="1"/>
  <c r="R252" i="15" s="1"/>
  <c r="L243" i="31" l="1"/>
  <c r="N243" i="31" l="1"/>
  <c r="AG252" i="15" s="1"/>
  <c r="D244" i="31"/>
  <c r="J244" i="31" s="1"/>
  <c r="M253" i="15" s="1"/>
  <c r="AB252" i="15"/>
  <c r="M244" i="31" l="1"/>
  <c r="K244" i="31"/>
  <c r="W253" i="15" s="1"/>
  <c r="AQ252" i="15"/>
  <c r="F244" i="31" l="1"/>
  <c r="H244" i="31" s="1"/>
  <c r="H253" i="15" s="1"/>
  <c r="I244" i="31" l="1"/>
  <c r="L244" i="31" s="1"/>
  <c r="R253" i="15" l="1"/>
  <c r="AB253" i="15"/>
  <c r="N244" i="31"/>
  <c r="D245" i="31"/>
  <c r="AG253" i="15" l="1"/>
  <c r="AQ253" i="15" s="1"/>
  <c r="K245" i="31"/>
  <c r="W254" i="15" s="1"/>
  <c r="J245" i="31"/>
  <c r="M254" i="15" l="1"/>
  <c r="M245" i="31"/>
  <c r="F245" i="31"/>
  <c r="H245" i="31" s="1"/>
  <c r="I245" i="31" s="1"/>
  <c r="H254" i="15" l="1"/>
  <c r="L245" i="31"/>
  <c r="R254" i="15"/>
  <c r="AB254" i="15" l="1"/>
  <c r="N245" i="31"/>
  <c r="D246" i="31"/>
  <c r="J246" i="31" s="1"/>
  <c r="M255" i="15" s="1"/>
  <c r="M246" i="31" l="1"/>
  <c r="AG254" i="15"/>
  <c r="AQ254" i="15" s="1"/>
  <c r="K246" i="31"/>
  <c r="W255" i="15" s="1"/>
  <c r="F246" i="31" l="1"/>
  <c r="H246" i="31" s="1"/>
  <c r="I246" i="31" l="1"/>
  <c r="H255" i="15"/>
  <c r="R255" i="15" l="1"/>
  <c r="L246" i="31"/>
  <c r="N246" i="31" l="1"/>
  <c r="AB255" i="15"/>
  <c r="D247" i="31"/>
  <c r="J247" i="31" s="1"/>
  <c r="M256" i="15" s="1"/>
  <c r="M247" i="31" l="1"/>
  <c r="K247" i="31"/>
  <c r="W256" i="15" s="1"/>
  <c r="AG255" i="15"/>
  <c r="AQ255" i="15" s="1"/>
  <c r="F247" i="31" l="1"/>
  <c r="H247" i="31" s="1"/>
  <c r="I247" i="31" l="1"/>
  <c r="H256" i="15"/>
  <c r="R256" i="15" l="1"/>
  <c r="L247" i="31"/>
  <c r="N247" i="31" l="1"/>
  <c r="AB256" i="15"/>
  <c r="D248" i="31"/>
  <c r="J248" i="31" s="1"/>
  <c r="M257" i="15" s="1"/>
  <c r="M248" i="31" l="1"/>
  <c r="AG256" i="15"/>
  <c r="AQ256" i="15" s="1"/>
  <c r="K248" i="31"/>
  <c r="W257" i="15" l="1"/>
  <c r="F248" i="31"/>
  <c r="H248" i="31" s="1"/>
  <c r="I248" i="31" l="1"/>
  <c r="H257" i="15"/>
  <c r="R257" i="15" l="1"/>
  <c r="L248" i="31"/>
  <c r="AB257" i="15" l="1"/>
  <c r="N248" i="31"/>
  <c r="D249" i="31"/>
  <c r="J249" i="31" s="1"/>
  <c r="M258" i="15" s="1"/>
  <c r="M249" i="31" l="1"/>
  <c r="AG257" i="15"/>
  <c r="AQ257" i="15" s="1"/>
  <c r="K249" i="31"/>
  <c r="W258" i="15" s="1"/>
  <c r="F249" i="31" l="1"/>
  <c r="H249" i="31" s="1"/>
  <c r="H258" i="15" l="1"/>
  <c r="I249" i="31"/>
  <c r="R258" i="15" l="1"/>
  <c r="L249" i="31"/>
  <c r="N249" i="31" l="1"/>
  <c r="D250" i="31"/>
  <c r="AB258" i="15"/>
  <c r="J250" i="31" l="1"/>
  <c r="K250" i="31"/>
  <c r="W259" i="15" s="1"/>
  <c r="AG258" i="15"/>
  <c r="AQ258" i="15" s="1"/>
  <c r="M259" i="15" l="1"/>
  <c r="M250" i="31"/>
  <c r="F250" i="31"/>
  <c r="H250" i="31" s="1"/>
  <c r="I250" i="31" l="1"/>
  <c r="H259" i="15"/>
  <c r="R259" i="15" l="1"/>
  <c r="L250" i="31"/>
  <c r="AB259" i="15" l="1"/>
  <c r="N250" i="31"/>
  <c r="D251" i="31"/>
  <c r="K251" i="31" l="1"/>
  <c r="W260" i="15" s="1"/>
  <c r="AG259" i="15"/>
  <c r="AQ259" i="15" s="1"/>
  <c r="J251" i="31"/>
  <c r="M260" i="15" l="1"/>
  <c r="M251" i="31"/>
  <c r="F251" i="31"/>
  <c r="H251" i="31" s="1"/>
  <c r="H260" i="15" l="1"/>
  <c r="I251" i="31"/>
  <c r="R260" i="15" l="1"/>
  <c r="L251" i="31"/>
  <c r="D252" i="31" l="1"/>
  <c r="AB260" i="15"/>
  <c r="N251" i="31"/>
  <c r="AG260" i="15" l="1"/>
  <c r="AQ260" i="15" s="1"/>
  <c r="K252" i="31"/>
  <c r="W261" i="15" s="1"/>
  <c r="J252" i="31"/>
  <c r="M261" i="15" l="1"/>
  <c r="M252" i="31"/>
  <c r="F252" i="31"/>
  <c r="H252" i="31" s="1"/>
  <c r="I252" i="31" l="1"/>
  <c r="H261" i="15"/>
  <c r="L252" i="31" l="1"/>
  <c r="R261" i="15"/>
  <c r="D253" i="31" l="1"/>
  <c r="AB261" i="15"/>
  <c r="N252" i="31"/>
  <c r="K253" i="31" l="1"/>
  <c r="W262" i="15" s="1"/>
  <c r="AG261" i="15"/>
  <c r="AQ261" i="15" s="1"/>
  <c r="J253" i="31"/>
  <c r="M262" i="15" l="1"/>
  <c r="M253" i="31"/>
  <c r="F253" i="31"/>
  <c r="H253" i="31" s="1"/>
  <c r="H262" i="15" s="1"/>
  <c r="I253" i="31" l="1"/>
  <c r="R262" i="15" s="1"/>
  <c r="L253" i="31" l="1"/>
  <c r="AB262" i="15" s="1"/>
  <c r="D254" i="31" l="1"/>
  <c r="J254" i="31" s="1"/>
  <c r="M263" i="15" s="1"/>
  <c r="N253" i="31"/>
  <c r="AG262" i="15" s="1"/>
  <c r="AQ262" i="15" s="1"/>
  <c r="M254" i="31" l="1"/>
  <c r="K254" i="31"/>
  <c r="W263" i="15" s="1"/>
  <c r="F254" i="31" l="1"/>
  <c r="H254" i="31" s="1"/>
  <c r="I254" i="31" s="1"/>
  <c r="H263" i="15" l="1"/>
  <c r="R263" i="15"/>
  <c r="L254" i="31"/>
  <c r="N254" i="31" l="1"/>
  <c r="AB263" i="15"/>
  <c r="D255" i="31"/>
  <c r="J255" i="31" s="1"/>
  <c r="M264" i="15" s="1"/>
  <c r="M255" i="31" l="1"/>
  <c r="K255" i="31"/>
  <c r="W264" i="15" s="1"/>
  <c r="AG263" i="15"/>
  <c r="AQ263" i="15" s="1"/>
  <c r="F255" i="31" l="1"/>
  <c r="H255" i="31" s="1"/>
  <c r="I255" i="31" l="1"/>
  <c r="H264" i="15"/>
  <c r="R264" i="15" l="1"/>
  <c r="L255" i="31"/>
  <c r="D256" i="31" l="1"/>
  <c r="J256" i="31" s="1"/>
  <c r="M265" i="15" s="1"/>
  <c r="AB264" i="15"/>
  <c r="N255" i="31"/>
  <c r="M256" i="31" l="1"/>
  <c r="K256" i="31"/>
  <c r="AG264" i="15"/>
  <c r="AQ264" i="15" s="1"/>
  <c r="W265" i="15" l="1"/>
  <c r="F256" i="31"/>
  <c r="H256" i="31" s="1"/>
  <c r="H265" i="15" l="1"/>
  <c r="I256" i="31"/>
  <c r="R265" i="15" l="1"/>
  <c r="L256" i="31"/>
  <c r="N256" i="31" l="1"/>
  <c r="D257" i="31"/>
  <c r="J257" i="31" s="1"/>
  <c r="M266" i="15" s="1"/>
  <c r="AB265" i="15"/>
  <c r="M257" i="31" l="1"/>
  <c r="AG265" i="15"/>
  <c r="AQ265" i="15" s="1"/>
  <c r="K257" i="31"/>
  <c r="W266" i="15" l="1"/>
  <c r="F257" i="31"/>
  <c r="H257" i="31" s="1"/>
  <c r="H266" i="15" l="1"/>
  <c r="I257" i="31"/>
  <c r="R266" i="15" l="1"/>
  <c r="L257" i="31"/>
  <c r="AB266" i="15" l="1"/>
  <c r="N257" i="31"/>
  <c r="D258" i="31"/>
  <c r="K258" i="31" l="1"/>
  <c r="W267" i="15" s="1"/>
  <c r="AG266" i="15"/>
  <c r="AQ266" i="15" s="1"/>
  <c r="J258" i="31"/>
  <c r="M267" i="15" l="1"/>
  <c r="M258" i="31"/>
  <c r="F258" i="31"/>
  <c r="H258" i="31" s="1"/>
  <c r="H267" i="15" s="1"/>
  <c r="I258" i="31" l="1"/>
  <c r="L258" i="31" s="1"/>
  <c r="R267" i="15" l="1"/>
  <c r="N258" i="31"/>
  <c r="AB267" i="15"/>
  <c r="D259" i="31"/>
  <c r="J259" i="31" s="1"/>
  <c r="M268" i="15" s="1"/>
  <c r="M259" i="31" l="1"/>
  <c r="AG267" i="15"/>
  <c r="AQ267" i="15" s="1"/>
  <c r="K259" i="31"/>
  <c r="W268" i="15" s="1"/>
  <c r="F259" i="31" l="1"/>
  <c r="H259" i="31" s="1"/>
  <c r="I259" i="31" l="1"/>
  <c r="H268" i="15"/>
  <c r="R268" i="15" l="1"/>
  <c r="L259" i="31"/>
  <c r="N259" i="31" l="1"/>
  <c r="AB268" i="15"/>
  <c r="D260" i="31"/>
  <c r="J260" i="31" s="1"/>
  <c r="M269" i="15" s="1"/>
  <c r="M260" i="31" l="1"/>
  <c r="K260" i="31"/>
  <c r="W269" i="15" s="1"/>
  <c r="AG268" i="15"/>
  <c r="AQ268" i="15" s="1"/>
  <c r="F260" i="31" l="1"/>
  <c r="H260" i="31" s="1"/>
  <c r="H269" i="15" l="1"/>
  <c r="I260" i="31"/>
  <c r="R269" i="15" l="1"/>
  <c r="L260" i="31"/>
  <c r="AB269" i="15" l="1"/>
  <c r="D261" i="31"/>
  <c r="J261" i="31" s="1"/>
  <c r="M270" i="15" s="1"/>
  <c r="N260" i="31"/>
  <c r="M261" i="31" l="1"/>
  <c r="K261" i="31"/>
  <c r="AG269" i="15"/>
  <c r="AQ269" i="15" s="1"/>
  <c r="W270" i="15" l="1"/>
  <c r="F261" i="31"/>
  <c r="H261" i="31" s="1"/>
  <c r="H270" i="15" l="1"/>
  <c r="I261" i="31"/>
  <c r="R270" i="15" l="1"/>
  <c r="L261" i="31"/>
  <c r="N261" i="31" l="1"/>
  <c r="AB270" i="15"/>
  <c r="D262" i="31"/>
  <c r="J262" i="31" s="1"/>
  <c r="M271" i="15" s="1"/>
  <c r="M262" i="31" l="1"/>
  <c r="AG270" i="15"/>
  <c r="AQ270" i="15" s="1"/>
  <c r="K262" i="31"/>
  <c r="W271" i="15" s="1"/>
  <c r="F262" i="31" l="1"/>
  <c r="H262" i="31" s="1"/>
  <c r="H271" i="15" l="1"/>
  <c r="I262" i="31"/>
  <c r="R271" i="15" l="1"/>
  <c r="L262" i="31"/>
  <c r="N262" i="31" l="1"/>
  <c r="D263" i="31"/>
  <c r="J263" i="31" s="1"/>
  <c r="M272" i="15" s="1"/>
  <c r="AB271" i="15"/>
  <c r="M263" i="31" l="1"/>
  <c r="AG271" i="15"/>
  <c r="AQ271" i="15" s="1"/>
  <c r="K263" i="31"/>
  <c r="W272" i="15" l="1"/>
  <c r="F263" i="31"/>
  <c r="H263" i="31" s="1"/>
  <c r="H272" i="15" l="1"/>
  <c r="I263" i="31"/>
  <c r="R272" i="15" l="1"/>
  <c r="L263" i="31"/>
  <c r="N263" i="31" l="1"/>
  <c r="D264" i="31"/>
  <c r="J264" i="31" s="1"/>
  <c r="M273" i="15" s="1"/>
  <c r="AB272" i="15"/>
  <c r="M264" i="31" l="1"/>
  <c r="AG272" i="15"/>
  <c r="AQ272" i="15" s="1"/>
  <c r="K264" i="31"/>
  <c r="W273" i="15" l="1"/>
  <c r="F264" i="31"/>
  <c r="H264" i="31" s="1"/>
  <c r="H273" i="15" l="1"/>
  <c r="I264" i="31"/>
  <c r="R273" i="15" l="1"/>
  <c r="L264" i="31"/>
  <c r="AB273" i="15" l="1"/>
  <c r="D265" i="31"/>
  <c r="J265" i="31" s="1"/>
  <c r="M274" i="15" s="1"/>
  <c r="N264" i="31"/>
  <c r="M265" i="31" l="1"/>
  <c r="K265" i="31"/>
  <c r="AG273" i="15"/>
  <c r="AQ273" i="15" s="1"/>
  <c r="W274" i="15" l="1"/>
  <c r="F265" i="31"/>
  <c r="H265" i="31" s="1"/>
  <c r="H274" i="15" l="1"/>
  <c r="I265" i="31"/>
  <c r="R274" i="15" l="1"/>
  <c r="L265" i="31"/>
  <c r="AB274" i="15" l="1"/>
  <c r="N265" i="31"/>
  <c r="D266" i="31"/>
  <c r="J266" i="31" s="1"/>
  <c r="M275" i="15" s="1"/>
  <c r="M266" i="31" l="1"/>
  <c r="AG274" i="15"/>
  <c r="AQ274" i="15" s="1"/>
  <c r="K266" i="31"/>
  <c r="W275" i="15" l="1"/>
  <c r="F266" i="31"/>
  <c r="H266" i="31" s="1"/>
  <c r="H275" i="15" l="1"/>
  <c r="I266" i="31"/>
  <c r="R275" i="15" l="1"/>
  <c r="L266" i="31"/>
  <c r="AB275" i="15" l="1"/>
  <c r="N266" i="31"/>
  <c r="D267" i="31"/>
  <c r="J267" i="31" s="1"/>
  <c r="M276" i="15" s="1"/>
  <c r="M267" i="31" l="1"/>
  <c r="K267" i="31"/>
  <c r="W276" i="15" s="1"/>
  <c r="AG275" i="15"/>
  <c r="AQ275" i="15" s="1"/>
  <c r="F267" i="31" l="1"/>
  <c r="H267" i="31" s="1"/>
  <c r="I267" i="31" l="1"/>
  <c r="H276" i="15"/>
  <c r="R276" i="15" l="1"/>
  <c r="L267" i="31"/>
  <c r="N267" i="31" l="1"/>
  <c r="AB276" i="15"/>
  <c r="D268" i="31"/>
  <c r="J268" i="31" s="1"/>
  <c r="M277" i="15" s="1"/>
  <c r="M268" i="31" l="1"/>
  <c r="K268" i="31"/>
  <c r="AG276" i="15"/>
  <c r="AQ276" i="15" s="1"/>
  <c r="W277" i="15" l="1"/>
  <c r="F268" i="31"/>
  <c r="H268" i="31" s="1"/>
  <c r="H277" i="15" l="1"/>
  <c r="I268" i="31"/>
  <c r="R277" i="15" l="1"/>
  <c r="L268" i="31"/>
  <c r="N268" i="31" l="1"/>
  <c r="D269" i="31"/>
  <c r="J269" i="31" s="1"/>
  <c r="M278" i="15" s="1"/>
  <c r="AB277" i="15"/>
  <c r="M269" i="31" l="1"/>
  <c r="AG277" i="15"/>
  <c r="AQ277" i="15" s="1"/>
  <c r="K269" i="31"/>
  <c r="W278" i="15" l="1"/>
  <c r="F269" i="31"/>
  <c r="H269" i="31" s="1"/>
  <c r="H278" i="15" l="1"/>
  <c r="I269" i="31"/>
  <c r="R278" i="15" l="1"/>
  <c r="L269" i="31"/>
  <c r="N269" i="31" l="1"/>
  <c r="AB278" i="15"/>
  <c r="D270" i="31"/>
  <c r="J270" i="31" s="1"/>
  <c r="M279" i="15" s="1"/>
  <c r="M270" i="31" l="1"/>
  <c r="K270" i="31"/>
  <c r="AG278" i="15"/>
  <c r="AQ278" i="15" s="1"/>
  <c r="W279" i="15" l="1"/>
  <c r="F270" i="31"/>
  <c r="H270" i="31" s="1"/>
  <c r="H279" i="15" l="1"/>
  <c r="I270" i="31"/>
  <c r="R279" i="15" l="1"/>
  <c r="L270" i="31"/>
  <c r="AB279" i="15" l="1"/>
  <c r="N270" i="31"/>
  <c r="D271" i="31"/>
  <c r="J271" i="31" s="1"/>
  <c r="M280" i="15" s="1"/>
  <c r="M271" i="31" l="1"/>
  <c r="K271" i="31"/>
  <c r="AG279" i="15"/>
  <c r="AQ279" i="15" s="1"/>
  <c r="W280" i="15" l="1"/>
  <c r="F271" i="31"/>
  <c r="H271" i="31" s="1"/>
  <c r="H280" i="15" l="1"/>
  <c r="I271" i="31"/>
  <c r="R280" i="15" l="1"/>
  <c r="L271" i="31"/>
  <c r="AB280" i="15" l="1"/>
  <c r="N271" i="31"/>
  <c r="D272" i="31"/>
  <c r="J272" i="31" s="1"/>
  <c r="M281" i="15" s="1"/>
  <c r="M272" i="31" l="1"/>
  <c r="K272" i="31"/>
  <c r="W281" i="15" s="1"/>
  <c r="AG280" i="15"/>
  <c r="AQ280" i="15" s="1"/>
  <c r="F272" i="31" l="1"/>
  <c r="H272" i="31" s="1"/>
  <c r="I272" i="31" l="1"/>
  <c r="H281" i="15"/>
  <c r="R281" i="15" l="1"/>
  <c r="L272" i="31"/>
  <c r="D273" i="31" l="1"/>
  <c r="J273" i="31" s="1"/>
  <c r="M282" i="15" s="1"/>
  <c r="AB281" i="15"/>
  <c r="N272" i="31"/>
  <c r="M273" i="31" l="1"/>
  <c r="K273" i="31"/>
  <c r="AG281" i="15"/>
  <c r="AQ281" i="15" s="1"/>
  <c r="W282" i="15" l="1"/>
  <c r="F273" i="31"/>
  <c r="H273" i="31" s="1"/>
  <c r="H282" i="15" l="1"/>
  <c r="I273" i="31"/>
  <c r="R282" i="15" l="1"/>
  <c r="L273" i="31"/>
  <c r="N273" i="31" l="1"/>
  <c r="AB282" i="15"/>
  <c r="D274" i="31"/>
  <c r="J274" i="31" s="1"/>
  <c r="M283" i="15" s="1"/>
  <c r="M274" i="31" l="1"/>
  <c r="K274" i="31"/>
  <c r="W283" i="15" s="1"/>
  <c r="AG282" i="15"/>
  <c r="AQ282" i="15" s="1"/>
  <c r="F274" i="31" l="1"/>
  <c r="H274" i="31" s="1"/>
  <c r="H283" i="15" l="1"/>
  <c r="I274" i="31"/>
  <c r="R283" i="15" l="1"/>
  <c r="L274" i="31"/>
  <c r="AB283" i="15" l="1"/>
  <c r="D275" i="31"/>
  <c r="J275" i="31" s="1"/>
  <c r="M284" i="15" s="1"/>
  <c r="N274" i="31"/>
  <c r="M275" i="31" l="1"/>
  <c r="K275" i="31"/>
  <c r="W284" i="15" s="1"/>
  <c r="AG283" i="15"/>
  <c r="AQ283" i="15" s="1"/>
  <c r="F275" i="31" l="1"/>
  <c r="H275" i="31" s="1"/>
  <c r="I275" i="31" l="1"/>
  <c r="H284" i="15"/>
  <c r="R284" i="15" l="1"/>
  <c r="L275" i="31"/>
  <c r="D276" i="31" l="1"/>
  <c r="J276" i="31" s="1"/>
  <c r="M285" i="15" s="1"/>
  <c r="AB284" i="15"/>
  <c r="N275" i="31"/>
  <c r="M276" i="31" l="1"/>
  <c r="K276" i="31"/>
  <c r="AG284" i="15"/>
  <c r="AQ284" i="15" s="1"/>
  <c r="W285" i="15" l="1"/>
  <c r="F276" i="31"/>
  <c r="H276" i="31" s="1"/>
  <c r="H285" i="15" l="1"/>
  <c r="I276" i="31"/>
  <c r="R285" i="15" l="1"/>
  <c r="L276" i="31"/>
  <c r="AB285" i="15" l="1"/>
  <c r="N276" i="31"/>
  <c r="D277" i="31"/>
  <c r="J277" i="31" s="1"/>
  <c r="M286" i="15" s="1"/>
  <c r="M277" i="31" l="1"/>
  <c r="K277" i="31"/>
  <c r="AG285" i="15"/>
  <c r="AQ285" i="15" s="1"/>
  <c r="W286" i="15" l="1"/>
  <c r="F277" i="31"/>
  <c r="H277" i="31" s="1"/>
  <c r="H286" i="15" l="1"/>
  <c r="I277" i="31"/>
  <c r="R286" i="15" l="1"/>
  <c r="L277" i="31"/>
  <c r="N277" i="31" l="1"/>
  <c r="D278" i="31"/>
  <c r="J278" i="31" s="1"/>
  <c r="M287" i="15" s="1"/>
  <c r="AB286" i="15"/>
  <c r="M278" i="31" l="1"/>
  <c r="AG286" i="15"/>
  <c r="AQ286" i="15" s="1"/>
  <c r="K278" i="31"/>
  <c r="W287" i="15" s="1"/>
  <c r="F278" i="31" l="1"/>
  <c r="H278" i="31" s="1"/>
  <c r="H287" i="15" l="1"/>
  <c r="I278" i="31"/>
  <c r="R287" i="15" l="1"/>
  <c r="L278" i="31"/>
  <c r="N278" i="31" l="1"/>
  <c r="AB287" i="15"/>
  <c r="D279" i="31"/>
  <c r="J279" i="31" s="1"/>
  <c r="M288" i="15" s="1"/>
  <c r="M279" i="31" l="1"/>
  <c r="K279" i="31"/>
  <c r="W288" i="15" s="1"/>
  <c r="AG287" i="15"/>
  <c r="AQ287" i="15" s="1"/>
  <c r="F279" i="31" l="1"/>
  <c r="H279" i="31" s="1"/>
  <c r="H288" i="15" l="1"/>
  <c r="I279" i="31"/>
  <c r="R288" i="15" l="1"/>
  <c r="L279" i="31"/>
  <c r="AB288" i="15" l="1"/>
  <c r="N279" i="31"/>
  <c r="D280" i="31"/>
  <c r="J280" i="31" s="1"/>
  <c r="M289" i="15" s="1"/>
  <c r="M280" i="31" l="1"/>
  <c r="AG288" i="15"/>
  <c r="AQ288" i="15" s="1"/>
  <c r="K280" i="31"/>
  <c r="W289" i="15" s="1"/>
  <c r="F280" i="31" l="1"/>
  <c r="H280" i="31" s="1"/>
  <c r="H289" i="15" l="1"/>
  <c r="I280" i="31"/>
  <c r="R289" i="15" l="1"/>
  <c r="L280" i="31"/>
  <c r="AB289" i="15" l="1"/>
  <c r="N280" i="31"/>
  <c r="D281" i="31"/>
  <c r="J281" i="31" l="1"/>
  <c r="AG289" i="15"/>
  <c r="AQ289" i="15" s="1"/>
  <c r="K281" i="31"/>
  <c r="W290" i="15" s="1"/>
  <c r="M290" i="15" l="1"/>
  <c r="M281" i="31"/>
  <c r="F281" i="31"/>
  <c r="H281" i="31" s="1"/>
  <c r="H290" i="15" l="1"/>
  <c r="I281" i="31"/>
  <c r="L281" i="31" l="1"/>
  <c r="R290" i="15"/>
  <c r="N281" i="31" l="1"/>
  <c r="AB290" i="15"/>
  <c r="D282" i="31"/>
  <c r="J282" i="31" l="1"/>
  <c r="AG290" i="15"/>
  <c r="AQ290" i="15" s="1"/>
  <c r="K282" i="31"/>
  <c r="W291" i="15" s="1"/>
  <c r="M291" i="15" l="1"/>
  <c r="M282" i="31"/>
  <c r="F282" i="31"/>
  <c r="H282" i="31" s="1"/>
  <c r="H291" i="15" l="1"/>
  <c r="I282" i="31"/>
  <c r="L282" i="31" l="1"/>
  <c r="R291" i="15"/>
  <c r="N282" i="31" l="1"/>
  <c r="AB291" i="15"/>
  <c r="D283" i="31"/>
  <c r="J283" i="31" l="1"/>
  <c r="K283" i="31"/>
  <c r="W292" i="15" s="1"/>
  <c r="AG291" i="15"/>
  <c r="AQ291" i="15" s="1"/>
  <c r="M292" i="15" l="1"/>
  <c r="M283" i="31"/>
  <c r="F283" i="31"/>
  <c r="H283" i="31" s="1"/>
  <c r="I283" i="31" l="1"/>
  <c r="H292" i="15"/>
  <c r="R292" i="15" l="1"/>
  <c r="L283" i="31"/>
  <c r="AB292" i="15" l="1"/>
  <c r="N283" i="31"/>
  <c r="D284" i="31"/>
  <c r="J284" i="31" l="1"/>
  <c r="AG292" i="15"/>
  <c r="AQ292" i="15" s="1"/>
  <c r="K284" i="31"/>
  <c r="W293" i="15" s="1"/>
  <c r="M293" i="15" l="1"/>
  <c r="M284" i="31"/>
  <c r="F284" i="31"/>
  <c r="H284" i="31" s="1"/>
  <c r="H293" i="15" l="1"/>
  <c r="I284" i="31"/>
  <c r="R293" i="15" l="1"/>
  <c r="L284" i="31"/>
  <c r="AB293" i="15" l="1"/>
  <c r="N284" i="31"/>
  <c r="D285" i="31"/>
  <c r="J285" i="31" l="1"/>
  <c r="AG293" i="15"/>
  <c r="AQ293" i="15" s="1"/>
  <c r="K285" i="31"/>
  <c r="W294" i="15" s="1"/>
  <c r="M294" i="15" l="1"/>
  <c r="M285" i="31"/>
  <c r="F285" i="31"/>
  <c r="H285" i="31" s="1"/>
  <c r="H294" i="15" l="1"/>
  <c r="I285" i="31"/>
  <c r="R294" i="15" l="1"/>
  <c r="L285" i="31"/>
  <c r="AB294" i="15" l="1"/>
  <c r="D286" i="31"/>
  <c r="N285" i="31"/>
  <c r="J286" i="31" l="1"/>
  <c r="AG294" i="15"/>
  <c r="AQ294" i="15" s="1"/>
  <c r="K286" i="31"/>
  <c r="W295" i="15" s="1"/>
  <c r="M295" i="15" l="1"/>
  <c r="M286" i="31"/>
  <c r="F286" i="31"/>
  <c r="H286" i="31" s="1"/>
  <c r="I286" i="31" l="1"/>
  <c r="H295" i="15"/>
  <c r="R295" i="15" l="1"/>
  <c r="L286" i="31"/>
  <c r="AB295" i="15" l="1"/>
  <c r="N286" i="31"/>
  <c r="D287" i="31"/>
  <c r="K287" i="31" l="1"/>
  <c r="W296" i="15" s="1"/>
  <c r="AG295" i="15"/>
  <c r="AQ295" i="15" s="1"/>
  <c r="J287" i="31"/>
  <c r="M296" i="15" l="1"/>
  <c r="M287" i="31"/>
  <c r="F287" i="31"/>
  <c r="H287" i="31" s="1"/>
  <c r="H296" i="15" s="1"/>
  <c r="I287" i="31" l="1"/>
  <c r="R296" i="15" s="1"/>
  <c r="L287" i="31" l="1"/>
  <c r="N287" i="31" s="1"/>
  <c r="D288" i="31" l="1"/>
  <c r="J288" i="31" s="1"/>
  <c r="M297" i="15" s="1"/>
  <c r="AB296" i="15"/>
  <c r="K288" i="31"/>
  <c r="W297" i="15" s="1"/>
  <c r="AG296" i="15"/>
  <c r="M288" i="31" l="1"/>
  <c r="AQ296" i="15"/>
  <c r="F288" i="31"/>
  <c r="H288" i="31" s="1"/>
  <c r="I288" i="31" l="1"/>
  <c r="H297" i="15"/>
  <c r="R297" i="15" l="1"/>
  <c r="L288" i="31"/>
  <c r="D289" i="31" l="1"/>
  <c r="J289" i="31" s="1"/>
  <c r="M298" i="15" s="1"/>
  <c r="AB297" i="15"/>
  <c r="N288" i="31"/>
  <c r="M289" i="31" l="1"/>
  <c r="AG297" i="15"/>
  <c r="AQ297" i="15" s="1"/>
  <c r="K289" i="31"/>
  <c r="W298" i="15" l="1"/>
  <c r="F289" i="31"/>
  <c r="H289" i="31" s="1"/>
  <c r="H298" i="15" l="1"/>
  <c r="I289" i="31"/>
  <c r="R298" i="15" l="1"/>
  <c r="L289" i="31"/>
  <c r="N289" i="31" l="1"/>
  <c r="D290" i="31"/>
  <c r="J290" i="31" s="1"/>
  <c r="M299" i="15" s="1"/>
  <c r="AB298" i="15"/>
  <c r="M290" i="31" l="1"/>
  <c r="K290" i="31"/>
  <c r="AG298" i="15"/>
  <c r="AQ298" i="15" s="1"/>
  <c r="W299" i="15" l="1"/>
  <c r="F290" i="31"/>
  <c r="H290" i="31" s="1"/>
  <c r="I290" i="31" l="1"/>
  <c r="H299" i="15"/>
  <c r="R299" i="15" l="1"/>
  <c r="L290" i="31"/>
  <c r="N290" i="31" l="1"/>
  <c r="AB299" i="15"/>
  <c r="D291" i="31"/>
  <c r="J291" i="31" s="1"/>
  <c r="M300" i="15" s="1"/>
  <c r="M291" i="31" l="1"/>
  <c r="K291" i="31"/>
  <c r="AG299" i="15"/>
  <c r="AQ299" i="15" s="1"/>
  <c r="W300" i="15" l="1"/>
  <c r="F291" i="31"/>
  <c r="H291" i="31" s="1"/>
  <c r="H300" i="15" l="1"/>
  <c r="I291" i="31"/>
  <c r="R300" i="15" l="1"/>
  <c r="L291" i="31"/>
  <c r="AB300" i="15" l="1"/>
  <c r="N291" i="31"/>
  <c r="D292" i="31"/>
  <c r="J292" i="31" s="1"/>
  <c r="M301" i="15" s="1"/>
  <c r="M292" i="31" l="1"/>
  <c r="AG300" i="15"/>
  <c r="AQ300" i="15" s="1"/>
  <c r="K292" i="31"/>
  <c r="W301" i="15" s="1"/>
  <c r="F292" i="31" l="1"/>
  <c r="H292" i="31" s="1"/>
  <c r="H301" i="15" l="1"/>
  <c r="I292" i="31"/>
  <c r="R301" i="15" l="1"/>
  <c r="L292" i="31"/>
  <c r="AB301" i="15" l="1"/>
  <c r="D293" i="31"/>
  <c r="J293" i="31" s="1"/>
  <c r="M302" i="15" s="1"/>
  <c r="N292" i="31"/>
  <c r="M293" i="31" l="1"/>
  <c r="AG301" i="15"/>
  <c r="AQ301" i="15" s="1"/>
  <c r="K293" i="31"/>
  <c r="W302" i="15" s="1"/>
  <c r="F293" i="31" l="1"/>
  <c r="H293" i="31" s="1"/>
  <c r="H302" i="15" l="1"/>
  <c r="I293" i="31"/>
  <c r="R302" i="15" l="1"/>
  <c r="L293" i="31"/>
  <c r="AB302" i="15" l="1"/>
  <c r="D294" i="31"/>
  <c r="N293" i="31"/>
  <c r="J294" i="31" l="1"/>
  <c r="AG302" i="15"/>
  <c r="AQ302" i="15" s="1"/>
  <c r="K294" i="31"/>
  <c r="W303" i="15" s="1"/>
  <c r="M303" i="15" l="1"/>
  <c r="M294" i="31"/>
  <c r="F294" i="31"/>
  <c r="H294" i="31" s="1"/>
  <c r="H303" i="15" l="1"/>
  <c r="I294" i="31"/>
  <c r="R303" i="15" l="1"/>
  <c r="L294" i="31"/>
  <c r="D295" i="31" l="1"/>
  <c r="AB303" i="15"/>
  <c r="N294" i="31"/>
  <c r="K295" i="31" l="1"/>
  <c r="W304" i="15" s="1"/>
  <c r="AG303" i="15"/>
  <c r="AQ303" i="15" s="1"/>
  <c r="J295" i="31"/>
  <c r="M304" i="15" l="1"/>
  <c r="M295" i="31"/>
  <c r="F295" i="31"/>
  <c r="H295" i="31" s="1"/>
  <c r="I295" i="31" l="1"/>
  <c r="H304" i="15"/>
  <c r="R304" i="15" l="1"/>
  <c r="L295" i="31"/>
  <c r="AB304" i="15" l="1"/>
  <c r="N295" i="31"/>
  <c r="D296" i="31"/>
  <c r="J296" i="31" l="1"/>
  <c r="K296" i="31"/>
  <c r="W305" i="15" s="1"/>
  <c r="AG304" i="15"/>
  <c r="AQ304" i="15" s="1"/>
  <c r="M305" i="15" l="1"/>
  <c r="M296" i="31"/>
  <c r="F296" i="31"/>
  <c r="H296" i="31" s="1"/>
  <c r="H305" i="15" l="1"/>
  <c r="I296" i="31"/>
  <c r="R305" i="15" l="1"/>
  <c r="L296" i="31"/>
  <c r="D297" i="31" l="1"/>
  <c r="AB305" i="15"/>
  <c r="N296" i="31"/>
  <c r="AG305" i="15" l="1"/>
  <c r="AQ305" i="15" s="1"/>
  <c r="K297" i="31"/>
  <c r="W306" i="15" s="1"/>
  <c r="J297" i="31"/>
  <c r="M306" i="15" l="1"/>
  <c r="M297" i="31"/>
  <c r="F297" i="31"/>
  <c r="H297" i="31" s="1"/>
  <c r="H306" i="15" l="1"/>
  <c r="I297" i="31"/>
  <c r="L297" i="31" l="1"/>
  <c r="R306" i="15"/>
  <c r="N297" i="31" l="1"/>
  <c r="D298" i="31"/>
  <c r="AB306" i="15"/>
  <c r="J298" i="31" l="1"/>
  <c r="AG306" i="15"/>
  <c r="AQ306" i="15" s="1"/>
  <c r="K298" i="31"/>
  <c r="W307" i="15" s="1"/>
  <c r="M307" i="15" l="1"/>
  <c r="M298" i="31"/>
  <c r="F298" i="31"/>
  <c r="H298" i="31" s="1"/>
  <c r="H307" i="15" l="1"/>
  <c r="I298" i="31"/>
  <c r="R307" i="15" l="1"/>
  <c r="L298" i="31"/>
  <c r="D299" i="31" l="1"/>
  <c r="AB307" i="15"/>
  <c r="N298" i="31"/>
  <c r="AG307" i="15" l="1"/>
  <c r="AQ307" i="15" s="1"/>
  <c r="K299" i="31"/>
  <c r="W308" i="15" s="1"/>
  <c r="J299" i="31"/>
  <c r="M308" i="15" l="1"/>
  <c r="M299" i="31"/>
  <c r="F299" i="31"/>
  <c r="H299" i="31" s="1"/>
  <c r="H308" i="15" s="1"/>
  <c r="I299" i="31" l="1"/>
  <c r="R308" i="15" s="1"/>
  <c r="L299" i="31" l="1"/>
  <c r="AB308" i="15" s="1"/>
  <c r="N299" i="31" l="1"/>
  <c r="AG308" i="15" s="1"/>
  <c r="AQ308" i="15" s="1"/>
  <c r="D300" i="31"/>
  <c r="J300" i="31" s="1"/>
  <c r="M309" i="15" s="1"/>
  <c r="M300" i="31" l="1"/>
  <c r="K300" i="31"/>
  <c r="W309" i="15" s="1"/>
  <c r="F300" i="31" l="1"/>
  <c r="H300" i="31" s="1"/>
  <c r="H309" i="15" s="1"/>
  <c r="I300" i="31" l="1"/>
  <c r="R309" i="15" s="1"/>
  <c r="L300" i="31" l="1"/>
  <c r="D301" i="31" l="1"/>
  <c r="J301" i="31" s="1"/>
  <c r="M310" i="15" s="1"/>
  <c r="N300" i="31"/>
  <c r="AG309" i="15" s="1"/>
  <c r="AB309" i="15"/>
  <c r="M301" i="31" l="1"/>
  <c r="AQ309" i="15"/>
  <c r="K301" i="31"/>
  <c r="W310" i="15" s="1"/>
  <c r="F301" i="31" l="1"/>
  <c r="H301" i="31" s="1"/>
  <c r="H310" i="15" s="1"/>
  <c r="I301" i="31" l="1"/>
  <c r="R310" i="15" s="1"/>
  <c r="L301" i="31" l="1"/>
  <c r="AB310" i="15" s="1"/>
  <c r="D302" i="31" l="1"/>
  <c r="J302" i="31" s="1"/>
  <c r="M311" i="15" s="1"/>
  <c r="N301" i="31"/>
  <c r="AG310" i="15" s="1"/>
  <c r="AQ310" i="15" s="1"/>
  <c r="M302" i="31" l="1"/>
  <c r="K302" i="31"/>
  <c r="W311" i="15" s="1"/>
  <c r="F302" i="31" l="1"/>
  <c r="H302" i="31" s="1"/>
  <c r="H311" i="15" s="1"/>
  <c r="I302" i="31" l="1"/>
  <c r="R311" i="15" s="1"/>
  <c r="L302" i="31" l="1"/>
  <c r="AB311" i="15" s="1"/>
  <c r="D303" i="31" l="1"/>
  <c r="J303" i="31" s="1"/>
  <c r="M312" i="15" s="1"/>
  <c r="N302" i="31"/>
  <c r="K303" i="31" s="1"/>
  <c r="W312" i="15" s="1"/>
  <c r="M303" i="31" l="1"/>
  <c r="AG311" i="15"/>
  <c r="AQ311" i="15" s="1"/>
  <c r="F303" i="31"/>
  <c r="H303" i="31" s="1"/>
  <c r="H312" i="15" l="1"/>
  <c r="I303" i="31"/>
  <c r="R312" i="15" l="1"/>
  <c r="L303" i="31"/>
  <c r="AB312" i="15" l="1"/>
  <c r="N303" i="31"/>
  <c r="D304" i="31"/>
  <c r="AG312" i="15" l="1"/>
  <c r="AQ312" i="15" s="1"/>
  <c r="K304" i="31"/>
  <c r="W313" i="15" s="1"/>
  <c r="J304" i="31"/>
  <c r="M313" i="15" l="1"/>
  <c r="M304" i="31"/>
  <c r="F304" i="31"/>
  <c r="H304" i="31" s="1"/>
  <c r="H313" i="15" l="1"/>
  <c r="I304" i="31"/>
  <c r="R313" i="15" l="1"/>
  <c r="L304" i="31"/>
  <c r="AB313" i="15" l="1"/>
  <c r="N304" i="31"/>
  <c r="D305" i="31"/>
  <c r="J305" i="31" l="1"/>
  <c r="AG313" i="15"/>
  <c r="AQ313" i="15" s="1"/>
  <c r="K305" i="31"/>
  <c r="W314" i="15" s="1"/>
  <c r="M314" i="15" l="1"/>
  <c r="M305" i="31"/>
  <c r="F305" i="31"/>
  <c r="H305" i="31" s="1"/>
  <c r="H314" i="15" l="1"/>
  <c r="I305" i="31"/>
  <c r="R314" i="15" l="1"/>
  <c r="L305" i="31"/>
  <c r="N305" i="31" l="1"/>
  <c r="D306" i="31"/>
  <c r="AB314" i="15"/>
  <c r="J306" i="31" l="1"/>
  <c r="AG314" i="15"/>
  <c r="AQ314" i="15" s="1"/>
  <c r="K306" i="31"/>
  <c r="W315" i="15" s="1"/>
  <c r="M315" i="15" l="1"/>
  <c r="M306" i="31"/>
  <c r="F306" i="31"/>
  <c r="H306" i="31" s="1"/>
  <c r="H315" i="15" l="1"/>
  <c r="I306" i="31"/>
  <c r="R315" i="15" l="1"/>
  <c r="L306" i="31"/>
  <c r="AB315" i="15" l="1"/>
  <c r="N306" i="31"/>
  <c r="D307" i="31"/>
  <c r="AG315" i="15" l="1"/>
  <c r="AQ315" i="15" s="1"/>
  <c r="K307" i="31"/>
  <c r="W316" i="15" s="1"/>
  <c r="J307" i="31"/>
  <c r="M316" i="15" l="1"/>
  <c r="M307" i="31"/>
  <c r="F307" i="31"/>
  <c r="H307" i="31" s="1"/>
  <c r="H316" i="15" s="1"/>
  <c r="I307" i="31" l="1"/>
  <c r="R316" i="15" s="1"/>
  <c r="L307" i="31" l="1"/>
  <c r="AB316" i="15" s="1"/>
  <c r="N307" i="31" l="1"/>
  <c r="AG316" i="15" s="1"/>
  <c r="AQ316" i="15" s="1"/>
  <c r="D308" i="31"/>
  <c r="J308" i="31" s="1"/>
  <c r="M317" i="15" s="1"/>
  <c r="M308" i="31" l="1"/>
  <c r="K308" i="31"/>
  <c r="W317" i="15" s="1"/>
  <c r="F308" i="31" l="1"/>
  <c r="H308" i="31" s="1"/>
  <c r="H317" i="15" s="1"/>
  <c r="I308" i="31" l="1"/>
  <c r="R317" i="15" s="1"/>
  <c r="L308" i="31" l="1"/>
  <c r="N308" i="31" s="1"/>
  <c r="D309" i="31" l="1"/>
  <c r="J309" i="31" s="1"/>
  <c r="M318" i="15" s="1"/>
  <c r="AB317" i="15"/>
  <c r="AG317" i="15"/>
  <c r="K309" i="31"/>
  <c r="W318" i="15" s="1"/>
  <c r="M309" i="31" l="1"/>
  <c r="AQ317" i="15"/>
  <c r="F309" i="31"/>
  <c r="H309" i="31" s="1"/>
  <c r="H318" i="15" l="1"/>
  <c r="I309" i="31"/>
  <c r="R318" i="15" l="1"/>
  <c r="L309" i="31"/>
  <c r="AB318" i="15" l="1"/>
  <c r="N309" i="31"/>
  <c r="D310" i="31"/>
  <c r="AG318" i="15" l="1"/>
  <c r="AQ318" i="15" s="1"/>
  <c r="K310" i="31"/>
  <c r="W319" i="15" s="1"/>
  <c r="J310" i="31"/>
  <c r="M319" i="15" l="1"/>
  <c r="M310" i="31"/>
  <c r="F310" i="31"/>
  <c r="H310" i="31" s="1"/>
  <c r="H319" i="15" l="1"/>
  <c r="I310" i="31"/>
  <c r="R319" i="15" l="1"/>
  <c r="L310" i="31"/>
  <c r="AB319" i="15" l="1"/>
  <c r="N310" i="31"/>
  <c r="D311" i="31"/>
  <c r="AG319" i="15" l="1"/>
  <c r="AQ319" i="15" s="1"/>
  <c r="K311" i="31"/>
  <c r="W320" i="15" s="1"/>
  <c r="J311" i="31"/>
  <c r="M320" i="15" l="1"/>
  <c r="M311" i="31"/>
  <c r="F311" i="31"/>
  <c r="H311" i="31" s="1"/>
  <c r="H320" i="15" l="1"/>
  <c r="I311" i="31"/>
  <c r="R320" i="15" l="1"/>
  <c r="L311" i="31"/>
  <c r="AB320" i="15" l="1"/>
  <c r="D312" i="31"/>
  <c r="N311" i="31"/>
  <c r="K312" i="31" l="1"/>
  <c r="W321" i="15" s="1"/>
  <c r="AG320" i="15"/>
  <c r="AQ320" i="15" s="1"/>
  <c r="J312" i="31"/>
  <c r="M321" i="15" l="1"/>
  <c r="M312" i="31"/>
  <c r="F312" i="31"/>
  <c r="H312" i="31" s="1"/>
  <c r="I312" i="31" s="1"/>
  <c r="H321" i="15" l="1"/>
  <c r="R321" i="15"/>
  <c r="L312" i="31"/>
  <c r="N312" i="31" l="1"/>
  <c r="AB321" i="15"/>
  <c r="D313" i="31"/>
  <c r="K313" i="31" l="1"/>
  <c r="W322" i="15" s="1"/>
  <c r="AG321" i="15"/>
  <c r="AQ321" i="15" s="1"/>
  <c r="J313" i="31"/>
  <c r="M322" i="15" l="1"/>
  <c r="M313" i="31"/>
  <c r="F313" i="31"/>
  <c r="H313" i="31" s="1"/>
  <c r="I313" i="31" s="1"/>
  <c r="H322" i="15" l="1"/>
  <c r="R322" i="15"/>
  <c r="L313" i="31"/>
  <c r="AB322" i="15" l="1"/>
  <c r="D314" i="31"/>
  <c r="N313" i="31"/>
  <c r="K314" i="31" l="1"/>
  <c r="W323" i="15" s="1"/>
  <c r="AG322" i="15"/>
  <c r="AQ322" i="15" s="1"/>
  <c r="J314" i="31"/>
  <c r="M323" i="15" l="1"/>
  <c r="M314" i="31"/>
  <c r="F314" i="31"/>
  <c r="H314" i="31" s="1"/>
  <c r="I314" i="31" s="1"/>
  <c r="H323" i="15" l="1"/>
  <c r="R323" i="15"/>
  <c r="L314" i="31"/>
  <c r="D315" i="31" l="1"/>
  <c r="AB323" i="15"/>
  <c r="N314" i="31"/>
  <c r="K315" i="31" l="1"/>
  <c r="W324" i="15" s="1"/>
  <c r="AG323" i="15"/>
  <c r="AQ323" i="15" s="1"/>
  <c r="J315" i="31"/>
  <c r="M324" i="15" l="1"/>
  <c r="M315" i="31"/>
  <c r="F315" i="31"/>
  <c r="H315" i="31" s="1"/>
  <c r="H324" i="15" l="1"/>
  <c r="I315" i="31"/>
  <c r="L315" i="31" l="1"/>
  <c r="R324" i="15"/>
  <c r="AB324" i="15" l="1"/>
  <c r="N315" i="31"/>
  <c r="D316" i="31"/>
  <c r="J316" i="31" l="1"/>
  <c r="AG324" i="15"/>
  <c r="AQ324" i="15" s="1"/>
  <c r="K316" i="31"/>
  <c r="W325" i="15" s="1"/>
  <c r="M325" i="15" l="1"/>
  <c r="M316" i="31"/>
  <c r="F316" i="31"/>
  <c r="H316" i="31" s="1"/>
  <c r="H325" i="15" l="1"/>
  <c r="I316" i="31"/>
  <c r="R325" i="15" l="1"/>
  <c r="L316" i="31"/>
  <c r="AB325" i="15" l="1"/>
  <c r="N316" i="31"/>
  <c r="D317" i="31"/>
  <c r="K317" i="31" l="1"/>
  <c r="W326" i="15" s="1"/>
  <c r="AG325" i="15"/>
  <c r="AQ325" i="15" s="1"/>
  <c r="J317" i="31"/>
  <c r="M326" i="15" l="1"/>
  <c r="M317" i="31"/>
  <c r="F317" i="31"/>
  <c r="H317" i="31" s="1"/>
  <c r="H326" i="15" s="1"/>
  <c r="I317" i="31" l="1"/>
  <c r="L317" i="31" s="1"/>
  <c r="R326" i="15" l="1"/>
  <c r="AB326" i="15"/>
  <c r="N317" i="31"/>
  <c r="D318" i="31"/>
  <c r="K318" i="31" l="1"/>
  <c r="W327" i="15" s="1"/>
  <c r="AG326" i="15"/>
  <c r="AQ326" i="15" s="1"/>
  <c r="J318" i="31"/>
  <c r="M327" i="15" l="1"/>
  <c r="M318" i="31"/>
  <c r="F318" i="31"/>
  <c r="H318" i="31" s="1"/>
  <c r="H327" i="15" s="1"/>
  <c r="I318" i="31" l="1"/>
  <c r="R327" i="15" s="1"/>
  <c r="L318" i="31" l="1"/>
  <c r="AB327" i="15" s="1"/>
  <c r="N318" i="31" l="1"/>
  <c r="AG327" i="15" s="1"/>
  <c r="AQ327" i="15" s="1"/>
  <c r="D319" i="31"/>
  <c r="J319" i="31" s="1"/>
  <c r="M328" i="15" s="1"/>
  <c r="M319" i="31" l="1"/>
  <c r="K319" i="31"/>
  <c r="W328" i="15" s="1"/>
  <c r="F319" i="31" l="1"/>
  <c r="H319" i="31" s="1"/>
  <c r="H328" i="15" s="1"/>
  <c r="I319" i="31" l="1"/>
  <c r="R328" i="15" s="1"/>
  <c r="L319" i="31" l="1"/>
  <c r="AB328" i="15" s="1"/>
  <c r="D320" i="31" l="1"/>
  <c r="J320" i="31" s="1"/>
  <c r="M329" i="15" s="1"/>
  <c r="N319" i="31"/>
  <c r="AG328" i="15" s="1"/>
  <c r="AQ328" i="15" s="1"/>
  <c r="M320" i="31" l="1"/>
  <c r="K320" i="31"/>
  <c r="W329" i="15" s="1"/>
  <c r="F320" i="31" l="1"/>
  <c r="H320" i="31" s="1"/>
  <c r="I320" i="31" s="1"/>
  <c r="H329" i="15" l="1"/>
  <c r="R329" i="15"/>
  <c r="L320" i="31"/>
  <c r="N320" i="31" l="1"/>
  <c r="AB329" i="15"/>
  <c r="D321" i="31"/>
  <c r="J321" i="31" s="1"/>
  <c r="M330" i="15" s="1"/>
  <c r="M321" i="31" l="1"/>
  <c r="AG329" i="15"/>
  <c r="AQ329" i="15" s="1"/>
  <c r="K321" i="31"/>
  <c r="W330" i="15" l="1"/>
  <c r="F321" i="31"/>
  <c r="H321" i="31" s="1"/>
  <c r="H330" i="15" l="1"/>
  <c r="I321" i="31"/>
  <c r="R330" i="15" l="1"/>
  <c r="L321" i="31"/>
  <c r="AB330" i="15" l="1"/>
  <c r="N321" i="31"/>
  <c r="D322" i="31"/>
  <c r="J322" i="31" s="1"/>
  <c r="M331" i="15" s="1"/>
  <c r="M322" i="31" l="1"/>
  <c r="AG330" i="15"/>
  <c r="AQ330" i="15" s="1"/>
  <c r="K322" i="31"/>
  <c r="W331" i="15" s="1"/>
  <c r="F322" i="31" l="1"/>
  <c r="H322" i="31" s="1"/>
  <c r="H331" i="15" l="1"/>
  <c r="I322" i="31"/>
  <c r="R331" i="15" l="1"/>
  <c r="L322" i="31"/>
  <c r="AB331" i="15" l="1"/>
  <c r="N322" i="31"/>
  <c r="D323" i="31"/>
  <c r="J323" i="31" l="1"/>
  <c r="AG331" i="15"/>
  <c r="AQ331" i="15" s="1"/>
  <c r="K323" i="31"/>
  <c r="W332" i="15" s="1"/>
  <c r="M332" i="15" l="1"/>
  <c r="M323" i="31"/>
  <c r="F323" i="31"/>
  <c r="H323" i="31" s="1"/>
  <c r="H332" i="15" l="1"/>
  <c r="I323" i="31"/>
  <c r="R332" i="15" l="1"/>
  <c r="L323" i="31"/>
  <c r="AB332" i="15" l="1"/>
  <c r="N323" i="31"/>
  <c r="D324" i="31"/>
  <c r="AG332" i="15" l="1"/>
  <c r="AQ332" i="15" s="1"/>
  <c r="K324" i="31"/>
  <c r="W333" i="15" s="1"/>
  <c r="J324" i="31"/>
  <c r="M333" i="15" l="1"/>
  <c r="M324" i="31"/>
  <c r="F324" i="31"/>
  <c r="H324" i="31" s="1"/>
  <c r="H333" i="15" s="1"/>
  <c r="I324" i="31" l="1"/>
  <c r="R333" i="15" s="1"/>
  <c r="L324" i="31" l="1"/>
  <c r="D325" i="31" l="1"/>
  <c r="J325" i="31" s="1"/>
  <c r="M334" i="15" s="1"/>
  <c r="N324" i="31"/>
  <c r="AG333" i="15" s="1"/>
  <c r="AB333" i="15"/>
  <c r="M325" i="31" l="1"/>
  <c r="K325" i="31"/>
  <c r="W334" i="15" s="1"/>
  <c r="AQ333" i="15"/>
  <c r="F325" i="31" l="1"/>
  <c r="H325" i="31" s="1"/>
  <c r="H334" i="15" s="1"/>
  <c r="I325" i="31" l="1"/>
  <c r="R334" i="15" s="1"/>
  <c r="L325" i="31" l="1"/>
  <c r="AB334" i="15" s="1"/>
  <c r="D326" i="31" l="1"/>
  <c r="J326" i="31" s="1"/>
  <c r="M335" i="15" s="1"/>
  <c r="N325" i="31"/>
  <c r="K326" i="31" s="1"/>
  <c r="W335" i="15" s="1"/>
  <c r="M326" i="31" l="1"/>
  <c r="F326" i="31"/>
  <c r="H326" i="31" s="1"/>
  <c r="I326" i="31" s="1"/>
  <c r="AG334" i="15"/>
  <c r="AQ334" i="15" s="1"/>
  <c r="H335" i="15" l="1"/>
  <c r="R335" i="15"/>
  <c r="L326" i="31"/>
  <c r="N326" i="31" l="1"/>
  <c r="D327" i="31"/>
  <c r="J327" i="31" s="1"/>
  <c r="M336" i="15" s="1"/>
  <c r="AB335" i="15"/>
  <c r="M327" i="31" l="1"/>
  <c r="AG335" i="15"/>
  <c r="AQ335" i="15" s="1"/>
  <c r="K327" i="31"/>
  <c r="W336" i="15" s="1"/>
  <c r="F327" i="31" l="1"/>
  <c r="H327" i="31" s="1"/>
  <c r="H336" i="15" l="1"/>
  <c r="I327" i="31"/>
  <c r="L327" i="31" l="1"/>
  <c r="R336" i="15"/>
  <c r="N327" i="31" l="1"/>
  <c r="D328" i="31"/>
  <c r="J328" i="31" s="1"/>
  <c r="M337" i="15" s="1"/>
  <c r="AB336" i="15"/>
  <c r="M328" i="31" l="1"/>
  <c r="K328" i="31"/>
  <c r="W337" i="15" s="1"/>
  <c r="AG336" i="15"/>
  <c r="AQ336" i="15" s="1"/>
  <c r="F328" i="31" l="1"/>
  <c r="H328" i="31" s="1"/>
  <c r="I328" i="31" l="1"/>
  <c r="H337" i="15"/>
  <c r="R337" i="15" l="1"/>
  <c r="L328" i="31"/>
  <c r="AB337" i="15" l="1"/>
  <c r="D329" i="31"/>
  <c r="J329" i="31" s="1"/>
  <c r="M338" i="15" s="1"/>
  <c r="N328" i="31"/>
  <c r="M329" i="31" l="1"/>
  <c r="K329" i="31"/>
  <c r="AG337" i="15"/>
  <c r="AQ337" i="15" s="1"/>
  <c r="W338" i="15" l="1"/>
  <c r="F329" i="31"/>
  <c r="H329" i="31" s="1"/>
  <c r="H338" i="15" l="1"/>
  <c r="I329" i="31"/>
  <c r="R338" i="15" l="1"/>
  <c r="L329" i="31"/>
  <c r="N329" i="31" l="1"/>
  <c r="D330" i="31"/>
  <c r="J330" i="31" s="1"/>
  <c r="M339" i="15" s="1"/>
  <c r="AB338" i="15"/>
  <c r="M330" i="31"/>
  <c r="AG338" i="15" l="1"/>
  <c r="AQ338" i="15" s="1"/>
  <c r="K330" i="31"/>
  <c r="W339" i="15" l="1"/>
  <c r="F330" i="31"/>
  <c r="H330" i="31" s="1"/>
  <c r="H339" i="15" l="1"/>
  <c r="I330" i="31"/>
  <c r="R339" i="15" l="1"/>
  <c r="L330" i="31"/>
  <c r="AB339" i="15" l="1"/>
  <c r="N330" i="31"/>
  <c r="D331" i="31"/>
  <c r="J331" i="31" s="1"/>
  <c r="M340" i="15" s="1"/>
  <c r="M331" i="31" l="1"/>
  <c r="AG339" i="15"/>
  <c r="AQ339" i="15" s="1"/>
  <c r="K331" i="31"/>
  <c r="W340" i="15" s="1"/>
  <c r="F331" i="31" l="1"/>
  <c r="H331" i="31" s="1"/>
  <c r="H340" i="15" l="1"/>
  <c r="I331" i="31"/>
  <c r="L331" i="31" l="1"/>
  <c r="R340" i="15"/>
  <c r="AB340" i="15" l="1"/>
  <c r="D332" i="31"/>
  <c r="N331" i="31"/>
  <c r="AG340" i="15" l="1"/>
  <c r="AQ340" i="15" s="1"/>
  <c r="K332" i="31"/>
  <c r="W341" i="15" s="1"/>
  <c r="J332" i="31"/>
  <c r="M341" i="15" l="1"/>
  <c r="M332" i="31"/>
  <c r="F332" i="31"/>
  <c r="H332" i="31" s="1"/>
  <c r="I332" i="31" s="1"/>
  <c r="H341" i="15" l="1"/>
  <c r="R341" i="15"/>
  <c r="L332" i="31"/>
  <c r="N332" i="31" l="1"/>
  <c r="AB341" i="15"/>
  <c r="D333" i="31"/>
  <c r="J333" i="31" s="1"/>
  <c r="M342" i="15" s="1"/>
  <c r="M333" i="31" l="1"/>
  <c r="AG341" i="15"/>
  <c r="AQ341" i="15" s="1"/>
  <c r="K333" i="31"/>
  <c r="W342" i="15" l="1"/>
  <c r="F333" i="31"/>
  <c r="H333" i="31" s="1"/>
  <c r="H342" i="15" l="1"/>
  <c r="I333" i="31"/>
  <c r="R342" i="15" l="1"/>
  <c r="L333" i="31"/>
  <c r="AB342" i="15" l="1"/>
  <c r="N333" i="31"/>
  <c r="D334" i="31"/>
  <c r="J334" i="31" s="1"/>
  <c r="M343" i="15" s="1"/>
  <c r="M334" i="31" l="1"/>
  <c r="AG342" i="15"/>
  <c r="AQ342" i="15" s="1"/>
  <c r="K334" i="31"/>
  <c r="W343" i="15" l="1"/>
  <c r="F334" i="31"/>
  <c r="H334" i="31" s="1"/>
  <c r="H343" i="15" l="1"/>
  <c r="I334" i="31"/>
  <c r="R343" i="15" l="1"/>
  <c r="L334" i="31"/>
  <c r="N334" i="31" l="1"/>
  <c r="AB343" i="15"/>
  <c r="D335" i="31"/>
  <c r="J335" i="31" s="1"/>
  <c r="M344" i="15" s="1"/>
  <c r="M335" i="31" l="1"/>
  <c r="AG343" i="15"/>
  <c r="AQ343" i="15" s="1"/>
  <c r="K335" i="31"/>
  <c r="W344" i="15" s="1"/>
  <c r="F335" i="31" l="1"/>
  <c r="H335" i="31" s="1"/>
  <c r="I335" i="31" l="1"/>
  <c r="H344" i="15"/>
  <c r="R344" i="15" l="1"/>
  <c r="L335" i="31"/>
  <c r="N335" i="31" l="1"/>
  <c r="AB344" i="15"/>
  <c r="D336" i="31"/>
  <c r="J336" i="31" s="1"/>
  <c r="M345" i="15" s="1"/>
  <c r="M336" i="31" l="1"/>
  <c r="K336" i="31"/>
  <c r="AG344" i="15"/>
  <c r="AQ344" i="15" s="1"/>
  <c r="W345" i="15" l="1"/>
  <c r="F336" i="31"/>
  <c r="H336" i="31" s="1"/>
  <c r="H345" i="15" l="1"/>
  <c r="I336" i="31"/>
  <c r="L336" i="31" l="1"/>
  <c r="R345" i="15"/>
  <c r="N336" i="31" l="1"/>
  <c r="D337" i="31"/>
  <c r="J337" i="31" s="1"/>
  <c r="M346" i="15" s="1"/>
  <c r="AB345" i="15"/>
  <c r="M337" i="31" l="1"/>
  <c r="K337" i="31"/>
  <c r="AG345" i="15"/>
  <c r="AQ345" i="15" s="1"/>
  <c r="W346" i="15" l="1"/>
  <c r="F337" i="31"/>
  <c r="H337" i="31" s="1"/>
  <c r="H346" i="15" l="1"/>
  <c r="I337" i="31"/>
  <c r="R346" i="15" l="1"/>
  <c r="L337" i="31"/>
  <c r="AB346" i="15" l="1"/>
  <c r="D338" i="31"/>
  <c r="J338" i="31" s="1"/>
  <c r="M347" i="15" s="1"/>
  <c r="N337" i="31"/>
  <c r="M338" i="31" l="1"/>
  <c r="K338" i="31"/>
  <c r="AG346" i="15"/>
  <c r="AQ346" i="15" s="1"/>
  <c r="W347" i="15" l="1"/>
  <c r="F338" i="31"/>
  <c r="H338" i="31" s="1"/>
  <c r="I338" i="31" l="1"/>
  <c r="H347" i="15"/>
  <c r="R347" i="15" l="1"/>
  <c r="L338" i="31"/>
  <c r="N338" i="31" l="1"/>
  <c r="D339" i="31"/>
  <c r="J339" i="31" s="1"/>
  <c r="M348" i="15" s="1"/>
  <c r="AB347" i="15"/>
  <c r="M339" i="31" l="1"/>
  <c r="K339" i="31"/>
  <c r="AG347" i="15"/>
  <c r="AQ347" i="15" s="1"/>
  <c r="W348" i="15" l="1"/>
  <c r="F339" i="31"/>
  <c r="H339" i="31" s="1"/>
  <c r="H348" i="15" l="1"/>
  <c r="I339" i="31"/>
  <c r="L339" i="31" l="1"/>
  <c r="R348" i="15"/>
  <c r="N339" i="31" l="1"/>
  <c r="D340" i="31"/>
  <c r="J340" i="31" s="1"/>
  <c r="M349" i="15" s="1"/>
  <c r="AB348" i="15"/>
  <c r="M340" i="31" l="1"/>
  <c r="AG348" i="15"/>
  <c r="AQ348" i="15" s="1"/>
  <c r="K340" i="31"/>
  <c r="W349" i="15" l="1"/>
  <c r="F340" i="31"/>
  <c r="H340" i="31" s="1"/>
  <c r="H349" i="15" l="1"/>
  <c r="I340" i="31"/>
  <c r="R349" i="15" l="1"/>
  <c r="L340" i="31"/>
  <c r="AB349" i="15" l="1"/>
  <c r="D341" i="31"/>
  <c r="J341" i="31" s="1"/>
  <c r="M350" i="15" s="1"/>
  <c r="N340" i="31"/>
  <c r="M341" i="31" l="1"/>
  <c r="K341" i="31"/>
  <c r="AG349" i="15"/>
  <c r="AQ349" i="15" s="1"/>
  <c r="W350" i="15" l="1"/>
  <c r="F341" i="31"/>
  <c r="H341" i="31" s="1"/>
  <c r="H350" i="15" l="1"/>
  <c r="I341" i="31"/>
  <c r="R350" i="15" l="1"/>
  <c r="L341" i="31"/>
  <c r="AB350" i="15" l="1"/>
  <c r="D342" i="31"/>
  <c r="J342" i="31" s="1"/>
  <c r="M351" i="15" s="1"/>
  <c r="N341" i="31"/>
  <c r="M342" i="31" l="1"/>
  <c r="K342" i="31"/>
  <c r="AG350" i="15"/>
  <c r="AQ350" i="15" s="1"/>
  <c r="W351" i="15" l="1"/>
  <c r="F342" i="31"/>
  <c r="H342" i="31" s="1"/>
  <c r="I342" i="31" l="1"/>
  <c r="H351" i="15"/>
  <c r="R351" i="15" l="1"/>
  <c r="L342" i="31"/>
  <c r="N342" i="31" l="1"/>
  <c r="D343" i="31"/>
  <c r="J343" i="31" s="1"/>
  <c r="M352" i="15" s="1"/>
  <c r="AB351" i="15"/>
  <c r="M343" i="31" l="1"/>
  <c r="K343" i="31"/>
  <c r="AG351" i="15"/>
  <c r="AQ351" i="15" s="1"/>
  <c r="W352" i="15" l="1"/>
  <c r="F343" i="31"/>
  <c r="H343" i="31" s="1"/>
  <c r="I343" i="31" l="1"/>
  <c r="H352" i="15"/>
  <c r="R352" i="15" l="1"/>
  <c r="L343" i="31"/>
  <c r="AB352" i="15" l="1"/>
  <c r="D344" i="31"/>
  <c r="J344" i="31" s="1"/>
  <c r="M353" i="15" s="1"/>
  <c r="N343" i="31"/>
  <c r="M344" i="31" l="1"/>
  <c r="AG352" i="15"/>
  <c r="AQ352" i="15" s="1"/>
  <c r="K344" i="31"/>
  <c r="W353" i="15" l="1"/>
  <c r="F344" i="31"/>
  <c r="H344" i="31" s="1"/>
  <c r="H353" i="15" l="1"/>
  <c r="I344" i="31"/>
  <c r="R353" i="15" l="1"/>
  <c r="L344" i="31"/>
  <c r="AB353" i="15" l="1"/>
  <c r="D345" i="31"/>
  <c r="J345" i="31" s="1"/>
  <c r="M354" i="15" s="1"/>
  <c r="N344" i="31"/>
  <c r="M345" i="31" l="1"/>
  <c r="K345" i="31"/>
  <c r="AG353" i="15"/>
  <c r="AQ353" i="15" s="1"/>
  <c r="W354" i="15" l="1"/>
  <c r="F345" i="31"/>
  <c r="H345" i="31" s="1"/>
  <c r="H354" i="15" l="1"/>
  <c r="I345" i="31"/>
  <c r="R354" i="15" l="1"/>
  <c r="L345" i="31"/>
  <c r="N345" i="31" l="1"/>
  <c r="D346" i="31"/>
  <c r="J346" i="31" s="1"/>
  <c r="M355" i="15" s="1"/>
  <c r="AB354" i="15"/>
  <c r="M346" i="31" l="1"/>
  <c r="AG354" i="15"/>
  <c r="AQ354" i="15" s="1"/>
  <c r="K346" i="31"/>
  <c r="W355" i="15" s="1"/>
  <c r="F346" i="31" l="1"/>
  <c r="H346" i="31" s="1"/>
  <c r="H355" i="15" l="1"/>
  <c r="I346" i="31"/>
  <c r="L346" i="31" l="1"/>
  <c r="R355" i="15"/>
  <c r="AB355" i="15" l="1"/>
  <c r="D347" i="31"/>
  <c r="J347" i="31" s="1"/>
  <c r="M356" i="15" s="1"/>
  <c r="N346" i="31"/>
  <c r="M347" i="31" l="1"/>
  <c r="AG355" i="15"/>
  <c r="AQ355" i="15" s="1"/>
  <c r="K347" i="31"/>
  <c r="W356" i="15" l="1"/>
  <c r="F347" i="31"/>
  <c r="H347" i="31" s="1"/>
  <c r="H356" i="15" l="1"/>
  <c r="I347" i="31"/>
  <c r="R356" i="15" l="1"/>
  <c r="L347" i="31"/>
  <c r="N347" i="31" l="1"/>
  <c r="D348" i="31"/>
  <c r="J348" i="31" s="1"/>
  <c r="M357" i="15" s="1"/>
  <c r="AB356" i="15"/>
  <c r="M348" i="31" l="1"/>
  <c r="AG356" i="15"/>
  <c r="AQ356" i="15" s="1"/>
  <c r="K348" i="31"/>
  <c r="W357" i="15" s="1"/>
  <c r="F348" i="31" l="1"/>
  <c r="H348" i="31" s="1"/>
  <c r="H357" i="15" l="1"/>
  <c r="I348" i="31"/>
  <c r="R357" i="15" l="1"/>
  <c r="L348" i="31"/>
  <c r="AB357" i="15" l="1"/>
  <c r="D349" i="31"/>
  <c r="J349" i="31" s="1"/>
  <c r="M358" i="15" s="1"/>
  <c r="N348" i="31"/>
  <c r="M349" i="31" l="1"/>
  <c r="AG357" i="15"/>
  <c r="AQ357" i="15" s="1"/>
  <c r="K349" i="31"/>
  <c r="W358" i="15" l="1"/>
  <c r="F349" i="31"/>
  <c r="H349" i="31" s="1"/>
  <c r="H358" i="15" l="1"/>
  <c r="I349" i="31"/>
  <c r="R358" i="15" l="1"/>
  <c r="L349" i="31"/>
  <c r="AB358" i="15" l="1"/>
  <c r="N349" i="31"/>
  <c r="D350" i="31"/>
  <c r="J350" i="31" s="1"/>
  <c r="M359" i="15" s="1"/>
  <c r="M350" i="31" l="1"/>
  <c r="AG358" i="15"/>
  <c r="AQ358" i="15" s="1"/>
  <c r="K350" i="31"/>
  <c r="W359" i="15" s="1"/>
  <c r="F350" i="31" l="1"/>
  <c r="H350" i="31" s="1"/>
  <c r="H359" i="15" l="1"/>
  <c r="I350" i="31"/>
  <c r="L350" i="31" l="1"/>
  <c r="R359" i="15"/>
  <c r="AB359" i="15" l="1"/>
  <c r="D351" i="31"/>
  <c r="J351" i="31" s="1"/>
  <c r="M360" i="15" s="1"/>
  <c r="N350" i="31"/>
  <c r="M351" i="31" l="1"/>
  <c r="K351" i="31"/>
  <c r="W360" i="15" s="1"/>
  <c r="AG359" i="15"/>
  <c r="AQ359" i="15" s="1"/>
  <c r="F351" i="31" l="1"/>
  <c r="H351" i="31" s="1"/>
  <c r="H360" i="15" l="1"/>
  <c r="I351" i="31"/>
  <c r="R360" i="15" l="1"/>
  <c r="L351" i="31"/>
  <c r="AB360" i="15" l="1"/>
  <c r="D352" i="31"/>
  <c r="J352" i="31" s="1"/>
  <c r="M361" i="15" s="1"/>
  <c r="N351" i="31"/>
  <c r="M352" i="31" l="1"/>
  <c r="AG360" i="15"/>
  <c r="AQ360" i="15" s="1"/>
  <c r="K352" i="31"/>
  <c r="W361" i="15" l="1"/>
  <c r="F352" i="31"/>
  <c r="H352" i="31" s="1"/>
  <c r="H361" i="15" l="1"/>
  <c r="I352" i="31"/>
  <c r="R361" i="15" l="1"/>
  <c r="L352" i="31"/>
  <c r="AB361" i="15" l="1"/>
  <c r="N352" i="31"/>
  <c r="D353" i="31"/>
  <c r="J353" i="31" s="1"/>
  <c r="M362" i="15" s="1"/>
  <c r="M353" i="31" l="1"/>
  <c r="AG361" i="15"/>
  <c r="AQ361" i="15" s="1"/>
  <c r="K353" i="31"/>
  <c r="W362" i="15" s="1"/>
  <c r="F353" i="31" l="1"/>
  <c r="H353" i="31" s="1"/>
  <c r="H362" i="15" l="1"/>
  <c r="I353" i="31"/>
  <c r="R362" i="15" l="1"/>
  <c r="L353" i="31"/>
  <c r="N353" i="31" l="1"/>
  <c r="AB362" i="15"/>
  <c r="D354" i="31"/>
  <c r="J354" i="31" s="1"/>
  <c r="M363" i="15" s="1"/>
  <c r="M354" i="31" l="1"/>
  <c r="K354" i="31"/>
  <c r="W363" i="15" s="1"/>
  <c r="AG362" i="15"/>
  <c r="AQ362" i="15" s="1"/>
  <c r="F354" i="31" l="1"/>
  <c r="H354" i="31" s="1"/>
  <c r="H363" i="15" l="1"/>
  <c r="I354" i="31"/>
  <c r="R363" i="15" l="1"/>
  <c r="L354" i="31"/>
  <c r="AB363" i="15" l="1"/>
  <c r="D355" i="31"/>
  <c r="J355" i="31" s="1"/>
  <c r="M364" i="15" s="1"/>
  <c r="N354" i="31"/>
  <c r="M355" i="31" l="1"/>
  <c r="AG363" i="15"/>
  <c r="AQ363" i="15" s="1"/>
  <c r="K355" i="31"/>
  <c r="W364" i="15" l="1"/>
  <c r="F355" i="31"/>
  <c r="H355" i="31" s="1"/>
  <c r="I355" i="31" l="1"/>
  <c r="H364" i="15"/>
  <c r="R364" i="15" l="1"/>
  <c r="L355" i="31"/>
  <c r="AB364" i="15" l="1"/>
  <c r="D356" i="31"/>
  <c r="J356" i="31" s="1"/>
  <c r="M365" i="15" s="1"/>
  <c r="N355" i="31"/>
  <c r="M356" i="31" l="1"/>
  <c r="AG364" i="15"/>
  <c r="AQ364" i="15" s="1"/>
  <c r="K356" i="31"/>
  <c r="W365" i="15" l="1"/>
  <c r="F356" i="31"/>
  <c r="H356" i="31" s="1"/>
  <c r="H365" i="15" l="1"/>
  <c r="I356" i="31"/>
  <c r="R365" i="15" l="1"/>
  <c r="L356" i="31"/>
  <c r="AB365" i="15" l="1"/>
  <c r="D357" i="31"/>
  <c r="N356" i="31"/>
  <c r="K357" i="31" l="1"/>
  <c r="W366" i="15" s="1"/>
  <c r="AG365" i="15"/>
  <c r="AQ365" i="15" s="1"/>
  <c r="J357" i="31"/>
  <c r="M366" i="15" l="1"/>
  <c r="M357" i="31"/>
  <c r="F357" i="31"/>
  <c r="H357" i="31" s="1"/>
  <c r="H366" i="15" s="1"/>
  <c r="I357" i="31" l="1"/>
  <c r="R366" i="15" s="1"/>
  <c r="L357" i="31" l="1"/>
  <c r="N357" i="31" s="1"/>
  <c r="AB366" i="15" l="1"/>
  <c r="D358" i="31"/>
  <c r="J358" i="31" s="1"/>
  <c r="M367" i="15" s="1"/>
  <c r="K358" i="31"/>
  <c r="AG366" i="15"/>
  <c r="M358" i="31" l="1"/>
  <c r="AQ366" i="15"/>
  <c r="W367" i="15"/>
  <c r="F358" i="31"/>
  <c r="H358" i="31" s="1"/>
  <c r="I358" i="31" l="1"/>
  <c r="H367" i="15"/>
  <c r="R367" i="15" l="1"/>
  <c r="L358" i="31"/>
  <c r="N358" i="31" l="1"/>
  <c r="D359" i="31"/>
  <c r="J359" i="31" s="1"/>
  <c r="M368" i="15" s="1"/>
  <c r="AB367" i="15"/>
  <c r="M359" i="31" l="1"/>
  <c r="AG367" i="15"/>
  <c r="AQ367" i="15" s="1"/>
  <c r="K359" i="31"/>
  <c r="W368" i="15" l="1"/>
  <c r="F359" i="31"/>
  <c r="H359" i="31" s="1"/>
  <c r="H368" i="15" l="1"/>
  <c r="I359" i="31"/>
  <c r="R368" i="15" l="1"/>
  <c r="L359" i="31"/>
  <c r="AB368" i="15" l="1"/>
  <c r="D360" i="31"/>
  <c r="J360" i="31" s="1"/>
  <c r="M360" i="31" s="1"/>
  <c r="N359" i="31"/>
  <c r="M369" i="15" l="1"/>
  <c r="K360" i="31"/>
  <c r="W369" i="15" s="1"/>
  <c r="AG368" i="15"/>
  <c r="AQ368" i="15" s="1"/>
  <c r="F360" i="31" l="1"/>
  <c r="H360" i="31" s="1"/>
  <c r="I360" i="31" l="1"/>
  <c r="H369" i="15"/>
  <c r="L360" i="31" l="1"/>
  <c r="R369" i="15"/>
  <c r="N360" i="31" l="1"/>
  <c r="AB369" i="15"/>
  <c r="D361" i="31"/>
  <c r="J361" i="31" s="1"/>
  <c r="M370" i="15" s="1"/>
  <c r="M361" i="31" l="1"/>
  <c r="AG369" i="15"/>
  <c r="AQ369" i="15" s="1"/>
  <c r="K361" i="31"/>
  <c r="W370" i="15" l="1"/>
  <c r="F361" i="31"/>
  <c r="H361" i="31" s="1"/>
  <c r="H370" i="15" l="1"/>
  <c r="I361" i="31"/>
  <c r="R370" i="15" l="1"/>
  <c r="L361" i="31"/>
  <c r="AB370" i="15" l="1"/>
  <c r="N361" i="31"/>
  <c r="D362" i="31"/>
  <c r="J362" i="31" s="1"/>
  <c r="M371" i="15" s="1"/>
  <c r="M362" i="31" l="1"/>
  <c r="K362" i="31"/>
  <c r="AG370" i="15"/>
  <c r="AQ370" i="15" s="1"/>
  <c r="W371" i="15" l="1"/>
  <c r="F362" i="31"/>
  <c r="H362" i="31" s="1"/>
  <c r="H371" i="15" l="1"/>
  <c r="I362" i="31"/>
  <c r="R371" i="15" l="1"/>
  <c r="L362" i="31"/>
  <c r="N362" i="31" l="1"/>
  <c r="D363" i="31"/>
  <c r="J363" i="31" s="1"/>
  <c r="M372" i="15" s="1"/>
  <c r="AB371" i="15"/>
  <c r="M363" i="31" l="1"/>
  <c r="AG371" i="15"/>
  <c r="AQ371" i="15" s="1"/>
  <c r="K363" i="31"/>
  <c r="W372" i="15" s="1"/>
  <c r="F363" i="31" l="1"/>
  <c r="H363" i="31" s="1"/>
  <c r="I363" i="31" l="1"/>
  <c r="H372" i="15"/>
  <c r="L363" i="31" l="1"/>
  <c r="R372" i="15"/>
  <c r="AB372" i="15" l="1"/>
  <c r="D364" i="31"/>
  <c r="J364" i="31" s="1"/>
  <c r="M373" i="15" s="1"/>
  <c r="N363" i="31"/>
  <c r="M364" i="31" l="1"/>
  <c r="AG372" i="15"/>
  <c r="AQ372" i="15" s="1"/>
  <c r="K364" i="31"/>
  <c r="W373" i="15" l="1"/>
  <c r="F364" i="31"/>
  <c r="H364" i="31" s="1"/>
  <c r="H373" i="15" l="1"/>
  <c r="I364" i="31"/>
  <c r="R373" i="15" l="1"/>
  <c r="L364" i="31"/>
  <c r="N364" i="31" l="1"/>
  <c r="D365" i="31"/>
  <c r="J365" i="31" s="1"/>
  <c r="M374" i="15" s="1"/>
  <c r="AB373" i="15"/>
  <c r="M365" i="31" l="1"/>
  <c r="AG373" i="15"/>
  <c r="AQ373" i="15" s="1"/>
  <c r="K365" i="31"/>
  <c r="W374" i="15" s="1"/>
  <c r="F365" i="31" l="1"/>
  <c r="H365" i="31" s="1"/>
  <c r="H374" i="15" l="1"/>
  <c r="I365" i="31"/>
  <c r="L365" i="31" l="1"/>
  <c r="R374" i="15"/>
  <c r="AB374" i="15" l="1"/>
  <c r="D366" i="31"/>
  <c r="J366" i="31" s="1"/>
  <c r="M375" i="15" s="1"/>
  <c r="N365" i="31"/>
  <c r="M366" i="31" l="1"/>
  <c r="AG374" i="15"/>
  <c r="AQ374" i="15" s="1"/>
  <c r="K366" i="31"/>
  <c r="W375" i="15" s="1"/>
  <c r="F366" i="31" l="1"/>
  <c r="H366" i="31" s="1"/>
  <c r="I366" i="31" l="1"/>
  <c r="H375" i="15"/>
  <c r="L366" i="31" l="1"/>
  <c r="R375" i="15"/>
  <c r="AB375" i="15" l="1"/>
  <c r="D367" i="31"/>
  <c r="J367" i="31" s="1"/>
  <c r="M376" i="15" s="1"/>
  <c r="N366" i="31"/>
  <c r="M367" i="31" l="1"/>
  <c r="AG375" i="15"/>
  <c r="AQ375" i="15" s="1"/>
  <c r="K367" i="31"/>
  <c r="W376" i="15" s="1"/>
  <c r="F367" i="31" l="1"/>
  <c r="H367" i="31" s="1"/>
  <c r="H376" i="15" l="1"/>
  <c r="I367" i="31"/>
  <c r="L367" i="31" l="1"/>
  <c r="R376" i="15"/>
  <c r="AB376" i="15" l="1"/>
  <c r="N367" i="31"/>
  <c r="D368" i="31"/>
  <c r="J368" i="31" s="1"/>
  <c r="M377" i="15" s="1"/>
  <c r="M368" i="31" l="1"/>
  <c r="AG376" i="15"/>
  <c r="AQ376" i="15" s="1"/>
  <c r="K368" i="31"/>
  <c r="W377" i="15" s="1"/>
  <c r="F368" i="31" l="1"/>
  <c r="H368" i="31" s="1"/>
  <c r="H377" i="15" l="1"/>
  <c r="I368" i="31"/>
  <c r="L368" i="31" l="1"/>
  <c r="R377" i="15"/>
  <c r="N368" i="31" l="1"/>
  <c r="D369" i="31"/>
  <c r="J369" i="31" s="1"/>
  <c r="M378" i="15" s="1"/>
  <c r="AB377" i="15"/>
  <c r="M369" i="31" l="1"/>
  <c r="AG377" i="15"/>
  <c r="AQ377" i="15" s="1"/>
  <c r="K369" i="31"/>
  <c r="W378" i="15" l="1"/>
  <c r="F369" i="31"/>
  <c r="H369" i="31" s="1"/>
  <c r="H378" i="15" l="1"/>
  <c r="I369" i="31"/>
  <c r="R378" i="15" l="1"/>
  <c r="L369" i="31"/>
  <c r="AB378" i="15" l="1"/>
  <c r="D370" i="31"/>
  <c r="J370" i="31" s="1"/>
  <c r="M379" i="15" s="1"/>
  <c r="N369" i="31"/>
  <c r="M370" i="31" l="1"/>
  <c r="AG378" i="15"/>
  <c r="AQ378" i="15" s="1"/>
  <c r="K370" i="31"/>
  <c r="W379" i="15" l="1"/>
  <c r="F370" i="31"/>
  <c r="H370" i="31" s="1"/>
  <c r="H379" i="15" l="1"/>
  <c r="I370" i="31"/>
  <c r="R379" i="15" l="1"/>
  <c r="L370" i="31"/>
  <c r="AB379" i="15" l="1"/>
  <c r="D371" i="31"/>
  <c r="J371" i="31" s="1"/>
  <c r="M380" i="15" s="1"/>
  <c r="N370" i="31"/>
  <c r="M371" i="31" l="1"/>
  <c r="AG379" i="15"/>
  <c r="AQ379" i="15" s="1"/>
  <c r="K371" i="31"/>
  <c r="W380" i="15" l="1"/>
  <c r="F371" i="31"/>
  <c r="H371" i="31" s="1"/>
  <c r="H380" i="15" l="1"/>
  <c r="I371" i="31"/>
  <c r="R380" i="15" l="1"/>
  <c r="L371" i="31"/>
  <c r="AB380" i="15" l="1"/>
  <c r="D372" i="31"/>
  <c r="J372" i="31" s="1"/>
  <c r="M381" i="15" s="1"/>
  <c r="N371" i="31"/>
  <c r="M372" i="31" l="1"/>
  <c r="AG380" i="15"/>
  <c r="AQ380" i="15" s="1"/>
  <c r="K372" i="31"/>
  <c r="W381" i="15" l="1"/>
  <c r="F372" i="31"/>
  <c r="H372" i="31" s="1"/>
  <c r="H381" i="15" l="1"/>
  <c r="I372" i="31"/>
  <c r="R381" i="15" l="1"/>
  <c r="L372" i="31"/>
  <c r="AB381" i="15" l="1"/>
  <c r="N372" i="31"/>
  <c r="D373" i="31"/>
  <c r="J373" i="31" s="1"/>
  <c r="M382" i="15" s="1"/>
  <c r="M373" i="31" l="1"/>
  <c r="AG381" i="15"/>
  <c r="AQ381" i="15" s="1"/>
  <c r="K373" i="31"/>
  <c r="W382" i="15" s="1"/>
  <c r="F373" i="31" l="1"/>
  <c r="H373" i="31" s="1"/>
  <c r="H382" i="15" l="1"/>
  <c r="I373" i="31"/>
  <c r="L373" i="31" l="1"/>
  <c r="R382" i="15"/>
  <c r="N373" i="31" l="1"/>
  <c r="D374" i="31"/>
  <c r="J374" i="31" s="1"/>
  <c r="M383" i="15" s="1"/>
  <c r="AB382" i="15"/>
  <c r="M374" i="31" l="1"/>
  <c r="AG382" i="15"/>
  <c r="AQ382" i="15" s="1"/>
  <c r="K374" i="31"/>
  <c r="W383" i="15" l="1"/>
  <c r="F374" i="31"/>
  <c r="H374" i="31" s="1"/>
  <c r="H383" i="15" l="1"/>
  <c r="I374" i="31"/>
  <c r="R383" i="15" l="1"/>
  <c r="L374" i="31"/>
  <c r="AB383" i="15" l="1"/>
  <c r="N374" i="31"/>
  <c r="D375" i="31"/>
  <c r="J375" i="31" s="1"/>
  <c r="M384" i="15" s="1"/>
  <c r="M375" i="31" l="1"/>
  <c r="AG383" i="15"/>
  <c r="AQ383" i="15" s="1"/>
  <c r="K375" i="31"/>
  <c r="W384" i="15" l="1"/>
  <c r="F375" i="31"/>
  <c r="H375" i="31" s="1"/>
  <c r="I375" i="31" l="1"/>
  <c r="H384" i="15"/>
  <c r="R384" i="15" l="1"/>
  <c r="L375" i="31"/>
  <c r="N375" i="31" l="1"/>
  <c r="AB384" i="15"/>
  <c r="D376" i="31"/>
  <c r="J376" i="31" s="1"/>
  <c r="M385" i="15" s="1"/>
  <c r="M376" i="31" l="1"/>
  <c r="AG384" i="15"/>
  <c r="AQ384" i="15" s="1"/>
  <c r="K376" i="31"/>
  <c r="W385" i="15" s="1"/>
  <c r="F376" i="31" l="1"/>
  <c r="H376" i="31" s="1"/>
  <c r="I376" i="31" l="1"/>
  <c r="H385" i="15"/>
  <c r="L376" i="31" l="1"/>
  <c r="R385" i="15"/>
  <c r="AB385" i="15" l="1"/>
  <c r="D377" i="31"/>
  <c r="J377" i="31" s="1"/>
  <c r="M386" i="15" s="1"/>
  <c r="N376" i="31"/>
  <c r="M377" i="31" l="1"/>
  <c r="AG385" i="15"/>
  <c r="AQ385" i="15" s="1"/>
  <c r="K377" i="31"/>
  <c r="W386" i="15" s="1"/>
  <c r="F377" i="31" l="1"/>
  <c r="H377" i="31" s="1"/>
  <c r="I377" i="31" l="1"/>
  <c r="H386" i="15"/>
  <c r="R386" i="15" l="1"/>
  <c r="L377" i="31"/>
  <c r="N377" i="31" l="1"/>
  <c r="AB386" i="15"/>
  <c r="D378" i="31"/>
  <c r="J378" i="31" s="1"/>
  <c r="M387" i="15" s="1"/>
  <c r="M378" i="31" l="1"/>
  <c r="AG386" i="15"/>
  <c r="AQ386" i="15" s="1"/>
  <c r="K378" i="31"/>
  <c r="W387" i="15" l="1"/>
  <c r="F378" i="31"/>
  <c r="H378" i="31" s="1"/>
  <c r="H387" i="15" l="1"/>
  <c r="I378" i="31"/>
  <c r="R387" i="15" l="1"/>
  <c r="L378" i="31"/>
  <c r="AB387" i="15" l="1"/>
  <c r="N378" i="31"/>
  <c r="D379" i="31"/>
  <c r="J379" i="31" s="1"/>
  <c r="M388" i="15" s="1"/>
  <c r="M379" i="31" l="1"/>
  <c r="AG387" i="15"/>
  <c r="AQ387" i="15" s="1"/>
  <c r="K379" i="31"/>
  <c r="W388" i="15" s="1"/>
  <c r="F379" i="31" l="1"/>
  <c r="H379" i="31" s="1"/>
  <c r="H388" i="15" l="1"/>
  <c r="I379" i="31"/>
  <c r="R388" i="15" l="1"/>
  <c r="L379" i="31"/>
  <c r="AB388" i="15" l="1"/>
  <c r="N379" i="31"/>
  <c r="D380" i="31"/>
  <c r="J380" i="31" s="1"/>
  <c r="M380" i="31" s="1"/>
  <c r="M389" i="15" l="1"/>
  <c r="K380" i="31"/>
  <c r="W389" i="15" s="1"/>
  <c r="AG388" i="15"/>
  <c r="AQ388" i="15" s="1"/>
  <c r="F380" i="31" l="1"/>
  <c r="H380" i="31" s="1"/>
  <c r="I380" i="31" l="1"/>
  <c r="H389" i="15"/>
  <c r="R389" i="15" l="1"/>
  <c r="L380" i="31"/>
  <c r="AB389" i="15" l="1"/>
  <c r="N380" i="31"/>
  <c r="D381" i="31"/>
  <c r="J381" i="31" s="1"/>
  <c r="M390" i="15" s="1"/>
  <c r="M381" i="31" l="1"/>
  <c r="AG389" i="15"/>
  <c r="AQ389" i="15" s="1"/>
  <c r="K381" i="31"/>
  <c r="W390" i="15" s="1"/>
  <c r="F381" i="31" l="1"/>
  <c r="H381" i="31" s="1"/>
  <c r="I381" i="31" l="1"/>
  <c r="H390" i="15"/>
  <c r="R390" i="15" l="1"/>
  <c r="L381" i="31"/>
  <c r="N381" i="31" l="1"/>
  <c r="D382" i="31"/>
  <c r="J382" i="31" s="1"/>
  <c r="M391" i="15" s="1"/>
  <c r="AB390" i="15"/>
  <c r="M382" i="31" l="1"/>
  <c r="AG390" i="15"/>
  <c r="AQ390" i="15" s="1"/>
  <c r="K382" i="31"/>
  <c r="W391" i="15" s="1"/>
  <c r="F382" i="31" l="1"/>
  <c r="H382" i="31" s="1"/>
  <c r="H391" i="15" l="1"/>
  <c r="I382" i="31"/>
  <c r="R391" i="15" l="1"/>
  <c r="L382" i="31"/>
  <c r="AB391" i="15" l="1"/>
  <c r="D383" i="31"/>
  <c r="J383" i="31" s="1"/>
  <c r="M392" i="15" s="1"/>
  <c r="N382" i="31"/>
  <c r="M383" i="31" l="1"/>
  <c r="K383" i="31"/>
  <c r="AG391" i="15"/>
  <c r="AQ391" i="15" s="1"/>
  <c r="W392" i="15" l="1"/>
  <c r="F383" i="31"/>
  <c r="H383" i="31" s="1"/>
  <c r="H392" i="15" l="1"/>
  <c r="I383" i="31"/>
  <c r="R392" i="15" l="1"/>
  <c r="L383" i="31"/>
  <c r="N383" i="31" l="1"/>
  <c r="AB392" i="15"/>
  <c r="D384" i="31"/>
  <c r="J384" i="31" s="1"/>
  <c r="N13" i="31" s="1"/>
  <c r="N14" i="31" s="1"/>
  <c r="M384" i="31" l="1"/>
  <c r="J24" i="31"/>
  <c r="M393" i="15"/>
  <c r="M30" i="15" s="1"/>
  <c r="O13" i="31"/>
  <c r="O14" i="31" s="1"/>
  <c r="E20" i="6"/>
  <c r="G20" i="6"/>
  <c r="H97" i="5" s="1"/>
  <c r="H20" i="6"/>
  <c r="I97" i="5" s="1"/>
  <c r="I20" i="6"/>
  <c r="J20" i="6"/>
  <c r="K97" i="5" s="1"/>
  <c r="K20" i="6"/>
  <c r="L20" i="6"/>
  <c r="M97" i="5" s="1"/>
  <c r="M20" i="6"/>
  <c r="N97" i="5" s="1"/>
  <c r="N20" i="6"/>
  <c r="O97" i="5" s="1"/>
  <c r="O20" i="6"/>
  <c r="P97" i="5" s="1"/>
  <c r="P20" i="6"/>
  <c r="Q97" i="5" s="1"/>
  <c r="Q20" i="6"/>
  <c r="R20" i="6"/>
  <c r="K384" i="31"/>
  <c r="AG392" i="15"/>
  <c r="AQ392" i="15" s="1"/>
  <c r="S97" i="5" l="1"/>
  <c r="AG28" i="16"/>
  <c r="AD39" i="8"/>
  <c r="K10" i="10" s="1"/>
  <c r="R97" i="5"/>
  <c r="J97" i="5"/>
  <c r="AY28" i="16"/>
  <c r="X39" i="8"/>
  <c r="I10" i="10" s="1"/>
  <c r="AA28" i="16"/>
  <c r="AV28" i="16"/>
  <c r="U39" i="8"/>
  <c r="H10" i="10" s="1"/>
  <c r="X28" i="16"/>
  <c r="AS28" i="16"/>
  <c r="F97" i="5"/>
  <c r="C20" i="6"/>
  <c r="C21" i="10" s="1"/>
  <c r="AP28" i="16"/>
  <c r="AM39" i="8"/>
  <c r="N10" i="10" s="1"/>
  <c r="AJ39" i="8"/>
  <c r="M10" i="10" s="1"/>
  <c r="AM28" i="16"/>
  <c r="E23" i="6"/>
  <c r="G23" i="6"/>
  <c r="H23" i="6"/>
  <c r="I23" i="6"/>
  <c r="J23" i="6"/>
  <c r="K23" i="6"/>
  <c r="L23" i="6"/>
  <c r="M23" i="6"/>
  <c r="N23" i="6"/>
  <c r="O23" i="6"/>
  <c r="P23" i="6"/>
  <c r="Q23" i="6"/>
  <c r="R23" i="6"/>
  <c r="L97" i="5"/>
  <c r="W393" i="15"/>
  <c r="W30" i="15" s="1"/>
  <c r="K24" i="31"/>
  <c r="F384" i="31"/>
  <c r="O12" i="31" s="1"/>
  <c r="F98" i="5" l="1"/>
  <c r="F165" i="5" s="1"/>
  <c r="E26" i="6"/>
  <c r="C23" i="6"/>
  <c r="C23" i="10" s="1"/>
  <c r="N98" i="5"/>
  <c r="M26" i="6"/>
  <c r="BB28" i="16"/>
  <c r="L26" i="6"/>
  <c r="M98" i="5"/>
  <c r="O98" i="5"/>
  <c r="N26" i="6"/>
  <c r="AJ28" i="16"/>
  <c r="AG39" i="8"/>
  <c r="L10" i="10" s="1"/>
  <c r="K26" i="6"/>
  <c r="L98" i="5"/>
  <c r="O39" i="8"/>
  <c r="F10" i="10" s="1"/>
  <c r="R28" i="16"/>
  <c r="C97" i="5"/>
  <c r="R26" i="6"/>
  <c r="S98" i="5"/>
  <c r="BE30" i="16" s="1"/>
  <c r="J26" i="6"/>
  <c r="K98" i="5"/>
  <c r="Q26" i="6"/>
  <c r="R98" i="5"/>
  <c r="BB30" i="16" s="1"/>
  <c r="I26" i="6"/>
  <c r="J98" i="5"/>
  <c r="P26" i="6"/>
  <c r="Q98" i="5"/>
  <c r="I98" i="5"/>
  <c r="H26" i="6"/>
  <c r="O26" i="6"/>
  <c r="P98" i="5"/>
  <c r="G26" i="6"/>
  <c r="H98" i="5"/>
  <c r="AD28" i="16"/>
  <c r="AA39" i="8"/>
  <c r="J10" i="10" s="1"/>
  <c r="BE28" i="16"/>
  <c r="H384" i="31"/>
  <c r="N12" i="31" s="1"/>
  <c r="F24" i="31"/>
  <c r="E21" i="6" l="1"/>
  <c r="G21" i="6"/>
  <c r="H21" i="6"/>
  <c r="I21" i="6"/>
  <c r="J21" i="6"/>
  <c r="K21" i="6"/>
  <c r="L21" i="6"/>
  <c r="M21" i="6"/>
  <c r="N21" i="6"/>
  <c r="O21" i="6"/>
  <c r="P21" i="6"/>
  <c r="Q21" i="6"/>
  <c r="R21" i="6"/>
  <c r="AV30" i="16"/>
  <c r="AS30" i="16"/>
  <c r="AA40" i="8"/>
  <c r="J8" i="10" s="1"/>
  <c r="AD30" i="16"/>
  <c r="AM30" i="16"/>
  <c r="AJ40" i="8"/>
  <c r="M8" i="10" s="1"/>
  <c r="AM40" i="8"/>
  <c r="N8" i="10" s="1"/>
  <c r="AP30" i="16"/>
  <c r="AG40" i="8"/>
  <c r="L8" i="10" s="1"/>
  <c r="AJ30" i="16"/>
  <c r="X40" i="8"/>
  <c r="I8" i="10" s="1"/>
  <c r="AA30" i="16"/>
  <c r="AY30" i="16"/>
  <c r="AL165" i="5"/>
  <c r="C165" i="5" s="1"/>
  <c r="B165" i="5"/>
  <c r="C26" i="6"/>
  <c r="X30" i="16"/>
  <c r="U40" i="8"/>
  <c r="H8" i="10" s="1"/>
  <c r="AD40" i="8"/>
  <c r="K8" i="10" s="1"/>
  <c r="AG30" i="16"/>
  <c r="O40" i="8"/>
  <c r="F8" i="10" s="1"/>
  <c r="R30" i="16"/>
  <c r="C98" i="5"/>
  <c r="G24" i="31"/>
  <c r="H393" i="15"/>
  <c r="H30" i="15" s="1"/>
  <c r="H24" i="31"/>
  <c r="I384" i="31"/>
  <c r="L25" i="6" l="1"/>
  <c r="L14" i="6"/>
  <c r="K25" i="6"/>
  <c r="K14" i="6"/>
  <c r="R25" i="6"/>
  <c r="R14" i="6"/>
  <c r="J25" i="6"/>
  <c r="J14" i="6"/>
  <c r="Q14" i="6"/>
  <c r="Q25" i="6"/>
  <c r="I14" i="6"/>
  <c r="I25" i="6"/>
  <c r="P25" i="6"/>
  <c r="P14" i="6"/>
  <c r="H14" i="6"/>
  <c r="H25" i="6"/>
  <c r="O14" i="6"/>
  <c r="O25" i="6"/>
  <c r="G14" i="6"/>
  <c r="G25" i="6"/>
  <c r="N25" i="6"/>
  <c r="N14" i="6"/>
  <c r="E14" i="6"/>
  <c r="E25" i="6"/>
  <c r="C21" i="6"/>
  <c r="M25" i="6"/>
  <c r="M14" i="6"/>
  <c r="R393" i="15"/>
  <c r="R30" i="15" s="1"/>
  <c r="L384" i="31"/>
  <c r="I24" i="31"/>
  <c r="C25" i="6" l="1"/>
  <c r="F35" i="6"/>
  <c r="F96" i="5"/>
  <c r="F34" i="6"/>
  <c r="R29" i="16"/>
  <c r="R31" i="16" s="1"/>
  <c r="C14" i="6"/>
  <c r="E17" i="6"/>
  <c r="F169" i="5"/>
  <c r="F186" i="5"/>
  <c r="F187" i="5"/>
  <c r="F179" i="5"/>
  <c r="F166" i="5"/>
  <c r="F170" i="5"/>
  <c r="F189" i="5"/>
  <c r="F180" i="5"/>
  <c r="F193" i="5"/>
  <c r="F190" i="5"/>
  <c r="F178" i="5"/>
  <c r="F192" i="5"/>
  <c r="F183" i="5"/>
  <c r="F174" i="5"/>
  <c r="F175" i="5"/>
  <c r="F171" i="5"/>
  <c r="F173" i="5"/>
  <c r="F177" i="5"/>
  <c r="F176" i="5"/>
  <c r="F188" i="5"/>
  <c r="F184" i="5"/>
  <c r="F194" i="5"/>
  <c r="F172" i="5"/>
  <c r="F168" i="5"/>
  <c r="F191" i="5"/>
  <c r="F181" i="5"/>
  <c r="F167" i="5"/>
  <c r="F185" i="5"/>
  <c r="F182" i="5"/>
  <c r="S96" i="5"/>
  <c r="S34" i="6"/>
  <c r="BE29" i="16"/>
  <c r="BE31" i="16" s="1"/>
  <c r="S35" i="6"/>
  <c r="S190" i="5"/>
  <c r="S180" i="5"/>
  <c r="S193" i="5"/>
  <c r="S185" i="5"/>
  <c r="S186" i="5"/>
  <c r="S181" i="5"/>
  <c r="S189" i="5"/>
  <c r="S187" i="5"/>
  <c r="S194" i="5"/>
  <c r="S188" i="5"/>
  <c r="S182" i="5"/>
  <c r="S184" i="5"/>
  <c r="S191" i="5"/>
  <c r="S179" i="5"/>
  <c r="S192" i="5"/>
  <c r="S183" i="5"/>
  <c r="L96" i="5"/>
  <c r="L34" i="6"/>
  <c r="AJ29" i="16"/>
  <c r="AJ31" i="16" s="1"/>
  <c r="L35" i="6"/>
  <c r="L193" i="5"/>
  <c r="L190" i="5"/>
  <c r="L177" i="5"/>
  <c r="L187" i="5"/>
  <c r="L194" i="5"/>
  <c r="L191" i="5"/>
  <c r="L182" i="5"/>
  <c r="L192" i="5"/>
  <c r="L181" i="5"/>
  <c r="L179" i="5"/>
  <c r="L172" i="5"/>
  <c r="L175" i="5"/>
  <c r="L176" i="5"/>
  <c r="L185" i="5"/>
  <c r="L178" i="5"/>
  <c r="L189" i="5"/>
  <c r="L180" i="5"/>
  <c r="L174" i="5"/>
  <c r="L188" i="5"/>
  <c r="L183" i="5"/>
  <c r="L173" i="5"/>
  <c r="L186" i="5"/>
  <c r="L184" i="5"/>
  <c r="K35" i="6"/>
  <c r="K34" i="6"/>
  <c r="K96" i="5"/>
  <c r="AG29" i="16"/>
  <c r="AG31" i="16" s="1"/>
  <c r="K174" i="5"/>
  <c r="K177" i="5"/>
  <c r="K188" i="5"/>
  <c r="K186" i="5"/>
  <c r="K192" i="5"/>
  <c r="K182" i="5"/>
  <c r="K171" i="5"/>
  <c r="K185" i="5"/>
  <c r="K194" i="5"/>
  <c r="K189" i="5"/>
  <c r="K187" i="5"/>
  <c r="K183" i="5"/>
  <c r="K178" i="5"/>
  <c r="K181" i="5"/>
  <c r="K190" i="5"/>
  <c r="K175" i="5"/>
  <c r="K179" i="5"/>
  <c r="K193" i="5"/>
  <c r="K191" i="5"/>
  <c r="K173" i="5"/>
  <c r="K184" i="5"/>
  <c r="K176" i="5"/>
  <c r="K180" i="5"/>
  <c r="K172" i="5"/>
  <c r="I35" i="6"/>
  <c r="AA29" i="16"/>
  <c r="AA31" i="16" s="1"/>
  <c r="I96" i="5"/>
  <c r="I34" i="6"/>
  <c r="I186" i="5"/>
  <c r="I180" i="5"/>
  <c r="I194" i="5"/>
  <c r="I192" i="5"/>
  <c r="I189" i="5"/>
  <c r="I177" i="5"/>
  <c r="I170" i="5"/>
  <c r="I175" i="5"/>
  <c r="I188" i="5"/>
  <c r="I184" i="5"/>
  <c r="I187" i="5"/>
  <c r="I183" i="5"/>
  <c r="I179" i="5"/>
  <c r="I174" i="5"/>
  <c r="I181" i="5"/>
  <c r="I169" i="5"/>
  <c r="I176" i="5"/>
  <c r="I173" i="5"/>
  <c r="I190" i="5"/>
  <c r="I178" i="5"/>
  <c r="I171" i="5"/>
  <c r="I193" i="5"/>
  <c r="I191" i="5"/>
  <c r="I185" i="5"/>
  <c r="I172" i="5"/>
  <c r="I182" i="5"/>
  <c r="O35" i="6"/>
  <c r="AS29" i="16"/>
  <c r="AS31" i="16" s="1"/>
  <c r="O34" i="6"/>
  <c r="O96" i="5"/>
  <c r="O175" i="5"/>
  <c r="O189" i="5"/>
  <c r="O187" i="5"/>
  <c r="O184" i="5"/>
  <c r="O191" i="5"/>
  <c r="O179" i="5"/>
  <c r="O186" i="5"/>
  <c r="O178" i="5"/>
  <c r="O185" i="5"/>
  <c r="O193" i="5"/>
  <c r="O190" i="5"/>
  <c r="O183" i="5"/>
  <c r="O181" i="5"/>
  <c r="O188" i="5"/>
  <c r="O176" i="5"/>
  <c r="O194" i="5"/>
  <c r="O180" i="5"/>
  <c r="O182" i="5"/>
  <c r="O192" i="5"/>
  <c r="O177" i="5"/>
  <c r="Q35" i="6"/>
  <c r="AY29" i="16"/>
  <c r="AY31" i="16" s="1"/>
  <c r="Q34" i="6"/>
  <c r="Q96" i="5"/>
  <c r="Q185" i="5"/>
  <c r="Q193" i="5"/>
  <c r="Q192" i="5"/>
  <c r="Q183" i="5"/>
  <c r="Q194" i="5"/>
  <c r="Q186" i="5"/>
  <c r="Q184" i="5"/>
  <c r="Q191" i="5"/>
  <c r="Q187" i="5"/>
  <c r="Q189" i="5"/>
  <c r="Q190" i="5"/>
  <c r="Q181" i="5"/>
  <c r="Q178" i="5"/>
  <c r="Q182" i="5"/>
  <c r="Q179" i="5"/>
  <c r="Q177" i="5"/>
  <c r="Q188" i="5"/>
  <c r="Q180" i="5"/>
  <c r="N35" i="6"/>
  <c r="N34" i="6"/>
  <c r="N96" i="5"/>
  <c r="AP29" i="16"/>
  <c r="AP31" i="16" s="1"/>
  <c r="N192" i="5"/>
  <c r="N178" i="5"/>
  <c r="N186" i="5"/>
  <c r="N188" i="5"/>
  <c r="N189" i="5"/>
  <c r="N182" i="5"/>
  <c r="N177" i="5"/>
  <c r="N193" i="5"/>
  <c r="N174" i="5"/>
  <c r="N176" i="5"/>
  <c r="N191" i="5"/>
  <c r="N183" i="5"/>
  <c r="N175" i="5"/>
  <c r="N194" i="5"/>
  <c r="N184" i="5"/>
  <c r="N179" i="5"/>
  <c r="N190" i="5"/>
  <c r="N181" i="5"/>
  <c r="N187" i="5"/>
  <c r="N180" i="5"/>
  <c r="N185" i="5"/>
  <c r="H35" i="6"/>
  <c r="X29" i="16"/>
  <c r="X31" i="16" s="1"/>
  <c r="H34" i="6"/>
  <c r="H96" i="5"/>
  <c r="H179" i="5"/>
  <c r="H169" i="5"/>
  <c r="H183" i="5"/>
  <c r="H184" i="5"/>
  <c r="H182" i="5"/>
  <c r="H190" i="5"/>
  <c r="H178" i="5"/>
  <c r="H180" i="5"/>
  <c r="H194" i="5"/>
  <c r="H188" i="5"/>
  <c r="H168" i="5"/>
  <c r="H191" i="5"/>
  <c r="H171" i="5"/>
  <c r="H189" i="5"/>
  <c r="H186" i="5"/>
  <c r="H170" i="5"/>
  <c r="H193" i="5"/>
  <c r="H181" i="5"/>
  <c r="H187" i="5"/>
  <c r="H175" i="5"/>
  <c r="H176" i="5"/>
  <c r="H177" i="5"/>
  <c r="H192" i="5"/>
  <c r="H173" i="5"/>
  <c r="H174" i="5"/>
  <c r="H185" i="5"/>
  <c r="H172" i="5"/>
  <c r="AD29" i="16"/>
  <c r="AD31" i="16" s="1"/>
  <c r="J34" i="6"/>
  <c r="J96" i="5"/>
  <c r="J35" i="6"/>
  <c r="J193" i="5"/>
  <c r="J170" i="5"/>
  <c r="J182" i="5"/>
  <c r="J171" i="5"/>
  <c r="J180" i="5"/>
  <c r="J187" i="5"/>
  <c r="J184" i="5"/>
  <c r="J192" i="5"/>
  <c r="J172" i="5"/>
  <c r="J178" i="5"/>
  <c r="J185" i="5"/>
  <c r="J189" i="5"/>
  <c r="J183" i="5"/>
  <c r="J181" i="5"/>
  <c r="J179" i="5"/>
  <c r="J190" i="5"/>
  <c r="J194" i="5"/>
  <c r="J188" i="5"/>
  <c r="J191" i="5"/>
  <c r="J174" i="5"/>
  <c r="J173" i="5"/>
  <c r="J175" i="5"/>
  <c r="J186" i="5"/>
  <c r="J176" i="5"/>
  <c r="J177" i="5"/>
  <c r="M35" i="6"/>
  <c r="AM29" i="16"/>
  <c r="AM31" i="16" s="1"/>
  <c r="M34" i="6"/>
  <c r="M96" i="5"/>
  <c r="M187" i="5"/>
  <c r="M173" i="5"/>
  <c r="M186" i="5"/>
  <c r="M176" i="5"/>
  <c r="M177" i="5"/>
  <c r="M179" i="5"/>
  <c r="M193" i="5"/>
  <c r="M182" i="5"/>
  <c r="M194" i="5"/>
  <c r="M185" i="5"/>
  <c r="M183" i="5"/>
  <c r="M188" i="5"/>
  <c r="M192" i="5"/>
  <c r="M190" i="5"/>
  <c r="M174" i="5"/>
  <c r="M178" i="5"/>
  <c r="M191" i="5"/>
  <c r="M180" i="5"/>
  <c r="M181" i="5"/>
  <c r="M175" i="5"/>
  <c r="M189" i="5"/>
  <c r="M184" i="5"/>
  <c r="P35" i="6"/>
  <c r="P34" i="6"/>
  <c r="P96" i="5"/>
  <c r="AV29" i="16"/>
  <c r="AV31" i="16" s="1"/>
  <c r="P194" i="5"/>
  <c r="P182" i="5"/>
  <c r="P177" i="5"/>
  <c r="P181" i="5"/>
  <c r="P187" i="5"/>
  <c r="P180" i="5"/>
  <c r="P184" i="5"/>
  <c r="P185" i="5"/>
  <c r="P179" i="5"/>
  <c r="P176" i="5"/>
  <c r="P192" i="5"/>
  <c r="P189" i="5"/>
  <c r="P190" i="5"/>
  <c r="P183" i="5"/>
  <c r="P193" i="5"/>
  <c r="P191" i="5"/>
  <c r="P188" i="5"/>
  <c r="P186" i="5"/>
  <c r="P178" i="5"/>
  <c r="R96" i="5"/>
  <c r="BB29" i="16"/>
  <c r="BB31" i="16" s="1"/>
  <c r="R34" i="6"/>
  <c r="R35" i="6"/>
  <c r="R193" i="5"/>
  <c r="R190" i="5"/>
  <c r="R180" i="5"/>
  <c r="R183" i="5"/>
  <c r="R194" i="5"/>
  <c r="R188" i="5"/>
  <c r="R189" i="5"/>
  <c r="R187" i="5"/>
  <c r="R192" i="5"/>
  <c r="R185" i="5"/>
  <c r="R181" i="5"/>
  <c r="R184" i="5"/>
  <c r="R191" i="5"/>
  <c r="R186" i="5"/>
  <c r="R178" i="5"/>
  <c r="R179" i="5"/>
  <c r="R182" i="5"/>
  <c r="AB393" i="15"/>
  <c r="N384" i="31"/>
  <c r="AG393" i="15" s="1"/>
  <c r="F36" i="6" l="1"/>
  <c r="M36" i="6"/>
  <c r="O36" i="6"/>
  <c r="K36" i="6"/>
  <c r="Q36" i="6"/>
  <c r="N36" i="6"/>
  <c r="R36" i="6"/>
  <c r="P36" i="6"/>
  <c r="Q104" i="5"/>
  <c r="Q154" i="5"/>
  <c r="Q99" i="5"/>
  <c r="O104" i="5"/>
  <c r="O154" i="5"/>
  <c r="O99" i="5"/>
  <c r="AA58" i="16"/>
  <c r="AA60" i="16" s="1"/>
  <c r="AA39" i="16"/>
  <c r="AA35" i="16"/>
  <c r="L104" i="5"/>
  <c r="AG38" i="8"/>
  <c r="L154" i="5"/>
  <c r="L99" i="5"/>
  <c r="H104" i="5"/>
  <c r="U38" i="8"/>
  <c r="H154" i="5"/>
  <c r="G21" i="13"/>
  <c r="H99" i="5"/>
  <c r="H36" i="6"/>
  <c r="AP58" i="16"/>
  <c r="AP60" i="16" s="1"/>
  <c r="AP39" i="16"/>
  <c r="AP35" i="16"/>
  <c r="AY58" i="16"/>
  <c r="AY60" i="16" s="1"/>
  <c r="AY39" i="16"/>
  <c r="AY35" i="16"/>
  <c r="AS58" i="16"/>
  <c r="AS60" i="16" s="1"/>
  <c r="AS39" i="16"/>
  <c r="AS35" i="16"/>
  <c r="AG39" i="16"/>
  <c r="AG58" i="16"/>
  <c r="AG60" i="16" s="1"/>
  <c r="AG35" i="16"/>
  <c r="BE39" i="16"/>
  <c r="BE58" i="16"/>
  <c r="BE60" i="16" s="1"/>
  <c r="BE35" i="16"/>
  <c r="F13" i="6"/>
  <c r="F128" i="5"/>
  <c r="D4" i="11"/>
  <c r="D5" i="11" s="1"/>
  <c r="E18" i="6"/>
  <c r="O74" i="8"/>
  <c r="AV39" i="16"/>
  <c r="AV58" i="16"/>
  <c r="AV60" i="16" s="1"/>
  <c r="AV35" i="16"/>
  <c r="AA38" i="8"/>
  <c r="J154" i="5"/>
  <c r="J99" i="5"/>
  <c r="J104" i="5"/>
  <c r="X58" i="16"/>
  <c r="X60" i="16" s="1"/>
  <c r="X39" i="16"/>
  <c r="X35" i="16"/>
  <c r="N104" i="5"/>
  <c r="AM38" i="8"/>
  <c r="N154" i="5"/>
  <c r="I21" i="13"/>
  <c r="N99" i="5"/>
  <c r="AD38" i="8"/>
  <c r="K154" i="5"/>
  <c r="K99" i="5"/>
  <c r="K104" i="5"/>
  <c r="S36" i="6"/>
  <c r="P104" i="5"/>
  <c r="P154" i="5"/>
  <c r="P99" i="5"/>
  <c r="J36" i="6"/>
  <c r="S99" i="5"/>
  <c r="S154" i="5"/>
  <c r="J21" i="13"/>
  <c r="S104" i="5"/>
  <c r="R58" i="16"/>
  <c r="R60" i="16" s="1"/>
  <c r="R39" i="16"/>
  <c r="R35" i="16"/>
  <c r="M104" i="5"/>
  <c r="M154" i="5"/>
  <c r="AJ38" i="8"/>
  <c r="M99" i="5"/>
  <c r="AD39" i="16"/>
  <c r="AD58" i="16"/>
  <c r="AD60" i="16" s="1"/>
  <c r="AD35" i="16"/>
  <c r="BB58" i="16"/>
  <c r="BB60" i="16" s="1"/>
  <c r="BB39" i="16"/>
  <c r="BB35" i="16"/>
  <c r="I36" i="6"/>
  <c r="AJ39" i="16"/>
  <c r="AJ58" i="16"/>
  <c r="AJ60" i="16" s="1"/>
  <c r="AJ35" i="16"/>
  <c r="F104" i="5"/>
  <c r="O38" i="8"/>
  <c r="F154" i="5"/>
  <c r="E21" i="13"/>
  <c r="F99" i="5"/>
  <c r="R104" i="5"/>
  <c r="R154" i="5"/>
  <c r="R99" i="5"/>
  <c r="AM58" i="16"/>
  <c r="AM60" i="16" s="1"/>
  <c r="AM39" i="16"/>
  <c r="AM35" i="16"/>
  <c r="I104" i="5"/>
  <c r="X38" i="8"/>
  <c r="I154" i="5"/>
  <c r="H21" i="13"/>
  <c r="I99" i="5"/>
  <c r="L36" i="6"/>
  <c r="AQ393" i="15"/>
  <c r="BE43" i="16" l="1"/>
  <c r="BE44" i="16" s="1"/>
  <c r="BE40" i="16"/>
  <c r="AY43" i="16"/>
  <c r="AY44" i="16" s="1"/>
  <c r="AY40" i="16"/>
  <c r="AA43" i="16"/>
  <c r="AA44" i="16" s="1"/>
  <c r="AA40" i="16"/>
  <c r="I135" i="5"/>
  <c r="X83" i="8" s="1"/>
  <c r="H9" i="13"/>
  <c r="H6" i="13" s="1"/>
  <c r="I101" i="5"/>
  <c r="I134" i="5"/>
  <c r="R43" i="16"/>
  <c r="R44" i="16" s="1"/>
  <c r="R40" i="16"/>
  <c r="K135" i="5"/>
  <c r="AD83" i="8" s="1"/>
  <c r="K101" i="5"/>
  <c r="K134" i="5"/>
  <c r="U42" i="8"/>
  <c r="H12" i="10" s="1"/>
  <c r="U71" i="8"/>
  <c r="U119" i="8" s="1"/>
  <c r="H11" i="10"/>
  <c r="U82" i="8"/>
  <c r="O71" i="8"/>
  <c r="O119" i="8" s="1"/>
  <c r="F11" i="10"/>
  <c r="O82" i="8"/>
  <c r="O42" i="8"/>
  <c r="R101" i="5"/>
  <c r="R135" i="5"/>
  <c r="R134" i="5"/>
  <c r="X43" i="16"/>
  <c r="X44" i="16" s="1"/>
  <c r="X40" i="16"/>
  <c r="AV43" i="16"/>
  <c r="AV44" i="16" s="1"/>
  <c r="AV40" i="16"/>
  <c r="O135" i="5"/>
  <c r="O101" i="5"/>
  <c r="O134" i="5"/>
  <c r="AD43" i="16"/>
  <c r="AD44" i="16" s="1"/>
  <c r="AD40" i="16"/>
  <c r="AD82" i="8"/>
  <c r="AD71" i="8"/>
  <c r="AD119" i="8" s="1"/>
  <c r="K11" i="10"/>
  <c r="AD42" i="8"/>
  <c r="K12" i="10" s="1"/>
  <c r="O81" i="8"/>
  <c r="O80" i="8"/>
  <c r="AG43" i="16"/>
  <c r="AG44" i="16" s="1"/>
  <c r="AG40" i="16"/>
  <c r="AP43" i="16"/>
  <c r="AP44" i="16" s="1"/>
  <c r="AP40" i="16"/>
  <c r="L135" i="5"/>
  <c r="AG83" i="8" s="1"/>
  <c r="L101" i="5"/>
  <c r="L134" i="5"/>
  <c r="I11" i="10"/>
  <c r="X71" i="8"/>
  <c r="X119" i="8" s="1"/>
  <c r="X82" i="8"/>
  <c r="X42" i="8"/>
  <c r="I12" i="10" s="1"/>
  <c r="S135" i="5"/>
  <c r="J9" i="13"/>
  <c r="J6" i="13" s="1"/>
  <c r="S101" i="5"/>
  <c r="S134" i="5"/>
  <c r="E9" i="13"/>
  <c r="E6" i="13" s="1"/>
  <c r="F135" i="5"/>
  <c r="O83" i="8" s="1"/>
  <c r="F134" i="5"/>
  <c r="F101" i="5"/>
  <c r="AJ71" i="8"/>
  <c r="AJ119" i="8" s="1"/>
  <c r="M11" i="10"/>
  <c r="AJ42" i="8"/>
  <c r="M12" i="10" s="1"/>
  <c r="AJ82" i="8"/>
  <c r="J135" i="5"/>
  <c r="AA83" i="8" s="1"/>
  <c r="J101" i="5"/>
  <c r="J134" i="5"/>
  <c r="AS43" i="16"/>
  <c r="AS44" i="16" s="1"/>
  <c r="AS40" i="16"/>
  <c r="L11" i="10"/>
  <c r="AG71" i="8"/>
  <c r="AG119" i="8" s="1"/>
  <c r="AG42" i="8"/>
  <c r="L12" i="10" s="1"/>
  <c r="AG82" i="8"/>
  <c r="Q135" i="5"/>
  <c r="Q101" i="5"/>
  <c r="Q134" i="5"/>
  <c r="M135" i="5"/>
  <c r="AJ83" i="8" s="1"/>
  <c r="M101" i="5"/>
  <c r="M134" i="5"/>
  <c r="P135" i="5"/>
  <c r="P101" i="5"/>
  <c r="P134" i="5"/>
  <c r="F132" i="5"/>
  <c r="F133" i="5"/>
  <c r="F129" i="5"/>
  <c r="E17" i="13"/>
  <c r="E18" i="13" s="1"/>
  <c r="R33" i="16"/>
  <c r="R48" i="16" s="1"/>
  <c r="G166" i="5"/>
  <c r="H101" i="5"/>
  <c r="H135" i="5"/>
  <c r="U83" i="8" s="1"/>
  <c r="G9" i="13"/>
  <c r="G6" i="13" s="1"/>
  <c r="H134" i="5"/>
  <c r="AJ43" i="16"/>
  <c r="AJ44" i="16" s="1"/>
  <c r="AJ40" i="16"/>
  <c r="N135" i="5"/>
  <c r="AM83" i="8" s="1"/>
  <c r="I9" i="13"/>
  <c r="I6" i="13" s="1"/>
  <c r="N101" i="5"/>
  <c r="N134" i="5"/>
  <c r="AM43" i="16"/>
  <c r="AM44" i="16" s="1"/>
  <c r="AM40" i="16"/>
  <c r="BB43" i="16"/>
  <c r="BB44" i="16" s="1"/>
  <c r="BB40" i="16"/>
  <c r="AM71" i="8"/>
  <c r="AM119" i="8" s="1"/>
  <c r="N11" i="10"/>
  <c r="AM42" i="8"/>
  <c r="N12" i="10" s="1"/>
  <c r="AM82" i="8"/>
  <c r="AA71" i="8"/>
  <c r="AA119" i="8" s="1"/>
  <c r="J11" i="10"/>
  <c r="AA82" i="8"/>
  <c r="AA42" i="8"/>
  <c r="J12" i="10" s="1"/>
  <c r="R69" i="8"/>
  <c r="F17" i="6"/>
  <c r="E4" i="11" l="1"/>
  <c r="E5" i="11" s="1"/>
  <c r="R74" i="8"/>
  <c r="G13" i="6"/>
  <c r="G128" i="5"/>
  <c r="F18" i="6"/>
  <c r="AL166" i="5"/>
  <c r="C166" i="5" s="1"/>
  <c r="B166" i="5"/>
  <c r="O150" i="5"/>
  <c r="O153" i="5"/>
  <c r="O156" i="5" s="1"/>
  <c r="R150" i="5"/>
  <c r="R153" i="5"/>
  <c r="R156" i="5" s="1"/>
  <c r="R53" i="16"/>
  <c r="R54" i="16" s="1"/>
  <c r="R49" i="16"/>
  <c r="S150" i="5"/>
  <c r="J12" i="13" s="1"/>
  <c r="J10" i="13"/>
  <c r="J20" i="13" s="1"/>
  <c r="J23" i="13" s="1"/>
  <c r="S153" i="5"/>
  <c r="S156" i="5" s="1"/>
  <c r="L150" i="5"/>
  <c r="AG116" i="8" s="1"/>
  <c r="L153" i="5"/>
  <c r="F12" i="10"/>
  <c r="U43" i="8"/>
  <c r="X43" i="8"/>
  <c r="AA43" i="8"/>
  <c r="AD43" i="8"/>
  <c r="AG43" i="8"/>
  <c r="AJ43" i="8"/>
  <c r="O43" i="8"/>
  <c r="AM43" i="8"/>
  <c r="R43" i="8"/>
  <c r="K153" i="5"/>
  <c r="K150" i="5"/>
  <c r="AD116" i="8" s="1"/>
  <c r="M153" i="5"/>
  <c r="M150" i="5"/>
  <c r="AJ116" i="8" s="1"/>
  <c r="E16" i="13"/>
  <c r="F130" i="5"/>
  <c r="F153" i="5"/>
  <c r="E10" i="13"/>
  <c r="F150" i="5"/>
  <c r="G103" i="5"/>
  <c r="K102" i="5"/>
  <c r="O103" i="5"/>
  <c r="S103" i="5"/>
  <c r="H102" i="5"/>
  <c r="L102" i="5"/>
  <c r="P103" i="5"/>
  <c r="H103" i="5"/>
  <c r="L103" i="5"/>
  <c r="P102" i="5"/>
  <c r="I102" i="5"/>
  <c r="M103" i="5"/>
  <c r="Q102" i="5"/>
  <c r="I103" i="5"/>
  <c r="M102" i="5"/>
  <c r="Q103" i="5"/>
  <c r="F102" i="5"/>
  <c r="J102" i="5"/>
  <c r="N102" i="5"/>
  <c r="R103" i="5"/>
  <c r="J103" i="5"/>
  <c r="F103" i="5"/>
  <c r="N103" i="5"/>
  <c r="R102" i="5"/>
  <c r="G102" i="5"/>
  <c r="K103" i="5"/>
  <c r="O102" i="5"/>
  <c r="S102" i="5"/>
  <c r="Q150" i="5"/>
  <c r="Q153" i="5"/>
  <c r="Q156" i="5" s="1"/>
  <c r="J150" i="5"/>
  <c r="AA116" i="8" s="1"/>
  <c r="J153" i="5"/>
  <c r="N150" i="5"/>
  <c r="I10" i="13"/>
  <c r="I20" i="13" s="1"/>
  <c r="I23" i="13" s="1"/>
  <c r="N153" i="5"/>
  <c r="H150" i="5"/>
  <c r="H153" i="5"/>
  <c r="G10" i="13"/>
  <c r="G20" i="13" s="1"/>
  <c r="G23" i="13" s="1"/>
  <c r="P153" i="5"/>
  <c r="P156" i="5" s="1"/>
  <c r="P150" i="5"/>
  <c r="I150" i="5"/>
  <c r="I153" i="5"/>
  <c r="H10" i="13"/>
  <c r="H20" i="13" s="1"/>
  <c r="H23" i="13" s="1"/>
  <c r="M156" i="5" l="1"/>
  <c r="AJ111" i="8"/>
  <c r="O116" i="8"/>
  <c r="E12" i="13"/>
  <c r="K156" i="5"/>
  <c r="AD111" i="8"/>
  <c r="N156" i="5"/>
  <c r="AM111" i="8"/>
  <c r="E20" i="13"/>
  <c r="E23" i="13" s="1"/>
  <c r="S4" i="13"/>
  <c r="U33" i="16"/>
  <c r="U48" i="16" s="1"/>
  <c r="G132" i="5"/>
  <c r="G133" i="5"/>
  <c r="F17" i="13"/>
  <c r="F18" i="13" s="1"/>
  <c r="G129" i="5"/>
  <c r="H167" i="5"/>
  <c r="I156" i="5"/>
  <c r="X111" i="8"/>
  <c r="F156" i="5"/>
  <c r="O111" i="8"/>
  <c r="U69" i="8"/>
  <c r="G17" i="6"/>
  <c r="H156" i="5"/>
  <c r="U111" i="8"/>
  <c r="U116" i="8"/>
  <c r="G12" i="13"/>
  <c r="X116" i="8"/>
  <c r="H12" i="13"/>
  <c r="AM116" i="8"/>
  <c r="I12" i="13"/>
  <c r="L156" i="5"/>
  <c r="AG111" i="8"/>
  <c r="R81" i="8"/>
  <c r="R80" i="8"/>
  <c r="J156" i="5"/>
  <c r="AA111" i="8"/>
  <c r="F16" i="13" l="1"/>
  <c r="G130" i="5"/>
  <c r="H128" i="5"/>
  <c r="H13" i="6"/>
  <c r="F4" i="11"/>
  <c r="F5" i="11" s="1"/>
  <c r="G18" i="6"/>
  <c r="U74" i="8"/>
  <c r="AD112" i="8"/>
  <c r="AD118" i="8"/>
  <c r="AD121" i="8" s="1"/>
  <c r="AA118" i="8"/>
  <c r="AA121" i="8" s="1"/>
  <c r="AA112" i="8"/>
  <c r="O118" i="8"/>
  <c r="O121" i="8" s="1"/>
  <c r="O112" i="8"/>
  <c r="I157" i="5"/>
  <c r="I158" i="5" s="1"/>
  <c r="Q157" i="5"/>
  <c r="Q158" i="5" s="1"/>
  <c r="N157" i="5"/>
  <c r="N158" i="5" s="1"/>
  <c r="J157" i="5"/>
  <c r="J158" i="5" s="1"/>
  <c r="R157" i="5"/>
  <c r="R158" i="5" s="1"/>
  <c r="G157" i="5"/>
  <c r="G158" i="5" s="1"/>
  <c r="K157" i="5"/>
  <c r="K158" i="5" s="1"/>
  <c r="S157" i="5"/>
  <c r="S158" i="5" s="1"/>
  <c r="M157" i="5"/>
  <c r="M158" i="5" s="1"/>
  <c r="L157" i="5"/>
  <c r="L158" i="5" s="1"/>
  <c r="F157" i="5"/>
  <c r="F158" i="5" s="1"/>
  <c r="O157" i="5"/>
  <c r="O158" i="5" s="1"/>
  <c r="H157" i="5"/>
  <c r="H158" i="5" s="1"/>
  <c r="P157" i="5"/>
  <c r="P158" i="5" s="1"/>
  <c r="U53" i="16"/>
  <c r="U54" i="16" s="1"/>
  <c r="U49" i="16"/>
  <c r="X118" i="8"/>
  <c r="X121" i="8" s="1"/>
  <c r="X112" i="8"/>
  <c r="AJ118" i="8"/>
  <c r="AJ121" i="8" s="1"/>
  <c r="AJ112" i="8"/>
  <c r="AG112" i="8"/>
  <c r="AG118" i="8"/>
  <c r="AG121" i="8" s="1"/>
  <c r="U118" i="8"/>
  <c r="U121" i="8" s="1"/>
  <c r="U112" i="8"/>
  <c r="B167" i="5"/>
  <c r="AL167" i="5"/>
  <c r="C167" i="5" s="1"/>
  <c r="AM118" i="8"/>
  <c r="AM121" i="8" s="1"/>
  <c r="AM112" i="8"/>
  <c r="AM122" i="8" l="1"/>
  <c r="AM123" i="8"/>
  <c r="AJ123" i="8"/>
  <c r="AJ122" i="8"/>
  <c r="U81" i="8"/>
  <c r="U80" i="8"/>
  <c r="X123" i="8"/>
  <c r="X122" i="8"/>
  <c r="U123" i="8"/>
  <c r="U122" i="8"/>
  <c r="O122" i="8"/>
  <c r="O123" i="8"/>
  <c r="X69" i="8"/>
  <c r="H17" i="6"/>
  <c r="X33" i="16"/>
  <c r="X48" i="16" s="1"/>
  <c r="H132" i="5"/>
  <c r="H133" i="5"/>
  <c r="G17" i="13"/>
  <c r="G18" i="13" s="1"/>
  <c r="H129" i="5"/>
  <c r="I168" i="5"/>
  <c r="AG122" i="8"/>
  <c r="AG123" i="8"/>
  <c r="AA122" i="8"/>
  <c r="AA123" i="8"/>
  <c r="AD122" i="8"/>
  <c r="AD123" i="8"/>
  <c r="X49" i="16" l="1"/>
  <c r="X53" i="16"/>
  <c r="X54" i="16" s="1"/>
  <c r="X74" i="8"/>
  <c r="I13" i="6"/>
  <c r="I128" i="5"/>
  <c r="G4" i="11"/>
  <c r="G5" i="11" s="1"/>
  <c r="H18" i="6"/>
  <c r="B168" i="5"/>
  <c r="AL168" i="5"/>
  <c r="C168" i="5" s="1"/>
  <c r="G16" i="13"/>
  <c r="H130" i="5"/>
  <c r="AA33" i="16" l="1"/>
  <c r="AA48" i="16" s="1"/>
  <c r="I132" i="5"/>
  <c r="I133" i="5"/>
  <c r="H17" i="13"/>
  <c r="H18" i="13" s="1"/>
  <c r="I129" i="5"/>
  <c r="J169" i="5"/>
  <c r="AA69" i="8"/>
  <c r="I17" i="6"/>
  <c r="X81" i="8"/>
  <c r="X80" i="8"/>
  <c r="AL169" i="5" l="1"/>
  <c r="C169" i="5" s="1"/>
  <c r="B169" i="5"/>
  <c r="H16" i="13"/>
  <c r="I130" i="5"/>
  <c r="AA74" i="8"/>
  <c r="J13" i="6"/>
  <c r="J128" i="5"/>
  <c r="H4" i="11"/>
  <c r="H5" i="11" s="1"/>
  <c r="I18" i="6"/>
  <c r="AA49" i="16"/>
  <c r="AA53" i="16"/>
  <c r="AA54" i="16" s="1"/>
  <c r="AA80" i="8" l="1"/>
  <c r="AA81" i="8"/>
  <c r="J132" i="5"/>
  <c r="J129" i="5"/>
  <c r="J130" i="5" s="1"/>
  <c r="J133" i="5"/>
  <c r="AD33" i="16"/>
  <c r="AD48" i="16" s="1"/>
  <c r="K170" i="5"/>
  <c r="J17" i="6"/>
  <c r="AD69" i="8"/>
  <c r="J18" i="6" l="1"/>
  <c r="AD74" i="8"/>
  <c r="K13" i="6"/>
  <c r="I4" i="11"/>
  <c r="I5" i="11" s="1"/>
  <c r="K128" i="5"/>
  <c r="AL170" i="5"/>
  <c r="C170" i="5" s="1"/>
  <c r="B170" i="5"/>
  <c r="AD49" i="16"/>
  <c r="AD53" i="16"/>
  <c r="AD54" i="16" s="1"/>
  <c r="K17" i="6" l="1"/>
  <c r="AG69" i="8"/>
  <c r="AD80" i="8"/>
  <c r="AD81" i="8"/>
  <c r="AG33" i="16"/>
  <c r="AG48" i="16" s="1"/>
  <c r="K132" i="5"/>
  <c r="K133" i="5"/>
  <c r="K129" i="5"/>
  <c r="K130" i="5" s="1"/>
  <c r="L171" i="5"/>
  <c r="AG53" i="16" l="1"/>
  <c r="AG54" i="16" s="1"/>
  <c r="AG49" i="16"/>
  <c r="AL171" i="5"/>
  <c r="C171" i="5" s="1"/>
  <c r="B171" i="5"/>
  <c r="AG74" i="8"/>
  <c r="L13" i="6"/>
  <c r="L128" i="5"/>
  <c r="J4" i="11"/>
  <c r="J5" i="11" s="1"/>
  <c r="K18" i="6"/>
  <c r="AJ33" i="16" l="1"/>
  <c r="AJ48" i="16" s="1"/>
  <c r="L132" i="5"/>
  <c r="L133" i="5"/>
  <c r="L129" i="5"/>
  <c r="L130" i="5" s="1"/>
  <c r="M172" i="5"/>
  <c r="AG80" i="8"/>
  <c r="AG81" i="8"/>
  <c r="AJ69" i="8"/>
  <c r="L17" i="6"/>
  <c r="B172" i="5" l="1"/>
  <c r="AL172" i="5"/>
  <c r="C172" i="5" s="1"/>
  <c r="L18" i="6"/>
  <c r="K4" i="11"/>
  <c r="K5" i="11" s="1"/>
  <c r="AJ74" i="8"/>
  <c r="M13" i="6"/>
  <c r="M128" i="5"/>
  <c r="AJ49" i="16"/>
  <c r="AJ53" i="16"/>
  <c r="AJ54" i="16" s="1"/>
  <c r="AJ81" i="8" l="1"/>
  <c r="AJ80" i="8"/>
  <c r="M132" i="5"/>
  <c r="M133" i="5"/>
  <c r="M129" i="5"/>
  <c r="M130" i="5" s="1"/>
  <c r="AM33" i="16"/>
  <c r="AM48" i="16" s="1"/>
  <c r="N173" i="5"/>
  <c r="M17" i="6"/>
  <c r="AM69" i="8"/>
  <c r="N13" i="6" l="1"/>
  <c r="N17" i="6" s="1"/>
  <c r="N128" i="5"/>
  <c r="L4" i="11"/>
  <c r="L5" i="11" s="1"/>
  <c r="M18" i="6"/>
  <c r="AM74" i="8"/>
  <c r="B173" i="5"/>
  <c r="AL173" i="5"/>
  <c r="C173" i="5" s="1"/>
  <c r="AM53" i="16"/>
  <c r="AM54" i="16" s="1"/>
  <c r="AM49" i="16"/>
  <c r="AM80" i="8" l="1"/>
  <c r="AM81" i="8"/>
  <c r="AP33" i="16"/>
  <c r="AP48" i="16" s="1"/>
  <c r="N132" i="5"/>
  <c r="N133" i="5"/>
  <c r="I17" i="13"/>
  <c r="I18" i="13" s="1"/>
  <c r="N129" i="5"/>
  <c r="O174" i="5"/>
  <c r="O128" i="5"/>
  <c r="M4" i="11"/>
  <c r="M5" i="11" s="1"/>
  <c r="N18" i="6"/>
  <c r="O13" i="6"/>
  <c r="O17" i="6" s="1"/>
  <c r="B174" i="5" l="1"/>
  <c r="AL174" i="5"/>
  <c r="C174" i="5" s="1"/>
  <c r="I16" i="13"/>
  <c r="N130" i="5"/>
  <c r="P13" i="6"/>
  <c r="P17" i="6" s="1"/>
  <c r="P128" i="5"/>
  <c r="N4" i="11"/>
  <c r="N5" i="11" s="1"/>
  <c r="O18" i="6"/>
  <c r="AP53" i="16"/>
  <c r="AP54" i="16" s="1"/>
  <c r="AP49" i="16"/>
  <c r="AS33" i="16"/>
  <c r="AS48" i="16" s="1"/>
  <c r="O132" i="5"/>
  <c r="O133" i="5"/>
  <c r="O129" i="5"/>
  <c r="O130" i="5" s="1"/>
  <c r="P175" i="5"/>
  <c r="AL175" i="5" l="1"/>
  <c r="C175" i="5" s="1"/>
  <c r="B175" i="5"/>
  <c r="AV33" i="16"/>
  <c r="AV48" i="16" s="1"/>
  <c r="P132" i="5"/>
  <c r="P133" i="5"/>
  <c r="P129" i="5"/>
  <c r="P130" i="5" s="1"/>
  <c r="Q176" i="5"/>
  <c r="Q13" i="6"/>
  <c r="Q17" i="6" s="1"/>
  <c r="Q128" i="5"/>
  <c r="O4" i="11"/>
  <c r="O5" i="11" s="1"/>
  <c r="P18" i="6"/>
  <c r="AS49" i="16"/>
  <c r="AS53" i="16"/>
  <c r="AS54" i="16" s="1"/>
  <c r="R13" i="6" l="1"/>
  <c r="R17" i="6" s="1"/>
  <c r="R128" i="5"/>
  <c r="P4" i="11"/>
  <c r="P5" i="11" s="1"/>
  <c r="Q18" i="6"/>
  <c r="B176" i="5"/>
  <c r="AL176" i="5"/>
  <c r="C176" i="5" s="1"/>
  <c r="AV49" i="16"/>
  <c r="AV53" i="16"/>
  <c r="AV54" i="16" s="1"/>
  <c r="AY33" i="16"/>
  <c r="AY48" i="16" s="1"/>
  <c r="Q132" i="5"/>
  <c r="Q133" i="5"/>
  <c r="Q129" i="5"/>
  <c r="Q130" i="5" s="1"/>
  <c r="R177" i="5"/>
  <c r="B177" i="5" l="1"/>
  <c r="AL177" i="5"/>
  <c r="C177" i="5" s="1"/>
  <c r="R133" i="5"/>
  <c r="R132" i="5"/>
  <c r="R129" i="5"/>
  <c r="R130" i="5" s="1"/>
  <c r="BB33" i="16"/>
  <c r="BB48" i="16" s="1"/>
  <c r="S178" i="5"/>
  <c r="AY49" i="16"/>
  <c r="AY53" i="16"/>
  <c r="AY54" i="16" s="1"/>
  <c r="Q4" i="11"/>
  <c r="Q5" i="11" s="1"/>
  <c r="S13" i="6"/>
  <c r="S128" i="5"/>
  <c r="R18" i="6"/>
  <c r="AZ98" i="3" l="1"/>
  <c r="AZ107" i="3" s="1"/>
  <c r="AZ103" i="3"/>
  <c r="AL178" i="5"/>
  <c r="C178" i="5" s="1"/>
  <c r="B178" i="5"/>
  <c r="BB49" i="16"/>
  <c r="BB53" i="16"/>
  <c r="BB54" i="16" s="1"/>
  <c r="BE33" i="16"/>
  <c r="BE48" i="16" s="1"/>
  <c r="S132" i="5"/>
  <c r="S129" i="5"/>
  <c r="S133" i="5"/>
  <c r="J17" i="13"/>
  <c r="J18" i="13" s="1"/>
  <c r="T179" i="5"/>
  <c r="AZ105" i="3" l="1"/>
  <c r="BE103" i="3" s="1"/>
  <c r="BE53" i="16"/>
  <c r="BE54" i="16" s="1"/>
  <c r="BE49" i="16"/>
  <c r="AL179" i="5"/>
  <c r="C179" i="5" s="1"/>
  <c r="B179" i="5"/>
  <c r="J16" i="13"/>
  <c r="S130" i="5"/>
  <c r="AZ100" i="3" l="1"/>
  <c r="BE104" i="3"/>
  <c r="BE105" i="3" s="1"/>
  <c r="S15" i="6"/>
  <c r="AR9" i="8"/>
  <c r="AF27" i="12"/>
  <c r="AF9" i="8"/>
  <c r="AF12" i="8" s="1"/>
  <c r="AZ101" i="3" l="1"/>
  <c r="T94" i="5"/>
  <c r="T99" i="5" s="1"/>
  <c r="C15" i="6"/>
  <c r="C22" i="10" s="1"/>
  <c r="S17" i="6"/>
  <c r="S18" i="6" s="1"/>
  <c r="BE99" i="3" l="1"/>
  <c r="BE98" i="3"/>
  <c r="BE100" i="3"/>
  <c r="T135" i="5"/>
  <c r="T101" i="5"/>
  <c r="T134" i="5"/>
  <c r="AR11" i="8"/>
  <c r="AR12" i="8" s="1"/>
  <c r="AM10" i="15"/>
  <c r="R4" i="11"/>
  <c r="R5" i="11" s="1"/>
  <c r="T13" i="6"/>
  <c r="T17" i="6" s="1"/>
  <c r="T128" i="5"/>
  <c r="BE101" i="3" l="1"/>
  <c r="T132" i="5"/>
  <c r="T133" i="5"/>
  <c r="T129" i="5"/>
  <c r="T130" i="5" s="1"/>
  <c r="O81" i="16"/>
  <c r="O96" i="16" s="1"/>
  <c r="U180" i="5"/>
  <c r="T150" i="5"/>
  <c r="T153" i="5"/>
  <c r="T156" i="5" s="1"/>
  <c r="T103" i="5"/>
  <c r="U102" i="5"/>
  <c r="V103" i="5"/>
  <c r="AA103" i="5"/>
  <c r="W102" i="5"/>
  <c r="T102" i="5"/>
  <c r="X103" i="5"/>
  <c r="U103" i="5"/>
  <c r="Y103" i="5"/>
  <c r="Z102" i="5"/>
  <c r="AE102" i="5"/>
  <c r="AA102" i="5"/>
  <c r="X102" i="5"/>
  <c r="AQ43" i="8" s="1"/>
  <c r="AB103" i="5"/>
  <c r="Y102" i="5"/>
  <c r="AC103" i="5"/>
  <c r="AD103" i="5"/>
  <c r="AD102" i="5"/>
  <c r="AG103" i="5"/>
  <c r="AH103" i="5"/>
  <c r="AE103" i="5"/>
  <c r="AB102" i="5"/>
  <c r="AF103" i="5"/>
  <c r="AC102" i="5"/>
  <c r="AG102" i="5"/>
  <c r="AH102" i="5"/>
  <c r="AU43" i="8" s="1"/>
  <c r="Z103" i="5"/>
  <c r="V102" i="5"/>
  <c r="AF102" i="5"/>
  <c r="W103" i="5"/>
  <c r="U13" i="6"/>
  <c r="U17" i="6" s="1"/>
  <c r="S4" i="11"/>
  <c r="S5" i="11" s="1"/>
  <c r="U128" i="5"/>
  <c r="T18" i="6"/>
  <c r="R81" i="16" l="1"/>
  <c r="R96" i="16" s="1"/>
  <c r="U132" i="5"/>
  <c r="U129" i="5"/>
  <c r="U130" i="5" s="1"/>
  <c r="U133" i="5"/>
  <c r="V181" i="5"/>
  <c r="AL180" i="5"/>
  <c r="C180" i="5" s="1"/>
  <c r="B180" i="5"/>
  <c r="T4" i="11"/>
  <c r="T5" i="11" s="1"/>
  <c r="V13" i="6"/>
  <c r="V17" i="6" s="1"/>
  <c r="V128" i="5"/>
  <c r="U18" i="6"/>
  <c r="O101" i="16"/>
  <c r="O102" i="16" s="1"/>
  <c r="O97" i="16"/>
  <c r="AQ17" i="8"/>
  <c r="AG157" i="5"/>
  <c r="AG158" i="5" s="1"/>
  <c r="U157" i="5"/>
  <c r="U158" i="5" s="1"/>
  <c r="V157" i="5"/>
  <c r="V158" i="5" s="1"/>
  <c r="X157" i="5"/>
  <c r="X158" i="5" s="1"/>
  <c r="AD157" i="5"/>
  <c r="AD158" i="5" s="1"/>
  <c r="W157" i="5"/>
  <c r="W158" i="5" s="1"/>
  <c r="AF157" i="5"/>
  <c r="AF158" i="5" s="1"/>
  <c r="AA157" i="5"/>
  <c r="AA158" i="5" s="1"/>
  <c r="T157" i="5"/>
  <c r="T158" i="5" s="1"/>
  <c r="Z157" i="5"/>
  <c r="Z158" i="5" s="1"/>
  <c r="AB157" i="5"/>
  <c r="AB158" i="5" s="1"/>
  <c r="AH157" i="5"/>
  <c r="AH158" i="5" s="1"/>
  <c r="Y157" i="5"/>
  <c r="Y158" i="5" s="1"/>
  <c r="AC157" i="5"/>
  <c r="AC158" i="5" s="1"/>
  <c r="AE157" i="5"/>
  <c r="AE158" i="5" s="1"/>
  <c r="AL181" i="5" l="1"/>
  <c r="C181" i="5" s="1"/>
  <c r="B181" i="5"/>
  <c r="V132" i="5"/>
  <c r="V133" i="5"/>
  <c r="V129" i="5"/>
  <c r="V130" i="5" s="1"/>
  <c r="U81" i="16"/>
  <c r="U96" i="16" s="1"/>
  <c r="W182" i="5"/>
  <c r="U4" i="11"/>
  <c r="U5" i="11" s="1"/>
  <c r="W13" i="6"/>
  <c r="W128" i="5"/>
  <c r="V18" i="6"/>
  <c r="R101" i="16"/>
  <c r="R102" i="16" s="1"/>
  <c r="R97" i="16"/>
  <c r="AL182" i="5" l="1"/>
  <c r="C182" i="5" s="1"/>
  <c r="B182" i="5"/>
  <c r="U101" i="16"/>
  <c r="U102" i="16" s="1"/>
  <c r="U97" i="16"/>
  <c r="X81" i="16"/>
  <c r="X96" i="16" s="1"/>
  <c r="W132" i="5"/>
  <c r="W133" i="5"/>
  <c r="W129" i="5"/>
  <c r="W130" i="5" s="1"/>
  <c r="X183" i="5"/>
  <c r="W17" i="6"/>
  <c r="AQ69" i="8"/>
  <c r="X101" i="16" l="1"/>
  <c r="X102" i="16" s="1"/>
  <c r="X97" i="16"/>
  <c r="V4" i="11"/>
  <c r="V5" i="11" s="1"/>
  <c r="X13" i="6"/>
  <c r="X17" i="6" s="1"/>
  <c r="X128" i="5"/>
  <c r="AQ74" i="8"/>
  <c r="W18" i="6"/>
  <c r="B183" i="5"/>
  <c r="AL183" i="5"/>
  <c r="C183" i="5" s="1"/>
  <c r="AQ81" i="8" l="1"/>
  <c r="AQ80" i="8"/>
  <c r="Y128" i="5"/>
  <c r="W4" i="11"/>
  <c r="W5" i="11" s="1"/>
  <c r="Y13" i="6"/>
  <c r="Y17" i="6" s="1"/>
  <c r="X18" i="6"/>
  <c r="X133" i="5"/>
  <c r="K17" i="13"/>
  <c r="K18" i="13" s="1"/>
  <c r="AA81" i="16"/>
  <c r="AA96" i="16" s="1"/>
  <c r="X132" i="5"/>
  <c r="X129" i="5"/>
  <c r="Y184" i="5"/>
  <c r="Z13" i="6" l="1"/>
  <c r="Z17" i="6" s="1"/>
  <c r="Z128" i="5"/>
  <c r="X4" i="11"/>
  <c r="X5" i="11" s="1"/>
  <c r="Y18" i="6"/>
  <c r="B184" i="5"/>
  <c r="AL184" i="5"/>
  <c r="C184" i="5" s="1"/>
  <c r="K16" i="13"/>
  <c r="X130" i="5"/>
  <c r="Y132" i="5"/>
  <c r="Y133" i="5"/>
  <c r="Y129" i="5"/>
  <c r="Y130" i="5" s="1"/>
  <c r="AD81" i="16"/>
  <c r="AD96" i="16" s="1"/>
  <c r="Z185" i="5"/>
  <c r="AA101" i="16"/>
  <c r="AA102" i="16" s="1"/>
  <c r="AA97" i="16"/>
  <c r="B185" i="5" l="1"/>
  <c r="AL185" i="5"/>
  <c r="C185" i="5" s="1"/>
  <c r="AD97" i="16"/>
  <c r="AD101" i="16"/>
  <c r="AD102" i="16" s="1"/>
  <c r="Z132" i="5"/>
  <c r="Z129" i="5"/>
  <c r="Z130" i="5" s="1"/>
  <c r="AG81" i="16"/>
  <c r="AG96" i="16" s="1"/>
  <c r="Z133" i="5"/>
  <c r="AA186" i="5"/>
  <c r="AA13" i="6"/>
  <c r="AA17" i="6" s="1"/>
  <c r="AA128" i="5"/>
  <c r="Y4" i="11"/>
  <c r="Y5" i="11" s="1"/>
  <c r="Z18" i="6"/>
  <c r="AG101" i="16" l="1"/>
  <c r="AG102" i="16" s="1"/>
  <c r="AG97" i="16"/>
  <c r="AA132" i="5"/>
  <c r="AA133" i="5"/>
  <c r="AA129" i="5"/>
  <c r="AA130" i="5" s="1"/>
  <c r="AJ81" i="16"/>
  <c r="AJ96" i="16" s="1"/>
  <c r="AB187" i="5"/>
  <c r="AB13" i="6"/>
  <c r="AB17" i="6" s="1"/>
  <c r="AB128" i="5"/>
  <c r="Z4" i="11"/>
  <c r="Z5" i="11" s="1"/>
  <c r="AA18" i="6"/>
  <c r="AL186" i="5"/>
  <c r="C186" i="5" s="1"/>
  <c r="B186" i="5"/>
  <c r="AC13" i="6" l="1"/>
  <c r="AC17" i="6" s="1"/>
  <c r="AC128" i="5"/>
  <c r="AA4" i="11"/>
  <c r="AA5" i="11" s="1"/>
  <c r="AB18" i="6"/>
  <c r="B187" i="5"/>
  <c r="AL187" i="5"/>
  <c r="C187" i="5" s="1"/>
  <c r="AJ97" i="16"/>
  <c r="AJ101" i="16"/>
  <c r="AJ102" i="16" s="1"/>
  <c r="AM81" i="16"/>
  <c r="AM96" i="16" s="1"/>
  <c r="AB132" i="5"/>
  <c r="AB133" i="5"/>
  <c r="AB129" i="5"/>
  <c r="AB130" i="5" s="1"/>
  <c r="AC188" i="5"/>
  <c r="B188" i="5" l="1"/>
  <c r="AL188" i="5"/>
  <c r="C188" i="5" s="1"/>
  <c r="AC133" i="5"/>
  <c r="AP81" i="16"/>
  <c r="AP96" i="16" s="1"/>
  <c r="AC132" i="5"/>
  <c r="AC129" i="5"/>
  <c r="AC130" i="5" s="1"/>
  <c r="AD189" i="5"/>
  <c r="AM101" i="16"/>
  <c r="AM102" i="16" s="1"/>
  <c r="AM97" i="16"/>
  <c r="AB4" i="11"/>
  <c r="AB5" i="11" s="1"/>
  <c r="AD13" i="6"/>
  <c r="AD17" i="6" s="1"/>
  <c r="AD128" i="5"/>
  <c r="AC18" i="6"/>
  <c r="B189" i="5" l="1"/>
  <c r="AL189" i="5"/>
  <c r="C189" i="5" s="1"/>
  <c r="AS81" i="16"/>
  <c r="AS96" i="16" s="1"/>
  <c r="AD133" i="5"/>
  <c r="AD132" i="5"/>
  <c r="AD129" i="5"/>
  <c r="AD130" i="5" s="1"/>
  <c r="AE190" i="5"/>
  <c r="AP97" i="16"/>
  <c r="AP101" i="16"/>
  <c r="AP102" i="16" s="1"/>
  <c r="AE13" i="6"/>
  <c r="AE17" i="6" s="1"/>
  <c r="AE128" i="5"/>
  <c r="AC4" i="11"/>
  <c r="AC5" i="11" s="1"/>
  <c r="AD18" i="6"/>
  <c r="B190" i="5" l="1"/>
  <c r="AL190" i="5"/>
  <c r="C190" i="5" s="1"/>
  <c r="AV81" i="16"/>
  <c r="AV96" i="16" s="1"/>
  <c r="AE132" i="5"/>
  <c r="AE133" i="5"/>
  <c r="AE129" i="5"/>
  <c r="AE130" i="5" s="1"/>
  <c r="AF191" i="5"/>
  <c r="AS101" i="16"/>
  <c r="AS102" i="16" s="1"/>
  <c r="AS97" i="16"/>
  <c r="AF13" i="6"/>
  <c r="AF17" i="6" s="1"/>
  <c r="AF128" i="5"/>
  <c r="AD4" i="11"/>
  <c r="AD5" i="11" s="1"/>
  <c r="AE18" i="6"/>
  <c r="AL191" i="5" l="1"/>
  <c r="C191" i="5" s="1"/>
  <c r="B191" i="5"/>
  <c r="AY81" i="16"/>
  <c r="AY96" i="16" s="1"/>
  <c r="AF132" i="5"/>
  <c r="AF133" i="5"/>
  <c r="AF129" i="5"/>
  <c r="AF130" i="5" s="1"/>
  <c r="AG192" i="5"/>
  <c r="AV97" i="16"/>
  <c r="AV101" i="16"/>
  <c r="AV102" i="16" s="1"/>
  <c r="AG128" i="5"/>
  <c r="AG13" i="6"/>
  <c r="AE4" i="11"/>
  <c r="AE5" i="11" s="1"/>
  <c r="AF18" i="6"/>
  <c r="B192" i="5" l="1"/>
  <c r="AL192" i="5"/>
  <c r="C192" i="5" s="1"/>
  <c r="AG17" i="6"/>
  <c r="AU69" i="8"/>
  <c r="AY97" i="16"/>
  <c r="AY101" i="16"/>
  <c r="AY102" i="16" s="1"/>
  <c r="BB81" i="16"/>
  <c r="BB96" i="16" s="1"/>
  <c r="AG132" i="5"/>
  <c r="AG133" i="5"/>
  <c r="AG129" i="5"/>
  <c r="AG130" i="5" s="1"/>
  <c r="AH193" i="5"/>
  <c r="BB101" i="16" l="1"/>
  <c r="BB102" i="16" s="1"/>
  <c r="BB97" i="16"/>
  <c r="B193" i="5"/>
  <c r="AL193" i="5"/>
  <c r="C193" i="5" s="1"/>
  <c r="AU74" i="8"/>
  <c r="AH13" i="6"/>
  <c r="AF4" i="11"/>
  <c r="AF5" i="11" s="1"/>
  <c r="AH128" i="5"/>
  <c r="AG18" i="6"/>
  <c r="BE81" i="16" l="1"/>
  <c r="BE96" i="16" s="1"/>
  <c r="AH133" i="5"/>
  <c r="L17" i="13"/>
  <c r="L18" i="13" s="1"/>
  <c r="AH132" i="5"/>
  <c r="AH129" i="5"/>
  <c r="AI194" i="5"/>
  <c r="AU81" i="8"/>
  <c r="AU80" i="8"/>
  <c r="AH16" i="6"/>
  <c r="L16" i="13" l="1"/>
  <c r="S5" i="13" s="1"/>
  <c r="AH130" i="5"/>
  <c r="C16" i="6"/>
  <c r="AI96" i="5"/>
  <c r="B194" i="5"/>
  <c r="C195" i="5" s="1"/>
  <c r="AE28" i="3" s="1"/>
  <c r="AL194" i="5"/>
  <c r="C194" i="5" s="1"/>
  <c r="AH17" i="6"/>
  <c r="BE101" i="16"/>
  <c r="BE102" i="16" s="1"/>
  <c r="BE97" i="16"/>
  <c r="AI104" i="5" l="1"/>
  <c r="AI154" i="5"/>
  <c r="AI99" i="5"/>
  <c r="C96" i="5"/>
  <c r="AI128" i="5"/>
  <c r="AG4" i="11"/>
  <c r="AG5" i="11" s="1"/>
  <c r="AH18" i="6"/>
  <c r="AI135" i="5" l="1"/>
  <c r="AI101" i="5"/>
  <c r="AI134" i="5"/>
  <c r="AI129" i="5"/>
  <c r="AI130" i="5" s="1"/>
  <c r="AI133" i="5"/>
  <c r="AI132" i="5"/>
  <c r="AI150" i="5" l="1"/>
  <c r="AI153" i="5"/>
  <c r="AI156" i="5" s="1"/>
  <c r="AI157" i="5" s="1"/>
  <c r="AI158" i="5" s="1"/>
  <c r="AI103" i="5"/>
  <c r="W3" i="5"/>
  <c r="AI102" i="5"/>
  <c r="U3" i="5"/>
  <c r="Y3" i="5"/>
  <c r="AA3" i="5"/>
  <c r="AG17" i="8" l="1"/>
  <c r="AC22" i="12"/>
  <c r="AQ256" i="3"/>
  <c r="AG15" i="8"/>
  <c r="B22" i="12"/>
  <c r="AA256" i="3"/>
  <c r="T22" i="12"/>
  <c r="AQ15" i="8"/>
  <c r="K22" i="12"/>
  <c r="AG16" i="8"/>
  <c r="AI256" i="3"/>
  <c r="BL5" i="3" s="1"/>
  <c r="BZ299" i="3" l="1"/>
  <c r="BZ281" i="3"/>
  <c r="BZ271" i="3"/>
  <c r="BH5" i="3"/>
  <c r="BZ291" i="3"/>
  <c r="B62" i="42" l="1"/>
  <c r="B64" i="43"/>
  <c r="A396" i="15"/>
  <c r="B19" i="49"/>
  <c r="B19" i="48"/>
  <c r="A19" i="51"/>
  <c r="L5" i="30"/>
  <c r="B308" i="3"/>
  <c r="A47" i="6"/>
  <c r="O1" i="21"/>
  <c r="A119" i="17"/>
  <c r="A110" i="16"/>
  <c r="A198" i="5"/>
  <c r="A142" i="8"/>
  <c r="B578" i="40"/>
  <c r="B19" i="50"/>
  <c r="A29" i="52"/>
  <c r="A45" i="27"/>
  <c r="A62" i="46"/>
  <c r="B386" i="31"/>
  <c r="A388" i="31"/>
  <c r="B229" i="41"/>
  <c r="B2" i="33"/>
  <c r="B69" i="33"/>
  <c r="B147" i="38"/>
  <c r="A113" i="25"/>
  <c r="A100" i="12"/>
  <c r="B58" i="44"/>
  <c r="A73" i="47"/>
  <c r="A64" i="45"/>
  <c r="I8" i="5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tc={85027D23-4C94-4786-B3B6-B5A7B86660AD}</author>
    <author>tc={14A9C25A-C39E-4753-8527-1F67C5B50918}</author>
    <author>tc={3E970034-8473-4D39-85B0-222A42F1996F}</author>
    <author>tc={63767646-3D68-4F37-BD64-4B5126ACCFC6}</author>
    <author>tc={131317C9-EA30-48CC-90CF-85CDECDAE29E}</author>
    <author>tc={52430442-6ECE-4471-819B-A8FDEE1D7439}</author>
    <author>tc={C84FB73C-FB47-4BFF-B796-B0485FF37E66}</author>
    <author>tc={CAD86C5B-AE0D-4709-A838-A4D79777055D}</author>
    <author>tc={CD816F25-6FE7-481A-8ADB-127C38BA7238}</author>
    <author>tc={3B1C552B-C8EF-40B3-9B78-57DE9BF7B4D0}</author>
  </authors>
  <commentList>
    <comment ref="AE21" authorId="0" shapeId="0" xr:uid="{85027D23-4C94-4786-B3B6-B5A7B86660AD}">
      <text>
        <t>[Threaded comment]
Your version of Excel allows you to read this threaded comment; however, any edits to it will get removed if the file is opened in a newer version of Excel. Learn more: https://go.microsoft.com/fwlink/?linkid=870924
Comment:
    This is the value entered in the ‘Book Keeping Ledger’ tab for your property ¯\_(ツ)_/¯ recommend reviewing annually from your area property assessor’s website as part of your tax process.</t>
      </text>
    </comment>
    <comment ref="D27" authorId="1" shapeId="0" xr:uid="{14A9C25A-C39E-4753-8527-1F67C5B50918}">
      <text>
        <t xml:space="preserve">[Threaded comment]
Your version of Excel allows you to read this threaded comment; however, any edits to it will get removed if the file is opened in a newer version of Excel. Learn more: https://go.microsoft.com/fwlink/?linkid=870924
Comment:
    Original Purchase Price (PP) from purchase_price_input from cell AE9 re-enter it here ¯\_(ツ)_/¯ </t>
      </text>
    </comment>
    <comment ref="L118" authorId="2" shapeId="0" xr:uid="{3E970034-8473-4D39-85B0-222A42F1996F}">
      <text>
        <t>[Threaded comment]
Your version of Excel allows you to read this threaded comment; however, any edits to it will get removed if the file is opened in a newer version of Excel. Learn more: https://go.microsoft.com/fwlink/?linkid=870924
Comment:
    $40 for Nampa, Idaho is a good start as of 20250831</t>
      </text>
    </comment>
    <comment ref="L119" authorId="3" shapeId="0" xr:uid="{63767646-3D68-4F37-BD64-4B5126ACCFC6}">
      <text>
        <t>[Threaded comment]
Your version of Excel allows you to read this threaded comment; however, any edits to it will get removed if the file is opened in a newer version of Excel. Learn more: https://go.microsoft.com/fwlink/?linkid=870924
Comment:
    I get 50% as of 20250831</t>
      </text>
    </comment>
    <comment ref="BD119" authorId="4" shapeId="0" xr:uid="{131317C9-EA30-48CC-90CF-85CDECDAE29E}">
      <text>
        <t>[Threaded comment]
Your version of Excel allows you to read this threaded comment; however, any edits to it will get removed if the file is opened in a newer version of Excel. Learn more: https://go.microsoft.com/fwlink/?linkid=870924
Comment:
    Update as your maintenance adjusts year over year</t>
      </text>
    </comment>
    <comment ref="I130" authorId="5" shapeId="0" xr:uid="{52430442-6ECE-4471-819B-A8FDEE1D7439}">
      <text>
        <t xml:space="preserve">[Threaded comment]
Your version of Excel allows you to read this threaded comment; however, any edits to it will get removed if the file is opened in a newer version of Excel. Learn more: https://go.microsoft.com/fwlink/?linkid=870924
Comment:
    Retirement(s), SSD, other investments, etc ¯\_(ツ)_/¯ </t>
      </text>
    </comment>
    <comment ref="AF134" authorId="6" shapeId="0" xr:uid="{C84FB73C-FB47-4BFF-B796-B0485FF37E66}">
      <text>
        <t xml:space="preserve">[Threaded comment]
Your version of Excel allows you to read this threaded comment; however, any edits to it will get removed if the file is opened in a newer version of Excel. Learn more: https://go.microsoft.com/fwlink/?linkid=870924
Comment:
    Look at your AirBnb for a past hosted guest. It’s 3% as of 20250831.  </t>
      </text>
    </comment>
    <comment ref="AF136" authorId="7" shapeId="0" xr:uid="{CAD86C5B-AE0D-4709-A838-A4D79777055D}">
      <text>
        <t>[Threaded comment]
Your version of Excel allows you to read this threaded comment; however, any edits to it will get removed if the file is opened in a newer version of Excel. Learn more: https://go.microsoft.com/fwlink/?linkid=870924
Comment:
    Track this on the actuals tab</t>
      </text>
    </comment>
    <comment ref="P137" authorId="8" shapeId="0" xr:uid="{CD816F25-6FE7-481A-8ADB-127C38BA7238}">
      <text>
        <t>[Threaded comment]
Your version of Excel allows you to read this threaded comment; however, any edits to it will get removed if the file is opened in a newer version of Excel. Learn more: https://go.microsoft.com/fwlink/?linkid=870924
Comment:
    I take (the daily rate of 1 additional guest) / (the daily rate of 1st guest) Example: $50/$40 = 1.3% as of 20250831</t>
      </text>
    </comment>
    <comment ref="P138" authorId="9" shapeId="0" xr:uid="{3B1C552B-C8EF-40B3-9B78-57DE9BF7B4D0}">
      <text>
        <t>[Threaded comment]
Your version of Excel allows you to read this threaded comment; however, any edits to it will get removed if the file is opened in a newer version of Excel. Learn more: https://go.microsoft.com/fwlink/?linkid=870924
Comment:
    I use the Appreciation Above Inflation in cell AZ13</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tc={C59057AD-4924-4635-B8E1-61FD78CDD76E}</author>
    <author>tc={F5D6DE0A-E71A-4DB1-A059-F271166EAA98}</author>
  </authors>
  <commentList>
    <comment ref="D1" authorId="0" shapeId="0" xr:uid="{C59057AD-4924-4635-B8E1-61FD78CDD76E}">
      <text>
        <t xml:space="preserve">[Threaded comment]
Your version of Excel allows you to read this threaded comment; however, any edits to it will get removed if the file is opened in a newer version of Excel. Learn more: https://go.microsoft.com/fwlink/?linkid=870924
Comment:
    Over time, this dials in an even more accurate market average; I recommend adding your numbers monthly or quarterly ¯\_(ツ)_/¯ </t>
      </text>
    </comment>
    <comment ref="G5" authorId="1" shapeId="0" xr:uid="{F5D6DE0A-E71A-4DB1-A059-F271166EAA98}">
      <text>
        <t xml:space="preserve">[Threaded comment]
Your version of Excel allows you to read this threaded comment; however, any edits to it will get removed if the file is opened in a newer version of Excel. Learn more: https://go.microsoft.com/fwlink/?linkid=870924
Comment:
    I used the AirBnb as a guest looking for one room near my zip code; just plug in up to 1,000 market comparisons to get your average, min, and max to plug into your listing as an AirBnb Host ¯\_(ツ)_/¯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tc={ABEEDC97-E7D3-468F-813A-AD05DBEA403C}</author>
    <author>tc={BFA22068-8ED7-4981-8FF4-C3CF0D4FDDC6}</author>
    <author>tc={DD70A1C0-BE8F-4808-A70C-638D7A0FA34D}</author>
    <author>tc={68832E7B-21EA-4B5C-A5E8-FB796D764749}</author>
    <author>tc={EE010A5D-59D9-45DC-9267-AAE0A7B87B65}</author>
    <author>tc={77BF3739-B952-41FB-9886-9A1FF3849B84}</author>
    <author>tc={BE628725-BA10-40CF-8A18-53DB6ADA975C}</author>
  </authors>
  <commentList>
    <comment ref="B13" authorId="0" shapeId="0" xr:uid="{ABEEDC97-E7D3-468F-813A-AD05DBEA403C}">
      <text>
        <t>[Threaded comment]
Your version of Excel allows you to read this threaded comment; however, any edits to it will get removed if the file is opened in a newer version of Excel. Learn more: https://go.microsoft.com/fwlink/?linkid=870924
Comment:
    Update on the Categories Tab</t>
      </text>
    </comment>
    <comment ref="C13" authorId="1" shapeId="0" xr:uid="{BFA22068-8ED7-4981-8FF4-C3CF0D4FDDC6}">
      <text>
        <t>[Threaded comment]
Your version of Excel allows you to read this threaded comment; however, any edits to it will get removed if the file is opened in a newer version of Excel. Learn more: https://go.microsoft.com/fwlink/?linkid=870924
Comment:
    XX/XX/XXX date format</t>
      </text>
    </comment>
    <comment ref="G13" authorId="2" shapeId="0" xr:uid="{DD70A1C0-BE8F-4808-A70C-638D7A0FA34D}">
      <text>
        <t>[Threaded comment]
Your version of Excel allows you to read this threaded comment; however, any edits to it will get removed if the file is opened in a newer version of Excel. Learn more: https://go.microsoft.com/fwlink/?linkid=870924
Comment:
    Update on the Categories Tab</t>
      </text>
    </comment>
    <comment ref="I19" authorId="3" shapeId="0" xr:uid="{68832E7B-21EA-4B5C-A5E8-FB796D764749}">
      <text>
        <t xml:space="preserve">[Threaded comment]
Your version of Excel allows you to read this threaded comment; however, any edits to it will get removed if the file is opened in a newer version of Excel. Learn more: https://go.microsoft.com/fwlink/?linkid=870924
Comment:
    +-5% of INCOME Real Estate (NET) is average but I put 20% here ¯\_(ツ)_/¯ </t>
      </text>
    </comment>
    <comment ref="B52" authorId="4" shapeId="0" xr:uid="{EE010A5D-59D9-45DC-9267-AAE0A7B87B65}">
      <text>
        <t>[Threaded comment]
Your version of Excel allows you to read this threaded comment; however, any edits to it will get removed if the file is opened in a newer version of Excel. Learn more: https://go.microsoft.com/fwlink/?linkid=870924
Comment:
    Update on the Categories Tab</t>
      </text>
    </comment>
    <comment ref="C52" authorId="5" shapeId="0" xr:uid="{77BF3739-B952-41FB-9886-9A1FF3849B84}">
      <text>
        <t>[Threaded comment]
Your version of Excel allows you to read this threaded comment; however, any edits to it will get removed if the file is opened in a newer version of Excel. Learn more: https://go.microsoft.com/fwlink/?linkid=870924
Comment:
    XX/XX/XXX date format</t>
      </text>
    </comment>
    <comment ref="G52" authorId="6" shapeId="0" xr:uid="{BE628725-BA10-40CF-8A18-53DB6ADA975C}">
      <text>
        <t>[Threaded comment]
Your version of Excel allows you to read this threaded comment; however, any edits to it will get removed if the file is opened in a newer version of Excel. Learn more: https://go.microsoft.com/fwlink/?linkid=870924
Comment:
    Update on the Categories Tab</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tc={5BD138F6-E4D4-49FF-BECD-CC7A95B148F3}</author>
    <author>tc={56FEA7A5-5D06-4376-BB83-3496166A5E85}</author>
    <author>tc={3BEC45D6-F9C0-43CC-B358-F077D12B44CE}</author>
  </authors>
  <commentList>
    <comment ref="B18" authorId="0" shapeId="0" xr:uid="{5BD138F6-E4D4-49FF-BECD-CC7A95B148F3}">
      <text>
        <t>[Threaded comment]
Your version of Excel allows you to read this threaded comment; however, any edits to it will get removed if the file is opened in a newer version of Excel. Learn more: https://go.microsoft.com/fwlink/?linkid=870924
Comment:
    A strong ratio is typically no higher than 5%, while a ratio above 15% could suggest that the business is wearing out its capital too quickly.</t>
      </text>
    </comment>
    <comment ref="J53" authorId="1" shapeId="0" xr:uid="{56FEA7A5-5D06-4376-BB83-3496166A5E85}">
      <text>
        <t>[Threaded comment]
Your version of Excel allows you to read this threaded comment; however, any edits to it will get removed if the file is opened in a newer version of Excel. Learn more: https://go.microsoft.com/fwlink/?linkid=870924
Comment:
    A strong ratio is typically no higher than 5%, while a ratio above 15% could suggest that the business is wearing out its capital too quickly.</t>
      </text>
    </comment>
    <comment ref="M63" authorId="2" shapeId="0" xr:uid="{3BEC45D6-F9C0-43CC-B358-F077D12B44CE}">
      <text>
        <t>[Threaded comment]
Your version of Excel allows you to read this threaded comment; however, any edits to it will get removed if the file is opened in a newer version of Excel. Learn more: https://go.microsoft.com/fwlink/?linkid=870924
Comment:
    A strong ratio is typically no higher than 5%, while a ratio above 15% could suggest that the business is wearing out its capital too quickly.</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tc={4667CB1F-47BB-4200-AE95-255A7FD888AB}</author>
    <author>tc={16BFEE75-C64D-43C9-8402-3402ECD5625F}</author>
  </authors>
  <commentList>
    <comment ref="I10" authorId="0" shapeId="0" xr:uid="{4667CB1F-47BB-4200-AE95-255A7FD888AB}">
      <text>
        <t>[Threaded comment]
Your version of Excel allows you to read this threaded comment; however, any edits to it will get removed if the file is opened in a newer version of Excel. Learn more: https://go.microsoft.com/fwlink/?linkid=870924
Comment:
    Commercials are 0 &lt; 30 seconds; recommend watching anything over $10 gain; Especially VIP Gold Cards (need 40 to cash out)</t>
      </text>
    </comment>
    <comment ref="L10" authorId="1" shapeId="0" xr:uid="{16BFEE75-C64D-43C9-8402-3402ECD5625F}">
      <text>
        <t xml:space="preserve">[Threaded comment]
Your version of Excel allows you to read this threaded comment; however, any edits to it will get removed if the file is opened in a newer version of Excel. Learn more: https://go.microsoft.com/fwlink/?linkid=870924
Comment:
    You can obtain VIP Gold Cards in the game Bingo Money Win: Real Cash by:
Leveling Up: Players earn VIP points by leveling up through gameplay.
Purchasing In-Game Items: Certain purchases can grant enough VIP points to reach a VIP level that includes VIP Gold Cards as a reward.
Opening Card Packs: Card packs obtained from tournaments with a card pack icon can contain gold cards.
Swapping Duplicate Cards: Trading in duplicate cards for a chest might yield gold cards.
Winning Games and Challenges: Winning games and challenges, or opening chests, can also provide gold.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tc={D1DDBA6E-37B2-42F3-9F8D-0B33D8F70E77}</author>
  </authors>
  <commentList>
    <comment ref="B4" authorId="0" shapeId="0" xr:uid="{D1DDBA6E-37B2-42F3-9F8D-0B33D8F70E77}">
      <text>
        <t xml:space="preserve">[Threaded comment]
Your version of Excel allows you to read this threaded comment; however, any edits to it will get removed if the file is opened in a newer version of Excel. Learn more: https://go.microsoft.com/fwlink/?linkid=870924
Comment:
    Enter the actual data into the Assets and Liabilities columns. This sheet is a protected sheet but no password ¯\_(ツ)_/¯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tc={2650870C-F328-47BC-B6C9-45DB658817F0}</author>
    <author>tc={1FEDC55A-06A6-4774-A8D1-337DBA1FF166}</author>
    <author>tc={7C4E9837-1773-410F-97FC-DFD2BFCEB288}</author>
    <author>tc={D4422AC5-38FB-44A0-B33F-E38F78F9D753}</author>
    <author>tc={C05BC3B1-A0D4-46BB-923D-DC64D3D46067}</author>
    <author>tc={8A7B16A6-5E39-4E40-99B1-A547A86AACCE}</author>
    <author>tc={306711E1-73E1-4CDB-9504-E2356550445C}</author>
    <author>tc={5F2525A6-EBC2-4C7C-8261-9C7BE72DDA5D}</author>
    <author>tc={35EB38C1-DF55-4CDF-92F8-0EEEB0F90E33}</author>
    <author>tc={4227D79A-AEE4-470C-8E76-63A9FF357436}</author>
    <author>tc={AB49534B-6ED0-489D-95FE-7CF23514A3F8}</author>
    <author>tc={C657782B-4E5F-452F-824D-C722B7DEFCF6}</author>
    <author>tc={F076D31E-62AD-4C8A-9312-C0113F469182}</author>
  </authors>
  <commentList>
    <comment ref="B5" authorId="0" shapeId="0" xr:uid="{2650870C-F328-47BC-B6C9-45DB658817F0}">
      <text>
        <t xml:space="preserve">[Threaded comment]
Your version of Excel allows you to read this threaded comment; however, any edits to it will get removed if the file is opened in a newer version of Excel. Learn more: https://go.microsoft.com/fwlink/?linkid=870924
Comment:
    Update the drop down in the Categories Tab; recommend keeping the common accounting terms (words used in accounting) ¯\_(ツ)_/¯ </t>
      </text>
    </comment>
    <comment ref="C5" authorId="1" shapeId="0" xr:uid="{1FEDC55A-06A6-4774-A8D1-337DBA1FF166}">
      <text>
        <t xml:space="preserve">[Threaded comment]
Your version of Excel allows you to read this threaded comment; however, any edits to it will get removed if the file is opened in a newer version of Excel. Learn more: https://go.microsoft.com/fwlink/?linkid=870924
Comment:
    These descriptions are common 
accounting terms (feel free to update)
¯\_(ツ)_/¯ </t>
      </text>
    </comment>
    <comment ref="C6" authorId="2" shapeId="0" xr:uid="{7C4E9837-1773-410F-97FC-DFD2BFCEB288}">
      <text>
        <t xml:space="preserve">[Threaded comment]
Your version of Excel allows you to read this threaded comment; however, any edits to it will get removed if the file is opened in a newer version of Excel. Learn more: https://go.microsoft.com/fwlink/?linkid=870924
Comment:
    Cash and Cash Equivalents (CCE) represent an individual or company's most liquid assets, used to cover expected or unexpected expenses. This line item is reported on an individual or company's balance sheet under current assets because they are easily converted to cash to meet short-term obligations. </t>
      </text>
    </comment>
    <comment ref="C7" authorId="3" shapeId="0" xr:uid="{D4422AC5-38FB-44A0-B33F-E38F78F9D753}">
      <text>
        <t>[Threaded comment]
Your version of Excel allows you to read this threaded comment; however, any edits to it will get removed if the file is opened in a newer version of Excel. Learn more: https://go.microsoft.com/fwlink/?linkid=870924
Comment:
    An investment is an asset or property acquired to generate income or gain appreciation.
Investments are typically categorized as either current or non-current assets depending on the intended holding period.</t>
      </text>
    </comment>
    <comment ref="C8" authorId="4" shapeId="0" xr:uid="{C05BC3B1-A0D4-46BB-923D-DC64D3D46067}">
      <text>
        <t>[Threaded comment]
Your version of Excel allows you to read this threaded comment; however, any edits to it will get removed if the file is opened in a newer version of Excel. Learn more: https://go.microsoft.com/fwlink/?linkid=870924
Comment:
    Inventory is recorded as a current asset on an individual or company's balance sheet, representing the value of goods and materials held potentially “for sale”. The value of this asset is continually updated to reflect new purchases and sales. Depreciation is not included here.</t>
      </text>
    </comment>
    <comment ref="C9" authorId="5" shapeId="0" xr:uid="{8A7B16A6-5E39-4E40-99B1-A547A86AACCE}">
      <text>
        <t xml:space="preserve">[Threaded comment]
Your version of Excel allows you to read this threaded comment; however, any edits to it will get removed if the file is opened in a newer version of Excel. Learn more: https://go.microsoft.com/fwlink/?linkid=870924
Comment:
    Accounts receivable (AR) appears on an individual or company's balance sheet as a current asset, representing the money owed to the individual or business by customers for goods or services delivered on credit. This reflects a future cash inflow, since the individual or company expects to collect these payments within a year. </t>
      </text>
    </comment>
    <comment ref="C10" authorId="6" shapeId="0" xr:uid="{306711E1-73E1-4CDB-9504-E2356550445C}">
      <text>
        <t xml:space="preserve">[Threaded comment]
Your version of Excel allows you to read this threaded comment; however, any edits to it will get removed if the file is opened in a newer version of Excel. Learn more: https://go.microsoft.com/fwlink/?linkid=870924
Comment:
    Prepaid expenses appear on the balance sheet as a current asset because they represent a future economic benefit that an individual or company has paid for in advance. Examples include prepaid rent, insurance premiums, and software subscriptions paid upfront. </t>
      </text>
    </comment>
    <comment ref="C11" authorId="7" shapeId="0" xr:uid="{5F2525A6-EBC2-4C7C-8261-9C7BE72DDA5D}">
      <text>
        <t xml:space="preserve">[Threaded comment]
Your version of Excel allows you to read this threaded comment; however, any edits to it will get removed if the file is opened in a newer version of Excel. Learn more: https://go.microsoft.com/fwlink/?linkid=870924
Comment:
    Property, Plant, and Equipment (PP&amp;E) are crucial long-term, tangible assets that an individual or company utilizes in its business operations to generate revenue. They are also known as fixed assets and cannot be easily converted into cash within a year, unlike current assets. </t>
      </text>
    </comment>
    <comment ref="E11" authorId="8" shapeId="0" xr:uid="{35EB38C1-DF55-4CDF-92F8-0EEEB0F90E33}">
      <text>
        <t>[Threaded comment]
Your version of Excel allows you to read this threaded comment; however, any edits to it will get removed if the file is opened in a newer version of Excel. Learn more: https://go.microsoft.com/fwlink/?linkid=870924
Comment:
    Fills from ‘Financial Statement’ Doodads</t>
      </text>
    </comment>
    <comment ref="C12" authorId="9" shapeId="0" xr:uid="{4227D79A-AEE4-470C-8E76-63A9FF357436}">
      <text>
        <t xml:space="preserve">[Threaded comment]
Your version of Excel allows you to read this threaded comment; however, any edits to it will get removed if the file is opened in a newer version of Excel. Learn more: https://go.microsoft.com/fwlink/?linkid=870924
Comment:
    Leasehold improvements are recorded as a long-term asset on the balance sheet and are then systematically reduced over time through amortization. As fixtures and modifications to a rented space, these improvements are not owned by the tenant, so they cannot be depreciated like a typical asset. Instead, the cost is amortized over the shorter of the asset's useful life or the lease term. </t>
      </text>
    </comment>
    <comment ref="C13" authorId="10" shapeId="0" xr:uid="{AB49534B-6ED0-489D-95FE-7CF23514A3F8}">
      <text>
        <t>[Threaded comment]
Your version of Excel allows you to read this threaded comment; however, any edits to it will get removed if the file is opened in a newer version of Excel. Learn more: https://go.microsoft.com/fwlink/?linkid=870924
Comment:
    Stocks: Owning shares of another company represents an equity investment.
Mutual Funds and ETFs: These pools of investments, often comprised of stocks, bonds, or a combination, are also considered equity investments.
Equity Method Investments: When a company has significant influence over another entity (typically owning between 20% and 50%), it may account for that investment using the equity method. This method reflects the investor's proportionate share of the investee's net assets on its balance sheet.</t>
      </text>
    </comment>
    <comment ref="C14" authorId="11" shapeId="0" xr:uid="{C657782B-4E5F-452F-824D-C722B7DEFCF6}">
      <text>
        <t xml:space="preserve">[Threaded comment]
Your version of Excel allows you to read this threaded comment; however, any edits to it will get removed if the file is opened in a newer version of Excel. Learn more: https://go.microsoft.com/fwlink/?linkid=870924
Comment:
    A strong ratio is typically no higher than 5%, while a ratio above 15% could suggest that the business is wearing out its capital too quickly. </t>
      </text>
    </comment>
    <comment ref="C15" authorId="12" shapeId="0" xr:uid="{F076D31E-62AD-4C8A-9312-C0113F469182}">
      <text>
        <t>[Threaded comment]
Your version of Excel allows you to read this threaded comment; however, any edits to it will get removed if the file is opened in a newer version of Excel. Learn more: https://go.microsoft.com/fwlink/?linkid=870924
Comment:
    Net assets without donor restrictions: These are donations that the nonprofit can use for any purpose, such as general operating expenses.
Net assets with donor restrictions: These are funds with limitations on their use, as specified by the donor. The funds must be used for a particular purpose or within a certain time frame.</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tc={F0D7C7FC-79E2-4022-A934-89E571F97EDA}</author>
    <author>tc={1BA56B7C-969C-4D70-8299-21FE2F4A6C1C}</author>
    <author>tc={9255C27F-C3D8-4E8C-AD3A-0334D07002DB}</author>
    <author>tc={A215F00F-B81E-42A5-98BE-A29B79272F81}</author>
    <author>tc={66D0434D-16CB-487C-993D-A6BE819D85B2}</author>
    <author>tc={774300F5-BE97-4119-9647-7EFBEA2B1F39}</author>
    <author>tc={56EC8A90-06C5-4237-8B95-993AC8919680}</author>
    <author>tc={A16698BF-FBDD-47CD-BD53-7D4E7C60160E}</author>
  </authors>
  <commentList>
    <comment ref="C6" authorId="0" shapeId="0" xr:uid="{F0D7C7FC-79E2-4022-A934-89E571F97EDA}">
      <text>
        <t xml:space="preserve">[Threaded comment]
Your version of Excel allows you to read this threaded comment; however, any edits to it will get removed if the file is opened in a newer version of Excel. Learn more: https://go.microsoft.com/fwlink/?linkid=870924
Comment:
    Accounts payable (AP) is the money an individual or business owes to its suppliers or creditors for goods and services purchased on credit. AP is classified as a current liability on a company's balance sheet, meaning the debts are expected to be paid within a short period, typically less than one year. </t>
      </text>
    </comment>
    <comment ref="C7" authorId="1" shapeId="0" xr:uid="{1BA56B7C-969C-4D70-8299-21FE2F4A6C1C}">
      <text>
        <t xml:space="preserve">[Threaded comment]
Your version of Excel allows you to read this threaded comment; however, any edits to it will get removed if the file is opened in a newer version of Excel. Learn more: https://go.microsoft.com/fwlink/?linkid=870924
Comment:
    Accrued wages are employee wages, salaries, and other forms of compensation that an individual or company has incurred as an expense but has not yet paid. As a business liability, they are recorded to ensure financial statements accurately reflect the company's full payroll obligations, adhering to the accrual basis of accounting. </t>
      </text>
    </comment>
    <comment ref="C8" authorId="2" shapeId="0" xr:uid="{9255C27F-C3D8-4E8C-AD3A-0334D07002DB}">
      <text>
        <t xml:space="preserve">[Threaded comment]
Your version of Excel allows you to read this threaded comment; however, any edits to it will get removed if the file is opened in a newer version of Excel. Learn more: https://go.microsoft.com/fwlink/?linkid=870924
Comment:
    Accrued compensation is a liability on a personal or company's balance sheet representing wages, benefits, and other payments that employees have earned but have not yet been paid. It is a key part of the accrual method of accounting, which matches expenses to the period in which they were incurred, regardless of when cash is actually paid. </t>
      </text>
    </comment>
    <comment ref="C9" authorId="3" shapeId="0" xr:uid="{A215F00F-B81E-42A5-98BE-A29B79272F81}">
      <text>
        <t xml:space="preserve">[Threaded comment]
Your version of Excel allows you to read this threaded comment; however, any edits to it will get removed if the file is opened in a newer version of Excel. Learn more: https://go.microsoft.com/fwlink/?linkid=870924
Comment:
    Income taxes payable represents the income tax amount an individual or company owes to the government based on tax regulations, which has not yet been paid. It is classified as a current liability on the balance sheet, as it is a debt expected to be paid within the company's operating cycle. </t>
      </text>
    </comment>
    <comment ref="C10" authorId="4" shapeId="0" xr:uid="{66D0434D-16CB-487C-993D-A6BE819D85B2}">
      <text>
        <t xml:space="preserve">[Threaded comment]
Your version of Excel allows you to read this threaded comment; however, any edits to it will get removed if the file is opened in a newer version of Excel. Learn more: https://go.microsoft.com/fwlink/?linkid=870924
Comment:
    Unearned revenue, also known as deferred revenue, is an advance payment an individual or company receives for products or services that have not yet been delivered. In accrual accounting, it is treated as a liability because the company has an obligation to provide the goods or services in the future. </t>
      </text>
    </comment>
    <comment ref="C11" authorId="5" shapeId="0" xr:uid="{774300F5-BE97-4119-9647-7EFBEA2B1F39}">
      <text>
        <t xml:space="preserve">[Threaded comment]
Your version of Excel allows you to read this threaded comment; however, any edits to it will get removed if the file is opened in a newer version of Excel. Learn more: https://go.microsoft.com/fwlink/?linkid=870924
Comment:
    A mortgage payable is the liability of a property owner to pay a loan that is secured by the property. From the perspective of the borrower, the remaining principal balance on the mortgage that is not to be paid off within the next 12 months is classified as a long-term liability. </t>
      </text>
    </comment>
    <comment ref="C12" authorId="6" shapeId="0" xr:uid="{56EC8A90-06C5-4237-8B95-993AC8919680}">
      <text>
        <t xml:space="preserve">[Threaded comment]
Your version of Excel allows you to read this threaded comment; however, any edits to it will get removed if the file is opened in a newer version of Excel. Learn more: https://go.microsoft.com/fwlink/?linkid=870924
Comment:
    Investment capital, also referred to as invested capital, is the total amount of equity and debt an individual or company raises to finance its operations, growth, and long-term investments.  </t>
      </text>
    </comment>
    <comment ref="C13" authorId="7" shapeId="0" xr:uid="{A16698BF-FBDD-47CD-BD53-7D4E7C60160E}">
      <text>
        <t xml:space="preserve">[Threaded comment]
Your version of Excel allows you to read this threaded comment; however, any edits to it will get removed if the file is opened in a newer version of Excel. Learn more: https://go.microsoft.com/fwlink/?linkid=870924
Comment:
    Accumulated retained earnings, often simply called retained earnings, is the total amount of an individual or company's profit that has been saved over time rather than being paid out to shareholders as dividends. This amount is located in the shareholders' equity section of the balance sheet and represents the portion of profit reinvested in the business. </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tc={25B971A4-B981-4604-BB6F-D3B31314CA6E}</author>
    <author>tc={CBA51DA2-D464-48A1-A23C-C281F84A94E5}</author>
  </authors>
  <commentList>
    <comment ref="B6" authorId="0" shapeId="0" xr:uid="{25B971A4-B981-4604-BB6F-D3B31314CA6E}">
      <text>
        <t xml:space="preserve">[Threaded comment]
Your version of Excel allows you to read this threaded comment; however, any edits to it will get removed if the file is opened in a newer version of Excel. Learn more: https://go.microsoft.com/fwlink/?linkid=870924
Comment:
    Updating this list simply updates the drop downs in Assets and Liabilities tabs ¯\_(ツ)_/¯ </t>
      </text>
    </comment>
    <comment ref="E6" authorId="1" shapeId="0" xr:uid="{CBA51DA2-D464-48A1-A23C-C281F84A94E5}">
      <text>
        <t xml:space="preserve">[Threaded comment]
Your version of Excel allows you to read this threaded comment; however, any edits to it will get removed if the file is opened in a newer version of Excel. Learn more: https://go.microsoft.com/fwlink/?linkid=870924
Comment:
    Updating this list simply updates the drop downs in Assets and Liabilities tabs ¯\_(ツ)_/¯ </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tc={24CC7BF3-1D90-40D7-8518-3BD52F77180D}</author>
  </authors>
  <commentList>
    <comment ref="D7" authorId="0" shapeId="0" xr:uid="{24CC7BF3-1D90-40D7-8518-3BD52F77180D}">
      <text>
        <t>[Threaded comment]
Your version of Excel allows you to read this threaded comment; however, any edits to it will get removed if the file is opened in a newer version of Excel. Learn more: https://go.microsoft.com/fwlink/?linkid=870924
Comment:
    Fixed glitch 20250831</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<sst xmlns="http://schemas.openxmlformats.org/spreadsheetml/2006/main" count="4944" uniqueCount="2679">
  <si>
    <t xml:space="preserve">Property Management </t>
  </si>
  <si>
    <t>Total Operating Expenses</t>
  </si>
  <si>
    <t>Total Fixed Expenses</t>
  </si>
  <si>
    <t>Total Variable Expenses</t>
  </si>
  <si>
    <t>Square Footage :</t>
  </si>
  <si>
    <t>Down Payment :</t>
  </si>
  <si>
    <t>Loan Amount :</t>
  </si>
  <si>
    <t>Loan Interest Rate :</t>
  </si>
  <si>
    <t>Reinvestment Rate :</t>
  </si>
  <si>
    <t>Loan Insurance :</t>
  </si>
  <si>
    <t>Monthly</t>
  </si>
  <si>
    <t>Annually</t>
  </si>
  <si>
    <t>Vacancy Insurance</t>
  </si>
  <si>
    <t>Rent Insurance</t>
  </si>
  <si>
    <t>Legal</t>
  </si>
  <si>
    <t>Advertising</t>
  </si>
  <si>
    <t>Accounting</t>
  </si>
  <si>
    <t>% Rent</t>
  </si>
  <si>
    <t>Net Operating Income (NOI)</t>
  </si>
  <si>
    <t>Capital Expenditures (CAPEX)</t>
  </si>
  <si>
    <t>Total</t>
  </si>
  <si>
    <t>Net Sale Proceeds :</t>
  </si>
  <si>
    <t>Selling Cost :</t>
  </si>
  <si>
    <t>Rule of Thumb Expense</t>
  </si>
  <si>
    <t>Property Purchase</t>
  </si>
  <si>
    <t>Property Sale</t>
  </si>
  <si>
    <t>Selling Costs</t>
  </si>
  <si>
    <t>Principal repayment</t>
  </si>
  <si>
    <t>Interest expense</t>
  </si>
  <si>
    <t>Loan Insurance</t>
  </si>
  <si>
    <t>DSCR</t>
  </si>
  <si>
    <t>Principal Repayment</t>
  </si>
  <si>
    <t>Interest Payment</t>
  </si>
  <si>
    <t>Total Debt Service</t>
  </si>
  <si>
    <t>Financing Cash Flow</t>
  </si>
  <si>
    <t>Miscellaneous (Variable)</t>
  </si>
  <si>
    <t>Levered IRR</t>
  </si>
  <si>
    <t>Levered MIRR</t>
  </si>
  <si>
    <t>Levered Profits</t>
  </si>
  <si>
    <t>Cap Rate</t>
  </si>
  <si>
    <t>Year :</t>
  </si>
  <si>
    <t>Period :</t>
  </si>
  <si>
    <t>Growth Rate</t>
  </si>
  <si>
    <t>n.a</t>
  </si>
  <si>
    <t>Operating Expenses</t>
  </si>
  <si>
    <t>Property Value</t>
  </si>
  <si>
    <t>% Appreciation</t>
  </si>
  <si>
    <t>Property City :</t>
  </si>
  <si>
    <t>Property State :</t>
  </si>
  <si>
    <t>Purchase Price :</t>
  </si>
  <si>
    <t>Financing Cost :</t>
  </si>
  <si>
    <t>Implied Cap Rate</t>
  </si>
  <si>
    <t>Debt Balance</t>
  </si>
  <si>
    <t>Equity Balance</t>
  </si>
  <si>
    <t>Variation in Equity</t>
  </si>
  <si>
    <t>Loan to Value</t>
  </si>
  <si>
    <t>Appreciation</t>
  </si>
  <si>
    <t>Home Equity Value</t>
  </si>
  <si>
    <t>Property Address :</t>
  </si>
  <si>
    <t>MLS Number :</t>
  </si>
  <si>
    <t>Property Type :</t>
  </si>
  <si>
    <t>Property Valuation</t>
  </si>
  <si>
    <t>Property Type</t>
  </si>
  <si>
    <t>Single Family</t>
  </si>
  <si>
    <t>Multifamily</t>
  </si>
  <si>
    <t>Mobile Home</t>
  </si>
  <si>
    <t>Other</t>
  </si>
  <si>
    <t>Year Built :</t>
  </si>
  <si>
    <t>Property Valuation Method :</t>
  </si>
  <si>
    <t>Inflation Rate :</t>
  </si>
  <si>
    <t>Appreciation above Inflation :</t>
  </si>
  <si>
    <t>Total Appreciation Rate :</t>
  </si>
  <si>
    <t>Annual Appreciation Rate</t>
  </si>
  <si>
    <t>Capitalization Rate</t>
  </si>
  <si>
    <t>Total Project Cost :</t>
  </si>
  <si>
    <t>Cash Needed :</t>
  </si>
  <si>
    <t>Cash on Cash Return</t>
  </si>
  <si>
    <t>Cash Flow (Year 1)</t>
  </si>
  <si>
    <t>Mortgage Closing Costs (%) :</t>
  </si>
  <si>
    <t>Rule of Thumb</t>
  </si>
  <si>
    <t>Rule of Thumb Total Expenses (incl. CAPEX)</t>
  </si>
  <si>
    <t>CAPEX</t>
  </si>
  <si>
    <t>Net Cash Flow</t>
  </si>
  <si>
    <t>Net Operating Income</t>
  </si>
  <si>
    <t>Cash Flow</t>
  </si>
  <si>
    <t>Property Appreciation</t>
  </si>
  <si>
    <t>Annual Total Return</t>
  </si>
  <si>
    <t>Monthly Total Return</t>
  </si>
  <si>
    <t>Annual Principal Repayment</t>
  </si>
  <si>
    <t>Debt (Beginning of year)</t>
  </si>
  <si>
    <t>Capex</t>
  </si>
  <si>
    <t>Interest Expense</t>
  </si>
  <si>
    <t>Free Cash Flow</t>
  </si>
  <si>
    <t>Equity</t>
  </si>
  <si>
    <t>Loan Balance</t>
  </si>
  <si>
    <t>Property Equity</t>
  </si>
  <si>
    <t>Report Date :</t>
  </si>
  <si>
    <t>MONTHLY CASH FLOW</t>
  </si>
  <si>
    <t>MONTHLY EXPENSES</t>
  </si>
  <si>
    <t>NET OPERATING INCOME</t>
  </si>
  <si>
    <t>CAP RATE</t>
  </si>
  <si>
    <t>CASH ON CASH RETURN</t>
  </si>
  <si>
    <t>PRICE TO RENT</t>
  </si>
  <si>
    <t>IRR</t>
  </si>
  <si>
    <t>MIRR</t>
  </si>
  <si>
    <t>EMX</t>
  </si>
  <si>
    <t>LEVERED PROFITS</t>
  </si>
  <si>
    <t>FINANCING INFORMATION</t>
  </si>
  <si>
    <t>Maturity :</t>
  </si>
  <si>
    <t>Interest Rate :</t>
  </si>
  <si>
    <t>Monthly Principal &amp; Interest :</t>
  </si>
  <si>
    <t>ACQUISITION INFORMATION</t>
  </si>
  <si>
    <t>INCOME &amp; EXPENSES</t>
  </si>
  <si>
    <t>Total Monthly Expenses</t>
  </si>
  <si>
    <r>
      <t>Purchase Price per Sq</t>
    </r>
    <r>
      <rPr>
        <vertAlign val="superscript"/>
        <sz val="9"/>
        <color rgb="FF7184C1"/>
        <rFont val="Arial"/>
        <family val="2"/>
      </rPr>
      <t>2</t>
    </r>
  </si>
  <si>
    <r>
      <t>Monthly Rent per Sq</t>
    </r>
    <r>
      <rPr>
        <vertAlign val="superscript"/>
        <sz val="9"/>
        <color rgb="FF7184C1"/>
        <rFont val="Arial"/>
        <family val="2"/>
      </rPr>
      <t>2</t>
    </r>
  </si>
  <si>
    <t>Repairs &amp; Maintenance</t>
  </si>
  <si>
    <t>After Repair Value :</t>
  </si>
  <si>
    <t>Total Cash Needed :</t>
  </si>
  <si>
    <t>RULE OF THUMB</t>
  </si>
  <si>
    <t>Rental Income :</t>
  </si>
  <si>
    <t>Estimated Monthly Cash Flow :</t>
  </si>
  <si>
    <t>Annual Expenses :</t>
  </si>
  <si>
    <t>Annual Cash Flow :</t>
  </si>
  <si>
    <t>Check</t>
  </si>
  <si>
    <t>FORECASTED RETURNS</t>
  </si>
  <si>
    <t>Mortgage Payment</t>
  </si>
  <si>
    <t>Bedroom(s) :</t>
  </si>
  <si>
    <t>Bathroom(s) :</t>
  </si>
  <si>
    <t>Total Acquisition Cost :</t>
  </si>
  <si>
    <t>$ Amount</t>
  </si>
  <si>
    <t>Property Zip :</t>
  </si>
  <si>
    <t>Other Cost 1</t>
  </si>
  <si>
    <t>Other Cost 2</t>
  </si>
  <si>
    <t>Other Income</t>
  </si>
  <si>
    <t>Unlevered Cash Flow (a)</t>
  </si>
  <si>
    <t>Levered Cash Flow (a) + (b)</t>
  </si>
  <si>
    <t>Cumulative Cash Flow (Recurring)</t>
  </si>
  <si>
    <t>Debt (End of year)</t>
  </si>
  <si>
    <t>Loan Insurance - PMI (%) :</t>
  </si>
  <si>
    <t>Principal Reduction</t>
  </si>
  <si>
    <t>PMI Payment</t>
  </si>
  <si>
    <t>Remaining Balance</t>
  </si>
  <si>
    <t>Tenor :</t>
  </si>
  <si>
    <t>Loan To Value</t>
  </si>
  <si>
    <t>Initial LTV :</t>
  </si>
  <si>
    <t>Total Interest</t>
  </si>
  <si>
    <t>Total PMI</t>
  </si>
  <si>
    <t>Total Principal</t>
  </si>
  <si>
    <t>Total Payment</t>
  </si>
  <si>
    <t>Cumulative Unlevered Cash Flow (Recurring)</t>
  </si>
  <si>
    <t>Cumulative Levered Cash Flow (Recurring)</t>
  </si>
  <si>
    <t>Year</t>
  </si>
  <si>
    <t>Payment 
Amount</t>
  </si>
  <si>
    <t>Interest 
Amount</t>
  </si>
  <si>
    <t>Purchase Cap Rate</t>
  </si>
  <si>
    <t>Adjusted Purchase Cap Rate</t>
  </si>
  <si>
    <t>Cash on Cash Return (Unlevered)</t>
  </si>
  <si>
    <t>Cash on Cash Return (Levered)</t>
  </si>
  <si>
    <t>Cumulative Total Return</t>
  </si>
  <si>
    <t>(1)</t>
  </si>
  <si>
    <t>(2)</t>
  </si>
  <si>
    <t>(3)</t>
  </si>
  <si>
    <t>(1) + (2) + (3)</t>
  </si>
  <si>
    <t>Vacancy</t>
  </si>
  <si>
    <t>Month</t>
  </si>
  <si>
    <t xml:space="preserve">Down Payment : </t>
  </si>
  <si>
    <t>Mortgage Insurance :</t>
  </si>
  <si>
    <t>Initial Loan to Value :</t>
  </si>
  <si>
    <t>Monthly Payment :</t>
  </si>
  <si>
    <t>(-) Operating Expenses</t>
  </si>
  <si>
    <t>Cash Flow before Debt</t>
  </si>
  <si>
    <t>Financing</t>
  </si>
  <si>
    <t>Starting Balance</t>
  </si>
  <si>
    <t>Ending Balance</t>
  </si>
  <si>
    <t>Debt Service</t>
  </si>
  <si>
    <t>DSCR (Debt Service Cover Ratio)</t>
  </si>
  <si>
    <t>Debt Coverage :</t>
  </si>
  <si>
    <t>Loan To Value :</t>
  </si>
  <si>
    <t>LTV (Loan To Value)</t>
  </si>
  <si>
    <t>Debt Yield :</t>
  </si>
  <si>
    <t>Debt Yield</t>
  </si>
  <si>
    <t>Year 1 - 15</t>
  </si>
  <si>
    <t>Year 16 - 30</t>
  </si>
  <si>
    <t>Assumptions</t>
  </si>
  <si>
    <t>Property</t>
  </si>
  <si>
    <t>Information</t>
  </si>
  <si>
    <t>Beds / Baths :</t>
  </si>
  <si>
    <t>Built / Renovated :</t>
  </si>
  <si>
    <t>Total Expenses</t>
  </si>
  <si>
    <t>Expense</t>
  </si>
  <si>
    <t>Capital Expenditures</t>
  </si>
  <si>
    <t>(+) Other Income</t>
  </si>
  <si>
    <t>Resale Cap Rate</t>
  </si>
  <si>
    <t>Adjusted Resale Cap Rate</t>
  </si>
  <si>
    <t>END-USER LICENSE AGREEMENT</t>
  </si>
  <si>
    <t>Gross Operating Income</t>
  </si>
  <si>
    <t>Gross Rental Income :</t>
  </si>
  <si>
    <t>% GSI</t>
  </si>
  <si>
    <t>Break-Even Ratio</t>
  </si>
  <si>
    <t>Annual Total Return on Cash</t>
  </si>
  <si>
    <t>Cumulative Total Return on Cash Invested</t>
  </si>
  <si>
    <t>Year Renovated :</t>
  </si>
  <si>
    <t>Closing Costs :</t>
  </si>
  <si>
    <t>FINANCING REPORT</t>
  </si>
  <si>
    <t>MONTLY AMORTIZATION SCHEDULE</t>
  </si>
  <si>
    <t>State / ZIP :</t>
  </si>
  <si>
    <t>City :</t>
  </si>
  <si>
    <t>Address :</t>
  </si>
  <si>
    <t>Total Annual Expenses</t>
  </si>
  <si>
    <t>Operating</t>
  </si>
  <si>
    <t>Adjusted DSCR</t>
  </si>
  <si>
    <t>Break-Even Ratio :</t>
  </si>
  <si>
    <t>Report Tab</t>
  </si>
  <si>
    <t>MONTHLY  INCOME</t>
  </si>
  <si>
    <t>Total Monthly Income</t>
  </si>
  <si>
    <t>Financing Closing Cost :</t>
  </si>
  <si>
    <t>GRANT OF LICENSE</t>
  </si>
  <si>
    <t>TERMINATION</t>
  </si>
  <si>
    <t>DISCLAIMER</t>
  </si>
  <si>
    <t>Failure to comply with the terms and conditions of this EULA will result in the cancellation of your license and the suspension of your access to this spreadsheet.</t>
  </si>
  <si>
    <t>MISCELLANEOUS</t>
  </si>
  <si>
    <t>Because some jurisdictions do not allow limitations on implied warranties, or limitations of liability for consequential or incidental damages, these limitations may not apply to you.</t>
  </si>
  <si>
    <t>Additional Year #1 :</t>
  </si>
  <si>
    <t>Additional Year #2 :</t>
  </si>
  <si>
    <t>Monthly Income</t>
  </si>
  <si>
    <t>For connectors</t>
  </si>
  <si>
    <t>For Delta bars</t>
  </si>
  <si>
    <t>Values</t>
  </si>
  <si>
    <t>Cumulative</t>
  </si>
  <si>
    <t>Start &amp; End</t>
  </si>
  <si>
    <t>Before</t>
  </si>
  <si>
    <t>After</t>
  </si>
  <si>
    <t>Data label position</t>
  </si>
  <si>
    <t>SUMMARY REPORT</t>
  </si>
  <si>
    <t>KEY FINANCIAL METRICS</t>
  </si>
  <si>
    <t>Appreciation Method</t>
  </si>
  <si>
    <t>Capitalization Method</t>
  </si>
  <si>
    <t>FINANCING ASSUMPTIONS</t>
  </si>
  <si>
    <t>RENTAL INCOME &amp; EXPENSES</t>
  </si>
  <si>
    <t>Calculated Field</t>
  </si>
  <si>
    <t>SUMMARY RESULTS</t>
  </si>
  <si>
    <t>NET OPERATING INCOME &amp; CASH FLOW</t>
  </si>
  <si>
    <t>Key Performance Indicators</t>
  </si>
  <si>
    <t>Return Calculation</t>
  </si>
  <si>
    <t>CASH ON CASH</t>
  </si>
  <si>
    <t>1% RULE</t>
  </si>
  <si>
    <t>GROSS RENT YIELD</t>
  </si>
  <si>
    <t>CASH OUT DATE</t>
  </si>
  <si>
    <t>DEBT COVERAGE</t>
  </si>
  <si>
    <t>UNLEVERED IRR</t>
  </si>
  <si>
    <t>UNLEVERED MIRR</t>
  </si>
  <si>
    <t>UNLEVERED PROFITS</t>
  </si>
  <si>
    <t>LEVERED IRR</t>
  </si>
  <si>
    <t>LEVERED MIRR</t>
  </si>
  <si>
    <t>Project Name :</t>
  </si>
  <si>
    <t>Additional Information :</t>
  </si>
  <si>
    <t>Property Information</t>
  </si>
  <si>
    <t>Purchase Price (PP) :</t>
  </si>
  <si>
    <t>Property Value at Sale :</t>
  </si>
  <si>
    <t>Implied Property Value :</t>
  </si>
  <si>
    <t>Selected Method</t>
  </si>
  <si>
    <t>Property Purchase Date :</t>
  </si>
  <si>
    <t>Holding Costs :</t>
  </si>
  <si>
    <t>Debt Financing :</t>
  </si>
  <si>
    <t>Total Loan Amount :</t>
  </si>
  <si>
    <t>Property Funding :</t>
  </si>
  <si>
    <t>Percentage</t>
  </si>
  <si>
    <t>Total Funding :</t>
  </si>
  <si>
    <t>Acquisition Costs Financed With Debt :</t>
  </si>
  <si>
    <t>Water Utilities</t>
  </si>
  <si>
    <t>Gas Utilities</t>
  </si>
  <si>
    <t>Electrical Utilities</t>
  </si>
  <si>
    <t>Mandatory Input</t>
  </si>
  <si>
    <t>Optional Input</t>
  </si>
  <si>
    <t>Property Debt Financing :</t>
  </si>
  <si>
    <t>Purchase Assumptions</t>
  </si>
  <si>
    <t>Timing Assumptions</t>
  </si>
  <si>
    <t>Loan Assumptions</t>
  </si>
  <si>
    <t>Principal &amp; Interest Payment</t>
  </si>
  <si>
    <t>Uses &amp; Sources</t>
  </si>
  <si>
    <t>Other Assumptions</t>
  </si>
  <si>
    <t>↑</t>
  </si>
  <si>
    <t>Rental Income</t>
  </si>
  <si>
    <t>Fixed Operating Expenses</t>
  </si>
  <si>
    <t>Variable Operating Expenses</t>
  </si>
  <si>
    <t>Refurbishment / Repair Costs :</t>
  </si>
  <si>
    <t>After-Repair Value (ARV) :</t>
  </si>
  <si>
    <t>Per Year</t>
  </si>
  <si>
    <t>At Sale</t>
  </si>
  <si>
    <t>Exit Capitalization Rate :</t>
  </si>
  <si>
    <t>Mortgage Payment :</t>
  </si>
  <si>
    <t>OPERATING CASH FLOW</t>
  </si>
  <si>
    <t>Category Name</t>
  </si>
  <si>
    <t>Amount</t>
  </si>
  <si>
    <t>FINANCING CASH FLOW</t>
  </si>
  <si>
    <t>PROPERTY VALUE</t>
  </si>
  <si>
    <t>RETURN ANALYSIS</t>
  </si>
  <si>
    <t>Ratio / KPI</t>
  </si>
  <si>
    <t>Formula</t>
  </si>
  <si>
    <t>Total Return Calculation</t>
  </si>
  <si>
    <t>Implied Adjusted Cap Rate</t>
  </si>
  <si>
    <t>Financing Costs</t>
  </si>
  <si>
    <t>Acquisition Costs</t>
  </si>
  <si>
    <t>DEBT SCHEDULE</t>
  </si>
  <si>
    <t>Interest Versus Principal Repayment</t>
  </si>
  <si>
    <t>% of Gross Operating Income</t>
  </si>
  <si>
    <t>Mid-Value Purchase Price:</t>
  </si>
  <si>
    <t>Interval Purchase Price:</t>
  </si>
  <si>
    <t>Cash on Cash</t>
  </si>
  <si>
    <t>Cash Flow #1</t>
  </si>
  <si>
    <t>Mid-Value Down Payment:</t>
  </si>
  <si>
    <t>Interval Down Payment:</t>
  </si>
  <si>
    <t>Down Payment vs. Interest Rate</t>
  </si>
  <si>
    <t>Mid-Value Interest Rate:</t>
  </si>
  <si>
    <t>Interval Interest Rate:</t>
  </si>
  <si>
    <t>P&amp;I Expense</t>
  </si>
  <si>
    <t>Purchase Price ↓</t>
  </si>
  <si>
    <t>Down Payment ↓</t>
  </si>
  <si>
    <t>Rule of Thumb ↓</t>
  </si>
  <si>
    <t>← Interest Rate →</t>
  </si>
  <si>
    <t>← Purchase Price  →</t>
  </si>
  <si>
    <t>Purchase Price vs. Rule of Thumb (Expenses)</t>
  </si>
  <si>
    <t>MAXIMUM OFFERING PRICE</t>
  </si>
  <si>
    <t>Max Price</t>
  </si>
  <si>
    <t>Target Return</t>
  </si>
  <si>
    <t>Capitalization Rate :</t>
  </si>
  <si>
    <t>Cash on Cash :</t>
  </si>
  <si>
    <t>Cash Flow (Year 1) :</t>
  </si>
  <si>
    <t>Levered IRR :</t>
  </si>
  <si>
    <t>Levered MIRR :</t>
  </si>
  <si>
    <t>Average Price</t>
  </si>
  <si>
    <t>Low End</t>
  </si>
  <si>
    <t>High End</t>
  </si>
  <si>
    <t>SALE DATE OPTIMIZATION</t>
  </si>
  <si>
    <t>Optimal Sale Date :</t>
  </si>
  <si>
    <t>Interest-Only Period (Years) :</t>
  </si>
  <si>
    <t>Interest-Only :</t>
  </si>
  <si>
    <t>Loan to Current Value (LTCV)</t>
  </si>
  <si>
    <t>Loan to Initial Value (LTIV)</t>
  </si>
  <si>
    <t>Interval Cap Rate :</t>
  </si>
  <si>
    <t>Interval CoC :</t>
  </si>
  <si>
    <t>Mid-Value CoC :</t>
  </si>
  <si>
    <t>Mid-Value Cap Rate :</t>
  </si>
  <si>
    <t>Mid-Value Cash Flow :</t>
  </si>
  <si>
    <t>Interval Cash Flow :</t>
  </si>
  <si>
    <t>Mid-Value IRR :</t>
  </si>
  <si>
    <t>Interval IRR :</t>
  </si>
  <si>
    <t>Internal Rate of Return (IRR)</t>
  </si>
  <si>
    <t>Cash On Cash (CoC)</t>
  </si>
  <si>
    <t>Key Parameters</t>
  </si>
  <si>
    <t>Graph Width :</t>
  </si>
  <si>
    <t>Min</t>
  </si>
  <si>
    <t>Max</t>
  </si>
  <si>
    <t xml:space="preserve">Average   </t>
  </si>
  <si>
    <t>Refurbishment / Repair Costs:</t>
  </si>
  <si>
    <t>Loan Fee :</t>
  </si>
  <si>
    <t>Monthly NOI :</t>
  </si>
  <si>
    <t>Annual NOI :</t>
  </si>
  <si>
    <t>Acquisition Holding Costs:</t>
  </si>
  <si>
    <t>Total Operating Expenses :</t>
  </si>
  <si>
    <t>Maximum Purchase Price</t>
  </si>
  <si>
    <t>SCENARIO ANALYSIS</t>
  </si>
  <si>
    <t>-</t>
  </si>
  <si>
    <t>Spreadsheet Information</t>
  </si>
  <si>
    <t>Copyright:</t>
  </si>
  <si>
    <t>Product:</t>
  </si>
  <si>
    <t>Version:</t>
  </si>
  <si>
    <t>�</t>
  </si>
  <si>
    <t>LEGEND</t>
  </si>
  <si>
    <t>DASHBOARD</t>
  </si>
  <si>
    <t>FORECASTS</t>
  </si>
  <si>
    <t>SUMMARY</t>
  </si>
  <si>
    <t xml:space="preserve"> Information Box</t>
  </si>
  <si>
    <t>Max LTV for PMI cancellation :</t>
  </si>
  <si>
    <t>Holding Period (Years) :</t>
  </si>
  <si>
    <t>Repair / Refurbishment Cost :</t>
  </si>
  <si>
    <t>ADJ. CAP RATE</t>
  </si>
  <si>
    <t>EXPENSE REPORT</t>
  </si>
  <si>
    <t>Loan Term (Years) :</t>
  </si>
  <si>
    <t>MORTGAGE CALCULATOR</t>
  </si>
  <si>
    <t>Payment #</t>
  </si>
  <si>
    <t>Payment Date</t>
  </si>
  <si>
    <t>Beginning Balance</t>
  </si>
  <si>
    <t>Scheduled Payment</t>
  </si>
  <si>
    <t>Principal</t>
  </si>
  <si>
    <t>Interest</t>
  </si>
  <si>
    <t>Cumulative Interest</t>
  </si>
  <si>
    <t>Main Assumptions</t>
  </si>
  <si>
    <t>Monthly Mortgage Payment :</t>
  </si>
  <si>
    <t>Monthly Loan Insurance Payment :</t>
  </si>
  <si>
    <t>Scheduled Number of Payments :</t>
  </si>
  <si>
    <t>Total Interests Paid :</t>
  </si>
  <si>
    <t>Total Interests Saved :</t>
  </si>
  <si>
    <t>Actual Number of Payments :</t>
  </si>
  <si>
    <t>Prepayment Assumptions</t>
  </si>
  <si>
    <t>Custom</t>
  </si>
  <si>
    <t>Insurance</t>
  </si>
  <si>
    <t>Total Scheduled Payment :</t>
  </si>
  <si>
    <t>Total Optional Prepayments :</t>
  </si>
  <si>
    <t>Optional Prepayment</t>
  </si>
  <si>
    <t>Initial Scheduled Maturity :</t>
  </si>
  <si>
    <t>Actual Projected Maturity :</t>
  </si>
  <si>
    <t>Years Saved Off Original Loan Term :</t>
  </si>
  <si>
    <t>LTV Threshold for PMI Cancellation :</t>
  </si>
  <si>
    <t>Payments Made Per Year :</t>
  </si>
  <si>
    <t>Optional Monthly Prepayment :</t>
  </si>
  <si>
    <t>Payments</t>
  </si>
  <si>
    <t>Other Non-Operating Expenses</t>
  </si>
  <si>
    <t>(-) CAPEX &amp; Other Expenses</t>
  </si>
  <si>
    <t>CAPEX &amp; Other Expenses</t>
  </si>
  <si>
    <t>Quick</t>
  </si>
  <si>
    <t>Results</t>
  </si>
  <si>
    <t>Unit</t>
  </si>
  <si>
    <t>%</t>
  </si>
  <si>
    <t>Unit Multi</t>
  </si>
  <si>
    <t>$ Monthly</t>
  </si>
  <si>
    <t>$ Annually</t>
  </si>
  <si>
    <t>Per Unit (M)</t>
  </si>
  <si>
    <t>Per Unit (A)</t>
  </si>
  <si>
    <t>Unit Type</t>
  </si>
  <si>
    <t>General</t>
  </si>
  <si>
    <t>Per Unit</t>
  </si>
  <si>
    <t>O</t>
  </si>
  <si>
    <t>T</t>
  </si>
  <si>
    <t>Y</t>
  </si>
  <si>
    <t>AI</t>
  </si>
  <si>
    <t>Fixed Expenses Increase :</t>
  </si>
  <si>
    <t>USER GUIDE</t>
  </si>
  <si>
    <t>If you have any questions about the spreadsheet or if you are facing any technical difficulties, please reach out:</t>
  </si>
  <si>
    <t>DEBT</t>
  </si>
  <si>
    <t>MORTGAGE</t>
  </si>
  <si>
    <t>AMORTIZATION</t>
  </si>
  <si>
    <t>FINANCING</t>
  </si>
  <si>
    <t>EXPENSES</t>
  </si>
  <si>
    <t>SCENARIOS</t>
  </si>
  <si>
    <t>MAX PRICE</t>
  </si>
  <si>
    <t>CUSTOM</t>
  </si>
  <si>
    <t>Description</t>
  </si>
  <si>
    <t>Tab Name</t>
  </si>
  <si>
    <t>User Input</t>
  </si>
  <si>
    <t>Required</t>
  </si>
  <si>
    <t>Optional</t>
  </si>
  <si>
    <t>None</t>
  </si>
  <si>
    <t>30-year operational and financial projections (operating cash flow, financing cash flow, property value, sale date optimization, etc.)</t>
  </si>
  <si>
    <t>Annual debt schedule including interest payment, principal repayment, loan insurance</t>
  </si>
  <si>
    <t>Monthly debt amortization schedule with optional prepayment capability</t>
  </si>
  <si>
    <t>Report including summary forecasts and key assumptions &amp; parameters</t>
  </si>
  <si>
    <t>1. FILLING OUT THE SPREADSHEET</t>
  </si>
  <si>
    <t>2. SPREADSHEET STRUCTURE</t>
  </si>
  <si>
    <t>3. ANY QUESTIONS?</t>
  </si>
  <si>
    <t>User input must only be entered in blue and red cells displayed as:</t>
  </si>
  <si>
    <t xml:space="preserve">Most of user input will be entered in the blue and red cells of the </t>
  </si>
  <si>
    <t>tab of this spreadsheet</t>
  </si>
  <si>
    <t>Report including a detailed monthly debt amortization schedule</t>
  </si>
  <si>
    <t>Report including key financing ratios and financial forecasts</t>
  </si>
  <si>
    <t>Report including forecasts and break down of all operating expenses associated with the investment</t>
  </si>
  <si>
    <t>Tool to estimate the max purchase price you can offer in order to achieve your desired profitability based on multiple financial indicators</t>
  </si>
  <si>
    <t>Fully customizable blank sheet that enables you to build upon this template and tailor it to your specific needs</t>
  </si>
  <si>
    <t>Purchasing Cost :</t>
  </si>
  <si>
    <t>Studio</t>
  </si>
  <si>
    <t>1-bedroom</t>
  </si>
  <si>
    <t>2-bedroom</t>
  </si>
  <si>
    <t>3-bedroom</t>
  </si>
  <si>
    <t>4-bedroom</t>
  </si>
  <si>
    <t>Other Income Increase :</t>
  </si>
  <si>
    <t>Annual Increase (%)</t>
  </si>
  <si>
    <t>Gross Rental Income</t>
  </si>
  <si>
    <t>Module</t>
  </si>
  <si>
    <t>Simple Module</t>
  </si>
  <si>
    <t>Advanced Module</t>
  </si>
  <si>
    <t>Interest vs. Down - LEVERED IRR</t>
  </si>
  <si>
    <t>Acq Price vs. ROT - LEVERED IRR</t>
  </si>
  <si>
    <t>Op Exp</t>
  </si>
  <si>
    <t>Custom 1</t>
  </si>
  <si>
    <t>Custom 2</t>
  </si>
  <si>
    <t>LTV</t>
  </si>
  <si>
    <t>Date</t>
  </si>
  <si>
    <t>Refi Timing</t>
  </si>
  <si>
    <t>New Loan Assumptions</t>
  </si>
  <si>
    <t>REFINANCING ASSUMPTIONS</t>
  </si>
  <si>
    <t>Refi Amount</t>
  </si>
  <si>
    <t>% LTV</t>
  </si>
  <si>
    <t>Property Value at Refinancing :</t>
  </si>
  <si>
    <t>Loan Outstanding at Refinancing :</t>
  </si>
  <si>
    <t>Refinancing</t>
  </si>
  <si>
    <t>Total Uses :</t>
  </si>
  <si>
    <t>Total Sources :</t>
  </si>
  <si>
    <t>Repayment of Existing Loan :</t>
  </si>
  <si>
    <t>Net Cash Out :</t>
  </si>
  <si>
    <t>Initial Loan</t>
  </si>
  <si>
    <t>Loan to Value
 (Purchase)</t>
  </si>
  <si>
    <t>Loan to Value 
(Refinancing)</t>
  </si>
  <si>
    <t>Activate Refinancing :</t>
  </si>
  <si>
    <t>Refi</t>
  </si>
  <si>
    <t>Yes</t>
  </si>
  <si>
    <t>No</t>
  </si>
  <si>
    <t>Selected Refinancing Year-End :</t>
  </si>
  <si>
    <t>Target Refinancing Year-End :</t>
  </si>
  <si>
    <t>1st Loan</t>
  </si>
  <si>
    <t>Selected</t>
  </si>
  <si>
    <t>First Month :</t>
  </si>
  <si>
    <t>Last Month  :</t>
  </si>
  <si>
    <t>Net Debt Drawdown</t>
  </si>
  <si>
    <t>Debt</t>
  </si>
  <si>
    <t>Check Dashboard</t>
  </si>
  <si>
    <t>Recurring Levered Cash Flow</t>
  </si>
  <si>
    <t>Net Drawdown</t>
  </si>
  <si>
    <t>Total Financing Cash Flow (b)</t>
  </si>
  <si>
    <t>Recurring Cash Flow</t>
  </si>
  <si>
    <t>Annual Recurring Cash Flow</t>
  </si>
  <si>
    <t>Monthly Recurring Cash Flow</t>
  </si>
  <si>
    <t>Loan To Value
(Purchase)</t>
  </si>
  <si>
    <t>Recurring Cash Flow After Debt</t>
  </si>
  <si>
    <t>Key parameters and assumptions are entered in this tab which drives the entire spreadsheet</t>
  </si>
  <si>
    <t>Loan To Value
(Refinancing)</t>
  </si>
  <si>
    <t>Type:</t>
  </si>
  <si>
    <t>Loan to Value at Refinancing :</t>
  </si>
  <si>
    <t>Non Op. Expense 1</t>
  </si>
  <si>
    <t>Non Op. Expense 2</t>
  </si>
  <si>
    <t>Miscellaneous</t>
  </si>
  <si>
    <t>First Loan</t>
  </si>
  <si>
    <t>No of Licenses:</t>
  </si>
  <si>
    <t>Rent Methodo</t>
  </si>
  <si>
    <t>Flat Rate</t>
  </si>
  <si>
    <t>Cumulative Levered Cash Flow (Total)</t>
  </si>
  <si>
    <t>Custom Growth Rate (%)</t>
  </si>
  <si>
    <t>Property Value Assumptions</t>
  </si>
  <si>
    <t>Custom Appreciation Rate</t>
  </si>
  <si>
    <t>Custom Annual Rate?</t>
  </si>
  <si>
    <t>Fixed Exp</t>
  </si>
  <si>
    <t>General Rate</t>
  </si>
  <si>
    <t>Custom Rate</t>
  </si>
  <si>
    <t>Nightly Rate</t>
  </si>
  <si>
    <t>Nightly Rate :</t>
  </si>
  <si>
    <t>Assumption</t>
  </si>
  <si>
    <t>Occupancy Rate :</t>
  </si>
  <si>
    <t>Profile</t>
  </si>
  <si>
    <t>Daily Rate</t>
  </si>
  <si>
    <t>5-bedroom</t>
  </si>
  <si>
    <t>Blended Average</t>
  </si>
  <si>
    <t>Last Updated</t>
  </si>
  <si>
    <t>Source</t>
  </si>
  <si>
    <t>Internet</t>
  </si>
  <si>
    <t>Occupancy %</t>
  </si>
  <si>
    <t>Unit Type 1</t>
  </si>
  <si>
    <t>Unit Type 2</t>
  </si>
  <si>
    <t>Unit Type 3</t>
  </si>
  <si>
    <t>Unit Type 4</t>
  </si>
  <si>
    <t>Unit Type 5</t>
  </si>
  <si>
    <t>Unit Type 6</t>
  </si>
  <si>
    <t>Unit Type :</t>
  </si>
  <si>
    <t>Selected Case</t>
  </si>
  <si>
    <t>January</t>
  </si>
  <si>
    <t>February</t>
  </si>
  <si>
    <t>March</t>
  </si>
  <si>
    <t>April</t>
  </si>
  <si>
    <t>May</t>
  </si>
  <si>
    <t>June</t>
  </si>
  <si>
    <t>July</t>
  </si>
  <si>
    <t>August</t>
  </si>
  <si>
    <t>September</t>
  </si>
  <si>
    <t>October</t>
  </si>
  <si>
    <t>November</t>
  </si>
  <si>
    <t>December</t>
  </si>
  <si>
    <t>Annual</t>
  </si>
  <si>
    <t>Start Date</t>
  </si>
  <si>
    <t>End Date</t>
  </si>
  <si>
    <t># of Days</t>
  </si>
  <si>
    <t>Days Booked</t>
  </si>
  <si>
    <t>Average</t>
  </si>
  <si>
    <t>Flat Case</t>
  </si>
  <si>
    <t>Upside Case</t>
  </si>
  <si>
    <t>Custom Case</t>
  </si>
  <si>
    <t>Below Custom</t>
  </si>
  <si>
    <t>Case</t>
  </si>
  <si>
    <t>Service Fee - Host</t>
  </si>
  <si>
    <t>Average Nights per Booking :</t>
  </si>
  <si>
    <t>Client View</t>
  </si>
  <si>
    <t>Cleaning Fee</t>
  </si>
  <si>
    <t>Booking Cost</t>
  </si>
  <si>
    <t>Service Fee - Client</t>
  </si>
  <si>
    <t>Total Client Cost</t>
  </si>
  <si>
    <t>All-in Cost Per Night</t>
  </si>
  <si>
    <t>Net Rental Income</t>
  </si>
  <si>
    <t>% GRI</t>
  </si>
  <si>
    <t>Monthly Av.</t>
  </si>
  <si>
    <t>Principal &amp; Interest</t>
  </si>
  <si>
    <t>% Gross Rental Income</t>
  </si>
  <si>
    <t>Occupancy Taxes &amp; Fees</t>
  </si>
  <si>
    <t>Above Custom</t>
  </si>
  <si>
    <t>Annual Nightly Rate Increase :</t>
  </si>
  <si>
    <t>Other Monthly Income :</t>
  </si>
  <si>
    <t>Custom Occupancy Rate (%)</t>
  </si>
  <si>
    <t>Annual Occupancy Rate :</t>
  </si>
  <si>
    <t>CLIENT VIEW</t>
  </si>
  <si>
    <t>Apply Rule of Thumb? (% of GRI)</t>
  </si>
  <si>
    <t>Actuals</t>
  </si>
  <si>
    <t>PROPERTY ACQUISITION</t>
  </si>
  <si>
    <t>Repair Estimate Method:</t>
  </si>
  <si>
    <t>Repair Estimate Method</t>
  </si>
  <si>
    <t>Detailed Estimate</t>
  </si>
  <si>
    <t>Quick Estimate</t>
  </si>
  <si>
    <t>Lump Sum</t>
  </si>
  <si>
    <t>Cost by Category (Detailed &amp; Quick Estimate Methods)</t>
  </si>
  <si>
    <t>Detailed</t>
  </si>
  <si>
    <t>Exterior</t>
  </si>
  <si>
    <t>Painting</t>
  </si>
  <si>
    <t>Landscaping</t>
  </si>
  <si>
    <t>Plumbing</t>
  </si>
  <si>
    <t>Electrical</t>
  </si>
  <si>
    <t>Framing / Insulation</t>
  </si>
  <si>
    <t>Carpentry</t>
  </si>
  <si>
    <t>Cabinets / Countertops</t>
  </si>
  <si>
    <t>Flooring</t>
  </si>
  <si>
    <t>✓</t>
  </si>
  <si>
    <t>Total Estimate:</t>
  </si>
  <si>
    <t>Headroom / Contingency :</t>
  </si>
  <si>
    <t>Detailed Estimate  :</t>
  </si>
  <si>
    <t/>
  </si>
  <si>
    <t>REFURBISHMENT / REPAIRS ASSUMPTIONS</t>
  </si>
  <si>
    <t>Applicable Percentage :</t>
  </si>
  <si>
    <t>Contingency ($):</t>
  </si>
  <si>
    <t>Total Final Estimate</t>
  </si>
  <si>
    <t xml:space="preserve">  CUSTOM</t>
  </si>
  <si>
    <t>Labor</t>
  </si>
  <si>
    <t>ESTIMATE PARAMETERS</t>
  </si>
  <si>
    <t>CUSTOM UNITS</t>
  </si>
  <si>
    <t>ESTIMATE BY CATEGORY</t>
  </si>
  <si>
    <t>ESTIMATE BY AREA</t>
  </si>
  <si>
    <t>ESTIMATE BY TYPE</t>
  </si>
  <si>
    <t>ea</t>
  </si>
  <si>
    <t>Go To:</t>
  </si>
  <si>
    <t>Category</t>
  </si>
  <si>
    <t>Area</t>
  </si>
  <si>
    <t>ft²</t>
  </si>
  <si>
    <t>Bathroom #1</t>
  </si>
  <si>
    <t>Total Labor Cost :</t>
  </si>
  <si>
    <t>sy</t>
  </si>
  <si>
    <t>Living Room</t>
  </si>
  <si>
    <t>Bathroom #2</t>
  </si>
  <si>
    <t>Total Material Cost :</t>
  </si>
  <si>
    <t>cy</t>
  </si>
  <si>
    <t>Kitchen</t>
  </si>
  <si>
    <t>Bathroom #3</t>
  </si>
  <si>
    <t>Total Other Cost :</t>
  </si>
  <si>
    <t>sq</t>
  </si>
  <si>
    <t>Basement</t>
  </si>
  <si>
    <t>hrs</t>
  </si>
  <si>
    <t>Bedroom #1</t>
  </si>
  <si>
    <t>week</t>
  </si>
  <si>
    <t>Bedroom #2</t>
  </si>
  <si>
    <t>month</t>
  </si>
  <si>
    <t>Bedroom #3</t>
  </si>
  <si>
    <t>gallon</t>
  </si>
  <si>
    <t>Bedroom #4</t>
  </si>
  <si>
    <t>m²</t>
  </si>
  <si>
    <t>DETAILED ESTIMATE</t>
  </si>
  <si>
    <t>A</t>
  </si>
  <si>
    <t>Materials</t>
  </si>
  <si>
    <t>Grand Total</t>
  </si>
  <si>
    <t>Work Area</t>
  </si>
  <si>
    <t>Quantity</t>
  </si>
  <si>
    <t>Price</t>
  </si>
  <si>
    <t>1.</t>
  </si>
  <si>
    <t>x</t>
  </si>
  <si>
    <t>2.</t>
  </si>
  <si>
    <t>3.</t>
  </si>
  <si>
    <t>4.</t>
  </si>
  <si>
    <t>5.</t>
  </si>
  <si>
    <t>6.</t>
  </si>
  <si>
    <t>7.</t>
  </si>
  <si>
    <t>8.</t>
  </si>
  <si>
    <t>9.</t>
  </si>
  <si>
    <t>10.</t>
  </si>
  <si>
    <t>11.</t>
  </si>
  <si>
    <t>12.</t>
  </si>
  <si>
    <t>13.</t>
  </si>
  <si>
    <t>14.</t>
  </si>
  <si>
    <t>15.</t>
  </si>
  <si>
    <t>Labor:</t>
  </si>
  <si>
    <t>Material:</t>
  </si>
  <si>
    <t>Other:</t>
  </si>
  <si>
    <t>Contingency:</t>
  </si>
  <si>
    <t>Total:</t>
  </si>
  <si>
    <t>Other &amp; Contingency :</t>
  </si>
  <si>
    <t>% of Purchase Price</t>
  </si>
  <si>
    <t>Labor &amp; Material:</t>
  </si>
  <si>
    <t>Furniture Estimate Method:</t>
  </si>
  <si>
    <t>Selected Profile :</t>
  </si>
  <si>
    <t>Cost by Area (Detailed &amp; Quick Estimate Methods)</t>
  </si>
  <si>
    <t>Acquisition</t>
  </si>
  <si>
    <t>Area (Repairs)</t>
  </si>
  <si>
    <t>Dining Room</t>
  </si>
  <si>
    <t>Bathroom #4</t>
  </si>
  <si>
    <t>Comment</t>
  </si>
  <si>
    <t>Total Estimate :</t>
  </si>
  <si>
    <t>Sub-Category</t>
  </si>
  <si>
    <t>Vendor</t>
  </si>
  <si>
    <t>Unit Price</t>
  </si>
  <si>
    <t>P1</t>
  </si>
  <si>
    <t>P2</t>
  </si>
  <si>
    <t>P3</t>
  </si>
  <si>
    <t>P4</t>
  </si>
  <si>
    <t>P5</t>
  </si>
  <si>
    <t>Profiles Furniture</t>
  </si>
  <si>
    <t>✔</t>
  </si>
  <si>
    <t>Categories Furnishing</t>
  </si>
  <si>
    <t>Appliances</t>
  </si>
  <si>
    <t>Furniture</t>
  </si>
  <si>
    <t>Bedding</t>
  </si>
  <si>
    <t>Accessories</t>
  </si>
  <si>
    <t>Decor</t>
  </si>
  <si>
    <t>Kitchenware</t>
  </si>
  <si>
    <t>Lighting</t>
  </si>
  <si>
    <t>Summary Estimate Per Category</t>
  </si>
  <si>
    <t>Link</t>
  </si>
  <si>
    <t>Selected Profile:</t>
  </si>
  <si>
    <t>Summary Estimate Per Profile</t>
  </si>
  <si>
    <t>Included in Furnishing Profiles :</t>
  </si>
  <si>
    <t>Repairs</t>
  </si>
  <si>
    <t>Profiles</t>
  </si>
  <si>
    <t>Estimates</t>
  </si>
  <si>
    <t>Scenarios</t>
  </si>
  <si>
    <t>&gt;&gt; DASHBOARD</t>
  </si>
  <si>
    <t>&gt;&gt; REPAIRS</t>
  </si>
  <si>
    <t>Other Acquisition Costs :</t>
  </si>
  <si>
    <t>Total Financing Payment :</t>
  </si>
  <si>
    <t>Profile Name</t>
  </si>
  <si>
    <t>Selected Data</t>
  </si>
  <si>
    <t>Profile Name :</t>
  </si>
  <si>
    <t>Rental Property</t>
  </si>
  <si>
    <t>Annual Var. Expenses (% GSI) :</t>
  </si>
  <si>
    <t>Long Term Operating Assumptions</t>
  </si>
  <si>
    <t>Profile Average &gt;</t>
  </si>
  <si>
    <t>RENTAL PROFILES</t>
  </si>
  <si>
    <t>Cap Rate :</t>
  </si>
  <si>
    <t>COC :</t>
  </si>
  <si>
    <t>1% Rule :</t>
  </si>
  <si>
    <t>IRR :</t>
  </si>
  <si>
    <t>MIRR :</t>
  </si>
  <si>
    <t>&gt;&gt; FORECASTS</t>
  </si>
  <si>
    <t>Return</t>
  </si>
  <si>
    <t xml:space="preserve">Menu : </t>
  </si>
  <si>
    <t>Year End:</t>
  </si>
  <si>
    <t>FIRST CALENDAR YEAR - MONTHLY ESTIMATES</t>
  </si>
  <si>
    <t>Month Plan</t>
  </si>
  <si>
    <t>Stub</t>
  </si>
  <si>
    <t>&gt;&gt; MORTGAGE</t>
  </si>
  <si>
    <t>Year End :</t>
  </si>
  <si>
    <t># of Months :</t>
  </si>
  <si>
    <t>Sale Flag</t>
  </si>
  <si>
    <t># of Remaining Months:</t>
  </si>
  <si>
    <t>Total Expenses Breakdown - Year 1</t>
  </si>
  <si>
    <t>Custom Op. Expense 1</t>
  </si>
  <si>
    <t>Custom Op. Expense 2</t>
  </si>
  <si>
    <t>Refinancing Date :</t>
  </si>
  <si>
    <t>Net Debt Drawdown :</t>
  </si>
  <si>
    <t>Property Sale Date :</t>
  </si>
  <si>
    <t>&gt;&gt; DEBT</t>
  </si>
  <si>
    <t>Total Cost of Debt (Interest + Ins.)</t>
  </si>
  <si>
    <t>Purchase Date :</t>
  </si>
  <si>
    <t>Sale Date :</t>
  </si>
  <si>
    <t>Client</t>
  </si>
  <si>
    <t># of Remaining days:</t>
  </si>
  <si>
    <t>At Closing</t>
  </si>
  <si>
    <t>&gt;&gt; PEERS</t>
  </si>
  <si>
    <t>PROPERTY INFORMATION</t>
  </si>
  <si>
    <t>Property Name :</t>
  </si>
  <si>
    <t>My Property</t>
  </si>
  <si>
    <t>Comparable 1</t>
  </si>
  <si>
    <t>Comparable 2</t>
  </si>
  <si>
    <t>Comparable 3</t>
  </si>
  <si>
    <t>Comparable 4</t>
  </si>
  <si>
    <t>Comparable 5</t>
  </si>
  <si>
    <t>Comparable 6</t>
  </si>
  <si>
    <t>Comparable 7</t>
  </si>
  <si>
    <t>Comparable 8</t>
  </si>
  <si>
    <t>Comparable 9</t>
  </si>
  <si>
    <t>Comparable 10</t>
  </si>
  <si>
    <t>General Information</t>
  </si>
  <si>
    <t>Median</t>
  </si>
  <si>
    <t>Room #1</t>
  </si>
  <si>
    <t>Room #2</t>
  </si>
  <si>
    <t>Room #3</t>
  </si>
  <si>
    <t>Room #4</t>
  </si>
  <si>
    <t>Room #5</t>
  </si>
  <si>
    <t>Room #6</t>
  </si>
  <si>
    <t>Bedrooms :</t>
  </si>
  <si>
    <t>Guests :</t>
  </si>
  <si>
    <t xml:space="preserve">Bed Types : </t>
  </si>
  <si>
    <t xml:space="preserve">Bathrooms : </t>
  </si>
  <si>
    <t xml:space="preserve">Lot Size : </t>
  </si>
  <si>
    <t>Location :</t>
  </si>
  <si>
    <t>Listing Page :</t>
  </si>
  <si>
    <t>Bed Types</t>
  </si>
  <si>
    <t>Crib</t>
  </si>
  <si>
    <t>Single</t>
  </si>
  <si>
    <t>Twin</t>
  </si>
  <si>
    <t>Full</t>
  </si>
  <si>
    <t>Queen</t>
  </si>
  <si>
    <t>King</t>
  </si>
  <si>
    <t>Bunk Bed</t>
  </si>
  <si>
    <t>Rating :</t>
  </si>
  <si>
    <t>Reviews :</t>
  </si>
  <si>
    <t>Financial Information</t>
  </si>
  <si>
    <t>Cleaning Fee :</t>
  </si>
  <si>
    <t>Service Fee :</t>
  </si>
  <si>
    <t>Showing Pricing for :</t>
  </si>
  <si>
    <t>Nights</t>
  </si>
  <si>
    <t>Weeks</t>
  </si>
  <si>
    <t>Months</t>
  </si>
  <si>
    <t>Total Cost / Guest / Night</t>
  </si>
  <si>
    <t>Superhost :</t>
  </si>
  <si>
    <t>Superhost</t>
  </si>
  <si>
    <t>Location</t>
  </si>
  <si>
    <t>View :</t>
  </si>
  <si>
    <t>Mountain View</t>
  </si>
  <si>
    <t>Lake View</t>
  </si>
  <si>
    <t>Type :</t>
  </si>
  <si>
    <t>Special Access :</t>
  </si>
  <si>
    <t>Views</t>
  </si>
  <si>
    <t>Beachfront</t>
  </si>
  <si>
    <t>Skyline View</t>
  </si>
  <si>
    <t>Woods View</t>
  </si>
  <si>
    <t>Valley View</t>
  </si>
  <si>
    <t>Air Conditioning :</t>
  </si>
  <si>
    <t>Heating :</t>
  </si>
  <si>
    <t>Fireplace :</t>
  </si>
  <si>
    <t>Dedicated Workspace :</t>
  </si>
  <si>
    <t>Coffee Machine :</t>
  </si>
  <si>
    <t>Refrigerator :</t>
  </si>
  <si>
    <t>Cooking Basics :</t>
  </si>
  <si>
    <t>Dishes and Silverware :</t>
  </si>
  <si>
    <t>Dishwasher :</t>
  </si>
  <si>
    <t>Stove :</t>
  </si>
  <si>
    <t>Oven :</t>
  </si>
  <si>
    <t>Microwave :</t>
  </si>
  <si>
    <t>Hot Water Kettle :</t>
  </si>
  <si>
    <t>Baking Sheet :</t>
  </si>
  <si>
    <t>Freezer :</t>
  </si>
  <si>
    <t>Wine Glasses :</t>
  </si>
  <si>
    <t>Toaster :</t>
  </si>
  <si>
    <t>Dining Table :</t>
  </si>
  <si>
    <t>PROPERTY AMENITIES</t>
  </si>
  <si>
    <t>Bathroom</t>
  </si>
  <si>
    <t>Bathtub :</t>
  </si>
  <si>
    <t>Hair Dryer :</t>
  </si>
  <si>
    <t>Cleaning Products :</t>
  </si>
  <si>
    <t>Shampoo :</t>
  </si>
  <si>
    <t>Conditioner :</t>
  </si>
  <si>
    <t>Body Soap :</t>
  </si>
  <si>
    <t>Hot Water :</t>
  </si>
  <si>
    <t>Shower Gel :</t>
  </si>
  <si>
    <t>Bedroom &amp; Laundry</t>
  </si>
  <si>
    <t>Towels / Bed Sheets / Soap :</t>
  </si>
  <si>
    <t>Hangers :</t>
  </si>
  <si>
    <t>Bed Linens :</t>
  </si>
  <si>
    <t>Washer :</t>
  </si>
  <si>
    <t>Dryer :</t>
  </si>
  <si>
    <t>Extra Pillows and Blankets :</t>
  </si>
  <si>
    <t>Iron :</t>
  </si>
  <si>
    <t>Room Darkening Shades :</t>
  </si>
  <si>
    <t>Closing Storage :</t>
  </si>
  <si>
    <t>Entertainment</t>
  </si>
  <si>
    <t>Smart TV :</t>
  </si>
  <si>
    <t>Books :</t>
  </si>
  <si>
    <t>Board Games :</t>
  </si>
  <si>
    <t>Ping Pong Table :</t>
  </si>
  <si>
    <t>Pool Table :</t>
  </si>
  <si>
    <t>Outdoor</t>
  </si>
  <si>
    <t>Custom 1 :</t>
  </si>
  <si>
    <t>Custom 2 :</t>
  </si>
  <si>
    <t>Backyard :</t>
  </si>
  <si>
    <t>Fire Pit :</t>
  </si>
  <si>
    <t>Outdoor Furniture :</t>
  </si>
  <si>
    <t>BBQ Grill :</t>
  </si>
  <si>
    <t>Hot Tub :</t>
  </si>
  <si>
    <t>Pool :</t>
  </si>
  <si>
    <t>Family</t>
  </si>
  <si>
    <t>Crib :</t>
  </si>
  <si>
    <t>High Chair :</t>
  </si>
  <si>
    <t>Noise Machine :</t>
  </si>
  <si>
    <t xml:space="preserve"> Home Safety</t>
  </si>
  <si>
    <t>Smoke Alarm :</t>
  </si>
  <si>
    <t>Carbon Monoxide Alarm :</t>
  </si>
  <si>
    <t>Fire Extinguisher :</t>
  </si>
  <si>
    <t>First Aid Kit :</t>
  </si>
  <si>
    <t>Peer Count</t>
  </si>
  <si>
    <t>POLICY</t>
  </si>
  <si>
    <t>Peer :</t>
  </si>
  <si>
    <t>Cancellation Policy :</t>
  </si>
  <si>
    <t>Pets Policy :</t>
  </si>
  <si>
    <t>Self-Check In :</t>
  </si>
  <si>
    <t>Lockbox :</t>
  </si>
  <si>
    <t>Keypad :</t>
  </si>
  <si>
    <t>Security Cameras :</t>
  </si>
  <si>
    <t>Luggage Dropoff Allowed :</t>
  </si>
  <si>
    <t>Long Term Stay Allowed :</t>
  </si>
  <si>
    <t>Drying Rack for clothing :</t>
  </si>
  <si>
    <t>Mosquito net :</t>
  </si>
  <si>
    <t>Ceiling Fan :</t>
  </si>
  <si>
    <t>Portable Fans :</t>
  </si>
  <si>
    <t>Coffee :</t>
  </si>
  <si>
    <t>Private Entrance :</t>
  </si>
  <si>
    <t>Private Patio / Balcony :</t>
  </si>
  <si>
    <t>Outdoor Dining Area :</t>
  </si>
  <si>
    <t>Breakfast :</t>
  </si>
  <si>
    <t>Pool View</t>
  </si>
  <si>
    <t>Sound System :</t>
  </si>
  <si>
    <t>Sun Loungers :</t>
  </si>
  <si>
    <t>Exercise Equipment :</t>
  </si>
  <si>
    <t>Children's Books &amp; Toys :</t>
  </si>
  <si>
    <t>Blender :</t>
  </si>
  <si>
    <t>EV Charger :</t>
  </si>
  <si>
    <t>Home Gym :</t>
  </si>
  <si>
    <t>Arcade Games :</t>
  </si>
  <si>
    <t>Baby Bath :</t>
  </si>
  <si>
    <t>Baby Safety Gates :</t>
  </si>
  <si>
    <t>Baby Monitor :</t>
  </si>
  <si>
    <t>Babysitter Recommendations :</t>
  </si>
  <si>
    <t>Changing Table :</t>
  </si>
  <si>
    <t>Children's Playroom :</t>
  </si>
  <si>
    <t>Children's Bikes :</t>
  </si>
  <si>
    <t>Children's Dinnerware :</t>
  </si>
  <si>
    <t>Fireplace Guards :</t>
  </si>
  <si>
    <t>Outdoor Playground :</t>
  </si>
  <si>
    <t>Outlet Covers :</t>
  </si>
  <si>
    <t>Pack'n Play / Travel Crib :</t>
  </si>
  <si>
    <t>Table Corner Guards :</t>
  </si>
  <si>
    <t>Window Guards :</t>
  </si>
  <si>
    <t>Bidet :</t>
  </si>
  <si>
    <t>Outdoor Shower :</t>
  </si>
  <si>
    <t>Safe :</t>
  </si>
  <si>
    <t>Batting Cage :</t>
  </si>
  <si>
    <t>Bowling Alley :</t>
  </si>
  <si>
    <t>Climbing Wall :</t>
  </si>
  <si>
    <t>Game Console :</t>
  </si>
  <si>
    <t>Laser Tag :</t>
  </si>
  <si>
    <t>Life Size Games :</t>
  </si>
  <si>
    <t>Mini Golf :</t>
  </si>
  <si>
    <t>Movie Theater :</t>
  </si>
  <si>
    <t>Piano :</t>
  </si>
  <si>
    <t>Record Player :</t>
  </si>
  <si>
    <t>Skate Ramp :</t>
  </si>
  <si>
    <t>Theme Room :</t>
  </si>
  <si>
    <t>Bread Maker :</t>
  </si>
  <si>
    <t>Mini Fridge :</t>
  </si>
  <si>
    <t>Rice Maker :</t>
  </si>
  <si>
    <t>Trash Compactor :</t>
  </si>
  <si>
    <t>Beach Essentials :</t>
  </si>
  <si>
    <t>Bikes :</t>
  </si>
  <si>
    <t>Boat Slip :</t>
  </si>
  <si>
    <t>Hammock :</t>
  </si>
  <si>
    <t>Kayak :</t>
  </si>
  <si>
    <t>Outdoor Kitchen :</t>
  </si>
  <si>
    <t>Elevator :</t>
  </si>
  <si>
    <t>Free Parking on Premises :</t>
  </si>
  <si>
    <t>Free Street Parking :</t>
  </si>
  <si>
    <t>Hockey Rink :</t>
  </si>
  <si>
    <t>Sauna :</t>
  </si>
  <si>
    <t>Single Level Home :</t>
  </si>
  <si>
    <t>Cleaning Available During Stay :</t>
  </si>
  <si>
    <t>Menu :</t>
  </si>
  <si>
    <t>Amenities</t>
  </si>
  <si>
    <t>Policy</t>
  </si>
  <si>
    <t>Additional Guest Fee</t>
  </si>
  <si>
    <t>Additional Guest Fee :</t>
  </si>
  <si>
    <t>Per booking</t>
  </si>
  <si>
    <t>Per night</t>
  </si>
  <si>
    <t>Occupancy Taxes :</t>
  </si>
  <si>
    <t>Airbnb Assumption</t>
  </si>
  <si>
    <t>Average Nightly Rate</t>
  </si>
  <si>
    <t>&gt;&gt; ACTUALS (MONTHLY)</t>
  </si>
  <si>
    <t>Select Year :</t>
  </si>
  <si>
    <t>Annualized</t>
  </si>
  <si>
    <t>Reporting Start Date :</t>
  </si>
  <si>
    <t>Unlevered Cash Flow</t>
  </si>
  <si>
    <t>Cumulative Unlevered Cash Flow</t>
  </si>
  <si>
    <t>Purchase Date</t>
  </si>
  <si>
    <t>Reporting</t>
  </si>
  <si>
    <t>Total Financing Expenses</t>
  </si>
  <si>
    <t>Levered Cash Flow</t>
  </si>
  <si>
    <t>&gt;&gt; ACTUALS (YEARLY)</t>
  </si>
  <si>
    <t>Year to Compare :</t>
  </si>
  <si>
    <t>Budget</t>
  </si>
  <si>
    <t>Actual</t>
  </si>
  <si>
    <t>Var</t>
  </si>
  <si>
    <t>&gt;&gt; VERSUS</t>
  </si>
  <si>
    <t>Full Year</t>
  </si>
  <si>
    <t>CASH FLOW</t>
  </si>
  <si>
    <t>% of Net Rental Income</t>
  </si>
  <si>
    <t>SOURCES &amp; USES</t>
  </si>
  <si>
    <t>Cash Payment :</t>
  </si>
  <si>
    <t>Loan / Mortgage :</t>
  </si>
  <si>
    <t>Acquisition Price :</t>
  </si>
  <si>
    <t>REFINANCING</t>
  </si>
  <si>
    <t>PROFITABILITY METRICS</t>
  </si>
  <si>
    <t>Levered EMX</t>
  </si>
  <si>
    <t>1% Rule</t>
  </si>
  <si>
    <t>Cash Out Date</t>
  </si>
  <si>
    <t>Airbnb Fee</t>
  </si>
  <si>
    <t>Airbnb Fee :</t>
  </si>
  <si>
    <t>(+) Additional Guest Fee</t>
  </si>
  <si>
    <t>(-) Service Fee - Host</t>
  </si>
  <si>
    <t>Forecasts</t>
  </si>
  <si>
    <t>All Reports:</t>
  </si>
  <si>
    <t>Summary</t>
  </si>
  <si>
    <t>Amortization</t>
  </si>
  <si>
    <t>Expenses</t>
  </si>
  <si>
    <t>RATIOS &amp; PROFITABILITY METRICS</t>
  </si>
  <si>
    <t>DEBT &amp; HOME EQUITY</t>
  </si>
  <si>
    <t>FORECASTS REPORT</t>
  </si>
  <si>
    <t>AMORTIZATION SCHEDULE</t>
  </si>
  <si>
    <t>MORTGAGE BALANCE</t>
  </si>
  <si>
    <t>Monthly Average</t>
  </si>
  <si>
    <t>&gt;&gt; AMORTIZATION</t>
  </si>
  <si>
    <t>&gt;&gt; YEAR TO DATE</t>
  </si>
  <si>
    <t>YEAR TO DATE</t>
  </si>
  <si>
    <t>RENTAL INCOME</t>
  </si>
  <si>
    <t>OPERATING EXPENSES</t>
  </si>
  <si>
    <t>NET RENTAL INCOME</t>
  </si>
  <si>
    <t>CAPEX &amp; OTHER EXPENSES</t>
  </si>
  <si>
    <t>FINANCING EXPENSES</t>
  </si>
  <si>
    <t>Selected Year</t>
  </si>
  <si>
    <t>Capex &amp; Other</t>
  </si>
  <si>
    <t>Financing Exp.</t>
  </si>
  <si>
    <t>Operating Exp.</t>
  </si>
  <si>
    <t>Jan</t>
  </si>
  <si>
    <t>Feb</t>
  </si>
  <si>
    <t>Mar</t>
  </si>
  <si>
    <t>Apr</t>
  </si>
  <si>
    <t>Jun</t>
  </si>
  <si>
    <t>Jul</t>
  </si>
  <si>
    <t>Aug</t>
  </si>
  <si>
    <t>Sep</t>
  </si>
  <si>
    <t>Oct</t>
  </si>
  <si>
    <t>Nov</t>
  </si>
  <si>
    <t>Dec</t>
  </si>
  <si>
    <t>TOTAL EXPENSES</t>
  </si>
  <si>
    <t>TOP EXPENSE CATEGORIES</t>
  </si>
  <si>
    <t>MONTHLY REPORT</t>
  </si>
  <si>
    <t>&gt;&gt; MONTHLY</t>
  </si>
  <si>
    <t>Selected Period</t>
  </si>
  <si>
    <t>Previous Month</t>
  </si>
  <si>
    <t>YoY</t>
  </si>
  <si>
    <t>Forecasted</t>
  </si>
  <si>
    <t>EXPENSES BREAKDOWN</t>
  </si>
  <si>
    <t>Year on Year</t>
  </si>
  <si>
    <t>VERSUS REPORT</t>
  </si>
  <si>
    <t>Year to Month:</t>
  </si>
  <si>
    <t>NET CASH FLOW</t>
  </si>
  <si>
    <t>ACTUALS</t>
  </si>
  <si>
    <t>FORECASTED</t>
  </si>
  <si>
    <t>MONTHLY BREAKDOWN</t>
  </si>
  <si>
    <t>Forecast</t>
  </si>
  <si>
    <t>Difference</t>
  </si>
  <si>
    <t>Budget (month)</t>
  </si>
  <si>
    <t>Budget (YTD)</t>
  </si>
  <si>
    <t># Of Nights</t>
  </si>
  <si>
    <t>Forecasted Cash Flow</t>
  </si>
  <si>
    <t>Actual Cash Flow</t>
  </si>
  <si>
    <t>Graphs Versus Report</t>
  </si>
  <si>
    <t>Versus</t>
  </si>
  <si>
    <t>Financial Expenses</t>
  </si>
  <si>
    <t>&gt;&gt; SUMMARY</t>
  </si>
  <si>
    <t>Net Rental Income :</t>
  </si>
  <si>
    <t>&gt;&gt; FINANCING REPORT</t>
  </si>
  <si>
    <t>&gt;&gt; EXPENSES REPORT</t>
  </si>
  <si>
    <t>&gt;&gt; SCENARIO</t>
  </si>
  <si>
    <t>&gt;&gt; CUSTOM</t>
  </si>
  <si>
    <t>Interest vs. Down - COC</t>
  </si>
  <si>
    <t>Interest vs. Down - CASH FLOW</t>
  </si>
  <si>
    <t>Acq Price vs. ROT - CAP RATE</t>
  </si>
  <si>
    <t>Acq Price vs. ROT - COC</t>
  </si>
  <si>
    <t>Acq Price vs. ROT - CASH FLOW</t>
  </si>
  <si>
    <t>Nightly Rate vs Occupancy Rate - LEVERED IRR</t>
  </si>
  <si>
    <t>Nightly Rate vs Occupancy Rate - CAP RATE</t>
  </si>
  <si>
    <t>Nightly Rate vs Occupancy Rate - COC</t>
  </si>
  <si>
    <t>Nightly Rate vs Occupancy Rate - CASH FLOW</t>
  </si>
  <si>
    <t>Acquisition Price / Nightly Rate - LEVERED IRR</t>
  </si>
  <si>
    <t>Acquisition Price / Nightly Rate  - CAP RATE</t>
  </si>
  <si>
    <t>Acquisition Price / Nightly Rate - COC</t>
  </si>
  <si>
    <t>Acquisition Price / Nightly Rate - CASH FLOW</t>
  </si>
  <si>
    <t>Acquisition Price vs. Nightly Rate</t>
  </si>
  <si>
    <t>Mid-Value Nightly Rate:</t>
  </si>
  <si>
    <t>Interval Nightly Rate:</t>
  </si>
  <si>
    <t>Nightly Rate vs. Occupancy Rate</t>
  </si>
  <si>
    <t>Mid-Value Occupancy Rate:</t>
  </si>
  <si>
    <t>Interval Occupancy Rate:</t>
  </si>
  <si>
    <t>← Nightly Rate →</t>
  </si>
  <si>
    <t>Nightly Rate ↓</t>
  </si>
  <si>
    <t>← Occupancy Rate →</t>
  </si>
  <si>
    <t>Interest vs. Down - P&amp;I Expense</t>
  </si>
  <si>
    <t>Year To Date</t>
  </si>
  <si>
    <t>REPAIRS</t>
  </si>
  <si>
    <t>ACTUALS (M)</t>
  </si>
  <si>
    <t>VERSUS (M)</t>
  </si>
  <si>
    <t>ACTUALS (Y)</t>
  </si>
  <si>
    <t>PEERS</t>
  </si>
  <si>
    <t>MONTHLY</t>
  </si>
  <si>
    <t>VERSUS</t>
  </si>
  <si>
    <t>Enter your detailed list of repairs required prior to renting your property</t>
  </si>
  <si>
    <t>Compare your actuals versus your initial forecasts, on a monthly basis</t>
  </si>
  <si>
    <t>Summary report for a particular month (month to be selected in the report directly)</t>
  </si>
  <si>
    <t>Summary report for a Year To Date period (period to be selected in the report directly)</t>
  </si>
  <si>
    <t>Report comparing Actuals vs. Forecasted performances over a particular year</t>
  </si>
  <si>
    <t>Summary forecasts</t>
  </si>
  <si>
    <t>Tool to assess how profitability metrics are impacted by changes in key assumptions (Purchase Price, Nightly Rate, Down Payment, etc.)</t>
  </si>
  <si>
    <t>Keep track of all your rental expenses on a monthly basis</t>
  </si>
  <si>
    <t>Summary of your actuals on an annual basis</t>
  </si>
  <si>
    <t>Compare your short-term rental with other similar properties and understand what your competition offers around you</t>
  </si>
  <si>
    <t>FURNITURE</t>
  </si>
  <si>
    <t>All other cells are fields populated and used by the model to perform the analysis. These cells are locked and cannot be modified by users. Although all tabs remain locked in order to maintain the integrity of the spreadsheet (structure, formulas, etc.), this does not prevent you from entering you own data and run you own analysis.</t>
  </si>
  <si>
    <t>Miami Beach</t>
  </si>
  <si>
    <t>Furniture &amp; Appliances :</t>
  </si>
  <si>
    <t>New Mortgage Payment :</t>
  </si>
  <si>
    <t>Sale Date</t>
  </si>
  <si>
    <t>Nightly Rate / Guest / Night</t>
  </si>
  <si>
    <t>BBQ Utensils :</t>
  </si>
  <si>
    <t>Internet / Wi-Fi :</t>
  </si>
  <si>
    <t>Laundromat nearby :</t>
  </si>
  <si>
    <t>Fully Equipped Kitchen :</t>
  </si>
  <si>
    <t>Gross Rent Multiplier</t>
  </si>
  <si>
    <t>Airbnb Host Service Fee :</t>
  </si>
  <si>
    <t>Airbnb Client Service Fee :</t>
  </si>
  <si>
    <t>Downside Case</t>
  </si>
  <si>
    <t>Area (Furniture)</t>
  </si>
  <si>
    <t>FURNITURE &amp; APPLIANCES ASSUMPTIONS</t>
  </si>
  <si>
    <t>&gt;&gt; FURNITURE</t>
  </si>
  <si>
    <t>Total Appliances &amp; Furniture :</t>
  </si>
  <si>
    <t>Enter the full list of Furniture to be purchased in order to furnish your rental property appropriately</t>
  </si>
  <si>
    <t>Repayment at Property Sale</t>
  </si>
  <si>
    <t>Total Debt Outstanding</t>
  </si>
  <si>
    <t>Airbnb Spreadsheet</t>
  </si>
  <si>
    <t>This pre-built spreadsheet will help you analyze and manage short-term rental properties like a Pro. The template includes all the most relevant measures and indicators used by seasoned real estate investors and will quickly tell you if a property is a good candidate to become a short-term rental. Easy-to-use yet powerful, this spreadsheet has been built to be user-friendly and only requires limited input to perform an in-depth analysis. This spreadsheet also includes sections to keep track of your monthly expenses and compare your actual performance with your initial forecasts.</t>
  </si>
  <si>
    <t>Debt Outstanding</t>
  </si>
  <si>
    <t>Lev. MIRR</t>
  </si>
  <si>
    <t>Lev. Emx</t>
  </si>
  <si>
    <t>Lev. Profits</t>
  </si>
  <si>
    <t>Lev. IRR</t>
  </si>
  <si>
    <t>Unl. Profits</t>
  </si>
  <si>
    <t>Unl. MIRR</t>
  </si>
  <si>
    <t>Unl. IRR</t>
  </si>
  <si>
    <t>&gt;&gt; MAX PRICE</t>
  </si>
  <si>
    <t>Electronics</t>
  </si>
  <si>
    <t>Equipment</t>
  </si>
  <si>
    <t>Furniture &amp; Appliances</t>
  </si>
  <si>
    <t>MAX PURCHASE PRICE</t>
  </si>
  <si>
    <t>?</t>
  </si>
  <si>
    <t>Phone</t>
  </si>
  <si>
    <t>Property Insurance + Tax</t>
  </si>
  <si>
    <t>Irrigation</t>
  </si>
  <si>
    <t>Security</t>
  </si>
  <si>
    <t>Front Door</t>
  </si>
  <si>
    <t>Garage Door</t>
  </si>
  <si>
    <t>Sliding Glass Door</t>
  </si>
  <si>
    <t>Main Bedroom Windows</t>
  </si>
  <si>
    <t>Spare Bedroom Windows</t>
  </si>
  <si>
    <t>Laundry + Door + Ceiling</t>
  </si>
  <si>
    <t>Bathrooms + Doors + Ceiling</t>
  </si>
  <si>
    <t>Closets, Pantry + Doors + Ceiling</t>
  </si>
  <si>
    <t>Carpet</t>
  </si>
  <si>
    <t>Pergo</t>
  </si>
  <si>
    <t>Main, Outdoor, Fridge, Kitchen, Bathroom</t>
  </si>
  <si>
    <t>2nd Floor Bathrooms, Laundry Room</t>
  </si>
  <si>
    <t>HVAC 50A</t>
  </si>
  <si>
    <t>2nd Floor 15A, Dryer 30A</t>
  </si>
  <si>
    <t>Main Floor 15A, Stove 40A, Microwave 20A</t>
  </si>
  <si>
    <t>Hot Tub 50A</t>
  </si>
  <si>
    <t>Rear Deck</t>
  </si>
  <si>
    <t>Front Bush</t>
  </si>
  <si>
    <t>Back Fence</t>
  </si>
  <si>
    <t>Kitchen/Dining/Living/Hallways/Doors/Ceiling</t>
  </si>
  <si>
    <t>Attic</t>
  </si>
  <si>
    <t>Subfloor</t>
  </si>
  <si>
    <t>Hot Tub "brain", pump, jets</t>
  </si>
  <si>
    <t>Back Gate</t>
  </si>
  <si>
    <t>Hot Tub Supplies/Chemicals per year</t>
  </si>
  <si>
    <t>WinsWithMike.com or Michael Forsberg Nampa, Idaho</t>
  </si>
  <si>
    <t>© WinsWithMike.com or Michael Forsberg Nampa, Idaho</t>
  </si>
  <si>
    <t>IMPORTANT: This End-User License Agreement (“EULA”) is a legal agreement between you and WinsWithMike.com or Michael Forsberg Nampa, Idaho. By downloading, accessing and otherwise using this spreadsheet you agree to be bound by the terms of this EULA. If you do not agree to the terms of this EULA, do not use this spreadsheet.</t>
  </si>
  <si>
    <t>Under the terms of this EULA, you may use this spreadsheet for personal or business purpose only. Each license is individual and allows for the use of the spreadsheet on one computer by one user. This agreement does not grant you the right to distribute, sell, license, sub-license, trade or transfer this spreadsheet to any third party under any circumstance. No copies of this spreadsheet are to be made other than as expressly approved by WinsWithMike.com or Michael Forsberg Nampa, Idaho. Copyright, disclaimers, logos and other trademark notices may not be removed from this spreadsheet.</t>
  </si>
  <si>
    <t xml:space="preserve">This spreadsheet is for educational and informational purposes only. It is provided “As-Is” and does not constitute financial, accounting, or legal advice. WinsWithMike.com or Michael Forsberg Nampa, Idaho makes no warranties, expressed or implied, and hereby disclaims and negates all other warranties, including without limitation, implied warranties or conditions of merchantability, fitness for a particular purpose, or non-infringement of intellectual property or other violation of rights. Further, WinsWithMike.com or Michael Forsberg Nampa, Idaho does not warrant or make any representations concerning the accuracy, likely results, or reliability of the use of the materials in this spreadsheet. Please use caution and seek the advice of qualified professionals.  Check with your accountant, lawyer or professional advisor, before acting on this or any information.			</t>
  </si>
  <si>
    <t xml:space="preserve">RealEstateSpreadsheet.com cannot be held responsible for the success or failure of your financial decisions relating to any information presented in this spreadsheet or on our website. In no event shall WinsWithMike.com or Michael Forsberg Nampa, Idaho be liable for any damages (including, without limitation, damages for loss of profit) arising out of the use or inability to use the materials in this spreadsheet or on our Internet site.	</t>
  </si>
  <si>
    <t>2.0.0</t>
  </si>
  <si>
    <t>VIP Advanced Version</t>
  </si>
  <si>
    <t>as of 20250831</t>
  </si>
  <si>
    <t>© 2025 by WinsWithMike.com or Michael Forsberg Nampa, Idaho. All rights reserved</t>
  </si>
  <si>
    <t>Unlimited Please Share ¯\_(ツ)_/¯</t>
  </si>
  <si>
    <t>As anything gets updated, a current version is here.</t>
  </si>
  <si>
    <t>To merge your information into an update, email your copy or share it to mlforsb@outlook.com</t>
  </si>
  <si>
    <t>BALANCE</t>
  </si>
  <si>
    <t>TOTAL LIABILITIES &amp; STOCKHOLDER EQUITY</t>
  </si>
  <si>
    <t>TOTAL ASSETS</t>
  </si>
  <si>
    <t>Owner equity</t>
  </si>
  <si>
    <t>Long-term liabilities</t>
  </si>
  <si>
    <t>Current liabilities</t>
  </si>
  <si>
    <t>Other assets</t>
  </si>
  <si>
    <t>Fixed assets</t>
  </si>
  <si>
    <t>Current assets</t>
  </si>
  <si>
    <t>CURRENT YEAR</t>
  </si>
  <si>
    <t>PRIOR YEAR</t>
  </si>
  <si>
    <t>ASSET TYPE</t>
  </si>
  <si>
    <t>Less accumulated depreciation (negative value)</t>
  </si>
  <si>
    <t>DESCRIPTION</t>
  </si>
  <si>
    <t>Accumulated retained earnings</t>
  </si>
  <si>
    <t>Investment capital</t>
  </si>
  <si>
    <t>Mortgage payable</t>
  </si>
  <si>
    <t>Unearned revenue</t>
  </si>
  <si>
    <t>Income taxes payable</t>
  </si>
  <si>
    <t>Accrued compensation</t>
  </si>
  <si>
    <t>Accrued wages</t>
  </si>
  <si>
    <t>Accounts payable</t>
  </si>
  <si>
    <t>LIABILITY TYPE</t>
  </si>
  <si>
    <t>AirBnB</t>
  </si>
  <si>
    <t>Date:</t>
  </si>
  <si>
    <t>As of Date</t>
  </si>
  <si>
    <t>XX/XX/XXXX</t>
  </si>
  <si>
    <t>AirBnb 1</t>
  </si>
  <si>
    <t>Zip Code</t>
  </si>
  <si>
    <t>AirBnb 2</t>
  </si>
  <si>
    <t>AirBnb 3</t>
  </si>
  <si>
    <t>AirBnb 4</t>
  </si>
  <si>
    <t>AirBnb 5</t>
  </si>
  <si>
    <t>AirBnb 6</t>
  </si>
  <si>
    <t>AirBnb 7</t>
  </si>
  <si>
    <t>AirBnb 8</t>
  </si>
  <si>
    <t>AirBnb 9</t>
  </si>
  <si>
    <t>AirBnb 10</t>
  </si>
  <si>
    <t>AirBnb 11</t>
  </si>
  <si>
    <t>AirBnb 12</t>
  </si>
  <si>
    <t>AirBnb 13</t>
  </si>
  <si>
    <t>AirBnb 14</t>
  </si>
  <si>
    <t>AirBnb 15</t>
  </si>
  <si>
    <t>AirBnb 16</t>
  </si>
  <si>
    <t>AirBnb 17</t>
  </si>
  <si>
    <t>AirBnb 18</t>
  </si>
  <si>
    <t>AirBnb 19</t>
  </si>
  <si>
    <t>AirBnb 20</t>
  </si>
  <si>
    <t>AirBnb 21</t>
  </si>
  <si>
    <t>AirBnb 22</t>
  </si>
  <si>
    <t>AirBnb 23</t>
  </si>
  <si>
    <t>AirBnb 24</t>
  </si>
  <si>
    <t>AirBnb 25</t>
  </si>
  <si>
    <t>AirBnb 26</t>
  </si>
  <si>
    <t>AirBnb 27</t>
  </si>
  <si>
    <t>AirBnb 28</t>
  </si>
  <si>
    <t>AirBnb 29</t>
  </si>
  <si>
    <t>AirBnb 30</t>
  </si>
  <si>
    <t>AirBnb 31</t>
  </si>
  <si>
    <t>AirBnb 32</t>
  </si>
  <si>
    <t>AirBnb 33</t>
  </si>
  <si>
    <t>AirBnb 34</t>
  </si>
  <si>
    <t>AirBnb 35</t>
  </si>
  <si>
    <t>AirBnb 36</t>
  </si>
  <si>
    <t>AirBnb 37</t>
  </si>
  <si>
    <t>AirBnb 38</t>
  </si>
  <si>
    <t>AirBnb 39</t>
  </si>
  <si>
    <t>AirBnb 40</t>
  </si>
  <si>
    <t>AirBnb 41</t>
  </si>
  <si>
    <t>AirBnb 42</t>
  </si>
  <si>
    <t>AirBnb 43</t>
  </si>
  <si>
    <t>AirBnb 44</t>
  </si>
  <si>
    <t>AirBnb 45</t>
  </si>
  <si>
    <t>AirBnb 46</t>
  </si>
  <si>
    <t>AirBnb 47</t>
  </si>
  <si>
    <t>AirBnb 48</t>
  </si>
  <si>
    <t>AirBnb 49</t>
  </si>
  <si>
    <t>AirBnb 50</t>
  </si>
  <si>
    <t>AirBnb 51</t>
  </si>
  <si>
    <t>AirBnb 52</t>
  </si>
  <si>
    <t>AirBnb 53</t>
  </si>
  <si>
    <t>AirBnb 54</t>
  </si>
  <si>
    <t>AirBnb 55</t>
  </si>
  <si>
    <t>AirBnb 56</t>
  </si>
  <si>
    <t>AirBnb 57</t>
  </si>
  <si>
    <t>AirBnb 58</t>
  </si>
  <si>
    <t>AirBnb 59</t>
  </si>
  <si>
    <t>AirBnb 60</t>
  </si>
  <si>
    <t>AirBnb 61</t>
  </si>
  <si>
    <t>AirBnb 62</t>
  </si>
  <si>
    <t>AirBnb 63</t>
  </si>
  <si>
    <t>AirBnb 64</t>
  </si>
  <si>
    <t>AirBnb 65</t>
  </si>
  <si>
    <t>AirBnb 66</t>
  </si>
  <si>
    <t>AirBnb 67</t>
  </si>
  <si>
    <t>AirBnb 68</t>
  </si>
  <si>
    <t>AirBnb 69</t>
  </si>
  <si>
    <t>AirBnb 70</t>
  </si>
  <si>
    <t>AirBnb 71</t>
  </si>
  <si>
    <t>AirBnb 72</t>
  </si>
  <si>
    <t>AirBnb 73</t>
  </si>
  <si>
    <t>AirBnb 74</t>
  </si>
  <si>
    <t>AirBnb 75</t>
  </si>
  <si>
    <t>AirBnb 76</t>
  </si>
  <si>
    <t>AirBnb 77</t>
  </si>
  <si>
    <t>AirBnb 78</t>
  </si>
  <si>
    <t>AirBnb 79</t>
  </si>
  <si>
    <t>AirBnb 80</t>
  </si>
  <si>
    <t>AirBnb 81</t>
  </si>
  <si>
    <t>AirBnb 82</t>
  </si>
  <si>
    <t>AirBnb 83</t>
  </si>
  <si>
    <t>AirBnb 84</t>
  </si>
  <si>
    <t>AirBnb 85</t>
  </si>
  <si>
    <t>AirBnb 86</t>
  </si>
  <si>
    <t>AirBnb 87</t>
  </si>
  <si>
    <t>AirBnb 88</t>
  </si>
  <si>
    <t>AirBnb 89</t>
  </si>
  <si>
    <t>AirBnb 90</t>
  </si>
  <si>
    <t>AirBnb 91</t>
  </si>
  <si>
    <t>AirBnb 92</t>
  </si>
  <si>
    <t>AirBnb 93</t>
  </si>
  <si>
    <t>AirBnb 94</t>
  </si>
  <si>
    <t>AirBnb 95</t>
  </si>
  <si>
    <t>AirBnb 96</t>
  </si>
  <si>
    <t>AirBnb 97</t>
  </si>
  <si>
    <t>AirBnb 98</t>
  </si>
  <si>
    <t>AirBnb 99</t>
  </si>
  <si>
    <t>AirBnb 100</t>
  </si>
  <si>
    <t>AirBnb 101</t>
  </si>
  <si>
    <t>AirBnb 102</t>
  </si>
  <si>
    <t>AirBnb 103</t>
  </si>
  <si>
    <t>AirBnb 104</t>
  </si>
  <si>
    <t>AirBnb 105</t>
  </si>
  <si>
    <t>AirBnb 106</t>
  </si>
  <si>
    <t>AirBnb 107</t>
  </si>
  <si>
    <t>AirBnb 108</t>
  </si>
  <si>
    <t>AirBnb 109</t>
  </si>
  <si>
    <t>AirBnb 110</t>
  </si>
  <si>
    <t>AirBnb 111</t>
  </si>
  <si>
    <t>AirBnb 112</t>
  </si>
  <si>
    <t>AirBnb 113</t>
  </si>
  <si>
    <t>AirBnb 114</t>
  </si>
  <si>
    <t>AirBnb 115</t>
  </si>
  <si>
    <t>AirBnb 116</t>
  </si>
  <si>
    <t>AirBnb 117</t>
  </si>
  <si>
    <t>AirBnb 118</t>
  </si>
  <si>
    <t>AirBnb 119</t>
  </si>
  <si>
    <t>AirBnb 120</t>
  </si>
  <si>
    <t>AirBnb 121</t>
  </si>
  <si>
    <t>AirBnb 122</t>
  </si>
  <si>
    <t>AirBnb 123</t>
  </si>
  <si>
    <t>AirBnb 124</t>
  </si>
  <si>
    <t>AirBnb 125</t>
  </si>
  <si>
    <t>AirBnb 126</t>
  </si>
  <si>
    <t>AirBnb 127</t>
  </si>
  <si>
    <t>AirBnb 128</t>
  </si>
  <si>
    <t>AirBnb 129</t>
  </si>
  <si>
    <t>AirBnb 130</t>
  </si>
  <si>
    <t>AirBnb 131</t>
  </si>
  <si>
    <t>AirBnb 132</t>
  </si>
  <si>
    <t>AirBnb 133</t>
  </si>
  <si>
    <t>AirBnb 134</t>
  </si>
  <si>
    <t>AirBnb 135</t>
  </si>
  <si>
    <t>AirBnb 136</t>
  </si>
  <si>
    <t>AirBnb 137</t>
  </si>
  <si>
    <t>AirBnb 138</t>
  </si>
  <si>
    <t>AirBnb 139</t>
  </si>
  <si>
    <t>AirBnb 140</t>
  </si>
  <si>
    <t>AirBnb 141</t>
  </si>
  <si>
    <t>AirBnb 142</t>
  </si>
  <si>
    <t>AirBnb 143</t>
  </si>
  <si>
    <t>AirBnb 144</t>
  </si>
  <si>
    <t>AirBnb 145</t>
  </si>
  <si>
    <t>AirBnb 146</t>
  </si>
  <si>
    <t>AirBnb 147</t>
  </si>
  <si>
    <t>AirBnb 148</t>
  </si>
  <si>
    <t>AirBnb 149</t>
  </si>
  <si>
    <t>AirBnb 150</t>
  </si>
  <si>
    <t>AirBnb 151</t>
  </si>
  <si>
    <t>AirBnb 152</t>
  </si>
  <si>
    <t>AirBnb 153</t>
  </si>
  <si>
    <t>AirBnb 154</t>
  </si>
  <si>
    <t>AirBnb 155</t>
  </si>
  <si>
    <t>AirBnb 156</t>
  </si>
  <si>
    <t>AirBnb 157</t>
  </si>
  <si>
    <t>AirBnb 158</t>
  </si>
  <si>
    <t>AirBnb 159</t>
  </si>
  <si>
    <t>AirBnb 160</t>
  </si>
  <si>
    <t>AirBnb 161</t>
  </si>
  <si>
    <t>AirBnb 162</t>
  </si>
  <si>
    <t>AirBnb 163</t>
  </si>
  <si>
    <t>AirBnb 164</t>
  </si>
  <si>
    <t>AirBnb 165</t>
  </si>
  <si>
    <t>AirBnb 166</t>
  </si>
  <si>
    <t>AirBnb 167</t>
  </si>
  <si>
    <t>AirBnb 168</t>
  </si>
  <si>
    <t>AirBnb 169</t>
  </si>
  <si>
    <t>AirBnb 170</t>
  </si>
  <si>
    <t>AirBnb 171</t>
  </si>
  <si>
    <t>AirBnb 172</t>
  </si>
  <si>
    <t>AirBnb 173</t>
  </si>
  <si>
    <t>AirBnb 174</t>
  </si>
  <si>
    <t>AirBnb 175</t>
  </si>
  <si>
    <t>AirBnb 176</t>
  </si>
  <si>
    <t>AirBnb 177</t>
  </si>
  <si>
    <t>AirBnb 178</t>
  </si>
  <si>
    <t>AirBnb 179</t>
  </si>
  <si>
    <t>AirBnb 180</t>
  </si>
  <si>
    <t>AirBnb 181</t>
  </si>
  <si>
    <t>AirBnb 182</t>
  </si>
  <si>
    <t>AirBnb 183</t>
  </si>
  <si>
    <t>AirBnb 184</t>
  </si>
  <si>
    <t>AirBnb 185</t>
  </si>
  <si>
    <t>AirBnb 186</t>
  </si>
  <si>
    <t>AirBnb 187</t>
  </si>
  <si>
    <t>AirBnb 188</t>
  </si>
  <si>
    <t>AirBnb 189</t>
  </si>
  <si>
    <t>AirBnb 190</t>
  </si>
  <si>
    <t>AirBnb 191</t>
  </si>
  <si>
    <t>AirBnb 192</t>
  </si>
  <si>
    <t>AirBnb 193</t>
  </si>
  <si>
    <t>AirBnb 194</t>
  </si>
  <si>
    <t>AirBnb 195</t>
  </si>
  <si>
    <t>AirBnb 196</t>
  </si>
  <si>
    <t>AirBnb 197</t>
  </si>
  <si>
    <t>AirBnb 198</t>
  </si>
  <si>
    <t>AirBnb 199</t>
  </si>
  <si>
    <t>AirBnb 200</t>
  </si>
  <si>
    <t>AirBnb 201</t>
  </si>
  <si>
    <t>AirBnb 202</t>
  </si>
  <si>
    <t>AirBnb 203</t>
  </si>
  <si>
    <t>AirBnb 204</t>
  </si>
  <si>
    <t>AirBnb 205</t>
  </si>
  <si>
    <t>AirBnb 206</t>
  </si>
  <si>
    <t>AirBnb 207</t>
  </si>
  <si>
    <t>AirBnb 208</t>
  </si>
  <si>
    <t>AirBnb 209</t>
  </si>
  <si>
    <t>AirBnb 210</t>
  </si>
  <si>
    <t>AirBnb 211</t>
  </si>
  <si>
    <t>AirBnb 212</t>
  </si>
  <si>
    <t>AirBnb 213</t>
  </si>
  <si>
    <t>AirBnb 214</t>
  </si>
  <si>
    <t>AirBnb 215</t>
  </si>
  <si>
    <t>AirBnb 216</t>
  </si>
  <si>
    <t>AirBnb 217</t>
  </si>
  <si>
    <t>AirBnb 218</t>
  </si>
  <si>
    <t>AirBnb 219</t>
  </si>
  <si>
    <t>AirBnb 220</t>
  </si>
  <si>
    <t>AirBnb 221</t>
  </si>
  <si>
    <t>AirBnb 222</t>
  </si>
  <si>
    <t>AirBnb 223</t>
  </si>
  <si>
    <t>AirBnb 224</t>
  </si>
  <si>
    <t>AirBnb 225</t>
  </si>
  <si>
    <t>AirBnb 226</t>
  </si>
  <si>
    <t>AirBnb 227</t>
  </si>
  <si>
    <t>AirBnb 228</t>
  </si>
  <si>
    <t>AirBnb 229</t>
  </si>
  <si>
    <t>AirBnb 230</t>
  </si>
  <si>
    <t>AirBnb 231</t>
  </si>
  <si>
    <t>AirBnb 232</t>
  </si>
  <si>
    <t>AirBnb 233</t>
  </si>
  <si>
    <t>AirBnb 234</t>
  </si>
  <si>
    <t>AirBnb 235</t>
  </si>
  <si>
    <t>AirBnb 236</t>
  </si>
  <si>
    <t>AirBnb 237</t>
  </si>
  <si>
    <t>AirBnb 238</t>
  </si>
  <si>
    <t>AirBnb 239</t>
  </si>
  <si>
    <t>AirBnb 240</t>
  </si>
  <si>
    <t>AirBnb 241</t>
  </si>
  <si>
    <t>AirBnb 242</t>
  </si>
  <si>
    <t>AirBnb 243</t>
  </si>
  <si>
    <t>AirBnb 244</t>
  </si>
  <si>
    <t>AirBnb 245</t>
  </si>
  <si>
    <t>AirBnb 246</t>
  </si>
  <si>
    <t>AirBnb 247</t>
  </si>
  <si>
    <t>AirBnb 248</t>
  </si>
  <si>
    <t>AirBnb 249</t>
  </si>
  <si>
    <t>AirBnb 250</t>
  </si>
  <si>
    <t>AirBnb 251</t>
  </si>
  <si>
    <t>AirBnb 252</t>
  </si>
  <si>
    <t>AirBnb 253</t>
  </si>
  <si>
    <t>AirBnb 254</t>
  </si>
  <si>
    <t>AirBnb 255</t>
  </si>
  <si>
    <t>AirBnb 256</t>
  </si>
  <si>
    <t>AirBnb 257</t>
  </si>
  <si>
    <t>AirBnb 258</t>
  </si>
  <si>
    <t>AirBnb 259</t>
  </si>
  <si>
    <t>AirBnb 260</t>
  </si>
  <si>
    <t>AirBnb 261</t>
  </si>
  <si>
    <t>AirBnb 262</t>
  </si>
  <si>
    <t>AirBnb 263</t>
  </si>
  <si>
    <t>AirBnb 264</t>
  </si>
  <si>
    <t>AirBnb 265</t>
  </si>
  <si>
    <t>AirBnb 266</t>
  </si>
  <si>
    <t>AirBnb 267</t>
  </si>
  <si>
    <t>AirBnb 268</t>
  </si>
  <si>
    <t>AirBnb 269</t>
  </si>
  <si>
    <t>AirBnb 270</t>
  </si>
  <si>
    <t>AirBnb 271</t>
  </si>
  <si>
    <t>AirBnb 272</t>
  </si>
  <si>
    <t>AirBnb 273</t>
  </si>
  <si>
    <t>AirBnb 274</t>
  </si>
  <si>
    <t>AirBnb 275</t>
  </si>
  <si>
    <t>AirBnb 276</t>
  </si>
  <si>
    <t>AirBnb 277</t>
  </si>
  <si>
    <t>AirBnb 278</t>
  </si>
  <si>
    <t>AirBnb 279</t>
  </si>
  <si>
    <t>AirBnb 280</t>
  </si>
  <si>
    <t>AirBnb 281</t>
  </si>
  <si>
    <t>AirBnb 282</t>
  </si>
  <si>
    <t>AirBnb 283</t>
  </si>
  <si>
    <t>AirBnb 284</t>
  </si>
  <si>
    <t>AirBnb 285</t>
  </si>
  <si>
    <t>AirBnb 286</t>
  </si>
  <si>
    <t>AirBnb 287</t>
  </si>
  <si>
    <t>AirBnb 288</t>
  </si>
  <si>
    <t>AirBnb 289</t>
  </si>
  <si>
    <t>AirBnb 290</t>
  </si>
  <si>
    <t>AirBnb 291</t>
  </si>
  <si>
    <t>AirBnb 292</t>
  </si>
  <si>
    <t>AirBnb 293</t>
  </si>
  <si>
    <t>AirBnb 294</t>
  </si>
  <si>
    <t>AirBnb 295</t>
  </si>
  <si>
    <t>AirBnb 296</t>
  </si>
  <si>
    <t>AirBnb 297</t>
  </si>
  <si>
    <t>AirBnb 298</t>
  </si>
  <si>
    <t>AirBnb 299</t>
  </si>
  <si>
    <t>AirBnb 300</t>
  </si>
  <si>
    <t>AirBnb 301</t>
  </si>
  <si>
    <t>AirBnb 302</t>
  </si>
  <si>
    <t>AirBnb 303</t>
  </si>
  <si>
    <t>AirBnb 304</t>
  </si>
  <si>
    <t>AirBnb 305</t>
  </si>
  <si>
    <t>AirBnb 306</t>
  </si>
  <si>
    <t>AirBnb 307</t>
  </si>
  <si>
    <t>AirBnb 308</t>
  </si>
  <si>
    <t>AirBnb 309</t>
  </si>
  <si>
    <t>AirBnb 310</t>
  </si>
  <si>
    <t>AirBnb 311</t>
  </si>
  <si>
    <t>AirBnb 312</t>
  </si>
  <si>
    <t>AirBnb 313</t>
  </si>
  <si>
    <t>AirBnb 314</t>
  </si>
  <si>
    <t>AirBnb 315</t>
  </si>
  <si>
    <t>AirBnb 316</t>
  </si>
  <si>
    <t>AirBnb 317</t>
  </si>
  <si>
    <t>AirBnb 318</t>
  </si>
  <si>
    <t>AirBnb 319</t>
  </si>
  <si>
    <t>AirBnb 320</t>
  </si>
  <si>
    <t>AirBnb 321</t>
  </si>
  <si>
    <t>AirBnb 322</t>
  </si>
  <si>
    <t>AirBnb 323</t>
  </si>
  <si>
    <t>AirBnb 324</t>
  </si>
  <si>
    <t>AirBnb 325</t>
  </si>
  <si>
    <t>AirBnb 326</t>
  </si>
  <si>
    <t>AirBnb 327</t>
  </si>
  <si>
    <t>AirBnb 328</t>
  </si>
  <si>
    <t>AirBnb 329</t>
  </si>
  <si>
    <t>AirBnb 330</t>
  </si>
  <si>
    <t>AirBnb 331</t>
  </si>
  <si>
    <t>AirBnb 332</t>
  </si>
  <si>
    <t>AirBnb 333</t>
  </si>
  <si>
    <t>AirBnb 334</t>
  </si>
  <si>
    <t>AirBnb 335</t>
  </si>
  <si>
    <t>AirBnb 336</t>
  </si>
  <si>
    <t>AirBnb 337</t>
  </si>
  <si>
    <t>AirBnb 338</t>
  </si>
  <si>
    <t>AirBnb 339</t>
  </si>
  <si>
    <t>AirBnb 340</t>
  </si>
  <si>
    <t>AirBnb 341</t>
  </si>
  <si>
    <t>AirBnb 342</t>
  </si>
  <si>
    <t>AirBnb 343</t>
  </si>
  <si>
    <t>AirBnb 344</t>
  </si>
  <si>
    <t>AirBnb 345</t>
  </si>
  <si>
    <t>AirBnb 346</t>
  </si>
  <si>
    <t>AirBnb 347</t>
  </si>
  <si>
    <t>AirBnb 348</t>
  </si>
  <si>
    <t>AirBnb 349</t>
  </si>
  <si>
    <t>AirBnb 350</t>
  </si>
  <si>
    <t>AirBnb 351</t>
  </si>
  <si>
    <t>AirBnb 352</t>
  </si>
  <si>
    <t>AirBnb 353</t>
  </si>
  <si>
    <t>AirBnb 354</t>
  </si>
  <si>
    <t>AirBnb 355</t>
  </si>
  <si>
    <t>AirBnb 356</t>
  </si>
  <si>
    <t>AirBnb 357</t>
  </si>
  <si>
    <t>AirBnb 358</t>
  </si>
  <si>
    <t>AirBnb 359</t>
  </si>
  <si>
    <t>AirBnb 360</t>
  </si>
  <si>
    <t>AirBnb 361</t>
  </si>
  <si>
    <t>AirBnb 362</t>
  </si>
  <si>
    <t>AirBnb 363</t>
  </si>
  <si>
    <t>AirBnb 364</t>
  </si>
  <si>
    <t>AirBnb 365</t>
  </si>
  <si>
    <t>AirBnb 366</t>
  </si>
  <si>
    <t>AirBnb 367</t>
  </si>
  <si>
    <t>AirBnb 368</t>
  </si>
  <si>
    <t>AirBnb 369</t>
  </si>
  <si>
    <t>AirBnb 370</t>
  </si>
  <si>
    <t>AirBnb 371</t>
  </si>
  <si>
    <t>AirBnb 372</t>
  </si>
  <si>
    <t>AirBnb 373</t>
  </si>
  <si>
    <t>AirBnb 374</t>
  </si>
  <si>
    <t>AirBnb 375</t>
  </si>
  <si>
    <t>AirBnb 376</t>
  </si>
  <si>
    <t>AirBnb 377</t>
  </si>
  <si>
    <t>AirBnb 378</t>
  </si>
  <si>
    <t>AirBnb 379</t>
  </si>
  <si>
    <t>AirBnb 380</t>
  </si>
  <si>
    <t>AirBnb 381</t>
  </si>
  <si>
    <t>AirBnb 382</t>
  </si>
  <si>
    <t>AirBnb 383</t>
  </si>
  <si>
    <t>AirBnb 384</t>
  </si>
  <si>
    <t>AirBnb 385</t>
  </si>
  <si>
    <t>AirBnb 386</t>
  </si>
  <si>
    <t>AirBnb 387</t>
  </si>
  <si>
    <t>AirBnb 388</t>
  </si>
  <si>
    <t>AirBnb 389</t>
  </si>
  <si>
    <t>AirBnb 390</t>
  </si>
  <si>
    <t>AirBnb 391</t>
  </si>
  <si>
    <t>AirBnb 392</t>
  </si>
  <si>
    <t>AirBnb 393</t>
  </si>
  <si>
    <t>AirBnb 394</t>
  </si>
  <si>
    <t>AirBnb 395</t>
  </si>
  <si>
    <t>AirBnb 396</t>
  </si>
  <si>
    <t>AirBnb 397</t>
  </si>
  <si>
    <t>AirBnb 398</t>
  </si>
  <si>
    <t>AirBnb 399</t>
  </si>
  <si>
    <t>AirBnb 400</t>
  </si>
  <si>
    <t>AirBnb 401</t>
  </si>
  <si>
    <t>AirBnb 402</t>
  </si>
  <si>
    <t>AirBnb 403</t>
  </si>
  <si>
    <t>AirBnb 404</t>
  </si>
  <si>
    <t>AirBnb 405</t>
  </si>
  <si>
    <t>AirBnb 406</t>
  </si>
  <si>
    <t>AirBnb 407</t>
  </si>
  <si>
    <t>AirBnb 408</t>
  </si>
  <si>
    <t>AirBnb 409</t>
  </si>
  <si>
    <t>AirBnb 410</t>
  </si>
  <si>
    <t>AirBnb 411</t>
  </si>
  <si>
    <t>AirBnb 412</t>
  </si>
  <si>
    <t>AirBnb 413</t>
  </si>
  <si>
    <t>AirBnb 414</t>
  </si>
  <si>
    <t>AirBnb 415</t>
  </si>
  <si>
    <t>AirBnb 416</t>
  </si>
  <si>
    <t>AirBnb 417</t>
  </si>
  <si>
    <t>AirBnb 418</t>
  </si>
  <si>
    <t>AirBnb 419</t>
  </si>
  <si>
    <t>AirBnb 420</t>
  </si>
  <si>
    <t>AirBnb 421</t>
  </si>
  <si>
    <t>AirBnb 422</t>
  </si>
  <si>
    <t>AirBnb 423</t>
  </si>
  <si>
    <t>AirBnb 424</t>
  </si>
  <si>
    <t>AirBnb 425</t>
  </si>
  <si>
    <t>AirBnb 426</t>
  </si>
  <si>
    <t>AirBnb 427</t>
  </si>
  <si>
    <t>AirBnb 428</t>
  </si>
  <si>
    <t>AirBnb 429</t>
  </si>
  <si>
    <t>AirBnb 430</t>
  </si>
  <si>
    <t>AirBnb 431</t>
  </si>
  <si>
    <t>AirBnb 432</t>
  </si>
  <si>
    <t>AirBnb 433</t>
  </si>
  <si>
    <t>AirBnb 434</t>
  </si>
  <si>
    <t>AirBnb 435</t>
  </si>
  <si>
    <t>AirBnb 436</t>
  </si>
  <si>
    <t>AirBnb 437</t>
  </si>
  <si>
    <t>AirBnb 438</t>
  </si>
  <si>
    <t>AirBnb 439</t>
  </si>
  <si>
    <t>AirBnb 440</t>
  </si>
  <si>
    <t>AirBnb 441</t>
  </si>
  <si>
    <t>AirBnb 442</t>
  </si>
  <si>
    <t>AirBnb 443</t>
  </si>
  <si>
    <t>AirBnb 444</t>
  </si>
  <si>
    <t>AirBnb 445</t>
  </si>
  <si>
    <t>AirBnb 446</t>
  </si>
  <si>
    <t>AirBnb 447</t>
  </si>
  <si>
    <t>AirBnb 448</t>
  </si>
  <si>
    <t>AirBnb 449</t>
  </si>
  <si>
    <t>AirBnb 450</t>
  </si>
  <si>
    <t>AirBnb 451</t>
  </si>
  <si>
    <t>AirBnb 452</t>
  </si>
  <si>
    <t>AirBnb 453</t>
  </si>
  <si>
    <t>AirBnb 454</t>
  </si>
  <si>
    <t>AirBnb 455</t>
  </si>
  <si>
    <t>AirBnb 456</t>
  </si>
  <si>
    <t>AirBnb 457</t>
  </si>
  <si>
    <t>AirBnb 458</t>
  </si>
  <si>
    <t>AirBnb 459</t>
  </si>
  <si>
    <t>AirBnb 460</t>
  </si>
  <si>
    <t>AirBnb 461</t>
  </si>
  <si>
    <t>AirBnb 462</t>
  </si>
  <si>
    <t>AirBnb 463</t>
  </si>
  <si>
    <t>AirBnb 464</t>
  </si>
  <si>
    <t>AirBnb 465</t>
  </si>
  <si>
    <t>AirBnb 466</t>
  </si>
  <si>
    <t>AirBnb 467</t>
  </si>
  <si>
    <t>AirBnb 468</t>
  </si>
  <si>
    <t>AirBnb 469</t>
  </si>
  <si>
    <t>AirBnb 470</t>
  </si>
  <si>
    <t>AirBnb 471</t>
  </si>
  <si>
    <t>AirBnb 472</t>
  </si>
  <si>
    <t>AirBnb 473</t>
  </si>
  <si>
    <t>AirBnb 474</t>
  </si>
  <si>
    <t>AirBnb 475</t>
  </si>
  <si>
    <t>AirBnb 476</t>
  </si>
  <si>
    <t>AirBnb 477</t>
  </si>
  <si>
    <t>AirBnb 478</t>
  </si>
  <si>
    <t>AirBnb 479</t>
  </si>
  <si>
    <t>AirBnb 480</t>
  </si>
  <si>
    <t>AirBnb 481</t>
  </si>
  <si>
    <t>AirBnb 482</t>
  </si>
  <si>
    <t>AirBnb 483</t>
  </si>
  <si>
    <t>AirBnb 484</t>
  </si>
  <si>
    <t>AirBnb 485</t>
  </si>
  <si>
    <t>AirBnb 486</t>
  </si>
  <si>
    <t>AirBnb 487</t>
  </si>
  <si>
    <t>AirBnb 488</t>
  </si>
  <si>
    <t>AirBnb 489</t>
  </si>
  <si>
    <t>AirBnb 490</t>
  </si>
  <si>
    <t>AirBnb 491</t>
  </si>
  <si>
    <t>AirBnb 492</t>
  </si>
  <si>
    <t>AirBnb 493</t>
  </si>
  <si>
    <t>AirBnb 494</t>
  </si>
  <si>
    <t>AirBnb 495</t>
  </si>
  <si>
    <t>AirBnb 496</t>
  </si>
  <si>
    <t>AirBnb 497</t>
  </si>
  <si>
    <t>AirBnb 498</t>
  </si>
  <si>
    <t>AirBnb 499</t>
  </si>
  <si>
    <t>AirBnb 500</t>
  </si>
  <si>
    <t>AirBnb 501</t>
  </si>
  <si>
    <t>AirBnb 502</t>
  </si>
  <si>
    <t>AirBnb 503</t>
  </si>
  <si>
    <t>AirBnb 504</t>
  </si>
  <si>
    <t>AirBnb 505</t>
  </si>
  <si>
    <t>AirBnb 506</t>
  </si>
  <si>
    <t>AirBnb 507</t>
  </si>
  <si>
    <t>AirBnb 508</t>
  </si>
  <si>
    <t>AirBnb 509</t>
  </si>
  <si>
    <t>AirBnb 510</t>
  </si>
  <si>
    <t>AirBnb 511</t>
  </si>
  <si>
    <t>AirBnb 512</t>
  </si>
  <si>
    <t>AirBnb 513</t>
  </si>
  <si>
    <t>AirBnb 514</t>
  </si>
  <si>
    <t>AirBnb 515</t>
  </si>
  <si>
    <t>AirBnb 516</t>
  </si>
  <si>
    <t>AirBnb 517</t>
  </si>
  <si>
    <t>AirBnb 518</t>
  </si>
  <si>
    <t>AirBnb 519</t>
  </si>
  <si>
    <t>AirBnb 520</t>
  </si>
  <si>
    <t>AirBnb 521</t>
  </si>
  <si>
    <t>AirBnb 522</t>
  </si>
  <si>
    <t>AirBnb 523</t>
  </si>
  <si>
    <t>AirBnb 524</t>
  </si>
  <si>
    <t>AirBnb 525</t>
  </si>
  <si>
    <t>AirBnb 526</t>
  </si>
  <si>
    <t>AirBnb 527</t>
  </si>
  <si>
    <t>AirBnb 528</t>
  </si>
  <si>
    <t>AirBnb 529</t>
  </si>
  <si>
    <t>AirBnb 530</t>
  </si>
  <si>
    <t>AirBnb 531</t>
  </si>
  <si>
    <t>AirBnb 532</t>
  </si>
  <si>
    <t>AirBnb 533</t>
  </si>
  <si>
    <t>AirBnb 534</t>
  </si>
  <si>
    <t>AirBnb 535</t>
  </si>
  <si>
    <t>AirBnb 536</t>
  </si>
  <si>
    <t>AirBnb 537</t>
  </si>
  <si>
    <t>AirBnb 538</t>
  </si>
  <si>
    <t>AirBnb 539</t>
  </si>
  <si>
    <t>AirBnb 540</t>
  </si>
  <si>
    <t>AirBnb 541</t>
  </si>
  <si>
    <t>AirBnb 542</t>
  </si>
  <si>
    <t>AirBnb 543</t>
  </si>
  <si>
    <t>AirBnb 544</t>
  </si>
  <si>
    <t>AirBnb 545</t>
  </si>
  <si>
    <t>AirBnb 546</t>
  </si>
  <si>
    <t>AirBnb 547</t>
  </si>
  <si>
    <t>AirBnb 548</t>
  </si>
  <si>
    <t>AirBnb 549</t>
  </si>
  <si>
    <t>AirBnb 550</t>
  </si>
  <si>
    <t>AirBnb 551</t>
  </si>
  <si>
    <t>AirBnb 552</t>
  </si>
  <si>
    <t>AirBnb 553</t>
  </si>
  <si>
    <t>AirBnb 554</t>
  </si>
  <si>
    <t>AirBnb 555</t>
  </si>
  <si>
    <t>AirBnb 556</t>
  </si>
  <si>
    <t>AirBnb 557</t>
  </si>
  <si>
    <t>AirBnb 558</t>
  </si>
  <si>
    <t>AirBnb 559</t>
  </si>
  <si>
    <t>AirBnb 560</t>
  </si>
  <si>
    <t>AirBnb 561</t>
  </si>
  <si>
    <t>AirBnb 562</t>
  </si>
  <si>
    <t>AirBnb 563</t>
  </si>
  <si>
    <t>AirBnb 564</t>
  </si>
  <si>
    <t>AirBnb 565</t>
  </si>
  <si>
    <t>AirBnb 566</t>
  </si>
  <si>
    <t>AirBnb 567</t>
  </si>
  <si>
    <t>AirBnb 568</t>
  </si>
  <si>
    <t>AirBnb 569</t>
  </si>
  <si>
    <t>AirBnb 570</t>
  </si>
  <si>
    <t>AirBnb 571</t>
  </si>
  <si>
    <t>AirBnb 572</t>
  </si>
  <si>
    <t>AirBnb 573</t>
  </si>
  <si>
    <t>AirBnb 574</t>
  </si>
  <si>
    <t>AirBnb 575</t>
  </si>
  <si>
    <t>AirBnb 576</t>
  </si>
  <si>
    <t>AirBnb 577</t>
  </si>
  <si>
    <t>AirBnb 578</t>
  </si>
  <si>
    <t>AirBnb 579</t>
  </si>
  <si>
    <t>AirBnb 580</t>
  </si>
  <si>
    <t>AirBnb 581</t>
  </si>
  <si>
    <t>AirBnb 582</t>
  </si>
  <si>
    <t>AirBnb 583</t>
  </si>
  <si>
    <t>AirBnb 584</t>
  </si>
  <si>
    <t>AirBnb 585</t>
  </si>
  <si>
    <t>AirBnb 586</t>
  </si>
  <si>
    <t>AirBnb 587</t>
  </si>
  <si>
    <t>AirBnb 588</t>
  </si>
  <si>
    <t>AirBnb 589</t>
  </si>
  <si>
    <t>AirBnb 590</t>
  </si>
  <si>
    <t>AirBnb 591</t>
  </si>
  <si>
    <t>AirBnb 592</t>
  </si>
  <si>
    <t>AirBnb 593</t>
  </si>
  <si>
    <t>AirBnb 594</t>
  </si>
  <si>
    <t>AirBnb 595</t>
  </si>
  <si>
    <t>AirBnb 596</t>
  </si>
  <si>
    <t>AirBnb 597</t>
  </si>
  <si>
    <t>AirBnb 598</t>
  </si>
  <si>
    <t>AirBnb 599</t>
  </si>
  <si>
    <t>AirBnb 600</t>
  </si>
  <si>
    <t>AirBnb 601</t>
  </si>
  <si>
    <t>AirBnb 602</t>
  </si>
  <si>
    <t>AirBnb 603</t>
  </si>
  <si>
    <t>AirBnb 604</t>
  </si>
  <si>
    <t>AirBnb 605</t>
  </si>
  <si>
    <t>AirBnb 606</t>
  </si>
  <si>
    <t>AirBnb 607</t>
  </si>
  <si>
    <t>AirBnb 608</t>
  </si>
  <si>
    <t>AirBnb 609</t>
  </si>
  <si>
    <t>AirBnb 610</t>
  </si>
  <si>
    <t>AirBnb 611</t>
  </si>
  <si>
    <t>AirBnb 612</t>
  </si>
  <si>
    <t>AirBnb 613</t>
  </si>
  <si>
    <t>AirBnb 614</t>
  </si>
  <si>
    <t>AirBnb 615</t>
  </si>
  <si>
    <t>AirBnb 616</t>
  </si>
  <si>
    <t>AirBnb 617</t>
  </si>
  <si>
    <t>AirBnb 618</t>
  </si>
  <si>
    <t>AirBnb 619</t>
  </si>
  <si>
    <t>AirBnb 620</t>
  </si>
  <si>
    <t>AirBnb 621</t>
  </si>
  <si>
    <t>AirBnb 622</t>
  </si>
  <si>
    <t>AirBnb 623</t>
  </si>
  <si>
    <t>AirBnb 624</t>
  </si>
  <si>
    <t>AirBnb 625</t>
  </si>
  <si>
    <t>AirBnb 626</t>
  </si>
  <si>
    <t>AirBnb 627</t>
  </si>
  <si>
    <t>AirBnb 628</t>
  </si>
  <si>
    <t>AirBnb 629</t>
  </si>
  <si>
    <t>AirBnb 630</t>
  </si>
  <si>
    <t>AirBnb 631</t>
  </si>
  <si>
    <t>AirBnb 632</t>
  </si>
  <si>
    <t>AirBnb 633</t>
  </si>
  <si>
    <t>AirBnb 634</t>
  </si>
  <si>
    <t>AirBnb 635</t>
  </si>
  <si>
    <t>AirBnb 636</t>
  </si>
  <si>
    <t>AirBnb 637</t>
  </si>
  <si>
    <t>AirBnb 638</t>
  </si>
  <si>
    <t>AirBnb 639</t>
  </si>
  <si>
    <t>AirBnb 640</t>
  </si>
  <si>
    <t>AirBnb 641</t>
  </si>
  <si>
    <t>AirBnb 642</t>
  </si>
  <si>
    <t>AirBnb 643</t>
  </si>
  <si>
    <t>AirBnb 644</t>
  </si>
  <si>
    <t>AirBnb 645</t>
  </si>
  <si>
    <t>AirBnb 646</t>
  </si>
  <si>
    <t>AirBnb 647</t>
  </si>
  <si>
    <t>AirBnb 648</t>
  </si>
  <si>
    <t>AirBnb 649</t>
  </si>
  <si>
    <t>AirBnb 650</t>
  </si>
  <si>
    <t>AirBnb 651</t>
  </si>
  <si>
    <t>AirBnb 652</t>
  </si>
  <si>
    <t>AirBnb 653</t>
  </si>
  <si>
    <t>AirBnb 654</t>
  </si>
  <si>
    <t>AirBnb 655</t>
  </si>
  <si>
    <t>AirBnb 656</t>
  </si>
  <si>
    <t>AirBnb 657</t>
  </si>
  <si>
    <t>AirBnb 658</t>
  </si>
  <si>
    <t>AirBnb 659</t>
  </si>
  <si>
    <t>AirBnb 660</t>
  </si>
  <si>
    <t>AirBnb 661</t>
  </si>
  <si>
    <t>AirBnb 662</t>
  </si>
  <si>
    <t>AirBnb 663</t>
  </si>
  <si>
    <t>AirBnb 664</t>
  </si>
  <si>
    <t>AirBnb 665</t>
  </si>
  <si>
    <t>AirBnb 666</t>
  </si>
  <si>
    <t>AirBnb 667</t>
  </si>
  <si>
    <t>AirBnb 668</t>
  </si>
  <si>
    <t>AirBnb 669</t>
  </si>
  <si>
    <t>AirBnb 670</t>
  </si>
  <si>
    <t>AirBnb 671</t>
  </si>
  <si>
    <t>AirBnb 672</t>
  </si>
  <si>
    <t>AirBnb 673</t>
  </si>
  <si>
    <t>AirBnb 674</t>
  </si>
  <si>
    <t>AirBnb 675</t>
  </si>
  <si>
    <t>AirBnb 676</t>
  </si>
  <si>
    <t>AirBnb 677</t>
  </si>
  <si>
    <t>AirBnb 678</t>
  </si>
  <si>
    <t>AirBnb 679</t>
  </si>
  <si>
    <t>AirBnb 680</t>
  </si>
  <si>
    <t>AirBnb 681</t>
  </si>
  <si>
    <t>AirBnb 682</t>
  </si>
  <si>
    <t>AirBnb 683</t>
  </si>
  <si>
    <t>AirBnb 684</t>
  </si>
  <si>
    <t>AirBnb 685</t>
  </si>
  <si>
    <t>AirBnb 686</t>
  </si>
  <si>
    <t>AirBnb 687</t>
  </si>
  <si>
    <t>AirBnb 688</t>
  </si>
  <si>
    <t>AirBnb 689</t>
  </si>
  <si>
    <t>AirBnb 690</t>
  </si>
  <si>
    <t>AirBnb 691</t>
  </si>
  <si>
    <t>AirBnb 692</t>
  </si>
  <si>
    <t>AirBnb 693</t>
  </si>
  <si>
    <t>AirBnb 694</t>
  </si>
  <si>
    <t>AirBnb 695</t>
  </si>
  <si>
    <t>AirBnb 696</t>
  </si>
  <si>
    <t>AirBnb 697</t>
  </si>
  <si>
    <t>AirBnb 698</t>
  </si>
  <si>
    <t>AirBnb 699</t>
  </si>
  <si>
    <t>AirBnb 700</t>
  </si>
  <si>
    <t>AirBnb 701</t>
  </si>
  <si>
    <t>AirBnb 702</t>
  </si>
  <si>
    <t>AirBnb 703</t>
  </si>
  <si>
    <t>AirBnb 704</t>
  </si>
  <si>
    <t>AirBnb 705</t>
  </si>
  <si>
    <t>AirBnb 706</t>
  </si>
  <si>
    <t>AirBnb 707</t>
  </si>
  <si>
    <t>AirBnb 708</t>
  </si>
  <si>
    <t>AirBnb 709</t>
  </si>
  <si>
    <t>AirBnb 710</t>
  </si>
  <si>
    <t>AirBnb 711</t>
  </si>
  <si>
    <t>AirBnb 712</t>
  </si>
  <si>
    <t>AirBnb 713</t>
  </si>
  <si>
    <t>AirBnb 714</t>
  </si>
  <si>
    <t>AirBnb 715</t>
  </si>
  <si>
    <t>AirBnb 716</t>
  </si>
  <si>
    <t>AirBnb 717</t>
  </si>
  <si>
    <t>AirBnb 718</t>
  </si>
  <si>
    <t>AirBnb 719</t>
  </si>
  <si>
    <t>AirBnb 720</t>
  </si>
  <si>
    <t>AirBnb 721</t>
  </si>
  <si>
    <t>AirBnb 722</t>
  </si>
  <si>
    <t>AirBnb 723</t>
  </si>
  <si>
    <t>AirBnb 724</t>
  </si>
  <si>
    <t>AirBnb 725</t>
  </si>
  <si>
    <t>AirBnb 726</t>
  </si>
  <si>
    <t>AirBnb 727</t>
  </si>
  <si>
    <t>AirBnb 728</t>
  </si>
  <si>
    <t>AirBnb 729</t>
  </si>
  <si>
    <t>AirBnb 730</t>
  </si>
  <si>
    <t>AirBnb 731</t>
  </si>
  <si>
    <t>AirBnb 732</t>
  </si>
  <si>
    <t>AirBnb 733</t>
  </si>
  <si>
    <t>AirBnb 734</t>
  </si>
  <si>
    <t>AirBnb 735</t>
  </si>
  <si>
    <t>AirBnb 736</t>
  </si>
  <si>
    <t>AirBnb 737</t>
  </si>
  <si>
    <t>AirBnb 738</t>
  </si>
  <si>
    <t>AirBnb 739</t>
  </si>
  <si>
    <t>AirBnb 740</t>
  </si>
  <si>
    <t>AirBnb 741</t>
  </si>
  <si>
    <t>AirBnb 742</t>
  </si>
  <si>
    <t>AirBnb 743</t>
  </si>
  <si>
    <t>AirBnb 744</t>
  </si>
  <si>
    <t>AirBnb 745</t>
  </si>
  <si>
    <t>AirBnb 746</t>
  </si>
  <si>
    <t>AirBnb 747</t>
  </si>
  <si>
    <t>AirBnb 748</t>
  </si>
  <si>
    <t>AirBnb 749</t>
  </si>
  <si>
    <t>AirBnb 750</t>
  </si>
  <si>
    <t>AirBnb 751</t>
  </si>
  <si>
    <t>AirBnb 752</t>
  </si>
  <si>
    <t>AirBnb 753</t>
  </si>
  <si>
    <t>AirBnb 754</t>
  </si>
  <si>
    <t>AirBnb 755</t>
  </si>
  <si>
    <t>AirBnb 756</t>
  </si>
  <si>
    <t>AirBnb 757</t>
  </si>
  <si>
    <t>AirBnb 758</t>
  </si>
  <si>
    <t>AirBnb 759</t>
  </si>
  <si>
    <t>AirBnb 760</t>
  </si>
  <si>
    <t>AirBnb 761</t>
  </si>
  <si>
    <t>AirBnb 762</t>
  </si>
  <si>
    <t>AirBnb 763</t>
  </si>
  <si>
    <t>AirBnb 764</t>
  </si>
  <si>
    <t>AirBnb 765</t>
  </si>
  <si>
    <t>AirBnb 766</t>
  </si>
  <si>
    <t>AirBnb 767</t>
  </si>
  <si>
    <t>AirBnb 768</t>
  </si>
  <si>
    <t>AirBnb 769</t>
  </si>
  <si>
    <t>AirBnb 770</t>
  </si>
  <si>
    <t>AirBnb 771</t>
  </si>
  <si>
    <t>AirBnb 772</t>
  </si>
  <si>
    <t>AirBnb 773</t>
  </si>
  <si>
    <t>AirBnb 774</t>
  </si>
  <si>
    <t>AirBnb 775</t>
  </si>
  <si>
    <t>AirBnb 776</t>
  </si>
  <si>
    <t>AirBnb 777</t>
  </si>
  <si>
    <t>AirBnb 778</t>
  </si>
  <si>
    <t>AirBnb 779</t>
  </si>
  <si>
    <t>AirBnb 780</t>
  </si>
  <si>
    <t>AirBnb 781</t>
  </si>
  <si>
    <t>AirBnb 782</t>
  </si>
  <si>
    <t>AirBnb 783</t>
  </si>
  <si>
    <t>AirBnb 784</t>
  </si>
  <si>
    <t>AirBnb 785</t>
  </si>
  <si>
    <t>AirBnb 786</t>
  </si>
  <si>
    <t>AirBnb 787</t>
  </si>
  <si>
    <t>AirBnb 788</t>
  </si>
  <si>
    <t>AirBnb 789</t>
  </si>
  <si>
    <t>AirBnb 790</t>
  </si>
  <si>
    <t>AirBnb 791</t>
  </si>
  <si>
    <t>AirBnb 792</t>
  </si>
  <si>
    <t>AirBnb 793</t>
  </si>
  <si>
    <t>AirBnb 794</t>
  </si>
  <si>
    <t>AirBnb 795</t>
  </si>
  <si>
    <t>AirBnb 796</t>
  </si>
  <si>
    <t>AirBnb 797</t>
  </si>
  <si>
    <t>AirBnb 798</t>
  </si>
  <si>
    <t>AirBnb 799</t>
  </si>
  <si>
    <t>AirBnb 800</t>
  </si>
  <si>
    <t>AirBnb 801</t>
  </si>
  <si>
    <t>AirBnb 802</t>
  </si>
  <si>
    <t>AirBnb 803</t>
  </si>
  <si>
    <t>AirBnb 804</t>
  </si>
  <si>
    <t>AirBnb 805</t>
  </si>
  <si>
    <t>AirBnb 806</t>
  </si>
  <si>
    <t>AirBnb 807</t>
  </si>
  <si>
    <t>AirBnb 808</t>
  </si>
  <si>
    <t>AirBnb 809</t>
  </si>
  <si>
    <t>AirBnb 810</t>
  </si>
  <si>
    <t>AirBnb 811</t>
  </si>
  <si>
    <t>AirBnb 812</t>
  </si>
  <si>
    <t>AirBnb 813</t>
  </si>
  <si>
    <t>AirBnb 814</t>
  </si>
  <si>
    <t>AirBnb 815</t>
  </si>
  <si>
    <t>AirBnb 816</t>
  </si>
  <si>
    <t>AirBnb 817</t>
  </si>
  <si>
    <t>AirBnb 818</t>
  </si>
  <si>
    <t>AirBnb 819</t>
  </si>
  <si>
    <t>AirBnb 820</t>
  </si>
  <si>
    <t>AirBnb 821</t>
  </si>
  <si>
    <t>AirBnb 822</t>
  </si>
  <si>
    <t>AirBnb 823</t>
  </si>
  <si>
    <t>AirBnb 824</t>
  </si>
  <si>
    <t>AirBnb 825</t>
  </si>
  <si>
    <t>AirBnb 826</t>
  </si>
  <si>
    <t>AirBnb 827</t>
  </si>
  <si>
    <t>AirBnb 828</t>
  </si>
  <si>
    <t>AirBnb 829</t>
  </si>
  <si>
    <t>AirBnb 830</t>
  </si>
  <si>
    <t>AirBnb 831</t>
  </si>
  <si>
    <t>AirBnb 832</t>
  </si>
  <si>
    <t>AirBnb 833</t>
  </si>
  <si>
    <t>AirBnb 834</t>
  </si>
  <si>
    <t>AirBnb 835</t>
  </si>
  <si>
    <t>AirBnb 836</t>
  </si>
  <si>
    <t>AirBnb 837</t>
  </si>
  <si>
    <t>AirBnb 838</t>
  </si>
  <si>
    <t>AirBnb 839</t>
  </si>
  <si>
    <t>AirBnb 840</t>
  </si>
  <si>
    <t>AirBnb 841</t>
  </si>
  <si>
    <t>AirBnb 842</t>
  </si>
  <si>
    <t>AirBnb 843</t>
  </si>
  <si>
    <t>AirBnb 844</t>
  </si>
  <si>
    <t>AirBnb 845</t>
  </si>
  <si>
    <t>AirBnb 846</t>
  </si>
  <si>
    <t>AirBnb 847</t>
  </si>
  <si>
    <t>AirBnb 848</t>
  </si>
  <si>
    <t>AirBnb 849</t>
  </si>
  <si>
    <t>AirBnb 850</t>
  </si>
  <si>
    <t>AirBnb 851</t>
  </si>
  <si>
    <t>AirBnb 852</t>
  </si>
  <si>
    <t>AirBnb 853</t>
  </si>
  <si>
    <t>AirBnb 854</t>
  </si>
  <si>
    <t>AirBnb 855</t>
  </si>
  <si>
    <t>AirBnb 856</t>
  </si>
  <si>
    <t>AirBnb 857</t>
  </si>
  <si>
    <t>AirBnb 858</t>
  </si>
  <si>
    <t>AirBnb 859</t>
  </si>
  <si>
    <t>AirBnb 860</t>
  </si>
  <si>
    <t>AirBnb 861</t>
  </si>
  <si>
    <t>AirBnb 862</t>
  </si>
  <si>
    <t>AirBnb 863</t>
  </si>
  <si>
    <t>AirBnb 864</t>
  </si>
  <si>
    <t>AirBnb 865</t>
  </si>
  <si>
    <t>AirBnb 866</t>
  </si>
  <si>
    <t>AirBnb 867</t>
  </si>
  <si>
    <t>AirBnb 868</t>
  </si>
  <si>
    <t>AirBnb 869</t>
  </si>
  <si>
    <t>AirBnb 870</t>
  </si>
  <si>
    <t>AirBnb 871</t>
  </si>
  <si>
    <t>AirBnb 872</t>
  </si>
  <si>
    <t>AirBnb 873</t>
  </si>
  <si>
    <t>AirBnb 874</t>
  </si>
  <si>
    <t>AirBnb 875</t>
  </si>
  <si>
    <t>AirBnb 876</t>
  </si>
  <si>
    <t>AirBnb 877</t>
  </si>
  <si>
    <t>AirBnb 878</t>
  </si>
  <si>
    <t>AirBnb 879</t>
  </si>
  <si>
    <t>AirBnb 880</t>
  </si>
  <si>
    <t>AirBnb 881</t>
  </si>
  <si>
    <t>AirBnb 882</t>
  </si>
  <si>
    <t>AirBnb 883</t>
  </si>
  <si>
    <t>AirBnb 884</t>
  </si>
  <si>
    <t>AirBnb 885</t>
  </si>
  <si>
    <t>AirBnb 886</t>
  </si>
  <si>
    <t>AirBnb 887</t>
  </si>
  <si>
    <t>AirBnb 888</t>
  </si>
  <si>
    <t>AirBnb 889</t>
  </si>
  <si>
    <t>AirBnb 890</t>
  </si>
  <si>
    <t>AirBnb 891</t>
  </si>
  <si>
    <t>AirBnb 892</t>
  </si>
  <si>
    <t>AirBnb 893</t>
  </si>
  <si>
    <t>AirBnb 894</t>
  </si>
  <si>
    <t>AirBnb 895</t>
  </si>
  <si>
    <t>AirBnb 896</t>
  </si>
  <si>
    <t>AirBnb 897</t>
  </si>
  <si>
    <t>AirBnb 898</t>
  </si>
  <si>
    <t>AirBnb 899</t>
  </si>
  <si>
    <t>AirBnb 900</t>
  </si>
  <si>
    <t>AirBnb 901</t>
  </si>
  <si>
    <t>AirBnb 902</t>
  </si>
  <si>
    <t>AirBnb 903</t>
  </si>
  <si>
    <t>AirBnb 904</t>
  </si>
  <si>
    <t>AirBnb 905</t>
  </si>
  <si>
    <t>AirBnb 906</t>
  </si>
  <si>
    <t>AirBnb 907</t>
  </si>
  <si>
    <t>AirBnb 908</t>
  </si>
  <si>
    <t>AirBnb 909</t>
  </si>
  <si>
    <t>AirBnb 910</t>
  </si>
  <si>
    <t>AirBnb 911</t>
  </si>
  <si>
    <t>AirBnb 912</t>
  </si>
  <si>
    <t>AirBnb 913</t>
  </si>
  <si>
    <t>AirBnb 914</t>
  </si>
  <si>
    <t>AirBnb 915</t>
  </si>
  <si>
    <t>AirBnb 916</t>
  </si>
  <si>
    <t>AirBnb 917</t>
  </si>
  <si>
    <t>AirBnb 918</t>
  </si>
  <si>
    <t>AirBnb 919</t>
  </si>
  <si>
    <t>AirBnb 920</t>
  </si>
  <si>
    <t>AirBnb 921</t>
  </si>
  <si>
    <t>AirBnb 922</t>
  </si>
  <si>
    <t>AirBnb 923</t>
  </si>
  <si>
    <t>AirBnb 924</t>
  </si>
  <si>
    <t>AirBnb 925</t>
  </si>
  <si>
    <t>AirBnb 926</t>
  </si>
  <si>
    <t>AirBnb 927</t>
  </si>
  <si>
    <t>AirBnb 928</t>
  </si>
  <si>
    <t>AirBnb 929</t>
  </si>
  <si>
    <t>AirBnb 930</t>
  </si>
  <si>
    <t>AirBnb 931</t>
  </si>
  <si>
    <t>AirBnb 932</t>
  </si>
  <si>
    <t>AirBnb 933</t>
  </si>
  <si>
    <t>AirBnb 934</t>
  </si>
  <si>
    <t>AirBnb 935</t>
  </si>
  <si>
    <t>AirBnb 936</t>
  </si>
  <si>
    <t>AirBnb 937</t>
  </si>
  <si>
    <t>AirBnb 938</t>
  </si>
  <si>
    <t>AirBnb 939</t>
  </si>
  <si>
    <t>AirBnb 940</t>
  </si>
  <si>
    <t>AirBnb 941</t>
  </si>
  <si>
    <t>AirBnb 942</t>
  </si>
  <si>
    <t>AirBnb 943</t>
  </si>
  <si>
    <t>AirBnb 944</t>
  </si>
  <si>
    <t>AirBnb 945</t>
  </si>
  <si>
    <t>AirBnb 946</t>
  </si>
  <si>
    <t>AirBnb 947</t>
  </si>
  <si>
    <t>AirBnb 948</t>
  </si>
  <si>
    <t>AirBnb 949</t>
  </si>
  <si>
    <t>AirBnb 950</t>
  </si>
  <si>
    <t>AirBnb 951</t>
  </si>
  <si>
    <t>AirBnb 952</t>
  </si>
  <si>
    <t>AirBnb 953</t>
  </si>
  <si>
    <t>AirBnb 954</t>
  </si>
  <si>
    <t>AirBnb 955</t>
  </si>
  <si>
    <t>AirBnb 956</t>
  </si>
  <si>
    <t>AirBnb 957</t>
  </si>
  <si>
    <t>AirBnb 958</t>
  </si>
  <si>
    <t>AirBnb 959</t>
  </si>
  <si>
    <t>AirBnb 960</t>
  </si>
  <si>
    <t>AirBnb 961</t>
  </si>
  <si>
    <t>AirBnb 962</t>
  </si>
  <si>
    <t>AirBnb 963</t>
  </si>
  <si>
    <t>AirBnb 964</t>
  </si>
  <si>
    <t>AirBnb 965</t>
  </si>
  <si>
    <t>AirBnb 966</t>
  </si>
  <si>
    <t>AirBnb 967</t>
  </si>
  <si>
    <t>AirBnb 968</t>
  </si>
  <si>
    <t>AirBnb 969</t>
  </si>
  <si>
    <t>AirBnb 970</t>
  </si>
  <si>
    <t>AirBnb 971</t>
  </si>
  <si>
    <t>AirBnb 972</t>
  </si>
  <si>
    <t>AirBnb 973</t>
  </si>
  <si>
    <t>AirBnb 974</t>
  </si>
  <si>
    <t>AirBnb 975</t>
  </si>
  <si>
    <t>AirBnb 976</t>
  </si>
  <si>
    <t>AirBnb 977</t>
  </si>
  <si>
    <t>AirBnb 978</t>
  </si>
  <si>
    <t>AirBnb 979</t>
  </si>
  <si>
    <t>AirBnb 980</t>
  </si>
  <si>
    <t>AirBnb 981</t>
  </si>
  <si>
    <t>AirBnb 982</t>
  </si>
  <si>
    <t>AirBnb 983</t>
  </si>
  <si>
    <t>AirBnb 984</t>
  </si>
  <si>
    <t>AirBnb 985</t>
  </si>
  <si>
    <t>AirBnb 986</t>
  </si>
  <si>
    <t>AirBnb 987</t>
  </si>
  <si>
    <t>AirBnb 988</t>
  </si>
  <si>
    <t>AirBnb 989</t>
  </si>
  <si>
    <t>AirBnb 990</t>
  </si>
  <si>
    <t>AirBnb 991</t>
  </si>
  <si>
    <t>AirBnb 992</t>
  </si>
  <si>
    <t>AirBnb 993</t>
  </si>
  <si>
    <t>AirBnb 994</t>
  </si>
  <si>
    <t>AirBnb 995</t>
  </si>
  <si>
    <t>AirBnb 996</t>
  </si>
  <si>
    <t>AirBnb 997</t>
  </si>
  <si>
    <t>AirBnb 998</t>
  </si>
  <si>
    <t>AirBnb 999</t>
  </si>
  <si>
    <t>AirBnb 1000</t>
  </si>
  <si>
    <t>Total
Average</t>
  </si>
  <si>
    <t>Average
Min $</t>
  </si>
  <si>
    <t>Average
Max $</t>
  </si>
  <si>
    <t>&gt;&gt; CATEGORIES</t>
  </si>
  <si>
    <t>&gt;&gt; ASSETS</t>
  </si>
  <si>
    <t>&gt;&gt; LIABILITIES</t>
  </si>
  <si>
    <t>&gt;&gt; MARKET RESEARCH</t>
  </si>
  <si>
    <t>Tianchang Kook-aid network technology Co, Ltd.</t>
  </si>
  <si>
    <t>Quizer Infotech</t>
  </si>
  <si>
    <t>Good Charge</t>
  </si>
  <si>
    <t>Battery</t>
  </si>
  <si>
    <t>Type</t>
  </si>
  <si>
    <t>Company</t>
  </si>
  <si>
    <t>Name</t>
  </si>
  <si>
    <t>PlayWell Team</t>
  </si>
  <si>
    <t>Gifts</t>
  </si>
  <si>
    <t>Unity</t>
  </si>
  <si>
    <t>Solitaire</t>
  </si>
  <si>
    <t>Competition</t>
  </si>
  <si>
    <t>Win over</t>
  </si>
  <si>
    <t>Win Over</t>
  </si>
  <si>
    <t>Withdrawal
Limit</t>
  </si>
  <si>
    <t>Playvalve</t>
  </si>
  <si>
    <t>Solitaire - Classic Card Game</t>
  </si>
  <si>
    <t>Bubble</t>
  </si>
  <si>
    <t>Samsung</t>
  </si>
  <si>
    <t>Platform</t>
  </si>
  <si>
    <t>Money-Time</t>
  </si>
  <si>
    <t>Google Play</t>
  </si>
  <si>
    <t>PayPal</t>
  </si>
  <si>
    <t>X</t>
  </si>
  <si>
    <t>JustPlay</t>
  </si>
  <si>
    <t>Solitaire Dash</t>
  </si>
  <si>
    <t>Ghost Studio Company</t>
  </si>
  <si>
    <t>Solitaire TriPeaks Journey</t>
  </si>
  <si>
    <t>Solitaire Delight</t>
  </si>
  <si>
    <t>Solitaire Verse</t>
  </si>
  <si>
    <t>Gimica GmbH</t>
  </si>
  <si>
    <t>Joyful Solitaire Challenge</t>
  </si>
  <si>
    <t>nulevoy fayl</t>
  </si>
  <si>
    <t>Spider Solitaire</t>
  </si>
  <si>
    <t>Spider</t>
  </si>
  <si>
    <t>Individual</t>
  </si>
  <si>
    <t>Nine Twenty Games</t>
  </si>
  <si>
    <t>Bingo Legends</t>
  </si>
  <si>
    <t>Bingo</t>
  </si>
  <si>
    <t>Nizar Abdalla App</t>
  </si>
  <si>
    <t>Bingo Noble</t>
  </si>
  <si>
    <t>Bingo Money</t>
  </si>
  <si>
    <t>ByteArcade</t>
  </si>
  <si>
    <t>Bingo Crown</t>
  </si>
  <si>
    <t>Built With</t>
  </si>
  <si>
    <t>Shezar</t>
  </si>
  <si>
    <t>Bingo Mania</t>
  </si>
  <si>
    <t>Bingo Mania: Lucky Win</t>
  </si>
  <si>
    <t>Cocos</t>
  </si>
  <si>
    <t>Mom</t>
  </si>
  <si>
    <t>Pass Level 3</t>
  </si>
  <si>
    <t>Agus Budiono</t>
  </si>
  <si>
    <t>Bash Party</t>
  </si>
  <si>
    <t>Tiles</t>
  </si>
  <si>
    <t>Ademi Y</t>
  </si>
  <si>
    <t>Push The Coin</t>
  </si>
  <si>
    <t>Coin Push</t>
  </si>
  <si>
    <t>Golden Temple Slots: Spin Rich</t>
  </si>
  <si>
    <t>Slots</t>
  </si>
  <si>
    <t>ChaCha Developer</t>
  </si>
  <si>
    <t>Fortune Clover-Slot Game</t>
  </si>
  <si>
    <t>Teacher G</t>
  </si>
  <si>
    <t>Totem Smash</t>
  </si>
  <si>
    <t>SpinX Games Limited</t>
  </si>
  <si>
    <t>Cash Frenzy - Casino Slots</t>
  </si>
  <si>
    <t>Username</t>
  </si>
  <si>
    <t>Password</t>
  </si>
  <si>
    <t>Ismail El Bakali</t>
  </si>
  <si>
    <t>Frosty Reel Challenge</t>
  </si>
  <si>
    <t>Hatem Affsverse</t>
  </si>
  <si>
    <t>Catch&amp;Spin:Bass Fishing</t>
  </si>
  <si>
    <t>Md Nabin</t>
  </si>
  <si>
    <t>Golden Tree Fortunes</t>
  </si>
  <si>
    <t>Game Six Studio</t>
  </si>
  <si>
    <t>Business Journey</t>
  </si>
  <si>
    <t>Cashout Amount</t>
  </si>
  <si>
    <t>Monopoly</t>
  </si>
  <si>
    <t>Webexposs</t>
  </si>
  <si>
    <t>Pool Journey</t>
  </si>
  <si>
    <t>Pool</t>
  </si>
  <si>
    <t>Arrive in France</t>
  </si>
  <si>
    <t>it.workshop.comp</t>
  </si>
  <si>
    <t>Scratch</t>
  </si>
  <si>
    <t>5 Ads</t>
  </si>
  <si>
    <t>Scratch For Luck</t>
  </si>
  <si>
    <t>Bubble Magic</t>
  </si>
  <si>
    <t>AmrElssadwy</t>
  </si>
  <si>
    <t>Animal Match Party: Earn Cash</t>
  </si>
  <si>
    <t>Lakeseal Bulls</t>
  </si>
  <si>
    <t>Drop Ball</t>
  </si>
  <si>
    <t>Level 8</t>
  </si>
  <si>
    <t>JustPlay: Earn Money or Donate</t>
  </si>
  <si>
    <t>Games</t>
  </si>
  <si>
    <t>Anytime</t>
  </si>
  <si>
    <t>Treasure Master</t>
  </si>
  <si>
    <t>Gimica</t>
  </si>
  <si>
    <t>Papaya</t>
  </si>
  <si>
    <t>Pin Master</t>
  </si>
  <si>
    <t>Pins</t>
  </si>
  <si>
    <t>Swords</t>
  </si>
  <si>
    <t>Bubble Pop: Wild Rescue</t>
  </si>
  <si>
    <t>Dozer Dash: Coin Pusher</t>
  </si>
  <si>
    <t>Honeygain</t>
  </si>
  <si>
    <t>JumpTask</t>
  </si>
  <si>
    <t>Funk Live</t>
  </si>
  <si>
    <t>Dream Card Solitaire 3D</t>
  </si>
  <si>
    <t>DextersLab</t>
  </si>
  <si>
    <t>Logic Car Challenge</t>
  </si>
  <si>
    <t>Triple M Tech Ltd</t>
  </si>
  <si>
    <t>Block Puzzle Relax</t>
  </si>
  <si>
    <t>Blocks</t>
  </si>
  <si>
    <t>FatMan Studio</t>
  </si>
  <si>
    <t>Solitaire Oasis</t>
  </si>
  <si>
    <t>Medodev</t>
  </si>
  <si>
    <t>Classic Cards Tile: Match Poker</t>
  </si>
  <si>
    <t>DealZia</t>
  </si>
  <si>
    <t>Milton Gamez</t>
  </si>
  <si>
    <t>Gold Frenzy</t>
  </si>
  <si>
    <t>Bookly</t>
  </si>
  <si>
    <t>Billiards Talent 2048</t>
  </si>
  <si>
    <t>Rleuh</t>
  </si>
  <si>
    <t>Luxury Vault Slots</t>
  </si>
  <si>
    <t>kingapk</t>
  </si>
  <si>
    <t>Woody Cube Sort: Color Puzzle</t>
  </si>
  <si>
    <t>Cahaya Mitra Sukses</t>
  </si>
  <si>
    <t>Egg Tile Match Earn</t>
  </si>
  <si>
    <t>Level 15</t>
  </si>
  <si>
    <t>Hunt Vision Games</t>
  </si>
  <si>
    <t>Golden Dragon Blessing</t>
  </si>
  <si>
    <t>+10 Ads</t>
  </si>
  <si>
    <t>Gaming Egy</t>
  </si>
  <si>
    <t>Lake Big Bass</t>
  </si>
  <si>
    <t>100 spins</t>
  </si>
  <si>
    <t>Trend Point</t>
  </si>
  <si>
    <t>Copper Boom</t>
  </si>
  <si>
    <t>Studio Devp Apps</t>
  </si>
  <si>
    <t>Crazy Cash</t>
  </si>
  <si>
    <t>In Game Tasks</t>
  </si>
  <si>
    <t>MoneyTime - Play &amp; Earn Money</t>
  </si>
  <si>
    <t>Khan Gaming Studio</t>
  </si>
  <si>
    <t>Water Sorting Expedition</t>
  </si>
  <si>
    <t>Win over
Google Fee
Taxes</t>
  </si>
  <si>
    <t>Anytime X&gt;0</t>
  </si>
  <si>
    <t>Crash
Report</t>
  </si>
  <si>
    <t>Google Fee, Taxes, Que Accelerate</t>
  </si>
  <si>
    <t>Total Payout</t>
  </si>
  <si>
    <t>Android</t>
  </si>
  <si>
    <t>Plinko &amp; Slots</t>
  </si>
  <si>
    <t>Nexus</t>
  </si>
  <si>
    <t>Lucky Draw X70</t>
  </si>
  <si>
    <t>60/60 X Dice Roll
10/10 X Ads
$1000 reached</t>
  </si>
  <si>
    <t>Samsung China</t>
  </si>
  <si>
    <t>Aged Studio Limited</t>
  </si>
  <si>
    <t>Google Play, Windows</t>
  </si>
  <si>
    <t>Multiple Games</t>
  </si>
  <si>
    <t>PlayWell: Play to Earn</t>
  </si>
  <si>
    <t>Honeygain ($3 sign-up bonus)</t>
  </si>
  <si>
    <t>4Ever Green Studios - JustPlay</t>
  </si>
  <si>
    <t>Solitaire Classic - JustPlay</t>
  </si>
  <si>
    <t>GravFort Nexus; Switch off Developer Mode</t>
  </si>
  <si>
    <t>Bingo Money Win: Real Cash</t>
  </si>
  <si>
    <t>Great-Strream</t>
  </si>
  <si>
    <t>NightPulse Tech Inc SolitaireDashServiceTeam@outlook.com</t>
  </si>
  <si>
    <t>App Brain</t>
  </si>
  <si>
    <t>Papaya Gaming Ltd. support@papayagaming.com</t>
  </si>
  <si>
    <t>PongDigital **Que Accelerate Alert**</t>
  </si>
  <si>
    <t>Total Solution, Inc. bingonobleservice@outlook.com</t>
  </si>
  <si>
    <t>Solitaire Lounge - Not on Google Play as of 20250911</t>
  </si>
  <si>
    <t>Mania Match - Match Mania is the real game;</t>
  </si>
  <si>
    <t>Mania Match ; Match Mania is the real game;</t>
  </si>
  <si>
    <t>Unity Uninstalled</t>
  </si>
  <si>
    <t>&gt;&gt; BALANCE SHEET SUMMARY</t>
  </si>
  <si>
    <t>Kileen, TX 25 hours; 1604 miles 1 way</t>
  </si>
  <si>
    <t>1 PAX</t>
  </si>
  <si>
    <t>Day 1</t>
  </si>
  <si>
    <t>Day 2</t>
  </si>
  <si>
    <t>Day 3</t>
  </si>
  <si>
    <t>Both</t>
  </si>
  <si>
    <t>Food</t>
  </si>
  <si>
    <t>Drive</t>
  </si>
  <si>
    <t>Fuel 420 miles @ $0.65 per mile</t>
  </si>
  <si>
    <t>Fly/Drive</t>
  </si>
  <si>
    <t>Rental Home</t>
  </si>
  <si>
    <t>Flight One Way</t>
  </si>
  <si>
    <t>Lodging</t>
  </si>
  <si>
    <t>Mileage</t>
  </si>
  <si>
    <t>Fly to Kileen GRK, TX from BOI</t>
  </si>
  <si>
    <t>Day 4</t>
  </si>
  <si>
    <t>Day 5</t>
  </si>
  <si>
    <t>Day 6</t>
  </si>
  <si>
    <t>Day 7</t>
  </si>
  <si>
    <t>Day 8</t>
  </si>
  <si>
    <t>Day 9</t>
  </si>
  <si>
    <t>Parking</t>
  </si>
  <si>
    <t>Lodging + Dog</t>
  </si>
  <si>
    <t>CURRENT BALANCE</t>
  </si>
  <si>
    <t>CHECK/CODE</t>
  </si>
  <si>
    <t>DATE</t>
  </si>
  <si>
    <t>TRANSACTION</t>
  </si>
  <si>
    <t>WITHDRAWAL</t>
  </si>
  <si>
    <t>DEPOSIT</t>
  </si>
  <si>
    <t>School of Fine Art</t>
  </si>
  <si>
    <t>Kelly's art class - 6 weeks</t>
  </si>
  <si>
    <t>AD</t>
  </si>
  <si>
    <t>Paycheck</t>
  </si>
  <si>
    <t>DC</t>
  </si>
  <si>
    <t>Southridge Video</t>
  </si>
  <si>
    <t>Movie rental + $10 cash back</t>
  </si>
  <si>
    <t>ATM</t>
  </si>
  <si>
    <t>Cash for dining out</t>
  </si>
  <si>
    <t>BP</t>
  </si>
  <si>
    <t>The Phone Company</t>
  </si>
  <si>
    <t>TOTALS</t>
  </si>
  <si>
    <t>DC = Debit card</t>
  </si>
  <si>
    <t xml:space="preserve">AP = Automatic payment </t>
  </si>
  <si>
    <t>ATM = Automated teller withdrawal</t>
  </si>
  <si>
    <t>BP = Online bill pay</t>
  </si>
  <si>
    <t>INCOME</t>
  </si>
  <si>
    <t>ANALYSIS</t>
  </si>
  <si>
    <t>Earned Income</t>
    <phoneticPr fontId="3" type="noConversion"/>
  </si>
  <si>
    <t>How Much Do You Keep?</t>
  </si>
  <si>
    <t>Cash Flow/Total Income</t>
  </si>
  <si>
    <t>***should be increasing</t>
  </si>
  <si>
    <t>Passive Income</t>
    <phoneticPr fontId="3" type="noConversion"/>
  </si>
  <si>
    <t>Does Your Money Work For You?</t>
  </si>
  <si>
    <t>Passive+Portfolio/Total Inc</t>
  </si>
  <si>
    <t>Passive Total</t>
  </si>
  <si>
    <t>How Much Do You Pay In Taxes?</t>
  </si>
  <si>
    <t>Income Taxes/Total Income</t>
    <phoneticPr fontId="3" type="noConversion"/>
  </si>
  <si>
    <t>How Much Goes to Housing?</t>
  </si>
  <si>
    <t>Portfolio Total</t>
  </si>
  <si>
    <t>Housing Expenses/Income</t>
  </si>
  <si>
    <t>TOTAL INCOME</t>
    <phoneticPr fontId="3" type="noConversion"/>
  </si>
  <si>
    <t>***keep under 33 percent</t>
  </si>
  <si>
    <t>How Much Do You Spend on Doodads?</t>
  </si>
  <si>
    <t>Expenses</t>
    <phoneticPr fontId="3" type="noConversion"/>
  </si>
  <si>
    <t>Doodad Total/Banker Assets</t>
  </si>
  <si>
    <t>What Is Your Annual Return On Assets?</t>
    <phoneticPr fontId="3" type="noConversion"/>
  </si>
  <si>
    <t>Pass+Port/Rich Dad Assets</t>
  </si>
  <si>
    <t>How Wealthy Are You?</t>
  </si>
  <si>
    <t>Other Expenses</t>
  </si>
  <si>
    <t>Rich Dad Assets/Expenses</t>
  </si>
  <si>
    <t>***measured in months</t>
  </si>
  <si>
    <t>TOTAL EXPENSES</t>
    <phoneticPr fontId="3" type="noConversion"/>
  </si>
  <si>
    <t>NET MONTHLY CASH FLOW</t>
    <phoneticPr fontId="3" type="noConversion"/>
  </si>
  <si>
    <t>ASSETS</t>
  </si>
  <si>
    <t>ASSETS</t>
    <phoneticPr fontId="3" type="noConversion"/>
  </si>
  <si>
    <t>LIABILITIES</t>
    <phoneticPr fontId="3" type="noConversion"/>
  </si>
  <si>
    <t>(fair market value less mortgage)</t>
  </si>
  <si>
    <t>TOTAL LIABILITIES</t>
    <phoneticPr fontId="3" type="noConversion"/>
  </si>
  <si>
    <t>ASSETS TOTAL</t>
    <phoneticPr fontId="3" type="noConversion"/>
  </si>
  <si>
    <t>TOTAL ASSETS per Banker</t>
    <phoneticPr fontId="3" type="noConversion"/>
  </si>
  <si>
    <t>NET WORTH per Banker</t>
    <phoneticPr fontId="3" type="noConversion"/>
  </si>
  <si>
    <t>(Assets Total + Doodads)</t>
    <phoneticPr fontId="3" type="noConversion"/>
  </si>
  <si>
    <t>(Total Assets per Banker minus Total Liabilities)</t>
    <phoneticPr fontId="3" type="noConversion"/>
  </si>
  <si>
    <t>TOTAL ASSETS per Rich Dad</t>
    <phoneticPr fontId="3" type="noConversion"/>
  </si>
  <si>
    <t>NET WORTH per Rich Dad</t>
    <phoneticPr fontId="3" type="noConversion"/>
  </si>
  <si>
    <t>(Assets Total Only, No Doodads)</t>
    <phoneticPr fontId="3" type="noConversion"/>
  </si>
  <si>
    <t>(Total Assets per Rich Dad minus Total Liabilities)</t>
    <phoneticPr fontId="3" type="noConversion"/>
  </si>
  <si>
    <t>Other Doodads</t>
  </si>
  <si>
    <t>INCOME Earned #1</t>
  </si>
  <si>
    <t>INCOME Earned #2</t>
  </si>
  <si>
    <t xml:space="preserve"> INCOME Real Estate (NET)</t>
  </si>
  <si>
    <t>INCOME Business (NET)</t>
  </si>
  <si>
    <t>EXPENSES Taxes (Real Estate)</t>
  </si>
  <si>
    <t>EXPENSES Home Mortgage (or Rent)</t>
  </si>
  <si>
    <t>EXPENSES Utilities</t>
  </si>
  <si>
    <t>EXPENSES Home Insurance</t>
  </si>
  <si>
    <t>EXPENSES Food and Clothing</t>
  </si>
  <si>
    <t>EXPENSES Credit Card #1</t>
  </si>
  <si>
    <t>EXPENSES Credit Card #2</t>
  </si>
  <si>
    <t>EXPENSES Car Loan #1</t>
  </si>
  <si>
    <t>EXPENSES Car Loan #2</t>
  </si>
  <si>
    <t>EXPENSES School Loan #1</t>
  </si>
  <si>
    <t>EXPENSES School Loan #2</t>
  </si>
  <si>
    <t xml:space="preserve"> INCOME Interest (Bonds)</t>
  </si>
  <si>
    <t>INCOME Dividends (Stocks)</t>
  </si>
  <si>
    <t>INCOME Royalties (Receivables)</t>
  </si>
  <si>
    <t>LIABILITIES Credit Cards</t>
  </si>
  <si>
    <t>LIABILITIES Car Loans</t>
  </si>
  <si>
    <t>LIABILITIES School Loans</t>
  </si>
  <si>
    <t>LIABILITIES Home Mortgage</t>
  </si>
  <si>
    <t>LIABILITIES Personal Loans</t>
  </si>
  <si>
    <t>LIABILITIES Other Debt</t>
  </si>
  <si>
    <t>ASSETS Royalties (Receivables)</t>
  </si>
  <si>
    <t xml:space="preserve"> ASSETS Real Estate (NET)</t>
  </si>
  <si>
    <t>ASSETS Business (NET)</t>
  </si>
  <si>
    <t>EXPENSES Personal Loan #1</t>
  </si>
  <si>
    <t>EXPENSES Personal Loan #2</t>
  </si>
  <si>
    <t>DOODADS Home (Furniture, Jewelry, etc.)</t>
  </si>
  <si>
    <t>DOODADS Vehicle(s) + Toy(s)</t>
  </si>
  <si>
    <t>DOODADS (Titles On Hand) Market Value</t>
  </si>
  <si>
    <t xml:space="preserve">EXPENSES All Maintenance </t>
  </si>
  <si>
    <t>DOODADS Home (Furniture, Jewelry, etc.) #1</t>
  </si>
  <si>
    <t>DOODADS Home (Furniture, Jewelry, etc.) #2</t>
  </si>
  <si>
    <t>DOODADS Vehicle(s) + Toy(s) #1</t>
  </si>
  <si>
    <t>DOODADS Vehicle(s) + Toy(s) #2</t>
  </si>
  <si>
    <t>FAIR MARKET VALUE of TITLES</t>
  </si>
  <si>
    <t>WinsWithMike.com</t>
  </si>
  <si>
    <t>TOTAL DOODADS</t>
  </si>
  <si>
    <t>MARKET VALUE (+)</t>
  </si>
  <si>
    <t>INSURANCE (-)</t>
  </si>
  <si>
    <t>REGISTRATION (-)</t>
  </si>
  <si>
    <t>SECURITY (-)</t>
  </si>
  <si>
    <t>MAINTENANCE (-)</t>
  </si>
  <si>
    <t>VALUE</t>
  </si>
  <si>
    <t>Other Doodads #2 (tools)</t>
  </si>
  <si>
    <t>Other Doodads #1 (equipment)</t>
  </si>
  <si>
    <t>Lowes</t>
  </si>
  <si>
    <t>Lawnmower Maintenance, Parts</t>
  </si>
  <si>
    <t>TOTAL EXPENSES ACTUAL</t>
  </si>
  <si>
    <t>TOTAL EXPENSES BY %</t>
  </si>
  <si>
    <t>TR</t>
  </si>
  <si>
    <t>AP</t>
  </si>
  <si>
    <t>TR = Online or phone transfer (Deposit)</t>
  </si>
  <si>
    <t>AD = Automatic (deposit )</t>
  </si>
  <si>
    <t>TODAY:</t>
  </si>
  <si>
    <t>Book me? airbnb.com/h/barberry</t>
  </si>
  <si>
    <r>
      <t xml:space="preserve">CURRENT YEAR
</t>
    </r>
    <r>
      <rPr>
        <b/>
        <sz val="8"/>
        <color theme="1" tint="0.14993743705557422"/>
        <rFont val="Calibri Light"/>
        <family val="2"/>
        <scheme val="major"/>
      </rPr>
      <t>from 'FINANCIAL STATEMENT' tab</t>
    </r>
  </si>
  <si>
    <t>EXPENSES Charity</t>
  </si>
  <si>
    <t>Charity (Income)</t>
  </si>
  <si>
    <t>Initial Asset Entry that feeds the 'Financial Statement' tab</t>
  </si>
  <si>
    <t>The stuff in my house and garage (mostly what my 5 adult children need to come get) ¯\_(ツ)_/¯</t>
  </si>
  <si>
    <t>Tools, Inventory, hobbies</t>
  </si>
  <si>
    <t>Lawn Mower, Weed Eater, Hot Tub, Trailer, Truck, Motorcycle; review each year to update</t>
  </si>
  <si>
    <t>INCOME Leasehold Improvements</t>
  </si>
  <si>
    <t>INCOME From Charity</t>
  </si>
  <si>
    <t>INCOME From Other Investments</t>
  </si>
  <si>
    <t>Earned Cash Total</t>
  </si>
  <si>
    <t>Portfolio Income (Investments)</t>
  </si>
  <si>
    <t>Inventories (Doodads Total)</t>
  </si>
  <si>
    <t>INCOME Pre-Paid Expenses</t>
  </si>
  <si>
    <t>ASSETS Cash &amp; Cash Equivalents</t>
  </si>
  <si>
    <t xml:space="preserve"> ASSETS Investments (Earnings)</t>
  </si>
  <si>
    <t>Inventories TOTAL</t>
  </si>
  <si>
    <t xml:space="preserve">ASSETS Pre-paid expenses </t>
  </si>
  <si>
    <t>ASSETS Leasehold improvements</t>
  </si>
  <si>
    <t>INCOME From Equity &amp; Other</t>
  </si>
  <si>
    <t>ASSETS Equity and other investments</t>
  </si>
  <si>
    <t>ASSETS Income from Charity</t>
  </si>
  <si>
    <t>Cash &amp; Cash Equivalents 
(ASSETS Cash &amp; Cash Equivalents)</t>
  </si>
  <si>
    <t>Pre-paid expenses 
(ASSETS Pre-paid expenses)</t>
  </si>
  <si>
    <t>Accounts receivable
(ASSETS Royalties (Receivables))</t>
  </si>
  <si>
    <t>Leasehold improvements
(ASSETS Leasehold improvements)</t>
  </si>
  <si>
    <t>Equity and other investments
(ASSETS Equity and other investments)</t>
  </si>
  <si>
    <t>INCOME Depreciation (-)</t>
  </si>
  <si>
    <t>Property, Plants, and Equipment
( ASSETS Real Estate (NET))</t>
  </si>
  <si>
    <t>ASSETS Depreciation</t>
  </si>
  <si>
    <t>Debit card</t>
  </si>
  <si>
    <t>Automatic (deposit )</t>
  </si>
  <si>
    <t>Automated teller withdrawal</t>
  </si>
  <si>
    <t xml:space="preserve">Automatic payment </t>
  </si>
  <si>
    <t>Online bill payOnline bill pay</t>
  </si>
  <si>
    <t>Online or phone transfer (Deposit)</t>
  </si>
  <si>
    <t>BOOK KEEPING LEDGER CATEGORY</t>
  </si>
  <si>
    <t>*Book Keeping Ledger Check/Code</t>
  </si>
  <si>
    <t>*CATEGORIES for Assets, Liabilities</t>
  </si>
  <si>
    <t>*CATEGORIES for Book Keeping Ledger</t>
  </si>
  <si>
    <r>
      <t xml:space="preserve">* REMINDER: Updates to these lists requires and update in the cells referencing these lists; Uprotect the applicable sheet, update cells using 'Validation' then Re-Protect the applicable sheet. </t>
    </r>
    <r>
      <rPr>
        <b/>
        <sz val="11"/>
        <color rgb="FF7030A0"/>
        <rFont val="Arial"/>
        <family val="2"/>
      </rPr>
      <t>¯\_(ツ)_/¯</t>
    </r>
  </si>
  <si>
    <t>&gt;&gt; BOOK KEEPING LEDGER</t>
  </si>
  <si>
    <t>&gt;&gt; FINANCIAL STATEMENT</t>
  </si>
  <si>
    <t>EXPENSES Vehicle Insurance</t>
  </si>
  <si>
    <t>INCOME Personal Accounts Receivable</t>
  </si>
  <si>
    <t>LIABILITIES Taxes</t>
  </si>
  <si>
    <t>EXPENSES Taxes (Anything to government)</t>
  </si>
  <si>
    <t>State of Idaho</t>
  </si>
  <si>
    <t>Vehicle Registration</t>
  </si>
  <si>
    <t>Idaho Fish &amp; Game</t>
  </si>
  <si>
    <t>Fishing License</t>
  </si>
  <si>
    <t>DOODADS ANALYSIS % Versus Actual</t>
  </si>
  <si>
    <t>Depreciation Entry</t>
  </si>
  <si>
    <t>Home, Auto, Doodads</t>
  </si>
  <si>
    <t xml:space="preserve">The most common depreciation formula is the straight-line method: (Asset Cost - Salvage Value) / Useful Life = Annual Depreciation Expense. </t>
  </si>
  <si>
    <t>and</t>
  </si>
  <si>
    <t>BOOK KEEPING LEDGER</t>
  </si>
  <si>
    <t>LIABILITIES Accrued wages (Payments to Employees)</t>
  </si>
  <si>
    <t>Accrued compensation (Legal, Deductables, etc)</t>
  </si>
  <si>
    <t>Investments + Business NET
(ASSETS Investments (Earnings)</t>
  </si>
  <si>
    <t>INITIALIZE LEDGER</t>
  </si>
  <si>
    <t>INITIALIZE LEDGER (INCOME)</t>
  </si>
  <si>
    <t>INITIALIZE LEDGER (EXPENSE)</t>
  </si>
  <si>
    <t>CONGRATULATIONS! You have finished initializing your information as of TODAY.  From here on, simply enter real-time transactions (Example entries may be over-written:</t>
  </si>
  <si>
    <t>CONGRATULATIONS! You have finished initializing YOUR 'DASHBOARD' Sheet as of TODAY.  From here on, simply enter YOUR real-time WITHDRAWAL, DEPOSIT. (Example entries may be over-written):</t>
  </si>
  <si>
    <t>INITIALIZED LEDGER (INCOME, EXPENSES)</t>
  </si>
  <si>
    <t>REAL-TIME TRANSACTIONS</t>
  </si>
  <si>
    <t>CONGRATULATIONS! Out of rows? Simply insert rows above the TOTALS row by selecting any row number then "Insert":</t>
  </si>
  <si>
    <t>LEDGER</t>
  </si>
  <si>
    <t>AS OF</t>
  </si>
  <si>
    <t>CHECK REGISTER = BOOK KEEPING LEDGER  CTRL+P = PRINT</t>
  </si>
  <si>
    <t>TRAVEL CALCULATOR SANDBOX CTRL+P = PRINT</t>
  </si>
  <si>
    <t>&gt;&gt; TRAVEL SANDBOX</t>
  </si>
  <si>
    <t xml:space="preserve">Enter your property tax part of your </t>
  </si>
  <si>
    <r>
      <rPr>
        <b/>
        <sz val="11"/>
        <color rgb="FFFF0000"/>
        <rFont val="Calibri"/>
        <family val="2"/>
        <scheme val="minor"/>
      </rPr>
      <t xml:space="preserve">^ </t>
    </r>
    <r>
      <rPr>
        <sz val="8"/>
        <color rgb="FFFF0000"/>
        <rFont val="Calibri"/>
        <family val="2"/>
        <scheme val="minor"/>
      </rPr>
      <t xml:space="preserve">Initialize </t>
    </r>
    <r>
      <rPr>
        <b/>
        <u/>
        <sz val="8"/>
        <color rgb="FFFF0000"/>
        <rFont val="Calibri"/>
        <family val="2"/>
        <scheme val="minor"/>
      </rPr>
      <t>ALL</t>
    </r>
    <r>
      <rPr>
        <sz val="8"/>
        <color rgb="FFFF0000"/>
        <rFont val="Calibri"/>
        <family val="2"/>
        <scheme val="minor"/>
      </rPr>
      <t xml:space="preserve"> Taxes Paid For Mortgage so far</t>
    </r>
  </si>
  <si>
    <r>
      <rPr>
        <b/>
        <sz val="8"/>
        <color rgb="FFFF0000"/>
        <rFont val="Calibri"/>
        <family val="2"/>
        <scheme val="minor"/>
      </rPr>
      <t>^^</t>
    </r>
    <r>
      <rPr>
        <sz val="8"/>
        <color rgb="FFFF0000"/>
        <rFont val="Calibri"/>
        <family val="2"/>
        <scheme val="minor"/>
      </rPr>
      <t xml:space="preserve"> Initial Annual Property Assessment</t>
    </r>
  </si>
  <si>
    <r>
      <t xml:space="preserve">Mortgage Payments lower EXPENSES Home Mortgage; Simply update </t>
    </r>
    <r>
      <rPr>
        <b/>
        <sz val="11"/>
        <color rgb="FFFF0000"/>
        <rFont val="Calibri"/>
        <family val="2"/>
        <scheme val="minor"/>
      </rPr>
      <t xml:space="preserve">^^ </t>
    </r>
    <r>
      <rPr>
        <sz val="11"/>
        <rFont val="Calibri"/>
        <family val="2"/>
        <scheme val="minor"/>
      </rPr>
      <t>Annually; recommend don't re-enter except for additional properties</t>
    </r>
  </si>
  <si>
    <r>
      <t xml:space="preserve">simply update </t>
    </r>
    <r>
      <rPr>
        <sz val="11"/>
        <color rgb="FFFF0000"/>
        <rFont val="Calibri"/>
        <family val="2"/>
        <scheme val="minor"/>
      </rPr>
      <t xml:space="preserve">^ </t>
    </r>
    <r>
      <rPr>
        <sz val="11"/>
        <rFont val="Calibri"/>
        <family val="2"/>
        <scheme val="minor"/>
      </rPr>
      <t>as you pay your mortgage</t>
    </r>
  </si>
  <si>
    <t>Enter your property insurance part of</t>
  </si>
  <si>
    <r>
      <rPr>
        <b/>
        <sz val="10"/>
        <color rgb="FFFF0000"/>
        <rFont val="Calibri"/>
        <family val="2"/>
        <scheme val="minor"/>
      </rPr>
      <t>^^^</t>
    </r>
    <r>
      <rPr>
        <sz val="8"/>
        <color rgb="FFFF0000"/>
        <rFont val="Calibri"/>
        <family val="2"/>
        <scheme val="minor"/>
      </rPr>
      <t xml:space="preserve">Initialize </t>
    </r>
    <r>
      <rPr>
        <b/>
        <u/>
        <sz val="8"/>
        <color rgb="FFFF0000"/>
        <rFont val="Calibri"/>
        <family val="2"/>
        <scheme val="minor"/>
      </rPr>
      <t>ALL</t>
    </r>
    <r>
      <rPr>
        <sz val="8"/>
        <color rgb="FFFF0000"/>
        <rFont val="Calibri"/>
        <family val="2"/>
        <scheme val="minor"/>
      </rPr>
      <t xml:space="preserve"> Insurance Paid For Mortgage so far</t>
    </r>
  </si>
  <si>
    <r>
      <rPr>
        <sz val="8"/>
        <rFont val="Calibri"/>
        <family val="2"/>
        <scheme val="minor"/>
      </rPr>
      <t>your mortgage statement or simply update</t>
    </r>
    <r>
      <rPr>
        <sz val="8"/>
        <color rgb="FFFF0000"/>
        <rFont val="Calibri"/>
        <family val="2"/>
        <scheme val="minor"/>
      </rPr>
      <t xml:space="preserve"> </t>
    </r>
    <r>
      <rPr>
        <b/>
        <sz val="9"/>
        <color rgb="FFFF0000"/>
        <rFont val="Calibri"/>
        <family val="2"/>
        <scheme val="minor"/>
      </rPr>
      <t>^^^</t>
    </r>
  </si>
  <si>
    <r>
      <rPr>
        <b/>
        <sz val="10"/>
        <color rgb="FFFF0000"/>
        <rFont val="Calibri"/>
        <family val="2"/>
        <scheme val="minor"/>
      </rPr>
      <t>^^</t>
    </r>
    <r>
      <rPr>
        <sz val="8"/>
        <color rgb="FFFF0000"/>
        <rFont val="Calibri"/>
        <family val="2"/>
        <scheme val="minor"/>
      </rPr>
      <t xml:space="preserve"> Initial Mortgage Balance (Update this line Monthly)</t>
    </r>
  </si>
  <si>
    <t>Nampa</t>
  </si>
  <si>
    <t>Idaho</t>
  </si>
  <si>
    <r>
      <rPr>
        <b/>
        <sz val="8"/>
        <color rgb="FFFF0000"/>
        <rFont val="Arial"/>
        <family val="2"/>
      </rPr>
      <t>^^</t>
    </r>
    <r>
      <rPr>
        <b/>
        <sz val="8"/>
        <color theme="1" tint="0.249977111117893"/>
        <rFont val="Arial"/>
        <family val="2"/>
      </rPr>
      <t xml:space="preserve"> Compare to Actual Assessor Entry on 'Book Keeping Ledger'</t>
    </r>
  </si>
  <si>
    <t>WRBDEV</t>
  </si>
  <si>
    <t>Color Sort: Ball Bubble Sort</t>
  </si>
  <si>
    <t>25XAds to cash out</t>
  </si>
  <si>
    <t>Commercial From</t>
  </si>
  <si>
    <t>Olympus Slots: Goddess Wins</t>
  </si>
  <si>
    <t>Paid PayPal</t>
  </si>
  <si>
    <t>Reverse Number Lookup Search Team</t>
  </si>
  <si>
    <t>Blackjack Bonanza</t>
  </si>
  <si>
    <t>Blackjack</t>
  </si>
  <si>
    <t>Play 5 Wheel Games; Watch 10 Videos</t>
  </si>
  <si>
    <t>Lexi Browser</t>
  </si>
  <si>
    <t>Blackjack Scratch</t>
  </si>
  <si>
    <t>Umum bersahaja</t>
  </si>
  <si>
    <t>JustPlay GmbH</t>
  </si>
  <si>
    <t>Board | WonderBox</t>
  </si>
  <si>
    <t>Time Spent
(Minutes)</t>
  </si>
  <si>
    <t>2-14 Days</t>
  </si>
  <si>
    <t>GOAT TEAM</t>
  </si>
  <si>
    <t>Fortune Divine: Slots Dynasty</t>
  </si>
  <si>
    <t>48 hours or
Watch Videos &amp;
Win 8 Bets</t>
  </si>
  <si>
    <t>Bubble Cash*</t>
  </si>
  <si>
    <t>* Referral</t>
  </si>
  <si>
    <r>
      <t xml:space="preserve">Note </t>
    </r>
    <r>
      <rPr>
        <sz val="11"/>
        <color rgb="FFFF0000"/>
        <rFont val="Calibri"/>
        <family val="2"/>
        <scheme val="minor"/>
      </rPr>
      <t>Plug Phone!
Charge Phone!</t>
    </r>
  </si>
  <si>
    <t>Play the extra games (wings, piggy, spin, etc) to win $ fast; 48 vids / 48 hrs to withdraw</t>
  </si>
  <si>
    <t>Individual or
Competition</t>
  </si>
  <si>
    <t>Windows</t>
  </si>
  <si>
    <t>Bingo Bonus</t>
  </si>
  <si>
    <t>Puzzle</t>
  </si>
  <si>
    <t>Level 20</t>
  </si>
  <si>
    <t xml:space="preserve">KFMwkfmw </t>
  </si>
  <si>
    <t>No $ Fun Only</t>
  </si>
  <si>
    <t>no</t>
  </si>
  <si>
    <t>Google Play Count:</t>
  </si>
  <si>
    <t>Cashout</t>
  </si>
  <si>
    <t>Total to Cashout</t>
  </si>
  <si>
    <t>Samsung Count:</t>
  </si>
  <si>
    <t>In-Process</t>
  </si>
  <si>
    <t>Hours</t>
  </si>
  <si>
    <t>Payout</t>
  </si>
  <si>
    <t>Windows Count:</t>
  </si>
  <si>
    <t>Win over 40 gold cards</t>
  </si>
  <si>
    <t>Note: Testing Apps requires Patience + Time ¯\_(ツ)_/¯ READ THE INSTRUCTIONS HOW TO CASH OUT; DON'T DELETE or YOU LOSE IT FOR REAL!!</t>
  </si>
  <si>
    <r>
      <t xml:space="preserve">&gt;&gt; $ Game Apps </t>
    </r>
    <r>
      <rPr>
        <b/>
        <sz val="12"/>
        <color rgb="FFFFC000"/>
        <rFont val="Arial"/>
        <family val="2"/>
      </rPr>
      <t>FUN While Waiting For Investments to Pile Up More $</t>
    </r>
  </si>
  <si>
    <t>as of 20250920 Set Aside 1-3 hours/day; Thank me later with a tip and feedback?</t>
  </si>
  <si>
    <r>
      <t xml:space="preserve">Happy Charge </t>
    </r>
    <r>
      <rPr>
        <b/>
        <sz val="11"/>
        <color rgb="FFFF0000"/>
        <rFont val="Arial"/>
        <family val="2"/>
      </rPr>
      <t>Uninstalled</t>
    </r>
  </si>
  <si>
    <t>ValVenie Inx</t>
  </si>
  <si>
    <t>Jetsetter Bingo</t>
  </si>
  <si>
    <t>Gold Rush</t>
  </si>
  <si>
    <t>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</si>
</sst>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8">
    <numFmt numFmtId="5" formatCode="&quot;$&quot;#,##0_);\(&quot;$&quot;#,##0\)"/>
    <numFmt numFmtId="8" formatCode="&quot;$&quot;#,##0.00_);[Red]\(&quot;$&quot;#,##0.00\)"/>
    <numFmt numFmtId="42" formatCode="_(&quot;$&quot;* #,##0_);_(&quot;$&quot;* \(#,##0\);_(&quot;$&quot;* &quot;-&quot;_);_(@_)"/>
    <numFmt numFmtId="44" formatCode="_(&quot;$&quot;* #,##0.00_);_(&quot;$&quot;* \(#,##0.00\);_(&quot;$&quot;* &quot;-&quot;??_);_(@_)"/>
    <numFmt numFmtId="164" formatCode="_(&quot;€&quot;* #,##0.00_);_(&quot;€&quot;* \(#,##0.00\);_(&quot;€&quot;* &quot;-&quot;??_);_(@_)"/>
    <numFmt numFmtId="165" formatCode="&quot;$&quot;\ #,##0;\(#,##0\);\-"/>
    <numFmt numFmtId="166" formatCode="_(&quot;$&quot;\ #,##0_)&quot;/ ft²&quot;;_(&quot;$&quot;\ \(#,##0\);_(&quot;$&quot;\ &quot;-&quot;_);_(@_)"/>
    <numFmt numFmtId="167" formatCode="0.0&quot;x&quot;"/>
    <numFmt numFmtId="168" formatCode="0.0%;\(0.0%\);\-"/>
    <numFmt numFmtId="169" formatCode="0.00%;\(0.00%\);\-"/>
    <numFmt numFmtId="170" formatCode="0.0\x"/>
    <numFmt numFmtId="171" formatCode="&quot;Year&quot;\ 0"/>
    <numFmt numFmtId="172" formatCode="0.0%"/>
    <numFmt numFmtId="173" formatCode="&quot;$&quot;#,##0_);\(&quot;$&quot;#,##0\);\-"/>
    <numFmt numFmtId="174" formatCode="0\ &quot;years&quot;"/>
    <numFmt numFmtId="175" formatCode="&quot;$&quot;\ #,##0;\(&quot;$&quot;\ #,##0\);\-"/>
    <numFmt numFmtId="176" formatCode="#,##0;\(#,##0\);\-"/>
    <numFmt numFmtId="177" formatCode="0.00\x;\(0.00\x\);\-"/>
    <numFmt numFmtId="178" formatCode="0%;\(0%\);\-"/>
    <numFmt numFmtId="179" formatCode="_(&quot;$&quot;\ #,##0.00_)&quot;/ ft²&quot;;_(&quot;$&quot;\ \(#,##0.00\);_(&quot;$&quot;\ &quot;-&quot;_);_(@_)"/>
    <numFmt numFmtId="180" formatCode="&quot;$&quot;#,##0_);\(&quot;$&quot;\ #,##0\);\-"/>
    <numFmt numFmtId="181" formatCode="&quot;$&quot;\ #,##0_);\(&quot;$&quot;\ #,##0\);\-"/>
    <numFmt numFmtId="182" formatCode="[$-409]d\-mmm\-yy;@"/>
    <numFmt numFmtId="183" formatCode="_(&quot;$&quot;\ #,##0.0_)&quot;/ ft²&quot;;_(&quot;$&quot;\ \(#,##0.0\);_(&quot;$&quot;\ &quot;-&quot;_);_(@_)"/>
    <numFmt numFmtId="184" formatCode="0%;\(0%\);&quot;&quot;"/>
    <numFmt numFmtId="185" formatCode="&quot;$&quot;\ #,##0"/>
    <numFmt numFmtId="186" formatCode="0.0;\(0.0\);\-"/>
    <numFmt numFmtId="187" formatCode="&quot;$&quot;\ #,##0;\(&quot;$&quot;\ #,##0\);&quot;&quot;"/>
    <numFmt numFmtId="188" formatCode="#,##0_);\(#,##0\);\-"/>
    <numFmt numFmtId="189" formatCode="0.0%;\(0.0%\);&quot;&quot;"/>
    <numFmt numFmtId="190" formatCode="0.000%;\(0.000%\);\-"/>
    <numFmt numFmtId="191" formatCode="0;0;\-"/>
    <numFmt numFmtId="192" formatCode="#,##0.0%;\(#,##0.0%\);\-"/>
    <numFmt numFmtId="193" formatCode="0&quot; years&quot;;0&quot; years&quot;;\-"/>
    <numFmt numFmtId="194" formatCode="#,##0;\(#,##0\);0"/>
    <numFmt numFmtId="195" formatCode="&quot;$&quot;\ #,##0;\(&quot;$&quot;\ #,##0\);0"/>
    <numFmt numFmtId="196" formatCode="#,##0&quot; ft²&quot;;\(#,##0&quot; ft²&quot;\);\-"/>
    <numFmt numFmtId="197" formatCode="0.00&quot;x&quot;"/>
    <numFmt numFmtId="198" formatCode="0\ &quot;Years&quot;;0\ &quot;Years&quot;;\-"/>
    <numFmt numFmtId="199" formatCode="#,##0;\(#,##0\);&quot;&quot;"/>
    <numFmt numFmtId="200" formatCode="0.0"/>
    <numFmt numFmtId="201" formatCode="#,##0\ &quot;ft²&quot;;#,##0\ &quot;ft²&quot;;\-"/>
    <numFmt numFmtId="202" formatCode="0;\(0\);\-"/>
    <numFmt numFmtId="203" formatCode="0\ &quot;years&quot;;0\ &quot;years&quot;;\-"/>
    <numFmt numFmtId="204" formatCode="0.000%"/>
    <numFmt numFmtId="205" formatCode="&quot;$&quot;\ #,##0.00;\(#,##0.00\);\-"/>
    <numFmt numFmtId="206" formatCode="&quot;$&quot;\ #,##0;&quot;$&quot;\ #,##0;\-"/>
    <numFmt numFmtId="207" formatCode="[$-409]mmmm\ d\,\ yyyy;@"/>
    <numFmt numFmtId="208" formatCode="0.0\ &quot;year(s)&quot;;\(0.0\ &quot;year(s)&quot;\);\-"/>
    <numFmt numFmtId="209" formatCode="m/d/yyyy;m/d/yyyy;\-"/>
    <numFmt numFmtId="210" formatCode="&quot;Year &quot;0"/>
    <numFmt numFmtId="211" formatCode="0;0;&quot;&quot;"/>
    <numFmt numFmtId="212" formatCode="&quot;$&quot;#,##0;\(&quot;$&quot;#,##0\);\-"/>
    <numFmt numFmtId="213" formatCode="#,##0.0;\(#,##0.0\);\-"/>
    <numFmt numFmtId="214" formatCode="dd/mm/yyyy"/>
    <numFmt numFmtId="215" formatCode="mm/d/yyyy"/>
    <numFmt numFmtId="216" formatCode="mmmm\ yyyy"/>
    <numFmt numFmtId="217" formatCode="#,##0.0000"/>
    <numFmt numFmtId="218" formatCode="0.0000"/>
    <numFmt numFmtId="219" formatCode="#,##0.00000;\(#,##0.00000\);\-"/>
    <numFmt numFmtId="220" formatCode="0.000000"/>
    <numFmt numFmtId="221" formatCode="#,##0.000;\(#,##0.000\);\-"/>
    <numFmt numFmtId="222" formatCode="0.000"/>
    <numFmt numFmtId="223" formatCode="0.00000%"/>
    <numFmt numFmtId="224" formatCode="0.00;\(0.00\);\-"/>
    <numFmt numFmtId="225" formatCode="mmm\ yy"/>
    <numFmt numFmtId="226" formatCode="\+#,##0;\(#,##0\);\-"/>
    <numFmt numFmtId="227" formatCode="\+0.0%;\(0.0%\);\-"/>
    <numFmt numFmtId="228" formatCode="0\ &quot;years&quot;;&quot;-&quot;\ 0\ &quot;years&quot;;\-"/>
    <numFmt numFmtId="229" formatCode="&quot;$&quot;#,##0;\(&quot;$&quot;#,##0\);&quot;&quot;"/>
    <numFmt numFmtId="230" formatCode="\+0%;\(0%\);\-"/>
    <numFmt numFmtId="231" formatCode="0&quot; nights&quot;"/>
    <numFmt numFmtId="232" formatCode="\+#,##0%;\(#,##0%\);\-"/>
    <numFmt numFmtId="233" formatCode="mmmm\ yy"/>
    <numFmt numFmtId="234" formatCode="#,##0.00;\(#,##0.00\);\-"/>
    <numFmt numFmtId="235" formatCode="0_);\-0_)"/>
    <numFmt numFmtId="236" formatCode="&quot;$&quot;#,##0.00"/>
    <numFmt numFmtId="237" formatCode="_(&quot;$&quot;* #,##0.00_);_(&quot;$&quot;* \(#,##0.00\);_(&quot;$&quot;* &quot;-&quot;_);_(@_)"/>
  </numFmts>
  <fonts count="220" x14ac:knownFonts="1">
    <font>
      <sz val="11"/>
      <color theme="1"/>
      <name val="Calibri"/>
      <family val="2"/>
      <scheme val="minor"/>
    </font>
    <font>
      <sz val="11"/>
      <color theme="1"/>
      <name val="Calibri"/>
      <family val="2"/>
      <scheme val="minor"/>
    </font>
    <font>
      <sz val="8"/>
      <name val="Calibri"/>
      <family val="2"/>
      <scheme val="minor"/>
    </font>
    <font>
      <b/>
      <sz val="11"/>
      <color theme="1"/>
      <name val="Calibri"/>
      <family val="2"/>
      <scheme val="minor"/>
    </font>
    <font>
      <sz val="11"/>
      <color theme="1"/>
      <name val="Arial"/>
      <family val="2"/>
    </font>
    <font>
      <b/>
      <sz val="8"/>
      <color theme="1" tint="0.249977111117893"/>
      <name val="Arial"/>
      <family val="2"/>
    </font>
    <font>
      <sz val="8"/>
      <color theme="1" tint="0.34998626667073579"/>
      <name val="Arial"/>
      <family val="2"/>
    </font>
    <font>
      <sz val="11"/>
      <color theme="1" tint="0.34998626667073579"/>
      <name val="Arial"/>
      <family val="2"/>
    </font>
    <font>
      <sz val="8"/>
      <color theme="1" tint="0.249977111117893"/>
      <name val="Arial"/>
      <family val="2"/>
    </font>
    <font>
      <b/>
      <sz val="11"/>
      <color theme="1" tint="0.249977111117893"/>
      <name val="Arial"/>
      <family val="2"/>
    </font>
    <font>
      <sz val="11"/>
      <color theme="1" tint="0.249977111117893"/>
      <name val="Arial"/>
      <family val="2"/>
    </font>
    <font>
      <i/>
      <sz val="11"/>
      <color theme="1" tint="0.499984740745262"/>
      <name val="Arial"/>
      <family val="2"/>
    </font>
    <font>
      <i/>
      <sz val="8"/>
      <color theme="1" tint="0.249977111117893"/>
      <name val="Arial"/>
      <family val="2"/>
    </font>
    <font>
      <i/>
      <sz val="8"/>
      <color theme="1" tint="0.499984740745262"/>
      <name val="Arial"/>
      <family val="2"/>
    </font>
    <font>
      <i/>
      <sz val="8"/>
      <color theme="1" tint="0.34998626667073579"/>
      <name val="Arial"/>
      <family val="2"/>
    </font>
    <font>
      <i/>
      <sz val="11"/>
      <color theme="1" tint="0.249977111117893"/>
      <name val="Arial"/>
      <family val="2"/>
    </font>
    <font>
      <i/>
      <sz val="11"/>
      <color theme="1" tint="0.34998626667073579"/>
      <name val="Arial"/>
      <family val="2"/>
    </font>
    <font>
      <sz val="8"/>
      <color theme="1"/>
      <name val="Arial"/>
      <family val="2"/>
    </font>
    <font>
      <sz val="8"/>
      <color theme="0"/>
      <name val="Arial"/>
      <family val="2"/>
    </font>
    <font>
      <sz val="11"/>
      <color theme="0"/>
      <name val="Arial"/>
      <family val="2"/>
    </font>
    <font>
      <sz val="8"/>
      <color rgb="FF0000FF"/>
      <name val="Arial"/>
      <family val="2"/>
    </font>
    <font>
      <sz val="8"/>
      <color theme="1" tint="0.499984740745262"/>
      <name val="Arial"/>
      <family val="2"/>
    </font>
    <font>
      <sz val="8"/>
      <name val="Arial"/>
      <family val="2"/>
    </font>
    <font>
      <b/>
      <sz val="8"/>
      <color theme="1"/>
      <name val="Arial"/>
      <family val="2"/>
    </font>
    <font>
      <b/>
      <sz val="8"/>
      <color rgb="FF3B4E87"/>
      <name val="Arial"/>
      <family val="2"/>
    </font>
    <font>
      <b/>
      <sz val="8"/>
      <color theme="1" tint="0.499984740745262"/>
      <name val="Arial"/>
      <family val="2"/>
    </font>
    <font>
      <b/>
      <sz val="8"/>
      <color theme="0"/>
      <name val="Arial"/>
      <family val="2"/>
    </font>
    <font>
      <sz val="8"/>
      <color rgb="FF3B4E87"/>
      <name val="Arial"/>
      <family val="2"/>
    </font>
    <font>
      <sz val="11"/>
      <color theme="1" tint="0.499984740745262"/>
      <name val="Arial"/>
      <family val="2"/>
    </font>
    <font>
      <sz val="8"/>
      <color theme="0" tint="-4.9989318521683403E-2"/>
      <name val="Arial"/>
      <family val="2"/>
    </font>
    <font>
      <b/>
      <sz val="11"/>
      <color theme="1"/>
      <name val="Arial"/>
      <family val="2"/>
    </font>
    <font>
      <b/>
      <sz val="9"/>
      <color rgb="FF3B4E87"/>
      <name val="Arial"/>
      <family val="2"/>
    </font>
    <font>
      <b/>
      <sz val="9"/>
      <color theme="1" tint="0.249977111117893"/>
      <name val="Arial"/>
      <family val="2"/>
    </font>
    <font>
      <sz val="9"/>
      <color theme="1" tint="0.249977111117893"/>
      <name val="Arial"/>
      <family val="2"/>
    </font>
    <font>
      <sz val="9"/>
      <color rgb="FF3B4E87"/>
      <name val="Arial"/>
      <family val="2"/>
    </font>
    <font>
      <b/>
      <sz val="12"/>
      <color rgb="FF7184C1"/>
      <name val="Arial"/>
      <family val="2"/>
    </font>
    <font>
      <b/>
      <sz val="12"/>
      <color rgb="FF3EA082"/>
      <name val="Arial"/>
      <family val="2"/>
    </font>
    <font>
      <sz val="8"/>
      <color rgb="FF3EA082"/>
      <name val="Arial"/>
      <family val="2"/>
    </font>
    <font>
      <b/>
      <sz val="12"/>
      <color theme="6" tint="-0.249977111117893"/>
      <name val="Arial"/>
      <family val="2"/>
    </font>
    <font>
      <sz val="8"/>
      <color theme="6" tint="-0.249977111117893"/>
      <name val="Arial"/>
      <family val="2"/>
    </font>
    <font>
      <b/>
      <sz val="9"/>
      <color theme="0"/>
      <name val="Open Sans"/>
      <family val="2"/>
    </font>
    <font>
      <sz val="8"/>
      <color theme="0" tint="-0.249977111117893"/>
      <name val="Arial"/>
      <family val="2"/>
    </font>
    <font>
      <sz val="9"/>
      <color rgb="FF7184C1"/>
      <name val="Arial"/>
      <family val="2"/>
    </font>
    <font>
      <vertAlign val="superscript"/>
      <sz val="9"/>
      <color rgb="FF7184C1"/>
      <name val="Arial"/>
      <family val="2"/>
    </font>
    <font>
      <sz val="8"/>
      <color theme="1"/>
      <name val="Calibri"/>
      <family val="2"/>
      <scheme val="minor"/>
    </font>
    <font>
      <sz val="9"/>
      <color theme="1" tint="0.499984740745262"/>
      <name val="Arial"/>
      <family val="2"/>
    </font>
    <font>
      <sz val="11"/>
      <color theme="1" tint="0.499984740745262"/>
      <name val="Calibri"/>
      <family val="2"/>
      <scheme val="minor"/>
    </font>
    <font>
      <sz val="9"/>
      <color theme="1"/>
      <name val="Arial"/>
      <family val="2"/>
    </font>
    <font>
      <b/>
      <sz val="9"/>
      <color theme="1"/>
      <name val="Arial"/>
      <family val="2"/>
    </font>
    <font>
      <sz val="8"/>
      <color theme="1" tint="0.499984740745262"/>
      <name val="Calibri"/>
      <family val="2"/>
      <scheme val="minor"/>
    </font>
    <font>
      <b/>
      <sz val="11"/>
      <color theme="1"/>
      <name val="Montserrat"/>
      <family val="3"/>
    </font>
    <font>
      <sz val="11"/>
      <color theme="1"/>
      <name val="Segoe UI"/>
      <family val="2"/>
    </font>
    <font>
      <sz val="9"/>
      <color theme="1"/>
      <name val="Segoe UI"/>
      <family val="2"/>
    </font>
    <font>
      <sz val="9"/>
      <color theme="1"/>
      <name val="Calibri"/>
      <family val="2"/>
      <scheme val="minor"/>
    </font>
    <font>
      <sz val="11"/>
      <color rgb="FFFF0000"/>
      <name val="Arial"/>
      <family val="2"/>
    </font>
    <font>
      <sz val="8"/>
      <color rgb="FFFF0000"/>
      <name val="Arial"/>
      <family val="2"/>
    </font>
    <font>
      <b/>
      <sz val="8"/>
      <color theme="1" tint="0.34998626667073579"/>
      <name val="Arial"/>
      <family val="2"/>
    </font>
    <font>
      <b/>
      <sz val="11"/>
      <color theme="0"/>
      <name val="Calibri"/>
      <family val="2"/>
      <scheme val="minor"/>
    </font>
    <font>
      <sz val="10"/>
      <color theme="1" tint="0.34998626667073579"/>
      <name val="Arial"/>
      <family val="2"/>
    </font>
    <font>
      <sz val="11"/>
      <color theme="0"/>
      <name val="Calibri"/>
      <family val="2"/>
      <scheme val="minor"/>
    </font>
    <font>
      <sz val="9"/>
      <color theme="1" tint="0.34998626667073579"/>
      <name val="Arial"/>
      <family val="2"/>
    </font>
    <font>
      <sz val="9"/>
      <color theme="3" tint="0.39997558519241921"/>
      <name val="Arial"/>
      <family val="2"/>
    </font>
    <font>
      <b/>
      <sz val="9"/>
      <color theme="3" tint="0.39997558519241921"/>
      <name val="Arial"/>
      <family val="2"/>
    </font>
    <font>
      <b/>
      <sz val="9"/>
      <color theme="0"/>
      <name val="Arial"/>
      <family val="2"/>
    </font>
    <font>
      <sz val="9"/>
      <color theme="0"/>
      <name val="Arial"/>
      <family val="2"/>
    </font>
    <font>
      <u/>
      <sz val="11"/>
      <color theme="10"/>
      <name val="Calibri"/>
      <family val="2"/>
      <scheme val="minor"/>
    </font>
    <font>
      <sz val="8"/>
      <color rgb="FFC00000"/>
      <name val="Arial"/>
      <family val="2"/>
    </font>
    <font>
      <b/>
      <sz val="11"/>
      <color rgb="FFFF0000"/>
      <name val="Arial"/>
      <family val="2"/>
    </font>
    <font>
      <b/>
      <sz val="11"/>
      <color theme="1" tint="0.499984740745262"/>
      <name val="Arial"/>
      <family val="2"/>
    </font>
    <font>
      <sz val="8"/>
      <color rgb="FFEEF3F8"/>
      <name val="Arial"/>
      <family val="2"/>
    </font>
    <font>
      <i/>
      <sz val="11"/>
      <color theme="1"/>
      <name val="Arial"/>
      <family val="2"/>
    </font>
    <font>
      <i/>
      <sz val="8"/>
      <color theme="1"/>
      <name val="Arial"/>
      <family val="2"/>
    </font>
    <font>
      <sz val="9"/>
      <color theme="1" tint="0.249977111117893"/>
      <name val="Calibri"/>
      <family val="2"/>
      <scheme val="minor"/>
    </font>
    <font>
      <b/>
      <sz val="9"/>
      <color rgb="FF00B050"/>
      <name val="Arial"/>
      <family val="2"/>
    </font>
    <font>
      <sz val="10"/>
      <color theme="1" tint="0.499984740745262"/>
      <name val="Arial"/>
      <family val="2"/>
    </font>
    <font>
      <b/>
      <sz val="10.5"/>
      <color theme="0"/>
      <name val="Arial"/>
      <family val="2"/>
    </font>
    <font>
      <b/>
      <sz val="8"/>
      <color theme="6" tint="0.79998168889431442"/>
      <name val="Arial"/>
      <family val="2"/>
    </font>
    <font>
      <sz val="11"/>
      <color rgb="FF0000FF"/>
      <name val="Arial"/>
      <family val="2"/>
    </font>
    <font>
      <sz val="8"/>
      <color theme="3"/>
      <name val="Arial"/>
      <family val="2"/>
    </font>
    <font>
      <sz val="11"/>
      <color theme="3"/>
      <name val="Arial"/>
      <family val="2"/>
    </font>
    <font>
      <sz val="8"/>
      <color rgb="FFE6E6E6"/>
      <name val="Arial"/>
      <family val="2"/>
    </font>
    <font>
      <sz val="11"/>
      <name val="Arial"/>
      <family val="2"/>
    </font>
    <font>
      <sz val="8"/>
      <color theme="1" tint="0.24994659260841701"/>
      <name val="Arial"/>
      <family val="2"/>
    </font>
    <font>
      <b/>
      <sz val="8"/>
      <name val="Arial"/>
      <family val="2"/>
    </font>
    <font>
      <i/>
      <sz val="8"/>
      <color theme="0" tint="-0.34998626667073579"/>
      <name val="Arial"/>
      <family val="2"/>
    </font>
    <font>
      <i/>
      <sz val="8"/>
      <color rgb="FF0000FF"/>
      <name val="Arial"/>
      <family val="2"/>
    </font>
    <font>
      <b/>
      <sz val="8"/>
      <color theme="1" tint="0.24994659260841701"/>
      <name val="Arial"/>
      <family val="2"/>
    </font>
    <font>
      <b/>
      <sz val="8"/>
      <color rgb="FFFF0000"/>
      <name val="Arial"/>
      <family val="2"/>
    </font>
    <font>
      <sz val="11"/>
      <color rgb="FFEEF3F8"/>
      <name val="Arial"/>
      <family val="2"/>
    </font>
    <font>
      <sz val="8"/>
      <color theme="0" tint="-0.499984740745262"/>
      <name val="Arial"/>
      <family val="2"/>
    </font>
    <font>
      <i/>
      <sz val="11"/>
      <color rgb="FFFF0000"/>
      <name val="Arial"/>
      <family val="2"/>
    </font>
    <font>
      <b/>
      <sz val="16"/>
      <color theme="0"/>
      <name val="Arial"/>
      <family val="2"/>
    </font>
    <font>
      <b/>
      <sz val="10.5"/>
      <color rgb="FF778BA9"/>
      <name val="Arial"/>
      <family val="2"/>
    </font>
    <font>
      <b/>
      <sz val="10.5"/>
      <color theme="1" tint="0.499984740745262"/>
      <name val="Arial"/>
      <family val="2"/>
    </font>
    <font>
      <sz val="10"/>
      <color theme="0"/>
      <name val="Arial"/>
      <family val="2"/>
    </font>
    <font>
      <sz val="8"/>
      <color theme="8"/>
      <name val="Arial"/>
      <family val="2"/>
    </font>
    <font>
      <b/>
      <sz val="8"/>
      <color theme="3"/>
      <name val="Arial"/>
      <family val="2"/>
    </font>
    <font>
      <b/>
      <sz val="10"/>
      <color theme="0"/>
      <name val="Arial"/>
      <family val="2"/>
    </font>
    <font>
      <sz val="8"/>
      <color theme="0" tint="-0.34998626667073579"/>
      <name val="Arial"/>
      <family val="2"/>
    </font>
    <font>
      <b/>
      <sz val="11"/>
      <color theme="3"/>
      <name val="Arial"/>
      <family val="2"/>
    </font>
    <font>
      <b/>
      <sz val="9"/>
      <color theme="3"/>
      <name val="Arial"/>
      <family val="2"/>
    </font>
    <font>
      <b/>
      <i/>
      <sz val="8"/>
      <color theme="3"/>
      <name val="Arial"/>
      <family val="2"/>
    </font>
    <font>
      <b/>
      <sz val="9"/>
      <color rgb="FFFF0000"/>
      <name val="Arial"/>
      <family val="2"/>
    </font>
    <font>
      <sz val="8"/>
      <color rgb="FF778BA9"/>
      <name val="Arial"/>
      <family val="2"/>
    </font>
    <font>
      <b/>
      <sz val="9"/>
      <color rgb="FF6D9ABF"/>
      <name val="Arial"/>
      <family val="2"/>
    </font>
    <font>
      <b/>
      <sz val="8"/>
      <color theme="0" tint="-0.34998626667073579"/>
      <name val="Arial"/>
      <family val="2"/>
    </font>
    <font>
      <sz val="10"/>
      <color theme="1"/>
      <name val="Arial"/>
      <family val="2"/>
    </font>
    <font>
      <b/>
      <sz val="10"/>
      <color theme="1" tint="0.249977111117893"/>
      <name val="Calibri"/>
      <family val="2"/>
      <scheme val="minor"/>
    </font>
    <font>
      <sz val="9"/>
      <color rgb="FFFF0000"/>
      <name val="Arial"/>
      <family val="2"/>
    </font>
    <font>
      <b/>
      <sz val="14"/>
      <color theme="0"/>
      <name val="Arial"/>
      <family val="2"/>
    </font>
    <font>
      <sz val="11"/>
      <color rgb="FFA2BED6"/>
      <name val="Arial"/>
      <family val="2"/>
    </font>
    <font>
      <i/>
      <sz val="8"/>
      <color rgb="FFA2BED6"/>
      <name val="Arial"/>
      <family val="2"/>
    </font>
    <font>
      <sz val="8"/>
      <color rgb="FFA2BED6"/>
      <name val="Arial"/>
      <family val="2"/>
    </font>
    <font>
      <i/>
      <sz val="8"/>
      <color rgb="FFFF0000"/>
      <name val="Arial"/>
      <family val="2"/>
    </font>
    <font>
      <b/>
      <sz val="10.5"/>
      <color rgb="FFFF0000"/>
      <name val="Arial"/>
      <family val="2"/>
    </font>
    <font>
      <b/>
      <sz val="10"/>
      <color theme="1" tint="0.249977111117893"/>
      <name val="Arial"/>
      <family val="2"/>
    </font>
    <font>
      <i/>
      <sz val="8"/>
      <color rgb="FFEEF3F8"/>
      <name val="Arial"/>
      <family val="2"/>
    </font>
    <font>
      <i/>
      <sz val="8"/>
      <color theme="0" tint="-0.499984740745262"/>
      <name val="Arial"/>
      <family val="2"/>
    </font>
    <font>
      <i/>
      <sz val="11"/>
      <color theme="0" tint="-0.499984740745262"/>
      <name val="Arial"/>
      <family val="2"/>
    </font>
    <font>
      <sz val="8"/>
      <color rgb="FF4472C4"/>
      <name val="Arial"/>
      <family val="2"/>
    </font>
    <font>
      <b/>
      <sz val="8"/>
      <color rgb="FF4472C4"/>
      <name val="Arial"/>
      <family val="2"/>
    </font>
    <font>
      <i/>
      <sz val="8"/>
      <color rgb="FF4472C4"/>
      <name val="Arial"/>
      <family val="2"/>
    </font>
    <font>
      <b/>
      <sz val="9"/>
      <color rgb="FF6F9BBF"/>
      <name val="Arial"/>
      <family val="2"/>
    </font>
    <font>
      <sz val="9"/>
      <color theme="0"/>
      <name val="Segoe UI"/>
      <family val="2"/>
    </font>
    <font>
      <b/>
      <sz val="11"/>
      <color rgb="FF3B4E87"/>
      <name val="Calibri"/>
      <family val="2"/>
      <scheme val="minor"/>
    </font>
    <font>
      <sz val="10"/>
      <color rgb="FF44546A"/>
      <name val="Arial"/>
      <family val="2"/>
    </font>
    <font>
      <b/>
      <sz val="11"/>
      <color rgb="FF44546A"/>
      <name val="Arial"/>
      <family val="2"/>
    </font>
    <font>
      <sz val="11"/>
      <color rgb="FF44546A"/>
      <name val="Arial"/>
      <family val="2"/>
    </font>
    <font>
      <b/>
      <sz val="9"/>
      <color theme="1" tint="0.499984740745262"/>
      <name val="Arial"/>
      <family val="2"/>
    </font>
    <font>
      <b/>
      <sz val="11"/>
      <color rgb="FF3B4E87"/>
      <name val="Arial"/>
      <family val="2"/>
    </font>
    <font>
      <b/>
      <sz val="10"/>
      <color rgb="FF3B4E87"/>
      <name val="Arial"/>
      <family val="2"/>
    </font>
    <font>
      <b/>
      <sz val="9"/>
      <color theme="3"/>
      <name val="Calibri"/>
      <family val="2"/>
      <scheme val="minor"/>
    </font>
    <font>
      <b/>
      <sz val="12"/>
      <color theme="3"/>
      <name val="Arial"/>
      <family val="2"/>
    </font>
    <font>
      <sz val="9"/>
      <color theme="0"/>
      <name val="Calibri"/>
      <family val="2"/>
      <scheme val="minor"/>
    </font>
    <font>
      <sz val="9"/>
      <color rgb="FFFF0000"/>
      <name val="Calibri"/>
      <family val="2"/>
      <scheme val="minor"/>
    </font>
    <font>
      <b/>
      <sz val="11"/>
      <color theme="3"/>
      <name val="Calibri"/>
      <family val="2"/>
      <scheme val="minor"/>
    </font>
    <font>
      <b/>
      <sz val="11"/>
      <color rgb="FF5B9B84"/>
      <name val="Calibri"/>
      <family val="2"/>
      <scheme val="minor"/>
    </font>
    <font>
      <b/>
      <sz val="9"/>
      <color rgb="FF5B9B84"/>
      <name val="Calibri"/>
      <family val="2"/>
      <scheme val="minor"/>
    </font>
    <font>
      <b/>
      <sz val="12"/>
      <color rgb="FF5B9B84"/>
      <name val="Arial"/>
      <family val="2"/>
    </font>
    <font>
      <sz val="8"/>
      <color rgb="FF5B9B84"/>
      <name val="Arial"/>
      <family val="2"/>
    </font>
    <font>
      <i/>
      <sz val="9"/>
      <color theme="1" tint="0.34998626667073579"/>
      <name val="Arial"/>
      <family val="2"/>
    </font>
    <font>
      <b/>
      <sz val="11"/>
      <color theme="0"/>
      <name val="Arial"/>
      <family val="2"/>
    </font>
    <font>
      <u/>
      <sz val="10"/>
      <color theme="10"/>
      <name val="Arial"/>
      <family val="2"/>
    </font>
    <font>
      <sz val="10"/>
      <color theme="1" tint="0.249977111117893"/>
      <name val="Arial"/>
      <family val="2"/>
    </font>
    <font>
      <b/>
      <sz val="10"/>
      <color theme="1"/>
      <name val="Arial"/>
      <family val="2"/>
    </font>
    <font>
      <sz val="10"/>
      <color rgb="FFC00000"/>
      <name val="Arial"/>
      <family val="2"/>
    </font>
    <font>
      <sz val="10"/>
      <color rgb="FF00915A"/>
      <name val="Arial"/>
      <family val="2"/>
    </font>
    <font>
      <sz val="10"/>
      <name val="Arial"/>
      <family val="2"/>
    </font>
    <font>
      <sz val="11"/>
      <color rgb="FFC00000"/>
      <name val="Arial"/>
      <family val="2"/>
    </font>
    <font>
      <b/>
      <sz val="8"/>
      <color rgb="FFEEF3F8"/>
      <name val="Arial"/>
      <family val="2"/>
    </font>
    <font>
      <i/>
      <sz val="11"/>
      <color theme="0"/>
      <name val="Arial"/>
      <family val="2"/>
    </font>
    <font>
      <i/>
      <sz val="8"/>
      <color theme="0"/>
      <name val="Arial"/>
      <family val="2"/>
    </font>
    <font>
      <sz val="11"/>
      <color theme="0" tint="-4.9989318521683403E-2"/>
      <name val="Arial"/>
      <family val="2"/>
    </font>
    <font>
      <sz val="11"/>
      <color rgb="FFE6E6E6"/>
      <name val="Arial"/>
      <family val="2"/>
    </font>
    <font>
      <sz val="9"/>
      <color rgb="FFEEF3F8"/>
      <name val="Arial"/>
      <family val="2"/>
    </font>
    <font>
      <b/>
      <sz val="8"/>
      <color theme="0" tint="-4.9989318521683403E-2"/>
      <name val="Arial"/>
      <family val="2"/>
    </font>
    <font>
      <b/>
      <sz val="12"/>
      <color theme="0"/>
      <name val="Arial"/>
      <family val="2"/>
    </font>
    <font>
      <sz val="10"/>
      <color theme="8"/>
      <name val="Arial"/>
      <family val="2"/>
    </font>
    <font>
      <sz val="9"/>
      <color theme="8"/>
      <name val="Arial"/>
      <family val="2"/>
    </font>
    <font>
      <b/>
      <sz val="8"/>
      <color theme="8"/>
      <name val="Arial"/>
      <family val="2"/>
    </font>
    <font>
      <u/>
      <sz val="11"/>
      <color theme="8"/>
      <name val="Calibri"/>
      <family val="2"/>
      <scheme val="minor"/>
    </font>
    <font>
      <b/>
      <sz val="9"/>
      <color theme="8"/>
      <name val="Arial"/>
      <family val="2"/>
    </font>
    <font>
      <b/>
      <sz val="9"/>
      <color rgb="FFA2BED6"/>
      <name val="Arial"/>
      <family val="2"/>
    </font>
    <font>
      <b/>
      <sz val="9"/>
      <color rgb="FF778BA9"/>
      <name val="Arial"/>
      <family val="2"/>
    </font>
    <font>
      <sz val="8"/>
      <color theme="5" tint="-0.249977111117893"/>
      <name val="Arial"/>
      <family val="2"/>
    </font>
    <font>
      <sz val="11"/>
      <color theme="4" tint="0.79998168889431442"/>
      <name val="Arial"/>
      <family val="2"/>
    </font>
    <font>
      <sz val="11"/>
      <color theme="1" tint="0.14993743705557422"/>
      <name val="Calibri"/>
      <family val="2"/>
      <scheme val="minor"/>
    </font>
    <font>
      <b/>
      <sz val="12"/>
      <color theme="1"/>
      <name val="Calibri Light"/>
      <family val="2"/>
      <scheme val="major"/>
    </font>
    <font>
      <b/>
      <sz val="11"/>
      <color theme="1" tint="0.14993743705557422"/>
      <name val="Calibri"/>
      <family val="2"/>
      <scheme val="minor"/>
    </font>
    <font>
      <sz val="11"/>
      <color theme="3"/>
      <name val="Calibri"/>
      <family val="2"/>
      <scheme val="minor"/>
    </font>
    <font>
      <sz val="12"/>
      <color theme="1" tint="0.14993743705557422"/>
      <name val="Calibri"/>
      <family val="2"/>
      <scheme val="minor"/>
    </font>
    <font>
      <sz val="12"/>
      <color theme="1" tint="0.14993743705557422"/>
      <name val="Calibri Light"/>
      <family val="2"/>
      <scheme val="major"/>
    </font>
    <font>
      <sz val="12"/>
      <color theme="1"/>
      <name val="Calibri Light"/>
      <family val="2"/>
      <scheme val="major"/>
    </font>
    <font>
      <b/>
      <sz val="28"/>
      <color theme="4"/>
      <name val="Calibri Light"/>
      <family val="2"/>
      <scheme val="major"/>
    </font>
    <font>
      <sz val="12"/>
      <color theme="1"/>
      <name val="Calibri"/>
      <family val="2"/>
      <scheme val="minor"/>
    </font>
    <font>
      <sz val="36"/>
      <color theme="1"/>
      <name val="Calibri Light"/>
      <family val="2"/>
      <scheme val="major"/>
    </font>
    <font>
      <b/>
      <sz val="12"/>
      <color theme="1" tint="0.14993743705557422"/>
      <name val="Calibri Light"/>
      <family val="2"/>
      <scheme val="major"/>
    </font>
    <font>
      <b/>
      <sz val="12"/>
      <color rgb="FF7FA6C7"/>
      <name val="Arial"/>
      <family val="2"/>
    </font>
    <font>
      <sz val="18"/>
      <color theme="3"/>
      <name val="Calibri Light"/>
      <family val="2"/>
      <scheme val="major"/>
    </font>
    <font>
      <b/>
      <sz val="15"/>
      <color theme="3"/>
      <name val="Calibri"/>
      <family val="2"/>
      <scheme val="minor"/>
    </font>
    <font>
      <i/>
      <sz val="11"/>
      <color rgb="FF7F7F7F"/>
      <name val="Calibri"/>
      <family val="2"/>
      <scheme val="minor"/>
    </font>
    <font>
      <sz val="11"/>
      <name val="Calibri"/>
      <family val="2"/>
      <scheme val="minor"/>
    </font>
    <font>
      <b/>
      <sz val="11"/>
      <color theme="9" tint="-0.249977111117893"/>
      <name val="Calibri Light"/>
      <family val="2"/>
      <scheme val="major"/>
    </font>
    <font>
      <sz val="11"/>
      <color theme="1"/>
      <name val="Calibri Light"/>
      <family val="2"/>
      <charset val="238"/>
      <scheme val="major"/>
    </font>
    <font>
      <sz val="11"/>
      <color theme="1"/>
      <name val="Calibri"/>
      <family val="2"/>
      <charset val="238"/>
      <scheme val="minor"/>
    </font>
    <font>
      <sz val="11"/>
      <color theme="9" tint="-0.249977111117893"/>
      <name val="Calibri"/>
      <family val="2"/>
      <scheme val="minor"/>
    </font>
    <font>
      <b/>
      <sz val="11"/>
      <color theme="9" tint="-0.249977111117893"/>
      <name val="Calibri"/>
      <family val="2"/>
      <scheme val="minor"/>
    </font>
    <font>
      <sz val="11"/>
      <color theme="1" tint="0.24994659260841701"/>
      <name val="Calibri"/>
      <family val="2"/>
      <scheme val="minor"/>
    </font>
    <font>
      <sz val="10"/>
      <name val="Tahoma"/>
      <family val="2"/>
    </font>
    <font>
      <b/>
      <sz val="10"/>
      <color indexed="9"/>
      <name val="Tahoma"/>
      <family val="2"/>
    </font>
    <font>
      <b/>
      <sz val="10"/>
      <name val="Tahoma"/>
      <family val="2"/>
      <charset val="204"/>
    </font>
    <font>
      <sz val="8"/>
      <name val="Tahoma"/>
      <family val="2"/>
    </font>
    <font>
      <i/>
      <sz val="6"/>
      <name val="Tahoma"/>
      <family val="2"/>
      <charset val="204"/>
    </font>
    <font>
      <sz val="9"/>
      <name val="Tahoma"/>
      <family val="2"/>
    </font>
    <font>
      <sz val="11"/>
      <color rgb="FF3F3F76"/>
      <name val="Calibri"/>
      <family val="2"/>
      <scheme val="minor"/>
    </font>
    <font>
      <sz val="11"/>
      <color rgb="FFFF0000"/>
      <name val="Calibri"/>
      <family val="2"/>
      <scheme val="minor"/>
    </font>
    <font>
      <sz val="11"/>
      <color theme="9" tint="0.79998168889431442"/>
      <name val="Calibri"/>
      <family val="2"/>
      <scheme val="minor"/>
    </font>
    <font>
      <sz val="11"/>
      <color rgb="FF7030A0"/>
      <name val="Calibri"/>
      <family val="2"/>
      <charset val="238"/>
      <scheme val="minor"/>
    </font>
    <font>
      <b/>
      <sz val="8"/>
      <color theme="1" tint="0.14993743705557422"/>
      <name val="Calibri Light"/>
      <family val="2"/>
      <scheme val="major"/>
    </font>
    <font>
      <b/>
      <sz val="11"/>
      <color rgb="FFFF0000"/>
      <name val="Calibri"/>
      <family val="2"/>
      <scheme val="minor"/>
    </font>
    <font>
      <b/>
      <sz val="11"/>
      <color rgb="FF7030A0"/>
      <name val="Arial"/>
      <family val="2"/>
    </font>
    <font>
      <sz val="16"/>
      <color theme="1"/>
      <name val="Calibri"/>
      <family val="2"/>
      <scheme val="minor"/>
    </font>
    <font>
      <sz val="11"/>
      <color rgb="FFFF0000"/>
      <name val="Calibri"/>
      <family val="2"/>
      <charset val="238"/>
      <scheme val="minor"/>
    </font>
    <font>
      <sz val="8"/>
      <color rgb="FF3F3F76"/>
      <name val="Calibri"/>
      <family val="2"/>
      <scheme val="minor"/>
    </font>
    <font>
      <sz val="8"/>
      <color rgb="FFFF0000"/>
      <name val="Calibri"/>
      <family val="2"/>
      <scheme val="minor"/>
    </font>
    <font>
      <b/>
      <sz val="8"/>
      <color rgb="FFFF0000"/>
      <name val="Calibri"/>
      <family val="2"/>
      <scheme val="minor"/>
    </font>
    <font>
      <b/>
      <u/>
      <sz val="8"/>
      <color rgb="FFFF0000"/>
      <name val="Calibri"/>
      <family val="2"/>
      <scheme val="minor"/>
    </font>
    <font>
      <b/>
      <sz val="9"/>
      <color rgb="FFFF0000"/>
      <name val="Calibri"/>
      <family val="2"/>
      <scheme val="minor"/>
    </font>
    <font>
      <b/>
      <sz val="10"/>
      <color rgb="FFFF0000"/>
      <name val="Calibri"/>
      <family val="2"/>
      <scheme val="minor"/>
    </font>
    <font>
      <sz val="9"/>
      <name val="Arial"/>
      <family val="2"/>
    </font>
    <font>
      <i/>
      <sz val="9"/>
      <color theme="1" tint="0.499984740745262"/>
      <name val="Arial"/>
      <family val="2"/>
    </font>
    <font>
      <sz val="9"/>
      <color theme="4"/>
      <name val="Arial"/>
      <family val="2"/>
    </font>
    <font>
      <b/>
      <sz val="9"/>
      <color theme="4"/>
      <name val="Arial"/>
      <family val="2"/>
    </font>
    <font>
      <i/>
      <sz val="9"/>
      <color theme="1" tint="0.249977111117893"/>
      <name val="Arial"/>
      <family val="2"/>
    </font>
    <font>
      <i/>
      <sz val="9"/>
      <color theme="1"/>
      <name val="Arial"/>
      <family val="2"/>
    </font>
    <font>
      <sz val="11"/>
      <color rgb="FF000000"/>
      <name val="Calibri"/>
      <family val="2"/>
      <scheme val="minor"/>
    </font>
    <font>
      <u/>
      <sz val="11"/>
      <color theme="10"/>
      <name val="Arial"/>
      <family val="2"/>
    </font>
    <font>
      <sz val="11"/>
      <color rgb="FF000000"/>
      <name val="Arial"/>
      <family val="2"/>
    </font>
    <font>
      <b/>
      <sz val="12"/>
      <color rgb="FFFFC000"/>
      <name val="Arial"/>
      <family val="2"/>
    </font>
    <font>
      <b/>
      <u/>
      <sz val="11"/>
      <color rgb="FFFFFF00"/>
      <name val="Calibri"/>
      <family val="2"/>
      <scheme val="minor"/>
    </font>
  </fonts>
  <fills count="58">
    <fill>
      <patternFill patternType="none"/>
    </fill>
    <fill>
      <patternFill patternType="gray125"/>
    </fill>
    <fill>
      <patternFill patternType="solid">
        <fgColor theme="4" tint="0.79998168889431442"/>
        <bgColor indexed="64"/>
      </patternFill>
    </fill>
    <fill>
      <patternFill patternType="solid">
        <fgColor rgb="FFEEF3F8"/>
        <bgColor indexed="64"/>
      </patternFill>
    </fill>
    <fill>
      <patternFill patternType="solid">
        <fgColor theme="0"/>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FFF7E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E4F4EF"/>
        <bgColor indexed="64"/>
      </patternFill>
    </fill>
    <fill>
      <patternFill patternType="solid">
        <fgColor theme="3" tint="0.59999389629810485"/>
        <bgColor indexed="64"/>
      </patternFill>
    </fill>
    <fill>
      <patternFill patternType="solid">
        <fgColor rgb="FFD3E0ED"/>
        <bgColor indexed="64"/>
      </patternFill>
    </fill>
    <fill>
      <patternFill patternType="solid">
        <fgColor rgb="FFF6FCFA"/>
        <bgColor indexed="64"/>
      </patternFill>
    </fill>
    <fill>
      <patternFill patternType="solid">
        <fgColor rgb="FFFDEFE7"/>
        <bgColor indexed="64"/>
      </patternFill>
    </fill>
    <fill>
      <patternFill patternType="solid">
        <fgColor rgb="FFFDF0E9"/>
        <bgColor indexed="64"/>
      </patternFill>
    </fill>
    <fill>
      <patternFill patternType="solid">
        <fgColor rgb="FFFFFAEB"/>
        <bgColor indexed="64"/>
      </patternFill>
    </fill>
    <fill>
      <patternFill patternType="solid">
        <fgColor rgb="FFFAF4FE"/>
        <bgColor indexed="64"/>
      </patternFill>
    </fill>
    <fill>
      <patternFill patternType="solid">
        <fgColor rgb="FFF9F9F9"/>
        <bgColor indexed="64"/>
      </patternFill>
    </fill>
    <fill>
      <patternFill patternType="solid">
        <fgColor rgb="FFF6F6F6"/>
        <bgColor indexed="64"/>
      </patternFill>
    </fill>
    <fill>
      <patternFill patternType="solid">
        <fgColor rgb="FF3B4E87"/>
        <bgColor indexed="64"/>
      </patternFill>
    </fill>
    <fill>
      <patternFill patternType="solid">
        <fgColor theme="2" tint="-0.499984740745262"/>
        <bgColor indexed="64"/>
      </patternFill>
    </fill>
    <fill>
      <patternFill patternType="solid">
        <fgColor rgb="FFFFFF9F"/>
        <bgColor indexed="64"/>
      </patternFill>
    </fill>
    <fill>
      <patternFill patternType="solid">
        <fgColor rgb="FF778BA9"/>
        <bgColor indexed="64"/>
      </patternFill>
    </fill>
    <fill>
      <patternFill patternType="solid">
        <fgColor rgb="FFFFFBEF"/>
        <bgColor indexed="64"/>
      </patternFill>
    </fill>
    <fill>
      <patternFill patternType="solid">
        <fgColor rgb="FFE6E6E6"/>
        <bgColor indexed="64"/>
      </patternFill>
    </fill>
    <fill>
      <patternFill patternType="solid">
        <fgColor rgb="FF9BAABF"/>
        <bgColor indexed="64"/>
      </patternFill>
    </fill>
    <fill>
      <patternFill patternType="solid">
        <fgColor theme="3" tint="0.39997558519241921"/>
        <bgColor indexed="64"/>
      </patternFill>
    </fill>
    <fill>
      <patternFill patternType="solid">
        <fgColor rgb="FFFFF2CC"/>
        <bgColor indexed="64"/>
      </patternFill>
    </fill>
    <fill>
      <patternFill patternType="solid">
        <fgColor rgb="FFFCE4D6"/>
        <bgColor indexed="64"/>
      </patternFill>
    </fill>
    <fill>
      <patternFill patternType="solid">
        <fgColor rgb="FFE2EFDA"/>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6D9ABF"/>
        <bgColor indexed="64"/>
      </patternFill>
    </fill>
    <fill>
      <patternFill patternType="solid">
        <fgColor rgb="FFA2BED6"/>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E7F1F9"/>
        <bgColor indexed="64"/>
      </patternFill>
    </fill>
    <fill>
      <patternFill patternType="solid">
        <fgColor theme="4" tint="0.59999389629810485"/>
        <bgColor indexed="64"/>
      </patternFill>
    </fill>
    <fill>
      <patternFill patternType="solid">
        <fgColor rgb="FF7FA6C7"/>
        <bgColor indexed="64"/>
      </patternFill>
    </fill>
    <fill>
      <patternFill patternType="solid">
        <fgColor rgb="FFEAF3FA"/>
        <bgColor indexed="64"/>
      </patternFill>
    </fill>
    <fill>
      <patternFill patternType="solid">
        <fgColor rgb="FFEAF2EF"/>
        <bgColor indexed="64"/>
      </patternFill>
    </fill>
    <fill>
      <patternFill patternType="solid">
        <fgColor rgb="FF5168B3"/>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4"/>
        <bgColor indexed="64"/>
      </patternFill>
    </fill>
    <fill>
      <patternFill patternType="solid">
        <fgColor theme="3" tint="0.89996032593768116"/>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indexed="20"/>
        <bgColor indexed="64"/>
      </patternFill>
    </fill>
    <fill>
      <patternFill patternType="solid">
        <fgColor rgb="FFFFCC99"/>
      </patternFill>
    </fill>
    <fill>
      <patternFill patternType="solid">
        <fgColor theme="3" tint="0.749961851863155"/>
        <bgColor indexed="64"/>
      </patternFill>
    </fill>
    <fill>
      <patternFill patternType="solid">
        <fgColor theme="1"/>
        <bgColor indexed="64"/>
      </patternFill>
    </fill>
    <fill>
      <patternFill patternType="solid">
        <fgColor theme="5" tint="0.59996337778862885"/>
        <bgColor indexed="64"/>
      </patternFill>
    </fill>
    <fill>
      <patternFill patternType="solid">
        <fgColor rgb="FFF2F2F2"/>
        <bgColor indexed="64"/>
      </patternFill>
    </fill>
    <fill>
      <patternFill patternType="solid">
        <fgColor theme="9" tint="0.59999389629810485"/>
        <bgColor indexed="64"/>
      </patternFill>
    </fill>
    <fill>
      <patternFill patternType="solid">
        <fgColor rgb="FFFF0000"/>
        <bgColor indexed="64"/>
      </patternFill>
    </fill>
  </fills>
  <borders count="517">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1" tint="0.499984740745262"/>
      </top>
      <bottom/>
      <diagonal/>
    </border>
    <border>
      <left/>
      <right/>
      <top style="dotted">
        <color theme="1" tint="0.499984740745262"/>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thin">
        <color theme="1" tint="0.499984740745262"/>
      </bottom>
      <diagonal/>
    </border>
    <border>
      <left/>
      <right style="dotted">
        <color theme="1" tint="0.499984740745262"/>
      </right>
      <top/>
      <bottom/>
      <diagonal/>
    </border>
    <border>
      <left style="dotted">
        <color theme="1" tint="0.499984740745262"/>
      </left>
      <right/>
      <top style="dotted">
        <color theme="1" tint="0.499984740745262"/>
      </top>
      <bottom/>
      <diagonal/>
    </border>
    <border>
      <left style="dotted">
        <color theme="1" tint="0.499984740745262"/>
      </left>
      <right/>
      <top/>
      <bottom/>
      <diagonal/>
    </border>
    <border>
      <left style="dotted">
        <color theme="1" tint="0.499984740745262"/>
      </left>
      <right/>
      <top/>
      <bottom style="thin">
        <color theme="1" tint="0.499984740745262"/>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rgb="FFD3E0ED"/>
      </left>
      <right/>
      <top style="thin">
        <color rgb="FFD3E0ED"/>
      </top>
      <bottom/>
      <diagonal/>
    </border>
    <border>
      <left/>
      <right/>
      <top style="thin">
        <color rgb="FFD3E0ED"/>
      </top>
      <bottom/>
      <diagonal/>
    </border>
    <border>
      <left style="thin">
        <color rgb="FFD3E0ED"/>
      </left>
      <right/>
      <top/>
      <bottom style="thin">
        <color rgb="FFD3E0ED"/>
      </bottom>
      <diagonal/>
    </border>
    <border>
      <left/>
      <right/>
      <top/>
      <bottom style="thin">
        <color rgb="FFD3E0ED"/>
      </bottom>
      <diagonal/>
    </border>
    <border>
      <left style="dotted">
        <color theme="0" tint="-0.24994659260841701"/>
      </left>
      <right/>
      <top style="dotted">
        <color theme="0" tint="-0.24994659260841701"/>
      </top>
      <bottom/>
      <diagonal/>
    </border>
    <border>
      <left/>
      <right/>
      <top style="dotted">
        <color theme="0" tint="-0.24994659260841701"/>
      </top>
      <bottom/>
      <diagonal/>
    </border>
    <border>
      <left/>
      <right style="dotted">
        <color theme="0" tint="-0.24994659260841701"/>
      </right>
      <top style="dotted">
        <color theme="0" tint="-0.24994659260841701"/>
      </top>
      <bottom/>
      <diagonal/>
    </border>
    <border>
      <left style="dotted">
        <color theme="0" tint="-0.24994659260841701"/>
      </left>
      <right/>
      <top/>
      <bottom/>
      <diagonal/>
    </border>
    <border>
      <left/>
      <right style="dotted">
        <color theme="0" tint="-0.24994659260841701"/>
      </right>
      <top/>
      <bottom/>
      <diagonal/>
    </border>
    <border>
      <left style="dotted">
        <color theme="0" tint="-0.24994659260841701"/>
      </left>
      <right/>
      <top/>
      <bottom style="dotted">
        <color theme="0" tint="-0.24994659260841701"/>
      </bottom>
      <diagonal/>
    </border>
    <border>
      <left/>
      <right/>
      <top/>
      <bottom style="dotted">
        <color theme="0" tint="-0.24994659260841701"/>
      </bottom>
      <diagonal/>
    </border>
    <border>
      <left/>
      <right style="dotted">
        <color theme="0" tint="-0.24994659260841701"/>
      </right>
      <top/>
      <bottom style="dotted">
        <color theme="0" tint="-0.24994659260841701"/>
      </bottom>
      <diagonal/>
    </border>
    <border>
      <left style="thin">
        <color rgb="FF8AD0BA"/>
      </left>
      <right/>
      <top style="thin">
        <color rgb="FF8AD0BA"/>
      </top>
      <bottom/>
      <diagonal/>
    </border>
    <border>
      <left/>
      <right/>
      <top style="thin">
        <color rgb="FF8AD0BA"/>
      </top>
      <bottom/>
      <diagonal/>
    </border>
    <border>
      <left/>
      <right style="thin">
        <color rgb="FF8AD0BA"/>
      </right>
      <top style="thin">
        <color rgb="FF8AD0BA"/>
      </top>
      <bottom/>
      <diagonal/>
    </border>
    <border>
      <left style="thin">
        <color rgb="FF8AD0BA"/>
      </left>
      <right/>
      <top/>
      <bottom/>
      <diagonal/>
    </border>
    <border>
      <left/>
      <right style="thin">
        <color rgb="FF8AD0BA"/>
      </right>
      <top/>
      <bottom/>
      <diagonal/>
    </border>
    <border>
      <left style="thin">
        <color rgb="FF8AD0BA"/>
      </left>
      <right/>
      <top/>
      <bottom style="thin">
        <color rgb="FF8AD0BA"/>
      </bottom>
      <diagonal/>
    </border>
    <border>
      <left/>
      <right/>
      <top/>
      <bottom style="thin">
        <color rgb="FF8AD0BA"/>
      </bottom>
      <diagonal/>
    </border>
    <border>
      <left/>
      <right style="thin">
        <color rgb="FF8AD0BA"/>
      </right>
      <top/>
      <bottom style="thin">
        <color rgb="FF8AD0BA"/>
      </bottom>
      <diagonal/>
    </border>
    <border>
      <left/>
      <right style="thin">
        <color rgb="FFD3E0ED"/>
      </right>
      <top style="thin">
        <color rgb="FFD3E0ED"/>
      </top>
      <bottom/>
      <diagonal/>
    </border>
    <border>
      <left/>
      <right style="thin">
        <color rgb="FFD3E0ED"/>
      </right>
      <top/>
      <bottom style="thin">
        <color rgb="FFD3E0ED"/>
      </bottom>
      <diagonal/>
    </border>
    <border>
      <left style="thin">
        <color theme="5" tint="0.59996337778862885"/>
      </left>
      <right/>
      <top style="thin">
        <color theme="5" tint="0.59996337778862885"/>
      </top>
      <bottom/>
      <diagonal/>
    </border>
    <border>
      <left/>
      <right/>
      <top style="thin">
        <color theme="5" tint="0.59996337778862885"/>
      </top>
      <bottom/>
      <diagonal/>
    </border>
    <border>
      <left/>
      <right style="thin">
        <color theme="5" tint="0.59996337778862885"/>
      </right>
      <top style="thin">
        <color theme="5" tint="0.59996337778862885"/>
      </top>
      <bottom/>
      <diagonal/>
    </border>
    <border>
      <left style="thin">
        <color theme="5" tint="0.59996337778862885"/>
      </left>
      <right/>
      <top/>
      <bottom/>
      <diagonal/>
    </border>
    <border>
      <left/>
      <right style="thin">
        <color theme="5" tint="0.59996337778862885"/>
      </right>
      <top/>
      <bottom/>
      <diagonal/>
    </border>
    <border>
      <left style="thin">
        <color theme="5" tint="0.59996337778862885"/>
      </left>
      <right/>
      <top/>
      <bottom style="thin">
        <color theme="5" tint="0.59996337778862885"/>
      </bottom>
      <diagonal/>
    </border>
    <border>
      <left/>
      <right/>
      <top/>
      <bottom style="thin">
        <color theme="5" tint="0.59996337778862885"/>
      </bottom>
      <diagonal/>
    </border>
    <border>
      <left/>
      <right style="thin">
        <color theme="5" tint="0.59996337778862885"/>
      </right>
      <top/>
      <bottom style="thin">
        <color theme="5" tint="0.59996337778862885"/>
      </bottom>
      <diagonal/>
    </border>
    <border>
      <left/>
      <right/>
      <top/>
      <bottom style="thin">
        <color theme="2" tint="-0.499984740745262"/>
      </bottom>
      <diagonal/>
    </border>
    <border>
      <left/>
      <right/>
      <top style="thin">
        <color theme="2" tint="-0.499984740745262"/>
      </top>
      <bottom/>
      <diagonal/>
    </border>
    <border>
      <left/>
      <right/>
      <top/>
      <bottom style="thick">
        <color rgb="FF7184C1"/>
      </bottom>
      <diagonal/>
    </border>
    <border>
      <left/>
      <right/>
      <top style="thin">
        <color theme="0"/>
      </top>
      <bottom style="thin">
        <color theme="0"/>
      </bottom>
      <diagonal/>
    </border>
    <border>
      <left style="thin">
        <color theme="0" tint="-0.24994659260841701"/>
      </left>
      <right/>
      <top/>
      <bottom/>
      <diagonal/>
    </border>
    <border>
      <left style="dotted">
        <color theme="1" tint="0.499984740745262"/>
      </left>
      <right/>
      <top style="thin">
        <color theme="1" tint="0.499984740745262"/>
      </top>
      <bottom/>
      <diagonal/>
    </border>
    <border>
      <left/>
      <right style="thin">
        <color theme="0" tint="-0.14996795556505021"/>
      </right>
      <top/>
      <bottom/>
      <diagonal/>
    </border>
    <border>
      <left/>
      <right/>
      <top style="thin">
        <color theme="0"/>
      </top>
      <bottom/>
      <diagonal/>
    </border>
    <border>
      <left/>
      <right/>
      <top style="dotted">
        <color theme="1" tint="0.499984740745262"/>
      </top>
      <bottom style="thin">
        <color theme="0"/>
      </bottom>
      <diagonal/>
    </border>
    <border>
      <left/>
      <right/>
      <top/>
      <bottom style="thin">
        <color theme="0"/>
      </bottom>
      <diagonal/>
    </border>
    <border>
      <left style="thin">
        <color theme="5" tint="0.39994506668294322"/>
      </left>
      <right/>
      <top style="thin">
        <color theme="5" tint="0.39994506668294322"/>
      </top>
      <bottom/>
      <diagonal/>
    </border>
    <border>
      <left/>
      <right/>
      <top style="thin">
        <color theme="5" tint="0.39994506668294322"/>
      </top>
      <bottom/>
      <diagonal/>
    </border>
    <border>
      <left/>
      <right style="thin">
        <color theme="5" tint="0.39994506668294322"/>
      </right>
      <top style="thin">
        <color theme="5" tint="0.39994506668294322"/>
      </top>
      <bottom/>
      <diagonal/>
    </border>
    <border>
      <left style="thin">
        <color theme="5" tint="0.39994506668294322"/>
      </left>
      <right/>
      <top/>
      <bottom style="thin">
        <color theme="5" tint="0.39994506668294322"/>
      </bottom>
      <diagonal/>
    </border>
    <border>
      <left/>
      <right/>
      <top/>
      <bottom style="thin">
        <color theme="5" tint="0.39994506668294322"/>
      </bottom>
      <diagonal/>
    </border>
    <border>
      <left/>
      <right style="thin">
        <color theme="5" tint="0.39994506668294322"/>
      </right>
      <top/>
      <bottom style="thin">
        <color theme="5" tint="0.39994506668294322"/>
      </bottom>
      <diagonal/>
    </border>
    <border>
      <left style="thin">
        <color theme="0" tint="-0.14996795556505021"/>
      </left>
      <right style="thin">
        <color theme="0" tint="-0.14996795556505021"/>
      </right>
      <top/>
      <bottom/>
      <diagonal/>
    </border>
    <border>
      <left/>
      <right/>
      <top/>
      <bottom style="thin">
        <color theme="1" tint="0.34998626667073579"/>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thin">
        <color rgb="FF9BAABF"/>
      </left>
      <right/>
      <top/>
      <bottom style="thin">
        <color theme="1" tint="0.499984740745262"/>
      </bottom>
      <diagonal/>
    </border>
    <border>
      <left/>
      <right style="thin">
        <color rgb="FF9BAABF"/>
      </right>
      <top/>
      <bottom style="thin">
        <color theme="1" tint="0.499984740745262"/>
      </bottom>
      <diagonal/>
    </border>
    <border>
      <left style="thin">
        <color rgb="FF9BAABF"/>
      </left>
      <right/>
      <top/>
      <bottom/>
      <diagonal/>
    </border>
    <border>
      <left/>
      <right style="thin">
        <color rgb="FF9BAABF"/>
      </right>
      <top/>
      <bottom/>
      <diagonal/>
    </border>
    <border>
      <left style="thin">
        <color rgb="FF9BAABF"/>
      </left>
      <right/>
      <top/>
      <bottom style="thin">
        <color rgb="FF9BAABF"/>
      </bottom>
      <diagonal/>
    </border>
    <border>
      <left/>
      <right/>
      <top/>
      <bottom style="thin">
        <color rgb="FF9BAABF"/>
      </bottom>
      <diagonal/>
    </border>
    <border>
      <left style="dotted">
        <color theme="1" tint="0.499984740745262"/>
      </left>
      <right/>
      <top/>
      <bottom style="thin">
        <color rgb="FF9BAABF"/>
      </bottom>
      <diagonal/>
    </border>
    <border>
      <left/>
      <right style="thin">
        <color rgb="FF9BAABF"/>
      </right>
      <top/>
      <bottom style="thin">
        <color rgb="FF9BAABF"/>
      </bottom>
      <diagonal/>
    </border>
    <border>
      <left style="medium">
        <color theme="0"/>
      </left>
      <right style="medium">
        <color theme="0"/>
      </right>
      <top/>
      <bottom/>
      <diagonal/>
    </border>
    <border>
      <left style="thin">
        <color rgb="FF9BAABF"/>
      </left>
      <right style="dotted">
        <color theme="1" tint="0.499984740745262"/>
      </right>
      <top/>
      <bottom/>
      <diagonal/>
    </border>
    <border>
      <left/>
      <right/>
      <top style="thin">
        <color theme="6" tint="-0.24994659260841701"/>
      </top>
      <bottom/>
      <diagonal/>
    </border>
    <border>
      <left/>
      <right/>
      <top/>
      <bottom style="thin">
        <color theme="6" tint="-0.24994659260841701"/>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1" tint="0.34998626667073579"/>
      </left>
      <right/>
      <top style="thin">
        <color theme="1" tint="0.34998626667073579"/>
      </top>
      <bottom/>
      <diagonal/>
    </border>
    <border>
      <left/>
      <right/>
      <top style="thin">
        <color theme="1" tint="0.34998626667073579"/>
      </top>
      <bottom/>
      <diagonal/>
    </border>
    <border>
      <left style="thin">
        <color theme="1" tint="0.34998626667073579"/>
      </left>
      <right/>
      <top/>
      <bottom/>
      <diagonal/>
    </border>
    <border>
      <left/>
      <right style="thin">
        <color theme="0" tint="-0.24994659260841701"/>
      </right>
      <top style="thin">
        <color theme="0"/>
      </top>
      <bottom/>
      <diagonal/>
    </border>
    <border>
      <left style="thin">
        <color theme="0" tint="-0.24994659260841701"/>
      </left>
      <right/>
      <top style="thin">
        <color theme="0"/>
      </top>
      <bottom/>
      <diagonal/>
    </border>
    <border>
      <left style="thin">
        <color rgb="FF8A9BB4"/>
      </left>
      <right/>
      <top style="thin">
        <color rgb="FF8A9BB4"/>
      </top>
      <bottom style="thin">
        <color rgb="FF8A9BB4"/>
      </bottom>
      <diagonal/>
    </border>
    <border>
      <left/>
      <right/>
      <top style="thin">
        <color rgb="FF8A9BB4"/>
      </top>
      <bottom style="thin">
        <color rgb="FF8A9BB4"/>
      </bottom>
      <diagonal/>
    </border>
    <border>
      <left/>
      <right style="thin">
        <color rgb="FF8A9BB4"/>
      </right>
      <top style="thin">
        <color rgb="FF8A9BB4"/>
      </top>
      <bottom style="thin">
        <color rgb="FF8A9BB4"/>
      </bottom>
      <diagonal/>
    </border>
    <border>
      <left style="thin">
        <color theme="0"/>
      </left>
      <right style="thin">
        <color theme="0"/>
      </right>
      <top/>
      <bottom/>
      <diagonal/>
    </border>
    <border>
      <left/>
      <right/>
      <top style="thin">
        <color theme="6" tint="-0.24994659260841701"/>
      </top>
      <bottom style="thin">
        <color theme="0"/>
      </bottom>
      <diagonal/>
    </border>
    <border>
      <left style="thin">
        <color theme="0"/>
      </left>
      <right style="thin">
        <color theme="0"/>
      </right>
      <top style="thin">
        <color theme="0"/>
      </top>
      <bottom style="thin">
        <color theme="0"/>
      </bottom>
      <diagonal/>
    </border>
    <border>
      <left/>
      <right/>
      <top/>
      <bottom style="thin">
        <color theme="0" tint="-0.34998626667073579"/>
      </bottom>
      <diagonal/>
    </border>
    <border>
      <left style="thin">
        <color theme="0"/>
      </left>
      <right/>
      <top/>
      <bottom/>
      <diagonal/>
    </border>
    <border>
      <left style="thin">
        <color theme="0"/>
      </left>
      <right/>
      <top/>
      <bottom style="thin">
        <color theme="0"/>
      </bottom>
      <diagonal/>
    </border>
    <border>
      <left style="thin">
        <color theme="0"/>
      </left>
      <right style="thin">
        <color theme="0"/>
      </right>
      <top style="thin">
        <color theme="0"/>
      </top>
      <bottom/>
      <diagonal/>
    </border>
    <border>
      <left/>
      <right/>
      <top style="thin">
        <color theme="0" tint="-0.14996795556505021"/>
      </top>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thin">
        <color theme="0"/>
      </right>
      <top style="thin">
        <color theme="0"/>
      </top>
      <bottom style="thin">
        <color theme="6" tint="-0.24994659260841701"/>
      </bottom>
      <diagonal/>
    </border>
    <border>
      <left style="thin">
        <color theme="0"/>
      </left>
      <right/>
      <top style="thin">
        <color theme="0"/>
      </top>
      <bottom style="thin">
        <color theme="6" tint="-0.24994659260841701"/>
      </bottom>
      <diagonal/>
    </border>
    <border>
      <left style="thin">
        <color theme="0"/>
      </left>
      <right/>
      <top style="thin">
        <color theme="0"/>
      </top>
      <bottom style="thin">
        <color theme="1" tint="0.499984740745262"/>
      </bottom>
      <diagonal/>
    </border>
    <border>
      <left style="thin">
        <color theme="8" tint="0.79998168889431442"/>
      </left>
      <right/>
      <top style="thin">
        <color theme="8" tint="0.79998168889431442"/>
      </top>
      <bottom style="thin">
        <color theme="8" tint="0.79998168889431442"/>
      </bottom>
      <diagonal/>
    </border>
    <border>
      <left/>
      <right/>
      <top style="thin">
        <color theme="8" tint="0.79998168889431442"/>
      </top>
      <bottom style="thin">
        <color theme="8" tint="0.79998168889431442"/>
      </bottom>
      <diagonal/>
    </border>
    <border>
      <left/>
      <right style="thin">
        <color theme="8" tint="0.79998168889431442"/>
      </right>
      <top style="thin">
        <color theme="8" tint="0.79998168889431442"/>
      </top>
      <bottom style="thin">
        <color theme="8" tint="0.79998168889431442"/>
      </bottom>
      <diagonal/>
    </border>
    <border>
      <left style="thin">
        <color theme="8" tint="0.79998168889431442"/>
      </left>
      <right/>
      <top style="thin">
        <color theme="8" tint="0.79998168889431442"/>
      </top>
      <bottom style="thin">
        <color theme="1" tint="0.499984740745262"/>
      </bottom>
      <diagonal/>
    </border>
    <border>
      <left/>
      <right/>
      <top style="thin">
        <color theme="8" tint="0.79998168889431442"/>
      </top>
      <bottom style="thin">
        <color theme="1" tint="0.499984740745262"/>
      </bottom>
      <diagonal/>
    </border>
    <border>
      <left/>
      <right style="thin">
        <color theme="8" tint="0.79998168889431442"/>
      </right>
      <top style="thin">
        <color theme="8" tint="0.79998168889431442"/>
      </top>
      <bottom style="thin">
        <color theme="1" tint="0.499984740745262"/>
      </bottom>
      <diagonal/>
    </border>
    <border>
      <left style="thin">
        <color theme="8" tint="0.79998168889431442"/>
      </left>
      <right/>
      <top/>
      <bottom style="thin">
        <color theme="8" tint="0.79998168889431442"/>
      </bottom>
      <diagonal/>
    </border>
    <border>
      <left/>
      <right/>
      <top/>
      <bottom style="thin">
        <color theme="8" tint="0.79998168889431442"/>
      </bottom>
      <diagonal/>
    </border>
    <border>
      <left/>
      <right style="thin">
        <color theme="8" tint="0.79998168889431442"/>
      </right>
      <top/>
      <bottom style="thin">
        <color theme="8" tint="0.79998168889431442"/>
      </bottom>
      <diagonal/>
    </border>
    <border>
      <left style="thin">
        <color theme="5" tint="0.59996337778862885"/>
      </left>
      <right/>
      <top style="thin">
        <color theme="5" tint="0.59996337778862885"/>
      </top>
      <bottom style="thin">
        <color theme="5" tint="0.59996337778862885"/>
      </bottom>
      <diagonal/>
    </border>
    <border>
      <left/>
      <right/>
      <top style="thin">
        <color theme="5" tint="0.59996337778862885"/>
      </top>
      <bottom style="thin">
        <color theme="5" tint="0.59996337778862885"/>
      </bottom>
      <diagonal/>
    </border>
    <border>
      <left/>
      <right style="thin">
        <color theme="5" tint="0.59996337778862885"/>
      </right>
      <top style="thin">
        <color theme="5" tint="0.59996337778862885"/>
      </top>
      <bottom style="thin">
        <color theme="5" tint="0.59996337778862885"/>
      </bottom>
      <diagonal/>
    </border>
    <border>
      <left style="thin">
        <color theme="8" tint="0.79998168889431442"/>
      </left>
      <right/>
      <top style="thin">
        <color theme="0" tint="-0.24994659260841701"/>
      </top>
      <bottom style="thin">
        <color theme="8" tint="0.79998168889431442"/>
      </bottom>
      <diagonal/>
    </border>
    <border>
      <left/>
      <right/>
      <top style="thin">
        <color theme="0" tint="-0.24994659260841701"/>
      </top>
      <bottom style="thin">
        <color theme="8" tint="0.79998168889431442"/>
      </bottom>
      <diagonal/>
    </border>
    <border>
      <left/>
      <right style="thin">
        <color theme="8" tint="0.79998168889431442"/>
      </right>
      <top style="thin">
        <color theme="0" tint="-0.24994659260841701"/>
      </top>
      <bottom style="thin">
        <color theme="8" tint="0.79998168889431442"/>
      </bottom>
      <diagonal/>
    </border>
    <border>
      <left/>
      <right/>
      <top style="thin">
        <color theme="8" tint="0.79998168889431442"/>
      </top>
      <bottom style="thin">
        <color theme="0" tint="-0.24994659260841701"/>
      </bottom>
      <diagonal/>
    </border>
    <border>
      <left style="thin">
        <color theme="8" tint="0.79998168889431442"/>
      </left>
      <right/>
      <top style="thin">
        <color theme="8" tint="0.79998168889431442"/>
      </top>
      <bottom style="thin">
        <color theme="0" tint="-0.24994659260841701"/>
      </bottom>
      <diagonal/>
    </border>
    <border>
      <left/>
      <right style="thin">
        <color theme="0" tint="-0.24994659260841701"/>
      </right>
      <top style="thin">
        <color theme="8" tint="0.79998168889431442"/>
      </top>
      <bottom style="thin">
        <color theme="0" tint="-0.24994659260841701"/>
      </bottom>
      <diagonal/>
    </border>
    <border>
      <left style="thin">
        <color theme="8" tint="0.7999816888943144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dotted">
        <color theme="0" tint="-0.24994659260841701"/>
      </left>
      <right/>
      <top style="dotted">
        <color theme="0" tint="-0.24994659260841701"/>
      </top>
      <bottom style="dotted">
        <color theme="0" tint="-0.24994659260841701"/>
      </bottom>
      <diagonal/>
    </border>
    <border>
      <left/>
      <right/>
      <top style="dotted">
        <color theme="0" tint="-0.24994659260841701"/>
      </top>
      <bottom style="dotted">
        <color theme="0" tint="-0.24994659260841701"/>
      </bottom>
      <diagonal/>
    </border>
    <border>
      <left/>
      <right style="dotted">
        <color theme="0" tint="-0.24994659260841701"/>
      </right>
      <top style="dotted">
        <color theme="0" tint="-0.24994659260841701"/>
      </top>
      <bottom style="dotted">
        <color theme="0" tint="-0.24994659260841701"/>
      </bottom>
      <diagonal/>
    </border>
    <border>
      <left style="thin">
        <color theme="7" tint="0.59996337778862885"/>
      </left>
      <right/>
      <top style="thin">
        <color theme="7" tint="0.59996337778862885"/>
      </top>
      <bottom style="thin">
        <color theme="7" tint="0.59996337778862885"/>
      </bottom>
      <diagonal/>
    </border>
    <border>
      <left/>
      <right/>
      <top style="thin">
        <color theme="7" tint="0.59996337778862885"/>
      </top>
      <bottom style="thin">
        <color theme="7" tint="0.59996337778862885"/>
      </bottom>
      <diagonal/>
    </border>
    <border>
      <left/>
      <right style="thin">
        <color theme="7" tint="0.59996337778862885"/>
      </right>
      <top style="thin">
        <color theme="7" tint="0.59996337778862885"/>
      </top>
      <bottom style="thin">
        <color theme="7" tint="0.59996337778862885"/>
      </bottom>
      <diagonal/>
    </border>
    <border>
      <left/>
      <right/>
      <top style="double">
        <color theme="0" tint="-0.14996795556505021"/>
      </top>
      <bottom/>
      <diagonal/>
    </border>
    <border>
      <left style="thin">
        <color theme="8" tint="0.79998168889431442"/>
      </left>
      <right/>
      <top style="thin">
        <color theme="8" tint="0.79998168889431442"/>
      </top>
      <bottom/>
      <diagonal/>
    </border>
    <border>
      <left/>
      <right/>
      <top style="thin">
        <color theme="8" tint="0.79998168889431442"/>
      </top>
      <bottom/>
      <diagonal/>
    </border>
    <border>
      <left/>
      <right/>
      <top style="thin">
        <color theme="8" tint="0.79998168889431442"/>
      </top>
      <bottom style="thin">
        <color theme="0"/>
      </bottom>
      <diagonal/>
    </border>
    <border>
      <left/>
      <right style="thin">
        <color theme="8" tint="0.79998168889431442"/>
      </right>
      <top style="thin">
        <color theme="8" tint="0.79998168889431442"/>
      </top>
      <bottom style="thin">
        <color theme="0"/>
      </bottom>
      <diagonal/>
    </border>
    <border>
      <left style="thin">
        <color theme="8" tint="0.79998168889431442"/>
      </left>
      <right/>
      <top/>
      <bottom/>
      <diagonal/>
    </border>
    <border>
      <left/>
      <right style="thin">
        <color theme="8" tint="0.79998168889431442"/>
      </right>
      <top style="thin">
        <color theme="0"/>
      </top>
      <bottom style="thin">
        <color theme="0"/>
      </bottom>
      <diagonal/>
    </border>
    <border>
      <left/>
      <right/>
      <top style="thin">
        <color theme="0"/>
      </top>
      <bottom style="thin">
        <color theme="8" tint="0.79998168889431442"/>
      </bottom>
      <diagonal/>
    </border>
    <border>
      <left/>
      <right style="thin">
        <color theme="8" tint="0.79998168889431442"/>
      </right>
      <top style="thin">
        <color theme="0"/>
      </top>
      <bottom style="thin">
        <color theme="8" tint="0.79998168889431442"/>
      </bottom>
      <diagonal/>
    </border>
    <border>
      <left/>
      <right style="thin">
        <color theme="8" tint="0.79998168889431442"/>
      </right>
      <top style="thin">
        <color theme="8" tint="0.79998168889431442"/>
      </top>
      <bottom/>
      <diagonal/>
    </border>
    <border>
      <left style="thin">
        <color theme="5" tint="0.79998168889431442"/>
      </left>
      <right/>
      <top style="thin">
        <color theme="5" tint="0.79998168889431442"/>
      </top>
      <bottom/>
      <diagonal/>
    </border>
    <border>
      <left/>
      <right/>
      <top style="thin">
        <color theme="5" tint="0.79998168889431442"/>
      </top>
      <bottom/>
      <diagonal/>
    </border>
    <border>
      <left/>
      <right style="thin">
        <color theme="5" tint="0.79998168889431442"/>
      </right>
      <top style="thin">
        <color theme="5" tint="0.79998168889431442"/>
      </top>
      <bottom/>
      <diagonal/>
    </border>
    <border>
      <left style="thin">
        <color theme="5" tint="0.79998168889431442"/>
      </left>
      <right/>
      <top/>
      <bottom style="thin">
        <color theme="5" tint="0.79998168889431442"/>
      </bottom>
      <diagonal/>
    </border>
    <border>
      <left/>
      <right/>
      <top/>
      <bottom style="thin">
        <color theme="5" tint="0.79998168889431442"/>
      </bottom>
      <diagonal/>
    </border>
    <border>
      <left/>
      <right style="thin">
        <color theme="5" tint="0.79998168889431442"/>
      </right>
      <top/>
      <bottom style="thin">
        <color theme="5" tint="0.79998168889431442"/>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style="thin">
        <color theme="0" tint="-0.24994659260841701"/>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diagonal/>
    </border>
    <border>
      <left style="thin">
        <color theme="8" tint="0.79995117038483843"/>
      </left>
      <right style="thin">
        <color theme="8" tint="0.79995117038483843"/>
      </right>
      <top style="thin">
        <color theme="8" tint="0.79995117038483843"/>
      </top>
      <bottom style="thin">
        <color theme="8" tint="0.79995117038483843"/>
      </bottom>
      <diagonal/>
    </border>
    <border>
      <left style="dotted">
        <color theme="0" tint="-0.14993743705557422"/>
      </left>
      <right/>
      <top style="dotted">
        <color theme="0" tint="-0.14993743705557422"/>
      </top>
      <bottom style="dotted">
        <color theme="0" tint="-0.14993743705557422"/>
      </bottom>
      <diagonal/>
    </border>
    <border>
      <left/>
      <right/>
      <top style="dotted">
        <color theme="0" tint="-0.14993743705557422"/>
      </top>
      <bottom style="dotted">
        <color theme="0" tint="-0.14993743705557422"/>
      </bottom>
      <diagonal/>
    </border>
    <border>
      <left/>
      <right style="dotted">
        <color theme="0" tint="-0.14993743705557422"/>
      </right>
      <top style="dotted">
        <color theme="0" tint="-0.14993743705557422"/>
      </top>
      <bottom style="dotted">
        <color theme="0" tint="-0.14993743705557422"/>
      </bottom>
      <diagonal/>
    </border>
    <border>
      <left style="dotted">
        <color theme="1" tint="0.499984740745262"/>
      </left>
      <right/>
      <top style="dotted">
        <color theme="0"/>
      </top>
      <bottom/>
      <diagonal/>
    </border>
    <border>
      <left/>
      <right/>
      <top style="dotted">
        <color theme="0"/>
      </top>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8" tint="0.79995117038483843"/>
      </left>
      <right/>
      <top style="thin">
        <color theme="8" tint="0.79995117038483843"/>
      </top>
      <bottom style="thin">
        <color theme="8" tint="0.79995117038483843"/>
      </bottom>
      <diagonal/>
    </border>
    <border>
      <left/>
      <right/>
      <top style="thin">
        <color theme="8" tint="0.79995117038483843"/>
      </top>
      <bottom style="thin">
        <color theme="8" tint="0.79995117038483843"/>
      </bottom>
      <diagonal/>
    </border>
    <border>
      <left/>
      <right style="thin">
        <color theme="8" tint="0.79995117038483843"/>
      </right>
      <top style="thin">
        <color theme="8" tint="0.79995117038483843"/>
      </top>
      <bottom style="thin">
        <color theme="8" tint="0.79995117038483843"/>
      </bottom>
      <diagonal/>
    </border>
    <border>
      <left style="thin">
        <color theme="8" tint="0.79992065187536243"/>
      </left>
      <right/>
      <top style="thin">
        <color theme="8" tint="0.79992065187536243"/>
      </top>
      <bottom style="thin">
        <color theme="8" tint="0.79992065187536243"/>
      </bottom>
      <diagonal/>
    </border>
    <border>
      <left/>
      <right/>
      <top style="thin">
        <color theme="8" tint="0.79992065187536243"/>
      </top>
      <bottom style="thin">
        <color theme="8" tint="0.79992065187536243"/>
      </bottom>
      <diagonal/>
    </border>
    <border>
      <left/>
      <right style="thin">
        <color theme="8" tint="0.79992065187536243"/>
      </right>
      <top style="thin">
        <color theme="8" tint="0.79992065187536243"/>
      </top>
      <bottom style="thin">
        <color theme="8" tint="0.79992065187536243"/>
      </bottom>
      <diagonal/>
    </border>
    <border>
      <left style="thin">
        <color theme="8" tint="0.79992065187536243"/>
      </left>
      <right/>
      <top style="thin">
        <color theme="8" tint="0.79992065187536243"/>
      </top>
      <bottom/>
      <diagonal/>
    </border>
    <border>
      <left/>
      <right/>
      <top style="thin">
        <color theme="8" tint="0.79992065187536243"/>
      </top>
      <bottom/>
      <diagonal/>
    </border>
    <border>
      <left/>
      <right style="thin">
        <color theme="8" tint="0.79992065187536243"/>
      </right>
      <top style="thin">
        <color theme="8" tint="0.79992065187536243"/>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right style="thin">
        <color theme="0" tint="-0.1498764000366222"/>
      </right>
      <top style="thin">
        <color theme="0" tint="-0.1498764000366222"/>
      </top>
      <bottom style="thin">
        <color theme="0" tint="-0.1498764000366222"/>
      </bottom>
      <diagonal/>
    </border>
    <border>
      <left style="thin">
        <color theme="0"/>
      </left>
      <right style="thin">
        <color theme="0"/>
      </right>
      <top style="thin">
        <color theme="0"/>
      </top>
      <bottom style="thin">
        <color theme="0" tint="-0.14996795556505021"/>
      </bottom>
      <diagonal/>
    </border>
    <border>
      <left/>
      <right/>
      <top/>
      <bottom style="thin">
        <color theme="8" tint="0.79995117038483843"/>
      </bottom>
      <diagonal/>
    </border>
    <border>
      <left style="thin">
        <color theme="0" tint="-0.1498458815271462"/>
      </left>
      <right/>
      <top style="thin">
        <color theme="0" tint="-0.1498458815271462"/>
      </top>
      <bottom style="thin">
        <color theme="0" tint="-0.1498764000366222"/>
      </bottom>
      <diagonal/>
    </border>
    <border>
      <left/>
      <right/>
      <top style="thin">
        <color theme="0" tint="-0.1498458815271462"/>
      </top>
      <bottom style="thin">
        <color theme="0" tint="-0.1498764000366222"/>
      </bottom>
      <diagonal/>
    </border>
    <border>
      <left/>
      <right style="thin">
        <color theme="0" tint="-0.1498458815271462"/>
      </right>
      <top style="thin">
        <color theme="0" tint="-0.1498458815271462"/>
      </top>
      <bottom style="thin">
        <color theme="0" tint="-0.1498764000366222"/>
      </bottom>
      <diagonal/>
    </border>
    <border>
      <left style="thin">
        <color theme="0" tint="-0.1498458815271462"/>
      </left>
      <right/>
      <top/>
      <bottom/>
      <diagonal/>
    </border>
    <border>
      <left/>
      <right style="thin">
        <color theme="0" tint="-0.1498458815271462"/>
      </right>
      <top/>
      <bottom/>
      <diagonal/>
    </border>
    <border>
      <left style="thin">
        <color theme="0" tint="-0.1498458815271462"/>
      </left>
      <right/>
      <top style="thin">
        <color theme="0" tint="-0.14996795556505021"/>
      </top>
      <bottom style="thin">
        <color theme="0" tint="-0.1498458815271462"/>
      </bottom>
      <diagonal/>
    </border>
    <border>
      <left/>
      <right/>
      <top style="thin">
        <color theme="0" tint="-0.14996795556505021"/>
      </top>
      <bottom style="thin">
        <color theme="0" tint="-0.1498458815271462"/>
      </bottom>
      <diagonal/>
    </border>
    <border>
      <left/>
      <right style="thin">
        <color theme="0" tint="-0.1498458815271462"/>
      </right>
      <top style="thin">
        <color theme="0" tint="-0.14996795556505021"/>
      </top>
      <bottom style="thin">
        <color theme="0" tint="-0.1498458815271462"/>
      </bottom>
      <diagonal/>
    </border>
    <border>
      <left/>
      <right style="thin">
        <color theme="0" tint="-0.14996795556505021"/>
      </right>
      <top style="thin">
        <color theme="0" tint="-0.14996795556505021"/>
      </top>
      <bottom style="thin">
        <color theme="0" tint="-0.1498458815271462"/>
      </bottom>
      <diagonal/>
    </border>
    <border>
      <left style="thin">
        <color theme="8" tint="0.79989013336588644"/>
      </left>
      <right/>
      <top style="thin">
        <color theme="8" tint="0.79989013336588644"/>
      </top>
      <bottom style="thin">
        <color theme="8" tint="0.79989013336588644"/>
      </bottom>
      <diagonal/>
    </border>
    <border>
      <left/>
      <right/>
      <top style="thin">
        <color theme="8" tint="0.79989013336588644"/>
      </top>
      <bottom style="thin">
        <color theme="8" tint="0.79989013336588644"/>
      </bottom>
      <diagonal/>
    </border>
    <border>
      <left/>
      <right style="thin">
        <color theme="8" tint="0.79989013336588644"/>
      </right>
      <top style="thin">
        <color theme="8" tint="0.79989013336588644"/>
      </top>
      <bottom style="thin">
        <color theme="8" tint="0.79989013336588644"/>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0691854609822"/>
      </left>
      <right/>
      <top style="thin">
        <color theme="0" tint="-0.1498764000366222"/>
      </top>
      <bottom style="thin">
        <color theme="0" tint="-0.1498764000366222"/>
      </bottom>
      <diagonal/>
    </border>
    <border>
      <left style="thin">
        <color theme="0" tint="-0.14990691854609822"/>
      </left>
      <right style="thin">
        <color theme="0" tint="-0.1498764000366222"/>
      </right>
      <top style="thin">
        <color theme="0" tint="-0.1498764000366222"/>
      </top>
      <bottom style="thin">
        <color theme="0" tint="-0.1498764000366222"/>
      </bottom>
      <diagonal/>
    </border>
    <border>
      <left style="thin">
        <color theme="0" tint="-0.1498458815271462"/>
      </left>
      <right style="thin">
        <color theme="0" tint="-0.1498458815271462"/>
      </right>
      <top style="thin">
        <color theme="0" tint="-0.1498458815271462"/>
      </top>
      <bottom style="thin">
        <color theme="0" tint="-0.1498458815271462"/>
      </bottom>
      <diagonal/>
    </border>
    <border>
      <left style="thin">
        <color theme="0" tint="-0.1498458815271462"/>
      </left>
      <right/>
      <top style="thin">
        <color theme="0" tint="-0.1498458815271462"/>
      </top>
      <bottom style="thin">
        <color theme="0" tint="-0.1498458815271462"/>
      </bottom>
      <diagonal/>
    </border>
    <border>
      <left/>
      <right/>
      <top/>
      <bottom style="thin">
        <color theme="0" tint="-0.14981536301767021"/>
      </bottom>
      <diagonal/>
    </border>
    <border>
      <left style="thin">
        <color rgb="FFCED5E0"/>
      </left>
      <right/>
      <top style="thin">
        <color rgb="FFCED5E0"/>
      </top>
      <bottom style="thin">
        <color rgb="FFCED5E0"/>
      </bottom>
      <diagonal/>
    </border>
    <border>
      <left/>
      <right style="thin">
        <color rgb="FFCED5E0"/>
      </right>
      <top style="thin">
        <color rgb="FFCED5E0"/>
      </top>
      <bottom style="thin">
        <color rgb="FFCED5E0"/>
      </bottom>
      <diagonal/>
    </border>
    <border>
      <left style="thin">
        <color rgb="FFCED5E0"/>
      </left>
      <right/>
      <top style="thin">
        <color rgb="FFCED5E0"/>
      </top>
      <bottom/>
      <diagonal/>
    </border>
    <border>
      <left/>
      <right/>
      <top style="thin">
        <color rgb="FFCED5E0"/>
      </top>
      <bottom/>
      <diagonal/>
    </border>
    <border>
      <left/>
      <right style="thin">
        <color rgb="FFCED5E0"/>
      </right>
      <top style="thin">
        <color rgb="FFCED5E0"/>
      </top>
      <bottom/>
      <diagonal/>
    </border>
    <border>
      <left style="thin">
        <color rgb="FFCED5E0"/>
      </left>
      <right/>
      <top/>
      <bottom/>
      <diagonal/>
    </border>
    <border>
      <left/>
      <right style="thin">
        <color rgb="FFCED5E0"/>
      </right>
      <top/>
      <bottom/>
      <diagonal/>
    </border>
    <border>
      <left style="thin">
        <color rgb="FFCED5E0"/>
      </left>
      <right/>
      <top style="thin">
        <color theme="1" tint="0.499984740745262"/>
      </top>
      <bottom style="thin">
        <color rgb="FFCED5E0"/>
      </bottom>
      <diagonal/>
    </border>
    <border>
      <left/>
      <right/>
      <top style="thin">
        <color theme="1" tint="0.499984740745262"/>
      </top>
      <bottom style="thin">
        <color rgb="FFCED5E0"/>
      </bottom>
      <diagonal/>
    </border>
    <border>
      <left/>
      <right style="thin">
        <color rgb="FFCED5E0"/>
      </right>
      <top style="thin">
        <color theme="1" tint="0.499984740745262"/>
      </top>
      <bottom style="thin">
        <color rgb="FFCED5E0"/>
      </bottom>
      <diagonal/>
    </border>
    <border>
      <left style="thin">
        <color theme="0" tint="-0.24994659260841701"/>
      </left>
      <right style="thin">
        <color rgb="FFCED5E0"/>
      </right>
      <top style="thin">
        <color theme="0" tint="-0.24994659260841701"/>
      </top>
      <bottom style="thin">
        <color theme="0" tint="-0.24994659260841701"/>
      </bottom>
      <diagonal/>
    </border>
    <border>
      <left style="thin">
        <color theme="0"/>
      </left>
      <right/>
      <top style="thin">
        <color theme="0" tint="-0.14996795556505021"/>
      </top>
      <bottom style="thin">
        <color theme="0" tint="-0.14996795556505021"/>
      </bottom>
      <diagonal/>
    </border>
    <border>
      <left/>
      <right style="thin">
        <color theme="0"/>
      </right>
      <top style="thin">
        <color theme="0" tint="-0.14996795556505021"/>
      </top>
      <bottom style="thin">
        <color theme="0" tint="-0.14996795556505021"/>
      </bottom>
      <diagonal/>
    </border>
    <border>
      <left/>
      <right/>
      <top/>
      <bottom style="thin">
        <color rgb="FFCED5E0"/>
      </bottom>
      <diagonal/>
    </border>
    <border>
      <left/>
      <right style="thin">
        <color rgb="FFCED5E0"/>
      </right>
      <top/>
      <bottom style="thin">
        <color rgb="FFCED5E0"/>
      </bottom>
      <diagonal/>
    </border>
    <border>
      <left/>
      <right style="thin">
        <color theme="0" tint="-4.9989318521683403E-2"/>
      </right>
      <top/>
      <bottom/>
      <diagonal/>
    </border>
    <border>
      <left/>
      <right/>
      <top/>
      <bottom style="thin">
        <color theme="0" tint="-4.9989318521683403E-2"/>
      </bottom>
      <diagonal/>
    </border>
    <border>
      <left/>
      <right/>
      <top style="thin">
        <color theme="0" tint="-4.9989318521683403E-2"/>
      </top>
      <bottom/>
      <diagonal/>
    </border>
    <border>
      <left style="thin">
        <color rgb="FF778BA9"/>
      </left>
      <right/>
      <top style="thin">
        <color rgb="FF778BA9"/>
      </top>
      <bottom/>
      <diagonal/>
    </border>
    <border>
      <left/>
      <right/>
      <top style="thin">
        <color rgb="FF778BA9"/>
      </top>
      <bottom/>
      <diagonal/>
    </border>
    <border>
      <left/>
      <right style="thin">
        <color rgb="FF778BA9"/>
      </right>
      <top style="thin">
        <color rgb="FF778BA9"/>
      </top>
      <bottom/>
      <diagonal/>
    </border>
    <border>
      <left style="thin">
        <color rgb="FF778BA9"/>
      </left>
      <right/>
      <top/>
      <bottom style="thin">
        <color rgb="FF778BA9"/>
      </bottom>
      <diagonal/>
    </border>
    <border>
      <left/>
      <right/>
      <top/>
      <bottom style="thin">
        <color rgb="FF778BA9"/>
      </bottom>
      <diagonal/>
    </border>
    <border>
      <left/>
      <right style="thin">
        <color rgb="FF778BA9"/>
      </right>
      <top/>
      <bottom style="thin">
        <color rgb="FF778BA9"/>
      </bottom>
      <diagonal/>
    </border>
    <border>
      <left/>
      <right style="thin">
        <color theme="0" tint="-4.9989318521683403E-2"/>
      </right>
      <top/>
      <bottom style="thin">
        <color theme="0" tint="-4.9989318521683403E-2"/>
      </bottom>
      <diagonal/>
    </border>
    <border>
      <left/>
      <right/>
      <top/>
      <bottom style="medium">
        <color theme="0"/>
      </bottom>
      <diagonal/>
    </border>
    <border>
      <left/>
      <right style="thin">
        <color theme="0"/>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right style="thin">
        <color theme="0"/>
      </right>
      <top/>
      <bottom style="thin">
        <color theme="0"/>
      </bottom>
      <diagonal/>
    </border>
    <border>
      <left style="medium">
        <color theme="0"/>
      </left>
      <right/>
      <top/>
      <bottom style="medium">
        <color theme="0"/>
      </bottom>
      <diagonal/>
    </border>
    <border>
      <left/>
      <right style="medium">
        <color theme="0"/>
      </right>
      <top/>
      <bottom style="medium">
        <color theme="0"/>
      </bottom>
      <diagonal/>
    </border>
    <border>
      <left/>
      <right style="medium">
        <color theme="0"/>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thin">
        <color theme="0"/>
      </left>
      <right style="thin">
        <color theme="0"/>
      </right>
      <top/>
      <bottom style="thin">
        <color theme="0"/>
      </bottom>
      <diagonal/>
    </border>
    <border>
      <left/>
      <right style="thin">
        <color rgb="FFCED5E0"/>
      </right>
      <top/>
      <bottom style="thin">
        <color theme="1" tint="0.499984740745262"/>
      </bottom>
      <diagonal/>
    </border>
    <border>
      <left style="thin">
        <color rgb="FFA2BED6"/>
      </left>
      <right/>
      <top/>
      <bottom/>
      <diagonal/>
    </border>
    <border>
      <left/>
      <right style="thin">
        <color rgb="FFA2BED6"/>
      </right>
      <top/>
      <bottom/>
      <diagonal/>
    </border>
    <border>
      <left style="thin">
        <color rgb="FFA2BED6"/>
      </left>
      <right/>
      <top/>
      <bottom style="thin">
        <color rgb="FFA2BED6"/>
      </bottom>
      <diagonal/>
    </border>
    <border>
      <left/>
      <right style="thin">
        <color rgb="FFA2BED6"/>
      </right>
      <top/>
      <bottom style="thin">
        <color rgb="FFA2BED6"/>
      </bottom>
      <diagonal/>
    </border>
    <border>
      <left style="thin">
        <color rgb="FFA2BED6"/>
      </left>
      <right/>
      <top style="thin">
        <color rgb="FFA2BED6"/>
      </top>
      <bottom/>
      <diagonal/>
    </border>
    <border>
      <left/>
      <right/>
      <top style="thin">
        <color rgb="FFA2BED6"/>
      </top>
      <bottom/>
      <diagonal/>
    </border>
    <border>
      <left/>
      <right style="thin">
        <color rgb="FFA2BED6"/>
      </right>
      <top style="thin">
        <color rgb="FFA2BED6"/>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top/>
      <bottom style="thin">
        <color rgb="FFA2BED6"/>
      </bottom>
      <diagonal/>
    </border>
    <border>
      <left style="medium">
        <color theme="0" tint="-0.24994659260841701"/>
      </left>
      <right style="medium">
        <color theme="0" tint="-0.24994659260841701"/>
      </right>
      <top/>
      <bottom style="medium">
        <color theme="0" tint="-0.24994659260841701"/>
      </bottom>
      <diagonal/>
    </border>
    <border>
      <left style="thin">
        <color theme="0" tint="-0.1498458815271462"/>
      </left>
      <right/>
      <top style="thin">
        <color theme="0" tint="-0.1498764000366222"/>
      </top>
      <bottom/>
      <diagonal/>
    </border>
    <border>
      <left/>
      <right/>
      <top style="thin">
        <color theme="0" tint="-0.1498764000366222"/>
      </top>
      <bottom/>
      <diagonal/>
    </border>
    <border>
      <left style="thin">
        <color theme="0" tint="-0.1498458815271462"/>
      </left>
      <right/>
      <top style="thin">
        <color theme="0" tint="-0.14996795556505021"/>
      </top>
      <bottom/>
      <diagonal/>
    </border>
    <border>
      <left/>
      <right/>
      <top/>
      <bottom style="thin">
        <color theme="0" tint="-0.14993743705557422"/>
      </bottom>
      <diagonal/>
    </border>
    <border>
      <left style="thin">
        <color theme="0" tint="-0.14990691854609822"/>
      </left>
      <right/>
      <top style="thin">
        <color theme="0" tint="-0.1498458815271462"/>
      </top>
      <bottom style="thin">
        <color theme="0" tint="-0.1498458815271462"/>
      </bottom>
      <diagonal/>
    </border>
    <border>
      <left style="thin">
        <color theme="0" tint="-0.14990691854609822"/>
      </left>
      <right style="thin">
        <color theme="0" tint="-0.1498458815271462"/>
      </right>
      <top style="thin">
        <color theme="0" tint="-0.1498458815271462"/>
      </top>
      <bottom style="thin">
        <color theme="0" tint="-0.1498458815271462"/>
      </bottom>
      <diagonal/>
    </border>
    <border>
      <left style="thin">
        <color theme="0" tint="-0.14990691854609822"/>
      </left>
      <right/>
      <top style="thin">
        <color theme="0" tint="-0.14981536301767021"/>
      </top>
      <bottom style="thin">
        <color theme="0" tint="-0.14981536301767021"/>
      </bottom>
      <diagonal/>
    </border>
    <border>
      <left style="thin">
        <color theme="0" tint="-0.14990691854609822"/>
      </left>
      <right style="thin">
        <color theme="0" tint="-0.14981536301767021"/>
      </right>
      <top style="thin">
        <color theme="0" tint="-0.14981536301767021"/>
      </top>
      <bottom style="thin">
        <color theme="0" tint="-0.14981536301767021"/>
      </bottom>
      <diagonal/>
    </border>
    <border>
      <left style="thin">
        <color theme="8" tint="0.79995117038483843"/>
      </left>
      <right/>
      <top style="thin">
        <color theme="8" tint="0.79995117038483843"/>
      </top>
      <bottom style="thin">
        <color theme="0" tint="-0.14993743705557422"/>
      </bottom>
      <diagonal/>
    </border>
    <border>
      <left/>
      <right/>
      <top style="thin">
        <color theme="8" tint="0.79995117038483843"/>
      </top>
      <bottom style="thin">
        <color theme="0" tint="-0.14993743705557422"/>
      </bottom>
      <diagonal/>
    </border>
    <border>
      <left/>
      <right style="thin">
        <color theme="8" tint="0.79992065187536243"/>
      </right>
      <top style="thin">
        <color theme="8" tint="0.79995117038483843"/>
      </top>
      <bottom style="thin">
        <color theme="0" tint="-0.14993743705557422"/>
      </bottom>
      <diagonal/>
    </border>
    <border>
      <left/>
      <right/>
      <top/>
      <bottom style="thin">
        <color theme="0" tint="-0.14990691854609822"/>
      </bottom>
      <diagonal/>
    </border>
    <border>
      <left/>
      <right/>
      <top style="thin">
        <color theme="0" tint="-0.1498458815271462"/>
      </top>
      <bottom style="thin">
        <color theme="0" tint="-0.1498458815271462"/>
      </bottom>
      <diagonal/>
    </border>
    <border>
      <left/>
      <right style="thin">
        <color theme="0" tint="-0.1498458815271462"/>
      </right>
      <top style="thin">
        <color theme="0" tint="-0.1498458815271462"/>
      </top>
      <bottom style="thin">
        <color theme="0" tint="-0.1498458815271462"/>
      </bottom>
      <diagonal/>
    </border>
    <border>
      <left/>
      <right/>
      <top/>
      <bottom style="thick">
        <color rgb="FFA2BED6"/>
      </bottom>
      <diagonal/>
    </border>
    <border>
      <left/>
      <right/>
      <top style="thin">
        <color theme="0" tint="-0.14993743705557422"/>
      </top>
      <bottom/>
      <diagonal/>
    </border>
    <border>
      <left/>
      <right style="thin">
        <color rgb="FFA2BED6"/>
      </right>
      <top style="dotted">
        <color theme="1" tint="0.499984740745262"/>
      </top>
      <bottom/>
      <diagonal/>
    </border>
    <border>
      <left style="dotted">
        <color theme="1" tint="0.499984740745262"/>
      </left>
      <right/>
      <top/>
      <bottom style="thin">
        <color rgb="FFA2BED6"/>
      </bottom>
      <diagonal/>
    </border>
    <border>
      <left style="thin">
        <color rgb="FFA2BED6"/>
      </left>
      <right/>
      <top style="thin">
        <color rgb="FFA2BED6"/>
      </top>
      <bottom style="thin">
        <color rgb="FFA2BED6"/>
      </bottom>
      <diagonal/>
    </border>
    <border>
      <left/>
      <right/>
      <top style="thin">
        <color rgb="FFA2BED6"/>
      </top>
      <bottom style="thin">
        <color rgb="FFA2BED6"/>
      </bottom>
      <diagonal/>
    </border>
    <border>
      <left/>
      <right style="thin">
        <color rgb="FFA2BED6"/>
      </right>
      <top style="thin">
        <color rgb="FFA2BED6"/>
      </top>
      <bottom style="thin">
        <color rgb="FFA2BED6"/>
      </bottom>
      <diagonal/>
    </border>
    <border>
      <left style="thin">
        <color rgb="FFA2BED6"/>
      </left>
      <right/>
      <top style="thin">
        <color rgb="FFA2BED6"/>
      </top>
      <bottom style="thin">
        <color theme="0" tint="-0.14996795556505021"/>
      </bottom>
      <diagonal/>
    </border>
    <border>
      <left/>
      <right/>
      <top style="thin">
        <color rgb="FFA2BED6"/>
      </top>
      <bottom style="thin">
        <color theme="0" tint="-0.14996795556505021"/>
      </bottom>
      <diagonal/>
    </border>
    <border>
      <left/>
      <right style="thin">
        <color rgb="FFA2BED6"/>
      </right>
      <top style="thin">
        <color rgb="FFA2BED6"/>
      </top>
      <bottom style="thin">
        <color theme="0" tint="-0.14996795556505021"/>
      </bottom>
      <diagonal/>
    </border>
    <border>
      <left/>
      <right style="thin">
        <color rgb="FFA2BED6"/>
      </right>
      <top style="thin">
        <color theme="8" tint="0.79998168889431442"/>
      </top>
      <bottom style="thin">
        <color theme="8" tint="0.79998168889431442"/>
      </bottom>
      <diagonal/>
    </border>
    <border>
      <left style="thin">
        <color rgb="FFA2BED6"/>
      </left>
      <right/>
      <top style="thin">
        <color theme="0" tint="-0.1498458815271462"/>
      </top>
      <bottom style="thin">
        <color theme="0" tint="-0.1498458815271462"/>
      </bottom>
      <diagonal/>
    </border>
    <border>
      <left style="thin">
        <color theme="0" tint="-0.14990691854609822"/>
      </left>
      <right style="thin">
        <color rgb="FFA2BED6"/>
      </right>
      <top style="thin">
        <color theme="0" tint="-0.1498458815271462"/>
      </top>
      <bottom style="thin">
        <color theme="0" tint="-0.1498458815271462"/>
      </bottom>
      <diagonal/>
    </border>
    <border>
      <left style="thin">
        <color rgb="FFA2BED6"/>
      </left>
      <right style="thin">
        <color theme="0"/>
      </right>
      <top style="thin">
        <color rgb="FFA2BED6"/>
      </top>
      <bottom/>
      <diagonal/>
    </border>
    <border>
      <left style="thin">
        <color theme="0"/>
      </left>
      <right style="thin">
        <color theme="0"/>
      </right>
      <top style="thin">
        <color rgb="FFA2BED6"/>
      </top>
      <bottom/>
      <diagonal/>
    </border>
    <border>
      <left style="thin">
        <color theme="0"/>
      </left>
      <right/>
      <top style="thin">
        <color rgb="FFA2BED6"/>
      </top>
      <bottom style="thin">
        <color theme="0"/>
      </bottom>
      <diagonal/>
    </border>
    <border>
      <left/>
      <right style="thin">
        <color theme="0"/>
      </right>
      <top style="thin">
        <color rgb="FFA2BED6"/>
      </top>
      <bottom style="thin">
        <color theme="0"/>
      </bottom>
      <diagonal/>
    </border>
    <border>
      <left style="thin">
        <color theme="0"/>
      </left>
      <right/>
      <top style="thin">
        <color rgb="FFA2BED6"/>
      </top>
      <bottom/>
      <diagonal/>
    </border>
    <border>
      <left style="thin">
        <color theme="0"/>
      </left>
      <right style="thin">
        <color rgb="FFA2BED6"/>
      </right>
      <top style="thin">
        <color rgb="FFA2BED6"/>
      </top>
      <bottom/>
      <diagonal/>
    </border>
    <border>
      <left style="thin">
        <color rgb="FFA2BED6"/>
      </left>
      <right style="thin">
        <color theme="0"/>
      </right>
      <top/>
      <bottom/>
      <diagonal/>
    </border>
    <border>
      <left style="thin">
        <color theme="0"/>
      </left>
      <right style="thin">
        <color rgb="FFA2BED6"/>
      </right>
      <top/>
      <bottom/>
      <diagonal/>
    </border>
    <border>
      <left style="thin">
        <color rgb="FFA2BED6"/>
      </left>
      <right/>
      <top/>
      <bottom style="thin">
        <color theme="6" tint="-0.24994659260841701"/>
      </bottom>
      <diagonal/>
    </border>
    <border>
      <left/>
      <right style="thin">
        <color rgb="FFA2BED6"/>
      </right>
      <top/>
      <bottom style="thin">
        <color theme="6" tint="-0.24994659260841701"/>
      </bottom>
      <diagonal/>
    </border>
    <border>
      <left style="thin">
        <color rgb="FFA2BED6"/>
      </left>
      <right/>
      <top style="thin">
        <color theme="6" tint="-0.24994659260841701"/>
      </top>
      <bottom/>
      <diagonal/>
    </border>
    <border>
      <left/>
      <right style="thin">
        <color rgb="FFA2BED6"/>
      </right>
      <top style="thin">
        <color theme="6" tint="-0.24994659260841701"/>
      </top>
      <bottom/>
      <diagonal/>
    </border>
    <border>
      <left/>
      <right style="thin">
        <color rgb="FFA2BED6"/>
      </right>
      <top style="dotted">
        <color theme="0"/>
      </top>
      <bottom/>
      <diagonal/>
    </border>
    <border>
      <left/>
      <right style="dotted">
        <color theme="1" tint="0.499984740745262"/>
      </right>
      <top/>
      <bottom style="thin">
        <color rgb="FFA2BED6"/>
      </bottom>
      <diagonal/>
    </border>
    <border>
      <left style="medium">
        <color theme="0"/>
      </left>
      <right/>
      <top style="thin">
        <color rgb="FFA2BED6"/>
      </top>
      <bottom/>
      <diagonal/>
    </border>
    <border>
      <left style="dotted">
        <color theme="0" tint="-0.24994659260841701"/>
      </left>
      <right/>
      <top style="thin">
        <color theme="0" tint="-0.14996795556505021"/>
      </top>
      <bottom/>
      <diagonal/>
    </border>
    <border>
      <left style="dotted">
        <color theme="0" tint="-0.24994659260841701"/>
      </left>
      <right/>
      <top style="dotted">
        <color theme="1" tint="0.499984740745262"/>
      </top>
      <bottom/>
      <diagonal/>
    </border>
    <border>
      <left style="dotted">
        <color theme="0" tint="-0.24994659260841701"/>
      </left>
      <right/>
      <top/>
      <bottom style="thin">
        <color rgb="FFA2BED6"/>
      </bottom>
      <diagonal/>
    </border>
    <border>
      <left style="medium">
        <color theme="0"/>
      </left>
      <right style="dotted">
        <color theme="0" tint="-0.24994659260841701"/>
      </right>
      <top/>
      <bottom/>
      <diagonal/>
    </border>
    <border>
      <left/>
      <right style="dotted">
        <color theme="1" tint="0.499984740745262"/>
      </right>
      <top/>
      <bottom style="thin">
        <color theme="1" tint="0.499984740745262"/>
      </bottom>
      <diagonal/>
    </border>
    <border>
      <left style="thin">
        <color rgb="FFA2BED6"/>
      </left>
      <right/>
      <top/>
      <bottom style="thin">
        <color theme="1" tint="0.499984740745262"/>
      </bottom>
      <diagonal/>
    </border>
    <border>
      <left/>
      <right style="thin">
        <color rgb="FFA2BED6"/>
      </right>
      <top/>
      <bottom style="thin">
        <color theme="1" tint="0.499984740745262"/>
      </bottom>
      <diagonal/>
    </border>
    <border>
      <left/>
      <right style="thin">
        <color rgb="FF9BAABF"/>
      </right>
      <top/>
      <bottom style="thin">
        <color rgb="FFA2BED6"/>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ck">
        <color theme="0"/>
      </left>
      <right style="thick">
        <color theme="0"/>
      </right>
      <top style="thick">
        <color theme="0"/>
      </top>
      <bottom style="thick">
        <color theme="0"/>
      </bottom>
      <diagonal/>
    </border>
    <border>
      <left style="dashed">
        <color theme="0"/>
      </left>
      <right style="dashed">
        <color theme="0"/>
      </right>
      <top style="dashed">
        <color theme="0"/>
      </top>
      <bottom style="dashed">
        <color theme="0"/>
      </bottom>
      <diagonal/>
    </border>
    <border>
      <left/>
      <right style="dashed">
        <color theme="0"/>
      </right>
      <top style="dashed">
        <color theme="0"/>
      </top>
      <bottom style="dashed">
        <color theme="0"/>
      </bottom>
      <diagonal/>
    </border>
    <border>
      <left/>
      <right style="dashed">
        <color theme="0" tint="-0.24994659260841701"/>
      </right>
      <top style="thin">
        <color theme="0" tint="-0.24994659260841701"/>
      </top>
      <bottom/>
      <diagonal/>
    </border>
    <border>
      <left/>
      <right style="dashed">
        <color theme="0" tint="-0.24994659260841701"/>
      </right>
      <top/>
      <bottom/>
      <diagonal/>
    </border>
    <border>
      <left style="dotted">
        <color theme="0" tint="-0.24994659260841701"/>
      </left>
      <right/>
      <top style="thin">
        <color theme="0" tint="-0.24994659260841701"/>
      </top>
      <bottom/>
      <diagonal/>
    </border>
    <border>
      <left style="dashed">
        <color theme="0"/>
      </left>
      <right/>
      <top style="dashed">
        <color theme="0"/>
      </top>
      <bottom style="dashed">
        <color theme="0"/>
      </bottom>
      <diagonal/>
    </border>
    <border>
      <left style="dotted">
        <color theme="0" tint="-0.24994659260841701"/>
      </left>
      <right/>
      <top/>
      <bottom style="thin">
        <color theme="0" tint="-0.24994659260841701"/>
      </bottom>
      <diagonal/>
    </border>
    <border>
      <left style="dashed">
        <color theme="0" tint="-0.24994659260841701"/>
      </left>
      <right/>
      <top style="dashed">
        <color theme="0" tint="-0.24994659260841701"/>
      </top>
      <bottom/>
      <diagonal/>
    </border>
    <border>
      <left style="dotted">
        <color theme="0" tint="-0.24994659260841701"/>
      </left>
      <right/>
      <top style="dashed">
        <color theme="0" tint="-0.24994659260841701"/>
      </top>
      <bottom/>
      <diagonal/>
    </border>
    <border>
      <left/>
      <right/>
      <top style="dashed">
        <color theme="0" tint="-0.24994659260841701"/>
      </top>
      <bottom/>
      <diagonal/>
    </border>
    <border>
      <left/>
      <right style="dashed">
        <color theme="0" tint="-0.24994659260841701"/>
      </right>
      <top style="dashed">
        <color theme="0" tint="-0.24994659260841701"/>
      </top>
      <bottom/>
      <diagonal/>
    </border>
    <border>
      <left style="dashed">
        <color theme="0" tint="-0.24994659260841701"/>
      </left>
      <right/>
      <top/>
      <bottom style="dashed">
        <color theme="0" tint="-0.24994659260841701"/>
      </bottom>
      <diagonal/>
    </border>
    <border>
      <left style="dotted">
        <color theme="0" tint="-0.24994659260841701"/>
      </left>
      <right/>
      <top/>
      <bottom style="dashed">
        <color theme="0" tint="-0.24994659260841701"/>
      </bottom>
      <diagonal/>
    </border>
    <border>
      <left/>
      <right/>
      <top/>
      <bottom style="dashed">
        <color theme="0" tint="-0.24994659260841701"/>
      </bottom>
      <diagonal/>
    </border>
    <border>
      <left/>
      <right style="dashed">
        <color theme="0" tint="-0.24994659260841701"/>
      </right>
      <top/>
      <bottom style="dashed">
        <color theme="0" tint="-0.24994659260841701"/>
      </bottom>
      <diagonal/>
    </border>
    <border>
      <left/>
      <right style="dashed">
        <color theme="0" tint="-0.24994659260841701"/>
      </right>
      <top/>
      <bottom style="thin">
        <color theme="0" tint="-0.24994659260841701"/>
      </bottom>
      <diagonal/>
    </border>
    <border>
      <left style="thin">
        <color theme="0"/>
      </left>
      <right style="thin">
        <color theme="0" tint="-0.24994659260841701"/>
      </right>
      <top style="thin">
        <color theme="0" tint="-0.24994659260841701"/>
      </top>
      <bottom style="thin">
        <color theme="0" tint="-0.24994659260841701"/>
      </bottom>
      <diagonal/>
    </border>
    <border>
      <left style="dashed">
        <color theme="0" tint="-0.24994659260841701"/>
      </left>
      <right/>
      <top style="dashed">
        <color theme="0" tint="-0.24994659260841701"/>
      </top>
      <bottom style="dashed">
        <color theme="0" tint="-0.24994659260841701"/>
      </bottom>
      <diagonal/>
    </border>
    <border>
      <left style="dotted">
        <color theme="0" tint="-0.24994659260841701"/>
      </left>
      <right/>
      <top style="dashed">
        <color theme="0" tint="-0.24994659260841701"/>
      </top>
      <bottom style="dashed">
        <color theme="0" tint="-0.24994659260841701"/>
      </bottom>
      <diagonal/>
    </border>
    <border>
      <left/>
      <right/>
      <top style="dashed">
        <color theme="0" tint="-0.24994659260841701"/>
      </top>
      <bottom style="dashed">
        <color theme="0" tint="-0.24994659260841701"/>
      </bottom>
      <diagonal/>
    </border>
    <border>
      <left/>
      <right style="dashed">
        <color theme="0" tint="-0.24994659260841701"/>
      </right>
      <top style="dashed">
        <color theme="0" tint="-0.24994659260841701"/>
      </top>
      <bottom style="dashed">
        <color theme="0" tint="-0.24994659260841701"/>
      </bottom>
      <diagonal/>
    </border>
    <border>
      <left/>
      <right style="dashed">
        <color theme="0"/>
      </right>
      <top style="dashed">
        <color theme="0" tint="-0.24994659260841701"/>
      </top>
      <bottom style="dashed">
        <color theme="0" tint="-0.24994659260841701"/>
      </bottom>
      <diagonal/>
    </border>
    <border>
      <left style="dashed">
        <color theme="0"/>
      </left>
      <right style="dashed">
        <color theme="0"/>
      </right>
      <top style="dashed">
        <color theme="0" tint="-0.24994659260841701"/>
      </top>
      <bottom style="dashed">
        <color theme="0" tint="-0.24994659260841701"/>
      </bottom>
      <diagonal/>
    </border>
    <border>
      <left style="dashed">
        <color theme="0"/>
      </left>
      <right style="dashed">
        <color theme="0" tint="-0.24994659260841701"/>
      </right>
      <top style="dashed">
        <color theme="0" tint="-0.24994659260841701"/>
      </top>
      <bottom style="dashed">
        <color theme="0" tint="-0.24994659260841701"/>
      </bottom>
      <diagonal/>
    </border>
    <border>
      <left style="dotted">
        <color theme="0" tint="-0.24994659260841701"/>
      </left>
      <right style="dashed">
        <color theme="0" tint="-0.24994659260841701"/>
      </right>
      <top/>
      <bottom/>
      <diagonal/>
    </border>
    <border>
      <left style="dashed">
        <color theme="0" tint="-0.24994659260841701"/>
      </left>
      <right/>
      <top style="thin">
        <color theme="0" tint="-0.24994659260841701"/>
      </top>
      <bottom/>
      <diagonal/>
    </border>
    <border>
      <left style="dashed">
        <color theme="0" tint="-0.24994659260841701"/>
      </left>
      <right/>
      <top/>
      <bottom/>
      <diagonal/>
    </border>
    <border>
      <left style="dashed">
        <color theme="0" tint="-0.24994659260841701"/>
      </left>
      <right/>
      <top/>
      <bottom style="thin">
        <color theme="0" tint="-0.24994659260841701"/>
      </bottom>
      <diagonal/>
    </border>
    <border>
      <left style="dotted">
        <color theme="0" tint="-0.24994659260841701"/>
      </left>
      <right style="dashed">
        <color theme="0" tint="-0.24994659260841701"/>
      </right>
      <top style="dashed">
        <color theme="0" tint="-0.24994659260841701"/>
      </top>
      <bottom style="dashed">
        <color theme="0" tint="-0.24994659260841701"/>
      </bottom>
      <diagonal/>
    </border>
    <border>
      <left style="dotted">
        <color theme="0" tint="-0.24994659260841701"/>
      </left>
      <right style="dashed">
        <color theme="0" tint="-0.24994659260841701"/>
      </right>
      <top style="dashed">
        <color theme="0" tint="-0.24994659260841701"/>
      </top>
      <bottom/>
      <diagonal/>
    </border>
    <border>
      <left style="dotted">
        <color theme="0" tint="-0.24994659260841701"/>
      </left>
      <right style="dashed">
        <color theme="0" tint="-0.24994659260841701"/>
      </right>
      <top/>
      <bottom style="dashed">
        <color theme="0" tint="-0.24994659260841701"/>
      </bottom>
      <diagonal/>
    </border>
    <border>
      <left style="dotted">
        <color theme="0" tint="-0.24994659260841701"/>
      </left>
      <right style="dashed">
        <color theme="0" tint="-0.24994659260841701"/>
      </right>
      <top/>
      <bottom style="thin">
        <color theme="0" tint="-0.24994659260841701"/>
      </bottom>
      <diagonal/>
    </border>
    <border>
      <left style="dashed">
        <color theme="0" tint="-0.24994659260841701"/>
      </left>
      <right style="dashed">
        <color theme="0" tint="-0.24994659260841701"/>
      </right>
      <top style="thin">
        <color theme="0" tint="-0.24994659260841701"/>
      </top>
      <bottom/>
      <diagonal/>
    </border>
    <border>
      <left style="dashed">
        <color theme="0" tint="-0.24994659260841701"/>
      </left>
      <right style="dashed">
        <color theme="0" tint="-0.24994659260841701"/>
      </right>
      <top/>
      <bottom/>
      <diagonal/>
    </border>
    <border>
      <left style="dashed">
        <color theme="0" tint="-0.24994659260841701"/>
      </left>
      <right style="dashed">
        <color theme="0" tint="-0.24994659260841701"/>
      </right>
      <top/>
      <bottom style="thin">
        <color theme="0" tint="-0.24994659260841701"/>
      </bottom>
      <diagonal/>
    </border>
    <border>
      <left style="thin">
        <color theme="0" tint="-0.24994659260841701"/>
      </left>
      <right style="thin">
        <color theme="0" tint="-0.24994659260841701"/>
      </right>
      <top style="thin">
        <color theme="0"/>
      </top>
      <bottom/>
      <diagonal/>
    </border>
    <border>
      <left style="dashed">
        <color theme="0"/>
      </left>
      <right style="dashed">
        <color theme="0"/>
      </right>
      <top/>
      <bottom style="dashed">
        <color theme="0"/>
      </bottom>
      <diagonal/>
    </border>
    <border>
      <left style="dashed">
        <color theme="0"/>
      </left>
      <right style="dashed">
        <color theme="0"/>
      </right>
      <top/>
      <bottom/>
      <diagonal/>
    </border>
    <border>
      <left style="dashed">
        <color theme="0" tint="-0.24994659260841701"/>
      </left>
      <right style="dashed">
        <color theme="0" tint="-0.24994659260841701"/>
      </right>
      <top style="dashed">
        <color theme="0" tint="-0.24994659260841701"/>
      </top>
      <bottom/>
      <diagonal/>
    </border>
    <border>
      <left style="dashed">
        <color theme="0" tint="-0.24994659260841701"/>
      </left>
      <right style="dashed">
        <color theme="0" tint="-0.24994659260841701"/>
      </right>
      <top/>
      <bottom style="dashed">
        <color theme="0" tint="-0.24994659260841701"/>
      </bottom>
      <diagonal/>
    </border>
    <border>
      <left style="thin">
        <color rgb="FFA2BED6"/>
      </left>
      <right/>
      <top style="thin">
        <color theme="0" tint="-0.24994659260841701"/>
      </top>
      <bottom style="thin">
        <color rgb="FFA2BED6"/>
      </bottom>
      <diagonal/>
    </border>
    <border>
      <left/>
      <right/>
      <top style="thin">
        <color theme="0" tint="-0.24994659260841701"/>
      </top>
      <bottom style="thin">
        <color rgb="FFA2BED6"/>
      </bottom>
      <diagonal/>
    </border>
    <border>
      <left/>
      <right style="thin">
        <color rgb="FFA2BED6"/>
      </right>
      <top style="thin">
        <color theme="0" tint="-0.24994659260841701"/>
      </top>
      <bottom style="thin">
        <color rgb="FFA2BED6"/>
      </bottom>
      <diagonal/>
    </border>
    <border>
      <left style="thin">
        <color theme="0" tint="-4.9989318521683403E-2"/>
      </left>
      <right/>
      <top style="thin">
        <color theme="0" tint="-4.9989318521683403E-2"/>
      </top>
      <bottom style="thin">
        <color theme="0" tint="-4.9989318521683403E-2"/>
      </bottom>
      <diagonal/>
    </border>
    <border>
      <left style="thin">
        <color theme="0" tint="-4.9989318521683403E-2"/>
      </left>
      <right/>
      <top/>
      <bottom/>
      <diagonal/>
    </border>
    <border>
      <left style="thin">
        <color theme="0" tint="-4.9989318521683403E-2"/>
      </left>
      <right style="dashed">
        <color theme="0"/>
      </right>
      <top style="dashed">
        <color theme="0"/>
      </top>
      <bottom style="dashed">
        <color theme="0"/>
      </bottom>
      <diagonal/>
    </border>
    <border>
      <left/>
      <right style="thin">
        <color theme="0" tint="-4.9989318521683403E-2"/>
      </right>
      <top style="dashed">
        <color theme="0"/>
      </top>
      <bottom style="dashed">
        <color theme="0"/>
      </bottom>
      <diagonal/>
    </border>
    <border>
      <left style="thin">
        <color theme="0" tint="-4.9989318521683403E-2"/>
      </left>
      <right style="dashed">
        <color theme="0"/>
      </right>
      <top/>
      <bottom/>
      <diagonal/>
    </border>
    <border>
      <left style="dashed">
        <color theme="0"/>
      </left>
      <right style="thin">
        <color theme="0" tint="-4.9989318521683403E-2"/>
      </right>
      <top style="dashed">
        <color theme="0"/>
      </top>
      <bottom style="dashed">
        <color theme="0"/>
      </bottom>
      <diagonal/>
    </border>
    <border>
      <left style="thin">
        <color theme="0" tint="-4.9989318521683403E-2"/>
      </left>
      <right/>
      <top style="dashed">
        <color theme="0" tint="-0.24994659260841701"/>
      </top>
      <bottom/>
      <diagonal/>
    </border>
    <border>
      <left/>
      <right style="thin">
        <color theme="0" tint="-4.9989318521683403E-2"/>
      </right>
      <top style="dashed">
        <color theme="0" tint="-0.24994659260841701"/>
      </top>
      <bottom/>
      <diagonal/>
    </border>
    <border>
      <left style="thin">
        <color theme="0" tint="-4.9989318521683403E-2"/>
      </left>
      <right/>
      <top/>
      <bottom style="dashed">
        <color theme="0" tint="-0.24994659260841701"/>
      </bottom>
      <diagonal/>
    </border>
    <border>
      <left/>
      <right style="thin">
        <color theme="0" tint="-4.9989318521683403E-2"/>
      </right>
      <top/>
      <bottom style="dashed">
        <color theme="0" tint="-0.24994659260841701"/>
      </bottom>
      <diagonal/>
    </border>
    <border>
      <left style="thin">
        <color theme="0" tint="-4.9989318521683403E-2"/>
      </left>
      <right/>
      <top style="thin">
        <color theme="0" tint="-0.24994659260841701"/>
      </top>
      <bottom style="thin">
        <color theme="0" tint="-0.24994659260841701"/>
      </bottom>
      <diagonal/>
    </border>
    <border>
      <left/>
      <right style="thin">
        <color theme="0" tint="-4.9989318521683403E-2"/>
      </right>
      <top style="thin">
        <color theme="0" tint="-0.24994659260841701"/>
      </top>
      <bottom style="thin">
        <color theme="0" tint="-0.24994659260841701"/>
      </bottom>
      <diagonal/>
    </border>
    <border>
      <left style="thin">
        <color theme="0" tint="-4.9989318521683403E-2"/>
      </left>
      <right/>
      <top style="dotted">
        <color theme="1" tint="0.499984740745262"/>
      </top>
      <bottom/>
      <diagonal/>
    </border>
    <border>
      <left/>
      <right style="thin">
        <color theme="0" tint="-4.9989318521683403E-2"/>
      </right>
      <top style="dotted">
        <color theme="1" tint="0.499984740745262"/>
      </top>
      <bottom/>
      <diagonal/>
    </border>
    <border>
      <left style="thin">
        <color theme="0" tint="-4.9989318521683403E-2"/>
      </left>
      <right/>
      <top style="thin">
        <color theme="0" tint="-0.24994659260841701"/>
      </top>
      <bottom style="thin">
        <color theme="0" tint="-4.9989318521683403E-2"/>
      </bottom>
      <diagonal/>
    </border>
    <border>
      <left/>
      <right/>
      <top style="thin">
        <color theme="0" tint="-0.24994659260841701"/>
      </top>
      <bottom style="thin">
        <color theme="0" tint="-4.9989318521683403E-2"/>
      </bottom>
      <diagonal/>
    </border>
    <border>
      <left/>
      <right style="thin">
        <color theme="0" tint="-4.9989318521683403E-2"/>
      </right>
      <top style="thin">
        <color theme="0" tint="-0.24994659260841701"/>
      </top>
      <bottom style="thin">
        <color theme="0" tint="-4.9989318521683403E-2"/>
      </bottom>
      <diagonal/>
    </border>
    <border>
      <left style="thin">
        <color theme="0" tint="-0.14993743705557422"/>
      </left>
      <right/>
      <top/>
      <bottom/>
      <diagonal/>
    </border>
    <border>
      <left/>
      <right style="thin">
        <color theme="0" tint="-0.14990691854609822"/>
      </right>
      <top/>
      <bottom/>
      <diagonal/>
    </border>
    <border>
      <left/>
      <right style="thin">
        <color rgb="FFA2BED6"/>
      </right>
      <top/>
      <bottom style="thin">
        <color theme="0" tint="-0.24994659260841701"/>
      </bottom>
      <diagonal/>
    </border>
    <border>
      <left style="medium">
        <color rgb="FFA2BED6"/>
      </left>
      <right/>
      <top/>
      <bottom/>
      <diagonal/>
    </border>
    <border>
      <left/>
      <right style="medium">
        <color rgb="FFA2BED6"/>
      </right>
      <top/>
      <bottom/>
      <diagonal/>
    </border>
    <border>
      <left style="medium">
        <color rgb="FFA2BED6"/>
      </left>
      <right/>
      <top style="thin">
        <color rgb="FFA2BED6"/>
      </top>
      <bottom/>
      <diagonal/>
    </border>
    <border>
      <left/>
      <right style="medium">
        <color rgb="FFA2BED6"/>
      </right>
      <top style="thin">
        <color rgb="FFA2BED6"/>
      </top>
      <bottom/>
      <diagonal/>
    </border>
    <border>
      <left style="medium">
        <color rgb="FFA2BED6"/>
      </left>
      <right/>
      <top/>
      <bottom style="thin">
        <color rgb="FFA2BED6"/>
      </bottom>
      <diagonal/>
    </border>
    <border>
      <left/>
      <right style="medium">
        <color rgb="FFA2BED6"/>
      </right>
      <top/>
      <bottom style="thin">
        <color rgb="FFA2BED6"/>
      </bottom>
      <diagonal/>
    </border>
    <border>
      <left style="medium">
        <color rgb="FFA2BED6"/>
      </left>
      <right/>
      <top/>
      <bottom style="medium">
        <color rgb="FFA2BED6"/>
      </bottom>
      <diagonal/>
    </border>
    <border>
      <left/>
      <right/>
      <top/>
      <bottom style="medium">
        <color rgb="FFA2BED6"/>
      </bottom>
      <diagonal/>
    </border>
    <border>
      <left/>
      <right style="medium">
        <color rgb="FFA2BED6"/>
      </right>
      <top/>
      <bottom style="medium">
        <color rgb="FFA2BED6"/>
      </bottom>
      <diagonal/>
    </border>
    <border>
      <left style="medium">
        <color rgb="FFA2BED6"/>
      </left>
      <right/>
      <top style="thin">
        <color rgb="FFD3E0ED"/>
      </top>
      <bottom/>
      <diagonal/>
    </border>
    <border>
      <left/>
      <right style="medium">
        <color rgb="FFA2BED6"/>
      </right>
      <top style="thin">
        <color rgb="FFD3E0ED"/>
      </top>
      <bottom/>
      <diagonal/>
    </border>
    <border>
      <left style="medium">
        <color rgb="FFA2BED6"/>
      </left>
      <right/>
      <top/>
      <bottom style="thin">
        <color rgb="FFD3E0ED"/>
      </bottom>
      <diagonal/>
    </border>
    <border>
      <left/>
      <right style="medium">
        <color rgb="FFA2BED6"/>
      </right>
      <top/>
      <bottom style="thin">
        <color rgb="FFD3E0ED"/>
      </bottom>
      <diagonal/>
    </border>
    <border>
      <left style="medium">
        <color rgb="FFA2BED6"/>
      </left>
      <right/>
      <top style="thin">
        <color rgb="FFA2BED6"/>
      </top>
      <bottom style="medium">
        <color rgb="FFA2BED6"/>
      </bottom>
      <diagonal/>
    </border>
    <border>
      <left/>
      <right/>
      <top style="thin">
        <color rgb="FFA2BED6"/>
      </top>
      <bottom style="medium">
        <color rgb="FFA2BED6"/>
      </bottom>
      <diagonal/>
    </border>
    <border>
      <left/>
      <right style="medium">
        <color rgb="FFA2BED6"/>
      </right>
      <top style="thin">
        <color rgb="FFA2BED6"/>
      </top>
      <bottom style="medium">
        <color rgb="FFA2BED6"/>
      </bottom>
      <diagonal/>
    </border>
    <border>
      <left/>
      <right style="thin">
        <color theme="0" tint="-0.14993743705557422"/>
      </right>
      <top/>
      <bottom/>
      <diagonal/>
    </border>
    <border>
      <left style="medium">
        <color rgb="FFA2BED6"/>
      </left>
      <right/>
      <top style="medium">
        <color rgb="FFA2BED6"/>
      </top>
      <bottom style="thin">
        <color theme="0" tint="-0.24994659260841701"/>
      </bottom>
      <diagonal/>
    </border>
    <border>
      <left/>
      <right/>
      <top style="medium">
        <color rgb="FFA2BED6"/>
      </top>
      <bottom style="thin">
        <color theme="0" tint="-0.24994659260841701"/>
      </bottom>
      <diagonal/>
    </border>
    <border>
      <left/>
      <right style="medium">
        <color rgb="FFA2BED6"/>
      </right>
      <top style="medium">
        <color rgb="FFA2BED6"/>
      </top>
      <bottom style="thin">
        <color theme="0" tint="-0.24994659260841701"/>
      </bottom>
      <diagonal/>
    </border>
    <border>
      <left style="thin">
        <color theme="0" tint="-0.14993743705557422"/>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3743705557422"/>
      </left>
      <right/>
      <top/>
      <bottom style="thin">
        <color theme="0" tint="-0.14993743705557422"/>
      </bottom>
      <diagonal/>
    </border>
    <border>
      <left/>
      <right style="thin">
        <color theme="0" tint="-0.14993743705557422"/>
      </right>
      <top/>
      <bottom style="thin">
        <color theme="0" tint="-0.14993743705557422"/>
      </bottom>
      <diagonal/>
    </border>
    <border>
      <left style="thin">
        <color theme="0" tint="-0.14993743705557422"/>
      </left>
      <right/>
      <top/>
      <bottom style="thin">
        <color theme="0"/>
      </bottom>
      <diagonal/>
    </border>
    <border>
      <left/>
      <right style="medium">
        <color theme="0"/>
      </right>
      <top/>
      <bottom style="thin">
        <color theme="0"/>
      </bottom>
      <diagonal/>
    </border>
    <border>
      <left style="thin">
        <color theme="0" tint="-0.14993743705557422"/>
      </left>
      <right/>
      <top style="thin">
        <color theme="0"/>
      </top>
      <bottom style="thin">
        <color theme="0"/>
      </bottom>
      <diagonal/>
    </border>
    <border>
      <left/>
      <right style="medium">
        <color theme="0"/>
      </right>
      <top style="thin">
        <color theme="0"/>
      </top>
      <bottom style="thin">
        <color theme="0"/>
      </bottom>
      <diagonal/>
    </border>
    <border>
      <left style="medium">
        <color theme="0"/>
      </left>
      <right/>
      <top style="medium">
        <color theme="0"/>
      </top>
      <bottom style="thin">
        <color theme="0"/>
      </bottom>
      <diagonal/>
    </border>
    <border>
      <left/>
      <right/>
      <top style="medium">
        <color theme="0"/>
      </top>
      <bottom style="thin">
        <color theme="0"/>
      </bottom>
      <diagonal/>
    </border>
    <border>
      <left/>
      <right style="medium">
        <color theme="0"/>
      </right>
      <top style="medium">
        <color theme="0"/>
      </top>
      <bottom style="thin">
        <color theme="0"/>
      </bottom>
      <diagonal/>
    </border>
    <border>
      <left style="medium">
        <color theme="0"/>
      </left>
      <right/>
      <top style="thin">
        <color theme="0"/>
      </top>
      <bottom style="medium">
        <color theme="0"/>
      </bottom>
      <diagonal/>
    </border>
    <border>
      <left/>
      <right/>
      <top style="thin">
        <color theme="0"/>
      </top>
      <bottom style="medium">
        <color theme="0"/>
      </bottom>
      <diagonal/>
    </border>
    <border>
      <left/>
      <right style="medium">
        <color theme="0"/>
      </right>
      <top style="thin">
        <color theme="0"/>
      </top>
      <bottom style="medium">
        <color theme="0"/>
      </bottom>
      <diagonal/>
    </border>
    <border>
      <left/>
      <right style="medium">
        <color theme="0"/>
      </right>
      <top style="medium">
        <color theme="0"/>
      </top>
      <bottom style="medium">
        <color theme="0"/>
      </bottom>
      <diagonal/>
    </border>
    <border>
      <left style="medium">
        <color theme="0"/>
      </left>
      <right/>
      <top style="thin">
        <color theme="0"/>
      </top>
      <bottom style="thin">
        <color theme="0"/>
      </bottom>
      <diagonal/>
    </border>
    <border>
      <left style="medium">
        <color theme="0"/>
      </left>
      <right/>
      <top/>
      <bottom/>
      <diagonal/>
    </border>
    <border>
      <left/>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A2BED6"/>
      </left>
      <right/>
      <top style="medium">
        <color rgb="FFA2BED6"/>
      </top>
      <bottom/>
      <diagonal/>
    </border>
    <border>
      <left/>
      <right/>
      <top style="medium">
        <color rgb="FFA2BED6"/>
      </top>
      <bottom/>
      <diagonal/>
    </border>
    <border>
      <left/>
      <right style="medium">
        <color rgb="FFA2BED6"/>
      </right>
      <top style="medium">
        <color rgb="FFA2BED6"/>
      </top>
      <bottom/>
      <diagonal/>
    </border>
    <border>
      <left style="medium">
        <color rgb="FF66A68F"/>
      </left>
      <right/>
      <top style="medium">
        <color rgb="FF66A68F"/>
      </top>
      <bottom/>
      <diagonal/>
    </border>
    <border>
      <left/>
      <right/>
      <top style="medium">
        <color rgb="FF66A68F"/>
      </top>
      <bottom/>
      <diagonal/>
    </border>
    <border>
      <left/>
      <right style="medium">
        <color rgb="FF66A68F"/>
      </right>
      <top style="medium">
        <color rgb="FF66A68F"/>
      </top>
      <bottom/>
      <diagonal/>
    </border>
    <border>
      <left style="medium">
        <color rgb="FF66A68F"/>
      </left>
      <right/>
      <top/>
      <bottom/>
      <diagonal/>
    </border>
    <border>
      <left/>
      <right style="medium">
        <color rgb="FF66A68F"/>
      </right>
      <top/>
      <bottom/>
      <diagonal/>
    </border>
    <border>
      <left style="medium">
        <color rgb="FF66A68F"/>
      </left>
      <right/>
      <top/>
      <bottom style="medium">
        <color rgb="FF66A68F"/>
      </bottom>
      <diagonal/>
    </border>
    <border>
      <left/>
      <right/>
      <top/>
      <bottom style="medium">
        <color rgb="FF66A68F"/>
      </bottom>
      <diagonal/>
    </border>
    <border>
      <left/>
      <right style="medium">
        <color rgb="FF66A68F"/>
      </right>
      <top/>
      <bottom style="medium">
        <color rgb="FF66A68F"/>
      </bottom>
      <diagonal/>
    </border>
    <border>
      <left style="medium">
        <color theme="8" tint="0.79992065187536243"/>
      </left>
      <right/>
      <top style="medium">
        <color theme="8" tint="0.79992065187536243"/>
      </top>
      <bottom style="medium">
        <color theme="8" tint="0.79992065187536243"/>
      </bottom>
      <diagonal/>
    </border>
    <border>
      <left/>
      <right/>
      <top style="medium">
        <color theme="8" tint="0.79992065187536243"/>
      </top>
      <bottom style="medium">
        <color theme="8" tint="0.79992065187536243"/>
      </bottom>
      <diagonal/>
    </border>
    <border>
      <left/>
      <right style="medium">
        <color theme="8" tint="0.79992065187536243"/>
      </right>
      <top style="medium">
        <color theme="8" tint="0.79992065187536243"/>
      </top>
      <bottom style="medium">
        <color theme="8" tint="0.79992065187536243"/>
      </bottom>
      <diagonal/>
    </border>
    <border>
      <left style="thin">
        <color theme="3" tint="0.39988402966399123"/>
      </left>
      <right/>
      <top style="thin">
        <color theme="3" tint="0.39988402966399123"/>
      </top>
      <bottom style="thin">
        <color theme="3" tint="0.39988402966399123"/>
      </bottom>
      <diagonal/>
    </border>
    <border>
      <left/>
      <right/>
      <top style="thin">
        <color theme="3" tint="0.39988402966399123"/>
      </top>
      <bottom style="thin">
        <color theme="3" tint="0.39988402966399123"/>
      </bottom>
      <diagonal/>
    </border>
    <border>
      <left/>
      <right style="thin">
        <color theme="3" tint="0.39988402966399123"/>
      </right>
      <top style="thin">
        <color theme="3" tint="0.39988402966399123"/>
      </top>
      <bottom style="thin">
        <color theme="3" tint="0.39988402966399123"/>
      </bottom>
      <diagonal/>
    </border>
    <border>
      <left/>
      <right/>
      <top style="thin">
        <color theme="0"/>
      </top>
      <bottom style="dotted">
        <color theme="1" tint="0.499984740745262"/>
      </bottom>
      <diagonal/>
    </border>
    <border>
      <left/>
      <right/>
      <top style="thin">
        <color theme="1" tint="0.499984740745262"/>
      </top>
      <bottom style="thin">
        <color theme="0"/>
      </bottom>
      <diagonal/>
    </border>
    <border>
      <left/>
      <right style="thin">
        <color theme="1" tint="0.34998626667073579"/>
      </right>
      <top/>
      <bottom/>
      <diagonal/>
    </border>
    <border>
      <left/>
      <right/>
      <top style="thin">
        <color theme="0"/>
      </top>
      <bottom style="thin">
        <color theme="1" tint="0.34998626667073579"/>
      </bottom>
      <diagonal/>
    </border>
    <border>
      <left style="thin">
        <color theme="1" tint="0.34998626667073579"/>
      </left>
      <right/>
      <top/>
      <bottom style="thin">
        <color theme="0"/>
      </bottom>
      <diagonal/>
    </border>
    <border>
      <left style="thin">
        <color theme="5" tint="0.39985351115451523"/>
      </left>
      <right/>
      <top style="thin">
        <color theme="5" tint="0.39985351115451523"/>
      </top>
      <bottom/>
      <diagonal/>
    </border>
    <border>
      <left/>
      <right/>
      <top style="thin">
        <color theme="5" tint="0.39985351115451523"/>
      </top>
      <bottom/>
      <diagonal/>
    </border>
    <border>
      <left/>
      <right style="thin">
        <color theme="5" tint="0.39985351115451523"/>
      </right>
      <top style="thin">
        <color theme="5" tint="0.39985351115451523"/>
      </top>
      <bottom/>
      <diagonal/>
    </border>
    <border>
      <left style="thin">
        <color theme="5" tint="0.39985351115451523"/>
      </left>
      <right/>
      <top/>
      <bottom style="thin">
        <color theme="5" tint="0.39985351115451523"/>
      </bottom>
      <diagonal/>
    </border>
    <border>
      <left/>
      <right/>
      <top/>
      <bottom style="thin">
        <color theme="5" tint="0.39985351115451523"/>
      </bottom>
      <diagonal/>
    </border>
    <border>
      <left/>
      <right style="thin">
        <color theme="5" tint="0.39985351115451523"/>
      </right>
      <top/>
      <bottom style="thin">
        <color theme="5" tint="0.39985351115451523"/>
      </bottom>
      <diagonal/>
    </border>
    <border>
      <left style="thin">
        <color theme="5" tint="0.39979247413556324"/>
      </left>
      <right/>
      <top style="thin">
        <color theme="5" tint="0.39979247413556324"/>
      </top>
      <bottom/>
      <diagonal/>
    </border>
    <border>
      <left/>
      <right/>
      <top style="thin">
        <color theme="5" tint="0.39979247413556324"/>
      </top>
      <bottom/>
      <diagonal/>
    </border>
    <border>
      <left/>
      <right style="thin">
        <color theme="5" tint="0.39979247413556324"/>
      </right>
      <top style="thin">
        <color theme="5" tint="0.39979247413556324"/>
      </top>
      <bottom/>
      <diagonal/>
    </border>
    <border>
      <left style="thin">
        <color theme="5" tint="0.39979247413556324"/>
      </left>
      <right/>
      <top/>
      <bottom style="thin">
        <color theme="5" tint="0.39979247413556324"/>
      </bottom>
      <diagonal/>
    </border>
    <border>
      <left/>
      <right/>
      <top/>
      <bottom style="thin">
        <color theme="5" tint="0.39979247413556324"/>
      </bottom>
      <diagonal/>
    </border>
    <border>
      <left/>
      <right style="thin">
        <color theme="5" tint="0.39979247413556324"/>
      </right>
      <top/>
      <bottom style="thin">
        <color theme="5" tint="0.39979247413556324"/>
      </bottom>
      <diagonal/>
    </border>
    <border>
      <left/>
      <right style="thin">
        <color rgb="FF9BAABF"/>
      </right>
      <top style="thin">
        <color rgb="FFA2BED6"/>
      </top>
      <bottom/>
      <diagonal/>
    </border>
    <border>
      <left style="thin">
        <color rgb="FFA2BED6"/>
      </left>
      <right/>
      <top style="thin">
        <color theme="0"/>
      </top>
      <bottom/>
      <diagonal/>
    </border>
    <border>
      <left/>
      <right style="thin">
        <color rgb="FFA2BED6"/>
      </right>
      <top style="thin">
        <color theme="0"/>
      </top>
      <bottom/>
      <diagonal/>
    </border>
    <border>
      <left style="thin">
        <color rgb="FF9BAABF"/>
      </left>
      <right/>
      <top style="thin">
        <color rgb="FFA2BED6"/>
      </top>
      <bottom style="thin">
        <color rgb="FF9BAABF"/>
      </bottom>
      <diagonal/>
    </border>
    <border>
      <left/>
      <right/>
      <top style="thin">
        <color rgb="FFA2BED6"/>
      </top>
      <bottom style="thin">
        <color rgb="FF9BAABF"/>
      </bottom>
      <diagonal/>
    </border>
    <border>
      <left style="thin">
        <color rgb="FF9BAABF"/>
      </left>
      <right/>
      <top style="thin">
        <color rgb="FF9BAABF"/>
      </top>
      <bottom/>
      <diagonal/>
    </border>
    <border>
      <left/>
      <right/>
      <top style="thin">
        <color rgb="FF9BAABF"/>
      </top>
      <bottom/>
      <diagonal/>
    </border>
    <border>
      <left/>
      <right style="thin">
        <color rgb="FF9BAABF"/>
      </right>
      <top style="thin">
        <color rgb="FF9BAABF"/>
      </top>
      <bottom/>
      <diagonal/>
    </border>
    <border>
      <left style="thin">
        <color theme="5" tint="0.79998168889431442"/>
      </left>
      <right/>
      <top/>
      <bottom/>
      <diagonal/>
    </border>
    <border>
      <left/>
      <right style="thin">
        <color theme="5" tint="0.79998168889431442"/>
      </right>
      <top/>
      <bottom/>
      <diagonal/>
    </border>
    <border>
      <left style="thin">
        <color theme="5" tint="0.79998168889431442"/>
      </left>
      <right style="dashed">
        <color theme="0"/>
      </right>
      <top style="dashed">
        <color theme="0"/>
      </top>
      <bottom style="dashed">
        <color theme="0"/>
      </bottom>
      <diagonal/>
    </border>
    <border>
      <left/>
      <right style="thin">
        <color theme="5" tint="0.79998168889431442"/>
      </right>
      <top style="dashed">
        <color theme="0"/>
      </top>
      <bottom style="dashed">
        <color theme="0"/>
      </bottom>
      <diagonal/>
    </border>
    <border>
      <left style="thin">
        <color theme="5" tint="0.79998168889431442"/>
      </left>
      <right style="dashed">
        <color theme="0"/>
      </right>
      <top/>
      <bottom/>
      <diagonal/>
    </border>
    <border>
      <left style="thin">
        <color theme="5" tint="0.79998168889431442"/>
      </left>
      <right/>
      <top style="dashed">
        <color theme="0" tint="-0.24994659260841701"/>
      </top>
      <bottom/>
      <diagonal/>
    </border>
    <border>
      <left/>
      <right style="thin">
        <color theme="5" tint="0.79998168889431442"/>
      </right>
      <top style="dashed">
        <color theme="0" tint="-0.24994659260841701"/>
      </top>
      <bottom/>
      <diagonal/>
    </border>
    <border>
      <left style="thin">
        <color theme="5" tint="0.79998168889431442"/>
      </left>
      <right/>
      <top/>
      <bottom style="dashed">
        <color theme="0" tint="-0.24994659260841701"/>
      </bottom>
      <diagonal/>
    </border>
    <border>
      <left/>
      <right style="thin">
        <color theme="5" tint="0.79998168889431442"/>
      </right>
      <top/>
      <bottom style="dashed">
        <color theme="0" tint="-0.24994659260841701"/>
      </bottom>
      <diagonal/>
    </border>
    <border>
      <left style="thin">
        <color theme="5" tint="0.79998168889431442"/>
      </left>
      <right/>
      <top style="thin">
        <color theme="0" tint="-0.24994659260841701"/>
      </top>
      <bottom style="thin">
        <color theme="0" tint="-0.24994659260841701"/>
      </bottom>
      <diagonal/>
    </border>
    <border>
      <left/>
      <right style="thin">
        <color theme="5" tint="0.79998168889431442"/>
      </right>
      <top style="thin">
        <color theme="0" tint="-0.24994659260841701"/>
      </top>
      <bottom style="thin">
        <color theme="0" tint="-0.24994659260841701"/>
      </bottom>
      <diagonal/>
    </border>
    <border>
      <left style="thin">
        <color theme="5" tint="0.79998168889431442"/>
      </left>
      <right/>
      <top style="dotted">
        <color theme="1" tint="0.499984740745262"/>
      </top>
      <bottom/>
      <diagonal/>
    </border>
    <border>
      <left/>
      <right style="thin">
        <color theme="5" tint="0.79998168889431442"/>
      </right>
      <top style="dotted">
        <color theme="1" tint="0.499984740745262"/>
      </top>
      <bottom/>
      <diagonal/>
    </border>
    <border>
      <left style="thin">
        <color theme="5" tint="0.79998168889431442"/>
      </left>
      <right/>
      <top style="thin">
        <color theme="0" tint="-0.24994659260841701"/>
      </top>
      <bottom style="thin">
        <color theme="5" tint="0.79998168889431442"/>
      </bottom>
      <diagonal/>
    </border>
    <border>
      <left/>
      <right/>
      <top style="thin">
        <color theme="0" tint="-0.24994659260841701"/>
      </top>
      <bottom style="thin">
        <color theme="5" tint="0.79998168889431442"/>
      </bottom>
      <diagonal/>
    </border>
    <border>
      <left/>
      <right style="thin">
        <color theme="5" tint="0.79998168889431442"/>
      </right>
      <top style="thin">
        <color theme="0" tint="-0.24994659260841701"/>
      </top>
      <bottom style="thin">
        <color theme="5" tint="0.79998168889431442"/>
      </bottom>
      <diagonal/>
    </border>
    <border>
      <left/>
      <right/>
      <top style="thin">
        <color theme="0"/>
      </top>
      <bottom style="thin">
        <color theme="1" tint="0.499984740745262"/>
      </bottom>
      <diagonal/>
    </border>
    <border>
      <left/>
      <right style="thin">
        <color theme="0"/>
      </right>
      <top style="thin">
        <color theme="0"/>
      </top>
      <bottom style="thin">
        <color theme="1" tint="0.499984740745262"/>
      </bottom>
      <diagonal/>
    </border>
    <border>
      <left/>
      <right/>
      <top style="thin">
        <color theme="3" tint="0.749961851863155"/>
      </top>
      <bottom style="thin">
        <color theme="3" tint="0.749961851863155"/>
      </bottom>
      <diagonal/>
    </border>
    <border>
      <left/>
      <right style="dashed">
        <color theme="2" tint="-9.9948118533890809E-2"/>
      </right>
      <top style="thin">
        <color theme="4"/>
      </top>
      <bottom style="medium">
        <color theme="4"/>
      </bottom>
      <diagonal/>
    </border>
    <border>
      <left/>
      <right style="dashed">
        <color theme="2" tint="-9.9948118533890809E-2"/>
      </right>
      <top/>
      <bottom style="thin">
        <color theme="4"/>
      </bottom>
      <diagonal/>
    </border>
    <border>
      <left style="dotted">
        <color theme="0" tint="-0.34998626667073579"/>
      </left>
      <right style="dotted">
        <color theme="0" tint="-0.34998626667073579"/>
      </right>
      <top/>
      <bottom style="thick">
        <color theme="4"/>
      </bottom>
      <diagonal/>
    </border>
    <border>
      <left/>
      <right/>
      <top/>
      <bottom style="double">
        <color theme="1" tint="0.14996795556505021"/>
      </bottom>
      <diagonal/>
    </border>
    <border>
      <left style="thin">
        <color theme="0" tint="-0.14990691854609822"/>
      </left>
      <right/>
      <top/>
      <bottom/>
      <diagonal/>
    </border>
    <border>
      <left/>
      <right/>
      <top/>
      <bottom style="thick">
        <color theme="4"/>
      </bottom>
      <diagonal/>
    </border>
    <border>
      <left style="medium">
        <color indexed="20"/>
      </left>
      <right/>
      <top style="medium">
        <color indexed="20"/>
      </top>
      <bottom/>
      <diagonal/>
    </border>
    <border>
      <left/>
      <right/>
      <top style="medium">
        <color indexed="20"/>
      </top>
      <bottom/>
      <diagonal/>
    </border>
    <border>
      <left/>
      <right style="medium">
        <color indexed="20"/>
      </right>
      <top style="medium">
        <color indexed="20"/>
      </top>
      <bottom/>
      <diagonal/>
    </border>
    <border>
      <left style="medium">
        <color indexed="20"/>
      </left>
      <right/>
      <top/>
      <bottom/>
      <diagonal/>
    </border>
    <border>
      <left/>
      <right style="medium">
        <color indexed="20"/>
      </right>
      <top/>
      <bottom/>
      <diagonal/>
    </border>
    <border>
      <left/>
      <right/>
      <top/>
      <bottom style="double">
        <color indexed="64"/>
      </bottom>
      <diagonal/>
    </border>
    <border>
      <left/>
      <right/>
      <top style="double">
        <color indexed="64"/>
      </top>
      <bottom/>
      <diagonal/>
    </border>
    <border>
      <left style="medium">
        <color indexed="20"/>
      </left>
      <right/>
      <top/>
      <bottom style="medium">
        <color indexed="20"/>
      </bottom>
      <diagonal/>
    </border>
    <border>
      <left/>
      <right/>
      <top/>
      <bottom style="medium">
        <color indexed="20"/>
      </bottom>
      <diagonal/>
    </border>
    <border>
      <left/>
      <right style="medium">
        <color indexed="20"/>
      </right>
      <top/>
      <bottom style="medium">
        <color indexed="20"/>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right/>
      <top/>
      <bottom style="thin">
        <color theme="3" tint="0.749961851863155"/>
      </bottom>
      <diagonal/>
    </border>
    <border>
      <left style="thin">
        <color theme="1"/>
      </left>
      <right style="thin">
        <color theme="1"/>
      </right>
      <top style="thin">
        <color theme="1"/>
      </top>
      <bottom style="thin">
        <color theme="1"/>
      </bottom>
      <diagonal/>
    </border>
    <border>
      <left/>
      <right style="thin">
        <color rgb="FF7F7F7F"/>
      </right>
      <top style="thin">
        <color rgb="FF7F7F7F"/>
      </top>
      <bottom style="thin">
        <color rgb="FF7F7F7F"/>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rgb="FF7F7F7F"/>
      </left>
      <right/>
      <top/>
      <bottom/>
      <diagonal/>
    </border>
    <border>
      <left/>
      <right style="thin">
        <color theme="1"/>
      </right>
      <top/>
      <bottom/>
      <diagonal/>
    </border>
    <border>
      <left style="thin">
        <color rgb="FF7F7F7F"/>
      </left>
      <right style="thin">
        <color theme="1"/>
      </right>
      <top style="thin">
        <color rgb="FF7F7F7F"/>
      </top>
      <bottom style="thin">
        <color rgb="FF7F7F7F"/>
      </bottom>
      <diagonal/>
    </border>
    <border>
      <left/>
      <right/>
      <top style="thin">
        <color theme="0" tint="-0.1498764000366222"/>
      </top>
      <bottom style="thin">
        <color theme="8" tint="0.79998168889431442"/>
      </bottom>
      <diagonal/>
    </border>
    <border>
      <left style="thin">
        <color theme="8" tint="0.79995117038483843"/>
      </left>
      <right/>
      <top style="thin">
        <color theme="8" tint="0.79998168889431442"/>
      </top>
      <bottom style="thin">
        <color theme="8" tint="0.79998168889431442"/>
      </bottom>
      <diagonal/>
    </border>
    <border>
      <left/>
      <right style="thin">
        <color theme="8" tint="0.79995117038483843"/>
      </right>
      <top style="thin">
        <color theme="8" tint="0.79998168889431442"/>
      </top>
      <bottom style="thin">
        <color theme="8" tint="0.79998168889431442"/>
      </bottom>
      <diagonal/>
    </border>
    <border>
      <left style="thin">
        <color theme="8" tint="0.79998168889431442"/>
      </left>
      <right style="thin">
        <color theme="8" tint="0.79998168889431442"/>
      </right>
      <top style="thin">
        <color theme="8" tint="0.79998168889431442"/>
      </top>
      <bottom style="thin">
        <color theme="8" tint="0.79998168889431442"/>
      </bottom>
      <diagonal/>
    </border>
    <border>
      <left/>
      <right style="thin">
        <color theme="0" tint="-0.14996795556505021"/>
      </right>
      <top style="thin">
        <color theme="8" tint="0.79998168889431442"/>
      </top>
      <bottom style="thin">
        <color theme="8" tint="0.79998168889431442"/>
      </bottom>
      <diagonal/>
    </border>
    <border>
      <left style="thin">
        <color theme="8" tint="0.79998168889431442"/>
      </left>
      <right style="thin">
        <color theme="8" tint="0.79998168889431442"/>
      </right>
      <top style="thin">
        <color theme="8" tint="0.79998168889431442"/>
      </top>
      <bottom style="double">
        <color theme="0" tint="-0.14996795556505021"/>
      </bottom>
      <diagonal/>
    </border>
    <border>
      <left style="thin">
        <color theme="8" tint="0.79998168889431442"/>
      </left>
      <right style="thin">
        <color theme="8" tint="0.79998168889431442"/>
      </right>
      <top/>
      <bottom style="double">
        <color theme="0" tint="-0.14996795556505021"/>
      </bottom>
      <diagonal/>
    </border>
    <border>
      <left style="thin">
        <color theme="8" tint="0.79998168889431442"/>
      </left>
      <right style="thin">
        <color theme="8" tint="0.79998168889431442"/>
      </right>
      <top/>
      <bottom/>
      <diagonal/>
    </border>
    <border>
      <left style="thin">
        <color theme="8" tint="0.79998168889431442"/>
      </left>
      <right/>
      <top style="thin">
        <color theme="8" tint="0.79995117038483843"/>
      </top>
      <bottom style="thin">
        <color theme="8" tint="0.79998168889431442"/>
      </bottom>
      <diagonal/>
    </border>
    <border>
      <left/>
      <right/>
      <top style="thin">
        <color theme="8" tint="0.79995117038483843"/>
      </top>
      <bottom style="thin">
        <color theme="8" tint="0.79998168889431442"/>
      </bottom>
      <diagonal/>
    </border>
    <border>
      <left/>
      <right style="thin">
        <color theme="8" tint="0.79998168889431442"/>
      </right>
      <top style="thin">
        <color theme="8" tint="0.79995117038483843"/>
      </top>
      <bottom style="thin">
        <color theme="8" tint="0.79998168889431442"/>
      </bottom>
      <diagonal/>
    </border>
    <border>
      <left style="thin">
        <color theme="8" tint="0.79998168889431442"/>
      </left>
      <right/>
      <top style="thin">
        <color theme="8" tint="0.79998168889431442"/>
      </top>
      <bottom style="thin">
        <color theme="8" tint="0.79995117038483843"/>
      </bottom>
      <diagonal/>
    </border>
    <border>
      <left/>
      <right/>
      <top style="thin">
        <color theme="8" tint="0.79998168889431442"/>
      </top>
      <bottom style="thin">
        <color theme="8" tint="0.79995117038483843"/>
      </bottom>
      <diagonal/>
    </border>
    <border>
      <left/>
      <right style="thin">
        <color theme="8" tint="0.79998168889431442"/>
      </right>
      <top style="thin">
        <color theme="8" tint="0.79998168889431442"/>
      </top>
      <bottom style="thin">
        <color theme="8" tint="0.79995117038483843"/>
      </bottom>
      <diagonal/>
    </border>
    <border>
      <left style="thin">
        <color theme="8" tint="0.79998168889431442"/>
      </left>
      <right style="thin">
        <color theme="8" tint="0.79998168889431442"/>
      </right>
      <top style="thin">
        <color theme="8" tint="0.79998168889431442"/>
      </top>
      <bottom style="thin">
        <color theme="0" tint="-0.24994659260841701"/>
      </bottom>
      <diagonal/>
    </border>
  </borders>
  <cellStyleXfs count="21">
    <xf numFmtId="0" fontId="0"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0" fontId="65" fillId="0" borderId="0" applyNumberFormat="0" applyFill="0" applyBorder="0" applyAlignment="0" applyProtection="0"/>
    <xf numFmtId="44" fontId="1" fillId="0" borderId="0" applyFont="0" applyFill="0" applyBorder="0" applyAlignment="0" applyProtection="0"/>
    <xf numFmtId="0" fontId="166" fillId="0" borderId="0">
      <alignment horizontal="left" vertical="center" wrapText="1" indent="1"/>
    </xf>
    <xf numFmtId="38" fontId="166" fillId="0" borderId="0" applyFont="0" applyFill="0" applyBorder="0" applyProtection="0">
      <alignment horizontal="right" vertical="center" indent="1"/>
    </xf>
    <xf numFmtId="0" fontId="168" fillId="2" borderId="475" applyNumberFormat="0" applyProtection="0">
      <alignment horizontal="left" vertical="center"/>
    </xf>
    <xf numFmtId="0" fontId="169" fillId="33" borderId="476" applyNumberFormat="0" applyProtection="0">
      <alignment horizontal="left" vertical="center"/>
    </xf>
    <xf numFmtId="0" fontId="171" fillId="0" borderId="0" applyNumberFormat="0" applyFill="0" applyBorder="0" applyProtection="0">
      <alignment vertical="center"/>
    </xf>
    <xf numFmtId="0" fontId="170" fillId="0" borderId="477" applyNumberFormat="0" applyFill="0" applyProtection="0">
      <alignment horizontal="right" vertical="center" indent="1"/>
    </xf>
    <xf numFmtId="0" fontId="173" fillId="0" borderId="478" applyNumberFormat="0" applyFont="0" applyFill="0" applyBorder="0" applyAlignment="0" applyProtection="0"/>
    <xf numFmtId="42" fontId="1" fillId="0" borderId="0" applyFont="0" applyFill="0" applyBorder="0" applyAlignment="0" applyProtection="0"/>
    <xf numFmtId="0" fontId="178" fillId="0" borderId="0" applyNumberFormat="0" applyFill="0" applyBorder="0" applyAlignment="0" applyProtection="0"/>
    <xf numFmtId="0" fontId="179" fillId="0" borderId="480" applyNumberFormat="0" applyFill="0" applyAlignment="0" applyProtection="0"/>
    <xf numFmtId="0" fontId="180" fillId="0" borderId="0" applyNumberFormat="0" applyFill="0" applyBorder="0" applyAlignment="0" applyProtection="0"/>
    <xf numFmtId="0" fontId="187" fillId="0" borderId="0" applyNumberFormat="0" applyFont="0" applyFill="0" applyBorder="0">
      <alignment horizontal="center"/>
    </xf>
    <xf numFmtId="14" fontId="187" fillId="0" borderId="0" applyFont="0" applyFill="0" applyBorder="0">
      <alignment horizontal="right" indent="1"/>
    </xf>
    <xf numFmtId="0" fontId="188" fillId="0" borderId="0"/>
    <xf numFmtId="0" fontId="194" fillId="51" borderId="492" applyNumberFormat="0" applyAlignment="0" applyProtection="0"/>
  </cellStyleXfs>
  <cellXfs count="3034">
    <xf numFmtId="0" fontId="0" fillId="0" borderId="0" xfId="0"/>
    <xf numFmtId="0" fontId="4" fillId="5" borderId="0" xfId="0" applyFont="1" applyFill="1" applyProtection="1">
      <protection hidden="1"/>
    </xf>
    <xf numFmtId="0" fontId="4" fillId="0" borderId="0" xfId="0" applyFont="1" applyProtection="1">
      <protection hidden="1"/>
    </xf>
    <xf numFmtId="171" fontId="5" fillId="6" borderId="6" xfId="2" applyNumberFormat="1" applyFont="1" applyFill="1" applyBorder="1" applyAlignment="1" applyProtection="1">
      <alignment horizontal="center" vertical="center"/>
      <protection hidden="1"/>
    </xf>
    <xf numFmtId="1" fontId="6" fillId="4" borderId="0" xfId="0" applyNumberFormat="1" applyFont="1" applyFill="1" applyAlignment="1" applyProtection="1">
      <alignment horizontal="center" vertical="center"/>
      <protection hidden="1"/>
    </xf>
    <xf numFmtId="1" fontId="8" fillId="4" borderId="0" xfId="0" applyNumberFormat="1" applyFont="1" applyFill="1" applyAlignment="1" applyProtection="1">
      <alignment horizontal="center" vertical="center"/>
      <protection hidden="1"/>
    </xf>
    <xf numFmtId="17" fontId="8" fillId="4" borderId="0" xfId="0" applyNumberFormat="1" applyFont="1" applyFill="1" applyAlignment="1" applyProtection="1">
      <alignment horizontal="center" vertical="center"/>
      <protection hidden="1"/>
    </xf>
    <xf numFmtId="0" fontId="8" fillId="4" borderId="0" xfId="0" applyFont="1" applyFill="1" applyProtection="1">
      <protection hidden="1"/>
    </xf>
    <xf numFmtId="0" fontId="17" fillId="4" borderId="0" xfId="0" applyFont="1" applyFill="1" applyProtection="1">
      <protection hidden="1"/>
    </xf>
    <xf numFmtId="0" fontId="4" fillId="4" borderId="0" xfId="0" applyFont="1" applyFill="1" applyProtection="1">
      <protection hidden="1"/>
    </xf>
    <xf numFmtId="0" fontId="17" fillId="0" borderId="0" xfId="0" applyFont="1"/>
    <xf numFmtId="1" fontId="21" fillId="4" borderId="0" xfId="0" applyNumberFormat="1" applyFont="1" applyFill="1" applyAlignment="1" applyProtection="1">
      <alignment horizontal="center" vertical="center"/>
      <protection hidden="1"/>
    </xf>
    <xf numFmtId="0" fontId="3" fillId="0" borderId="0" xfId="0" applyFont="1"/>
    <xf numFmtId="9" fontId="0" fillId="0" borderId="0" xfId="0" applyNumberFormat="1"/>
    <xf numFmtId="176" fontId="8" fillId="4" borderId="0" xfId="0" applyNumberFormat="1" applyFont="1" applyFill="1" applyAlignment="1" applyProtection="1">
      <alignment horizontal="right" vertical="center"/>
      <protection hidden="1"/>
    </xf>
    <xf numFmtId="0" fontId="8" fillId="4" borderId="0" xfId="0" applyFont="1" applyFill="1" applyAlignment="1" applyProtection="1">
      <alignment horizontal="right" vertical="center"/>
      <protection hidden="1"/>
    </xf>
    <xf numFmtId="173" fontId="8" fillId="4" borderId="0" xfId="0" applyNumberFormat="1" applyFont="1" applyFill="1" applyAlignment="1" applyProtection="1">
      <alignment horizontal="right" vertical="center"/>
      <protection hidden="1"/>
    </xf>
    <xf numFmtId="165" fontId="8" fillId="4" borderId="0" xfId="0" applyNumberFormat="1" applyFont="1" applyFill="1" applyAlignment="1" applyProtection="1">
      <alignment horizontal="right" vertical="center"/>
      <protection hidden="1"/>
    </xf>
    <xf numFmtId="168" fontId="12" fillId="4" borderId="0" xfId="0" applyNumberFormat="1" applyFont="1" applyFill="1" applyAlignment="1" applyProtection="1">
      <alignment horizontal="right" vertical="center"/>
      <protection hidden="1"/>
    </xf>
    <xf numFmtId="14" fontId="8" fillId="4" borderId="0" xfId="0" applyNumberFormat="1" applyFont="1" applyFill="1" applyAlignment="1" applyProtection="1">
      <alignment horizontal="center" vertical="center"/>
      <protection hidden="1"/>
    </xf>
    <xf numFmtId="0" fontId="8" fillId="4" borderId="0" xfId="0" applyFont="1" applyFill="1" applyAlignment="1" applyProtection="1">
      <alignment vertical="center"/>
      <protection hidden="1"/>
    </xf>
    <xf numFmtId="0" fontId="12" fillId="4" borderId="0" xfId="0" applyFont="1" applyFill="1" applyAlignment="1" applyProtection="1">
      <alignment horizontal="right" vertical="center"/>
      <protection hidden="1"/>
    </xf>
    <xf numFmtId="0" fontId="10" fillId="4" borderId="0" xfId="0" applyFont="1" applyFill="1" applyAlignment="1" applyProtection="1">
      <alignment vertical="center"/>
      <protection hidden="1"/>
    </xf>
    <xf numFmtId="0" fontId="4" fillId="4" borderId="0" xfId="0" applyFont="1" applyFill="1" applyAlignment="1" applyProtection="1">
      <alignment vertical="center"/>
      <protection hidden="1"/>
    </xf>
    <xf numFmtId="0" fontId="17" fillId="4" borderId="0" xfId="0" applyFont="1" applyFill="1" applyAlignment="1" applyProtection="1">
      <alignment vertical="center"/>
      <protection hidden="1"/>
    </xf>
    <xf numFmtId="0" fontId="17" fillId="3" borderId="14" xfId="0" applyFont="1" applyFill="1" applyBorder="1" applyAlignment="1" applyProtection="1">
      <alignment vertical="center"/>
      <protection hidden="1"/>
    </xf>
    <xf numFmtId="0" fontId="17" fillId="3" borderId="16" xfId="0" applyFont="1" applyFill="1" applyBorder="1" applyAlignment="1" applyProtection="1">
      <alignment vertical="center"/>
      <protection hidden="1"/>
    </xf>
    <xf numFmtId="0" fontId="23" fillId="4" borderId="0" xfId="0" applyFont="1" applyFill="1" applyProtection="1">
      <protection hidden="1"/>
    </xf>
    <xf numFmtId="0" fontId="17" fillId="3" borderId="0" xfId="0" applyFont="1" applyFill="1" applyAlignment="1" applyProtection="1">
      <alignment vertical="center"/>
      <protection hidden="1"/>
    </xf>
    <xf numFmtId="176" fontId="12" fillId="4" borderId="0" xfId="0" applyNumberFormat="1" applyFont="1" applyFill="1" applyAlignment="1" applyProtection="1">
      <alignment horizontal="right" vertical="center"/>
      <protection hidden="1"/>
    </xf>
    <xf numFmtId="3" fontId="0" fillId="0" borderId="0" xfId="0" applyNumberFormat="1"/>
    <xf numFmtId="176" fontId="0" fillId="0" borderId="0" xfId="0" applyNumberFormat="1"/>
    <xf numFmtId="14" fontId="32" fillId="4" borderId="0" xfId="0" applyNumberFormat="1" applyFont="1" applyFill="1" applyAlignment="1" applyProtection="1">
      <alignment horizontal="left" vertical="center"/>
      <protection hidden="1"/>
    </xf>
    <xf numFmtId="14" fontId="33" fillId="4" borderId="0" xfId="0" applyNumberFormat="1" applyFont="1" applyFill="1" applyAlignment="1" applyProtection="1">
      <alignment horizontal="center" vertical="center"/>
      <protection hidden="1"/>
    </xf>
    <xf numFmtId="1" fontId="33" fillId="4" borderId="0" xfId="0" applyNumberFormat="1" applyFont="1" applyFill="1" applyAlignment="1" applyProtection="1">
      <alignment horizontal="center" vertical="center"/>
      <protection hidden="1"/>
    </xf>
    <xf numFmtId="14" fontId="33" fillId="4" borderId="0" xfId="0" applyNumberFormat="1" applyFont="1" applyFill="1" applyAlignment="1" applyProtection="1">
      <alignment horizontal="left" vertical="center"/>
      <protection hidden="1"/>
    </xf>
    <xf numFmtId="14" fontId="34" fillId="4" borderId="0" xfId="0" applyNumberFormat="1" applyFont="1" applyFill="1" applyAlignment="1" applyProtection="1">
      <alignment horizontal="left" vertical="center"/>
      <protection hidden="1"/>
    </xf>
    <xf numFmtId="14" fontId="33" fillId="3" borderId="0" xfId="0" applyNumberFormat="1" applyFont="1" applyFill="1" applyAlignment="1" applyProtection="1">
      <alignment horizontal="center" vertical="center"/>
      <protection hidden="1"/>
    </xf>
    <xf numFmtId="14" fontId="33" fillId="10" borderId="0" xfId="0" applyNumberFormat="1" applyFont="1" applyFill="1" applyAlignment="1" applyProtection="1">
      <alignment horizontal="center" vertical="center"/>
      <protection hidden="1"/>
    </xf>
    <xf numFmtId="14" fontId="37" fillId="10" borderId="0" xfId="0" applyNumberFormat="1" applyFont="1" applyFill="1" applyAlignment="1" applyProtection="1">
      <alignment horizontal="center" vertical="center"/>
      <protection hidden="1"/>
    </xf>
    <xf numFmtId="14" fontId="33" fillId="6" borderId="0" xfId="0" applyNumberFormat="1" applyFont="1" applyFill="1" applyAlignment="1" applyProtection="1">
      <alignment horizontal="center" vertical="center"/>
      <protection hidden="1"/>
    </xf>
    <xf numFmtId="14" fontId="39" fillId="6" borderId="0" xfId="0" applyNumberFormat="1" applyFont="1" applyFill="1" applyAlignment="1" applyProtection="1">
      <alignment horizontal="center" vertical="center"/>
      <protection hidden="1"/>
    </xf>
    <xf numFmtId="14" fontId="32" fillId="4" borderId="0" xfId="0" applyNumberFormat="1" applyFont="1" applyFill="1" applyAlignment="1" applyProtection="1">
      <alignment horizontal="center" vertical="center"/>
      <protection hidden="1"/>
    </xf>
    <xf numFmtId="0" fontId="40" fillId="11" borderId="0" xfId="0" applyFont="1" applyFill="1" applyAlignment="1" applyProtection="1">
      <alignment horizontal="centerContinuous" vertical="center"/>
      <protection hidden="1"/>
    </xf>
    <xf numFmtId="0" fontId="33" fillId="4" borderId="0" xfId="0" applyFont="1" applyFill="1" applyAlignment="1" applyProtection="1">
      <alignment vertical="center"/>
      <protection hidden="1"/>
    </xf>
    <xf numFmtId="0" fontId="42" fillId="3" borderId="0" xfId="0" applyFont="1" applyFill="1" applyAlignment="1" applyProtection="1">
      <alignment vertical="center"/>
      <protection hidden="1"/>
    </xf>
    <xf numFmtId="0" fontId="32" fillId="3" borderId="0" xfId="0" applyFont="1" applyFill="1" applyAlignment="1" applyProtection="1">
      <alignment vertical="center"/>
      <protection hidden="1"/>
    </xf>
    <xf numFmtId="0" fontId="30" fillId="3" borderId="0" xfId="0" applyFont="1" applyFill="1" applyAlignment="1" applyProtection="1">
      <alignment vertical="center"/>
      <protection hidden="1"/>
    </xf>
    <xf numFmtId="0" fontId="44" fillId="0" borderId="0" xfId="0" applyFont="1"/>
    <xf numFmtId="0" fontId="46" fillId="0" borderId="0" xfId="0" applyFont="1"/>
    <xf numFmtId="0" fontId="3" fillId="12" borderId="0" xfId="0" applyFont="1" applyFill="1"/>
    <xf numFmtId="171" fontId="32" fillId="12" borderId="0" xfId="0" applyNumberFormat="1" applyFont="1" applyFill="1" applyAlignment="1" applyProtection="1">
      <alignment vertical="center"/>
      <protection hidden="1"/>
    </xf>
    <xf numFmtId="0" fontId="33" fillId="13" borderId="25" xfId="0" applyFont="1" applyFill="1" applyBorder="1" applyAlignment="1" applyProtection="1">
      <alignment vertical="center"/>
      <protection hidden="1"/>
    </xf>
    <xf numFmtId="0" fontId="33" fillId="13" borderId="30" xfId="0" applyFont="1" applyFill="1" applyBorder="1" applyAlignment="1" applyProtection="1">
      <alignment vertical="center"/>
      <protection hidden="1"/>
    </xf>
    <xf numFmtId="0" fontId="33" fillId="0" borderId="0" xfId="0" applyFont="1" applyAlignment="1" applyProtection="1">
      <alignment vertical="center"/>
      <protection hidden="1"/>
    </xf>
    <xf numFmtId="0" fontId="32" fillId="0" borderId="0" xfId="0" applyFont="1" applyAlignment="1" applyProtection="1">
      <alignment vertical="center"/>
      <protection hidden="1"/>
    </xf>
    <xf numFmtId="0" fontId="33" fillId="3" borderId="13" xfId="0" applyFont="1" applyFill="1" applyBorder="1" applyAlignment="1" applyProtection="1">
      <alignment vertical="center"/>
      <protection hidden="1"/>
    </xf>
    <xf numFmtId="0" fontId="33" fillId="3" borderId="15" xfId="0" applyFont="1" applyFill="1" applyBorder="1" applyAlignment="1" applyProtection="1">
      <alignment vertical="center"/>
      <protection hidden="1"/>
    </xf>
    <xf numFmtId="0" fontId="32" fillId="14" borderId="40" xfId="0" applyFont="1" applyFill="1" applyBorder="1"/>
    <xf numFmtId="0" fontId="47" fillId="0" borderId="0" xfId="0" applyFont="1"/>
    <xf numFmtId="0" fontId="45" fillId="0" borderId="0" xfId="0" applyFont="1"/>
    <xf numFmtId="0" fontId="48" fillId="0" borderId="0" xfId="0" applyFont="1"/>
    <xf numFmtId="0" fontId="33" fillId="0" borderId="0" xfId="0" applyFont="1"/>
    <xf numFmtId="185" fontId="33" fillId="0" borderId="0" xfId="0" applyNumberFormat="1" applyFont="1"/>
    <xf numFmtId="0" fontId="21" fillId="0" borderId="0" xfId="0" applyFont="1" applyAlignment="1" applyProtection="1">
      <alignment horizontal="left" vertical="center" indent="1"/>
      <protection hidden="1"/>
    </xf>
    <xf numFmtId="185" fontId="47" fillId="0" borderId="0" xfId="0" applyNumberFormat="1" applyFont="1"/>
    <xf numFmtId="175" fontId="0" fillId="0" borderId="0" xfId="0" applyNumberFormat="1"/>
    <xf numFmtId="0" fontId="33" fillId="5" borderId="17" xfId="0" applyFont="1" applyFill="1" applyBorder="1" applyAlignment="1" applyProtection="1">
      <alignment horizontal="left" vertical="center" indent="1"/>
      <protection hidden="1"/>
    </xf>
    <xf numFmtId="0" fontId="33" fillId="5" borderId="20" xfId="0" applyFont="1" applyFill="1" applyBorder="1" applyAlignment="1" applyProtection="1">
      <alignment horizontal="left" vertical="center" indent="1"/>
      <protection hidden="1"/>
    </xf>
    <xf numFmtId="0" fontId="33" fillId="5" borderId="22" xfId="0" applyFont="1" applyFill="1" applyBorder="1" applyAlignment="1" applyProtection="1">
      <alignment horizontal="left" vertical="center" indent="1"/>
      <protection hidden="1"/>
    </xf>
    <xf numFmtId="175" fontId="33" fillId="13" borderId="26" xfId="0" applyNumberFormat="1" applyFont="1" applyFill="1" applyBorder="1"/>
    <xf numFmtId="168" fontId="33" fillId="13" borderId="31" xfId="1" applyNumberFormat="1" applyFont="1" applyFill="1" applyBorder="1"/>
    <xf numFmtId="0" fontId="49" fillId="0" borderId="0" xfId="0" applyFont="1"/>
    <xf numFmtId="0" fontId="21" fillId="13" borderId="28" xfId="0" applyFont="1" applyFill="1" applyBorder="1" applyAlignment="1" applyProtection="1">
      <alignment horizontal="left" vertical="center" indent="1"/>
      <protection hidden="1"/>
    </xf>
    <xf numFmtId="176" fontId="21" fillId="13" borderId="0" xfId="0" applyNumberFormat="1" applyFont="1" applyFill="1"/>
    <xf numFmtId="175" fontId="33" fillId="13" borderId="27" xfId="0" applyNumberFormat="1" applyFont="1" applyFill="1" applyBorder="1"/>
    <xf numFmtId="176" fontId="21" fillId="13" borderId="29" xfId="0" applyNumberFormat="1" applyFont="1" applyFill="1" applyBorder="1"/>
    <xf numFmtId="168" fontId="33" fillId="13" borderId="32" xfId="1" applyNumberFormat="1" applyFont="1" applyFill="1" applyBorder="1"/>
    <xf numFmtId="0" fontId="8" fillId="14" borderId="35" xfId="0" applyFont="1" applyFill="1" applyBorder="1"/>
    <xf numFmtId="0" fontId="8" fillId="14" borderId="38" xfId="0" applyFont="1" applyFill="1" applyBorder="1"/>
    <xf numFmtId="0" fontId="4" fillId="4" borderId="43" xfId="0" applyFont="1" applyFill="1" applyBorder="1" applyAlignment="1" applyProtection="1">
      <alignment vertical="center"/>
      <protection hidden="1"/>
    </xf>
    <xf numFmtId="0" fontId="33" fillId="4" borderId="43" xfId="0" applyFont="1" applyFill="1" applyBorder="1" applyAlignment="1" applyProtection="1">
      <alignment vertical="center"/>
      <protection hidden="1"/>
    </xf>
    <xf numFmtId="175" fontId="33" fillId="4" borderId="43" xfId="0" applyNumberFormat="1" applyFont="1" applyFill="1" applyBorder="1" applyAlignment="1" applyProtection="1">
      <alignment vertical="center"/>
      <protection hidden="1"/>
    </xf>
    <xf numFmtId="0" fontId="4" fillId="4" borderId="44" xfId="0" applyFont="1" applyFill="1" applyBorder="1" applyAlignment="1" applyProtection="1">
      <alignment vertical="center"/>
      <protection hidden="1"/>
    </xf>
    <xf numFmtId="0" fontId="8" fillId="4" borderId="0" xfId="0" applyFont="1" applyFill="1" applyAlignment="1" applyProtection="1">
      <alignment horizontal="center" vertical="center"/>
      <protection hidden="1"/>
    </xf>
    <xf numFmtId="173" fontId="8" fillId="4" borderId="0" xfId="0" applyNumberFormat="1" applyFont="1" applyFill="1" applyAlignment="1" applyProtection="1">
      <alignment horizontal="center" vertical="center"/>
      <protection hidden="1"/>
    </xf>
    <xf numFmtId="165" fontId="8" fillId="4" borderId="0" xfId="0" applyNumberFormat="1" applyFont="1" applyFill="1" applyAlignment="1" applyProtection="1">
      <alignment horizontal="center" vertical="center"/>
      <protection hidden="1"/>
    </xf>
    <xf numFmtId="0" fontId="17" fillId="3" borderId="14" xfId="0" applyFont="1" applyFill="1" applyBorder="1" applyAlignment="1" applyProtection="1">
      <alignment horizontal="center" vertical="center"/>
      <protection hidden="1"/>
    </xf>
    <xf numFmtId="0" fontId="17" fillId="3" borderId="16" xfId="0" applyFont="1" applyFill="1" applyBorder="1" applyAlignment="1" applyProtection="1">
      <alignment horizontal="center" vertical="center"/>
      <protection hidden="1"/>
    </xf>
    <xf numFmtId="0" fontId="17" fillId="0" borderId="0" xfId="0" applyFont="1" applyProtection="1">
      <protection hidden="1"/>
    </xf>
    <xf numFmtId="0" fontId="17" fillId="0" borderId="0" xfId="2" applyFont="1" applyProtection="1">
      <protection hidden="1"/>
    </xf>
    <xf numFmtId="0" fontId="8" fillId="0" borderId="0" xfId="0" applyFont="1" applyProtection="1">
      <protection hidden="1"/>
    </xf>
    <xf numFmtId="0" fontId="8" fillId="0" borderId="0" xfId="2" applyFont="1" applyAlignment="1" applyProtection="1">
      <alignment vertical="center"/>
      <protection hidden="1"/>
    </xf>
    <xf numFmtId="0" fontId="4" fillId="0" borderId="0" xfId="0" applyFont="1" applyAlignment="1" applyProtection="1">
      <alignment vertical="center"/>
      <protection hidden="1"/>
    </xf>
    <xf numFmtId="0" fontId="17" fillId="4" borderId="0" xfId="2" applyFont="1" applyFill="1" applyProtection="1">
      <protection hidden="1"/>
    </xf>
    <xf numFmtId="0" fontId="5" fillId="0" borderId="2" xfId="2" applyFont="1" applyBorder="1" applyAlignment="1" applyProtection="1">
      <alignment vertical="center"/>
      <protection hidden="1"/>
    </xf>
    <xf numFmtId="0" fontId="17" fillId="0" borderId="0" xfId="0" applyFont="1" applyAlignment="1" applyProtection="1">
      <alignment vertical="center"/>
      <protection hidden="1"/>
    </xf>
    <xf numFmtId="0" fontId="5" fillId="0" borderId="0" xfId="2" applyFont="1" applyAlignment="1" applyProtection="1">
      <alignment vertical="center"/>
      <protection hidden="1"/>
    </xf>
    <xf numFmtId="0" fontId="8" fillId="0" borderId="0" xfId="2" applyFont="1" applyAlignment="1" applyProtection="1">
      <alignment horizontal="left" vertical="center"/>
      <protection hidden="1"/>
    </xf>
    <xf numFmtId="0" fontId="21" fillId="0" borderId="0" xfId="2" applyFont="1" applyAlignment="1" applyProtection="1">
      <alignment horizontal="center" vertical="center"/>
      <protection hidden="1"/>
    </xf>
    <xf numFmtId="0" fontId="7" fillId="4" borderId="0" xfId="0" applyFont="1" applyFill="1" applyProtection="1">
      <protection hidden="1"/>
    </xf>
    <xf numFmtId="0" fontId="10" fillId="0" borderId="0" xfId="0" applyFont="1" applyProtection="1">
      <protection hidden="1"/>
    </xf>
    <xf numFmtId="175" fontId="33" fillId="0" borderId="0" xfId="0" applyNumberFormat="1" applyFont="1"/>
    <xf numFmtId="176" fontId="33" fillId="0" borderId="0" xfId="0" applyNumberFormat="1" applyFont="1"/>
    <xf numFmtId="176" fontId="21" fillId="0" borderId="0" xfId="0" applyNumberFormat="1" applyFont="1"/>
    <xf numFmtId="175" fontId="32" fillId="0" borderId="0" xfId="0" applyNumberFormat="1" applyFont="1"/>
    <xf numFmtId="168" fontId="33" fillId="3" borderId="33" xfId="1" applyNumberFormat="1" applyFont="1" applyFill="1" applyBorder="1"/>
    <xf numFmtId="168" fontId="33" fillId="3" borderId="34" xfId="1" applyNumberFormat="1" applyFont="1" applyFill="1" applyBorder="1"/>
    <xf numFmtId="168" fontId="33" fillId="3" borderId="14" xfId="1" applyNumberFormat="1" applyFont="1" applyFill="1" applyBorder="1"/>
    <xf numFmtId="168" fontId="33" fillId="3" borderId="16" xfId="1" applyNumberFormat="1" applyFont="1" applyFill="1" applyBorder="1"/>
    <xf numFmtId="175" fontId="8" fillId="14" borderId="36" xfId="0" applyNumberFormat="1" applyFont="1" applyFill="1" applyBorder="1"/>
    <xf numFmtId="175" fontId="8" fillId="14" borderId="37" xfId="0" applyNumberFormat="1" applyFont="1" applyFill="1" applyBorder="1"/>
    <xf numFmtId="176" fontId="8" fillId="14" borderId="0" xfId="0" applyNumberFormat="1" applyFont="1" applyFill="1"/>
    <xf numFmtId="176" fontId="8" fillId="14" borderId="39" xfId="0" applyNumberFormat="1" applyFont="1" applyFill="1" applyBorder="1"/>
    <xf numFmtId="175" fontId="32" fillId="14" borderId="41" xfId="0" applyNumberFormat="1" applyFont="1" applyFill="1" applyBorder="1"/>
    <xf numFmtId="175" fontId="32" fillId="14" borderId="42" xfId="0" applyNumberFormat="1" applyFont="1" applyFill="1" applyBorder="1"/>
    <xf numFmtId="0" fontId="3" fillId="0" borderId="0" xfId="0" applyFont="1" applyAlignment="1">
      <alignment horizontal="center" vertical="center"/>
    </xf>
    <xf numFmtId="0" fontId="28" fillId="4" borderId="0" xfId="0" applyFont="1" applyFill="1" applyProtection="1">
      <protection hidden="1"/>
    </xf>
    <xf numFmtId="0" fontId="7" fillId="4" borderId="0" xfId="0" applyFont="1" applyFill="1" applyAlignment="1" applyProtection="1">
      <alignment vertical="center"/>
      <protection hidden="1"/>
    </xf>
    <xf numFmtId="0" fontId="57" fillId="11" borderId="0" xfId="0" applyFont="1" applyFill="1" applyAlignment="1" applyProtection="1">
      <alignment horizontal="centerContinuous" vertical="center"/>
      <protection hidden="1"/>
    </xf>
    <xf numFmtId="0" fontId="40" fillId="4" borderId="0" xfId="0" applyFont="1" applyFill="1" applyAlignment="1" applyProtection="1">
      <alignment horizontal="centerContinuous" vertical="center"/>
      <protection hidden="1"/>
    </xf>
    <xf numFmtId="0" fontId="32" fillId="4" borderId="0" xfId="0" applyFont="1" applyFill="1" applyAlignment="1" applyProtection="1">
      <alignment vertical="center"/>
      <protection hidden="1"/>
    </xf>
    <xf numFmtId="175" fontId="32" fillId="4" borderId="0" xfId="0" applyNumberFormat="1" applyFont="1" applyFill="1" applyAlignment="1" applyProtection="1">
      <alignment vertical="center"/>
      <protection hidden="1"/>
    </xf>
    <xf numFmtId="0" fontId="33" fillId="4" borderId="0" xfId="0" applyFont="1" applyFill="1" applyAlignment="1">
      <alignment horizontal="left" vertical="center"/>
    </xf>
    <xf numFmtId="175" fontId="33" fillId="4" borderId="0" xfId="0" applyNumberFormat="1" applyFont="1" applyFill="1" applyAlignment="1">
      <alignment horizontal="center" vertical="center"/>
    </xf>
    <xf numFmtId="0" fontId="8" fillId="0" borderId="0" xfId="0" applyFont="1" applyAlignment="1" applyProtection="1">
      <alignment vertical="center"/>
      <protection hidden="1"/>
    </xf>
    <xf numFmtId="171" fontId="5" fillId="6" borderId="6" xfId="2" applyNumberFormat="1" applyFont="1" applyFill="1" applyBorder="1" applyAlignment="1" applyProtection="1">
      <alignment horizontal="right" vertical="center"/>
      <protection hidden="1"/>
    </xf>
    <xf numFmtId="0" fontId="8" fillId="4" borderId="7" xfId="0" applyFont="1" applyFill="1" applyBorder="1" applyAlignment="1" applyProtection="1">
      <alignment horizontal="right" vertical="center"/>
      <protection hidden="1"/>
    </xf>
    <xf numFmtId="0" fontId="12" fillId="4" borderId="7" xfId="0" applyFont="1" applyFill="1" applyBorder="1" applyAlignment="1" applyProtection="1">
      <alignment horizontal="right" vertical="center"/>
      <protection hidden="1"/>
    </xf>
    <xf numFmtId="188" fontId="8" fillId="4" borderId="9" xfId="0" applyNumberFormat="1" applyFont="1" applyFill="1" applyBorder="1" applyAlignment="1" applyProtection="1">
      <alignment horizontal="right" vertical="center"/>
      <protection hidden="1"/>
    </xf>
    <xf numFmtId="171" fontId="5" fillId="6" borderId="10" xfId="2" applyNumberFormat="1" applyFont="1" applyFill="1" applyBorder="1" applyAlignment="1" applyProtection="1">
      <alignment horizontal="right" vertical="center"/>
      <protection hidden="1"/>
    </xf>
    <xf numFmtId="171" fontId="24" fillId="4" borderId="9" xfId="2" applyNumberFormat="1" applyFont="1" applyFill="1" applyBorder="1" applyAlignment="1" applyProtection="1">
      <alignment horizontal="right" vertical="center"/>
      <protection hidden="1"/>
    </xf>
    <xf numFmtId="171" fontId="24" fillId="4" borderId="0" xfId="2" applyNumberFormat="1" applyFont="1" applyFill="1" applyAlignment="1" applyProtection="1">
      <alignment horizontal="right" vertical="center"/>
      <protection hidden="1"/>
    </xf>
    <xf numFmtId="0" fontId="8" fillId="4" borderId="9" xfId="0" applyFont="1" applyFill="1" applyBorder="1" applyAlignment="1" applyProtection="1">
      <alignment horizontal="right" vertical="center"/>
      <protection hidden="1"/>
    </xf>
    <xf numFmtId="188" fontId="8" fillId="4" borderId="0" xfId="0" applyNumberFormat="1" applyFont="1" applyFill="1" applyAlignment="1" applyProtection="1">
      <alignment horizontal="right" vertical="center"/>
      <protection hidden="1"/>
    </xf>
    <xf numFmtId="171" fontId="24" fillId="6" borderId="6" xfId="2" applyNumberFormat="1" applyFont="1" applyFill="1" applyBorder="1" applyAlignment="1" applyProtection="1">
      <alignment horizontal="center" vertical="center"/>
      <protection hidden="1"/>
    </xf>
    <xf numFmtId="173" fontId="17" fillId="4" borderId="9" xfId="0" applyNumberFormat="1" applyFont="1" applyFill="1" applyBorder="1" applyAlignment="1" applyProtection="1">
      <alignment horizontal="right" vertical="center"/>
      <protection hidden="1"/>
    </xf>
    <xf numFmtId="168" fontId="12" fillId="4" borderId="9" xfId="0" applyNumberFormat="1" applyFont="1" applyFill="1" applyBorder="1" applyAlignment="1" applyProtection="1">
      <alignment horizontal="right" vertical="center"/>
      <protection hidden="1"/>
    </xf>
    <xf numFmtId="0" fontId="17" fillId="4" borderId="9" xfId="0" applyFont="1" applyFill="1" applyBorder="1" applyAlignment="1" applyProtection="1">
      <alignment horizontal="right" vertical="center"/>
      <protection hidden="1"/>
    </xf>
    <xf numFmtId="176" fontId="8" fillId="4" borderId="9" xfId="0" applyNumberFormat="1" applyFont="1" applyFill="1" applyBorder="1" applyAlignment="1" applyProtection="1">
      <alignment horizontal="right" vertical="center"/>
      <protection hidden="1"/>
    </xf>
    <xf numFmtId="168" fontId="12" fillId="15" borderId="7" xfId="0" applyNumberFormat="1" applyFont="1" applyFill="1" applyBorder="1" applyAlignment="1" applyProtection="1">
      <alignment horizontal="right" vertical="center"/>
      <protection hidden="1"/>
    </xf>
    <xf numFmtId="168" fontId="12" fillId="15" borderId="9" xfId="0" applyNumberFormat="1" applyFont="1" applyFill="1" applyBorder="1" applyAlignment="1" applyProtection="1">
      <alignment horizontal="right" vertical="center"/>
      <protection hidden="1"/>
    </xf>
    <xf numFmtId="177" fontId="8" fillId="15" borderId="9" xfId="0" applyNumberFormat="1" applyFont="1" applyFill="1" applyBorder="1" applyAlignment="1" applyProtection="1">
      <alignment horizontal="right" vertical="center"/>
      <protection hidden="1"/>
    </xf>
    <xf numFmtId="168" fontId="8" fillId="15" borderId="9" xfId="1" applyNumberFormat="1" applyFont="1" applyFill="1" applyBorder="1" applyAlignment="1" applyProtection="1">
      <alignment horizontal="right" vertical="center"/>
      <protection hidden="1"/>
    </xf>
    <xf numFmtId="168" fontId="8" fillId="15" borderId="0" xfId="1" applyNumberFormat="1" applyFont="1" applyFill="1" applyBorder="1" applyAlignment="1" applyProtection="1">
      <alignment horizontal="right" vertical="center"/>
      <protection hidden="1"/>
    </xf>
    <xf numFmtId="177" fontId="8" fillId="4" borderId="48" xfId="0" applyNumberFormat="1" applyFont="1" applyFill="1" applyBorder="1" applyAlignment="1" applyProtection="1">
      <alignment horizontal="right" vertical="center"/>
      <protection hidden="1"/>
    </xf>
    <xf numFmtId="177" fontId="8" fillId="4" borderId="0" xfId="0" applyNumberFormat="1" applyFont="1" applyFill="1" applyAlignment="1" applyProtection="1">
      <alignment horizontal="right" vertical="center"/>
      <protection hidden="1"/>
    </xf>
    <xf numFmtId="177" fontId="8" fillId="4" borderId="9" xfId="0" applyNumberFormat="1" applyFont="1" applyFill="1" applyBorder="1" applyAlignment="1" applyProtection="1">
      <alignment horizontal="right" vertical="center"/>
      <protection hidden="1"/>
    </xf>
    <xf numFmtId="168" fontId="8" fillId="4" borderId="9" xfId="0" applyNumberFormat="1" applyFont="1" applyFill="1" applyBorder="1" applyAlignment="1" applyProtection="1">
      <alignment horizontal="right" vertical="center"/>
      <protection hidden="1"/>
    </xf>
    <xf numFmtId="176" fontId="5" fillId="15" borderId="8" xfId="0" applyNumberFormat="1" applyFont="1" applyFill="1" applyBorder="1" applyAlignment="1" applyProtection="1">
      <alignment horizontal="right" vertical="center"/>
      <protection hidden="1"/>
    </xf>
    <xf numFmtId="176" fontId="5" fillId="15" borderId="3" xfId="0" applyNumberFormat="1" applyFont="1" applyFill="1" applyBorder="1" applyAlignment="1" applyProtection="1">
      <alignment horizontal="right" vertical="center"/>
      <protection hidden="1"/>
    </xf>
    <xf numFmtId="176" fontId="6" fillId="15" borderId="9" xfId="0" applyNumberFormat="1" applyFont="1" applyFill="1" applyBorder="1" applyAlignment="1" applyProtection="1">
      <alignment horizontal="right" vertical="center"/>
      <protection hidden="1"/>
    </xf>
    <xf numFmtId="0" fontId="21" fillId="0" borderId="0" xfId="0" applyFont="1" applyAlignment="1" applyProtection="1">
      <alignment vertical="center"/>
      <protection hidden="1"/>
    </xf>
    <xf numFmtId="0" fontId="18" fillId="4" borderId="0" xfId="0" applyFont="1" applyFill="1" applyProtection="1">
      <protection hidden="1"/>
    </xf>
    <xf numFmtId="0" fontId="0" fillId="0" borderId="0" xfId="0" applyProtection="1">
      <protection hidden="1"/>
    </xf>
    <xf numFmtId="0" fontId="52" fillId="4" borderId="0" xfId="0" applyFont="1" applyFill="1" applyProtection="1">
      <protection hidden="1"/>
    </xf>
    <xf numFmtId="14" fontId="58" fillId="4" borderId="0" xfId="0" applyNumberFormat="1" applyFont="1" applyFill="1" applyAlignment="1" applyProtection="1">
      <alignment horizontal="center"/>
      <protection hidden="1"/>
    </xf>
    <xf numFmtId="0" fontId="32" fillId="15" borderId="54" xfId="0" applyFont="1" applyFill="1" applyBorder="1" applyAlignment="1" applyProtection="1">
      <alignment horizontal="center" vertical="center"/>
      <protection hidden="1"/>
    </xf>
    <xf numFmtId="0" fontId="32" fillId="15" borderId="57" xfId="0" applyFont="1" applyFill="1" applyBorder="1" applyAlignment="1" applyProtection="1">
      <alignment horizontal="center" vertical="center"/>
      <protection hidden="1"/>
    </xf>
    <xf numFmtId="176" fontId="33" fillId="4" borderId="46" xfId="0" applyNumberFormat="1" applyFont="1" applyFill="1" applyBorder="1" applyAlignment="1" applyProtection="1">
      <alignment horizontal="right" vertical="center"/>
      <protection hidden="1"/>
    </xf>
    <xf numFmtId="176" fontId="33" fillId="4" borderId="0" xfId="0" applyNumberFormat="1" applyFont="1" applyFill="1" applyAlignment="1" applyProtection="1">
      <alignment horizontal="right" vertical="center"/>
      <protection hidden="1"/>
    </xf>
    <xf numFmtId="176" fontId="32" fillId="4" borderId="0" xfId="0" applyNumberFormat="1" applyFont="1" applyFill="1" applyAlignment="1" applyProtection="1">
      <alignment vertical="center"/>
      <protection hidden="1"/>
    </xf>
    <xf numFmtId="0" fontId="51" fillId="0" borderId="0" xfId="0" applyFont="1" applyProtection="1">
      <protection hidden="1"/>
    </xf>
    <xf numFmtId="171" fontId="32" fillId="6" borderId="6" xfId="2" applyNumberFormat="1" applyFont="1" applyFill="1" applyBorder="1" applyAlignment="1" applyProtection="1">
      <alignment horizontal="center" vertical="center"/>
      <protection hidden="1"/>
    </xf>
    <xf numFmtId="171" fontId="5" fillId="4" borderId="0" xfId="2" applyNumberFormat="1" applyFont="1" applyFill="1" applyAlignment="1" applyProtection="1">
      <alignment horizontal="center" vertical="center"/>
      <protection hidden="1"/>
    </xf>
    <xf numFmtId="187" fontId="33" fillId="4" borderId="0" xfId="0" applyNumberFormat="1" applyFont="1" applyFill="1" applyAlignment="1" applyProtection="1">
      <alignment horizontal="right" vertical="center"/>
      <protection hidden="1"/>
    </xf>
    <xf numFmtId="195" fontId="32" fillId="4" borderId="0" xfId="0" applyNumberFormat="1" applyFont="1" applyFill="1" applyAlignment="1" applyProtection="1">
      <alignment vertical="center"/>
      <protection hidden="1"/>
    </xf>
    <xf numFmtId="194" fontId="33" fillId="4" borderId="0" xfId="0" applyNumberFormat="1" applyFont="1" applyFill="1" applyAlignment="1" applyProtection="1">
      <alignment horizontal="right" vertical="center"/>
      <protection hidden="1"/>
    </xf>
    <xf numFmtId="0" fontId="33" fillId="4" borderId="0" xfId="0" applyFont="1" applyFill="1" applyProtection="1">
      <protection hidden="1"/>
    </xf>
    <xf numFmtId="176" fontId="33" fillId="4" borderId="0" xfId="0" applyNumberFormat="1" applyFont="1" applyFill="1" applyProtection="1">
      <protection hidden="1"/>
    </xf>
    <xf numFmtId="177" fontId="32" fillId="4" borderId="0" xfId="0" applyNumberFormat="1" applyFont="1" applyFill="1" applyAlignment="1" applyProtection="1">
      <alignment vertical="center"/>
      <protection hidden="1"/>
    </xf>
    <xf numFmtId="172" fontId="32" fillId="4" borderId="0" xfId="1" applyNumberFormat="1" applyFont="1" applyFill="1" applyAlignment="1" applyProtection="1">
      <alignment vertical="center"/>
      <protection hidden="1"/>
    </xf>
    <xf numFmtId="168" fontId="32" fillId="4" borderId="0" xfId="1" applyNumberFormat="1" applyFont="1" applyFill="1" applyAlignment="1" applyProtection="1">
      <alignment vertical="center"/>
      <protection hidden="1"/>
    </xf>
    <xf numFmtId="0" fontId="61" fillId="3" borderId="0" xfId="0" applyFont="1" applyFill="1" applyAlignment="1" applyProtection="1">
      <alignment horizontal="centerContinuous" vertical="center"/>
      <protection hidden="1"/>
    </xf>
    <xf numFmtId="0" fontId="62" fillId="3" borderId="0" xfId="0" applyFont="1" applyFill="1" applyAlignment="1" applyProtection="1">
      <alignment horizontal="centerContinuous" vertical="center"/>
      <protection hidden="1"/>
    </xf>
    <xf numFmtId="0" fontId="47" fillId="0" borderId="0" xfId="0" applyFont="1" applyProtection="1">
      <protection hidden="1"/>
    </xf>
    <xf numFmtId="0" fontId="32" fillId="19" borderId="0" xfId="0" applyFont="1" applyFill="1" applyAlignment="1" applyProtection="1">
      <alignment vertical="center"/>
      <protection hidden="1"/>
    </xf>
    <xf numFmtId="0" fontId="32" fillId="3" borderId="0" xfId="0" applyFont="1" applyFill="1" applyAlignment="1" applyProtection="1">
      <alignment horizontal="center" vertical="center"/>
      <protection hidden="1"/>
    </xf>
    <xf numFmtId="0" fontId="63" fillId="11" borderId="0" xfId="0" applyFont="1" applyFill="1" applyAlignment="1" applyProtection="1">
      <alignment horizontal="centerContinuous" vertical="center"/>
      <protection hidden="1"/>
    </xf>
    <xf numFmtId="176" fontId="24" fillId="5" borderId="9" xfId="0" applyNumberFormat="1" applyFont="1" applyFill="1" applyBorder="1" applyAlignment="1" applyProtection="1">
      <alignment horizontal="right" vertical="center"/>
      <protection hidden="1"/>
    </xf>
    <xf numFmtId="0" fontId="8" fillId="15" borderId="54" xfId="0" applyFont="1" applyFill="1" applyBorder="1" applyAlignment="1" applyProtection="1">
      <alignment vertical="center"/>
      <protection hidden="1"/>
    </xf>
    <xf numFmtId="175" fontId="8" fillId="15" borderId="54" xfId="0" applyNumberFormat="1" applyFont="1" applyFill="1" applyBorder="1" applyAlignment="1" applyProtection="1">
      <alignment horizontal="center" vertical="center"/>
      <protection hidden="1"/>
    </xf>
    <xf numFmtId="193" fontId="8" fillId="15" borderId="54" xfId="0" applyNumberFormat="1" applyFont="1" applyFill="1" applyBorder="1" applyAlignment="1" applyProtection="1">
      <alignment horizontal="center" vertical="center"/>
      <protection hidden="1"/>
    </xf>
    <xf numFmtId="0" fontId="8" fillId="15" borderId="57" xfId="0" applyFont="1" applyFill="1" applyBorder="1" applyAlignment="1" applyProtection="1">
      <alignment vertical="center"/>
      <protection hidden="1"/>
    </xf>
    <xf numFmtId="175" fontId="8" fillId="15" borderId="57" xfId="0" applyNumberFormat="1" applyFont="1" applyFill="1" applyBorder="1" applyAlignment="1" applyProtection="1">
      <alignment horizontal="center" vertical="center"/>
      <protection hidden="1"/>
    </xf>
    <xf numFmtId="190" fontId="8" fillId="15" borderId="57" xfId="1" applyNumberFormat="1" applyFont="1" applyFill="1" applyBorder="1" applyAlignment="1" applyProtection="1">
      <alignment horizontal="center" vertical="center"/>
      <protection hidden="1"/>
    </xf>
    <xf numFmtId="168" fontId="8" fillId="15" borderId="57" xfId="1" applyNumberFormat="1" applyFont="1" applyFill="1" applyBorder="1" applyAlignment="1" applyProtection="1">
      <alignment horizontal="center" vertical="center"/>
      <protection hidden="1"/>
    </xf>
    <xf numFmtId="173" fontId="35" fillId="3" borderId="0" xfId="0" applyNumberFormat="1" applyFont="1" applyFill="1" applyAlignment="1" applyProtection="1">
      <alignment horizontal="center" vertical="center"/>
      <protection hidden="1"/>
    </xf>
    <xf numFmtId="0" fontId="0" fillId="2" borderId="0" xfId="0" applyFill="1"/>
    <xf numFmtId="0" fontId="0" fillId="2" borderId="60" xfId="0" applyFill="1" applyBorder="1" applyAlignment="1">
      <alignment horizontal="center"/>
    </xf>
    <xf numFmtId="0" fontId="3" fillId="2" borderId="6" xfId="0" applyFont="1" applyFill="1" applyBorder="1" applyAlignment="1">
      <alignment horizontal="right"/>
    </xf>
    <xf numFmtId="0" fontId="3" fillId="2" borderId="6" xfId="0" applyFont="1" applyFill="1" applyBorder="1" applyAlignment="1">
      <alignment horizontal="right" wrapText="1"/>
    </xf>
    <xf numFmtId="175" fontId="3" fillId="0" borderId="0" xfId="0" applyNumberFormat="1" applyFont="1"/>
    <xf numFmtId="175" fontId="0" fillId="22" borderId="0" xfId="0" applyNumberFormat="1" applyFill="1"/>
    <xf numFmtId="0" fontId="9" fillId="4" borderId="0" xfId="0" applyFont="1" applyFill="1" applyAlignment="1" applyProtection="1">
      <alignment vertical="center"/>
      <protection hidden="1"/>
    </xf>
    <xf numFmtId="0" fontId="15" fillId="4" borderId="0" xfId="0" applyFont="1" applyFill="1" applyProtection="1">
      <protection hidden="1"/>
    </xf>
    <xf numFmtId="0" fontId="16" fillId="4" borderId="0" xfId="0" applyFont="1" applyFill="1" applyProtection="1">
      <protection hidden="1"/>
    </xf>
    <xf numFmtId="0" fontId="11" fillId="4" borderId="0" xfId="0" applyFont="1" applyFill="1" applyProtection="1">
      <protection hidden="1"/>
    </xf>
    <xf numFmtId="0" fontId="30" fillId="4" borderId="0" xfId="0" applyFont="1" applyFill="1" applyProtection="1">
      <protection hidden="1"/>
    </xf>
    <xf numFmtId="0" fontId="8" fillId="4" borderId="0" xfId="2" applyFont="1" applyFill="1" applyAlignment="1" applyProtection="1">
      <alignment vertical="center"/>
      <protection hidden="1"/>
    </xf>
    <xf numFmtId="0" fontId="17" fillId="4" borderId="0" xfId="2" applyFont="1" applyFill="1" applyAlignment="1" applyProtection="1">
      <alignment vertical="center"/>
      <protection hidden="1"/>
    </xf>
    <xf numFmtId="0" fontId="19" fillId="4" borderId="0" xfId="0" applyFont="1" applyFill="1" applyAlignment="1" applyProtection="1">
      <alignment vertical="center"/>
      <protection hidden="1"/>
    </xf>
    <xf numFmtId="0" fontId="13" fillId="4" borderId="0" xfId="0" applyFont="1" applyFill="1" applyProtection="1">
      <protection hidden="1"/>
    </xf>
    <xf numFmtId="0" fontId="21" fillId="0" borderId="62" xfId="2" applyFont="1" applyBorder="1" applyAlignment="1" applyProtection="1">
      <alignment horizontal="center" vertical="center"/>
      <protection hidden="1"/>
    </xf>
    <xf numFmtId="0" fontId="21" fillId="0" borderId="63" xfId="2" applyFont="1" applyBorder="1" applyAlignment="1" applyProtection="1">
      <alignment horizontal="center" vertical="center"/>
      <protection hidden="1"/>
    </xf>
    <xf numFmtId="0" fontId="8" fillId="0" borderId="65" xfId="2" applyFont="1" applyBorder="1" applyAlignment="1" applyProtection="1">
      <alignment horizontal="center" vertical="center"/>
      <protection hidden="1"/>
    </xf>
    <xf numFmtId="0" fontId="8" fillId="0" borderId="61" xfId="2" applyFont="1" applyBorder="1" applyAlignment="1" applyProtection="1">
      <alignment horizontal="left" vertical="center" indent="1"/>
      <protection hidden="1"/>
    </xf>
    <xf numFmtId="0" fontId="8" fillId="0" borderId="47" xfId="2" applyFont="1" applyBorder="1" applyAlignment="1" applyProtection="1">
      <alignment horizontal="left" vertical="center" indent="1"/>
      <protection hidden="1"/>
    </xf>
    <xf numFmtId="0" fontId="8" fillId="0" borderId="64" xfId="2" applyFont="1" applyBorder="1" applyAlignment="1" applyProtection="1">
      <alignment horizontal="left" vertical="center" indent="1"/>
      <protection hidden="1"/>
    </xf>
    <xf numFmtId="0" fontId="4" fillId="0" borderId="2" xfId="0" applyFont="1" applyBorder="1" applyProtection="1">
      <protection hidden="1"/>
    </xf>
    <xf numFmtId="0" fontId="17" fillId="0" borderId="0" xfId="0" applyFont="1" applyAlignment="1" applyProtection="1">
      <alignment horizontal="center" vertical="center"/>
      <protection hidden="1"/>
    </xf>
    <xf numFmtId="0" fontId="4" fillId="0" borderId="68" xfId="0" applyFont="1" applyBorder="1" applyProtection="1">
      <protection hidden="1"/>
    </xf>
    <xf numFmtId="0" fontId="17" fillId="0" borderId="68" xfId="2" applyFont="1" applyBorder="1" applyProtection="1">
      <protection hidden="1"/>
    </xf>
    <xf numFmtId="0" fontId="54" fillId="0" borderId="68" xfId="0" applyFont="1" applyBorder="1" applyProtection="1">
      <protection hidden="1"/>
    </xf>
    <xf numFmtId="0" fontId="54" fillId="0" borderId="62" xfId="0" applyFont="1" applyBorder="1" applyProtection="1">
      <protection hidden="1"/>
    </xf>
    <xf numFmtId="0" fontId="54" fillId="0" borderId="0" xfId="0" applyFont="1" applyProtection="1">
      <protection hidden="1"/>
    </xf>
    <xf numFmtId="0" fontId="4" fillId="0" borderId="66" xfId="0" applyFont="1" applyBorder="1" applyProtection="1">
      <protection hidden="1"/>
    </xf>
    <xf numFmtId="0" fontId="17" fillId="0" borderId="66" xfId="2" applyFont="1" applyBorder="1" applyProtection="1">
      <protection hidden="1"/>
    </xf>
    <xf numFmtId="0" fontId="54" fillId="0" borderId="66" xfId="0" applyFont="1" applyBorder="1" applyProtection="1">
      <protection hidden="1"/>
    </xf>
    <xf numFmtId="0" fontId="54" fillId="0" borderId="65" xfId="0" applyFont="1" applyBorder="1" applyProtection="1">
      <protection hidden="1"/>
    </xf>
    <xf numFmtId="0" fontId="17" fillId="0" borderId="68" xfId="0" applyFont="1" applyBorder="1" applyProtection="1">
      <protection hidden="1"/>
    </xf>
    <xf numFmtId="0" fontId="4" fillId="0" borderId="68" xfId="0" applyFont="1" applyBorder="1" applyAlignment="1" applyProtection="1">
      <alignment vertical="center"/>
      <protection hidden="1"/>
    </xf>
    <xf numFmtId="0" fontId="17" fillId="0" borderId="66" xfId="0" applyFont="1" applyBorder="1" applyProtection="1">
      <protection hidden="1"/>
    </xf>
    <xf numFmtId="0" fontId="13" fillId="0" borderId="0" xfId="0" applyFont="1" applyAlignment="1" applyProtection="1">
      <alignment vertical="center"/>
      <protection hidden="1"/>
    </xf>
    <xf numFmtId="0" fontId="4" fillId="4" borderId="2" xfId="0" applyFont="1" applyFill="1" applyBorder="1" applyProtection="1">
      <protection hidden="1"/>
    </xf>
    <xf numFmtId="166" fontId="8" fillId="4" borderId="0" xfId="3" applyNumberFormat="1" applyFont="1" applyFill="1" applyBorder="1" applyAlignment="1" applyProtection="1">
      <alignment horizontal="center"/>
      <protection hidden="1"/>
    </xf>
    <xf numFmtId="0" fontId="5" fillId="5" borderId="11" xfId="2" applyFont="1" applyFill="1" applyBorder="1" applyAlignment="1" applyProtection="1">
      <alignment horizontal="left" vertical="center" indent="1"/>
      <protection hidden="1"/>
    </xf>
    <xf numFmtId="0" fontId="4" fillId="5" borderId="67" xfId="0" applyFont="1" applyFill="1" applyBorder="1" applyProtection="1">
      <protection hidden="1"/>
    </xf>
    <xf numFmtId="0" fontId="17" fillId="5" borderId="67" xfId="0" applyFont="1" applyFill="1" applyBorder="1" applyAlignment="1" applyProtection="1">
      <alignment vertical="center"/>
      <protection hidden="1"/>
    </xf>
    <xf numFmtId="0" fontId="17" fillId="5" borderId="67" xfId="0" applyFont="1" applyFill="1" applyBorder="1" applyProtection="1">
      <protection hidden="1"/>
    </xf>
    <xf numFmtId="0" fontId="54" fillId="5" borderId="67" xfId="0" applyFont="1" applyFill="1" applyBorder="1" applyProtection="1">
      <protection hidden="1"/>
    </xf>
    <xf numFmtId="0" fontId="54" fillId="5" borderId="12" xfId="0" applyFont="1" applyFill="1" applyBorder="1" applyProtection="1">
      <protection hidden="1"/>
    </xf>
    <xf numFmtId="167" fontId="22" fillId="0" borderId="66" xfId="2" applyNumberFormat="1" applyFont="1" applyBorder="1" applyAlignment="1" applyProtection="1">
      <alignment horizontal="right" vertical="center"/>
      <protection hidden="1"/>
    </xf>
    <xf numFmtId="0" fontId="21" fillId="0" borderId="65" xfId="2" applyFont="1" applyBorder="1" applyAlignment="1" applyProtection="1">
      <alignment horizontal="center" vertical="center"/>
      <protection hidden="1"/>
    </xf>
    <xf numFmtId="0" fontId="21" fillId="0" borderId="0" xfId="2" applyFont="1" applyAlignment="1" applyProtection="1">
      <alignment horizontal="right" vertical="center"/>
      <protection hidden="1"/>
    </xf>
    <xf numFmtId="0" fontId="47" fillId="0" borderId="2" xfId="0" applyFont="1" applyBorder="1" applyAlignment="1" applyProtection="1">
      <alignment horizontal="center" vertical="center"/>
      <protection hidden="1"/>
    </xf>
    <xf numFmtId="0" fontId="25" fillId="0" borderId="0" xfId="0" applyFont="1" applyAlignment="1" applyProtection="1">
      <alignment vertical="center"/>
      <protection hidden="1"/>
    </xf>
    <xf numFmtId="171" fontId="5" fillId="6" borderId="70" xfId="2" applyNumberFormat="1" applyFont="1" applyFill="1" applyBorder="1" applyAlignment="1" applyProtection="1">
      <alignment horizontal="right" vertical="center"/>
      <protection hidden="1"/>
    </xf>
    <xf numFmtId="17" fontId="8" fillId="4" borderId="0" xfId="0" applyNumberFormat="1" applyFont="1" applyFill="1" applyAlignment="1" applyProtection="1">
      <alignment horizontal="right" vertical="center"/>
      <protection hidden="1"/>
    </xf>
    <xf numFmtId="165" fontId="5" fillId="7" borderId="0" xfId="0" applyNumberFormat="1" applyFont="1" applyFill="1" applyAlignment="1" applyProtection="1">
      <alignment horizontal="center" vertical="center"/>
      <protection hidden="1"/>
    </xf>
    <xf numFmtId="176" fontId="8" fillId="4" borderId="72" xfId="0" applyNumberFormat="1" applyFont="1" applyFill="1" applyBorder="1" applyAlignment="1" applyProtection="1">
      <alignment horizontal="right" vertical="center"/>
      <protection hidden="1"/>
    </xf>
    <xf numFmtId="188" fontId="8" fillId="4" borderId="0" xfId="0" applyNumberFormat="1" applyFont="1" applyFill="1" applyAlignment="1" applyProtection="1">
      <alignment horizontal="center" vertical="center"/>
      <protection hidden="1"/>
    </xf>
    <xf numFmtId="188" fontId="8" fillId="4" borderId="72" xfId="0" applyNumberFormat="1" applyFont="1" applyFill="1" applyBorder="1" applyAlignment="1" applyProtection="1">
      <alignment horizontal="right" vertical="center"/>
      <protection hidden="1"/>
    </xf>
    <xf numFmtId="168" fontId="12" fillId="4" borderId="72" xfId="0" applyNumberFormat="1" applyFont="1" applyFill="1" applyBorder="1" applyAlignment="1" applyProtection="1">
      <alignment horizontal="right" vertical="center"/>
      <protection hidden="1"/>
    </xf>
    <xf numFmtId="0" fontId="8" fillId="0" borderId="0" xfId="0" applyFont="1" applyAlignment="1" applyProtection="1">
      <alignment horizontal="right" vertical="center"/>
      <protection hidden="1"/>
    </xf>
    <xf numFmtId="168" fontId="8" fillId="5" borderId="0" xfId="1" applyNumberFormat="1" applyFont="1" applyFill="1" applyBorder="1" applyAlignment="1" applyProtection="1">
      <alignment vertical="center"/>
      <protection hidden="1"/>
    </xf>
    <xf numFmtId="176" fontId="24" fillId="5" borderId="0" xfId="0" applyNumberFormat="1" applyFont="1" applyFill="1" applyAlignment="1" applyProtection="1">
      <alignment horizontal="right" vertical="center"/>
      <protection hidden="1"/>
    </xf>
    <xf numFmtId="171" fontId="24" fillId="6" borderId="69" xfId="2" applyNumberFormat="1" applyFont="1" applyFill="1" applyBorder="1" applyAlignment="1" applyProtection="1">
      <alignment horizontal="center" vertical="center"/>
      <protection hidden="1"/>
    </xf>
    <xf numFmtId="0" fontId="17" fillId="4" borderId="72" xfId="0" applyFont="1" applyFill="1" applyBorder="1" applyAlignment="1" applyProtection="1">
      <alignment horizontal="right" vertical="center"/>
      <protection hidden="1"/>
    </xf>
    <xf numFmtId="168" fontId="12" fillId="15" borderId="72" xfId="0" applyNumberFormat="1" applyFont="1" applyFill="1" applyBorder="1" applyAlignment="1" applyProtection="1">
      <alignment horizontal="right" vertical="center"/>
      <protection hidden="1"/>
    </xf>
    <xf numFmtId="0" fontId="8" fillId="15" borderId="0" xfId="0" applyFont="1" applyFill="1" applyAlignment="1" applyProtection="1">
      <alignment vertical="center"/>
      <protection hidden="1"/>
    </xf>
    <xf numFmtId="177" fontId="8" fillId="15" borderId="72" xfId="0" applyNumberFormat="1" applyFont="1" applyFill="1" applyBorder="1" applyAlignment="1" applyProtection="1">
      <alignment horizontal="right" vertical="center"/>
      <protection hidden="1"/>
    </xf>
    <xf numFmtId="177" fontId="8" fillId="4" borderId="72" xfId="0" applyNumberFormat="1" applyFont="1" applyFill="1" applyBorder="1" applyAlignment="1" applyProtection="1">
      <alignment horizontal="right" vertical="center"/>
      <protection hidden="1"/>
    </xf>
    <xf numFmtId="0" fontId="12" fillId="15" borderId="0" xfId="0" applyFont="1" applyFill="1" applyAlignment="1" applyProtection="1">
      <alignment horizontal="center" vertical="center"/>
      <protection hidden="1"/>
    </xf>
    <xf numFmtId="0" fontId="63" fillId="26" borderId="0" xfId="0" applyFont="1" applyFill="1" applyAlignment="1" applyProtection="1">
      <alignment horizontal="centerContinuous" vertical="center"/>
      <protection hidden="1"/>
    </xf>
    <xf numFmtId="188" fontId="8" fillId="5" borderId="9" xfId="0" applyNumberFormat="1" applyFont="1" applyFill="1" applyBorder="1" applyAlignment="1" applyProtection="1">
      <alignment horizontal="right" vertical="center"/>
      <protection hidden="1"/>
    </xf>
    <xf numFmtId="188" fontId="8" fillId="5" borderId="72" xfId="0" applyNumberFormat="1" applyFont="1" applyFill="1" applyBorder="1" applyAlignment="1" applyProtection="1">
      <alignment horizontal="right" vertical="center"/>
      <protection hidden="1"/>
    </xf>
    <xf numFmtId="176" fontId="8" fillId="5" borderId="9" xfId="0" applyNumberFormat="1" applyFont="1" applyFill="1" applyBorder="1" applyAlignment="1" applyProtection="1">
      <alignment horizontal="right" vertical="center"/>
      <protection hidden="1"/>
    </xf>
    <xf numFmtId="176" fontId="8" fillId="5" borderId="72" xfId="0" applyNumberFormat="1" applyFont="1" applyFill="1" applyBorder="1" applyAlignment="1" applyProtection="1">
      <alignment horizontal="right" vertical="center"/>
      <protection hidden="1"/>
    </xf>
    <xf numFmtId="176" fontId="12" fillId="4" borderId="9" xfId="0" applyNumberFormat="1" applyFont="1" applyFill="1" applyBorder="1" applyAlignment="1" applyProtection="1">
      <alignment horizontal="right" vertical="center"/>
      <protection hidden="1"/>
    </xf>
    <xf numFmtId="176" fontId="12" fillId="4" borderId="72" xfId="0" applyNumberFormat="1" applyFont="1" applyFill="1" applyBorder="1" applyAlignment="1" applyProtection="1">
      <alignment horizontal="right" vertical="center"/>
      <protection hidden="1"/>
    </xf>
    <xf numFmtId="165" fontId="8" fillId="0" borderId="0" xfId="0" applyNumberFormat="1" applyFont="1" applyAlignment="1" applyProtection="1">
      <alignment horizontal="right" vertical="center"/>
      <protection hidden="1"/>
    </xf>
    <xf numFmtId="0" fontId="73" fillId="8" borderId="0" xfId="0" applyFont="1" applyFill="1" applyAlignment="1" applyProtection="1">
      <alignment horizontal="centerContinuous" vertical="center"/>
      <protection hidden="1"/>
    </xf>
    <xf numFmtId="0" fontId="33" fillId="4" borderId="0" xfId="0" applyFont="1" applyFill="1" applyAlignment="1" applyProtection="1">
      <alignment horizontal="right" vertical="center" indent="1"/>
      <protection hidden="1"/>
    </xf>
    <xf numFmtId="192" fontId="56" fillId="15" borderId="75" xfId="1" applyNumberFormat="1" applyFont="1" applyFill="1" applyBorder="1" applyAlignment="1" applyProtection="1">
      <alignment horizontal="right" vertical="center"/>
      <protection hidden="1"/>
    </xf>
    <xf numFmtId="192" fontId="56" fillId="15" borderId="74" xfId="1" applyNumberFormat="1" applyFont="1" applyFill="1" applyBorder="1" applyAlignment="1" applyProtection="1">
      <alignment horizontal="right" vertical="center"/>
      <protection hidden="1"/>
    </xf>
    <xf numFmtId="192" fontId="56" fillId="15" borderId="76" xfId="1" applyNumberFormat="1" applyFont="1" applyFill="1" applyBorder="1" applyAlignment="1" applyProtection="1">
      <alignment horizontal="right" vertical="center"/>
      <protection hidden="1"/>
    </xf>
    <xf numFmtId="168" fontId="8" fillId="4" borderId="71" xfId="0" applyNumberFormat="1" applyFont="1" applyFill="1" applyBorder="1" applyAlignment="1" applyProtection="1">
      <alignment horizontal="center" vertical="center"/>
      <protection hidden="1"/>
    </xf>
    <xf numFmtId="0" fontId="64" fillId="4" borderId="0" xfId="0" applyFont="1" applyFill="1" applyAlignment="1" applyProtection="1">
      <alignment horizontal="center" vertical="center"/>
      <protection hidden="1"/>
    </xf>
    <xf numFmtId="0" fontId="64" fillId="4" borderId="0" xfId="0" applyFont="1" applyFill="1" applyAlignment="1" applyProtection="1">
      <alignment vertical="center"/>
      <protection hidden="1"/>
    </xf>
    <xf numFmtId="176" fontId="64" fillId="4" borderId="0" xfId="0" applyNumberFormat="1" applyFont="1" applyFill="1" applyAlignment="1" applyProtection="1">
      <alignment horizontal="center" vertical="center"/>
      <protection hidden="1"/>
    </xf>
    <xf numFmtId="0" fontId="0" fillId="4" borderId="0" xfId="0" applyFill="1" applyProtection="1">
      <protection hidden="1"/>
    </xf>
    <xf numFmtId="0" fontId="0" fillId="25" borderId="0" xfId="0" applyFill="1" applyProtection="1">
      <protection hidden="1"/>
    </xf>
    <xf numFmtId="165" fontId="8" fillId="0" borderId="0" xfId="0" applyNumberFormat="1" applyFont="1" applyAlignment="1" applyProtection="1">
      <alignment horizontal="center" vertical="center"/>
      <protection hidden="1"/>
    </xf>
    <xf numFmtId="0" fontId="4" fillId="3" borderId="0" xfId="0" applyFont="1" applyFill="1" applyProtection="1">
      <protection hidden="1"/>
    </xf>
    <xf numFmtId="0" fontId="54" fillId="3" borderId="0" xfId="0" applyFont="1" applyFill="1" applyProtection="1">
      <protection hidden="1"/>
    </xf>
    <xf numFmtId="0" fontId="17" fillId="3" borderId="0" xfId="0" applyFont="1" applyFill="1" applyProtection="1">
      <protection hidden="1"/>
    </xf>
    <xf numFmtId="0" fontId="54" fillId="4" borderId="0" xfId="0" applyFont="1" applyFill="1" applyProtection="1">
      <protection hidden="1"/>
    </xf>
    <xf numFmtId="165" fontId="4" fillId="3" borderId="0" xfId="0" applyNumberFormat="1" applyFont="1" applyFill="1" applyProtection="1">
      <protection hidden="1"/>
    </xf>
    <xf numFmtId="0" fontId="54" fillId="3" borderId="0" xfId="0" applyFont="1" applyFill="1" applyAlignment="1" applyProtection="1">
      <alignment horizontal="center" vertical="center"/>
      <protection hidden="1"/>
    </xf>
    <xf numFmtId="0" fontId="17" fillId="3" borderId="0" xfId="0" applyFont="1" applyFill="1" applyAlignment="1" applyProtection="1">
      <alignment horizontal="left" vertical="center"/>
      <protection hidden="1"/>
    </xf>
    <xf numFmtId="10" fontId="17" fillId="3" borderId="0" xfId="1" applyNumberFormat="1" applyFont="1" applyFill="1" applyAlignment="1" applyProtection="1">
      <alignment horizontal="center" vertical="center"/>
      <protection hidden="1"/>
    </xf>
    <xf numFmtId="0" fontId="55" fillId="3" borderId="0" xfId="0" applyFont="1" applyFill="1" applyAlignment="1" applyProtection="1">
      <alignment horizontal="center" vertical="center"/>
      <protection hidden="1"/>
    </xf>
    <xf numFmtId="0" fontId="4" fillId="3" borderId="0" xfId="0" applyFont="1" applyFill="1" applyAlignment="1" applyProtection="1">
      <alignment vertical="center"/>
      <protection hidden="1"/>
    </xf>
    <xf numFmtId="165" fontId="4" fillId="3" borderId="0" xfId="0" applyNumberFormat="1" applyFont="1" applyFill="1" applyAlignment="1" applyProtection="1">
      <alignment vertical="center"/>
      <protection hidden="1"/>
    </xf>
    <xf numFmtId="0" fontId="4" fillId="3" borderId="0" xfId="0" applyFont="1" applyFill="1" applyAlignment="1" applyProtection="1">
      <alignment horizontal="centerContinuous"/>
      <protection hidden="1"/>
    </xf>
    <xf numFmtId="0" fontId="5" fillId="3" borderId="0" xfId="2" applyFont="1" applyFill="1" applyAlignment="1" applyProtection="1">
      <alignment horizontal="centerContinuous"/>
      <protection hidden="1"/>
    </xf>
    <xf numFmtId="166" fontId="8" fillId="3" borderId="0" xfId="3" applyNumberFormat="1" applyFont="1" applyFill="1" applyBorder="1" applyAlignment="1" applyProtection="1">
      <alignment horizontal="centerContinuous"/>
      <protection hidden="1"/>
    </xf>
    <xf numFmtId="0" fontId="7" fillId="3" borderId="0" xfId="0" applyFont="1" applyFill="1" applyAlignment="1" applyProtection="1">
      <alignment horizontal="centerContinuous"/>
      <protection hidden="1"/>
    </xf>
    <xf numFmtId="0" fontId="10" fillId="3" borderId="0" xfId="0" applyFont="1" applyFill="1" applyAlignment="1" applyProtection="1">
      <alignment vertical="center"/>
      <protection hidden="1"/>
    </xf>
    <xf numFmtId="0" fontId="15" fillId="3" borderId="0" xfId="0" applyFont="1" applyFill="1" applyAlignment="1" applyProtection="1">
      <alignment vertical="center"/>
      <protection hidden="1"/>
    </xf>
    <xf numFmtId="0" fontId="70" fillId="3" borderId="0" xfId="0" applyFont="1" applyFill="1" applyAlignment="1" applyProtection="1">
      <alignment vertical="center"/>
      <protection hidden="1"/>
    </xf>
    <xf numFmtId="0" fontId="9" fillId="3" borderId="0" xfId="0" applyFont="1" applyFill="1" applyAlignment="1" applyProtection="1">
      <alignment vertical="center"/>
      <protection hidden="1"/>
    </xf>
    <xf numFmtId="0" fontId="54" fillId="3" borderId="0" xfId="0" applyFont="1" applyFill="1" applyAlignment="1" applyProtection="1">
      <alignment vertical="center"/>
      <protection hidden="1"/>
    </xf>
    <xf numFmtId="0" fontId="8" fillId="3" borderId="0" xfId="0" applyFont="1" applyFill="1" applyAlignment="1" applyProtection="1">
      <alignment vertical="center"/>
      <protection hidden="1"/>
    </xf>
    <xf numFmtId="5" fontId="8" fillId="3" borderId="0" xfId="0" applyNumberFormat="1" applyFont="1" applyFill="1" applyAlignment="1" applyProtection="1">
      <alignment horizontal="right" vertical="center"/>
      <protection hidden="1"/>
    </xf>
    <xf numFmtId="0" fontId="12" fillId="3" borderId="0" xfId="0" applyFont="1" applyFill="1" applyAlignment="1" applyProtection="1">
      <alignment vertical="center"/>
      <protection hidden="1"/>
    </xf>
    <xf numFmtId="172" fontId="8" fillId="3" borderId="0" xfId="1" applyNumberFormat="1" applyFont="1" applyFill="1" applyAlignment="1" applyProtection="1">
      <alignment vertical="center"/>
      <protection hidden="1"/>
    </xf>
    <xf numFmtId="0" fontId="55" fillId="3" borderId="0" xfId="0" applyFont="1" applyFill="1" applyAlignment="1" applyProtection="1">
      <alignment vertical="center"/>
      <protection hidden="1"/>
    </xf>
    <xf numFmtId="0" fontId="22" fillId="3" borderId="0" xfId="0" applyFont="1" applyFill="1" applyAlignment="1" applyProtection="1">
      <alignment vertical="center"/>
      <protection hidden="1"/>
    </xf>
    <xf numFmtId="177" fontId="8" fillId="3" borderId="0" xfId="0" applyNumberFormat="1" applyFont="1" applyFill="1" applyAlignment="1" applyProtection="1">
      <alignment horizontal="right" vertical="center"/>
      <protection hidden="1"/>
    </xf>
    <xf numFmtId="0" fontId="6" fillId="3" borderId="0" xfId="0" applyFont="1" applyFill="1" applyAlignment="1" applyProtection="1">
      <alignment horizontal="left" vertical="center" indent="1"/>
      <protection hidden="1"/>
    </xf>
    <xf numFmtId="0" fontId="6" fillId="3" borderId="0" xfId="0" applyFont="1" applyFill="1" applyAlignment="1" applyProtection="1">
      <alignment vertical="center"/>
      <protection hidden="1"/>
    </xf>
    <xf numFmtId="192" fontId="6" fillId="3" borderId="0" xfId="1" applyNumberFormat="1" applyFont="1" applyFill="1" applyBorder="1" applyAlignment="1" applyProtection="1">
      <alignment horizontal="right" vertical="center"/>
      <protection hidden="1"/>
    </xf>
    <xf numFmtId="204" fontId="6" fillId="3" borderId="0" xfId="0" applyNumberFormat="1" applyFont="1" applyFill="1" applyAlignment="1" applyProtection="1">
      <alignment vertical="center"/>
      <protection hidden="1"/>
    </xf>
    <xf numFmtId="177" fontId="55" fillId="3" borderId="0" xfId="0" applyNumberFormat="1" applyFont="1" applyFill="1" applyAlignment="1" applyProtection="1">
      <alignment horizontal="right" vertical="center"/>
      <protection hidden="1"/>
    </xf>
    <xf numFmtId="171" fontId="5" fillId="6" borderId="6" xfId="2" applyNumberFormat="1" applyFont="1" applyFill="1" applyBorder="1" applyAlignment="1" applyProtection="1">
      <alignment horizontal="centerContinuous" vertical="center"/>
      <protection hidden="1"/>
    </xf>
    <xf numFmtId="168" fontId="8" fillId="5" borderId="0" xfId="1" applyNumberFormat="1" applyFont="1" applyFill="1" applyBorder="1" applyAlignment="1" applyProtection="1">
      <alignment horizontal="centerContinuous" vertical="center"/>
      <protection hidden="1"/>
    </xf>
    <xf numFmtId="0" fontId="8" fillId="4" borderId="0" xfId="0" applyFont="1" applyFill="1" applyAlignment="1" applyProtection="1">
      <alignment horizontal="centerContinuous" vertical="center"/>
      <protection hidden="1"/>
    </xf>
    <xf numFmtId="188" fontId="8" fillId="4" borderId="0" xfId="0" applyNumberFormat="1" applyFont="1" applyFill="1" applyAlignment="1" applyProtection="1">
      <alignment horizontal="centerContinuous" vertical="center"/>
      <protection hidden="1"/>
    </xf>
    <xf numFmtId="0" fontId="8" fillId="4" borderId="7" xfId="0" applyFont="1" applyFill="1" applyBorder="1" applyAlignment="1" applyProtection="1">
      <alignment horizontal="centerContinuous" vertical="center"/>
      <protection hidden="1"/>
    </xf>
    <xf numFmtId="176" fontId="24" fillId="5" borderId="7" xfId="0" applyNumberFormat="1" applyFont="1" applyFill="1" applyBorder="1" applyAlignment="1" applyProtection="1">
      <alignment horizontal="centerContinuous" vertical="center"/>
      <protection hidden="1"/>
    </xf>
    <xf numFmtId="168" fontId="8" fillId="5" borderId="0" xfId="1" applyNumberFormat="1" applyFont="1" applyFill="1" applyBorder="1" applyAlignment="1" applyProtection="1">
      <alignment horizontal="right" vertical="center"/>
      <protection hidden="1"/>
    </xf>
    <xf numFmtId="0" fontId="10" fillId="3" borderId="0" xfId="0" applyFont="1" applyFill="1" applyProtection="1">
      <protection hidden="1"/>
    </xf>
    <xf numFmtId="0" fontId="19" fillId="3" borderId="0" xfId="0" applyFont="1" applyFill="1" applyAlignment="1" applyProtection="1">
      <alignment vertical="center"/>
      <protection hidden="1"/>
    </xf>
    <xf numFmtId="0" fontId="28" fillId="3" borderId="0" xfId="0" applyFont="1" applyFill="1" applyAlignment="1" applyProtection="1">
      <alignment vertical="center"/>
      <protection hidden="1"/>
    </xf>
    <xf numFmtId="0" fontId="19" fillId="3" borderId="0" xfId="0" applyFont="1" applyFill="1" applyProtection="1">
      <protection hidden="1"/>
    </xf>
    <xf numFmtId="0" fontId="21" fillId="3" borderId="0" xfId="0" applyFont="1" applyFill="1" applyProtection="1">
      <protection hidden="1"/>
    </xf>
    <xf numFmtId="0" fontId="18" fillId="3" borderId="0" xfId="0" applyFont="1" applyFill="1" applyAlignment="1" applyProtection="1">
      <alignment vertical="center"/>
      <protection hidden="1"/>
    </xf>
    <xf numFmtId="0" fontId="21" fillId="3" borderId="0" xfId="0" applyFont="1" applyFill="1" applyAlignment="1" applyProtection="1">
      <alignment vertical="center"/>
      <protection hidden="1"/>
    </xf>
    <xf numFmtId="0" fontId="18" fillId="3" borderId="0" xfId="0" applyFont="1" applyFill="1" applyProtection="1">
      <protection hidden="1"/>
    </xf>
    <xf numFmtId="0" fontId="5" fillId="7" borderId="7" xfId="0" applyFont="1" applyFill="1" applyBorder="1" applyAlignment="1" applyProtection="1">
      <alignment horizontal="right" vertical="center"/>
      <protection hidden="1"/>
    </xf>
    <xf numFmtId="176" fontId="5" fillId="7" borderId="8" xfId="0" applyNumberFormat="1" applyFont="1" applyFill="1" applyBorder="1" applyAlignment="1" applyProtection="1">
      <alignment horizontal="right" vertical="center"/>
      <protection hidden="1"/>
    </xf>
    <xf numFmtId="176" fontId="5" fillId="7" borderId="3" xfId="0" applyNumberFormat="1" applyFont="1" applyFill="1" applyBorder="1" applyAlignment="1" applyProtection="1">
      <alignment horizontal="right" vertical="center"/>
      <protection hidden="1"/>
    </xf>
    <xf numFmtId="165" fontId="5" fillId="7" borderId="3" xfId="0" applyNumberFormat="1" applyFont="1" applyFill="1" applyBorder="1" applyAlignment="1" applyProtection="1">
      <alignment horizontal="right" vertical="center"/>
      <protection hidden="1"/>
    </xf>
    <xf numFmtId="0" fontId="8" fillId="4" borderId="7" xfId="0" applyFont="1" applyFill="1" applyBorder="1" applyAlignment="1" applyProtection="1">
      <alignment vertical="center"/>
      <protection hidden="1"/>
    </xf>
    <xf numFmtId="0" fontId="8" fillId="5" borderId="7" xfId="0" applyFont="1" applyFill="1" applyBorder="1" applyAlignment="1" applyProtection="1">
      <alignment vertical="center"/>
      <protection hidden="1"/>
    </xf>
    <xf numFmtId="188" fontId="8" fillId="4" borderId="7" xfId="0" applyNumberFormat="1" applyFont="1" applyFill="1" applyBorder="1" applyAlignment="1" applyProtection="1">
      <alignment horizontal="centerContinuous" vertical="center"/>
      <protection hidden="1"/>
    </xf>
    <xf numFmtId="0" fontId="0" fillId="3" borderId="0" xfId="0" applyFill="1"/>
    <xf numFmtId="0" fontId="69" fillId="3" borderId="0" xfId="0" applyFont="1" applyFill="1" applyProtection="1">
      <protection hidden="1"/>
    </xf>
    <xf numFmtId="0" fontId="0" fillId="0" borderId="0" xfId="0" applyProtection="1">
      <protection locked="0"/>
    </xf>
    <xf numFmtId="0" fontId="4" fillId="25" borderId="0" xfId="0" applyFont="1" applyFill="1" applyProtection="1">
      <protection hidden="1"/>
    </xf>
    <xf numFmtId="0" fontId="47" fillId="3" borderId="0" xfId="0" applyFont="1" applyFill="1" applyProtection="1">
      <protection hidden="1"/>
    </xf>
    <xf numFmtId="171" fontId="5" fillId="6" borderId="80" xfId="2" applyNumberFormat="1" applyFont="1" applyFill="1" applyBorder="1" applyAlignment="1" applyProtection="1">
      <alignment horizontal="center" vertical="center"/>
      <protection hidden="1"/>
    </xf>
    <xf numFmtId="0" fontId="8" fillId="4" borderId="0" xfId="0" applyFont="1" applyFill="1" applyAlignment="1" applyProtection="1">
      <alignment horizontal="left" vertical="center" indent="1"/>
      <protection hidden="1"/>
    </xf>
    <xf numFmtId="0" fontId="8" fillId="5" borderId="2" xfId="0" applyFont="1" applyFill="1" applyBorder="1" applyAlignment="1" applyProtection="1">
      <alignment horizontal="left" vertical="center" indent="1"/>
      <protection hidden="1"/>
    </xf>
    <xf numFmtId="165" fontId="5" fillId="6" borderId="80" xfId="2" applyNumberFormat="1" applyFont="1" applyFill="1" applyBorder="1" applyAlignment="1" applyProtection="1">
      <alignment horizontal="center" vertical="center"/>
      <protection hidden="1"/>
    </xf>
    <xf numFmtId="165" fontId="21" fillId="4" borderId="79" xfId="0" applyNumberFormat="1" applyFont="1" applyFill="1" applyBorder="1" applyAlignment="1" applyProtection="1">
      <alignment horizontal="center" vertical="center"/>
      <protection hidden="1"/>
    </xf>
    <xf numFmtId="165" fontId="76" fillId="6" borderId="80" xfId="2" applyNumberFormat="1" applyFont="1" applyFill="1" applyBorder="1" applyAlignment="1" applyProtection="1">
      <alignment horizontal="center" vertical="center"/>
      <protection hidden="1"/>
    </xf>
    <xf numFmtId="165" fontId="20" fillId="3" borderId="94" xfId="0" applyNumberFormat="1" applyFont="1" applyFill="1" applyBorder="1" applyAlignment="1" applyProtection="1">
      <alignment horizontal="center" vertical="center"/>
      <protection locked="0"/>
    </xf>
    <xf numFmtId="165" fontId="20" fillId="3" borderId="46" xfId="0" applyNumberFormat="1" applyFont="1" applyFill="1" applyBorder="1" applyAlignment="1" applyProtection="1">
      <alignment horizontal="center" vertical="center"/>
      <protection locked="0"/>
    </xf>
    <xf numFmtId="1" fontId="18" fillId="4" borderId="0" xfId="0" applyNumberFormat="1" applyFont="1" applyFill="1" applyAlignment="1" applyProtection="1">
      <alignment horizontal="center" vertical="center"/>
      <protection hidden="1"/>
    </xf>
    <xf numFmtId="2" fontId="0" fillId="0" borderId="0" xfId="0" applyNumberFormat="1" applyProtection="1">
      <protection locked="0"/>
    </xf>
    <xf numFmtId="209" fontId="21" fillId="4" borderId="79" xfId="0" applyNumberFormat="1" applyFont="1" applyFill="1" applyBorder="1" applyAlignment="1" applyProtection="1">
      <alignment horizontal="center" vertical="center"/>
      <protection hidden="1"/>
    </xf>
    <xf numFmtId="0" fontId="7" fillId="25" borderId="0" xfId="0" applyFont="1" applyFill="1" applyProtection="1">
      <protection hidden="1"/>
    </xf>
    <xf numFmtId="0" fontId="9" fillId="25" borderId="0" xfId="0" applyFont="1" applyFill="1" applyAlignment="1" applyProtection="1">
      <alignment vertical="center"/>
      <protection hidden="1"/>
    </xf>
    <xf numFmtId="0" fontId="28" fillId="25" borderId="0" xfId="0" applyFont="1" applyFill="1" applyProtection="1">
      <protection hidden="1"/>
    </xf>
    <xf numFmtId="0" fontId="7" fillId="25" borderId="0" xfId="0" applyFont="1" applyFill="1" applyAlignment="1" applyProtection="1">
      <alignment vertical="center"/>
      <protection hidden="1"/>
    </xf>
    <xf numFmtId="0" fontId="15" fillId="25" borderId="0" xfId="0" applyFont="1" applyFill="1" applyProtection="1">
      <protection hidden="1"/>
    </xf>
    <xf numFmtId="0" fontId="16" fillId="25" borderId="0" xfId="0" applyFont="1" applyFill="1" applyProtection="1">
      <protection hidden="1"/>
    </xf>
    <xf numFmtId="0" fontId="19" fillId="25" borderId="0" xfId="0" applyFont="1" applyFill="1" applyProtection="1">
      <protection hidden="1"/>
    </xf>
    <xf numFmtId="0" fontId="11" fillId="25" borderId="0" xfId="0" applyFont="1" applyFill="1" applyProtection="1">
      <protection hidden="1"/>
    </xf>
    <xf numFmtId="0" fontId="30" fillId="25" borderId="0" xfId="0" applyFont="1" applyFill="1" applyProtection="1">
      <protection hidden="1"/>
    </xf>
    <xf numFmtId="0" fontId="47" fillId="25" borderId="0" xfId="0" applyFont="1" applyFill="1" applyProtection="1">
      <protection hidden="1"/>
    </xf>
    <xf numFmtId="0" fontId="8" fillId="25" borderId="0" xfId="2" applyFont="1" applyFill="1" applyAlignment="1" applyProtection="1">
      <alignment vertical="center"/>
      <protection hidden="1"/>
    </xf>
    <xf numFmtId="205" fontId="8" fillId="25" borderId="0" xfId="0" applyNumberFormat="1" applyFont="1" applyFill="1" applyAlignment="1" applyProtection="1">
      <alignment horizontal="center" vertical="center"/>
      <protection hidden="1"/>
    </xf>
    <xf numFmtId="165" fontId="8" fillId="25" borderId="0" xfId="0" applyNumberFormat="1" applyFont="1" applyFill="1" applyAlignment="1" applyProtection="1">
      <alignment vertical="center"/>
      <protection hidden="1"/>
    </xf>
    <xf numFmtId="165" fontId="8" fillId="25" borderId="0" xfId="0" applyNumberFormat="1" applyFont="1" applyFill="1" applyAlignment="1" applyProtection="1">
      <alignment horizontal="center" vertical="center"/>
      <protection hidden="1"/>
    </xf>
    <xf numFmtId="0" fontId="51" fillId="25" borderId="0" xfId="0" applyFont="1" applyFill="1" applyProtection="1">
      <protection hidden="1"/>
    </xf>
    <xf numFmtId="0" fontId="8" fillId="25" borderId="0" xfId="0" applyFont="1" applyFill="1" applyProtection="1">
      <protection hidden="1"/>
    </xf>
    <xf numFmtId="0" fontId="52" fillId="25" borderId="0" xfId="0" applyFont="1" applyFill="1" applyProtection="1">
      <protection hidden="1"/>
    </xf>
    <xf numFmtId="0" fontId="33" fillId="25" borderId="0" xfId="0" applyFont="1" applyFill="1" applyProtection="1">
      <protection hidden="1"/>
    </xf>
    <xf numFmtId="0" fontId="80" fillId="25" borderId="0" xfId="0" applyFont="1" applyFill="1" applyProtection="1">
      <protection hidden="1"/>
    </xf>
    <xf numFmtId="185" fontId="80" fillId="25" borderId="0" xfId="0" applyNumberFormat="1" applyFont="1" applyFill="1" applyProtection="1">
      <protection hidden="1"/>
    </xf>
    <xf numFmtId="165" fontId="5" fillId="5" borderId="0" xfId="0" applyNumberFormat="1" applyFont="1" applyFill="1" applyAlignment="1" applyProtection="1">
      <alignment horizontal="center" vertical="center"/>
      <protection hidden="1"/>
    </xf>
    <xf numFmtId="168" fontId="8" fillId="5" borderId="0" xfId="1" applyNumberFormat="1" applyFont="1" applyFill="1" applyBorder="1" applyAlignment="1" applyProtection="1">
      <alignment horizontal="center" vertical="center"/>
      <protection hidden="1"/>
    </xf>
    <xf numFmtId="168" fontId="21" fillId="4" borderId="0" xfId="1" applyNumberFormat="1" applyFont="1" applyFill="1" applyBorder="1" applyAlignment="1" applyProtection="1">
      <alignment horizontal="center" vertical="center"/>
      <protection hidden="1"/>
    </xf>
    <xf numFmtId="0" fontId="64" fillId="23" borderId="90" xfId="0" applyFont="1" applyFill="1" applyBorder="1" applyAlignment="1" applyProtection="1">
      <alignment horizontal="centerContinuous" vertical="center"/>
      <protection hidden="1"/>
    </xf>
    <xf numFmtId="0" fontId="64" fillId="23" borderId="91" xfId="0" applyFont="1" applyFill="1" applyBorder="1" applyAlignment="1" applyProtection="1">
      <alignment horizontal="centerContinuous" vertical="center"/>
      <protection hidden="1"/>
    </xf>
    <xf numFmtId="0" fontId="63" fillId="23" borderId="91" xfId="0" applyFont="1" applyFill="1" applyBorder="1" applyAlignment="1" applyProtection="1">
      <alignment horizontal="centerContinuous" vertical="center"/>
      <protection hidden="1"/>
    </xf>
    <xf numFmtId="0" fontId="63" fillId="23" borderId="92" xfId="0" applyFont="1" applyFill="1" applyBorder="1" applyAlignment="1" applyProtection="1">
      <alignment horizontal="centerContinuous" vertical="center"/>
      <protection hidden="1"/>
    </xf>
    <xf numFmtId="0" fontId="64" fillId="3" borderId="0" xfId="0" applyFont="1" applyFill="1" applyAlignment="1" applyProtection="1">
      <alignment wrapText="1"/>
      <protection hidden="1"/>
    </xf>
    <xf numFmtId="0" fontId="7" fillId="3" borderId="0" xfId="0" applyFont="1" applyFill="1" applyAlignment="1" applyProtection="1">
      <alignment vertical="center"/>
      <protection hidden="1"/>
    </xf>
    <xf numFmtId="0" fontId="63" fillId="4" borderId="0" xfId="0" applyFont="1" applyFill="1" applyAlignment="1" applyProtection="1">
      <alignment horizontal="center" vertical="center"/>
      <protection hidden="1"/>
    </xf>
    <xf numFmtId="0" fontId="0" fillId="33" borderId="0" xfId="0" applyFill="1"/>
    <xf numFmtId="168" fontId="21" fillId="4" borderId="79" xfId="1" applyNumberFormat="1" applyFont="1" applyFill="1" applyBorder="1" applyAlignment="1" applyProtection="1">
      <alignment horizontal="center" vertical="center"/>
      <protection hidden="1"/>
    </xf>
    <xf numFmtId="176" fontId="8" fillId="3" borderId="0" xfId="0" applyNumberFormat="1" applyFont="1" applyFill="1" applyAlignment="1" applyProtection="1">
      <alignment vertical="center"/>
      <protection hidden="1"/>
    </xf>
    <xf numFmtId="0" fontId="47" fillId="4" borderId="0" xfId="0" applyFont="1" applyFill="1" applyProtection="1">
      <protection hidden="1"/>
    </xf>
    <xf numFmtId="0" fontId="81" fillId="25" borderId="0" xfId="0" applyFont="1" applyFill="1" applyProtection="1">
      <protection hidden="1"/>
    </xf>
    <xf numFmtId="168" fontId="85" fillId="3" borderId="0" xfId="0" applyNumberFormat="1" applyFont="1" applyFill="1" applyAlignment="1" applyProtection="1">
      <alignment horizontal="right" vertical="center"/>
      <protection locked="0"/>
    </xf>
    <xf numFmtId="0" fontId="5" fillId="5" borderId="0" xfId="0" applyFont="1" applyFill="1" applyAlignment="1" applyProtection="1">
      <alignment horizontal="left" vertical="center" indent="1"/>
      <protection hidden="1"/>
    </xf>
    <xf numFmtId="176" fontId="27" fillId="5" borderId="9" xfId="0" applyNumberFormat="1" applyFont="1" applyFill="1" applyBorder="1" applyAlignment="1" applyProtection="1">
      <alignment horizontal="right" vertical="center"/>
      <protection hidden="1"/>
    </xf>
    <xf numFmtId="0" fontId="5" fillId="5" borderId="2" xfId="0" applyFont="1" applyFill="1" applyBorder="1" applyAlignment="1" applyProtection="1">
      <alignment horizontal="left" vertical="center" indent="1"/>
      <protection hidden="1"/>
    </xf>
    <xf numFmtId="165" fontId="8" fillId="5" borderId="82" xfId="0" applyNumberFormat="1" applyFont="1" applyFill="1" applyBorder="1" applyAlignment="1" applyProtection="1">
      <alignment horizontal="center" vertical="center"/>
      <protection hidden="1"/>
    </xf>
    <xf numFmtId="165" fontId="8" fillId="5" borderId="81" xfId="0" applyNumberFormat="1" applyFont="1" applyFill="1" applyBorder="1" applyAlignment="1" applyProtection="1">
      <alignment horizontal="center" vertical="center"/>
      <protection hidden="1"/>
    </xf>
    <xf numFmtId="165" fontId="8" fillId="5" borderId="104" xfId="0" applyNumberFormat="1" applyFont="1" applyFill="1" applyBorder="1" applyAlignment="1" applyProtection="1">
      <alignment horizontal="center" vertical="center"/>
      <protection hidden="1"/>
    </xf>
    <xf numFmtId="165" fontId="8" fillId="5" borderId="105" xfId="0" applyNumberFormat="1" applyFont="1" applyFill="1" applyBorder="1" applyAlignment="1" applyProtection="1">
      <alignment horizontal="center" vertical="center"/>
      <protection hidden="1"/>
    </xf>
    <xf numFmtId="191" fontId="8" fillId="5" borderId="95" xfId="0" applyNumberFormat="1" applyFont="1" applyFill="1" applyBorder="1" applyAlignment="1" applyProtection="1">
      <alignment horizontal="center" vertical="center"/>
      <protection hidden="1"/>
    </xf>
    <xf numFmtId="191" fontId="8" fillId="5" borderId="82" xfId="0" applyNumberFormat="1" applyFont="1" applyFill="1" applyBorder="1" applyAlignment="1" applyProtection="1">
      <alignment horizontal="center" vertical="center"/>
      <protection hidden="1"/>
    </xf>
    <xf numFmtId="191" fontId="8" fillId="5" borderId="81" xfId="0" applyNumberFormat="1" applyFont="1" applyFill="1" applyBorder="1" applyAlignment="1" applyProtection="1">
      <alignment horizontal="center" vertical="center"/>
      <protection hidden="1"/>
    </xf>
    <xf numFmtId="165" fontId="8" fillId="5" borderId="95" xfId="0" applyNumberFormat="1" applyFont="1" applyFill="1" applyBorder="1" applyAlignment="1" applyProtection="1">
      <alignment horizontal="center" vertical="center"/>
      <protection hidden="1"/>
    </xf>
    <xf numFmtId="190" fontId="8" fillId="5" borderId="95" xfId="1" applyNumberFormat="1" applyFont="1" applyFill="1" applyBorder="1" applyAlignment="1" applyProtection="1">
      <alignment horizontal="center" vertical="center"/>
      <protection hidden="1"/>
    </xf>
    <xf numFmtId="178" fontId="8" fillId="5" borderId="95" xfId="1" applyNumberFormat="1" applyFont="1" applyFill="1" applyBorder="1" applyAlignment="1" applyProtection="1">
      <alignment horizontal="center" vertical="center"/>
      <protection hidden="1"/>
    </xf>
    <xf numFmtId="169" fontId="8" fillId="5" borderId="0" xfId="1" applyNumberFormat="1" applyFont="1" applyFill="1" applyBorder="1" applyAlignment="1" applyProtection="1">
      <alignment horizontal="center" vertical="center"/>
      <protection hidden="1"/>
    </xf>
    <xf numFmtId="168" fontId="85" fillId="3" borderId="72" xfId="0" applyNumberFormat="1" applyFont="1" applyFill="1" applyBorder="1" applyAlignment="1" applyProtection="1">
      <alignment horizontal="right" vertical="center"/>
      <protection locked="0"/>
    </xf>
    <xf numFmtId="0" fontId="30" fillId="5" borderId="66" xfId="0" applyFont="1" applyFill="1" applyBorder="1" applyAlignment="1" applyProtection="1">
      <alignment vertical="center"/>
      <protection hidden="1"/>
    </xf>
    <xf numFmtId="0" fontId="23" fillId="5" borderId="66" xfId="0" applyFont="1" applyFill="1" applyBorder="1" applyProtection="1">
      <protection hidden="1"/>
    </xf>
    <xf numFmtId="0" fontId="30" fillId="5" borderId="66" xfId="0" applyFont="1" applyFill="1" applyBorder="1" applyProtection="1">
      <protection hidden="1"/>
    </xf>
    <xf numFmtId="0" fontId="21" fillId="5" borderId="66" xfId="0" applyFont="1" applyFill="1" applyBorder="1" applyAlignment="1" applyProtection="1">
      <alignment horizontal="left" indent="1"/>
      <protection hidden="1"/>
    </xf>
    <xf numFmtId="0" fontId="68" fillId="5" borderId="66" xfId="0" applyFont="1" applyFill="1" applyBorder="1" applyProtection="1">
      <protection hidden="1"/>
    </xf>
    <xf numFmtId="0" fontId="67" fillId="5" borderId="65" xfId="0" applyFont="1" applyFill="1" applyBorder="1" applyProtection="1">
      <protection hidden="1"/>
    </xf>
    <xf numFmtId="0" fontId="5" fillId="5" borderId="100" xfId="2" applyFont="1" applyFill="1" applyBorder="1" applyAlignment="1" applyProtection="1">
      <alignment vertical="center"/>
      <protection hidden="1"/>
    </xf>
    <xf numFmtId="0" fontId="4" fillId="5" borderId="100" xfId="0" applyFont="1" applyFill="1" applyBorder="1" applyProtection="1">
      <protection hidden="1"/>
    </xf>
    <xf numFmtId="0" fontId="5" fillId="5" borderId="134" xfId="2" applyFont="1" applyFill="1" applyBorder="1" applyAlignment="1" applyProtection="1">
      <alignment horizontal="left" vertical="center"/>
      <protection hidden="1"/>
    </xf>
    <xf numFmtId="0" fontId="4" fillId="5" borderId="134" xfId="0" applyFont="1" applyFill="1" applyBorder="1" applyProtection="1">
      <protection hidden="1"/>
    </xf>
    <xf numFmtId="0" fontId="22" fillId="5" borderId="134" xfId="2" applyFont="1" applyFill="1" applyBorder="1" applyAlignment="1" applyProtection="1">
      <alignment vertical="center"/>
      <protection hidden="1"/>
    </xf>
    <xf numFmtId="0" fontId="17" fillId="5" borderId="134" xfId="2" applyFont="1" applyFill="1" applyBorder="1" applyAlignment="1" applyProtection="1">
      <alignment vertical="center"/>
      <protection hidden="1"/>
    </xf>
    <xf numFmtId="0" fontId="5" fillId="3" borderId="46" xfId="2" applyFont="1" applyFill="1" applyBorder="1" applyAlignment="1" applyProtection="1">
      <alignment horizontal="left" vertical="center" indent="1"/>
      <protection hidden="1"/>
    </xf>
    <xf numFmtId="0" fontId="5" fillId="3" borderId="46" xfId="2" applyFont="1" applyFill="1" applyBorder="1" applyAlignment="1" applyProtection="1">
      <alignment vertical="center"/>
      <protection hidden="1"/>
    </xf>
    <xf numFmtId="0" fontId="5" fillId="3" borderId="135" xfId="2" applyFont="1" applyFill="1" applyBorder="1" applyAlignment="1" applyProtection="1">
      <alignment vertical="center"/>
      <protection hidden="1"/>
    </xf>
    <xf numFmtId="0" fontId="5" fillId="3" borderId="136" xfId="2" applyFont="1" applyFill="1" applyBorder="1" applyAlignment="1" applyProtection="1">
      <alignment vertical="center"/>
      <protection hidden="1"/>
    </xf>
    <xf numFmtId="0" fontId="5" fillId="3" borderId="137" xfId="2" applyFont="1" applyFill="1" applyBorder="1" applyAlignment="1" applyProtection="1">
      <alignment horizontal="left" vertical="center" indent="1"/>
      <protection hidden="1"/>
    </xf>
    <xf numFmtId="0" fontId="5" fillId="3" borderId="137" xfId="2" applyFont="1" applyFill="1" applyBorder="1" applyAlignment="1" applyProtection="1">
      <alignment vertical="center"/>
      <protection hidden="1"/>
    </xf>
    <xf numFmtId="0" fontId="5" fillId="3" borderId="139" xfId="2" applyFont="1" applyFill="1" applyBorder="1" applyAlignment="1" applyProtection="1">
      <alignment vertical="center"/>
      <protection hidden="1"/>
    </xf>
    <xf numFmtId="0" fontId="5" fillId="3" borderId="113" xfId="2" applyFont="1" applyFill="1" applyBorder="1" applyAlignment="1" applyProtection="1">
      <alignment vertical="center"/>
      <protection hidden="1"/>
    </xf>
    <xf numFmtId="0" fontId="5" fillId="3" borderId="114" xfId="2" applyFont="1" applyFill="1" applyBorder="1" applyAlignment="1" applyProtection="1">
      <alignment vertical="center"/>
      <protection hidden="1"/>
    </xf>
    <xf numFmtId="0" fontId="5" fillId="3" borderId="141" xfId="2" applyFont="1" applyFill="1" applyBorder="1" applyAlignment="1" applyProtection="1">
      <alignment horizontal="left" vertical="center" indent="1"/>
      <protection hidden="1"/>
    </xf>
    <xf numFmtId="0" fontId="5" fillId="3" borderId="141" xfId="2" applyFont="1" applyFill="1" applyBorder="1" applyAlignment="1" applyProtection="1">
      <alignment vertical="center"/>
      <protection hidden="1"/>
    </xf>
    <xf numFmtId="172" fontId="9" fillId="3" borderId="135" xfId="1" applyNumberFormat="1" applyFont="1" applyFill="1" applyBorder="1" applyAlignment="1" applyProtection="1">
      <alignment horizontal="centerContinuous"/>
      <protection hidden="1"/>
    </xf>
    <xf numFmtId="172" fontId="9" fillId="3" borderId="136" xfId="1" applyNumberFormat="1" applyFont="1" applyFill="1" applyBorder="1" applyAlignment="1" applyProtection="1">
      <alignment horizontal="centerContinuous"/>
      <protection hidden="1"/>
    </xf>
    <xf numFmtId="172" fontId="9" fillId="3" borderId="143" xfId="1" applyNumberFormat="1" applyFont="1" applyFill="1" applyBorder="1" applyAlignment="1" applyProtection="1">
      <alignment horizontal="centerContinuous"/>
      <protection hidden="1"/>
    </xf>
    <xf numFmtId="0" fontId="4" fillId="3" borderId="114" xfId="0" applyFont="1" applyFill="1" applyBorder="1" applyAlignment="1" applyProtection="1">
      <alignment horizontal="centerContinuous"/>
      <protection hidden="1"/>
    </xf>
    <xf numFmtId="0" fontId="5" fillId="3" borderId="114" xfId="2" applyFont="1" applyFill="1" applyBorder="1" applyAlignment="1" applyProtection="1">
      <alignment horizontal="centerContinuous"/>
      <protection hidden="1"/>
    </xf>
    <xf numFmtId="175" fontId="9" fillId="3" borderId="135" xfId="1" applyNumberFormat="1" applyFont="1" applyFill="1" applyBorder="1" applyAlignment="1" applyProtection="1">
      <alignment horizontal="centerContinuous"/>
      <protection hidden="1"/>
    </xf>
    <xf numFmtId="166" fontId="8" fillId="3" borderId="114" xfId="3" applyNumberFormat="1" applyFont="1" applyFill="1" applyBorder="1" applyAlignment="1" applyProtection="1">
      <alignment horizontal="centerContinuous"/>
      <protection hidden="1"/>
    </xf>
    <xf numFmtId="0" fontId="7" fillId="3" borderId="115" xfId="0" applyFont="1" applyFill="1" applyBorder="1" applyAlignment="1" applyProtection="1">
      <alignment horizontal="centerContinuous"/>
      <protection hidden="1"/>
    </xf>
    <xf numFmtId="172" fontId="9" fillId="24" borderId="144" xfId="1" applyNumberFormat="1" applyFont="1" applyFill="1" applyBorder="1" applyAlignment="1" applyProtection="1">
      <alignment horizontal="centerContinuous"/>
      <protection hidden="1"/>
    </xf>
    <xf numFmtId="172" fontId="9" fillId="24" borderId="145" xfId="1" applyNumberFormat="1" applyFont="1" applyFill="1" applyBorder="1" applyAlignment="1" applyProtection="1">
      <alignment horizontal="centerContinuous"/>
      <protection hidden="1"/>
    </xf>
    <xf numFmtId="172" fontId="9" fillId="24" borderId="146" xfId="1" applyNumberFormat="1" applyFont="1" applyFill="1" applyBorder="1" applyAlignment="1" applyProtection="1">
      <alignment horizontal="centerContinuous"/>
      <protection hidden="1"/>
    </xf>
    <xf numFmtId="0" fontId="4" fillId="24" borderId="148" xfId="0" applyFont="1" applyFill="1" applyBorder="1" applyAlignment="1" applyProtection="1">
      <alignment horizontal="centerContinuous"/>
      <protection hidden="1"/>
    </xf>
    <xf numFmtId="0" fontId="5" fillId="24" borderId="148" xfId="2" applyFont="1" applyFill="1" applyBorder="1" applyAlignment="1" applyProtection="1">
      <alignment horizontal="centerContinuous"/>
      <protection hidden="1"/>
    </xf>
    <xf numFmtId="175" fontId="9" fillId="24" borderId="144" xfId="1" applyNumberFormat="1" applyFont="1" applyFill="1" applyBorder="1" applyAlignment="1" applyProtection="1">
      <alignment horizontal="centerContinuous"/>
      <protection hidden="1"/>
    </xf>
    <xf numFmtId="166" fontId="8" fillId="24" borderId="148" xfId="3" applyNumberFormat="1" applyFont="1" applyFill="1" applyBorder="1" applyAlignment="1" applyProtection="1">
      <alignment horizontal="centerContinuous"/>
      <protection hidden="1"/>
    </xf>
    <xf numFmtId="0" fontId="7" fillId="24" borderId="149" xfId="0" applyFont="1" applyFill="1" applyBorder="1" applyAlignment="1" applyProtection="1">
      <alignment horizontal="centerContinuous"/>
      <protection hidden="1"/>
    </xf>
    <xf numFmtId="10" fontId="9" fillId="5" borderId="150" xfId="1" applyNumberFormat="1" applyFont="1" applyFill="1" applyBorder="1" applyAlignment="1" applyProtection="1">
      <alignment horizontal="centerContinuous"/>
      <protection hidden="1"/>
    </xf>
    <xf numFmtId="172" fontId="9" fillId="5" borderId="100" xfId="1" applyNumberFormat="1" applyFont="1" applyFill="1" applyBorder="1" applyAlignment="1" applyProtection="1">
      <alignment horizontal="centerContinuous"/>
      <protection hidden="1"/>
    </xf>
    <xf numFmtId="172" fontId="9" fillId="5" borderId="151" xfId="1" applyNumberFormat="1" applyFont="1" applyFill="1" applyBorder="1" applyAlignment="1" applyProtection="1">
      <alignment horizontal="centerContinuous"/>
      <protection hidden="1"/>
    </xf>
    <xf numFmtId="0" fontId="4" fillId="5" borderId="153" xfId="0" applyFont="1" applyFill="1" applyBorder="1" applyAlignment="1" applyProtection="1">
      <alignment horizontal="centerContinuous"/>
      <protection hidden="1"/>
    </xf>
    <xf numFmtId="0" fontId="5" fillId="5" borderId="153" xfId="2" applyFont="1" applyFill="1" applyBorder="1" applyAlignment="1" applyProtection="1">
      <alignment horizontal="centerContinuous"/>
      <protection hidden="1"/>
    </xf>
    <xf numFmtId="170" fontId="9" fillId="5" borderId="150" xfId="1" applyNumberFormat="1" applyFont="1" applyFill="1" applyBorder="1" applyAlignment="1" applyProtection="1">
      <alignment horizontal="centerContinuous"/>
      <protection hidden="1"/>
    </xf>
    <xf numFmtId="174" fontId="9" fillId="5" borderId="150" xfId="1" applyNumberFormat="1" applyFont="1" applyFill="1" applyBorder="1" applyAlignment="1" applyProtection="1">
      <alignment horizontal="centerContinuous"/>
      <protection hidden="1"/>
    </xf>
    <xf numFmtId="0" fontId="4" fillId="5" borderId="100" xfId="0" applyFont="1" applyFill="1" applyBorder="1" applyAlignment="1" applyProtection="1">
      <alignment vertical="center"/>
      <protection hidden="1"/>
    </xf>
    <xf numFmtId="0" fontId="5" fillId="9" borderId="11" xfId="2" applyFont="1" applyFill="1" applyBorder="1" applyAlignment="1" applyProtection="1">
      <alignment vertical="center"/>
      <protection hidden="1"/>
    </xf>
    <xf numFmtId="0" fontId="5" fillId="9" borderId="67" xfId="2" applyFont="1" applyFill="1" applyBorder="1" applyAlignment="1" applyProtection="1">
      <alignment vertical="center"/>
      <protection hidden="1"/>
    </xf>
    <xf numFmtId="0" fontId="8" fillId="0" borderId="150" xfId="2" applyFont="1" applyBorder="1" applyAlignment="1" applyProtection="1">
      <alignment horizontal="left" vertical="center"/>
      <protection hidden="1"/>
    </xf>
    <xf numFmtId="0" fontId="8" fillId="0" borderId="156" xfId="2" applyFont="1" applyBorder="1" applyAlignment="1" applyProtection="1">
      <alignment horizontal="left" vertical="center"/>
      <protection hidden="1"/>
    </xf>
    <xf numFmtId="0" fontId="8" fillId="0" borderId="159" xfId="3" applyNumberFormat="1" applyFont="1" applyFill="1" applyBorder="1" applyAlignment="1" applyProtection="1">
      <alignment horizontal="left" vertical="center" indent="2"/>
      <protection hidden="1"/>
    </xf>
    <xf numFmtId="0" fontId="8" fillId="0" borderId="159" xfId="3" applyNumberFormat="1" applyFont="1" applyFill="1" applyBorder="1" applyAlignment="1" applyProtection="1">
      <alignment vertical="center"/>
      <protection hidden="1"/>
    </xf>
    <xf numFmtId="0" fontId="8" fillId="0" borderId="160" xfId="3" applyNumberFormat="1" applyFont="1" applyFill="1" applyBorder="1" applyAlignment="1" applyProtection="1">
      <alignment vertical="center"/>
      <protection hidden="1"/>
    </xf>
    <xf numFmtId="0" fontId="21" fillId="0" borderId="0" xfId="0" applyFont="1" applyAlignment="1" applyProtection="1">
      <alignment horizontal="right"/>
      <protection hidden="1"/>
    </xf>
    <xf numFmtId="0" fontId="88" fillId="3" borderId="0" xfId="0" applyFont="1" applyFill="1" applyAlignment="1" applyProtection="1">
      <alignment vertical="center"/>
      <protection hidden="1"/>
    </xf>
    <xf numFmtId="168" fontId="85" fillId="3" borderId="9" xfId="0" applyNumberFormat="1" applyFont="1" applyFill="1" applyBorder="1" applyAlignment="1" applyProtection="1">
      <alignment horizontal="right" vertical="center"/>
      <protection locked="0"/>
    </xf>
    <xf numFmtId="176" fontId="33" fillId="4" borderId="52" xfId="0" applyNumberFormat="1" applyFont="1" applyFill="1" applyBorder="1" applyAlignment="1" applyProtection="1">
      <alignment horizontal="right" vertical="center"/>
      <protection hidden="1"/>
    </xf>
    <xf numFmtId="176" fontId="33" fillId="4" borderId="50" xfId="0" applyNumberFormat="1" applyFont="1" applyFill="1" applyBorder="1" applyAlignment="1" applyProtection="1">
      <alignment horizontal="right" vertical="center"/>
      <protection hidden="1"/>
    </xf>
    <xf numFmtId="0" fontId="58" fillId="4" borderId="0" xfId="0" applyFont="1" applyFill="1" applyAlignment="1" applyProtection="1">
      <alignment horizontal="right"/>
      <protection hidden="1"/>
    </xf>
    <xf numFmtId="0" fontId="53" fillId="4" borderId="0" xfId="0" applyFont="1" applyFill="1" applyAlignment="1" applyProtection="1">
      <alignment vertical="center"/>
      <protection hidden="1"/>
    </xf>
    <xf numFmtId="0" fontId="52" fillId="4" borderId="0" xfId="0" applyFont="1" applyFill="1" applyAlignment="1" applyProtection="1">
      <alignment vertical="center"/>
      <protection hidden="1"/>
    </xf>
    <xf numFmtId="172" fontId="33" fillId="4" borderId="0" xfId="1" applyNumberFormat="1" applyFont="1" applyFill="1" applyProtection="1">
      <protection hidden="1"/>
    </xf>
    <xf numFmtId="0" fontId="32" fillId="4" borderId="0" xfId="0" applyFont="1" applyFill="1" applyProtection="1">
      <protection hidden="1"/>
    </xf>
    <xf numFmtId="0" fontId="72" fillId="4" borderId="0" xfId="0" applyFont="1" applyFill="1" applyAlignment="1" applyProtection="1">
      <alignment vertical="center"/>
      <protection hidden="1"/>
    </xf>
    <xf numFmtId="0" fontId="60" fillId="4" borderId="0" xfId="0" applyFont="1" applyFill="1" applyProtection="1">
      <protection hidden="1"/>
    </xf>
    <xf numFmtId="171" fontId="32" fillId="4" borderId="0" xfId="2" applyNumberFormat="1" applyFont="1" applyFill="1" applyAlignment="1" applyProtection="1">
      <alignment horizontal="center" vertical="center"/>
      <protection hidden="1"/>
    </xf>
    <xf numFmtId="0" fontId="33" fillId="4" borderId="3" xfId="0" applyFont="1" applyFill="1" applyBorder="1" applyAlignment="1" applyProtection="1">
      <alignment vertical="center"/>
      <protection hidden="1"/>
    </xf>
    <xf numFmtId="0" fontId="32" fillId="4" borderId="6" xfId="0" applyFont="1" applyFill="1" applyBorder="1" applyProtection="1">
      <protection hidden="1"/>
    </xf>
    <xf numFmtId="0" fontId="33" fillId="4" borderId="6" xfId="0" applyFont="1" applyFill="1" applyBorder="1" applyProtection="1">
      <protection hidden="1"/>
    </xf>
    <xf numFmtId="0" fontId="33" fillId="4" borderId="0" xfId="0" applyFont="1" applyFill="1" applyAlignment="1" applyProtection="1">
      <alignment horizontal="center"/>
      <protection hidden="1"/>
    </xf>
    <xf numFmtId="172" fontId="8" fillId="0" borderId="0" xfId="1" applyNumberFormat="1" applyFont="1" applyBorder="1" applyAlignment="1" applyProtection="1">
      <alignment horizontal="center" vertical="center"/>
      <protection hidden="1"/>
    </xf>
    <xf numFmtId="0" fontId="21" fillId="0" borderId="100" xfId="2" applyFont="1" applyBorder="1" applyAlignment="1" applyProtection="1">
      <alignment horizontal="left" vertical="center"/>
      <protection hidden="1"/>
    </xf>
    <xf numFmtId="0" fontId="5" fillId="5" borderId="100" xfId="2" applyFont="1" applyFill="1" applyBorder="1" applyAlignment="1" applyProtection="1">
      <alignment horizontal="left" vertical="center"/>
      <protection hidden="1"/>
    </xf>
    <xf numFmtId="0" fontId="21" fillId="5" borderId="100" xfId="2" applyFont="1" applyFill="1" applyBorder="1" applyAlignment="1" applyProtection="1">
      <alignment horizontal="left" vertical="center"/>
      <protection hidden="1"/>
    </xf>
    <xf numFmtId="0" fontId="25" fillId="0" borderId="186" xfId="2" applyFont="1" applyBorder="1" applyAlignment="1" applyProtection="1">
      <alignment horizontal="center" vertical="center"/>
      <protection hidden="1"/>
    </xf>
    <xf numFmtId="0" fontId="25" fillId="0" borderId="187" xfId="2" applyFont="1" applyBorder="1" applyAlignment="1" applyProtection="1">
      <alignment horizontal="center" vertical="center"/>
      <protection hidden="1"/>
    </xf>
    <xf numFmtId="172" fontId="12" fillId="0" borderId="0" xfId="1" applyNumberFormat="1" applyFont="1" applyBorder="1" applyAlignment="1" applyProtection="1">
      <alignment horizontal="center" vertical="center"/>
      <protection hidden="1"/>
    </xf>
    <xf numFmtId="0" fontId="90" fillId="3" borderId="0" xfId="0" applyFont="1" applyFill="1" applyProtection="1">
      <protection hidden="1"/>
    </xf>
    <xf numFmtId="0" fontId="70" fillId="3" borderId="0" xfId="0" applyFont="1" applyFill="1" applyProtection="1">
      <protection hidden="1"/>
    </xf>
    <xf numFmtId="0" fontId="21" fillId="0" borderId="100" xfId="2" applyFont="1" applyBorder="1" applyAlignment="1" applyProtection="1">
      <alignment horizontal="center" vertical="center"/>
      <protection hidden="1"/>
    </xf>
    <xf numFmtId="0" fontId="5" fillId="5" borderId="150" xfId="2" applyFont="1" applyFill="1" applyBorder="1" applyAlignment="1" applyProtection="1">
      <alignment horizontal="left" vertical="center"/>
      <protection hidden="1"/>
    </xf>
    <xf numFmtId="0" fontId="13" fillId="0" borderId="152" xfId="2" applyFont="1" applyBorder="1" applyAlignment="1" applyProtection="1">
      <alignment horizontal="left" vertical="center"/>
      <protection hidden="1"/>
    </xf>
    <xf numFmtId="0" fontId="13" fillId="0" borderId="153" xfId="2" applyFont="1" applyBorder="1" applyAlignment="1" applyProtection="1">
      <alignment horizontal="center" vertical="center"/>
      <protection hidden="1"/>
    </xf>
    <xf numFmtId="176" fontId="13" fillId="0" borderId="153" xfId="2" applyNumberFormat="1" applyFont="1" applyBorder="1" applyAlignment="1" applyProtection="1">
      <alignment horizontal="center" vertical="center"/>
      <protection hidden="1"/>
    </xf>
    <xf numFmtId="0" fontId="11" fillId="3" borderId="0" xfId="0" applyFont="1" applyFill="1" applyProtection="1">
      <protection hidden="1"/>
    </xf>
    <xf numFmtId="172" fontId="13" fillId="0" borderId="0" xfId="1" applyNumberFormat="1" applyFont="1" applyBorder="1" applyAlignment="1" applyProtection="1">
      <alignment horizontal="left" vertical="center"/>
      <protection hidden="1"/>
    </xf>
    <xf numFmtId="172" fontId="13" fillId="0" borderId="0" xfId="1" applyNumberFormat="1" applyFont="1" applyBorder="1" applyAlignment="1" applyProtection="1">
      <alignment horizontal="center" vertical="center"/>
      <protection hidden="1"/>
    </xf>
    <xf numFmtId="168" fontId="8" fillId="4" borderId="0" xfId="1" applyNumberFormat="1" applyFont="1" applyFill="1" applyBorder="1" applyAlignment="1" applyProtection="1">
      <alignment horizontal="right" vertical="center"/>
      <protection hidden="1"/>
    </xf>
    <xf numFmtId="0" fontId="0" fillId="31" borderId="0" xfId="0" applyFill="1"/>
    <xf numFmtId="175" fontId="33" fillId="31" borderId="0" xfId="0" applyNumberFormat="1" applyFont="1" applyFill="1" applyAlignment="1">
      <alignment horizontal="center" vertical="center"/>
    </xf>
    <xf numFmtId="165" fontId="8" fillId="0" borderId="68" xfId="0" applyNumberFormat="1" applyFont="1" applyBorder="1" applyAlignment="1" applyProtection="1">
      <alignment horizontal="center" vertical="center"/>
      <protection hidden="1"/>
    </xf>
    <xf numFmtId="0" fontId="55" fillId="0" borderId="0" xfId="0" applyFont="1" applyProtection="1">
      <protection hidden="1"/>
    </xf>
    <xf numFmtId="0" fontId="55" fillId="0" borderId="0" xfId="2" applyFont="1" applyAlignment="1" applyProtection="1">
      <alignment vertical="center"/>
      <protection hidden="1"/>
    </xf>
    <xf numFmtId="0" fontId="55" fillId="0" borderId="0" xfId="0" applyFont="1" applyAlignment="1" applyProtection="1">
      <alignment vertical="center"/>
      <protection hidden="1"/>
    </xf>
    <xf numFmtId="0" fontId="91" fillId="5" borderId="0" xfId="0" applyFont="1" applyFill="1" applyAlignment="1" applyProtection="1">
      <alignment vertical="center"/>
      <protection hidden="1"/>
    </xf>
    <xf numFmtId="0" fontId="17" fillId="5" borderId="152" xfId="0" applyFont="1" applyFill="1" applyBorder="1" applyAlignment="1" applyProtection="1">
      <alignment horizontal="centerContinuous"/>
      <protection hidden="1"/>
    </xf>
    <xf numFmtId="0" fontId="17" fillId="5" borderId="154" xfId="0" applyFont="1" applyFill="1" applyBorder="1" applyAlignment="1" applyProtection="1">
      <alignment horizontal="center"/>
      <protection hidden="1"/>
    </xf>
    <xf numFmtId="0" fontId="17" fillId="5" borderId="153" xfId="0" applyFont="1" applyFill="1" applyBorder="1" applyAlignment="1" applyProtection="1">
      <alignment horizontal="center"/>
      <protection hidden="1"/>
    </xf>
    <xf numFmtId="0" fontId="17" fillId="24" borderId="147" xfId="0" applyFont="1" applyFill="1" applyBorder="1" applyAlignment="1" applyProtection="1">
      <alignment horizontal="centerContinuous"/>
      <protection hidden="1"/>
    </xf>
    <xf numFmtId="0" fontId="17" fillId="24" borderId="148" xfId="0" applyFont="1" applyFill="1" applyBorder="1" applyAlignment="1" applyProtection="1">
      <alignment horizontal="center"/>
      <protection hidden="1"/>
    </xf>
    <xf numFmtId="0" fontId="17" fillId="3" borderId="113" xfId="0" applyFont="1" applyFill="1" applyBorder="1" applyAlignment="1" applyProtection="1">
      <alignment horizontal="centerContinuous"/>
      <protection hidden="1"/>
    </xf>
    <xf numFmtId="0" fontId="17" fillId="3" borderId="114" xfId="0" applyFont="1" applyFill="1" applyBorder="1" applyAlignment="1" applyProtection="1">
      <alignment horizontal="center"/>
      <protection hidden="1"/>
    </xf>
    <xf numFmtId="0" fontId="17" fillId="3" borderId="0" xfId="0" applyFont="1" applyFill="1" applyAlignment="1" applyProtection="1">
      <alignment horizontal="centerContinuous"/>
      <protection hidden="1"/>
    </xf>
    <xf numFmtId="0" fontId="32" fillId="5" borderId="178" xfId="0" applyFont="1" applyFill="1" applyBorder="1" applyAlignment="1" applyProtection="1">
      <alignment horizontal="centerContinuous" vertical="center"/>
      <protection hidden="1"/>
    </xf>
    <xf numFmtId="0" fontId="32" fillId="5" borderId="198" xfId="0" applyFont="1" applyFill="1" applyBorder="1" applyAlignment="1" applyProtection="1">
      <alignment horizontal="centerContinuous" vertical="center"/>
      <protection hidden="1"/>
    </xf>
    <xf numFmtId="0" fontId="32" fillId="5" borderId="199" xfId="0" applyFont="1" applyFill="1" applyBorder="1" applyAlignment="1" applyProtection="1">
      <alignment horizontal="centerContinuous" vertical="center"/>
      <protection hidden="1"/>
    </xf>
    <xf numFmtId="0" fontId="12" fillId="0" borderId="0" xfId="2" applyFont="1" applyAlignment="1" applyProtection="1">
      <alignment vertical="center"/>
      <protection hidden="1"/>
    </xf>
    <xf numFmtId="0" fontId="32" fillId="5" borderId="200" xfId="0" applyFont="1" applyFill="1" applyBorder="1" applyAlignment="1" applyProtection="1">
      <alignment horizontal="centerContinuous" vertical="center"/>
      <protection hidden="1"/>
    </xf>
    <xf numFmtId="0" fontId="32" fillId="5" borderId="201" xfId="0" applyFont="1" applyFill="1" applyBorder="1" applyAlignment="1" applyProtection="1">
      <alignment horizontal="centerContinuous" vertical="center"/>
      <protection hidden="1"/>
    </xf>
    <xf numFmtId="0" fontId="26" fillId="35" borderId="205" xfId="0" applyFont="1" applyFill="1" applyBorder="1" applyAlignment="1" applyProtection="1">
      <alignment horizontal="centerContinuous" vertical="center"/>
      <protection hidden="1"/>
    </xf>
    <xf numFmtId="0" fontId="18" fillId="35" borderId="206" xfId="0" applyFont="1" applyFill="1" applyBorder="1" applyAlignment="1" applyProtection="1">
      <alignment horizontal="centerContinuous"/>
      <protection hidden="1"/>
    </xf>
    <xf numFmtId="0" fontId="4" fillId="0" borderId="208" xfId="0" applyFont="1" applyBorder="1" applyProtection="1">
      <protection hidden="1"/>
    </xf>
    <xf numFmtId="0" fontId="4" fillId="0" borderId="209" xfId="0" applyFont="1" applyBorder="1" applyProtection="1">
      <protection hidden="1"/>
    </xf>
    <xf numFmtId="17" fontId="8" fillId="0" borderId="208" xfId="2" applyNumberFormat="1" applyFont="1" applyBorder="1" applyAlignment="1" applyProtection="1">
      <alignment vertical="center"/>
      <protection hidden="1"/>
    </xf>
    <xf numFmtId="17" fontId="5" fillId="0" borderId="210" xfId="2" applyNumberFormat="1" applyFont="1" applyBorder="1" applyAlignment="1" applyProtection="1">
      <alignment vertical="center"/>
      <protection hidden="1"/>
    </xf>
    <xf numFmtId="0" fontId="30" fillId="0" borderId="211" xfId="0" applyFont="1" applyBorder="1" applyProtection="1">
      <protection hidden="1"/>
    </xf>
    <xf numFmtId="17" fontId="8" fillId="0" borderId="0" xfId="2" applyNumberFormat="1" applyFont="1" applyAlignment="1" applyProtection="1">
      <alignment vertical="center"/>
      <protection hidden="1"/>
    </xf>
    <xf numFmtId="17" fontId="8" fillId="0" borderId="211" xfId="2" applyNumberFormat="1" applyFont="1" applyBorder="1" applyAlignment="1" applyProtection="1">
      <alignment vertical="center"/>
      <protection hidden="1"/>
    </xf>
    <xf numFmtId="0" fontId="4" fillId="0" borderId="211" xfId="0" applyFont="1" applyBorder="1" applyProtection="1">
      <protection hidden="1"/>
    </xf>
    <xf numFmtId="0" fontId="63" fillId="3" borderId="0" xfId="0" applyFont="1" applyFill="1" applyAlignment="1" applyProtection="1">
      <alignment horizontal="center" vertical="center"/>
      <protection hidden="1"/>
    </xf>
    <xf numFmtId="0" fontId="8" fillId="3" borderId="0" xfId="0" applyFont="1" applyFill="1" applyAlignment="1" applyProtection="1">
      <alignment horizontal="right" vertical="center"/>
      <protection hidden="1"/>
    </xf>
    <xf numFmtId="171" fontId="24" fillId="3" borderId="0" xfId="2" applyNumberFormat="1" applyFont="1" applyFill="1" applyAlignment="1" applyProtection="1">
      <alignment horizontal="right" vertical="center"/>
      <protection hidden="1"/>
    </xf>
    <xf numFmtId="0" fontId="4" fillId="3" borderId="0" xfId="0" quotePrefix="1" applyFont="1" applyFill="1" applyAlignment="1" applyProtection="1">
      <alignment vertical="center"/>
      <protection hidden="1"/>
    </xf>
    <xf numFmtId="171" fontId="24" fillId="4" borderId="218" xfId="2" applyNumberFormat="1" applyFont="1" applyFill="1" applyBorder="1" applyAlignment="1" applyProtection="1">
      <alignment horizontal="right" vertical="center"/>
      <protection hidden="1"/>
    </xf>
    <xf numFmtId="0" fontId="26" fillId="34" borderId="0" xfId="0" applyFont="1" applyFill="1" applyAlignment="1" applyProtection="1">
      <alignment horizontal="centerContinuous" vertical="center"/>
      <protection hidden="1"/>
    </xf>
    <xf numFmtId="0" fontId="75" fillId="35" borderId="0" xfId="0" applyFont="1" applyFill="1" applyAlignment="1" applyProtection="1">
      <alignment horizontal="centerContinuous" vertical="center"/>
      <protection hidden="1"/>
    </xf>
    <xf numFmtId="0" fontId="4" fillId="35" borderId="0" xfId="0" applyFont="1" applyFill="1" applyAlignment="1" applyProtection="1">
      <alignment horizontal="centerContinuous" vertical="center"/>
      <protection hidden="1"/>
    </xf>
    <xf numFmtId="0" fontId="60" fillId="3" borderId="0" xfId="0" applyFont="1" applyFill="1" applyAlignment="1" applyProtection="1">
      <alignment horizontal="center" vertical="center"/>
      <protection hidden="1"/>
    </xf>
    <xf numFmtId="171" fontId="8" fillId="6" borderId="0" xfId="2" applyNumberFormat="1" applyFont="1" applyFill="1" applyAlignment="1" applyProtection="1">
      <alignment horizontal="left" vertical="center"/>
      <protection hidden="1"/>
    </xf>
    <xf numFmtId="171" fontId="5" fillId="6" borderId="0" xfId="2" applyNumberFormat="1" applyFont="1" applyFill="1" applyAlignment="1" applyProtection="1">
      <alignment horizontal="center" vertical="center"/>
      <protection hidden="1"/>
    </xf>
    <xf numFmtId="171" fontId="5" fillId="6" borderId="0" xfId="2" applyNumberFormat="1" applyFont="1" applyFill="1" applyAlignment="1" applyProtection="1">
      <alignment vertical="center"/>
      <protection hidden="1"/>
    </xf>
    <xf numFmtId="17" fontId="8" fillId="4" borderId="0" xfId="0" applyNumberFormat="1" applyFont="1" applyFill="1" applyAlignment="1" applyProtection="1">
      <alignment horizontal="left" vertical="center" indent="1"/>
      <protection hidden="1"/>
    </xf>
    <xf numFmtId="17" fontId="5" fillId="6" borderId="11" xfId="0" applyNumberFormat="1" applyFont="1" applyFill="1" applyBorder="1" applyAlignment="1" applyProtection="1">
      <alignment horizontal="left" vertical="center" indent="1"/>
      <protection hidden="1"/>
    </xf>
    <xf numFmtId="17" fontId="8" fillId="6" borderId="67" xfId="0" applyNumberFormat="1" applyFont="1" applyFill="1" applyBorder="1" applyAlignment="1" applyProtection="1">
      <alignment horizontal="right" vertical="center"/>
      <protection hidden="1"/>
    </xf>
    <xf numFmtId="0" fontId="10" fillId="6" borderId="67" xfId="0" applyFont="1" applyFill="1" applyBorder="1" applyAlignment="1" applyProtection="1">
      <alignment vertical="center"/>
      <protection hidden="1"/>
    </xf>
    <xf numFmtId="0" fontId="63" fillId="4" borderId="219" xfId="0" applyFont="1" applyFill="1" applyBorder="1" applyAlignment="1" applyProtection="1">
      <alignment horizontal="center" vertical="center"/>
      <protection hidden="1"/>
    </xf>
    <xf numFmtId="171" fontId="24" fillId="4" borderId="227" xfId="2" applyNumberFormat="1" applyFont="1" applyFill="1" applyBorder="1" applyAlignment="1" applyProtection="1">
      <alignment horizontal="right" vertical="center"/>
      <protection hidden="1"/>
    </xf>
    <xf numFmtId="0" fontId="8" fillId="3" borderId="0" xfId="0" applyFont="1" applyFill="1" applyAlignment="1" applyProtection="1">
      <alignment horizontal="left" vertical="center" indent="1"/>
      <protection hidden="1"/>
    </xf>
    <xf numFmtId="165" fontId="8" fillId="3" borderId="0" xfId="0" applyNumberFormat="1" applyFont="1" applyFill="1" applyAlignment="1" applyProtection="1">
      <alignment horizontal="center" vertical="center"/>
      <protection hidden="1"/>
    </xf>
    <xf numFmtId="0" fontId="102" fillId="4" borderId="0" xfId="0" applyFont="1" applyFill="1" applyAlignment="1" applyProtection="1">
      <alignment horizontal="center" vertical="center"/>
      <protection hidden="1"/>
    </xf>
    <xf numFmtId="0" fontId="79" fillId="3" borderId="0" xfId="0" applyFont="1" applyFill="1" applyAlignment="1" applyProtection="1">
      <alignment vertical="center"/>
      <protection hidden="1"/>
    </xf>
    <xf numFmtId="0" fontId="103" fillId="5" borderId="0" xfId="0" applyFont="1" applyFill="1" applyAlignment="1" applyProtection="1">
      <alignment horizontal="centerContinuous"/>
      <protection hidden="1"/>
    </xf>
    <xf numFmtId="0" fontId="5" fillId="5" borderId="0" xfId="0" applyFont="1" applyFill="1" applyAlignment="1" applyProtection="1">
      <alignment horizontal="right" vertical="center"/>
      <protection hidden="1"/>
    </xf>
    <xf numFmtId="2" fontId="26" fillId="4" borderId="0" xfId="2" applyNumberFormat="1" applyFont="1" applyFill="1" applyAlignment="1" applyProtection="1">
      <alignment horizontal="right" vertical="center"/>
      <protection hidden="1"/>
    </xf>
    <xf numFmtId="0" fontId="100" fillId="5" borderId="238" xfId="0" applyFont="1" applyFill="1" applyBorder="1" applyAlignment="1" applyProtection="1">
      <alignment horizontal="centerContinuous" vertical="center"/>
      <protection hidden="1"/>
    </xf>
    <xf numFmtId="0" fontId="100" fillId="5" borderId="239" xfId="0" applyFont="1" applyFill="1" applyBorder="1" applyAlignment="1" applyProtection="1">
      <alignment horizontal="centerContinuous" vertical="center"/>
      <protection hidden="1"/>
    </xf>
    <xf numFmtId="0" fontId="64" fillId="34" borderId="0" xfId="0" applyFont="1" applyFill="1" applyAlignment="1" applyProtection="1">
      <alignment horizontal="centerContinuous" vertical="center"/>
      <protection hidden="1"/>
    </xf>
    <xf numFmtId="177" fontId="64" fillId="34" borderId="0" xfId="0" applyNumberFormat="1" applyFont="1" applyFill="1" applyAlignment="1" applyProtection="1">
      <alignment horizontal="centerContinuous" vertical="center"/>
      <protection hidden="1"/>
    </xf>
    <xf numFmtId="0" fontId="64" fillId="3" borderId="0" xfId="0" applyFont="1" applyFill="1" applyAlignment="1" applyProtection="1">
      <alignment vertical="center"/>
      <protection hidden="1"/>
    </xf>
    <xf numFmtId="171" fontId="24" fillId="4" borderId="50" xfId="2" applyNumberFormat="1" applyFont="1" applyFill="1" applyBorder="1" applyAlignment="1" applyProtection="1">
      <alignment vertical="center"/>
      <protection hidden="1"/>
    </xf>
    <xf numFmtId="0" fontId="104" fillId="4" borderId="0" xfId="0" applyFont="1" applyFill="1" applyAlignment="1" applyProtection="1">
      <alignment horizontal="center" vertical="center"/>
      <protection hidden="1"/>
    </xf>
    <xf numFmtId="17" fontId="0" fillId="0" borderId="0" xfId="0" applyNumberFormat="1"/>
    <xf numFmtId="0" fontId="75" fillId="35" borderId="0" xfId="0" applyFont="1" applyFill="1" applyAlignment="1" applyProtection="1">
      <alignment horizontal="center" vertical="center"/>
      <protection hidden="1"/>
    </xf>
    <xf numFmtId="178" fontId="98" fillId="4" borderId="220" xfId="0" applyNumberFormat="1" applyFont="1" applyFill="1" applyBorder="1" applyAlignment="1" applyProtection="1">
      <alignment vertical="center"/>
      <protection hidden="1"/>
    </xf>
    <xf numFmtId="178" fontId="98" fillId="4" borderId="0" xfId="0" applyNumberFormat="1" applyFont="1" applyFill="1" applyAlignment="1" applyProtection="1">
      <alignment vertical="center"/>
      <protection hidden="1"/>
    </xf>
    <xf numFmtId="0" fontId="4" fillId="35" borderId="0" xfId="0" applyFont="1" applyFill="1" applyAlignment="1" applyProtection="1">
      <alignment horizontal="center" vertical="center"/>
      <protection hidden="1"/>
    </xf>
    <xf numFmtId="0" fontId="63" fillId="4" borderId="225" xfId="0" applyFont="1" applyFill="1" applyBorder="1" applyAlignment="1" applyProtection="1">
      <alignment horizontal="center" vertical="center"/>
      <protection hidden="1"/>
    </xf>
    <xf numFmtId="178" fontId="105" fillId="4" borderId="0" xfId="0" applyNumberFormat="1" applyFont="1" applyFill="1" applyAlignment="1" applyProtection="1">
      <alignment vertical="center"/>
      <protection hidden="1"/>
    </xf>
    <xf numFmtId="178" fontId="8" fillId="4" borderId="219" xfId="0" applyNumberFormat="1" applyFont="1" applyFill="1" applyBorder="1" applyAlignment="1" applyProtection="1">
      <alignment vertical="center"/>
      <protection hidden="1"/>
    </xf>
    <xf numFmtId="178" fontId="8" fillId="4" borderId="0" xfId="0" applyNumberFormat="1" applyFont="1" applyFill="1" applyAlignment="1" applyProtection="1">
      <alignment vertical="center"/>
      <protection hidden="1"/>
    </xf>
    <xf numFmtId="178" fontId="8" fillId="6" borderId="12" xfId="0" applyNumberFormat="1" applyFont="1" applyFill="1" applyBorder="1" applyAlignment="1" applyProtection="1">
      <alignment vertical="center"/>
      <protection hidden="1"/>
    </xf>
    <xf numFmtId="171" fontId="5" fillId="6" borderId="0" xfId="2" applyNumberFormat="1" applyFont="1" applyFill="1" applyAlignment="1" applyProtection="1">
      <alignment horizontal="right" vertical="center"/>
      <protection hidden="1"/>
    </xf>
    <xf numFmtId="0" fontId="106" fillId="3" borderId="0" xfId="0" applyFont="1" applyFill="1" applyProtection="1">
      <protection hidden="1"/>
    </xf>
    <xf numFmtId="0" fontId="4" fillId="4" borderId="242" xfId="0" applyFont="1" applyFill="1" applyBorder="1" applyProtection="1">
      <protection hidden="1"/>
    </xf>
    <xf numFmtId="0" fontId="4" fillId="4" borderId="243" xfId="0" applyFont="1" applyFill="1" applyBorder="1" applyProtection="1">
      <protection hidden="1"/>
    </xf>
    <xf numFmtId="0" fontId="4" fillId="4" borderId="244" xfId="0" applyFont="1" applyFill="1" applyBorder="1" applyProtection="1">
      <protection hidden="1"/>
    </xf>
    <xf numFmtId="0" fontId="26" fillId="34" borderId="246" xfId="0" applyFont="1" applyFill="1" applyBorder="1" applyAlignment="1" applyProtection="1">
      <alignment horizontal="centerContinuous" vertical="center"/>
      <protection hidden="1"/>
    </xf>
    <xf numFmtId="17" fontId="63" fillId="35" borderId="247" xfId="0" applyNumberFormat="1" applyFont="1" applyFill="1" applyBorder="1" applyAlignment="1" applyProtection="1">
      <alignment horizontal="left" vertical="center" indent="1"/>
      <protection hidden="1"/>
    </xf>
    <xf numFmtId="0" fontId="63" fillId="35" borderId="247" xfId="0" applyFont="1" applyFill="1" applyBorder="1" applyAlignment="1" applyProtection="1">
      <alignment horizontal="left" vertical="center" indent="1"/>
      <protection hidden="1"/>
    </xf>
    <xf numFmtId="0" fontId="63" fillId="35" borderId="248" xfId="0" applyFont="1" applyFill="1" applyBorder="1" applyAlignment="1" applyProtection="1">
      <alignment horizontal="left" vertical="center" indent="1"/>
      <protection hidden="1"/>
    </xf>
    <xf numFmtId="0" fontId="26" fillId="21" borderId="0" xfId="0" applyFont="1" applyFill="1" applyAlignment="1" applyProtection="1">
      <alignment horizontal="centerContinuous" vertical="center"/>
      <protection hidden="1"/>
    </xf>
    <xf numFmtId="0" fontId="4" fillId="4" borderId="243" xfId="0" applyFont="1" applyFill="1" applyBorder="1" applyAlignment="1" applyProtection="1">
      <alignment horizontal="left"/>
      <protection hidden="1"/>
    </xf>
    <xf numFmtId="0" fontId="29" fillId="5" borderId="0" xfId="0" applyFont="1" applyFill="1" applyAlignment="1" applyProtection="1">
      <alignment horizontal="center" vertical="center"/>
      <protection hidden="1"/>
    </xf>
    <xf numFmtId="0" fontId="29" fillId="5" borderId="0" xfId="0" applyFont="1" applyFill="1" applyAlignment="1" applyProtection="1">
      <alignment horizontal="center"/>
      <protection hidden="1"/>
    </xf>
    <xf numFmtId="0" fontId="21" fillId="5" borderId="0" xfId="0" applyFont="1" applyFill="1" applyAlignment="1" applyProtection="1">
      <alignment horizontal="left" vertical="center"/>
      <protection hidden="1"/>
    </xf>
    <xf numFmtId="0" fontId="8" fillId="4" borderId="50" xfId="0" applyFont="1" applyFill="1" applyBorder="1" applyAlignment="1" applyProtection="1">
      <alignment horizontal="centerContinuous"/>
      <protection hidden="1"/>
    </xf>
    <xf numFmtId="0" fontId="4" fillId="4" borderId="50" xfId="0" applyFont="1" applyFill="1" applyBorder="1" applyProtection="1">
      <protection hidden="1"/>
    </xf>
    <xf numFmtId="0" fontId="8" fillId="4" borderId="50" xfId="0" applyFont="1" applyFill="1" applyBorder="1" applyAlignment="1" applyProtection="1">
      <alignment horizontal="center" vertical="center"/>
      <protection hidden="1"/>
    </xf>
    <xf numFmtId="0" fontId="4" fillId="4" borderId="50" xfId="0" applyFont="1" applyFill="1" applyBorder="1" applyAlignment="1" applyProtection="1">
      <alignment horizontal="centerContinuous"/>
      <protection hidden="1"/>
    </xf>
    <xf numFmtId="0" fontId="18" fillId="4" borderId="242" xfId="0" applyFont="1" applyFill="1" applyBorder="1" applyAlignment="1" applyProtection="1">
      <alignment horizontal="center" vertical="center"/>
      <protection hidden="1"/>
    </xf>
    <xf numFmtId="165" fontId="22" fillId="0" borderId="0" xfId="3" applyNumberFormat="1" applyFont="1" applyFill="1" applyBorder="1" applyAlignment="1" applyProtection="1">
      <alignment vertical="center"/>
      <protection hidden="1"/>
    </xf>
    <xf numFmtId="165" fontId="22" fillId="0" borderId="0" xfId="3" applyNumberFormat="1" applyFont="1" applyFill="1" applyBorder="1" applyAlignment="1" applyProtection="1">
      <alignment horizontal="center" vertical="center"/>
      <protection hidden="1"/>
    </xf>
    <xf numFmtId="0" fontId="5" fillId="4" borderId="250" xfId="0" applyFont="1" applyFill="1" applyBorder="1" applyAlignment="1" applyProtection="1">
      <alignment horizontal="left" vertical="center"/>
      <protection hidden="1"/>
    </xf>
    <xf numFmtId="165" fontId="5" fillId="4" borderId="250" xfId="0" applyNumberFormat="1" applyFont="1" applyFill="1" applyBorder="1" applyAlignment="1" applyProtection="1">
      <alignment horizontal="center" vertical="center"/>
      <protection hidden="1"/>
    </xf>
    <xf numFmtId="0" fontId="4" fillId="4" borderId="245" xfId="0" applyFont="1" applyFill="1" applyBorder="1" applyAlignment="1" applyProtection="1">
      <alignment horizontal="left"/>
      <protection hidden="1"/>
    </xf>
    <xf numFmtId="0" fontId="26" fillId="34" borderId="246" xfId="0" applyFont="1" applyFill="1" applyBorder="1" applyAlignment="1" applyProtection="1">
      <alignment horizontal="center" vertical="center"/>
      <protection hidden="1"/>
    </xf>
    <xf numFmtId="0" fontId="64" fillId="3" borderId="0" xfId="0" applyFont="1" applyFill="1" applyAlignment="1" applyProtection="1">
      <alignment horizontal="centerContinuous" vertical="center" wrapText="1"/>
      <protection hidden="1"/>
    </xf>
    <xf numFmtId="0" fontId="59" fillId="34" borderId="0" xfId="0" applyFont="1" applyFill="1" applyAlignment="1" applyProtection="1">
      <alignment horizontal="centerContinuous" wrapText="1"/>
      <protection hidden="1"/>
    </xf>
    <xf numFmtId="0" fontId="59" fillId="3" borderId="0" xfId="0" applyFont="1" applyFill="1" applyAlignment="1" applyProtection="1">
      <alignment wrapText="1"/>
      <protection hidden="1"/>
    </xf>
    <xf numFmtId="0" fontId="4" fillId="4" borderId="0" xfId="0" applyFont="1" applyFill="1" applyAlignment="1" applyProtection="1">
      <alignment horizontal="centerContinuous"/>
      <protection hidden="1"/>
    </xf>
    <xf numFmtId="17" fontId="8" fillId="5" borderId="81" xfId="2" applyNumberFormat="1" applyFont="1" applyFill="1" applyBorder="1" applyAlignment="1" applyProtection="1">
      <alignment vertical="center" wrapText="1"/>
      <protection hidden="1"/>
    </xf>
    <xf numFmtId="17" fontId="5" fillId="9" borderId="81" xfId="2" applyNumberFormat="1" applyFont="1" applyFill="1" applyBorder="1" applyAlignment="1" applyProtection="1">
      <alignment horizontal="center" vertical="center" wrapText="1"/>
      <protection hidden="1"/>
    </xf>
    <xf numFmtId="0" fontId="21" fillId="5" borderId="0" xfId="0" applyFont="1" applyFill="1" applyAlignment="1" applyProtection="1">
      <alignment horizontal="center" vertical="center"/>
      <protection hidden="1"/>
    </xf>
    <xf numFmtId="17" fontId="5" fillId="32" borderId="0" xfId="2" applyNumberFormat="1" applyFont="1" applyFill="1" applyAlignment="1" applyProtection="1">
      <alignment horizontal="center" vertical="center" wrapText="1"/>
      <protection hidden="1"/>
    </xf>
    <xf numFmtId="17" fontId="5" fillId="9" borderId="46" xfId="2" applyNumberFormat="1" applyFont="1" applyFill="1" applyBorder="1" applyAlignment="1" applyProtection="1">
      <alignment horizontal="center" vertical="center" wrapText="1"/>
      <protection hidden="1"/>
    </xf>
    <xf numFmtId="0" fontId="5" fillId="4" borderId="11" xfId="0" applyFont="1" applyFill="1" applyBorder="1" applyAlignment="1" applyProtection="1">
      <alignment vertical="center"/>
      <protection hidden="1"/>
    </xf>
    <xf numFmtId="17" fontId="5" fillId="9" borderId="0" xfId="2" applyNumberFormat="1" applyFont="1" applyFill="1" applyAlignment="1" applyProtection="1">
      <alignment horizontal="center" vertical="center" wrapText="1"/>
      <protection hidden="1"/>
    </xf>
    <xf numFmtId="0" fontId="5" fillId="5" borderId="0" xfId="0" applyFont="1" applyFill="1" applyAlignment="1" applyProtection="1">
      <alignment horizontal="center" vertical="center"/>
      <protection hidden="1"/>
    </xf>
    <xf numFmtId="191" fontId="55" fillId="3" borderId="240" xfId="2" applyNumberFormat="1" applyFont="1" applyFill="1" applyBorder="1" applyAlignment="1" applyProtection="1">
      <alignment horizontal="center" vertical="center"/>
      <protection hidden="1"/>
    </xf>
    <xf numFmtId="191" fontId="55" fillId="3" borderId="95" xfId="2" applyNumberFormat="1" applyFont="1" applyFill="1" applyBorder="1" applyAlignment="1" applyProtection="1">
      <alignment horizontal="center" vertical="center"/>
      <protection hidden="1"/>
    </xf>
    <xf numFmtId="191" fontId="55" fillId="3" borderId="99" xfId="2" applyNumberFormat="1" applyFont="1" applyFill="1" applyBorder="1" applyAlignment="1" applyProtection="1">
      <alignment horizontal="center" vertical="center"/>
      <protection hidden="1"/>
    </xf>
    <xf numFmtId="0" fontId="21" fillId="5" borderId="99" xfId="0" applyFont="1" applyFill="1" applyBorder="1" applyAlignment="1" applyProtection="1">
      <alignment horizontal="center" vertical="center"/>
      <protection hidden="1"/>
    </xf>
    <xf numFmtId="0" fontId="75" fillId="35" borderId="0" xfId="0" applyFont="1" applyFill="1" applyAlignment="1" applyProtection="1">
      <alignment horizontal="centerContinuous"/>
      <protection hidden="1"/>
    </xf>
    <xf numFmtId="0" fontId="97" fillId="35" borderId="0" xfId="0" applyFont="1" applyFill="1" applyAlignment="1" applyProtection="1">
      <alignment horizontal="centerContinuous" vertical="center"/>
      <protection hidden="1"/>
    </xf>
    <xf numFmtId="0" fontId="97" fillId="35" borderId="0" xfId="0" applyFont="1" applyFill="1" applyAlignment="1" applyProtection="1">
      <alignment horizontal="center" vertical="center"/>
      <protection hidden="1"/>
    </xf>
    <xf numFmtId="0" fontId="75" fillId="35" borderId="218" xfId="0" applyFont="1" applyFill="1" applyBorder="1" applyAlignment="1" applyProtection="1">
      <alignment horizontal="centerContinuous" vertical="center"/>
      <protection hidden="1"/>
    </xf>
    <xf numFmtId="0" fontId="26" fillId="35" borderId="0" xfId="0" applyFont="1" applyFill="1" applyAlignment="1" applyProtection="1">
      <alignment horizontal="left" vertical="center" indent="1"/>
      <protection hidden="1"/>
    </xf>
    <xf numFmtId="0" fontId="107" fillId="5" borderId="0" xfId="0" applyFont="1" applyFill="1" applyAlignment="1" applyProtection="1">
      <alignment vertical="center"/>
      <protection hidden="1"/>
    </xf>
    <xf numFmtId="165" fontId="32" fillId="4" borderId="251" xfId="0" applyNumberFormat="1" applyFont="1" applyFill="1" applyBorder="1" applyAlignment="1" applyProtection="1">
      <alignment horizontal="center" vertical="center"/>
      <protection hidden="1"/>
    </xf>
    <xf numFmtId="165" fontId="29" fillId="5" borderId="0" xfId="0" applyNumberFormat="1" applyFont="1" applyFill="1" applyAlignment="1" applyProtection="1">
      <alignment horizontal="center" vertical="center"/>
      <protection hidden="1"/>
    </xf>
    <xf numFmtId="0" fontId="17" fillId="0" borderId="0" xfId="2" applyFont="1" applyAlignment="1" applyProtection="1">
      <alignment vertical="center"/>
      <protection hidden="1"/>
    </xf>
    <xf numFmtId="0" fontId="21" fillId="0" borderId="0" xfId="2" applyFont="1" applyAlignment="1" applyProtection="1">
      <alignment vertical="center"/>
      <protection hidden="1"/>
    </xf>
    <xf numFmtId="0" fontId="21" fillId="0" borderId="0" xfId="0" applyFont="1" applyProtection="1">
      <protection hidden="1"/>
    </xf>
    <xf numFmtId="0" fontId="92" fillId="0" borderId="0" xfId="0" applyFont="1" applyAlignment="1" applyProtection="1">
      <alignment horizontal="centerContinuous"/>
      <protection hidden="1"/>
    </xf>
    <xf numFmtId="0" fontId="6" fillId="0" borderId="0" xfId="2" applyFont="1" applyAlignment="1" applyProtection="1">
      <alignment vertical="center"/>
      <protection hidden="1"/>
    </xf>
    <xf numFmtId="0" fontId="22" fillId="0" borderId="0" xfId="0" applyFont="1" applyAlignment="1" applyProtection="1">
      <alignment horizontal="left" indent="1"/>
      <protection hidden="1"/>
    </xf>
    <xf numFmtId="0" fontId="21" fillId="0" borderId="0" xfId="0" applyFont="1" applyAlignment="1" applyProtection="1">
      <alignment horizontal="center" vertical="center"/>
      <protection hidden="1"/>
    </xf>
    <xf numFmtId="0" fontId="17" fillId="0" borderId="0" xfId="2" quotePrefix="1" applyFont="1" applyAlignment="1" applyProtection="1">
      <alignment vertical="center"/>
      <protection hidden="1"/>
    </xf>
    <xf numFmtId="0" fontId="22" fillId="0" borderId="0" xfId="2" applyFont="1" applyAlignment="1" applyProtection="1">
      <alignment vertical="center"/>
      <protection hidden="1"/>
    </xf>
    <xf numFmtId="165" fontId="17" fillId="0" borderId="0" xfId="2" applyNumberFormat="1" applyFont="1" applyAlignment="1" applyProtection="1">
      <alignment vertical="center"/>
      <protection hidden="1"/>
    </xf>
    <xf numFmtId="0" fontId="110" fillId="0" borderId="0" xfId="0" applyFont="1" applyProtection="1">
      <protection hidden="1"/>
    </xf>
    <xf numFmtId="0" fontId="8" fillId="0" borderId="186" xfId="2" applyFont="1" applyBorder="1" applyAlignment="1" applyProtection="1">
      <alignment vertical="center"/>
      <protection hidden="1"/>
    </xf>
    <xf numFmtId="0" fontId="13" fillId="0" borderId="0" xfId="2" applyFont="1" applyAlignment="1" applyProtection="1">
      <alignment vertical="center"/>
      <protection hidden="1"/>
    </xf>
    <xf numFmtId="0" fontId="10" fillId="0" borderId="0" xfId="0" applyFont="1" applyAlignment="1" applyProtection="1">
      <alignment horizontal="center" vertical="center"/>
      <protection hidden="1"/>
    </xf>
    <xf numFmtId="0" fontId="111" fillId="0" borderId="0" xfId="0" applyFont="1" applyAlignment="1" applyProtection="1">
      <alignment vertical="center"/>
      <protection hidden="1"/>
    </xf>
    <xf numFmtId="0" fontId="110" fillId="0" borderId="0" xfId="0" applyFont="1" applyAlignment="1" applyProtection="1">
      <alignment vertical="center"/>
      <protection hidden="1"/>
    </xf>
    <xf numFmtId="0" fontId="112" fillId="4" borderId="0" xfId="2" applyFont="1" applyFill="1" applyProtection="1">
      <protection hidden="1"/>
    </xf>
    <xf numFmtId="0" fontId="8" fillId="4" borderId="0" xfId="2" applyFont="1" applyFill="1" applyAlignment="1" applyProtection="1">
      <alignment horizontal="left" vertical="center"/>
      <protection hidden="1"/>
    </xf>
    <xf numFmtId="0" fontId="30" fillId="5" borderId="100" xfId="0" applyFont="1" applyFill="1" applyBorder="1" applyProtection="1">
      <protection hidden="1"/>
    </xf>
    <xf numFmtId="0" fontId="18" fillId="4" borderId="0" xfId="0" applyFont="1" applyFill="1" applyAlignment="1" applyProtection="1">
      <alignment horizontal="center" vertical="center"/>
      <protection hidden="1"/>
    </xf>
    <xf numFmtId="176" fontId="5" fillId="3" borderId="0" xfId="0" applyNumberFormat="1" applyFont="1" applyFill="1" applyAlignment="1" applyProtection="1">
      <alignment vertical="center"/>
      <protection hidden="1"/>
    </xf>
    <xf numFmtId="0" fontId="63" fillId="0" borderId="0" xfId="0" applyFont="1" applyAlignment="1" applyProtection="1">
      <alignment horizontal="centerContinuous" vertical="center"/>
      <protection hidden="1"/>
    </xf>
    <xf numFmtId="0" fontId="26" fillId="0" borderId="0" xfId="0" applyFont="1" applyAlignment="1" applyProtection="1">
      <alignment horizontal="centerContinuous" vertical="center"/>
      <protection hidden="1"/>
    </xf>
    <xf numFmtId="165" fontId="25" fillId="0" borderId="0" xfId="0" applyNumberFormat="1" applyFont="1" applyAlignment="1" applyProtection="1">
      <alignment horizontal="center" vertical="center" wrapText="1"/>
      <protection hidden="1"/>
    </xf>
    <xf numFmtId="0" fontId="18" fillId="0" borderId="0" xfId="2" applyFont="1" applyAlignment="1" applyProtection="1">
      <alignment horizontal="left" vertical="center"/>
      <protection hidden="1"/>
    </xf>
    <xf numFmtId="165" fontId="87" fillId="0" borderId="0" xfId="0" applyNumberFormat="1" applyFont="1" applyAlignment="1" applyProtection="1">
      <alignment horizontal="center" vertical="center"/>
      <protection hidden="1"/>
    </xf>
    <xf numFmtId="0" fontId="54" fillId="4" borderId="0" xfId="0" applyFont="1" applyFill="1" applyAlignment="1" applyProtection="1">
      <alignment vertical="center"/>
      <protection hidden="1"/>
    </xf>
    <xf numFmtId="0" fontId="87" fillId="0" borderId="0" xfId="2" applyFont="1" applyAlignment="1" applyProtection="1">
      <alignment vertical="center"/>
      <protection hidden="1"/>
    </xf>
    <xf numFmtId="165" fontId="54" fillId="4" borderId="0" xfId="0" applyNumberFormat="1" applyFont="1" applyFill="1" applyAlignment="1" applyProtection="1">
      <alignment vertical="center"/>
      <protection hidden="1"/>
    </xf>
    <xf numFmtId="165" fontId="18" fillId="4" borderId="0" xfId="3" applyNumberFormat="1" applyFont="1" applyFill="1" applyBorder="1" applyAlignment="1" applyProtection="1">
      <alignment vertical="center"/>
      <protection hidden="1"/>
    </xf>
    <xf numFmtId="0" fontId="32" fillId="5" borderId="256" xfId="0" applyFont="1" applyFill="1" applyBorder="1" applyAlignment="1" applyProtection="1">
      <alignment horizontal="centerContinuous" vertical="center"/>
      <protection hidden="1"/>
    </xf>
    <xf numFmtId="0" fontId="32" fillId="5" borderId="257" xfId="0" applyFont="1" applyFill="1" applyBorder="1" applyAlignment="1" applyProtection="1">
      <alignment horizontal="centerContinuous" vertical="center"/>
      <protection hidden="1"/>
    </xf>
    <xf numFmtId="0" fontId="32" fillId="5" borderId="195" xfId="0" applyFont="1" applyFill="1" applyBorder="1" applyAlignment="1" applyProtection="1">
      <alignment horizontal="centerContinuous" vertical="center"/>
      <protection hidden="1"/>
    </xf>
    <xf numFmtId="0" fontId="32" fillId="5" borderId="258" xfId="0" applyFont="1" applyFill="1" applyBorder="1" applyAlignment="1" applyProtection="1">
      <alignment horizontal="centerContinuous" vertical="center"/>
      <protection hidden="1"/>
    </xf>
    <xf numFmtId="165" fontId="87" fillId="4" borderId="0" xfId="0" applyNumberFormat="1" applyFont="1" applyFill="1" applyAlignment="1" applyProtection="1">
      <alignment horizontal="center" vertical="center"/>
      <protection hidden="1"/>
    </xf>
    <xf numFmtId="0" fontId="114" fillId="35" borderId="0" xfId="0" applyFont="1" applyFill="1" applyAlignment="1" applyProtection="1">
      <alignment horizontal="centerContinuous"/>
      <protection hidden="1"/>
    </xf>
    <xf numFmtId="0" fontId="87" fillId="4" borderId="0" xfId="0" applyFont="1" applyFill="1" applyAlignment="1" applyProtection="1">
      <alignment horizontal="centerContinuous" vertical="center"/>
      <protection hidden="1"/>
    </xf>
    <xf numFmtId="0" fontId="87" fillId="4" borderId="0" xfId="2" applyFont="1" applyFill="1" applyAlignment="1" applyProtection="1">
      <alignment vertical="center"/>
      <protection hidden="1"/>
    </xf>
    <xf numFmtId="186" fontId="55" fillId="4" borderId="0" xfId="1" applyNumberFormat="1" applyFont="1" applyFill="1" applyBorder="1" applyAlignment="1" applyProtection="1">
      <alignment vertical="center"/>
      <protection hidden="1"/>
    </xf>
    <xf numFmtId="0" fontId="89" fillId="4" borderId="263" xfId="0" applyFont="1" applyFill="1" applyBorder="1" applyAlignment="1" applyProtection="1">
      <alignment vertical="center"/>
      <protection hidden="1"/>
    </xf>
    <xf numFmtId="14" fontId="21" fillId="0" borderId="0" xfId="2" applyNumberFormat="1" applyFont="1" applyAlignment="1" applyProtection="1">
      <alignment horizontal="center" vertical="center"/>
      <protection hidden="1"/>
    </xf>
    <xf numFmtId="0" fontId="25" fillId="0" borderId="0" xfId="2" applyFont="1" applyAlignment="1" applyProtection="1">
      <alignment horizontal="center" vertical="center"/>
      <protection hidden="1"/>
    </xf>
    <xf numFmtId="0" fontId="21" fillId="0" borderId="0" xfId="2" applyFont="1" applyAlignment="1" applyProtection="1">
      <alignment horizontal="left" vertical="center"/>
      <protection hidden="1"/>
    </xf>
    <xf numFmtId="176" fontId="21" fillId="0" borderId="0" xfId="2" applyNumberFormat="1" applyFont="1" applyAlignment="1" applyProtection="1">
      <alignment horizontal="center" vertical="center"/>
      <protection hidden="1"/>
    </xf>
    <xf numFmtId="176" fontId="4" fillId="4" borderId="0" xfId="0" applyNumberFormat="1" applyFont="1" applyFill="1" applyAlignment="1" applyProtection="1">
      <alignment vertical="center"/>
      <protection hidden="1"/>
    </xf>
    <xf numFmtId="168" fontId="8" fillId="0" borderId="0" xfId="2" applyNumberFormat="1" applyFont="1" applyAlignment="1" applyProtection="1">
      <alignment horizontal="left" vertical="center"/>
      <protection hidden="1"/>
    </xf>
    <xf numFmtId="168" fontId="21" fillId="0" borderId="0" xfId="2" applyNumberFormat="1" applyFont="1" applyAlignment="1" applyProtection="1">
      <alignment horizontal="center" vertical="center"/>
      <protection hidden="1"/>
    </xf>
    <xf numFmtId="0" fontId="71" fillId="4" borderId="0" xfId="0" applyFont="1" applyFill="1" applyProtection="1">
      <protection hidden="1"/>
    </xf>
    <xf numFmtId="0" fontId="70" fillId="4" borderId="0" xfId="0" applyFont="1" applyFill="1" applyProtection="1">
      <protection hidden="1"/>
    </xf>
    <xf numFmtId="0" fontId="30" fillId="4" borderId="0" xfId="0" applyFont="1" applyFill="1" applyAlignment="1" applyProtection="1">
      <alignment vertical="center"/>
      <protection hidden="1"/>
    </xf>
    <xf numFmtId="168" fontId="4" fillId="4" borderId="0" xfId="0" applyNumberFormat="1" applyFont="1" applyFill="1" applyAlignment="1" applyProtection="1">
      <alignment vertical="center"/>
      <protection hidden="1"/>
    </xf>
    <xf numFmtId="168" fontId="30" fillId="4" borderId="0" xfId="0" applyNumberFormat="1" applyFont="1" applyFill="1" applyAlignment="1" applyProtection="1">
      <alignment vertical="center"/>
      <protection hidden="1"/>
    </xf>
    <xf numFmtId="0" fontId="10" fillId="4" borderId="0" xfId="0" applyFont="1" applyFill="1" applyAlignment="1" applyProtection="1">
      <alignment horizontal="right" vertical="center" indent="1"/>
      <protection hidden="1"/>
    </xf>
    <xf numFmtId="0" fontId="4" fillId="0" borderId="0" xfId="0" applyFont="1" applyAlignment="1" applyProtection="1">
      <alignment horizontal="right" indent="1"/>
      <protection hidden="1"/>
    </xf>
    <xf numFmtId="165" fontId="8" fillId="0" borderId="0" xfId="0" applyNumberFormat="1" applyFont="1" applyAlignment="1" applyProtection="1">
      <alignment horizontal="right" vertical="center" indent="1"/>
      <protection hidden="1"/>
    </xf>
    <xf numFmtId="179" fontId="8" fillId="4" borderId="0" xfId="3" applyNumberFormat="1" applyFont="1" applyFill="1" applyBorder="1" applyAlignment="1" applyProtection="1">
      <alignment horizontal="center" vertical="center"/>
      <protection hidden="1"/>
    </xf>
    <xf numFmtId="0" fontId="8" fillId="4" borderId="0" xfId="2" applyFont="1" applyFill="1" applyAlignment="1" applyProtection="1">
      <alignment horizontal="right"/>
      <protection hidden="1"/>
    </xf>
    <xf numFmtId="169" fontId="8" fillId="4" borderId="0" xfId="0" applyNumberFormat="1" applyFont="1" applyFill="1" applyAlignment="1" applyProtection="1">
      <alignment horizontal="center" vertical="center"/>
      <protection hidden="1"/>
    </xf>
    <xf numFmtId="0" fontId="5" fillId="4" borderId="0" xfId="2" applyFont="1" applyFill="1" applyAlignment="1" applyProtection="1">
      <alignment horizontal="right"/>
      <protection hidden="1"/>
    </xf>
    <xf numFmtId="0" fontId="5" fillId="4" borderId="0" xfId="2" applyFont="1" applyFill="1" applyAlignment="1" applyProtection="1">
      <alignment horizontal="centerContinuous"/>
      <protection hidden="1"/>
    </xf>
    <xf numFmtId="166" fontId="8" fillId="4" borderId="0" xfId="3" applyNumberFormat="1" applyFont="1" applyFill="1" applyBorder="1" applyAlignment="1" applyProtection="1">
      <alignment horizontal="centerContinuous"/>
      <protection hidden="1"/>
    </xf>
    <xf numFmtId="0" fontId="7" fillId="4" borderId="0" xfId="0" applyFont="1" applyFill="1" applyAlignment="1" applyProtection="1">
      <alignment horizontal="centerContinuous"/>
      <protection hidden="1"/>
    </xf>
    <xf numFmtId="0" fontId="17" fillId="4" borderId="0" xfId="0" applyFont="1" applyFill="1" applyAlignment="1" applyProtection="1">
      <alignment horizontal="centerContinuous"/>
      <protection hidden="1"/>
    </xf>
    <xf numFmtId="0" fontId="5" fillId="3" borderId="0" xfId="2" applyFont="1" applyFill="1" applyAlignment="1" applyProtection="1">
      <alignment vertical="center"/>
      <protection hidden="1"/>
    </xf>
    <xf numFmtId="0" fontId="115" fillId="5" borderId="0" xfId="0" applyFont="1" applyFill="1" applyAlignment="1" applyProtection="1">
      <alignment horizontal="center" vertical="center"/>
      <protection hidden="1"/>
    </xf>
    <xf numFmtId="168" fontId="96" fillId="5" borderId="66" xfId="0" applyNumberFormat="1" applyFont="1" applyFill="1" applyBorder="1" applyAlignment="1" applyProtection="1">
      <alignment vertical="center"/>
      <protection hidden="1"/>
    </xf>
    <xf numFmtId="0" fontId="8" fillId="5" borderId="0" xfId="0" applyFont="1" applyFill="1" applyAlignment="1" applyProtection="1">
      <alignment vertical="center"/>
      <protection hidden="1"/>
    </xf>
    <xf numFmtId="0" fontId="10" fillId="5" borderId="0" xfId="0" applyFont="1" applyFill="1" applyAlignment="1" applyProtection="1">
      <alignment vertical="center"/>
      <protection hidden="1"/>
    </xf>
    <xf numFmtId="0" fontId="5" fillId="4" borderId="1" xfId="0" applyFont="1" applyFill="1" applyBorder="1" applyAlignment="1" applyProtection="1">
      <alignment horizontal="center" vertical="center"/>
      <protection hidden="1"/>
    </xf>
    <xf numFmtId="0" fontId="63" fillId="35" borderId="0" xfId="0" applyFont="1" applyFill="1" applyAlignment="1" applyProtection="1">
      <alignment horizontal="centerContinuous" vertical="center"/>
      <protection hidden="1"/>
    </xf>
    <xf numFmtId="0" fontId="63" fillId="35" borderId="77" xfId="0" applyFont="1" applyFill="1" applyBorder="1" applyAlignment="1" applyProtection="1">
      <alignment horizontal="centerContinuous" vertical="center"/>
      <protection hidden="1"/>
    </xf>
    <xf numFmtId="0" fontId="63" fillId="35" borderId="7" xfId="0" applyFont="1" applyFill="1" applyBorder="1" applyAlignment="1" applyProtection="1">
      <alignment horizontal="centerContinuous" vertical="center"/>
      <protection hidden="1"/>
    </xf>
    <xf numFmtId="0" fontId="5" fillId="5" borderId="267" xfId="2" applyFont="1" applyFill="1" applyBorder="1" applyAlignment="1" applyProtection="1">
      <alignment vertical="center"/>
      <protection hidden="1"/>
    </xf>
    <xf numFmtId="0" fontId="33" fillId="4" borderId="0" xfId="0" applyFont="1" applyFill="1" applyAlignment="1" applyProtection="1">
      <alignment horizontal="left" vertical="center"/>
      <protection hidden="1"/>
    </xf>
    <xf numFmtId="1" fontId="17" fillId="0" borderId="0" xfId="0" applyNumberFormat="1" applyFont="1"/>
    <xf numFmtId="14" fontId="17" fillId="0" borderId="0" xfId="0" applyNumberFormat="1" applyFont="1"/>
    <xf numFmtId="176" fontId="17" fillId="0" borderId="0" xfId="0" applyNumberFormat="1" applyFont="1"/>
    <xf numFmtId="0" fontId="23" fillId="0" borderId="0" xfId="0" applyFont="1"/>
    <xf numFmtId="176" fontId="23" fillId="0" borderId="0" xfId="0" applyNumberFormat="1" applyFont="1"/>
    <xf numFmtId="9" fontId="17" fillId="0" borderId="0" xfId="1" applyFont="1"/>
    <xf numFmtId="0" fontId="23" fillId="5" borderId="0" xfId="0" applyFont="1" applyFill="1" applyAlignment="1">
      <alignment horizontal="center"/>
    </xf>
    <xf numFmtId="0" fontId="17" fillId="5" borderId="0" xfId="0" applyFont="1" applyFill="1"/>
    <xf numFmtId="3" fontId="17" fillId="0" borderId="0" xfId="0" applyNumberFormat="1" applyFont="1" applyAlignment="1">
      <alignment horizontal="center"/>
    </xf>
    <xf numFmtId="176" fontId="17" fillId="5" borderId="0" xfId="0" applyNumberFormat="1" applyFont="1" applyFill="1" applyAlignment="1">
      <alignment horizontal="center"/>
    </xf>
    <xf numFmtId="176" fontId="17" fillId="5" borderId="0" xfId="0" applyNumberFormat="1" applyFont="1" applyFill="1"/>
    <xf numFmtId="176" fontId="23" fillId="5" borderId="0" xfId="0" applyNumberFormat="1" applyFont="1" applyFill="1"/>
    <xf numFmtId="9" fontId="17" fillId="5" borderId="0" xfId="1" applyFont="1" applyFill="1" applyAlignment="1">
      <alignment horizontal="center"/>
    </xf>
    <xf numFmtId="176" fontId="17" fillId="5" borderId="0" xfId="0" applyNumberFormat="1" applyFont="1" applyFill="1" applyAlignment="1">
      <alignment horizontal="center" vertical="center"/>
    </xf>
    <xf numFmtId="176" fontId="23" fillId="5" borderId="0" xfId="0" applyNumberFormat="1" applyFont="1" applyFill="1" applyAlignment="1">
      <alignment horizontal="center"/>
    </xf>
    <xf numFmtId="9" fontId="17" fillId="5" borderId="0" xfId="1" applyFont="1" applyFill="1" applyAlignment="1">
      <alignment horizontal="center" vertical="center"/>
    </xf>
    <xf numFmtId="0" fontId="55" fillId="3" borderId="0" xfId="0" applyFont="1" applyFill="1" applyProtection="1">
      <protection hidden="1"/>
    </xf>
    <xf numFmtId="178" fontId="113" fillId="3" borderId="0" xfId="0" applyNumberFormat="1" applyFont="1" applyFill="1" applyAlignment="1" applyProtection="1">
      <alignment horizontal="right"/>
      <protection hidden="1"/>
    </xf>
    <xf numFmtId="9" fontId="113" fillId="3" borderId="0" xfId="0" applyNumberFormat="1" applyFont="1" applyFill="1" applyAlignment="1" applyProtection="1">
      <alignment horizontal="right"/>
      <protection hidden="1"/>
    </xf>
    <xf numFmtId="14" fontId="18" fillId="4" borderId="0" xfId="0" applyNumberFormat="1" applyFont="1" applyFill="1" applyAlignment="1" applyProtection="1">
      <alignment horizontal="center" vertical="center"/>
      <protection hidden="1"/>
    </xf>
    <xf numFmtId="174" fontId="18" fillId="4" borderId="0" xfId="0" applyNumberFormat="1" applyFont="1" applyFill="1" applyAlignment="1" applyProtection="1">
      <alignment horizontal="center" vertical="center"/>
      <protection hidden="1"/>
    </xf>
    <xf numFmtId="0" fontId="4" fillId="35" borderId="247" xfId="0" applyFont="1" applyFill="1" applyBorder="1" applyAlignment="1" applyProtection="1">
      <alignment horizontal="centerContinuous" vertical="center"/>
      <protection hidden="1"/>
    </xf>
    <xf numFmtId="0" fontId="4" fillId="35" borderId="248" xfId="0" applyFont="1" applyFill="1" applyBorder="1" applyAlignment="1" applyProtection="1">
      <alignment horizontal="centerContinuous" vertical="center"/>
      <protection hidden="1"/>
    </xf>
    <xf numFmtId="14" fontId="18" fillId="4" borderId="242" xfId="0" applyNumberFormat="1" applyFont="1" applyFill="1" applyBorder="1" applyAlignment="1" applyProtection="1">
      <alignment horizontal="center" vertical="center"/>
      <protection hidden="1"/>
    </xf>
    <xf numFmtId="1" fontId="55" fillId="4" borderId="243" xfId="0" applyNumberFormat="1" applyFont="1" applyFill="1" applyBorder="1" applyAlignment="1" applyProtection="1">
      <alignment horizontal="center" vertical="center"/>
      <protection hidden="1"/>
    </xf>
    <xf numFmtId="1" fontId="18" fillId="4" borderId="243" xfId="0" applyNumberFormat="1" applyFont="1" applyFill="1" applyBorder="1" applyAlignment="1" applyProtection="1">
      <alignment horizontal="center" vertical="center"/>
      <protection hidden="1"/>
    </xf>
    <xf numFmtId="0" fontId="8" fillId="4" borderId="242" xfId="0" applyFont="1" applyFill="1" applyBorder="1" applyAlignment="1" applyProtection="1">
      <alignment horizontal="left" vertical="center" indent="1"/>
      <protection hidden="1"/>
    </xf>
    <xf numFmtId="176" fontId="8" fillId="4" borderId="243" xfId="0" applyNumberFormat="1" applyFont="1" applyFill="1" applyBorder="1" applyAlignment="1" applyProtection="1">
      <alignment horizontal="right" vertical="center"/>
      <protection hidden="1"/>
    </xf>
    <xf numFmtId="188" fontId="8" fillId="4" borderId="243" xfId="0" applyNumberFormat="1" applyFont="1" applyFill="1" applyBorder="1" applyAlignment="1" applyProtection="1">
      <alignment horizontal="right" vertical="center"/>
      <protection hidden="1"/>
    </xf>
    <xf numFmtId="165" fontId="8" fillId="4" borderId="243" xfId="0" applyNumberFormat="1" applyFont="1" applyFill="1" applyBorder="1" applyAlignment="1" applyProtection="1">
      <alignment horizontal="right" vertical="center"/>
      <protection hidden="1"/>
    </xf>
    <xf numFmtId="0" fontId="5" fillId="7" borderId="242" xfId="0" applyFont="1" applyFill="1" applyBorder="1" applyAlignment="1" applyProtection="1">
      <alignment horizontal="left" vertical="center" indent="1"/>
      <protection hidden="1"/>
    </xf>
    <xf numFmtId="176" fontId="5" fillId="7" borderId="268" xfId="0" applyNumberFormat="1" applyFont="1" applyFill="1" applyBorder="1" applyAlignment="1" applyProtection="1">
      <alignment horizontal="right" vertical="center"/>
      <protection hidden="1"/>
    </xf>
    <xf numFmtId="0" fontId="13" fillId="4" borderId="242" xfId="0" applyFont="1" applyFill="1" applyBorder="1" applyAlignment="1" applyProtection="1">
      <alignment horizontal="left" vertical="center" indent="1"/>
      <protection hidden="1"/>
    </xf>
    <xf numFmtId="168" fontId="13" fillId="4" borderId="243" xfId="0" applyNumberFormat="1" applyFont="1" applyFill="1" applyBorder="1" applyAlignment="1" applyProtection="1">
      <alignment horizontal="right" vertical="center"/>
      <protection hidden="1"/>
    </xf>
    <xf numFmtId="0" fontId="8" fillId="0" borderId="243" xfId="0" applyFont="1" applyBorder="1" applyAlignment="1" applyProtection="1">
      <alignment horizontal="right" vertical="center"/>
      <protection hidden="1"/>
    </xf>
    <xf numFmtId="165" fontId="5" fillId="7" borderId="268" xfId="0" applyNumberFormat="1" applyFont="1" applyFill="1" applyBorder="1" applyAlignment="1" applyProtection="1">
      <alignment horizontal="right" vertical="center"/>
      <protection hidden="1"/>
    </xf>
    <xf numFmtId="173" fontId="8" fillId="4" borderId="243" xfId="0" applyNumberFormat="1" applyFont="1" applyFill="1" applyBorder="1" applyAlignment="1" applyProtection="1">
      <alignment horizontal="right" vertical="center"/>
      <protection hidden="1"/>
    </xf>
    <xf numFmtId="0" fontId="5" fillId="5" borderId="242" xfId="0" applyFont="1" applyFill="1" applyBorder="1" applyAlignment="1" applyProtection="1">
      <alignment horizontal="left" vertical="center" indent="1"/>
      <protection hidden="1"/>
    </xf>
    <xf numFmtId="188" fontId="5" fillId="5" borderId="243" xfId="0" applyNumberFormat="1" applyFont="1" applyFill="1" applyBorder="1" applyAlignment="1" applyProtection="1">
      <alignment horizontal="right" vertical="center"/>
      <protection hidden="1"/>
    </xf>
    <xf numFmtId="0" fontId="8" fillId="5" borderId="244" xfId="0" applyFont="1" applyFill="1" applyBorder="1" applyAlignment="1" applyProtection="1">
      <alignment horizontal="left" vertical="center" indent="1"/>
      <protection hidden="1"/>
    </xf>
    <xf numFmtId="188" fontId="8" fillId="5" borderId="250" xfId="1" applyNumberFormat="1" applyFont="1" applyFill="1" applyBorder="1" applyAlignment="1" applyProtection="1">
      <alignment horizontal="right" vertical="center"/>
      <protection hidden="1"/>
    </xf>
    <xf numFmtId="188" fontId="8" fillId="5" borderId="245" xfId="1" applyNumberFormat="1" applyFont="1" applyFill="1" applyBorder="1" applyAlignment="1" applyProtection="1">
      <alignment horizontal="right" vertical="center"/>
      <protection hidden="1"/>
    </xf>
    <xf numFmtId="0" fontId="4" fillId="35" borderId="271" xfId="0" applyFont="1" applyFill="1" applyBorder="1" applyAlignment="1" applyProtection="1">
      <alignment horizontal="centerContinuous" vertical="center"/>
      <protection hidden="1"/>
    </xf>
    <xf numFmtId="0" fontId="4" fillId="35" borderId="272" xfId="0" applyFont="1" applyFill="1" applyBorder="1" applyAlignment="1" applyProtection="1">
      <alignment horizontal="centerContinuous" vertical="center"/>
      <protection hidden="1"/>
    </xf>
    <xf numFmtId="171" fontId="5" fillId="6" borderId="273" xfId="2" applyNumberFormat="1" applyFont="1" applyFill="1" applyBorder="1" applyAlignment="1" applyProtection="1">
      <alignment horizontal="center" vertical="center"/>
      <protection hidden="1"/>
    </xf>
    <xf numFmtId="171" fontId="5" fillId="6" borderId="274" xfId="2" applyNumberFormat="1" applyFont="1" applyFill="1" applyBorder="1" applyAlignment="1" applyProtection="1">
      <alignment horizontal="center" vertical="center"/>
      <protection hidden="1"/>
    </xf>
    <xf numFmtId="171" fontId="5" fillId="6" borderId="275" xfId="2" applyNumberFormat="1" applyFont="1" applyFill="1" applyBorder="1" applyAlignment="1" applyProtection="1">
      <alignment horizontal="center" vertical="center"/>
      <protection hidden="1"/>
    </xf>
    <xf numFmtId="14" fontId="63" fillId="35" borderId="242" xfId="0" applyNumberFormat="1" applyFont="1" applyFill="1" applyBorder="1" applyAlignment="1" applyProtection="1">
      <alignment horizontal="center" vertical="center"/>
      <protection hidden="1"/>
    </xf>
    <xf numFmtId="14" fontId="63" fillId="35" borderId="93" xfId="0" applyNumberFormat="1" applyFont="1" applyFill="1" applyBorder="1" applyAlignment="1" applyProtection="1">
      <alignment horizontal="center" vertical="center" wrapText="1"/>
      <protection hidden="1"/>
    </xf>
    <xf numFmtId="174" fontId="86" fillId="4" borderId="0" xfId="0" applyNumberFormat="1" applyFont="1" applyFill="1" applyAlignment="1" applyProtection="1">
      <alignment horizontal="center" vertical="center"/>
      <protection hidden="1"/>
    </xf>
    <xf numFmtId="174" fontId="82" fillId="4" borderId="0" xfId="0" applyNumberFormat="1" applyFont="1" applyFill="1" applyAlignment="1" applyProtection="1">
      <alignment horizontal="center" vertical="center"/>
      <protection hidden="1"/>
    </xf>
    <xf numFmtId="174" fontId="82" fillId="4" borderId="243" xfId="0" applyNumberFormat="1" applyFont="1" applyFill="1" applyBorder="1" applyAlignment="1" applyProtection="1">
      <alignment horizontal="center" vertical="center"/>
      <protection hidden="1"/>
    </xf>
    <xf numFmtId="176" fontId="8" fillId="4" borderId="0" xfId="0" applyNumberFormat="1" applyFont="1" applyFill="1" applyAlignment="1" applyProtection="1">
      <alignment horizontal="left" vertical="center"/>
      <protection hidden="1"/>
    </xf>
    <xf numFmtId="165" fontId="5" fillId="5" borderId="243" xfId="0" applyNumberFormat="1" applyFont="1" applyFill="1" applyBorder="1" applyAlignment="1" applyProtection="1">
      <alignment horizontal="center" vertical="center"/>
      <protection hidden="1"/>
    </xf>
    <xf numFmtId="165" fontId="8" fillId="4" borderId="243" xfId="0" applyNumberFormat="1" applyFont="1" applyFill="1" applyBorder="1" applyAlignment="1" applyProtection="1">
      <alignment horizontal="center" vertical="center"/>
      <protection hidden="1"/>
    </xf>
    <xf numFmtId="208" fontId="8" fillId="4" borderId="0" xfId="0" applyNumberFormat="1" applyFont="1" applyFill="1" applyAlignment="1" applyProtection="1">
      <alignment horizontal="center" vertical="center"/>
      <protection hidden="1"/>
    </xf>
    <xf numFmtId="208" fontId="8" fillId="4" borderId="243" xfId="0" applyNumberFormat="1" applyFont="1" applyFill="1" applyBorder="1" applyAlignment="1" applyProtection="1">
      <alignment horizontal="center" vertical="center"/>
      <protection hidden="1"/>
    </xf>
    <xf numFmtId="176" fontId="13" fillId="4" borderId="0" xfId="0" applyNumberFormat="1" applyFont="1" applyFill="1" applyAlignment="1" applyProtection="1">
      <alignment horizontal="left" vertical="center" indent="1"/>
      <protection hidden="1"/>
    </xf>
    <xf numFmtId="176" fontId="13" fillId="4" borderId="0" xfId="0" applyNumberFormat="1" applyFont="1" applyFill="1" applyAlignment="1" applyProtection="1">
      <alignment horizontal="right" vertical="center"/>
      <protection hidden="1"/>
    </xf>
    <xf numFmtId="14" fontId="13" fillId="4" borderId="0" xfId="0" applyNumberFormat="1" applyFont="1" applyFill="1" applyAlignment="1" applyProtection="1">
      <alignment horizontal="center" vertical="center"/>
      <protection hidden="1"/>
    </xf>
    <xf numFmtId="14" fontId="13" fillId="4" borderId="243" xfId="0" applyNumberFormat="1" applyFont="1" applyFill="1" applyBorder="1" applyAlignment="1" applyProtection="1">
      <alignment horizontal="center" vertical="center"/>
      <protection hidden="1"/>
    </xf>
    <xf numFmtId="0" fontId="8" fillId="4" borderId="244" xfId="0" applyFont="1" applyFill="1" applyBorder="1" applyAlignment="1" applyProtection="1">
      <alignment horizontal="left" vertical="center" indent="1"/>
      <protection hidden="1"/>
    </xf>
    <xf numFmtId="176" fontId="8" fillId="4" borderId="250" xfId="0" applyNumberFormat="1" applyFont="1" applyFill="1" applyBorder="1" applyAlignment="1" applyProtection="1">
      <alignment horizontal="right" vertical="center"/>
      <protection hidden="1"/>
    </xf>
    <xf numFmtId="0" fontId="8" fillId="4" borderId="250" xfId="0" applyFont="1" applyFill="1" applyBorder="1" applyAlignment="1" applyProtection="1">
      <alignment horizontal="right" vertical="center"/>
      <protection hidden="1"/>
    </xf>
    <xf numFmtId="173" fontId="8" fillId="4" borderId="250" xfId="0" quotePrefix="1" applyNumberFormat="1" applyFont="1" applyFill="1" applyBorder="1" applyAlignment="1" applyProtection="1">
      <alignment horizontal="right" vertical="center"/>
      <protection hidden="1"/>
    </xf>
    <xf numFmtId="0" fontId="8" fillId="4" borderId="250" xfId="0" applyFont="1" applyFill="1" applyBorder="1" applyAlignment="1" applyProtection="1">
      <alignment horizontal="left" vertical="center" indent="1"/>
      <protection hidden="1"/>
    </xf>
    <xf numFmtId="173" fontId="8" fillId="4" borderId="250" xfId="0" applyNumberFormat="1" applyFont="1" applyFill="1" applyBorder="1" applyAlignment="1" applyProtection="1">
      <alignment horizontal="right" vertical="center"/>
      <protection hidden="1"/>
    </xf>
    <xf numFmtId="176" fontId="8" fillId="4" borderId="245" xfId="0" applyNumberFormat="1" applyFont="1" applyFill="1" applyBorder="1" applyAlignment="1" applyProtection="1">
      <alignment horizontal="right" vertical="center"/>
      <protection hidden="1"/>
    </xf>
    <xf numFmtId="191" fontId="8" fillId="5" borderId="84" xfId="0" applyNumberFormat="1" applyFont="1" applyFill="1" applyBorder="1" applyAlignment="1" applyProtection="1">
      <alignment horizontal="center" vertical="center"/>
      <protection hidden="1"/>
    </xf>
    <xf numFmtId="191" fontId="8" fillId="5" borderId="83" xfId="0" applyNumberFormat="1" applyFont="1" applyFill="1" applyBorder="1" applyAlignment="1" applyProtection="1">
      <alignment horizontal="center" vertical="center"/>
      <protection hidden="1"/>
    </xf>
    <xf numFmtId="191" fontId="8" fillId="4" borderId="250" xfId="0" applyNumberFormat="1" applyFont="1" applyFill="1" applyBorder="1" applyAlignment="1" applyProtection="1">
      <alignment horizontal="center" vertical="center"/>
      <protection hidden="1"/>
    </xf>
    <xf numFmtId="0" fontId="32" fillId="5" borderId="277" xfId="0" applyFont="1" applyFill="1" applyBorder="1" applyAlignment="1" applyProtection="1">
      <alignment horizontal="centerContinuous" vertical="center"/>
      <protection hidden="1"/>
    </xf>
    <xf numFmtId="0" fontId="32" fillId="5" borderId="278" xfId="0" applyFont="1" applyFill="1" applyBorder="1" applyAlignment="1" applyProtection="1">
      <alignment horizontal="centerContinuous" vertical="center"/>
      <protection hidden="1"/>
    </xf>
    <xf numFmtId="0" fontId="10" fillId="5" borderId="66" xfId="0" applyFont="1" applyFill="1" applyBorder="1" applyAlignment="1" applyProtection="1">
      <alignment vertical="center"/>
      <protection hidden="1"/>
    </xf>
    <xf numFmtId="171" fontId="5" fillId="6" borderId="287" xfId="2" applyNumberFormat="1" applyFont="1" applyFill="1" applyBorder="1" applyAlignment="1" applyProtection="1">
      <alignment horizontal="center" vertical="center"/>
      <protection hidden="1"/>
    </xf>
    <xf numFmtId="171" fontId="5" fillId="6" borderId="288" xfId="2" applyNumberFormat="1" applyFont="1" applyFill="1" applyBorder="1" applyAlignment="1" applyProtection="1">
      <alignment horizontal="center" vertical="center"/>
      <protection hidden="1"/>
    </xf>
    <xf numFmtId="191" fontId="21" fillId="4" borderId="289" xfId="0" applyNumberFormat="1" applyFont="1" applyFill="1" applyBorder="1" applyAlignment="1" applyProtection="1">
      <alignment horizontal="center" vertical="center"/>
      <protection hidden="1"/>
    </xf>
    <xf numFmtId="168" fontId="21" fillId="4" borderId="290" xfId="1" applyNumberFormat="1" applyFont="1" applyFill="1" applyBorder="1" applyAlignment="1" applyProtection="1">
      <alignment horizontal="center" vertical="center"/>
      <protection hidden="1"/>
    </xf>
    <xf numFmtId="191" fontId="21" fillId="4" borderId="242" xfId="0" applyNumberFormat="1" applyFont="1" applyFill="1" applyBorder="1" applyAlignment="1" applyProtection="1">
      <alignment horizontal="center" vertical="center"/>
      <protection hidden="1"/>
    </xf>
    <xf numFmtId="209" fontId="21" fillId="4" borderId="0" xfId="0" applyNumberFormat="1" applyFont="1" applyFill="1" applyAlignment="1" applyProtection="1">
      <alignment horizontal="center" vertical="center"/>
      <protection hidden="1"/>
    </xf>
    <xf numFmtId="165" fontId="21" fillId="4" borderId="0" xfId="0" applyNumberFormat="1" applyFont="1" applyFill="1" applyAlignment="1" applyProtection="1">
      <alignment horizontal="center" vertical="center"/>
      <protection hidden="1"/>
    </xf>
    <xf numFmtId="168" fontId="21" fillId="4" borderId="243" xfId="1" applyNumberFormat="1" applyFont="1" applyFill="1" applyBorder="1" applyAlignment="1" applyProtection="1">
      <alignment horizontal="center" vertical="center"/>
      <protection hidden="1"/>
    </xf>
    <xf numFmtId="0" fontId="21" fillId="4" borderId="244" xfId="0" applyFont="1" applyFill="1" applyBorder="1" applyAlignment="1" applyProtection="1">
      <alignment horizontal="center" vertical="center"/>
      <protection hidden="1"/>
    </xf>
    <xf numFmtId="0" fontId="17" fillId="4" borderId="250" xfId="0" applyFont="1" applyFill="1" applyBorder="1" applyAlignment="1" applyProtection="1">
      <alignment vertical="center"/>
      <protection hidden="1"/>
    </xf>
    <xf numFmtId="173" fontId="21" fillId="4" borderId="250" xfId="0" applyNumberFormat="1" applyFont="1" applyFill="1" applyBorder="1" applyAlignment="1" applyProtection="1">
      <alignment horizontal="right" vertical="center"/>
      <protection hidden="1"/>
    </xf>
    <xf numFmtId="0" fontId="17" fillId="4" borderId="245" xfId="0" applyFont="1" applyFill="1" applyBorder="1" applyAlignment="1" applyProtection="1">
      <alignment vertical="center"/>
      <protection hidden="1"/>
    </xf>
    <xf numFmtId="0" fontId="48" fillId="35" borderId="0" xfId="0" applyFont="1" applyFill="1" applyAlignment="1" applyProtection="1">
      <alignment horizontal="centerContinuous" vertical="center"/>
      <protection hidden="1"/>
    </xf>
    <xf numFmtId="0" fontId="48" fillId="35" borderId="0" xfId="0" applyFont="1" applyFill="1" applyAlignment="1" applyProtection="1">
      <alignment horizontal="centerContinuous"/>
      <protection hidden="1"/>
    </xf>
    <xf numFmtId="216" fontId="8" fillId="4" borderId="242" xfId="0" applyNumberFormat="1" applyFont="1" applyFill="1" applyBorder="1" applyAlignment="1" applyProtection="1">
      <alignment horizontal="center" vertical="center"/>
      <protection hidden="1"/>
    </xf>
    <xf numFmtId="168" fontId="8" fillId="0" borderId="0" xfId="1" applyNumberFormat="1" applyFont="1" applyFill="1" applyBorder="1" applyAlignment="1" applyProtection="1">
      <alignment horizontal="right" vertical="center"/>
      <protection hidden="1"/>
    </xf>
    <xf numFmtId="17" fontId="8" fillId="4" borderId="243" xfId="0" applyNumberFormat="1" applyFont="1" applyFill="1" applyBorder="1" applyAlignment="1" applyProtection="1">
      <alignment horizontal="right" vertical="center"/>
      <protection hidden="1"/>
    </xf>
    <xf numFmtId="214" fontId="8" fillId="4" borderId="242" xfId="0" applyNumberFormat="1" applyFont="1" applyFill="1" applyBorder="1" applyAlignment="1" applyProtection="1">
      <alignment horizontal="centerContinuous" vertical="center"/>
      <protection hidden="1"/>
    </xf>
    <xf numFmtId="0" fontId="17" fillId="4" borderId="242" xfId="0" applyFont="1" applyFill="1" applyBorder="1" applyAlignment="1" applyProtection="1">
      <alignment vertical="center"/>
      <protection hidden="1"/>
    </xf>
    <xf numFmtId="0" fontId="63" fillId="35" borderId="242" xfId="0" applyFont="1" applyFill="1" applyBorder="1" applyAlignment="1" applyProtection="1">
      <alignment horizontal="centerContinuous" vertical="center"/>
      <protection hidden="1"/>
    </xf>
    <xf numFmtId="0" fontId="4" fillId="0" borderId="243" xfId="0" applyFont="1" applyBorder="1" applyAlignment="1" applyProtection="1">
      <alignment vertical="center"/>
      <protection hidden="1"/>
    </xf>
    <xf numFmtId="168" fontId="8" fillId="4" borderId="243" xfId="1" applyNumberFormat="1" applyFont="1" applyFill="1" applyBorder="1" applyAlignment="1" applyProtection="1">
      <alignment horizontal="right" vertical="center"/>
      <protection hidden="1"/>
    </xf>
    <xf numFmtId="0" fontId="84" fillId="4" borderId="242" xfId="0" applyFont="1" applyFill="1" applyBorder="1" applyAlignment="1" applyProtection="1">
      <alignment horizontal="left" vertical="center" indent="2"/>
      <protection hidden="1"/>
    </xf>
    <xf numFmtId="176" fontId="5" fillId="5" borderId="243" xfId="0" applyNumberFormat="1" applyFont="1" applyFill="1" applyBorder="1" applyAlignment="1" applyProtection="1">
      <alignment vertical="center"/>
      <protection hidden="1"/>
    </xf>
    <xf numFmtId="0" fontId="12" fillId="4" borderId="242" xfId="0" applyFont="1" applyFill="1" applyBorder="1" applyAlignment="1" applyProtection="1">
      <alignment horizontal="left" vertical="center" indent="1"/>
      <protection hidden="1"/>
    </xf>
    <xf numFmtId="168" fontId="12" fillId="4" borderId="243" xfId="0" applyNumberFormat="1" applyFont="1" applyFill="1" applyBorder="1" applyAlignment="1" applyProtection="1">
      <alignment horizontal="right" vertical="center"/>
      <protection hidden="1"/>
    </xf>
    <xf numFmtId="0" fontId="8" fillId="0" borderId="243" xfId="0" applyFont="1" applyBorder="1" applyAlignment="1" applyProtection="1">
      <alignment vertical="center"/>
      <protection hidden="1"/>
    </xf>
    <xf numFmtId="0" fontId="8" fillId="5" borderId="242" xfId="0" applyFont="1" applyFill="1" applyBorder="1" applyAlignment="1" applyProtection="1">
      <alignment horizontal="left" vertical="center" indent="1"/>
      <protection hidden="1"/>
    </xf>
    <xf numFmtId="168" fontId="8" fillId="5" borderId="243" xfId="1" applyNumberFormat="1" applyFont="1" applyFill="1" applyBorder="1" applyAlignment="1" applyProtection="1">
      <alignment vertical="center"/>
      <protection hidden="1"/>
    </xf>
    <xf numFmtId="0" fontId="12" fillId="4" borderId="242" xfId="0" applyFont="1" applyFill="1" applyBorder="1" applyAlignment="1" applyProtection="1">
      <alignment vertical="center"/>
      <protection hidden="1"/>
    </xf>
    <xf numFmtId="176" fontId="55" fillId="4" borderId="0" xfId="0" applyNumberFormat="1" applyFont="1" applyFill="1" applyAlignment="1" applyProtection="1">
      <alignment horizontal="center" vertical="center"/>
      <protection hidden="1"/>
    </xf>
    <xf numFmtId="0" fontId="63" fillId="35" borderId="0" xfId="0" applyFont="1" applyFill="1" applyAlignment="1" applyProtection="1">
      <alignment horizontal="centerContinuous" vertical="center" wrapText="1"/>
      <protection hidden="1"/>
    </xf>
    <xf numFmtId="0" fontId="64" fillId="35" borderId="0" xfId="0" applyFont="1" applyFill="1" applyAlignment="1" applyProtection="1">
      <alignment horizontal="centerContinuous" vertical="center" wrapText="1"/>
      <protection hidden="1"/>
    </xf>
    <xf numFmtId="177" fontId="64" fillId="35" borderId="0" xfId="0" applyNumberFormat="1" applyFont="1" applyFill="1" applyAlignment="1" applyProtection="1">
      <alignment horizontal="centerContinuous" vertical="center" wrapText="1"/>
      <protection hidden="1"/>
    </xf>
    <xf numFmtId="177" fontId="64" fillId="35" borderId="0" xfId="0" applyNumberFormat="1" applyFont="1" applyFill="1" applyAlignment="1" applyProtection="1">
      <alignment horizontal="centerContinuous" vertical="center"/>
      <protection hidden="1"/>
    </xf>
    <xf numFmtId="0" fontId="64" fillId="35" borderId="0" xfId="0" applyFont="1" applyFill="1" applyAlignment="1" applyProtection="1">
      <alignment horizontal="centerContinuous" vertical="center"/>
      <protection hidden="1"/>
    </xf>
    <xf numFmtId="0" fontId="30" fillId="0" borderId="0" xfId="0" applyFont="1" applyProtection="1">
      <protection hidden="1"/>
    </xf>
    <xf numFmtId="17" fontId="8" fillId="4" borderId="243" xfId="0" applyNumberFormat="1" applyFont="1" applyFill="1" applyBorder="1" applyAlignment="1" applyProtection="1">
      <alignment horizontal="center" vertical="center"/>
      <protection hidden="1"/>
    </xf>
    <xf numFmtId="191" fontId="8" fillId="4" borderId="0" xfId="0" applyNumberFormat="1" applyFont="1" applyFill="1" applyAlignment="1" applyProtection="1">
      <alignment horizontal="center" vertical="center"/>
      <protection hidden="1"/>
    </xf>
    <xf numFmtId="191" fontId="8" fillId="4" borderId="243" xfId="0" applyNumberFormat="1" applyFont="1" applyFill="1" applyBorder="1" applyAlignment="1" applyProtection="1">
      <alignment horizontal="center" vertical="center"/>
      <protection hidden="1"/>
    </xf>
    <xf numFmtId="1" fontId="55" fillId="4" borderId="0" xfId="0" applyNumberFormat="1" applyFont="1" applyFill="1" applyAlignment="1" applyProtection="1">
      <alignment horizontal="center" vertical="center"/>
      <protection hidden="1"/>
    </xf>
    <xf numFmtId="168" fontId="13" fillId="4" borderId="0" xfId="0" applyNumberFormat="1" applyFont="1" applyFill="1" applyAlignment="1" applyProtection="1">
      <alignment horizontal="right" vertical="center"/>
      <protection hidden="1"/>
    </xf>
    <xf numFmtId="188" fontId="5" fillId="5" borderId="0" xfId="0" applyNumberFormat="1" applyFont="1" applyFill="1" applyAlignment="1" applyProtection="1">
      <alignment horizontal="right" vertical="center"/>
      <protection hidden="1"/>
    </xf>
    <xf numFmtId="0" fontId="55" fillId="4" borderId="0" xfId="0" applyFont="1" applyFill="1" applyProtection="1">
      <protection hidden="1"/>
    </xf>
    <xf numFmtId="173" fontId="21" fillId="4" borderId="0" xfId="0" applyNumberFormat="1" applyFont="1" applyFill="1" applyAlignment="1" applyProtection="1">
      <alignment horizontal="right"/>
      <protection hidden="1"/>
    </xf>
    <xf numFmtId="14" fontId="63" fillId="35" borderId="246" xfId="0" applyNumberFormat="1" applyFont="1" applyFill="1" applyBorder="1" applyAlignment="1" applyProtection="1">
      <alignment horizontal="centerContinuous" vertical="center"/>
      <protection hidden="1"/>
    </xf>
    <xf numFmtId="14" fontId="63" fillId="35" borderId="247" xfId="0" applyNumberFormat="1" applyFont="1" applyFill="1" applyBorder="1" applyAlignment="1" applyProtection="1">
      <alignment horizontal="centerContinuous" vertical="center"/>
      <protection hidden="1"/>
    </xf>
    <xf numFmtId="14" fontId="63" fillId="35" borderId="293" xfId="0" applyNumberFormat="1" applyFont="1" applyFill="1" applyBorder="1" applyAlignment="1" applyProtection="1">
      <alignment horizontal="centerContinuous" vertical="center"/>
      <protection hidden="1"/>
    </xf>
    <xf numFmtId="14" fontId="63" fillId="35" borderId="248" xfId="0" applyNumberFormat="1" applyFont="1" applyFill="1" applyBorder="1" applyAlignment="1" applyProtection="1">
      <alignment horizontal="centerContinuous" vertical="center"/>
      <protection hidden="1"/>
    </xf>
    <xf numFmtId="0" fontId="17" fillId="4" borderId="242" xfId="0" applyFont="1" applyFill="1" applyBorder="1" applyProtection="1">
      <protection hidden="1"/>
    </xf>
    <xf numFmtId="0" fontId="17" fillId="4" borderId="243" xfId="0" applyFont="1" applyFill="1" applyBorder="1" applyProtection="1">
      <protection hidden="1"/>
    </xf>
    <xf numFmtId="0" fontId="55" fillId="4" borderId="242" xfId="0" applyFont="1" applyFill="1" applyBorder="1" applyProtection="1">
      <protection hidden="1"/>
    </xf>
    <xf numFmtId="0" fontId="21" fillId="4" borderId="242" xfId="0" applyFont="1" applyFill="1" applyBorder="1" applyProtection="1">
      <protection hidden="1"/>
    </xf>
    <xf numFmtId="0" fontId="21" fillId="4" borderId="244" xfId="0" applyFont="1" applyFill="1" applyBorder="1" applyProtection="1">
      <protection hidden="1"/>
    </xf>
    <xf numFmtId="0" fontId="17" fillId="4" borderId="250" xfId="0" applyFont="1" applyFill="1" applyBorder="1" applyProtection="1">
      <protection hidden="1"/>
    </xf>
    <xf numFmtId="173" fontId="21" fillId="4" borderId="250" xfId="0" applyNumberFormat="1" applyFont="1" applyFill="1" applyBorder="1" applyAlignment="1" applyProtection="1">
      <alignment horizontal="right"/>
      <protection hidden="1"/>
    </xf>
    <xf numFmtId="0" fontId="17" fillId="4" borderId="245" xfId="0" applyFont="1" applyFill="1" applyBorder="1" applyProtection="1">
      <protection hidden="1"/>
    </xf>
    <xf numFmtId="0" fontId="47" fillId="35" borderId="0" xfId="0" applyFont="1" applyFill="1" applyAlignment="1" applyProtection="1">
      <alignment horizontal="centerContinuous" vertical="center"/>
      <protection hidden="1"/>
    </xf>
    <xf numFmtId="0" fontId="47" fillId="35" borderId="0" xfId="0" applyFont="1" applyFill="1" applyAlignment="1" applyProtection="1">
      <alignment horizontal="centerContinuous"/>
      <protection hidden="1"/>
    </xf>
    <xf numFmtId="0" fontId="64" fillId="35" borderId="0" xfId="0" applyFont="1" applyFill="1" applyAlignment="1" applyProtection="1">
      <alignment horizontal="centerContinuous"/>
      <protection hidden="1"/>
    </xf>
    <xf numFmtId="184" fontId="116" fillId="3" borderId="0" xfId="0" applyNumberFormat="1" applyFont="1" applyFill="1" applyAlignment="1" applyProtection="1">
      <alignment horizontal="right"/>
      <protection hidden="1"/>
    </xf>
    <xf numFmtId="0" fontId="18" fillId="4" borderId="243" xfId="0" applyFont="1" applyFill="1" applyBorder="1" applyProtection="1">
      <protection hidden="1"/>
    </xf>
    <xf numFmtId="9" fontId="69" fillId="3" borderId="0" xfId="1" applyFont="1" applyFill="1" applyProtection="1">
      <protection hidden="1"/>
    </xf>
    <xf numFmtId="9" fontId="116" fillId="3" borderId="0" xfId="1" applyFont="1" applyFill="1" applyAlignment="1" applyProtection="1">
      <alignment horizontal="right"/>
      <protection hidden="1"/>
    </xf>
    <xf numFmtId="17" fontId="8" fillId="4" borderId="294" xfId="0" applyNumberFormat="1" applyFont="1" applyFill="1" applyBorder="1" applyAlignment="1" applyProtection="1">
      <alignment horizontal="center" vertical="center"/>
      <protection hidden="1"/>
    </xf>
    <xf numFmtId="191" fontId="8" fillId="4" borderId="20" xfId="0" applyNumberFormat="1" applyFont="1" applyFill="1" applyBorder="1" applyAlignment="1" applyProtection="1">
      <alignment horizontal="center" vertical="center"/>
      <protection hidden="1"/>
    </xf>
    <xf numFmtId="1" fontId="55" fillId="4" borderId="20" xfId="0" applyNumberFormat="1" applyFont="1" applyFill="1" applyBorder="1" applyAlignment="1" applyProtection="1">
      <alignment horizontal="center" vertical="center"/>
      <protection hidden="1"/>
    </xf>
    <xf numFmtId="1" fontId="18" fillId="4" borderId="20" xfId="0" applyNumberFormat="1" applyFont="1" applyFill="1" applyBorder="1" applyAlignment="1" applyProtection="1">
      <alignment horizontal="center" vertical="center"/>
      <protection hidden="1"/>
    </xf>
    <xf numFmtId="176" fontId="8" fillId="4" borderId="20" xfId="0" applyNumberFormat="1" applyFont="1" applyFill="1" applyBorder="1" applyAlignment="1" applyProtection="1">
      <alignment horizontal="right" vertical="center"/>
      <protection hidden="1"/>
    </xf>
    <xf numFmtId="188" fontId="8" fillId="4" borderId="20" xfId="0" applyNumberFormat="1" applyFont="1" applyFill="1" applyBorder="1" applyAlignment="1" applyProtection="1">
      <alignment horizontal="right" vertical="center"/>
      <protection hidden="1"/>
    </xf>
    <xf numFmtId="165" fontId="8" fillId="4" borderId="20" xfId="0" applyNumberFormat="1" applyFont="1" applyFill="1" applyBorder="1" applyAlignment="1" applyProtection="1">
      <alignment horizontal="right" vertical="center"/>
      <protection hidden="1"/>
    </xf>
    <xf numFmtId="176" fontId="5" fillId="7" borderId="295" xfId="0" applyNumberFormat="1" applyFont="1" applyFill="1" applyBorder="1" applyAlignment="1" applyProtection="1">
      <alignment horizontal="right" vertical="center"/>
      <protection hidden="1"/>
    </xf>
    <xf numFmtId="168" fontId="13" fillId="4" borderId="20" xfId="0" applyNumberFormat="1" applyFont="1" applyFill="1" applyBorder="1" applyAlignment="1" applyProtection="1">
      <alignment horizontal="right" vertical="center"/>
      <protection hidden="1"/>
    </xf>
    <xf numFmtId="0" fontId="8" fillId="4" borderId="20" xfId="0" applyFont="1" applyFill="1" applyBorder="1" applyAlignment="1" applyProtection="1">
      <alignment horizontal="right" vertical="center"/>
      <protection hidden="1"/>
    </xf>
    <xf numFmtId="165" fontId="8" fillId="0" borderId="20" xfId="0" applyNumberFormat="1" applyFont="1" applyBorder="1" applyAlignment="1" applyProtection="1">
      <alignment horizontal="right" vertical="center"/>
      <protection hidden="1"/>
    </xf>
    <xf numFmtId="165" fontId="5" fillId="7" borderId="295" xfId="0" applyNumberFormat="1" applyFont="1" applyFill="1" applyBorder="1" applyAlignment="1" applyProtection="1">
      <alignment horizontal="right" vertical="center"/>
      <protection hidden="1"/>
    </xf>
    <xf numFmtId="173" fontId="8" fillId="4" borderId="20" xfId="0" quotePrefix="1" applyNumberFormat="1" applyFont="1" applyFill="1" applyBorder="1" applyAlignment="1" applyProtection="1">
      <alignment horizontal="right" vertical="center"/>
      <protection hidden="1"/>
    </xf>
    <xf numFmtId="188" fontId="5" fillId="5" borderId="20" xfId="0" applyNumberFormat="1" applyFont="1" applyFill="1" applyBorder="1" applyAlignment="1" applyProtection="1">
      <alignment horizontal="right" vertical="center"/>
      <protection hidden="1"/>
    </xf>
    <xf numFmtId="188" fontId="8" fillId="5" borderId="296" xfId="1" applyNumberFormat="1" applyFont="1" applyFill="1" applyBorder="1" applyAlignment="1" applyProtection="1">
      <alignment horizontal="right" vertical="center"/>
      <protection hidden="1"/>
    </xf>
    <xf numFmtId="0" fontId="13" fillId="4" borderId="0" xfId="0" applyFont="1" applyFill="1" applyAlignment="1" applyProtection="1">
      <alignment horizontal="center" vertical="center"/>
      <protection hidden="1"/>
    </xf>
    <xf numFmtId="188" fontId="5" fillId="5" borderId="0" xfId="0" applyNumberFormat="1" applyFont="1" applyFill="1" applyAlignment="1" applyProtection="1">
      <alignment horizontal="center" vertical="center"/>
      <protection hidden="1"/>
    </xf>
    <xf numFmtId="188" fontId="8" fillId="5" borderId="250" xfId="1" applyNumberFormat="1" applyFont="1" applyFill="1" applyBorder="1" applyAlignment="1" applyProtection="1">
      <alignment horizontal="center" vertical="center"/>
      <protection hidden="1"/>
    </xf>
    <xf numFmtId="14" fontId="63" fillId="35" borderId="297" xfId="0" applyNumberFormat="1" applyFont="1" applyFill="1" applyBorder="1" applyAlignment="1" applyProtection="1">
      <alignment horizontal="center" vertical="center"/>
      <protection hidden="1"/>
    </xf>
    <xf numFmtId="176" fontId="55" fillId="3" borderId="0" xfId="0" applyNumberFormat="1" applyFont="1" applyFill="1" applyAlignment="1" applyProtection="1">
      <alignment vertical="center"/>
      <protection hidden="1"/>
    </xf>
    <xf numFmtId="171" fontId="5" fillId="6" borderId="298" xfId="2" applyNumberFormat="1" applyFont="1" applyFill="1" applyBorder="1" applyAlignment="1" applyProtection="1">
      <alignment horizontal="centerContinuous" vertical="center"/>
      <protection hidden="1"/>
    </xf>
    <xf numFmtId="171" fontId="5" fillId="6" borderId="299" xfId="2" applyNumberFormat="1" applyFont="1" applyFill="1" applyBorder="1" applyAlignment="1" applyProtection="1">
      <alignment horizontal="center" vertical="center"/>
      <protection hidden="1"/>
    </xf>
    <xf numFmtId="171" fontId="5" fillId="6" borderId="300" xfId="2" applyNumberFormat="1" applyFont="1" applyFill="1" applyBorder="1" applyAlignment="1" applyProtection="1">
      <alignment horizontal="right" vertical="center"/>
      <protection hidden="1"/>
    </xf>
    <xf numFmtId="171" fontId="24" fillId="4" borderId="242" xfId="2" applyNumberFormat="1" applyFont="1" applyFill="1" applyBorder="1" applyAlignment="1" applyProtection="1">
      <alignment horizontal="center" vertical="center"/>
      <protection hidden="1"/>
    </xf>
    <xf numFmtId="171" fontId="24" fillId="4" borderId="0" xfId="2" applyNumberFormat="1" applyFont="1" applyFill="1" applyAlignment="1" applyProtection="1">
      <alignment horizontal="center" vertical="center"/>
      <protection hidden="1"/>
    </xf>
    <xf numFmtId="171" fontId="24" fillId="4" borderId="243" xfId="2" applyNumberFormat="1" applyFont="1" applyFill="1" applyBorder="1" applyAlignment="1" applyProtection="1">
      <alignment horizontal="right" vertical="center"/>
      <protection hidden="1"/>
    </xf>
    <xf numFmtId="181" fontId="8" fillId="4" borderId="0" xfId="0" applyNumberFormat="1" applyFont="1" applyFill="1" applyAlignment="1" applyProtection="1">
      <alignment horizontal="center" vertical="center"/>
      <protection hidden="1"/>
    </xf>
    <xf numFmtId="188" fontId="5" fillId="7" borderId="0" xfId="0" applyNumberFormat="1" applyFont="1" applyFill="1" applyAlignment="1" applyProtection="1">
      <alignment horizontal="centerContinuous" vertical="center"/>
      <protection hidden="1"/>
    </xf>
    <xf numFmtId="0" fontId="8" fillId="4" borderId="243" xfId="0" applyFont="1" applyFill="1" applyBorder="1" applyAlignment="1" applyProtection="1">
      <alignment horizontal="right" vertical="center"/>
      <protection hidden="1"/>
    </xf>
    <xf numFmtId="0" fontId="24" fillId="5" borderId="242" xfId="0" applyFont="1" applyFill="1" applyBorder="1" applyAlignment="1" applyProtection="1">
      <alignment horizontal="left" vertical="center" indent="1"/>
      <protection hidden="1"/>
    </xf>
    <xf numFmtId="165" fontId="24" fillId="5" borderId="0" xfId="0" applyNumberFormat="1" applyFont="1" applyFill="1" applyAlignment="1" applyProtection="1">
      <alignment horizontal="center" vertical="center"/>
      <protection hidden="1"/>
    </xf>
    <xf numFmtId="176" fontId="24" fillId="5" borderId="243" xfId="0" applyNumberFormat="1" applyFont="1" applyFill="1" applyBorder="1" applyAlignment="1" applyProtection="1">
      <alignment horizontal="right" vertical="center"/>
      <protection hidden="1"/>
    </xf>
    <xf numFmtId="0" fontId="27" fillId="5" borderId="242" xfId="0" applyFont="1" applyFill="1" applyBorder="1" applyAlignment="1" applyProtection="1">
      <alignment horizontal="left" vertical="center" indent="1"/>
      <protection hidden="1"/>
    </xf>
    <xf numFmtId="165" fontId="27" fillId="5" borderId="0" xfId="0" applyNumberFormat="1" applyFont="1" applyFill="1" applyAlignment="1" applyProtection="1">
      <alignment vertical="center"/>
      <protection hidden="1"/>
    </xf>
    <xf numFmtId="176" fontId="27" fillId="5" borderId="0" xfId="0" applyNumberFormat="1" applyFont="1" applyFill="1" applyAlignment="1" applyProtection="1">
      <alignment horizontal="right" vertical="center"/>
      <protection hidden="1"/>
    </xf>
    <xf numFmtId="176" fontId="27" fillId="5" borderId="243" xfId="0" applyNumberFormat="1" applyFont="1" applyFill="1" applyBorder="1" applyAlignment="1" applyProtection="1">
      <alignment horizontal="right" vertical="center"/>
      <protection hidden="1"/>
    </xf>
    <xf numFmtId="0" fontId="27" fillId="5" borderId="244" xfId="0" applyFont="1" applyFill="1" applyBorder="1" applyAlignment="1" applyProtection="1">
      <alignment horizontal="left" vertical="center" indent="1"/>
      <protection hidden="1"/>
    </xf>
    <xf numFmtId="0" fontId="27" fillId="5" borderId="250" xfId="0" applyFont="1" applyFill="1" applyBorder="1" applyAlignment="1" applyProtection="1">
      <alignment vertical="center"/>
      <protection hidden="1"/>
    </xf>
    <xf numFmtId="165" fontId="27" fillId="5" borderId="250" xfId="0" applyNumberFormat="1" applyFont="1" applyFill="1" applyBorder="1" applyAlignment="1" applyProtection="1">
      <alignment vertical="center"/>
      <protection hidden="1"/>
    </xf>
    <xf numFmtId="176" fontId="27" fillId="5" borderId="269" xfId="0" applyNumberFormat="1" applyFont="1" applyFill="1" applyBorder="1" applyAlignment="1" applyProtection="1">
      <alignment horizontal="right" vertical="center"/>
      <protection hidden="1"/>
    </xf>
    <xf numFmtId="176" fontId="27" fillId="5" borderId="250" xfId="0" applyNumberFormat="1" applyFont="1" applyFill="1" applyBorder="1" applyAlignment="1" applyProtection="1">
      <alignment horizontal="right" vertical="center"/>
      <protection hidden="1"/>
    </xf>
    <xf numFmtId="176" fontId="27" fillId="5" borderId="245" xfId="0" applyNumberFormat="1" applyFont="1" applyFill="1" applyBorder="1" applyAlignment="1" applyProtection="1">
      <alignment horizontal="right" vertical="center"/>
      <protection hidden="1"/>
    </xf>
    <xf numFmtId="212" fontId="27" fillId="5" borderId="269" xfId="0" applyNumberFormat="1" applyFont="1" applyFill="1" applyBorder="1" applyAlignment="1" applyProtection="1">
      <alignment horizontal="right" vertical="center"/>
      <protection hidden="1"/>
    </xf>
    <xf numFmtId="212" fontId="27" fillId="5" borderId="250" xfId="0" applyNumberFormat="1" applyFont="1" applyFill="1" applyBorder="1" applyAlignment="1" applyProtection="1">
      <alignment horizontal="right" vertical="center"/>
      <protection hidden="1"/>
    </xf>
    <xf numFmtId="212" fontId="27" fillId="5" borderId="245" xfId="0" applyNumberFormat="1" applyFont="1" applyFill="1" applyBorder="1" applyAlignment="1" applyProtection="1">
      <alignment horizontal="right" vertical="center"/>
      <protection hidden="1"/>
    </xf>
    <xf numFmtId="176" fontId="24" fillId="5" borderId="243" xfId="0" applyNumberFormat="1" applyFont="1" applyFill="1" applyBorder="1" applyAlignment="1" applyProtection="1">
      <alignment vertical="center"/>
      <protection hidden="1"/>
    </xf>
    <xf numFmtId="165" fontId="27" fillId="5" borderId="292" xfId="0" applyNumberFormat="1" applyFont="1" applyFill="1" applyBorder="1" applyAlignment="1" applyProtection="1">
      <alignment horizontal="centerContinuous" vertical="center"/>
      <protection hidden="1"/>
    </xf>
    <xf numFmtId="171" fontId="24" fillId="6" borderId="299" xfId="2" applyNumberFormat="1" applyFont="1" applyFill="1" applyBorder="1" applyAlignment="1" applyProtection="1">
      <alignment horizontal="center" vertical="center"/>
      <protection hidden="1"/>
    </xf>
    <xf numFmtId="0" fontId="17" fillId="4" borderId="0" xfId="0" applyFont="1" applyFill="1" applyAlignment="1" applyProtection="1">
      <alignment horizontal="right" vertical="center"/>
      <protection hidden="1"/>
    </xf>
    <xf numFmtId="0" fontId="17" fillId="5" borderId="0" xfId="0" applyFont="1" applyFill="1" applyAlignment="1" applyProtection="1">
      <alignment vertical="center"/>
      <protection hidden="1"/>
    </xf>
    <xf numFmtId="188" fontId="8" fillId="5" borderId="0" xfId="0" applyNumberFormat="1" applyFont="1" applyFill="1" applyAlignment="1" applyProtection="1">
      <alignment horizontal="centerContinuous" vertical="center"/>
      <protection hidden="1"/>
    </xf>
    <xf numFmtId="188" fontId="8" fillId="5" borderId="0" xfId="0" applyNumberFormat="1" applyFont="1" applyFill="1" applyAlignment="1" applyProtection="1">
      <alignment horizontal="right" vertical="center"/>
      <protection hidden="1"/>
    </xf>
    <xf numFmtId="0" fontId="17" fillId="4" borderId="242" xfId="0" applyFont="1" applyFill="1" applyBorder="1" applyAlignment="1" applyProtection="1">
      <alignment horizontal="left" vertical="center" indent="1"/>
      <protection hidden="1"/>
    </xf>
    <xf numFmtId="176" fontId="8" fillId="5" borderId="0" xfId="0" applyNumberFormat="1" applyFont="1" applyFill="1" applyAlignment="1" applyProtection="1">
      <alignment horizontal="right" vertical="center"/>
      <protection hidden="1"/>
    </xf>
    <xf numFmtId="0" fontId="17" fillId="5" borderId="0" xfId="0" applyFont="1" applyFill="1" applyAlignment="1" applyProtection="1">
      <alignment horizontal="centerContinuous" vertical="center"/>
      <protection hidden="1"/>
    </xf>
    <xf numFmtId="0" fontId="71" fillId="4" borderId="0" xfId="0" applyFont="1" applyFill="1" applyAlignment="1" applyProtection="1">
      <alignment vertical="center"/>
      <protection hidden="1"/>
    </xf>
    <xf numFmtId="0" fontId="8" fillId="15" borderId="242" xfId="0" applyFont="1" applyFill="1" applyBorder="1" applyAlignment="1" applyProtection="1">
      <alignment horizontal="left" vertical="center" indent="1"/>
      <protection hidden="1"/>
    </xf>
    <xf numFmtId="168" fontId="12" fillId="15" borderId="0" xfId="0" applyNumberFormat="1" applyFont="1" applyFill="1" applyAlignment="1" applyProtection="1">
      <alignment horizontal="right" vertical="center"/>
      <protection hidden="1"/>
    </xf>
    <xf numFmtId="177" fontId="8" fillId="15" borderId="0" xfId="0" applyNumberFormat="1" applyFont="1" applyFill="1" applyAlignment="1" applyProtection="1">
      <alignment horizontal="right" vertical="center"/>
      <protection hidden="1"/>
    </xf>
    <xf numFmtId="0" fontId="8" fillId="15" borderId="244" xfId="0" applyFont="1" applyFill="1" applyBorder="1" applyAlignment="1" applyProtection="1">
      <alignment horizontal="left" vertical="center" indent="1"/>
      <protection hidden="1"/>
    </xf>
    <xf numFmtId="0" fontId="8" fillId="15" borderId="250" xfId="0" applyFont="1" applyFill="1" applyBorder="1" applyAlignment="1" applyProtection="1">
      <alignment vertical="center"/>
      <protection hidden="1"/>
    </xf>
    <xf numFmtId="168" fontId="8" fillId="15" borderId="269" xfId="1" applyNumberFormat="1" applyFont="1" applyFill="1" applyBorder="1" applyAlignment="1" applyProtection="1">
      <alignment horizontal="right" vertical="center"/>
      <protection hidden="1"/>
    </xf>
    <xf numFmtId="168" fontId="8" fillId="15" borderId="250" xfId="1" applyNumberFormat="1" applyFont="1" applyFill="1" applyBorder="1" applyAlignment="1" applyProtection="1">
      <alignment horizontal="right" vertical="center"/>
      <protection hidden="1"/>
    </xf>
    <xf numFmtId="168" fontId="8" fillId="15" borderId="301" xfId="1" applyNumberFormat="1" applyFont="1" applyFill="1" applyBorder="1" applyAlignment="1" applyProtection="1">
      <alignment horizontal="right" vertical="center"/>
      <protection hidden="1"/>
    </xf>
    <xf numFmtId="9" fontId="10" fillId="3" borderId="0" xfId="1" applyFont="1" applyFill="1" applyAlignment="1" applyProtection="1">
      <alignment vertical="center"/>
      <protection hidden="1"/>
    </xf>
    <xf numFmtId="217" fontId="17" fillId="0" borderId="0" xfId="0" applyNumberFormat="1" applyFont="1" applyAlignment="1">
      <alignment horizontal="center"/>
    </xf>
    <xf numFmtId="0" fontId="17" fillId="0" borderId="0" xfId="0" applyFont="1" applyAlignment="1">
      <alignment horizontal="right"/>
    </xf>
    <xf numFmtId="172" fontId="3" fillId="0" borderId="0" xfId="1" applyNumberFormat="1" applyFont="1"/>
    <xf numFmtId="3" fontId="0" fillId="0" borderId="302" xfId="0" applyNumberFormat="1" applyBorder="1"/>
    <xf numFmtId="3" fontId="0" fillId="0" borderId="303" xfId="0" applyNumberFormat="1" applyBorder="1"/>
    <xf numFmtId="3" fontId="0" fillId="0" borderId="304" xfId="0" applyNumberFormat="1" applyBorder="1"/>
    <xf numFmtId="0" fontId="0" fillId="0" borderId="305" xfId="0" applyBorder="1"/>
    <xf numFmtId="0" fontId="0" fillId="0" borderId="306" xfId="0" applyBorder="1"/>
    <xf numFmtId="218" fontId="0" fillId="0" borderId="307" xfId="0" applyNumberFormat="1" applyBorder="1"/>
    <xf numFmtId="218" fontId="0" fillId="0" borderId="308" xfId="0" applyNumberFormat="1" applyBorder="1"/>
    <xf numFmtId="218" fontId="0" fillId="0" borderId="309" xfId="0" applyNumberFormat="1" applyBorder="1"/>
    <xf numFmtId="217" fontId="17" fillId="0" borderId="0" xfId="0" applyNumberFormat="1" applyFont="1" applyAlignment="1">
      <alignment horizontal="right"/>
    </xf>
    <xf numFmtId="14" fontId="17" fillId="0" borderId="0" xfId="0" applyNumberFormat="1" applyFont="1" applyAlignment="1">
      <alignment horizontal="center" vertical="center"/>
    </xf>
    <xf numFmtId="176" fontId="8" fillId="0" borderId="243" xfId="0" applyNumberFormat="1" applyFont="1" applyBorder="1" applyAlignment="1" applyProtection="1">
      <alignment horizontal="right" vertical="center"/>
      <protection hidden="1"/>
    </xf>
    <xf numFmtId="220" fontId="90" fillId="3" borderId="0" xfId="0" applyNumberFormat="1" applyFont="1" applyFill="1" applyAlignment="1" applyProtection="1">
      <alignment vertical="center"/>
      <protection hidden="1"/>
    </xf>
    <xf numFmtId="0" fontId="8" fillId="4" borderId="242" xfId="0" applyFont="1" applyFill="1" applyBorder="1" applyAlignment="1" applyProtection="1">
      <alignment vertical="center"/>
      <protection hidden="1"/>
    </xf>
    <xf numFmtId="177" fontId="8" fillId="4" borderId="243" xfId="0" applyNumberFormat="1" applyFont="1" applyFill="1" applyBorder="1" applyAlignment="1" applyProtection="1">
      <alignment horizontal="right" vertical="center"/>
      <protection hidden="1"/>
    </xf>
    <xf numFmtId="168" fontId="8" fillId="4" borderId="0" xfId="0" applyNumberFormat="1" applyFont="1" applyFill="1" applyAlignment="1" applyProtection="1">
      <alignment horizontal="right" vertical="center"/>
      <protection hidden="1"/>
    </xf>
    <xf numFmtId="168" fontId="8" fillId="4" borderId="243" xfId="0" applyNumberFormat="1" applyFont="1" applyFill="1" applyBorder="1" applyAlignment="1" applyProtection="1">
      <alignment horizontal="right" vertical="center"/>
      <protection hidden="1"/>
    </xf>
    <xf numFmtId="168" fontId="8" fillId="15" borderId="243" xfId="1" applyNumberFormat="1" applyFont="1" applyFill="1" applyBorder="1" applyAlignment="1" applyProtection="1">
      <alignment horizontal="right" vertical="center"/>
      <protection hidden="1"/>
    </xf>
    <xf numFmtId="0" fontId="8" fillId="4" borderId="0" xfId="0" quotePrefix="1" applyFont="1" applyFill="1" applyAlignment="1" applyProtection="1">
      <alignment horizontal="center" vertical="center"/>
      <protection hidden="1"/>
    </xf>
    <xf numFmtId="0" fontId="5" fillId="15" borderId="242" xfId="0" applyFont="1" applyFill="1" applyBorder="1" applyAlignment="1" applyProtection="1">
      <alignment horizontal="left" vertical="center" indent="1"/>
      <protection hidden="1"/>
    </xf>
    <xf numFmtId="0" fontId="5" fillId="15" borderId="0" xfId="0" applyFont="1" applyFill="1" applyAlignment="1" applyProtection="1">
      <alignment vertical="center"/>
      <protection hidden="1"/>
    </xf>
    <xf numFmtId="0" fontId="5" fillId="15" borderId="0" xfId="0" applyFont="1" applyFill="1" applyAlignment="1" applyProtection="1">
      <alignment horizontal="center" vertical="center"/>
      <protection hidden="1"/>
    </xf>
    <xf numFmtId="176" fontId="5" fillId="15" borderId="268" xfId="0" applyNumberFormat="1" applyFont="1" applyFill="1" applyBorder="1" applyAlignment="1" applyProtection="1">
      <alignment horizontal="right" vertical="center"/>
      <protection hidden="1"/>
    </xf>
    <xf numFmtId="0" fontId="6" fillId="15" borderId="242" xfId="0" applyFont="1" applyFill="1" applyBorder="1" applyAlignment="1" applyProtection="1">
      <alignment horizontal="left" vertical="center" indent="1"/>
      <protection hidden="1"/>
    </xf>
    <xf numFmtId="0" fontId="56" fillId="15" borderId="0" xfId="0" applyFont="1" applyFill="1" applyAlignment="1" applyProtection="1">
      <alignment vertical="center"/>
      <protection hidden="1"/>
    </xf>
    <xf numFmtId="176" fontId="6" fillId="15" borderId="0" xfId="0" applyNumberFormat="1" applyFont="1" applyFill="1" applyAlignment="1" applyProtection="1">
      <alignment horizontal="right" vertical="center"/>
      <protection hidden="1"/>
    </xf>
    <xf numFmtId="176" fontId="6" fillId="15" borderId="243" xfId="0" applyNumberFormat="1" applyFont="1" applyFill="1" applyBorder="1" applyAlignment="1" applyProtection="1">
      <alignment horizontal="right" vertical="center"/>
      <protection hidden="1"/>
    </xf>
    <xf numFmtId="0" fontId="6" fillId="15" borderId="244" xfId="0" applyFont="1" applyFill="1" applyBorder="1" applyAlignment="1" applyProtection="1">
      <alignment horizontal="left" vertical="center" indent="1"/>
      <protection hidden="1"/>
    </xf>
    <xf numFmtId="0" fontId="6" fillId="15" borderId="250" xfId="0" applyFont="1" applyFill="1" applyBorder="1" applyAlignment="1" applyProtection="1">
      <alignment vertical="center"/>
      <protection hidden="1"/>
    </xf>
    <xf numFmtId="192" fontId="6" fillId="15" borderId="269" xfId="1" applyNumberFormat="1" applyFont="1" applyFill="1" applyBorder="1" applyAlignment="1" applyProtection="1">
      <alignment horizontal="right" vertical="center"/>
      <protection hidden="1"/>
    </xf>
    <xf numFmtId="192" fontId="6" fillId="15" borderId="250" xfId="1" applyNumberFormat="1" applyFont="1" applyFill="1" applyBorder="1" applyAlignment="1" applyProtection="1">
      <alignment horizontal="right" vertical="center"/>
      <protection hidden="1"/>
    </xf>
    <xf numFmtId="192" fontId="6" fillId="15" borderId="245" xfId="1" applyNumberFormat="1" applyFont="1" applyFill="1" applyBorder="1" applyAlignment="1" applyProtection="1">
      <alignment horizontal="right" vertical="center"/>
      <protection hidden="1"/>
    </xf>
    <xf numFmtId="0" fontId="63" fillId="35" borderId="71" xfId="0" applyFont="1" applyFill="1" applyBorder="1" applyAlignment="1" applyProtection="1">
      <alignment horizontal="centerContinuous" vertical="center"/>
      <protection hidden="1"/>
    </xf>
    <xf numFmtId="0" fontId="63" fillId="35" borderId="78" xfId="0" applyFont="1" applyFill="1" applyBorder="1" applyAlignment="1" applyProtection="1">
      <alignment horizontal="centerContinuous" vertical="center"/>
      <protection hidden="1"/>
    </xf>
    <xf numFmtId="0" fontId="63" fillId="35" borderId="77" xfId="0" applyFont="1" applyFill="1" applyBorder="1" applyAlignment="1" applyProtection="1">
      <alignment horizontal="center" vertical="center"/>
      <protection hidden="1"/>
    </xf>
    <xf numFmtId="172" fontId="4" fillId="3" borderId="0" xfId="1" applyNumberFormat="1" applyFont="1" applyFill="1" applyAlignment="1" applyProtection="1">
      <alignment vertical="center"/>
      <protection hidden="1"/>
    </xf>
    <xf numFmtId="0" fontId="17" fillId="4" borderId="0" xfId="0" quotePrefix="1" applyFont="1" applyFill="1" applyAlignment="1" applyProtection="1">
      <alignment horizontal="left" vertical="center"/>
      <protection hidden="1"/>
    </xf>
    <xf numFmtId="172" fontId="8" fillId="0" borderId="243" xfId="1" applyNumberFormat="1" applyFont="1" applyBorder="1" applyAlignment="1" applyProtection="1">
      <alignment vertical="center"/>
      <protection hidden="1"/>
    </xf>
    <xf numFmtId="10" fontId="8" fillId="0" borderId="243" xfId="1" applyNumberFormat="1" applyFont="1" applyBorder="1" applyAlignment="1" applyProtection="1">
      <alignment horizontal="right" vertical="center"/>
      <protection hidden="1"/>
    </xf>
    <xf numFmtId="14" fontId="8" fillId="3" borderId="0" xfId="0" applyNumberFormat="1" applyFont="1" applyFill="1" applyAlignment="1" applyProtection="1">
      <alignment horizontal="right" vertical="center"/>
      <protection hidden="1"/>
    </xf>
    <xf numFmtId="204" fontId="8" fillId="3" borderId="0" xfId="1" applyNumberFormat="1" applyFont="1" applyFill="1" applyAlignment="1" applyProtection="1">
      <alignment horizontal="right" vertical="center"/>
      <protection hidden="1"/>
    </xf>
    <xf numFmtId="204" fontId="8" fillId="4" borderId="71" xfId="0" applyNumberFormat="1" applyFont="1" applyFill="1" applyBorder="1" applyAlignment="1" applyProtection="1">
      <alignment vertical="center"/>
      <protection hidden="1"/>
    </xf>
    <xf numFmtId="168" fontId="8" fillId="5" borderId="0" xfId="1" applyNumberFormat="1" applyFont="1" applyFill="1" applyAlignment="1" applyProtection="1">
      <alignment horizontal="center" vertical="center"/>
      <protection hidden="1"/>
    </xf>
    <xf numFmtId="0" fontId="8" fillId="5" borderId="0" xfId="0" applyFont="1" applyFill="1" applyAlignment="1" applyProtection="1">
      <alignment horizontal="right" vertical="center"/>
      <protection hidden="1"/>
    </xf>
    <xf numFmtId="17" fontId="5" fillId="32" borderId="97" xfId="2" applyNumberFormat="1" applyFont="1" applyFill="1" applyBorder="1" applyAlignment="1" applyProtection="1">
      <alignment horizontal="center" vertical="center" wrapText="1"/>
      <protection hidden="1"/>
    </xf>
    <xf numFmtId="172" fontId="17" fillId="3" borderId="0" xfId="0" applyNumberFormat="1" applyFont="1" applyFill="1" applyAlignment="1" applyProtection="1">
      <alignment vertical="center"/>
      <protection hidden="1"/>
    </xf>
    <xf numFmtId="197" fontId="8" fillId="5" borderId="0" xfId="0" applyNumberFormat="1" applyFont="1" applyFill="1" applyAlignment="1" applyProtection="1">
      <alignment horizontal="center" vertical="center"/>
      <protection hidden="1"/>
    </xf>
    <xf numFmtId="165" fontId="8" fillId="5" borderId="0" xfId="0" applyNumberFormat="1" applyFont="1" applyFill="1" applyAlignment="1" applyProtection="1">
      <alignment horizontal="center" vertical="center"/>
      <protection hidden="1"/>
    </xf>
    <xf numFmtId="172" fontId="8" fillId="5" borderId="0" xfId="1" applyNumberFormat="1" applyFont="1" applyFill="1" applyAlignment="1" applyProtection="1">
      <alignment horizontal="center" vertical="center"/>
      <protection hidden="1"/>
    </xf>
    <xf numFmtId="215" fontId="8" fillId="5" borderId="0" xfId="0" applyNumberFormat="1" applyFont="1" applyFill="1" applyAlignment="1" applyProtection="1">
      <alignment horizontal="centerContinuous" vertical="center"/>
      <protection hidden="1"/>
    </xf>
    <xf numFmtId="215" fontId="8" fillId="5" borderId="0" xfId="0" applyNumberFormat="1" applyFont="1" applyFill="1" applyAlignment="1" applyProtection="1">
      <alignment horizontal="center" vertical="center"/>
      <protection hidden="1"/>
    </xf>
    <xf numFmtId="203" fontId="8" fillId="4" borderId="242" xfId="0" applyNumberFormat="1" applyFont="1" applyFill="1" applyBorder="1" applyAlignment="1" applyProtection="1">
      <alignment horizontal="center" vertical="center"/>
      <protection hidden="1"/>
    </xf>
    <xf numFmtId="223" fontId="8" fillId="0" borderId="0" xfId="1" applyNumberFormat="1" applyFont="1" applyBorder="1" applyAlignment="1" applyProtection="1">
      <alignment horizontal="right" vertical="center"/>
      <protection hidden="1"/>
    </xf>
    <xf numFmtId="172" fontId="8" fillId="4" borderId="0" xfId="1" applyNumberFormat="1" applyFont="1" applyFill="1" applyBorder="1" applyAlignment="1" applyProtection="1">
      <alignment horizontal="right" vertical="center"/>
      <protection hidden="1"/>
    </xf>
    <xf numFmtId="0" fontId="17" fillId="35" borderId="7" xfId="0" applyFont="1" applyFill="1" applyBorder="1" applyAlignment="1" applyProtection="1">
      <alignment horizontal="right" vertical="center"/>
      <protection hidden="1"/>
    </xf>
    <xf numFmtId="14" fontId="56" fillId="15" borderId="74" xfId="0" applyNumberFormat="1" applyFont="1" applyFill="1" applyBorder="1" applyAlignment="1" applyProtection="1">
      <alignment horizontal="center" vertical="center"/>
      <protection hidden="1"/>
    </xf>
    <xf numFmtId="0" fontId="56" fillId="15" borderId="73" xfId="0" applyFont="1" applyFill="1" applyBorder="1" applyAlignment="1" applyProtection="1">
      <alignment horizontal="right" vertical="center" indent="1"/>
      <protection hidden="1"/>
    </xf>
    <xf numFmtId="0" fontId="32" fillId="5" borderId="0" xfId="0" applyFont="1" applyFill="1" applyAlignment="1" applyProtection="1">
      <alignment horizontal="right" vertical="center" indent="1"/>
      <protection hidden="1"/>
    </xf>
    <xf numFmtId="17" fontId="8" fillId="5" borderId="310" xfId="2" applyNumberFormat="1" applyFont="1" applyFill="1" applyBorder="1" applyAlignment="1" applyProtection="1">
      <alignment horizontal="center" vertical="center" wrapText="1"/>
      <protection hidden="1"/>
    </xf>
    <xf numFmtId="17" fontId="8" fillId="8" borderId="310" xfId="2" applyNumberFormat="1" applyFont="1" applyFill="1" applyBorder="1" applyAlignment="1" applyProtection="1">
      <alignment horizontal="center" vertical="center" wrapText="1"/>
      <protection hidden="1"/>
    </xf>
    <xf numFmtId="200" fontId="8" fillId="4" borderId="50" xfId="0" applyNumberFormat="1" applyFont="1" applyFill="1" applyBorder="1" applyAlignment="1" applyProtection="1">
      <alignment horizontal="centerContinuous"/>
      <protection hidden="1"/>
    </xf>
    <xf numFmtId="2" fontId="8" fillId="4" borderId="50" xfId="0" applyNumberFormat="1" applyFont="1" applyFill="1" applyBorder="1" applyAlignment="1" applyProtection="1">
      <alignment horizontal="centerContinuous"/>
      <protection hidden="1"/>
    </xf>
    <xf numFmtId="1" fontId="8" fillId="4" borderId="50" xfId="0" applyNumberFormat="1" applyFont="1" applyFill="1" applyBorder="1" applyAlignment="1" applyProtection="1">
      <alignment horizontal="centerContinuous"/>
      <protection hidden="1"/>
    </xf>
    <xf numFmtId="0" fontId="8" fillId="4" borderId="0" xfId="0" applyFont="1" applyFill="1" applyAlignment="1" applyProtection="1">
      <alignment horizontal="centerContinuous"/>
      <protection hidden="1"/>
    </xf>
    <xf numFmtId="0" fontId="30" fillId="3" borderId="0" xfId="0" applyFont="1" applyFill="1" applyProtection="1">
      <protection hidden="1"/>
    </xf>
    <xf numFmtId="0" fontId="30" fillId="4" borderId="242" xfId="0" applyFont="1" applyFill="1" applyBorder="1" applyProtection="1">
      <protection hidden="1"/>
    </xf>
    <xf numFmtId="17" fontId="5" fillId="5" borderId="310" xfId="2" applyNumberFormat="1" applyFont="1" applyFill="1" applyBorder="1" applyAlignment="1" applyProtection="1">
      <alignment horizontal="center" vertical="center" wrapText="1"/>
      <protection hidden="1"/>
    </xf>
    <xf numFmtId="0" fontId="30" fillId="4" borderId="243" xfId="0" applyFont="1" applyFill="1" applyBorder="1" applyAlignment="1" applyProtection="1">
      <alignment horizontal="left"/>
      <protection hidden="1"/>
    </xf>
    <xf numFmtId="176" fontId="8" fillId="4" borderId="50" xfId="0" applyNumberFormat="1" applyFont="1" applyFill="1" applyBorder="1" applyAlignment="1" applyProtection="1">
      <alignment horizontal="centerContinuous"/>
      <protection hidden="1"/>
    </xf>
    <xf numFmtId="17" fontId="17" fillId="5" borderId="0" xfId="0" applyNumberFormat="1" applyFont="1" applyFill="1" applyAlignment="1" applyProtection="1">
      <alignment horizontal="center" vertical="center" wrapText="1"/>
      <protection hidden="1"/>
    </xf>
    <xf numFmtId="0" fontId="8" fillId="4" borderId="250" xfId="0" applyFont="1" applyFill="1" applyBorder="1" applyAlignment="1" applyProtection="1">
      <alignment horizontal="centerContinuous"/>
      <protection hidden="1"/>
    </xf>
    <xf numFmtId="0" fontId="4" fillId="4" borderId="250" xfId="0" applyFont="1" applyFill="1" applyBorder="1" applyProtection="1">
      <protection hidden="1"/>
    </xf>
    <xf numFmtId="203" fontId="8" fillId="4" borderId="0" xfId="0" applyNumberFormat="1" applyFont="1" applyFill="1" applyAlignment="1" applyProtection="1">
      <alignment horizontal="center" vertical="center"/>
      <protection hidden="1"/>
    </xf>
    <xf numFmtId="203" fontId="8" fillId="4" borderId="0" xfId="0" applyNumberFormat="1" applyFont="1" applyFill="1" applyAlignment="1" applyProtection="1">
      <alignment horizontal="centerContinuous" vertical="center"/>
      <protection hidden="1"/>
    </xf>
    <xf numFmtId="176" fontId="8" fillId="0" borderId="0" xfId="0" applyNumberFormat="1" applyFont="1" applyAlignment="1" applyProtection="1">
      <alignment horizontal="right" vertical="center"/>
      <protection hidden="1"/>
    </xf>
    <xf numFmtId="219" fontId="8" fillId="4" borderId="0" xfId="0" applyNumberFormat="1" applyFont="1" applyFill="1" applyAlignment="1" applyProtection="1">
      <alignment horizontal="right" vertical="center"/>
      <protection hidden="1"/>
    </xf>
    <xf numFmtId="2" fontId="8" fillId="4" borderId="0" xfId="0" applyNumberFormat="1" applyFont="1" applyFill="1" applyAlignment="1" applyProtection="1">
      <alignment horizontal="right" vertical="center"/>
      <protection hidden="1"/>
    </xf>
    <xf numFmtId="14" fontId="8" fillId="4" borderId="0" xfId="0" applyNumberFormat="1" applyFont="1" applyFill="1" applyAlignment="1" applyProtection="1">
      <alignment horizontal="right" vertical="center"/>
      <protection hidden="1"/>
    </xf>
    <xf numFmtId="176" fontId="8" fillId="4" borderId="0" xfId="0" quotePrefix="1" applyNumberFormat="1" applyFont="1" applyFill="1" applyAlignment="1" applyProtection="1">
      <alignment horizontal="left" vertical="center"/>
      <protection hidden="1"/>
    </xf>
    <xf numFmtId="221" fontId="8" fillId="4" borderId="0" xfId="0" applyNumberFormat="1" applyFont="1" applyFill="1" applyAlignment="1" applyProtection="1">
      <alignment horizontal="right" vertical="center"/>
      <protection hidden="1"/>
    </xf>
    <xf numFmtId="176" fontId="4" fillId="0" borderId="0" xfId="0" applyNumberFormat="1" applyFont="1" applyAlignment="1" applyProtection="1">
      <alignment vertical="center"/>
      <protection hidden="1"/>
    </xf>
    <xf numFmtId="176" fontId="8" fillId="4" borderId="0" xfId="0" applyNumberFormat="1" applyFont="1" applyFill="1" applyAlignment="1" applyProtection="1">
      <alignment horizontal="centerContinuous" vertical="center"/>
      <protection hidden="1"/>
    </xf>
    <xf numFmtId="176" fontId="5" fillId="5" borderId="0" xfId="0" applyNumberFormat="1" applyFont="1" applyFill="1" applyAlignment="1" applyProtection="1">
      <alignment horizontal="center" vertical="center"/>
      <protection hidden="1"/>
    </xf>
    <xf numFmtId="176" fontId="5" fillId="5" borderId="0" xfId="0" applyNumberFormat="1" applyFont="1" applyFill="1" applyAlignment="1" applyProtection="1">
      <alignment horizontal="right" vertical="center"/>
      <protection hidden="1"/>
    </xf>
    <xf numFmtId="176" fontId="5" fillId="5" borderId="0" xfId="0" applyNumberFormat="1" applyFont="1" applyFill="1" applyAlignment="1" applyProtection="1">
      <alignment vertical="center"/>
      <protection hidden="1"/>
    </xf>
    <xf numFmtId="176" fontId="5" fillId="7" borderId="0" xfId="0" applyNumberFormat="1" applyFont="1" applyFill="1" applyAlignment="1" applyProtection="1">
      <alignment horizontal="centerContinuous" vertical="center"/>
      <protection hidden="1"/>
    </xf>
    <xf numFmtId="0" fontId="12" fillId="4" borderId="0" xfId="0" applyFont="1" applyFill="1" applyAlignment="1" applyProtection="1">
      <alignment horizontal="center" vertical="center"/>
      <protection hidden="1"/>
    </xf>
    <xf numFmtId="222" fontId="8" fillId="4" borderId="0" xfId="0" applyNumberFormat="1" applyFont="1" applyFill="1" applyAlignment="1" applyProtection="1">
      <alignment horizontal="right" vertical="center"/>
      <protection hidden="1"/>
    </xf>
    <xf numFmtId="168" fontId="84" fillId="4" borderId="0" xfId="0" applyNumberFormat="1" applyFont="1" applyFill="1" applyAlignment="1" applyProtection="1">
      <alignment horizontal="right" vertical="center"/>
      <protection hidden="1"/>
    </xf>
    <xf numFmtId="176" fontId="5" fillId="5" borderId="0" xfId="0" applyNumberFormat="1" applyFont="1" applyFill="1" applyAlignment="1" applyProtection="1">
      <alignment horizontal="centerContinuous" vertical="center"/>
      <protection hidden="1"/>
    </xf>
    <xf numFmtId="0" fontId="8" fillId="35" borderId="0" xfId="0" applyFont="1" applyFill="1" applyAlignment="1" applyProtection="1">
      <alignment vertical="center"/>
      <protection hidden="1"/>
    </xf>
    <xf numFmtId="0" fontId="24" fillId="5" borderId="0" xfId="0" applyFont="1" applyFill="1" applyAlignment="1" applyProtection="1">
      <alignment vertical="center"/>
      <protection hidden="1"/>
    </xf>
    <xf numFmtId="176" fontId="24" fillId="5" borderId="0" xfId="0" applyNumberFormat="1" applyFont="1" applyFill="1" applyAlignment="1" applyProtection="1">
      <alignment vertical="center"/>
      <protection hidden="1"/>
    </xf>
    <xf numFmtId="202" fontId="5" fillId="5" borderId="0" xfId="0" applyNumberFormat="1" applyFont="1" applyFill="1" applyAlignment="1" applyProtection="1">
      <alignment horizontal="center" vertical="center"/>
      <protection hidden="1"/>
    </xf>
    <xf numFmtId="0" fontId="109" fillId="5" borderId="0" xfId="0" applyFont="1" applyFill="1" applyAlignment="1" applyProtection="1">
      <alignment vertical="center"/>
      <protection hidden="1"/>
    </xf>
    <xf numFmtId="0" fontId="18" fillId="5" borderId="0" xfId="0" applyFont="1" applyFill="1" applyAlignment="1" applyProtection="1">
      <alignment horizontal="center" vertical="center"/>
      <protection hidden="1"/>
    </xf>
    <xf numFmtId="224" fontId="5" fillId="5" borderId="95" xfId="2" applyNumberFormat="1" applyFont="1" applyFill="1" applyBorder="1" applyAlignment="1" applyProtection="1">
      <alignment horizontal="center" vertical="center" wrapText="1"/>
      <protection hidden="1"/>
    </xf>
    <xf numFmtId="202" fontId="5" fillId="5" borderId="95" xfId="2" applyNumberFormat="1" applyFont="1" applyFill="1" applyBorder="1" applyAlignment="1" applyProtection="1">
      <alignment horizontal="center" vertical="center" wrapText="1"/>
      <protection hidden="1"/>
    </xf>
    <xf numFmtId="186" fontId="5" fillId="5" borderId="95" xfId="2" applyNumberFormat="1" applyFont="1" applyFill="1" applyBorder="1" applyAlignment="1" applyProtection="1">
      <alignment horizontal="center" vertical="center" wrapText="1"/>
      <protection hidden="1"/>
    </xf>
    <xf numFmtId="176" fontId="5" fillId="5" borderId="95" xfId="2" applyNumberFormat="1" applyFont="1" applyFill="1" applyBorder="1" applyAlignment="1" applyProtection="1">
      <alignment horizontal="center" vertical="center" wrapText="1"/>
      <protection hidden="1"/>
    </xf>
    <xf numFmtId="0" fontId="59" fillId="34" borderId="0" xfId="0" applyFont="1" applyFill="1" applyAlignment="1" applyProtection="1">
      <alignment horizontal="centerContinuous" vertical="center" wrapText="1"/>
      <protection hidden="1"/>
    </xf>
    <xf numFmtId="171" fontId="5" fillId="5" borderId="242" xfId="2" applyNumberFormat="1" applyFont="1" applyFill="1" applyBorder="1" applyAlignment="1" applyProtection="1">
      <alignment horizontal="right" vertical="center"/>
      <protection hidden="1"/>
    </xf>
    <xf numFmtId="171" fontId="5" fillId="5" borderId="0" xfId="2" applyNumberFormat="1" applyFont="1" applyFill="1" applyAlignment="1" applyProtection="1">
      <alignment horizontal="center" vertical="center"/>
      <protection hidden="1"/>
    </xf>
    <xf numFmtId="0" fontId="12" fillId="0" borderId="0" xfId="2" applyFont="1" applyAlignment="1" applyProtection="1">
      <alignment horizontal="left" vertical="center" indent="1"/>
      <protection hidden="1"/>
    </xf>
    <xf numFmtId="0" fontId="8" fillId="4" borderId="243" xfId="0" applyFont="1" applyFill="1" applyBorder="1" applyAlignment="1" applyProtection="1">
      <alignment vertical="center"/>
      <protection hidden="1"/>
    </xf>
    <xf numFmtId="176" fontId="5" fillId="7" borderId="0" xfId="0" applyNumberFormat="1" applyFont="1" applyFill="1" applyAlignment="1" applyProtection="1">
      <alignment horizontal="right" vertical="center"/>
      <protection hidden="1"/>
    </xf>
    <xf numFmtId="176" fontId="117" fillId="4" borderId="0" xfId="0" applyNumberFormat="1" applyFont="1" applyFill="1" applyAlignment="1" applyProtection="1">
      <alignment horizontal="right" vertical="center"/>
      <protection hidden="1"/>
    </xf>
    <xf numFmtId="176" fontId="117" fillId="0" borderId="0" xfId="0" applyNumberFormat="1" applyFont="1" applyAlignment="1" applyProtection="1">
      <alignment horizontal="right" vertical="center"/>
      <protection hidden="1"/>
    </xf>
    <xf numFmtId="168" fontId="117" fillId="4" borderId="0" xfId="1" applyNumberFormat="1" applyFont="1" applyFill="1" applyBorder="1" applyAlignment="1" applyProtection="1">
      <alignment horizontal="right" vertical="center"/>
      <protection hidden="1"/>
    </xf>
    <xf numFmtId="168" fontId="117" fillId="0" borderId="0" xfId="1" applyNumberFormat="1" applyFont="1" applyFill="1" applyBorder="1" applyAlignment="1" applyProtection="1">
      <alignment horizontal="right" vertical="center"/>
      <protection hidden="1"/>
    </xf>
    <xf numFmtId="0" fontId="117" fillId="4" borderId="0" xfId="0" applyFont="1" applyFill="1" applyAlignment="1" applyProtection="1">
      <alignment horizontal="left" vertical="center" indent="2"/>
      <protection hidden="1"/>
    </xf>
    <xf numFmtId="0" fontId="117" fillId="4" borderId="0" xfId="0" applyFont="1" applyFill="1" applyAlignment="1" applyProtection="1">
      <alignment horizontal="left" vertical="center" indent="1"/>
      <protection hidden="1"/>
    </xf>
    <xf numFmtId="0" fontId="5" fillId="7" borderId="0" xfId="0" applyFont="1" applyFill="1" applyAlignment="1" applyProtection="1">
      <alignment horizontal="left" vertical="center" indent="1"/>
      <protection hidden="1"/>
    </xf>
    <xf numFmtId="0" fontId="8" fillId="5" borderId="0" xfId="0" applyFont="1" applyFill="1" applyAlignment="1" applyProtection="1">
      <alignment horizontal="left" vertical="center" indent="1"/>
      <protection hidden="1"/>
    </xf>
    <xf numFmtId="0" fontId="12" fillId="4" borderId="0" xfId="0" applyFont="1" applyFill="1" applyAlignment="1" applyProtection="1">
      <alignment vertical="center"/>
      <protection hidden="1"/>
    </xf>
    <xf numFmtId="0" fontId="10" fillId="0" borderId="0" xfId="0" applyFont="1" applyAlignment="1" applyProtection="1">
      <alignment vertical="center"/>
      <protection hidden="1"/>
    </xf>
    <xf numFmtId="0" fontId="118" fillId="0" borderId="0" xfId="0" applyFont="1" applyAlignment="1" applyProtection="1">
      <alignment vertical="center"/>
      <protection hidden="1"/>
    </xf>
    <xf numFmtId="0" fontId="15" fillId="0" borderId="0" xfId="0" applyFont="1" applyAlignment="1" applyProtection="1">
      <alignment vertical="center"/>
      <protection hidden="1"/>
    </xf>
    <xf numFmtId="0" fontId="54" fillId="0" borderId="0" xfId="0" applyFont="1" applyAlignment="1" applyProtection="1">
      <alignment vertical="center"/>
      <protection hidden="1"/>
    </xf>
    <xf numFmtId="0" fontId="63" fillId="0" borderId="0" xfId="0" applyFont="1" applyAlignment="1" applyProtection="1">
      <alignment horizontal="centerContinuous" vertical="center" wrapText="1"/>
      <protection hidden="1"/>
    </xf>
    <xf numFmtId="176" fontId="117" fillId="4" borderId="0" xfId="0" applyNumberFormat="1" applyFont="1" applyFill="1" applyAlignment="1" applyProtection="1">
      <alignment horizontal="centerContinuous" vertical="center"/>
      <protection hidden="1"/>
    </xf>
    <xf numFmtId="172" fontId="17" fillId="0" borderId="0" xfId="0" applyNumberFormat="1" applyFont="1" applyAlignment="1" applyProtection="1">
      <alignment vertical="center"/>
      <protection hidden="1"/>
    </xf>
    <xf numFmtId="0" fontId="117" fillId="5" borderId="0" xfId="0" applyFont="1" applyFill="1" applyAlignment="1" applyProtection="1">
      <alignment horizontal="left" vertical="center" indent="1"/>
      <protection hidden="1"/>
    </xf>
    <xf numFmtId="171" fontId="5" fillId="5" borderId="242" xfId="2" applyNumberFormat="1" applyFont="1" applyFill="1" applyBorder="1" applyAlignment="1" applyProtection="1">
      <alignment horizontal="right" vertical="center" indent="1"/>
      <protection hidden="1"/>
    </xf>
    <xf numFmtId="171" fontId="5" fillId="5" borderId="0" xfId="2" applyNumberFormat="1" applyFont="1" applyFill="1" applyAlignment="1" applyProtection="1">
      <alignment horizontal="right" vertical="center" indent="1"/>
      <protection hidden="1"/>
    </xf>
    <xf numFmtId="171" fontId="5" fillId="6" borderId="11" xfId="2" applyNumberFormat="1" applyFont="1" applyFill="1" applyBorder="1" applyAlignment="1" applyProtection="1">
      <alignment horizontal="center" vertical="center"/>
      <protection hidden="1"/>
    </xf>
    <xf numFmtId="171" fontId="5" fillId="6" borderId="67" xfId="2" applyNumberFormat="1" applyFont="1" applyFill="1" applyBorder="1" applyAlignment="1" applyProtection="1">
      <alignment horizontal="center" vertical="center"/>
      <protection hidden="1"/>
    </xf>
    <xf numFmtId="176" fontId="8" fillId="5" borderId="314" xfId="0" applyNumberFormat="1" applyFont="1" applyFill="1" applyBorder="1" applyAlignment="1" applyProtection="1">
      <alignment horizontal="center" vertical="center"/>
      <protection hidden="1"/>
    </xf>
    <xf numFmtId="176" fontId="5" fillId="7" borderId="314" xfId="0" applyNumberFormat="1" applyFont="1" applyFill="1" applyBorder="1" applyAlignment="1" applyProtection="1">
      <alignment horizontal="center" vertical="center"/>
      <protection hidden="1"/>
    </xf>
    <xf numFmtId="176" fontId="8" fillId="5" borderId="0" xfId="0" applyNumberFormat="1" applyFont="1" applyFill="1" applyAlignment="1" applyProtection="1">
      <alignment horizontal="center" vertical="center"/>
      <protection hidden="1"/>
    </xf>
    <xf numFmtId="176" fontId="5" fillId="7" borderId="0" xfId="0" applyNumberFormat="1" applyFont="1" applyFill="1" applyAlignment="1" applyProtection="1">
      <alignment horizontal="center" vertical="center"/>
      <protection hidden="1"/>
    </xf>
    <xf numFmtId="202" fontId="8" fillId="5" borderId="313" xfId="0" applyNumberFormat="1" applyFont="1" applyFill="1" applyBorder="1" applyAlignment="1" applyProtection="1">
      <alignment horizontal="center" vertical="center"/>
      <protection hidden="1"/>
    </xf>
    <xf numFmtId="0" fontId="115" fillId="0" borderId="0" xfId="0" applyFont="1" applyAlignment="1" applyProtection="1">
      <alignment vertical="center"/>
      <protection hidden="1"/>
    </xf>
    <xf numFmtId="0" fontId="8" fillId="4" borderId="66" xfId="0" applyFont="1" applyFill="1" applyBorder="1" applyAlignment="1" applyProtection="1">
      <alignment vertical="center"/>
      <protection hidden="1"/>
    </xf>
    <xf numFmtId="176" fontId="5" fillId="0" borderId="0" xfId="0" applyNumberFormat="1" applyFont="1" applyAlignment="1" applyProtection="1">
      <alignment vertical="center"/>
      <protection hidden="1"/>
    </xf>
    <xf numFmtId="0" fontId="64" fillId="0" borderId="0" xfId="0" applyFont="1" applyAlignment="1" applyProtection="1">
      <alignment vertical="center"/>
      <protection hidden="1"/>
    </xf>
    <xf numFmtId="176" fontId="8" fillId="0" borderId="0" xfId="0" applyNumberFormat="1" applyFont="1" applyAlignment="1" applyProtection="1">
      <alignment vertical="center"/>
      <protection hidden="1"/>
    </xf>
    <xf numFmtId="176" fontId="55" fillId="0" borderId="0" xfId="0" applyNumberFormat="1" applyFont="1" applyAlignment="1" applyProtection="1">
      <alignment vertical="center"/>
      <protection hidden="1"/>
    </xf>
    <xf numFmtId="165" fontId="55" fillId="4" borderId="0" xfId="3" applyNumberFormat="1" applyFont="1" applyFill="1" applyBorder="1" applyAlignment="1" applyProtection="1">
      <alignment vertical="center"/>
      <protection hidden="1"/>
    </xf>
    <xf numFmtId="168" fontId="55" fillId="4" borderId="0" xfId="1" applyNumberFormat="1" applyFont="1" applyFill="1" applyBorder="1" applyAlignment="1" applyProtection="1">
      <alignment horizontal="center" vertical="center"/>
      <protection hidden="1"/>
    </xf>
    <xf numFmtId="0" fontId="102" fillId="5" borderId="259" xfId="0" applyFont="1" applyFill="1" applyBorder="1" applyAlignment="1" applyProtection="1">
      <alignment horizontal="centerContinuous" vertical="center"/>
      <protection hidden="1"/>
    </xf>
    <xf numFmtId="0" fontId="9" fillId="0" borderId="0" xfId="0" applyFont="1" applyAlignment="1" applyProtection="1">
      <alignment vertical="center"/>
      <protection hidden="1"/>
    </xf>
    <xf numFmtId="202" fontId="8" fillId="5" borderId="315" xfId="0" applyNumberFormat="1" applyFont="1" applyFill="1" applyBorder="1" applyAlignment="1" applyProtection="1">
      <alignment horizontal="center" vertical="center"/>
      <protection hidden="1"/>
    </xf>
    <xf numFmtId="0" fontId="17" fillId="5" borderId="20" xfId="0" applyFont="1" applyFill="1" applyBorder="1" applyAlignment="1" applyProtection="1">
      <alignment horizontal="center" vertical="center"/>
      <protection hidden="1"/>
    </xf>
    <xf numFmtId="176" fontId="8" fillId="5" borderId="20" xfId="0" applyNumberFormat="1" applyFont="1" applyFill="1" applyBorder="1" applyAlignment="1" applyProtection="1">
      <alignment horizontal="center" vertical="center"/>
      <protection hidden="1"/>
    </xf>
    <xf numFmtId="176" fontId="117" fillId="5" borderId="20" xfId="0" applyNumberFormat="1" applyFont="1" applyFill="1" applyBorder="1" applyAlignment="1" applyProtection="1">
      <alignment horizontal="center" vertical="center"/>
      <protection hidden="1"/>
    </xf>
    <xf numFmtId="176" fontId="5" fillId="7" borderId="20" xfId="0" applyNumberFormat="1" applyFont="1" applyFill="1" applyBorder="1" applyAlignment="1" applyProtection="1">
      <alignment horizontal="center" vertical="center"/>
      <protection hidden="1"/>
    </xf>
    <xf numFmtId="0" fontId="8" fillId="5" borderId="20" xfId="0" applyFont="1" applyFill="1" applyBorder="1" applyAlignment="1" applyProtection="1">
      <alignment horizontal="center" vertical="center"/>
      <protection hidden="1"/>
    </xf>
    <xf numFmtId="0" fontId="8" fillId="5" borderId="317" xfId="0" applyFont="1" applyFill="1" applyBorder="1" applyAlignment="1" applyProtection="1">
      <alignment horizontal="center" vertical="center"/>
      <protection hidden="1"/>
    </xf>
    <xf numFmtId="203" fontId="8" fillId="5" borderId="68" xfId="0" applyNumberFormat="1" applyFont="1" applyFill="1" applyBorder="1" applyAlignment="1" applyProtection="1">
      <alignment horizontal="center" vertical="center"/>
      <protection hidden="1"/>
    </xf>
    <xf numFmtId="0" fontId="12" fillId="5" borderId="66" xfId="0" applyFont="1" applyFill="1" applyBorder="1" applyAlignment="1" applyProtection="1">
      <alignment vertical="center"/>
      <protection hidden="1"/>
    </xf>
    <xf numFmtId="0" fontId="5" fillId="5" borderId="318" xfId="0" applyFont="1" applyFill="1" applyBorder="1" applyAlignment="1" applyProtection="1">
      <alignment horizontal="left" vertical="center" indent="1"/>
      <protection hidden="1"/>
    </xf>
    <xf numFmtId="176" fontId="5" fillId="5" borderId="319" xfId="0" applyNumberFormat="1" applyFont="1" applyFill="1" applyBorder="1" applyAlignment="1" applyProtection="1">
      <alignment horizontal="center" vertical="center"/>
      <protection hidden="1"/>
    </xf>
    <xf numFmtId="176" fontId="5" fillId="5" borderId="320" xfId="0" applyNumberFormat="1" applyFont="1" applyFill="1" applyBorder="1" applyAlignment="1" applyProtection="1">
      <alignment horizontal="center" vertical="center"/>
      <protection hidden="1"/>
    </xf>
    <xf numFmtId="176" fontId="5" fillId="5" borderId="320" xfId="0" applyNumberFormat="1" applyFont="1" applyFill="1" applyBorder="1" applyAlignment="1" applyProtection="1">
      <alignment horizontal="centerContinuous" vertical="center"/>
      <protection hidden="1"/>
    </xf>
    <xf numFmtId="176" fontId="5" fillId="5" borderId="320" xfId="0" applyNumberFormat="1" applyFont="1" applyFill="1" applyBorder="1" applyAlignment="1" applyProtection="1">
      <alignment horizontal="right" vertical="center"/>
      <protection hidden="1"/>
    </xf>
    <xf numFmtId="176" fontId="5" fillId="5" borderId="320" xfId="0" applyNumberFormat="1" applyFont="1" applyFill="1" applyBorder="1" applyAlignment="1" applyProtection="1">
      <alignment vertical="center"/>
      <protection hidden="1"/>
    </xf>
    <xf numFmtId="176" fontId="5" fillId="5" borderId="321" xfId="0" applyNumberFormat="1" applyFont="1" applyFill="1" applyBorder="1" applyAlignment="1" applyProtection="1">
      <alignment vertical="center"/>
      <protection hidden="1"/>
    </xf>
    <xf numFmtId="0" fontId="17" fillId="5" borderId="314" xfId="0" applyFont="1" applyFill="1" applyBorder="1" applyAlignment="1" applyProtection="1">
      <alignment vertical="center"/>
      <protection hidden="1"/>
    </xf>
    <xf numFmtId="0" fontId="117" fillId="5" borderId="314" xfId="0" applyFont="1" applyFill="1" applyBorder="1" applyAlignment="1" applyProtection="1">
      <alignment horizontal="left" vertical="center" indent="2"/>
      <protection hidden="1"/>
    </xf>
    <xf numFmtId="0" fontId="117" fillId="5" borderId="314" xfId="0" applyFont="1" applyFill="1" applyBorder="1" applyAlignment="1" applyProtection="1">
      <alignment horizontal="left" vertical="center" indent="1"/>
      <protection hidden="1"/>
    </xf>
    <xf numFmtId="0" fontId="8" fillId="5" borderId="314" xfId="0" applyFont="1" applyFill="1" applyBorder="1" applyAlignment="1" applyProtection="1">
      <alignment horizontal="left" vertical="center" indent="1"/>
      <protection hidden="1"/>
    </xf>
    <xf numFmtId="176" fontId="5" fillId="5" borderId="321" xfId="0" applyNumberFormat="1" applyFont="1" applyFill="1" applyBorder="1" applyAlignment="1" applyProtection="1">
      <alignment horizontal="center" vertical="center"/>
      <protection hidden="1"/>
    </xf>
    <xf numFmtId="0" fontId="12" fillId="5" borderId="326" xfId="0" applyFont="1" applyFill="1" applyBorder="1" applyAlignment="1" applyProtection="1">
      <alignment vertical="center"/>
      <protection hidden="1"/>
    </xf>
    <xf numFmtId="171" fontId="5" fillId="5" borderId="11" xfId="2" applyNumberFormat="1" applyFont="1" applyFill="1" applyBorder="1" applyAlignment="1" applyProtection="1">
      <alignment horizontal="right" vertical="center" indent="1"/>
      <protection hidden="1"/>
    </xf>
    <xf numFmtId="225" fontId="5" fillId="6" borderId="67" xfId="2" applyNumberFormat="1" applyFont="1" applyFill="1" applyBorder="1" applyAlignment="1" applyProtection="1">
      <alignment horizontal="right" vertical="center"/>
      <protection hidden="1"/>
    </xf>
    <xf numFmtId="225" fontId="5" fillId="6" borderId="12" xfId="2" applyNumberFormat="1" applyFont="1" applyFill="1" applyBorder="1" applyAlignment="1" applyProtection="1">
      <alignment horizontal="right" vertical="center"/>
      <protection hidden="1"/>
    </xf>
    <xf numFmtId="0" fontId="5" fillId="5" borderId="61" xfId="0" applyFont="1" applyFill="1" applyBorder="1" applyAlignment="1" applyProtection="1">
      <alignment horizontal="left" vertical="center" indent="1"/>
      <protection hidden="1"/>
    </xf>
    <xf numFmtId="176" fontId="5" fillId="5" borderId="68" xfId="0" applyNumberFormat="1" applyFont="1" applyFill="1" applyBorder="1" applyAlignment="1" applyProtection="1">
      <alignment horizontal="center" vertical="center"/>
      <protection hidden="1"/>
    </xf>
    <xf numFmtId="0" fontId="5" fillId="5" borderId="68" xfId="0" applyFont="1" applyFill="1" applyBorder="1" applyAlignment="1" applyProtection="1">
      <alignment vertical="center"/>
      <protection hidden="1"/>
    </xf>
    <xf numFmtId="176" fontId="5" fillId="5" borderId="68" xfId="0" applyNumberFormat="1" applyFont="1" applyFill="1" applyBorder="1" applyAlignment="1" applyProtection="1">
      <alignment horizontal="right" vertical="center"/>
      <protection hidden="1"/>
    </xf>
    <xf numFmtId="176" fontId="5" fillId="5" borderId="68" xfId="0" applyNumberFormat="1" applyFont="1" applyFill="1" applyBorder="1" applyAlignment="1" applyProtection="1">
      <alignment vertical="center"/>
      <protection hidden="1"/>
    </xf>
    <xf numFmtId="176" fontId="5" fillId="5" borderId="62" xfId="0" applyNumberFormat="1" applyFont="1" applyFill="1" applyBorder="1" applyAlignment="1" applyProtection="1">
      <alignment vertical="center"/>
      <protection hidden="1"/>
    </xf>
    <xf numFmtId="2" fontId="3" fillId="0" borderId="0" xfId="0" applyNumberFormat="1" applyFont="1"/>
    <xf numFmtId="0" fontId="54" fillId="5" borderId="0" xfId="0" applyFont="1" applyFill="1" applyAlignment="1" applyProtection="1">
      <alignment horizontal="center" vertical="center"/>
      <protection hidden="1"/>
    </xf>
    <xf numFmtId="0" fontId="21" fillId="5" borderId="322" xfId="0" applyFont="1" applyFill="1" applyBorder="1" applyAlignment="1" applyProtection="1">
      <alignment horizontal="left" vertical="center" indent="1"/>
      <protection hidden="1"/>
    </xf>
    <xf numFmtId="168" fontId="21" fillId="5" borderId="323" xfId="1" applyNumberFormat="1" applyFont="1" applyFill="1" applyBorder="1" applyAlignment="1" applyProtection="1">
      <alignment horizontal="center" vertical="center"/>
      <protection hidden="1"/>
    </xf>
    <xf numFmtId="168" fontId="21" fillId="5" borderId="324" xfId="1" applyNumberFormat="1" applyFont="1" applyFill="1" applyBorder="1" applyAlignment="1" applyProtection="1">
      <alignment horizontal="center" vertical="center"/>
      <protection hidden="1"/>
    </xf>
    <xf numFmtId="168" fontId="21" fillId="5" borderId="325" xfId="1" applyNumberFormat="1" applyFont="1" applyFill="1" applyBorder="1" applyAlignment="1" applyProtection="1">
      <alignment horizontal="center" vertical="center"/>
      <protection hidden="1"/>
    </xf>
    <xf numFmtId="168" fontId="21" fillId="5" borderId="324" xfId="1" applyNumberFormat="1" applyFont="1" applyFill="1" applyBorder="1" applyAlignment="1" applyProtection="1">
      <alignment horizontal="centerContinuous" vertical="center"/>
      <protection hidden="1"/>
    </xf>
    <xf numFmtId="168" fontId="21" fillId="5" borderId="324" xfId="1" applyNumberFormat="1" applyFont="1" applyFill="1" applyBorder="1" applyAlignment="1" applyProtection="1">
      <alignment horizontal="right" vertical="center"/>
      <protection hidden="1"/>
    </xf>
    <xf numFmtId="168" fontId="21" fillId="5" borderId="324" xfId="1" applyNumberFormat="1" applyFont="1" applyFill="1" applyBorder="1" applyAlignment="1" applyProtection="1">
      <alignment vertical="center"/>
      <protection hidden="1"/>
    </xf>
    <xf numFmtId="168" fontId="21" fillId="5" borderId="325" xfId="1" applyNumberFormat="1" applyFont="1" applyFill="1" applyBorder="1" applyAlignment="1" applyProtection="1">
      <alignment vertical="center"/>
      <protection hidden="1"/>
    </xf>
    <xf numFmtId="0" fontId="28" fillId="0" borderId="0" xfId="0" applyFont="1" applyAlignment="1" applyProtection="1">
      <alignment vertical="center"/>
      <protection hidden="1"/>
    </xf>
    <xf numFmtId="0" fontId="21" fillId="5" borderId="64" xfId="0" applyFont="1" applyFill="1" applyBorder="1" applyAlignment="1" applyProtection="1">
      <alignment horizontal="left" vertical="center" indent="1"/>
      <protection hidden="1"/>
    </xf>
    <xf numFmtId="0" fontId="21" fillId="5" borderId="66" xfId="0" applyFont="1" applyFill="1" applyBorder="1" applyAlignment="1" applyProtection="1">
      <alignment horizontal="left" vertical="center" indent="1"/>
      <protection hidden="1"/>
    </xf>
    <xf numFmtId="176" fontId="25" fillId="5" borderId="66" xfId="0" applyNumberFormat="1" applyFont="1" applyFill="1" applyBorder="1" applyAlignment="1" applyProtection="1">
      <alignment horizontal="right" vertical="center"/>
      <protection hidden="1"/>
    </xf>
    <xf numFmtId="0" fontId="21" fillId="5" borderId="66" xfId="0" applyFont="1" applyFill="1" applyBorder="1" applyAlignment="1" applyProtection="1">
      <alignment horizontal="center" vertical="center"/>
      <protection hidden="1"/>
    </xf>
    <xf numFmtId="0" fontId="21" fillId="5" borderId="66" xfId="0" applyFont="1" applyFill="1" applyBorder="1" applyAlignment="1" applyProtection="1">
      <alignment vertical="center"/>
      <protection hidden="1"/>
    </xf>
    <xf numFmtId="176" fontId="21" fillId="5" borderId="66" xfId="0" applyNumberFormat="1" applyFont="1" applyFill="1" applyBorder="1" applyAlignment="1" applyProtection="1">
      <alignment horizontal="right" vertical="center"/>
      <protection hidden="1"/>
    </xf>
    <xf numFmtId="176" fontId="21" fillId="5" borderId="65" xfId="0" applyNumberFormat="1" applyFont="1" applyFill="1" applyBorder="1" applyAlignment="1" applyProtection="1">
      <alignment horizontal="right" vertical="center"/>
      <protection hidden="1"/>
    </xf>
    <xf numFmtId="0" fontId="5" fillId="4" borderId="328" xfId="0" applyFont="1" applyFill="1" applyBorder="1" applyAlignment="1" applyProtection="1">
      <alignment horizontal="left" vertical="center" indent="1"/>
      <protection hidden="1"/>
    </xf>
    <xf numFmtId="176" fontId="5" fillId="5" borderId="329" xfId="0" applyNumberFormat="1" applyFont="1" applyFill="1" applyBorder="1" applyAlignment="1" applyProtection="1">
      <alignment horizontal="center" vertical="center"/>
      <protection hidden="1"/>
    </xf>
    <xf numFmtId="176" fontId="5" fillId="5" borderId="330" xfId="0" applyNumberFormat="1" applyFont="1" applyFill="1" applyBorder="1" applyAlignment="1" applyProtection="1">
      <alignment horizontal="center" vertical="center"/>
      <protection hidden="1"/>
    </xf>
    <xf numFmtId="176" fontId="5" fillId="5" borderId="331" xfId="0" applyNumberFormat="1" applyFont="1" applyFill="1" applyBorder="1" applyAlignment="1" applyProtection="1">
      <alignment horizontal="center" vertical="center"/>
      <protection hidden="1"/>
    </xf>
    <xf numFmtId="176" fontId="5" fillId="4" borderId="330" xfId="0" applyNumberFormat="1" applyFont="1" applyFill="1" applyBorder="1" applyAlignment="1" applyProtection="1">
      <alignment horizontal="center" vertical="center"/>
      <protection hidden="1"/>
    </xf>
    <xf numFmtId="165" fontId="5" fillId="5" borderId="68" xfId="0" applyNumberFormat="1" applyFont="1" applyFill="1" applyBorder="1" applyAlignment="1" applyProtection="1">
      <alignment horizontal="center" vertical="center"/>
      <protection hidden="1"/>
    </xf>
    <xf numFmtId="176" fontId="5" fillId="5" borderId="62" xfId="0" applyNumberFormat="1" applyFont="1" applyFill="1" applyBorder="1" applyAlignment="1" applyProtection="1">
      <alignment horizontal="right" vertical="center"/>
      <protection hidden="1"/>
    </xf>
    <xf numFmtId="0" fontId="8" fillId="5" borderId="313" xfId="0" applyFont="1" applyFill="1" applyBorder="1" applyAlignment="1" applyProtection="1">
      <alignment horizontal="left" vertical="center" indent="1"/>
      <protection hidden="1"/>
    </xf>
    <xf numFmtId="0" fontId="8" fillId="5" borderId="336" xfId="0" applyFont="1" applyFill="1" applyBorder="1" applyAlignment="1" applyProtection="1">
      <alignment horizontal="center" vertical="center"/>
      <protection hidden="1"/>
    </xf>
    <xf numFmtId="176" fontId="8" fillId="5" borderId="337" xfId="0" applyNumberFormat="1" applyFont="1" applyFill="1" applyBorder="1" applyAlignment="1" applyProtection="1">
      <alignment horizontal="center" vertical="center"/>
      <protection hidden="1"/>
    </xf>
    <xf numFmtId="0" fontId="8" fillId="5" borderId="338" xfId="0" applyFont="1" applyFill="1" applyBorder="1" applyAlignment="1" applyProtection="1">
      <alignment horizontal="center" vertical="center"/>
      <protection hidden="1"/>
    </xf>
    <xf numFmtId="225" fontId="25" fillId="5" borderId="0" xfId="0" applyNumberFormat="1" applyFont="1" applyFill="1" applyAlignment="1" applyProtection="1">
      <alignment horizontal="right" vertical="center"/>
      <protection hidden="1"/>
    </xf>
    <xf numFmtId="0" fontId="63" fillId="35" borderId="0" xfId="0" applyFont="1" applyFill="1" applyAlignment="1" applyProtection="1">
      <alignment horizontal="left" vertical="center" indent="1"/>
      <protection hidden="1"/>
    </xf>
    <xf numFmtId="168" fontId="117" fillId="5" borderId="0" xfId="1" applyNumberFormat="1" applyFont="1" applyFill="1" applyBorder="1" applyAlignment="1" applyProtection="1">
      <alignment horizontal="center" vertical="center"/>
      <protection hidden="1"/>
    </xf>
    <xf numFmtId="0" fontId="13" fillId="4" borderId="0" xfId="0" applyFont="1" applyFill="1" applyAlignment="1" applyProtection="1">
      <alignment horizontal="left" vertical="center" indent="1"/>
      <protection hidden="1"/>
    </xf>
    <xf numFmtId="0" fontId="21" fillId="4" borderId="0" xfId="0" applyFont="1" applyFill="1" applyAlignment="1" applyProtection="1">
      <alignment horizontal="center" vertical="center"/>
      <protection hidden="1"/>
    </xf>
    <xf numFmtId="168" fontId="21" fillId="5" borderId="20" xfId="0" applyNumberFormat="1" applyFont="1" applyFill="1" applyBorder="1" applyAlignment="1" applyProtection="1">
      <alignment horizontal="center" vertical="center"/>
      <protection hidden="1"/>
    </xf>
    <xf numFmtId="168" fontId="13" fillId="5" borderId="0" xfId="0" applyNumberFormat="1" applyFont="1" applyFill="1" applyAlignment="1" applyProtection="1">
      <alignment horizontal="left" vertical="center" indent="1"/>
      <protection hidden="1"/>
    </xf>
    <xf numFmtId="168" fontId="13" fillId="5" borderId="314" xfId="0" applyNumberFormat="1" applyFont="1" applyFill="1" applyBorder="1" applyAlignment="1" applyProtection="1">
      <alignment horizontal="left" vertical="center" indent="1"/>
      <protection hidden="1"/>
    </xf>
    <xf numFmtId="168" fontId="121" fillId="3" borderId="0" xfId="0" applyNumberFormat="1" applyFont="1" applyFill="1" applyAlignment="1" applyProtection="1">
      <alignment horizontal="right" vertical="center"/>
      <protection locked="0"/>
    </xf>
    <xf numFmtId="168" fontId="121" fillId="3" borderId="243" xfId="0" applyNumberFormat="1" applyFont="1" applyFill="1" applyBorder="1" applyAlignment="1" applyProtection="1">
      <alignment horizontal="right" vertical="center"/>
      <protection locked="0"/>
    </xf>
    <xf numFmtId="202" fontId="5" fillId="6" borderId="67" xfId="2" applyNumberFormat="1" applyFont="1" applyFill="1" applyBorder="1" applyAlignment="1" applyProtection="1">
      <alignment horizontal="right" vertical="center"/>
      <protection hidden="1"/>
    </xf>
    <xf numFmtId="202" fontId="5" fillId="6" borderId="12" xfId="2" applyNumberFormat="1" applyFont="1" applyFill="1" applyBorder="1" applyAlignment="1" applyProtection="1">
      <alignment horizontal="right" vertical="center"/>
      <protection hidden="1"/>
    </xf>
    <xf numFmtId="202" fontId="25" fillId="5" borderId="0" xfId="0" applyNumberFormat="1" applyFont="1" applyFill="1" applyAlignment="1" applyProtection="1">
      <alignment horizontal="right" vertical="center"/>
      <protection hidden="1"/>
    </xf>
    <xf numFmtId="0" fontId="17" fillId="5" borderId="335" xfId="0" applyFont="1" applyFill="1" applyBorder="1" applyAlignment="1" applyProtection="1">
      <alignment horizontal="center" vertical="center"/>
      <protection hidden="1"/>
    </xf>
    <xf numFmtId="176" fontId="8" fillId="5" borderId="335" xfId="0" applyNumberFormat="1" applyFont="1" applyFill="1" applyBorder="1" applyAlignment="1" applyProtection="1">
      <alignment horizontal="center" vertical="center"/>
      <protection hidden="1"/>
    </xf>
    <xf numFmtId="176" fontId="117" fillId="5" borderId="335" xfId="0" applyNumberFormat="1" applyFont="1" applyFill="1" applyBorder="1" applyAlignment="1" applyProtection="1">
      <alignment horizontal="center" vertical="center"/>
      <protection hidden="1"/>
    </xf>
    <xf numFmtId="176" fontId="5" fillId="5" borderId="339" xfId="0" applyNumberFormat="1" applyFont="1" applyFill="1" applyBorder="1" applyAlignment="1" applyProtection="1">
      <alignment horizontal="center" vertical="center"/>
      <protection hidden="1"/>
    </xf>
    <xf numFmtId="176" fontId="5" fillId="7" borderId="335" xfId="0" applyNumberFormat="1" applyFont="1" applyFill="1" applyBorder="1" applyAlignment="1" applyProtection="1">
      <alignment horizontal="center" vertical="center"/>
      <protection hidden="1"/>
    </xf>
    <xf numFmtId="0" fontId="8" fillId="5" borderId="335" xfId="0" applyFont="1" applyFill="1" applyBorder="1" applyAlignment="1" applyProtection="1">
      <alignment horizontal="center" vertical="center"/>
      <protection hidden="1"/>
    </xf>
    <xf numFmtId="168" fontId="21" fillId="5" borderId="335" xfId="0" applyNumberFormat="1" applyFont="1" applyFill="1" applyBorder="1" applyAlignment="1" applyProtection="1">
      <alignment horizontal="center" vertical="center"/>
      <protection hidden="1"/>
    </xf>
    <xf numFmtId="176" fontId="5" fillId="5" borderId="340" xfId="0" applyNumberFormat="1" applyFont="1" applyFill="1" applyBorder="1" applyAlignment="1" applyProtection="1">
      <alignment horizontal="center" vertical="center"/>
      <protection hidden="1"/>
    </xf>
    <xf numFmtId="168" fontId="21" fillId="5" borderId="341" xfId="1" applyNumberFormat="1" applyFont="1" applyFill="1" applyBorder="1" applyAlignment="1" applyProtection="1">
      <alignment horizontal="center" vertical="center"/>
      <protection hidden="1"/>
    </xf>
    <xf numFmtId="0" fontId="8" fillId="5" borderId="342" xfId="0" applyFont="1" applyFill="1" applyBorder="1" applyAlignment="1" applyProtection="1">
      <alignment horizontal="center" vertical="center"/>
      <protection hidden="1"/>
    </xf>
    <xf numFmtId="176" fontId="5" fillId="5" borderId="313" xfId="0" applyNumberFormat="1" applyFont="1" applyFill="1" applyBorder="1" applyAlignment="1" applyProtection="1">
      <alignment horizontal="center" vertical="center"/>
      <protection hidden="1"/>
    </xf>
    <xf numFmtId="0" fontId="21" fillId="5" borderId="326" xfId="0" applyFont="1" applyFill="1" applyBorder="1" applyAlignment="1" applyProtection="1">
      <alignment horizontal="left" vertical="center" indent="1"/>
      <protection hidden="1"/>
    </xf>
    <xf numFmtId="0" fontId="8" fillId="5" borderId="343" xfId="0" applyFont="1" applyFill="1" applyBorder="1" applyAlignment="1" applyProtection="1">
      <alignment horizontal="center" vertical="center"/>
      <protection hidden="1"/>
    </xf>
    <xf numFmtId="176" fontId="8" fillId="5" borderId="344" xfId="0" applyNumberFormat="1" applyFont="1" applyFill="1" applyBorder="1" applyAlignment="1" applyProtection="1">
      <alignment horizontal="center" vertical="center"/>
      <protection hidden="1"/>
    </xf>
    <xf numFmtId="0" fontId="8" fillId="5" borderId="345" xfId="0" applyFont="1" applyFill="1" applyBorder="1" applyAlignment="1" applyProtection="1">
      <alignment horizontal="center" vertical="center"/>
      <protection hidden="1"/>
    </xf>
    <xf numFmtId="176" fontId="8" fillId="0" borderId="312" xfId="0" applyNumberFormat="1" applyFont="1" applyBorder="1" applyAlignment="1" applyProtection="1">
      <alignment horizontal="right" vertical="center"/>
      <protection hidden="1"/>
    </xf>
    <xf numFmtId="176" fontId="8" fillId="0" borderId="311" xfId="0" applyNumberFormat="1" applyFont="1" applyBorder="1" applyAlignment="1" applyProtection="1">
      <alignment horizontal="right" vertical="center"/>
      <protection hidden="1"/>
    </xf>
    <xf numFmtId="176" fontId="5" fillId="0" borderId="332" xfId="0" applyNumberFormat="1" applyFont="1" applyBorder="1" applyAlignment="1" applyProtection="1">
      <alignment horizontal="right" vertical="center"/>
      <protection hidden="1"/>
    </xf>
    <xf numFmtId="176" fontId="5" fillId="0" borderId="333" xfId="0" applyNumberFormat="1" applyFont="1" applyBorder="1" applyAlignment="1" applyProtection="1">
      <alignment horizontal="right" vertical="center"/>
      <protection hidden="1"/>
    </xf>
    <xf numFmtId="176" fontId="5" fillId="0" borderId="334" xfId="0" applyNumberFormat="1" applyFont="1" applyBorder="1" applyAlignment="1" applyProtection="1">
      <alignment horizontal="right" vertical="center"/>
      <protection hidden="1"/>
    </xf>
    <xf numFmtId="0" fontId="4" fillId="0" borderId="0" xfId="0" applyFont="1" applyAlignment="1" applyProtection="1">
      <alignment horizontal="center" vertical="center"/>
      <protection hidden="1"/>
    </xf>
    <xf numFmtId="176" fontId="8" fillId="0" borderId="312" xfId="0" applyNumberFormat="1" applyFont="1" applyBorder="1" applyAlignment="1" applyProtection="1">
      <alignment horizontal="center" vertical="center"/>
      <protection hidden="1"/>
    </xf>
    <xf numFmtId="168" fontId="117" fillId="4" borderId="0" xfId="1" applyNumberFormat="1" applyFont="1" applyFill="1" applyBorder="1" applyAlignment="1" applyProtection="1">
      <alignment horizontal="center" vertical="center"/>
      <protection hidden="1"/>
    </xf>
    <xf numFmtId="172" fontId="8" fillId="4" borderId="0" xfId="1" applyNumberFormat="1" applyFont="1" applyFill="1" applyBorder="1" applyAlignment="1" applyProtection="1">
      <alignment horizontal="center" vertical="center"/>
      <protection hidden="1"/>
    </xf>
    <xf numFmtId="176" fontId="5" fillId="7" borderId="3" xfId="0" applyNumberFormat="1" applyFont="1" applyFill="1" applyBorder="1" applyAlignment="1" applyProtection="1">
      <alignment horizontal="center" vertical="center"/>
      <protection hidden="1"/>
    </xf>
    <xf numFmtId="0" fontId="8" fillId="0" borderId="0" xfId="0" applyFont="1" applyAlignment="1" applyProtection="1">
      <alignment horizontal="center" vertical="center"/>
      <protection hidden="1"/>
    </xf>
    <xf numFmtId="176" fontId="8" fillId="0" borderId="0" xfId="0" applyNumberFormat="1" applyFont="1" applyAlignment="1" applyProtection="1">
      <alignment horizontal="center" vertical="center"/>
      <protection hidden="1"/>
    </xf>
    <xf numFmtId="0" fontId="55" fillId="0" borderId="0" xfId="0" applyFont="1" applyAlignment="1" applyProtection="1">
      <alignment horizontal="center" vertical="center"/>
      <protection hidden="1"/>
    </xf>
    <xf numFmtId="177" fontId="64" fillId="35" borderId="0" xfId="0" applyNumberFormat="1" applyFont="1" applyFill="1" applyAlignment="1" applyProtection="1">
      <alignment horizontal="center" vertical="center" wrapText="1"/>
      <protection hidden="1"/>
    </xf>
    <xf numFmtId="202" fontId="25" fillId="5" borderId="0" xfId="0" applyNumberFormat="1" applyFont="1" applyFill="1" applyAlignment="1" applyProtection="1">
      <alignment horizontal="center" vertical="center"/>
      <protection hidden="1"/>
    </xf>
    <xf numFmtId="177" fontId="64" fillId="35" borderId="0" xfId="0" applyNumberFormat="1" applyFont="1" applyFill="1" applyAlignment="1" applyProtection="1">
      <alignment horizontal="center" vertical="center"/>
      <protection hidden="1"/>
    </xf>
    <xf numFmtId="0" fontId="21" fillId="4" borderId="0" xfId="0" applyFont="1" applyFill="1" applyAlignment="1" applyProtection="1">
      <alignment vertical="center"/>
      <protection hidden="1"/>
    </xf>
    <xf numFmtId="176" fontId="8" fillId="0" borderId="347" xfId="0" applyNumberFormat="1" applyFont="1" applyBorder="1" applyAlignment="1" applyProtection="1">
      <alignment horizontal="center" vertical="center"/>
      <protection hidden="1"/>
    </xf>
    <xf numFmtId="176" fontId="5" fillId="5" borderId="348" xfId="0" applyNumberFormat="1" applyFont="1" applyFill="1" applyBorder="1" applyAlignment="1" applyProtection="1">
      <alignment horizontal="center" vertical="center"/>
      <protection hidden="1"/>
    </xf>
    <xf numFmtId="176" fontId="8" fillId="0" borderId="348" xfId="0" applyNumberFormat="1" applyFont="1" applyBorder="1" applyAlignment="1" applyProtection="1">
      <alignment horizontal="center" vertical="center"/>
      <protection hidden="1"/>
    </xf>
    <xf numFmtId="0" fontId="119" fillId="3" borderId="242" xfId="0" applyFont="1" applyFill="1" applyBorder="1" applyAlignment="1" applyProtection="1">
      <alignment horizontal="left" vertical="center" indent="1"/>
      <protection locked="0"/>
    </xf>
    <xf numFmtId="188" fontId="119" fillId="3" borderId="161" xfId="0" applyNumberFormat="1" applyFont="1" applyFill="1" applyBorder="1" applyAlignment="1" applyProtection="1">
      <alignment horizontal="right" vertical="center"/>
      <protection locked="0"/>
    </xf>
    <xf numFmtId="188" fontId="119" fillId="3" borderId="162" xfId="0" applyNumberFormat="1" applyFont="1" applyFill="1" applyBorder="1" applyAlignment="1" applyProtection="1">
      <alignment horizontal="right" vertical="center"/>
      <protection locked="0"/>
    </xf>
    <xf numFmtId="188" fontId="119" fillId="3" borderId="291" xfId="0" applyNumberFormat="1" applyFont="1" applyFill="1" applyBorder="1" applyAlignment="1" applyProtection="1">
      <alignment horizontal="right" vertical="center"/>
      <protection locked="0"/>
    </xf>
    <xf numFmtId="188" fontId="119" fillId="3" borderId="0" xfId="0" applyNumberFormat="1" applyFont="1" applyFill="1" applyAlignment="1" applyProtection="1">
      <alignment horizontal="right" vertical="center"/>
      <protection locked="0"/>
    </xf>
    <xf numFmtId="188" fontId="119" fillId="3" borderId="243" xfId="0" applyNumberFormat="1" applyFont="1" applyFill="1" applyBorder="1" applyAlignment="1" applyProtection="1">
      <alignment horizontal="right" vertical="center"/>
      <protection locked="0"/>
    </xf>
    <xf numFmtId="0" fontId="5" fillId="5" borderId="349" xfId="0" applyFont="1" applyFill="1" applyBorder="1" applyAlignment="1" applyProtection="1">
      <alignment horizontal="left" vertical="center" indent="1"/>
      <protection hidden="1"/>
    </xf>
    <xf numFmtId="0" fontId="21" fillId="5" borderId="350" xfId="0" applyFont="1" applyFill="1" applyBorder="1" applyAlignment="1" applyProtection="1">
      <alignment horizontal="left" vertical="center" indent="1"/>
      <protection hidden="1"/>
    </xf>
    <xf numFmtId="0" fontId="5" fillId="5" borderId="1" xfId="0" applyFont="1" applyFill="1" applyBorder="1" applyAlignment="1" applyProtection="1">
      <alignment horizontal="left" vertical="center" indent="1"/>
      <protection hidden="1"/>
    </xf>
    <xf numFmtId="176" fontId="5" fillId="5" borderId="67" xfId="0" applyNumberFormat="1" applyFont="1" applyFill="1" applyBorder="1" applyAlignment="1" applyProtection="1">
      <alignment horizontal="center" vertical="center"/>
      <protection hidden="1"/>
    </xf>
    <xf numFmtId="14" fontId="5" fillId="3" borderId="242" xfId="0" applyNumberFormat="1" applyFont="1" applyFill="1" applyBorder="1" applyAlignment="1" applyProtection="1">
      <alignment horizontal="left" vertical="center"/>
      <protection hidden="1"/>
    </xf>
    <xf numFmtId="165" fontId="5" fillId="3" borderId="247" xfId="0" applyNumberFormat="1" applyFont="1" applyFill="1" applyBorder="1" applyAlignment="1" applyProtection="1">
      <alignment vertical="center"/>
      <protection hidden="1"/>
    </xf>
    <xf numFmtId="0" fontId="5" fillId="3" borderId="247" xfId="0" applyFont="1" applyFill="1" applyBorder="1" applyAlignment="1" applyProtection="1">
      <alignment vertical="center"/>
      <protection hidden="1"/>
    </xf>
    <xf numFmtId="176" fontId="5" fillId="3" borderId="247" xfId="0" applyNumberFormat="1" applyFont="1" applyFill="1" applyBorder="1" applyAlignment="1" applyProtection="1">
      <alignment horizontal="right" vertical="center"/>
      <protection hidden="1"/>
    </xf>
    <xf numFmtId="176" fontId="5" fillId="3" borderId="247" xfId="0" applyNumberFormat="1" applyFont="1" applyFill="1" applyBorder="1" applyAlignment="1" applyProtection="1">
      <alignment horizontal="center" vertical="center"/>
      <protection hidden="1"/>
    </xf>
    <xf numFmtId="173" fontId="8" fillId="3" borderId="250" xfId="1" applyNumberFormat="1" applyFont="1" applyFill="1" applyBorder="1" applyAlignment="1" applyProtection="1">
      <alignment vertical="center"/>
      <protection hidden="1"/>
    </xf>
    <xf numFmtId="0" fontId="8" fillId="3" borderId="250" xfId="0" applyFont="1" applyFill="1" applyBorder="1" applyAlignment="1" applyProtection="1">
      <alignment vertical="center"/>
      <protection hidden="1"/>
    </xf>
    <xf numFmtId="176" fontId="8" fillId="3" borderId="250" xfId="1" applyNumberFormat="1" applyFont="1" applyFill="1" applyBorder="1" applyAlignment="1" applyProtection="1">
      <alignment horizontal="right" vertical="center"/>
      <protection hidden="1"/>
    </xf>
    <xf numFmtId="173" fontId="8" fillId="3" borderId="250" xfId="1" applyNumberFormat="1" applyFont="1" applyFill="1" applyBorder="1" applyAlignment="1" applyProtection="1">
      <alignment horizontal="center" vertical="center"/>
      <protection hidden="1"/>
    </xf>
    <xf numFmtId="0" fontId="8" fillId="3" borderId="247" xfId="0" applyFont="1" applyFill="1" applyBorder="1" applyAlignment="1" applyProtection="1">
      <alignment vertical="center"/>
      <protection hidden="1"/>
    </xf>
    <xf numFmtId="176" fontId="8" fillId="3" borderId="247" xfId="0" applyNumberFormat="1" applyFont="1" applyFill="1" applyBorder="1" applyAlignment="1" applyProtection="1">
      <alignment horizontal="right" vertical="center"/>
      <protection hidden="1"/>
    </xf>
    <xf numFmtId="0" fontId="8" fillId="3" borderId="247" xfId="0" applyFont="1" applyFill="1" applyBorder="1" applyAlignment="1" applyProtection="1">
      <alignment horizontal="right" vertical="center"/>
      <protection hidden="1"/>
    </xf>
    <xf numFmtId="0" fontId="8" fillId="3" borderId="247" xfId="0" applyFont="1" applyFill="1" applyBorder="1" applyAlignment="1" applyProtection="1">
      <alignment horizontal="center" vertical="center"/>
      <protection hidden="1"/>
    </xf>
    <xf numFmtId="0" fontId="8" fillId="3" borderId="250" xfId="0" applyFont="1" applyFill="1" applyBorder="1" applyAlignment="1" applyProtection="1">
      <alignment horizontal="right" vertical="center"/>
      <protection hidden="1"/>
    </xf>
    <xf numFmtId="177" fontId="8" fillId="3" borderId="250" xfId="0" applyNumberFormat="1" applyFont="1" applyFill="1" applyBorder="1" applyAlignment="1" applyProtection="1">
      <alignment horizontal="center" vertical="center"/>
      <protection hidden="1"/>
    </xf>
    <xf numFmtId="0" fontId="115" fillId="4" borderId="0" xfId="0" applyFont="1" applyFill="1" applyAlignment="1" applyProtection="1">
      <alignment vertical="center"/>
      <protection hidden="1"/>
    </xf>
    <xf numFmtId="0" fontId="18" fillId="35" borderId="250" xfId="0" applyFont="1" applyFill="1" applyBorder="1" applyAlignment="1" applyProtection="1">
      <alignment vertical="center"/>
      <protection hidden="1"/>
    </xf>
    <xf numFmtId="176" fontId="18" fillId="35" borderId="250" xfId="0" applyNumberFormat="1" applyFont="1" applyFill="1" applyBorder="1" applyAlignment="1" applyProtection="1">
      <alignment horizontal="right" vertical="center"/>
      <protection hidden="1"/>
    </xf>
    <xf numFmtId="176" fontId="18" fillId="35" borderId="250" xfId="0" applyNumberFormat="1" applyFont="1" applyFill="1" applyBorder="1" applyAlignment="1" applyProtection="1">
      <alignment horizontal="center" vertical="center"/>
      <protection hidden="1"/>
    </xf>
    <xf numFmtId="0" fontId="17" fillId="3" borderId="247" xfId="0" applyFont="1" applyFill="1" applyBorder="1" applyAlignment="1" applyProtection="1">
      <alignment vertical="center"/>
      <protection hidden="1"/>
    </xf>
    <xf numFmtId="176" fontId="8" fillId="3" borderId="247" xfId="0" applyNumberFormat="1" applyFont="1" applyFill="1" applyBorder="1" applyAlignment="1" applyProtection="1">
      <alignment horizontal="center" vertical="center"/>
      <protection hidden="1"/>
    </xf>
    <xf numFmtId="0" fontId="56" fillId="5" borderId="351" xfId="0" applyFont="1" applyFill="1" applyBorder="1" applyAlignment="1" applyProtection="1">
      <alignment vertical="center"/>
      <protection hidden="1"/>
    </xf>
    <xf numFmtId="0" fontId="56" fillId="5" borderId="352" xfId="0" applyFont="1" applyFill="1" applyBorder="1" applyAlignment="1" applyProtection="1">
      <alignment vertical="center"/>
      <protection hidden="1"/>
    </xf>
    <xf numFmtId="0" fontId="7" fillId="5" borderId="352" xfId="0" applyFont="1" applyFill="1" applyBorder="1" applyAlignment="1" applyProtection="1">
      <alignment vertical="center"/>
      <protection hidden="1"/>
    </xf>
    <xf numFmtId="212" fontId="56" fillId="5" borderId="352" xfId="0" applyNumberFormat="1" applyFont="1" applyFill="1" applyBorder="1" applyAlignment="1" applyProtection="1">
      <alignment horizontal="right" vertical="center"/>
      <protection hidden="1"/>
    </xf>
    <xf numFmtId="14" fontId="74" fillId="0" borderId="266" xfId="0" applyNumberFormat="1" applyFont="1" applyBorder="1" applyAlignment="1" applyProtection="1">
      <alignment horizontal="center"/>
      <protection hidden="1"/>
    </xf>
    <xf numFmtId="212" fontId="0" fillId="0" borderId="0" xfId="0" applyNumberFormat="1"/>
    <xf numFmtId="212" fontId="0" fillId="3" borderId="0" xfId="0" applyNumberFormat="1" applyFill="1"/>
    <xf numFmtId="0" fontId="50" fillId="4" borderId="266" xfId="0" applyFont="1" applyFill="1" applyBorder="1" applyProtection="1">
      <protection hidden="1"/>
    </xf>
    <xf numFmtId="0" fontId="0" fillId="4" borderId="266" xfId="0" applyFill="1" applyBorder="1" applyProtection="1">
      <protection hidden="1"/>
    </xf>
    <xf numFmtId="0" fontId="32" fillId="4" borderId="270" xfId="0" applyFont="1" applyFill="1" applyBorder="1" applyAlignment="1" applyProtection="1">
      <alignment vertical="center"/>
      <protection hidden="1"/>
    </xf>
    <xf numFmtId="0" fontId="32" fillId="4" borderId="271" xfId="0" applyFont="1" applyFill="1" applyBorder="1" applyAlignment="1" applyProtection="1">
      <alignment vertical="center"/>
      <protection hidden="1"/>
    </xf>
    <xf numFmtId="0" fontId="32" fillId="3" borderId="270" xfId="0" applyFont="1" applyFill="1" applyBorder="1" applyAlignment="1" applyProtection="1">
      <alignment vertical="center"/>
      <protection hidden="1"/>
    </xf>
    <xf numFmtId="0" fontId="32" fillId="3" borderId="271" xfId="0" applyFont="1" applyFill="1" applyBorder="1" applyAlignment="1" applyProtection="1">
      <alignment vertical="center"/>
      <protection hidden="1"/>
    </xf>
    <xf numFmtId="0" fontId="74" fillId="0" borderId="266" xfId="0" applyFont="1" applyBorder="1" applyAlignment="1" applyProtection="1">
      <alignment horizontal="right"/>
      <protection hidden="1"/>
    </xf>
    <xf numFmtId="0" fontId="74" fillId="4" borderId="266" xfId="0" applyFont="1" applyFill="1" applyBorder="1" applyAlignment="1" applyProtection="1">
      <alignment horizontal="right"/>
      <protection hidden="1"/>
    </xf>
    <xf numFmtId="175" fontId="8" fillId="3" borderId="247" xfId="0" applyNumberFormat="1" applyFont="1" applyFill="1" applyBorder="1" applyAlignment="1" applyProtection="1">
      <alignment horizontal="center" vertical="center"/>
      <protection hidden="1"/>
    </xf>
    <xf numFmtId="193" fontId="8" fillId="3" borderId="247" xfId="0" applyNumberFormat="1" applyFont="1" applyFill="1" applyBorder="1" applyAlignment="1" applyProtection="1">
      <alignment horizontal="center" vertical="center"/>
      <protection hidden="1"/>
    </xf>
    <xf numFmtId="168" fontId="8" fillId="3" borderId="247" xfId="1" applyNumberFormat="1" applyFont="1" applyFill="1" applyBorder="1" applyAlignment="1" applyProtection="1">
      <alignment horizontal="center" vertical="center"/>
      <protection hidden="1"/>
    </xf>
    <xf numFmtId="175" fontId="8" fillId="3" borderId="250" xfId="0" applyNumberFormat="1" applyFont="1" applyFill="1" applyBorder="1" applyAlignment="1" applyProtection="1">
      <alignment horizontal="center" vertical="center"/>
      <protection hidden="1"/>
    </xf>
    <xf numFmtId="190" fontId="8" fillId="3" borderId="250" xfId="1" applyNumberFormat="1" applyFont="1" applyFill="1" applyBorder="1" applyAlignment="1" applyProtection="1">
      <alignment horizontal="center" vertical="center"/>
      <protection hidden="1"/>
    </xf>
    <xf numFmtId="169" fontId="8" fillId="3" borderId="250" xfId="1" applyNumberFormat="1" applyFont="1" applyFill="1" applyBorder="1" applyAlignment="1" applyProtection="1">
      <alignment horizontal="center" vertical="center"/>
      <protection hidden="1"/>
    </xf>
    <xf numFmtId="0" fontId="123" fillId="4" borderId="0" xfId="0" applyFont="1" applyFill="1" applyProtection="1">
      <protection hidden="1"/>
    </xf>
    <xf numFmtId="14" fontId="94" fillId="4" borderId="0" xfId="0" applyNumberFormat="1" applyFont="1" applyFill="1" applyAlignment="1" applyProtection="1">
      <alignment horizontal="center"/>
      <protection hidden="1"/>
    </xf>
    <xf numFmtId="176" fontId="63" fillId="4" borderId="0" xfId="0" applyNumberFormat="1" applyFont="1" applyFill="1" applyAlignment="1" applyProtection="1">
      <alignment vertical="center"/>
      <protection hidden="1"/>
    </xf>
    <xf numFmtId="1" fontId="26" fillId="4" borderId="0" xfId="2" applyNumberFormat="1" applyFont="1" applyFill="1" applyAlignment="1" applyProtection="1">
      <alignment horizontal="center" vertical="center"/>
      <protection hidden="1"/>
    </xf>
    <xf numFmtId="0" fontId="63" fillId="3" borderId="0" xfId="0" applyFont="1" applyFill="1" applyAlignment="1" applyProtection="1">
      <alignment horizontal="centerContinuous" vertical="center"/>
      <protection hidden="1"/>
    </xf>
    <xf numFmtId="219" fontId="21" fillId="4" borderId="355" xfId="0" applyNumberFormat="1" applyFont="1" applyFill="1" applyBorder="1" applyAlignment="1" applyProtection="1">
      <alignment horizontal="center" vertical="center"/>
      <protection hidden="1"/>
    </xf>
    <xf numFmtId="2" fontId="21" fillId="4" borderId="0" xfId="0" applyNumberFormat="1" applyFont="1" applyFill="1" applyAlignment="1" applyProtection="1">
      <alignment horizontal="center" vertical="center"/>
      <protection hidden="1"/>
    </xf>
    <xf numFmtId="14" fontId="21" fillId="4" borderId="218" xfId="0" applyNumberFormat="1" applyFont="1" applyFill="1" applyBorder="1" applyAlignment="1" applyProtection="1">
      <alignment horizontal="center" vertical="center"/>
      <protection hidden="1"/>
    </xf>
    <xf numFmtId="176" fontId="8" fillId="0" borderId="356" xfId="0" applyNumberFormat="1" applyFont="1" applyBorder="1" applyAlignment="1" applyProtection="1">
      <alignment horizontal="center" vertical="center"/>
      <protection hidden="1"/>
    </xf>
    <xf numFmtId="226" fontId="8" fillId="0" borderId="357" xfId="0" applyNumberFormat="1" applyFont="1" applyBorder="1" applyAlignment="1" applyProtection="1">
      <alignment horizontal="center" vertical="center"/>
      <protection hidden="1"/>
    </xf>
    <xf numFmtId="168" fontId="117" fillId="4" borderId="355" xfId="1" applyNumberFormat="1" applyFont="1" applyFill="1" applyBorder="1" applyAlignment="1" applyProtection="1">
      <alignment horizontal="center" vertical="center"/>
      <protection hidden="1"/>
    </xf>
    <xf numFmtId="227" fontId="117" fillId="4" borderId="218" xfId="1" applyNumberFormat="1" applyFont="1" applyFill="1" applyBorder="1" applyAlignment="1" applyProtection="1">
      <alignment horizontal="center" vertical="center"/>
      <protection hidden="1"/>
    </xf>
    <xf numFmtId="176" fontId="117" fillId="4" borderId="355" xfId="0" applyNumberFormat="1" applyFont="1" applyFill="1" applyBorder="1" applyAlignment="1" applyProtection="1">
      <alignment horizontal="center" vertical="center"/>
      <protection hidden="1"/>
    </xf>
    <xf numFmtId="176" fontId="117" fillId="0" borderId="0" xfId="0" applyNumberFormat="1" applyFont="1" applyAlignment="1" applyProtection="1">
      <alignment horizontal="center" vertical="center"/>
      <protection hidden="1"/>
    </xf>
    <xf numFmtId="176" fontId="117" fillId="4" borderId="218" xfId="0" applyNumberFormat="1" applyFont="1" applyFill="1" applyBorder="1" applyAlignment="1" applyProtection="1">
      <alignment horizontal="center" vertical="center"/>
      <protection hidden="1"/>
    </xf>
    <xf numFmtId="176" fontId="5" fillId="5" borderId="358" xfId="0" applyNumberFormat="1" applyFont="1" applyFill="1" applyBorder="1" applyAlignment="1" applyProtection="1">
      <alignment horizontal="center" vertical="center"/>
      <protection hidden="1"/>
    </xf>
    <xf numFmtId="226" fontId="5" fillId="5" borderId="357" xfId="0" applyNumberFormat="1" applyFont="1" applyFill="1" applyBorder="1" applyAlignment="1" applyProtection="1">
      <alignment horizontal="center" vertical="center"/>
      <protection hidden="1"/>
    </xf>
    <xf numFmtId="226" fontId="117" fillId="0" borderId="357" xfId="0" applyNumberFormat="1" applyFont="1" applyBorder="1" applyAlignment="1" applyProtection="1">
      <alignment horizontal="center" vertical="center"/>
      <protection hidden="1"/>
    </xf>
    <xf numFmtId="176" fontId="8" fillId="0" borderId="358" xfId="0" applyNumberFormat="1" applyFont="1" applyBorder="1" applyAlignment="1" applyProtection="1">
      <alignment horizontal="center" vertical="center"/>
      <protection hidden="1"/>
    </xf>
    <xf numFmtId="226" fontId="5" fillId="0" borderId="359" xfId="0" applyNumberFormat="1" applyFont="1" applyBorder="1" applyAlignment="1" applyProtection="1">
      <alignment horizontal="center" vertical="center"/>
      <protection hidden="1"/>
    </xf>
    <xf numFmtId="176" fontId="5" fillId="7" borderId="355" xfId="0" applyNumberFormat="1" applyFont="1" applyFill="1" applyBorder="1" applyAlignment="1" applyProtection="1">
      <alignment horizontal="center" vertical="center"/>
      <protection hidden="1"/>
    </xf>
    <xf numFmtId="226" fontId="5" fillId="7" borderId="357" xfId="0" applyNumberFormat="1" applyFont="1" applyFill="1" applyBorder="1" applyAlignment="1" applyProtection="1">
      <alignment horizontal="center" vertical="center"/>
      <protection hidden="1"/>
    </xf>
    <xf numFmtId="0" fontId="8" fillId="4" borderId="355" xfId="0" applyFont="1" applyFill="1" applyBorder="1" applyAlignment="1" applyProtection="1">
      <alignment horizontal="center" vertical="center"/>
      <protection hidden="1"/>
    </xf>
    <xf numFmtId="222" fontId="8" fillId="4" borderId="218" xfId="0" applyNumberFormat="1" applyFont="1" applyFill="1" applyBorder="1" applyAlignment="1" applyProtection="1">
      <alignment horizontal="center" vertical="center"/>
      <protection hidden="1"/>
    </xf>
    <xf numFmtId="176" fontId="5" fillId="7" borderId="218" xfId="0" applyNumberFormat="1" applyFont="1" applyFill="1" applyBorder="1" applyAlignment="1" applyProtection="1">
      <alignment horizontal="center" vertical="center"/>
      <protection hidden="1"/>
    </xf>
    <xf numFmtId="168" fontId="13" fillId="4" borderId="355" xfId="0" applyNumberFormat="1" applyFont="1" applyFill="1" applyBorder="1" applyAlignment="1" applyProtection="1">
      <alignment horizontal="center" vertical="center"/>
      <protection hidden="1"/>
    </xf>
    <xf numFmtId="168" fontId="13" fillId="4" borderId="0" xfId="0" applyNumberFormat="1" applyFont="1" applyFill="1" applyAlignment="1" applyProtection="1">
      <alignment horizontal="center" vertical="center"/>
      <protection hidden="1"/>
    </xf>
    <xf numFmtId="168" fontId="13" fillId="4" borderId="218" xfId="0" applyNumberFormat="1" applyFont="1" applyFill="1" applyBorder="1" applyAlignment="1" applyProtection="1">
      <alignment horizontal="center" vertical="center"/>
      <protection hidden="1"/>
    </xf>
    <xf numFmtId="0" fontId="8" fillId="4" borderId="218" xfId="0" applyFont="1" applyFill="1" applyBorder="1" applyAlignment="1" applyProtection="1">
      <alignment horizontal="center" vertical="center"/>
      <protection hidden="1"/>
    </xf>
    <xf numFmtId="176" fontId="5" fillId="5" borderId="360" xfId="0" applyNumberFormat="1" applyFont="1" applyFill="1" applyBorder="1" applyAlignment="1" applyProtection="1">
      <alignment horizontal="center" vertical="center"/>
      <protection hidden="1"/>
    </xf>
    <xf numFmtId="176" fontId="5" fillId="5" borderId="361" xfId="0" applyNumberFormat="1" applyFont="1" applyFill="1" applyBorder="1" applyAlignment="1" applyProtection="1">
      <alignment horizontal="center" vertical="center"/>
      <protection hidden="1"/>
    </xf>
    <xf numFmtId="168" fontId="21" fillId="5" borderId="362" xfId="1" applyNumberFormat="1" applyFont="1" applyFill="1" applyBorder="1" applyAlignment="1" applyProtection="1">
      <alignment horizontal="center" vertical="center"/>
      <protection hidden="1"/>
    </xf>
    <xf numFmtId="168" fontId="21" fillId="5" borderId="363" xfId="1" applyNumberFormat="1" applyFont="1" applyFill="1" applyBorder="1" applyAlignment="1" applyProtection="1">
      <alignment horizontal="center" vertical="center"/>
      <protection hidden="1"/>
    </xf>
    <xf numFmtId="172" fontId="8" fillId="4" borderId="218" xfId="1" applyNumberFormat="1" applyFont="1" applyFill="1" applyBorder="1" applyAlignment="1" applyProtection="1">
      <alignment horizontal="center" vertical="center"/>
      <protection hidden="1"/>
    </xf>
    <xf numFmtId="176" fontId="5" fillId="5" borderId="364" xfId="0" applyNumberFormat="1" applyFont="1" applyFill="1" applyBorder="1" applyAlignment="1" applyProtection="1">
      <alignment horizontal="center" vertical="center"/>
      <protection hidden="1"/>
    </xf>
    <xf numFmtId="176" fontId="5" fillId="5" borderId="365" xfId="0" applyNumberFormat="1" applyFont="1" applyFill="1" applyBorder="1" applyAlignment="1" applyProtection="1">
      <alignment horizontal="center" vertical="center"/>
      <protection hidden="1"/>
    </xf>
    <xf numFmtId="0" fontId="17" fillId="0" borderId="355" xfId="0" applyFont="1" applyBorder="1" applyAlignment="1" applyProtection="1">
      <alignment horizontal="center" vertical="center"/>
      <protection hidden="1"/>
    </xf>
    <xf numFmtId="0" fontId="17" fillId="0" borderId="218" xfId="0" applyFont="1" applyBorder="1" applyAlignment="1" applyProtection="1">
      <alignment horizontal="center" vertical="center"/>
      <protection hidden="1"/>
    </xf>
    <xf numFmtId="176" fontId="5" fillId="7" borderId="366" xfId="0" applyNumberFormat="1" applyFont="1" applyFill="1" applyBorder="1" applyAlignment="1" applyProtection="1">
      <alignment horizontal="center" vertical="center"/>
      <protection hidden="1"/>
    </xf>
    <xf numFmtId="176" fontId="5" fillId="7" borderId="367" xfId="0" applyNumberFormat="1" applyFont="1" applyFill="1" applyBorder="1" applyAlignment="1" applyProtection="1">
      <alignment horizontal="center" vertical="center"/>
      <protection hidden="1"/>
    </xf>
    <xf numFmtId="176" fontId="5" fillId="5" borderId="368" xfId="0" applyNumberFormat="1" applyFont="1" applyFill="1" applyBorder="1" applyAlignment="1" applyProtection="1">
      <alignment horizontal="center" vertical="center"/>
      <protection hidden="1"/>
    </xf>
    <xf numFmtId="176" fontId="5" fillId="5" borderId="369" xfId="0" applyNumberFormat="1" applyFont="1" applyFill="1" applyBorder="1" applyAlignment="1" applyProtection="1">
      <alignment horizontal="center" vertical="center"/>
      <protection hidden="1"/>
    </xf>
    <xf numFmtId="176" fontId="5" fillId="5" borderId="370" xfId="0" applyNumberFormat="1" applyFont="1" applyFill="1" applyBorder="1" applyAlignment="1" applyProtection="1">
      <alignment horizontal="center" vertical="center"/>
      <protection hidden="1"/>
    </xf>
    <xf numFmtId="176" fontId="117" fillId="4" borderId="0" xfId="0" applyNumberFormat="1" applyFont="1" applyFill="1" applyAlignment="1" applyProtection="1">
      <alignment horizontal="center" vertical="center"/>
      <protection hidden="1"/>
    </xf>
    <xf numFmtId="172" fontId="8" fillId="4" borderId="355" xfId="1" applyNumberFormat="1" applyFont="1" applyFill="1" applyBorder="1" applyAlignment="1" applyProtection="1">
      <alignment horizontal="center" vertical="center"/>
      <protection hidden="1"/>
    </xf>
    <xf numFmtId="172" fontId="17" fillId="0" borderId="0" xfId="0" applyNumberFormat="1" applyFont="1" applyAlignment="1" applyProtection="1">
      <alignment horizontal="center" vertical="center"/>
      <protection hidden="1"/>
    </xf>
    <xf numFmtId="171" fontId="5" fillId="5" borderId="249" xfId="2" applyNumberFormat="1" applyFont="1" applyFill="1" applyBorder="1" applyAlignment="1" applyProtection="1">
      <alignment horizontal="center" vertical="center"/>
      <protection hidden="1"/>
    </xf>
    <xf numFmtId="0" fontId="124" fillId="3" borderId="0" xfId="2" applyFont="1" applyFill="1" applyAlignment="1" applyProtection="1">
      <alignment horizontal="centerContinuous" vertical="center"/>
      <protection hidden="1"/>
    </xf>
    <xf numFmtId="14" fontId="74" fillId="4" borderId="266" xfId="0" applyNumberFormat="1" applyFont="1" applyFill="1" applyBorder="1" applyProtection="1">
      <protection hidden="1"/>
    </xf>
    <xf numFmtId="0" fontId="125" fillId="0" borderId="266" xfId="0" applyFont="1" applyBorder="1" applyProtection="1">
      <protection hidden="1"/>
    </xf>
    <xf numFmtId="0" fontId="126" fillId="0" borderId="266" xfId="0" applyFont="1" applyBorder="1" applyProtection="1">
      <protection hidden="1"/>
    </xf>
    <xf numFmtId="0" fontId="127" fillId="0" borderId="266" xfId="0" applyFont="1" applyBorder="1" applyProtection="1">
      <protection hidden="1"/>
    </xf>
    <xf numFmtId="0" fontId="18" fillId="0" borderId="0" xfId="0" applyFont="1" applyAlignment="1" applyProtection="1">
      <alignment horizontal="center" vertical="center"/>
      <protection hidden="1"/>
    </xf>
    <xf numFmtId="14" fontId="74" fillId="4" borderId="266" xfId="0" applyNumberFormat="1" applyFont="1" applyFill="1" applyBorder="1" applyAlignment="1" applyProtection="1">
      <alignment horizontal="left"/>
      <protection hidden="1"/>
    </xf>
    <xf numFmtId="0" fontId="47" fillId="25" borderId="0" xfId="0" applyFont="1" applyFill="1" applyAlignment="1" applyProtection="1">
      <alignment horizontal="center" vertical="center"/>
      <protection hidden="1"/>
    </xf>
    <xf numFmtId="0" fontId="47" fillId="25" borderId="0" xfId="0" applyFont="1" applyFill="1" applyAlignment="1" applyProtection="1">
      <alignment horizontal="centerContinuous" vertical="center"/>
      <protection hidden="1"/>
    </xf>
    <xf numFmtId="0" fontId="109" fillId="40" borderId="0" xfId="0" applyFont="1" applyFill="1" applyAlignment="1" applyProtection="1">
      <alignment vertical="center"/>
      <protection hidden="1"/>
    </xf>
    <xf numFmtId="0" fontId="4" fillId="40" borderId="0" xfId="0" applyFont="1" applyFill="1" applyProtection="1">
      <protection hidden="1"/>
    </xf>
    <xf numFmtId="0" fontId="10" fillId="5" borderId="0" xfId="0" applyFont="1" applyFill="1" applyAlignment="1" applyProtection="1">
      <alignment horizontal="center" vertical="center"/>
      <protection hidden="1"/>
    </xf>
    <xf numFmtId="0" fontId="17" fillId="25" borderId="0" xfId="0" applyFont="1" applyFill="1" applyProtection="1">
      <protection hidden="1"/>
    </xf>
    <xf numFmtId="0" fontId="56" fillId="4" borderId="0" xfId="0" applyFont="1" applyFill="1" applyAlignment="1" applyProtection="1">
      <alignment vertical="center"/>
      <protection hidden="1"/>
    </xf>
    <xf numFmtId="212" fontId="8" fillId="3" borderId="0" xfId="0" applyNumberFormat="1" applyFont="1" applyFill="1" applyAlignment="1" applyProtection="1">
      <alignment horizontal="right" vertical="center"/>
      <protection hidden="1"/>
    </xf>
    <xf numFmtId="176" fontId="5" fillId="3" borderId="0" xfId="0" applyNumberFormat="1" applyFont="1" applyFill="1" applyAlignment="1" applyProtection="1">
      <alignment horizontal="right" vertical="center"/>
      <protection hidden="1"/>
    </xf>
    <xf numFmtId="212" fontId="8" fillId="4" borderId="0" xfId="0" applyNumberFormat="1" applyFont="1" applyFill="1" applyAlignment="1" applyProtection="1">
      <alignment horizontal="right" vertical="center"/>
      <protection hidden="1"/>
    </xf>
    <xf numFmtId="176" fontId="8" fillId="3" borderId="0" xfId="0" applyNumberFormat="1" applyFont="1" applyFill="1" applyAlignment="1" applyProtection="1">
      <alignment horizontal="left" vertical="center"/>
      <protection hidden="1"/>
    </xf>
    <xf numFmtId="14" fontId="8" fillId="3" borderId="246" xfId="0" applyNumberFormat="1" applyFont="1" applyFill="1" applyBorder="1" applyAlignment="1" applyProtection="1">
      <alignment horizontal="left" vertical="center"/>
      <protection hidden="1"/>
    </xf>
    <xf numFmtId="212" fontId="8" fillId="3" borderId="247" xfId="0" applyNumberFormat="1" applyFont="1" applyFill="1" applyBorder="1" applyAlignment="1" applyProtection="1">
      <alignment horizontal="right" vertical="center"/>
      <protection hidden="1"/>
    </xf>
    <xf numFmtId="14" fontId="8" fillId="3" borderId="247" xfId="0" applyNumberFormat="1" applyFont="1" applyFill="1" applyBorder="1" applyAlignment="1" applyProtection="1">
      <alignment horizontal="left" vertical="center"/>
      <protection hidden="1"/>
    </xf>
    <xf numFmtId="176" fontId="5" fillId="3" borderId="248" xfId="0" applyNumberFormat="1" applyFont="1" applyFill="1" applyBorder="1" applyAlignment="1" applyProtection="1">
      <alignment horizontal="right" vertical="center"/>
      <protection hidden="1"/>
    </xf>
    <xf numFmtId="174" fontId="5" fillId="3" borderId="247" xfId="0" applyNumberFormat="1" applyFont="1" applyFill="1" applyBorder="1" applyAlignment="1" applyProtection="1">
      <alignment horizontal="center" vertical="center"/>
      <protection hidden="1"/>
    </xf>
    <xf numFmtId="1" fontId="5" fillId="3" borderId="247" xfId="0" applyNumberFormat="1" applyFont="1" applyFill="1" applyBorder="1" applyAlignment="1" applyProtection="1">
      <alignment horizontal="center" vertical="center"/>
      <protection hidden="1"/>
    </xf>
    <xf numFmtId="14" fontId="5" fillId="3" borderId="0" xfId="0" applyNumberFormat="1" applyFont="1" applyFill="1" applyAlignment="1" applyProtection="1">
      <alignment horizontal="left" vertical="center"/>
      <protection hidden="1"/>
    </xf>
    <xf numFmtId="174" fontId="5" fillId="3" borderId="0" xfId="0" applyNumberFormat="1" applyFont="1" applyFill="1" applyAlignment="1" applyProtection="1">
      <alignment horizontal="center" vertical="center"/>
      <protection hidden="1"/>
    </xf>
    <xf numFmtId="1" fontId="5" fillId="3" borderId="0" xfId="0" applyNumberFormat="1" applyFont="1" applyFill="1" applyAlignment="1" applyProtection="1">
      <alignment horizontal="center" vertical="center"/>
      <protection hidden="1"/>
    </xf>
    <xf numFmtId="174" fontId="5" fillId="3" borderId="250" xfId="0" applyNumberFormat="1" applyFont="1" applyFill="1" applyBorder="1" applyAlignment="1" applyProtection="1">
      <alignment horizontal="center" vertical="center"/>
      <protection hidden="1"/>
    </xf>
    <xf numFmtId="1" fontId="5" fillId="3" borderId="250" xfId="0" applyNumberFormat="1" applyFont="1" applyFill="1" applyBorder="1" applyAlignment="1" applyProtection="1">
      <alignment horizontal="center" vertical="center"/>
      <protection hidden="1"/>
    </xf>
    <xf numFmtId="176" fontId="5" fillId="3" borderId="245" xfId="0" applyNumberFormat="1" applyFont="1" applyFill="1" applyBorder="1" applyAlignment="1" applyProtection="1">
      <alignment horizontal="right" vertical="center"/>
      <protection hidden="1"/>
    </xf>
    <xf numFmtId="0" fontId="54" fillId="40" borderId="0" xfId="0" applyFont="1" applyFill="1" applyProtection="1">
      <protection hidden="1"/>
    </xf>
    <xf numFmtId="0" fontId="54" fillId="25" borderId="0" xfId="0" applyFont="1" applyFill="1" applyProtection="1">
      <protection hidden="1"/>
    </xf>
    <xf numFmtId="1" fontId="113" fillId="4" borderId="0" xfId="0" applyNumberFormat="1" applyFont="1" applyFill="1" applyAlignment="1" applyProtection="1">
      <alignment horizontal="center" vertical="center"/>
      <protection hidden="1"/>
    </xf>
    <xf numFmtId="0" fontId="90" fillId="4" borderId="0" xfId="0" applyFont="1" applyFill="1" applyProtection="1">
      <protection hidden="1"/>
    </xf>
    <xf numFmtId="0" fontId="67" fillId="4" borderId="0" xfId="0" applyFont="1" applyFill="1" applyProtection="1">
      <protection hidden="1"/>
    </xf>
    <xf numFmtId="0" fontId="108" fillId="35" borderId="0" xfId="0" applyFont="1" applyFill="1" applyAlignment="1" applyProtection="1">
      <alignment horizontal="centerContinuous" vertical="center"/>
      <protection hidden="1"/>
    </xf>
    <xf numFmtId="0" fontId="55" fillId="25" borderId="0" xfId="0" applyFont="1" applyFill="1" applyProtection="1">
      <protection hidden="1"/>
    </xf>
    <xf numFmtId="14" fontId="21" fillId="4" borderId="0" xfId="0" applyNumberFormat="1" applyFont="1" applyFill="1" applyAlignment="1" applyProtection="1">
      <alignment horizontal="left" vertical="center"/>
      <protection hidden="1"/>
    </xf>
    <xf numFmtId="0" fontId="8" fillId="4" borderId="0" xfId="0" applyFont="1" applyFill="1" applyAlignment="1" applyProtection="1">
      <alignment horizontal="left" vertical="center"/>
      <protection hidden="1"/>
    </xf>
    <xf numFmtId="0" fontId="12" fillId="4" borderId="0" xfId="0" applyFont="1" applyFill="1" applyAlignment="1" applyProtection="1">
      <alignment horizontal="left" vertical="center"/>
      <protection hidden="1"/>
    </xf>
    <xf numFmtId="14" fontId="12" fillId="4" borderId="0" xfId="0" applyNumberFormat="1" applyFont="1" applyFill="1" applyAlignment="1" applyProtection="1">
      <alignment horizontal="left" vertical="center"/>
      <protection hidden="1"/>
    </xf>
    <xf numFmtId="14" fontId="13" fillId="4" borderId="0" xfId="0" applyNumberFormat="1" applyFont="1" applyFill="1" applyAlignment="1" applyProtection="1">
      <alignment horizontal="left" vertical="center"/>
      <protection hidden="1"/>
    </xf>
    <xf numFmtId="0" fontId="26" fillId="35" borderId="0" xfId="0" applyFont="1" applyFill="1" applyAlignment="1" applyProtection="1">
      <alignment vertical="center"/>
      <protection hidden="1"/>
    </xf>
    <xf numFmtId="0" fontId="14" fillId="4" borderId="0" xfId="0" applyFont="1" applyFill="1" applyAlignment="1" applyProtection="1">
      <alignment vertical="center"/>
      <protection hidden="1"/>
    </xf>
    <xf numFmtId="212" fontId="8" fillId="3" borderId="247" xfId="0" applyNumberFormat="1" applyFont="1" applyFill="1" applyBorder="1" applyAlignment="1" applyProtection="1">
      <alignment vertical="center"/>
      <protection hidden="1"/>
    </xf>
    <xf numFmtId="0" fontId="5" fillId="3" borderId="247" xfId="0" applyFont="1" applyFill="1" applyBorder="1" applyAlignment="1" applyProtection="1">
      <alignment horizontal="right" vertical="center"/>
      <protection hidden="1"/>
    </xf>
    <xf numFmtId="0" fontId="17" fillId="4" borderId="0" xfId="0" applyFont="1" applyFill="1" applyAlignment="1" applyProtection="1">
      <alignment horizontal="right"/>
      <protection hidden="1"/>
    </xf>
    <xf numFmtId="0" fontId="4" fillId="4" borderId="0" xfId="0" applyFont="1" applyFill="1" applyAlignment="1" applyProtection="1">
      <alignment horizontal="right"/>
      <protection hidden="1"/>
    </xf>
    <xf numFmtId="14" fontId="5" fillId="3" borderId="250" xfId="0" applyNumberFormat="1" applyFont="1" applyFill="1" applyBorder="1" applyAlignment="1" applyProtection="1">
      <alignment horizontal="left" vertical="center"/>
      <protection hidden="1"/>
    </xf>
    <xf numFmtId="176" fontId="5" fillId="3" borderId="0" xfId="0" applyNumberFormat="1" applyFont="1" applyFill="1" applyAlignment="1" applyProtection="1">
      <alignment horizontal="center" vertical="center"/>
      <protection hidden="1"/>
    </xf>
    <xf numFmtId="168" fontId="12" fillId="4" borderId="0" xfId="0" applyNumberFormat="1" applyFont="1" applyFill="1" applyAlignment="1" applyProtection="1">
      <alignment horizontal="center" vertical="center"/>
      <protection hidden="1"/>
    </xf>
    <xf numFmtId="0" fontId="10" fillId="4" borderId="0" xfId="0" applyFont="1" applyFill="1" applyAlignment="1" applyProtection="1">
      <alignment horizontal="center" vertical="center"/>
      <protection hidden="1"/>
    </xf>
    <xf numFmtId="177" fontId="8" fillId="3" borderId="0" xfId="0" applyNumberFormat="1" applyFont="1" applyFill="1" applyAlignment="1" applyProtection="1">
      <alignment horizontal="center" vertical="center"/>
      <protection hidden="1"/>
    </xf>
    <xf numFmtId="0" fontId="4" fillId="4" borderId="0" xfId="0" applyFont="1" applyFill="1" applyAlignment="1" applyProtection="1">
      <alignment horizontal="center" vertical="center"/>
      <protection hidden="1"/>
    </xf>
    <xf numFmtId="0" fontId="17" fillId="4" borderId="0" xfId="0" applyFont="1" applyFill="1" applyAlignment="1" applyProtection="1">
      <alignment horizontal="center" vertical="center"/>
      <protection hidden="1"/>
    </xf>
    <xf numFmtId="176" fontId="8" fillId="3" borderId="0" xfId="0" applyNumberFormat="1" applyFont="1" applyFill="1" applyAlignment="1" applyProtection="1">
      <alignment horizontal="center" vertical="center"/>
      <protection hidden="1"/>
    </xf>
    <xf numFmtId="176" fontId="26" fillId="35" borderId="0" xfId="0" applyNumberFormat="1" applyFont="1" applyFill="1" applyAlignment="1" applyProtection="1">
      <alignment horizontal="center" vertical="center"/>
      <protection hidden="1"/>
    </xf>
    <xf numFmtId="165" fontId="5" fillId="3" borderId="0" xfId="0" applyNumberFormat="1" applyFont="1" applyFill="1" applyAlignment="1" applyProtection="1">
      <alignment horizontal="center" vertical="center"/>
      <protection hidden="1"/>
    </xf>
    <xf numFmtId="0" fontId="4" fillId="40" borderId="0" xfId="0" applyFont="1" applyFill="1" applyAlignment="1" applyProtection="1">
      <alignment horizontal="center"/>
      <protection hidden="1"/>
    </xf>
    <xf numFmtId="0" fontId="4" fillId="4" borderId="0" xfId="0" applyFont="1" applyFill="1" applyAlignment="1" applyProtection="1">
      <alignment horizontal="center"/>
      <protection hidden="1"/>
    </xf>
    <xf numFmtId="14" fontId="8" fillId="3" borderId="247" xfId="0" applyNumberFormat="1" applyFont="1" applyFill="1" applyBorder="1" applyAlignment="1" applyProtection="1">
      <alignment horizontal="center" vertical="center"/>
      <protection hidden="1"/>
    </xf>
    <xf numFmtId="176" fontId="8" fillId="3" borderId="250" xfId="0" applyNumberFormat="1" applyFont="1" applyFill="1" applyBorder="1" applyAlignment="1" applyProtection="1">
      <alignment horizontal="center" vertical="center"/>
      <protection hidden="1"/>
    </xf>
    <xf numFmtId="0" fontId="17" fillId="4" borderId="0" xfId="0" applyFont="1" applyFill="1" applyAlignment="1" applyProtection="1">
      <alignment horizontal="center"/>
      <protection hidden="1"/>
    </xf>
    <xf numFmtId="0" fontId="47" fillId="35" borderId="0" xfId="0" applyFont="1" applyFill="1" applyAlignment="1" applyProtection="1">
      <alignment horizontal="center" vertical="center"/>
      <protection hidden="1"/>
    </xf>
    <xf numFmtId="0" fontId="17" fillId="25" borderId="0" xfId="0" applyFont="1" applyFill="1" applyAlignment="1" applyProtection="1">
      <alignment horizontal="center"/>
      <protection hidden="1"/>
    </xf>
    <xf numFmtId="0" fontId="4" fillId="25" borderId="0" xfId="0" applyFont="1" applyFill="1" applyAlignment="1" applyProtection="1">
      <alignment horizontal="center"/>
      <protection hidden="1"/>
    </xf>
    <xf numFmtId="1" fontId="8" fillId="4" borderId="374" xfId="0" applyNumberFormat="1" applyFont="1" applyFill="1" applyBorder="1" applyAlignment="1" applyProtection="1">
      <alignment horizontal="center" vertical="center"/>
      <protection hidden="1"/>
    </xf>
    <xf numFmtId="174" fontId="8" fillId="4" borderId="0" xfId="0" applyNumberFormat="1" applyFont="1" applyFill="1" applyAlignment="1" applyProtection="1">
      <alignment horizontal="center" vertical="center"/>
      <protection hidden="1"/>
    </xf>
    <xf numFmtId="174" fontId="8" fillId="4" borderId="375" xfId="0" applyNumberFormat="1" applyFont="1" applyFill="1" applyBorder="1" applyAlignment="1" applyProtection="1">
      <alignment horizontal="center" vertical="center"/>
      <protection hidden="1"/>
    </xf>
    <xf numFmtId="0" fontId="8" fillId="4" borderId="374" xfId="0" applyFont="1" applyFill="1" applyBorder="1" applyAlignment="1" applyProtection="1">
      <alignment horizontal="center" vertical="center"/>
      <protection hidden="1"/>
    </xf>
    <xf numFmtId="0" fontId="8" fillId="4" borderId="375" xfId="0" applyFont="1" applyFill="1" applyBorder="1" applyAlignment="1" applyProtection="1">
      <alignment horizontal="center" vertical="center"/>
      <protection hidden="1"/>
    </xf>
    <xf numFmtId="165" fontId="8" fillId="4" borderId="374" xfId="0" applyNumberFormat="1" applyFont="1" applyFill="1" applyBorder="1" applyAlignment="1" applyProtection="1">
      <alignment horizontal="center" vertical="center"/>
      <protection hidden="1"/>
    </xf>
    <xf numFmtId="173" fontId="8" fillId="4" borderId="375" xfId="0" applyNumberFormat="1" applyFont="1" applyFill="1" applyBorder="1" applyAlignment="1" applyProtection="1">
      <alignment horizontal="center" vertical="center"/>
      <protection hidden="1"/>
    </xf>
    <xf numFmtId="168" fontId="12" fillId="4" borderId="374" xfId="0" applyNumberFormat="1" applyFont="1" applyFill="1" applyBorder="1" applyAlignment="1" applyProtection="1">
      <alignment horizontal="center" vertical="center"/>
      <protection hidden="1"/>
    </xf>
    <xf numFmtId="0" fontId="12" fillId="4" borderId="375" xfId="0" applyFont="1" applyFill="1" applyBorder="1" applyAlignment="1" applyProtection="1">
      <alignment horizontal="center" vertical="center"/>
      <protection hidden="1"/>
    </xf>
    <xf numFmtId="0" fontId="8" fillId="4" borderId="380" xfId="0" applyFont="1" applyFill="1" applyBorder="1" applyAlignment="1" applyProtection="1">
      <alignment horizontal="center" vertical="center"/>
      <protection hidden="1"/>
    </xf>
    <xf numFmtId="0" fontId="8" fillId="4" borderId="381" xfId="0" applyFont="1" applyFill="1" applyBorder="1" applyAlignment="1" applyProtection="1">
      <alignment horizontal="center" vertical="center"/>
      <protection hidden="1"/>
    </xf>
    <xf numFmtId="0" fontId="8" fillId="4" borderId="382" xfId="0" applyFont="1" applyFill="1" applyBorder="1" applyAlignment="1" applyProtection="1">
      <alignment horizontal="center" vertical="center"/>
      <protection hidden="1"/>
    </xf>
    <xf numFmtId="0" fontId="10" fillId="4" borderId="374" xfId="0" applyFont="1" applyFill="1" applyBorder="1" applyAlignment="1" applyProtection="1">
      <alignment horizontal="center" vertical="center"/>
      <protection hidden="1"/>
    </xf>
    <xf numFmtId="0" fontId="10" fillId="4" borderId="375" xfId="0" applyFont="1" applyFill="1" applyBorder="1" applyAlignment="1" applyProtection="1">
      <alignment horizontal="center" vertical="center"/>
      <protection hidden="1"/>
    </xf>
    <xf numFmtId="0" fontId="4" fillId="4" borderId="374" xfId="0" applyFont="1" applyFill="1" applyBorder="1" applyAlignment="1" applyProtection="1">
      <alignment horizontal="center" vertical="center"/>
      <protection hidden="1"/>
    </xf>
    <xf numFmtId="0" fontId="4" fillId="4" borderId="375" xfId="0" applyFont="1" applyFill="1" applyBorder="1" applyAlignment="1" applyProtection="1">
      <alignment horizontal="center" vertical="center"/>
      <protection hidden="1"/>
    </xf>
    <xf numFmtId="0" fontId="17" fillId="4" borderId="374" xfId="0" applyFont="1" applyFill="1" applyBorder="1" applyAlignment="1" applyProtection="1">
      <alignment horizontal="center" vertical="center"/>
      <protection hidden="1"/>
    </xf>
    <xf numFmtId="0" fontId="17" fillId="4" borderId="375" xfId="0" applyFont="1" applyFill="1" applyBorder="1" applyAlignment="1" applyProtection="1">
      <alignment horizontal="center" vertical="center"/>
      <protection hidden="1"/>
    </xf>
    <xf numFmtId="0" fontId="56" fillId="5" borderId="352" xfId="0" applyFont="1" applyFill="1" applyBorder="1" applyAlignment="1" applyProtection="1">
      <alignment horizontal="left" vertical="center"/>
      <protection hidden="1"/>
    </xf>
    <xf numFmtId="14" fontId="8" fillId="3" borderId="244" xfId="0" applyNumberFormat="1" applyFont="1" applyFill="1" applyBorder="1" applyAlignment="1" applyProtection="1">
      <alignment horizontal="left" vertical="center"/>
      <protection hidden="1"/>
    </xf>
    <xf numFmtId="1" fontId="8" fillId="4" borderId="0" xfId="0" applyNumberFormat="1" applyFont="1" applyFill="1" applyAlignment="1" applyProtection="1">
      <alignment horizontal="right" vertical="center"/>
      <protection hidden="1"/>
    </xf>
    <xf numFmtId="174" fontId="8" fillId="4" borderId="0" xfId="0" applyNumberFormat="1" applyFont="1" applyFill="1" applyAlignment="1" applyProtection="1">
      <alignment horizontal="right" vertical="center"/>
      <protection hidden="1"/>
    </xf>
    <xf numFmtId="1" fontId="5" fillId="3" borderId="0" xfId="0" applyNumberFormat="1" applyFont="1" applyFill="1" applyAlignment="1" applyProtection="1">
      <alignment horizontal="right" vertical="center"/>
      <protection hidden="1"/>
    </xf>
    <xf numFmtId="174" fontId="21" fillId="4" borderId="0" xfId="0" applyNumberFormat="1" applyFont="1" applyFill="1" applyAlignment="1" applyProtection="1">
      <alignment horizontal="center" vertical="center"/>
      <protection hidden="1"/>
    </xf>
    <xf numFmtId="1" fontId="21" fillId="4" borderId="0" xfId="0" applyNumberFormat="1" applyFont="1" applyFill="1" applyAlignment="1" applyProtection="1">
      <alignment horizontal="right" vertical="center"/>
      <protection hidden="1"/>
    </xf>
    <xf numFmtId="173" fontId="21" fillId="4" borderId="0" xfId="0" applyNumberFormat="1" applyFont="1" applyFill="1" applyAlignment="1" applyProtection="1">
      <alignment horizontal="right" vertical="center"/>
      <protection hidden="1"/>
    </xf>
    <xf numFmtId="0" fontId="21" fillId="4" borderId="0" xfId="0" applyFont="1" applyFill="1" applyAlignment="1" applyProtection="1">
      <alignment horizontal="right" vertical="center"/>
      <protection hidden="1"/>
    </xf>
    <xf numFmtId="173" fontId="21" fillId="4" borderId="0" xfId="0" applyNumberFormat="1" applyFont="1" applyFill="1" applyAlignment="1" applyProtection="1">
      <alignment horizontal="center" vertical="center"/>
      <protection hidden="1"/>
    </xf>
    <xf numFmtId="168" fontId="21" fillId="4" borderId="0" xfId="0" applyNumberFormat="1" applyFont="1" applyFill="1" applyAlignment="1" applyProtection="1">
      <alignment horizontal="right" vertical="center"/>
      <protection hidden="1"/>
    </xf>
    <xf numFmtId="168" fontId="21" fillId="4" borderId="0" xfId="0" applyNumberFormat="1" applyFont="1" applyFill="1" applyAlignment="1" applyProtection="1">
      <alignment horizontal="center" vertical="center"/>
      <protection hidden="1"/>
    </xf>
    <xf numFmtId="0" fontId="4" fillId="5" borderId="61" xfId="0" applyFont="1" applyFill="1" applyBorder="1" applyProtection="1">
      <protection hidden="1"/>
    </xf>
    <xf numFmtId="0" fontId="4" fillId="5" borderId="68" xfId="0" applyFont="1" applyFill="1" applyBorder="1" applyProtection="1">
      <protection hidden="1"/>
    </xf>
    <xf numFmtId="0" fontId="4" fillId="5" borderId="68" xfId="0" applyFont="1" applyFill="1" applyBorder="1" applyAlignment="1" applyProtection="1">
      <alignment horizontal="center"/>
      <protection hidden="1"/>
    </xf>
    <xf numFmtId="0" fontId="4" fillId="5" borderId="62" xfId="0" applyFont="1" applyFill="1" applyBorder="1" applyProtection="1">
      <protection hidden="1"/>
    </xf>
    <xf numFmtId="171" fontId="5" fillId="5" borderId="64" xfId="2" applyNumberFormat="1" applyFont="1" applyFill="1" applyBorder="1" applyAlignment="1" applyProtection="1">
      <alignment horizontal="center" vertical="center"/>
      <protection hidden="1"/>
    </xf>
    <xf numFmtId="171" fontId="5" fillId="5" borderId="66" xfId="2" applyNumberFormat="1" applyFont="1" applyFill="1" applyBorder="1" applyAlignment="1" applyProtection="1">
      <alignment horizontal="center" vertical="center"/>
      <protection hidden="1"/>
    </xf>
    <xf numFmtId="171" fontId="5" fillId="5" borderId="66" xfId="2" applyNumberFormat="1" applyFont="1" applyFill="1" applyBorder="1" applyAlignment="1" applyProtection="1">
      <alignment horizontal="right" vertical="center"/>
      <protection hidden="1"/>
    </xf>
    <xf numFmtId="1" fontId="5" fillId="5" borderId="66" xfId="2" applyNumberFormat="1" applyFont="1" applyFill="1" applyBorder="1" applyAlignment="1" applyProtection="1">
      <alignment horizontal="right" vertical="center"/>
      <protection hidden="1"/>
    </xf>
    <xf numFmtId="1" fontId="5" fillId="5" borderId="66" xfId="2" applyNumberFormat="1" applyFont="1" applyFill="1" applyBorder="1" applyAlignment="1" applyProtection="1">
      <alignment horizontal="center" vertical="center"/>
      <protection hidden="1"/>
    </xf>
    <xf numFmtId="1" fontId="6" fillId="5" borderId="65" xfId="0" applyNumberFormat="1" applyFont="1" applyFill="1" applyBorder="1" applyAlignment="1" applyProtection="1">
      <alignment horizontal="center" vertical="center"/>
      <protection hidden="1"/>
    </xf>
    <xf numFmtId="0" fontId="10" fillId="4" borderId="0" xfId="0" applyFont="1" applyFill="1" applyAlignment="1" applyProtection="1">
      <alignment horizontal="right" vertical="center"/>
      <protection hidden="1"/>
    </xf>
    <xf numFmtId="176" fontId="10" fillId="4" borderId="0" xfId="0" applyNumberFormat="1" applyFont="1" applyFill="1" applyAlignment="1" applyProtection="1">
      <alignment horizontal="right" vertical="center"/>
      <protection hidden="1"/>
    </xf>
    <xf numFmtId="176" fontId="10" fillId="4" borderId="0" xfId="0" applyNumberFormat="1" applyFont="1" applyFill="1" applyAlignment="1" applyProtection="1">
      <alignment horizontal="center" vertical="center"/>
      <protection hidden="1"/>
    </xf>
    <xf numFmtId="173" fontId="12" fillId="4" borderId="0" xfId="0" applyNumberFormat="1" applyFont="1" applyFill="1" applyAlignment="1" applyProtection="1">
      <alignment horizontal="right" vertical="center"/>
      <protection hidden="1"/>
    </xf>
    <xf numFmtId="1" fontId="14" fillId="4" borderId="0" xfId="0" applyNumberFormat="1" applyFont="1" applyFill="1" applyAlignment="1" applyProtection="1">
      <alignment horizontal="center" vertical="center"/>
      <protection hidden="1"/>
    </xf>
    <xf numFmtId="168" fontId="8" fillId="3" borderId="0" xfId="0" applyNumberFormat="1" applyFont="1" applyFill="1" applyAlignment="1" applyProtection="1">
      <alignment horizontal="right" vertical="center"/>
      <protection hidden="1"/>
    </xf>
    <xf numFmtId="168" fontId="8" fillId="3" borderId="0" xfId="0" applyNumberFormat="1" applyFont="1" applyFill="1" applyAlignment="1" applyProtection="1">
      <alignment horizontal="center" vertical="center"/>
      <protection hidden="1"/>
    </xf>
    <xf numFmtId="0" fontId="8" fillId="4" borderId="0" xfId="0" applyFont="1" applyFill="1" applyAlignment="1" applyProtection="1">
      <alignment horizontal="right"/>
      <protection hidden="1"/>
    </xf>
    <xf numFmtId="0" fontId="8" fillId="4" borderId="0" xfId="0" applyFont="1" applyFill="1" applyAlignment="1" applyProtection="1">
      <alignment horizontal="center"/>
      <protection hidden="1"/>
    </xf>
    <xf numFmtId="0" fontId="4" fillId="5" borderId="68" xfId="0" applyFont="1" applyFill="1" applyBorder="1" applyAlignment="1" applyProtection="1">
      <alignment horizontal="right"/>
      <protection hidden="1"/>
    </xf>
    <xf numFmtId="0" fontId="4" fillId="5" borderId="65" xfId="0" applyFont="1" applyFill="1" applyBorder="1" applyProtection="1">
      <protection hidden="1"/>
    </xf>
    <xf numFmtId="0" fontId="4" fillId="4" borderId="0" xfId="0" applyFont="1" applyFill="1" applyAlignment="1" applyProtection="1">
      <alignment horizontal="right" vertical="center"/>
      <protection hidden="1"/>
    </xf>
    <xf numFmtId="0" fontId="17" fillId="3" borderId="0" xfId="0" applyFont="1" applyFill="1" applyAlignment="1" applyProtection="1">
      <alignment horizontal="center" vertical="center"/>
      <protection hidden="1"/>
    </xf>
    <xf numFmtId="176" fontId="8" fillId="3" borderId="0" xfId="0" applyNumberFormat="1" applyFont="1" applyFill="1" applyAlignment="1" applyProtection="1">
      <alignment horizontal="right" vertical="center"/>
      <protection hidden="1"/>
    </xf>
    <xf numFmtId="176" fontId="26" fillId="35" borderId="0" xfId="0" applyNumberFormat="1" applyFont="1" applyFill="1" applyAlignment="1" applyProtection="1">
      <alignment horizontal="right" vertical="center"/>
      <protection hidden="1"/>
    </xf>
    <xf numFmtId="0" fontId="14" fillId="4" borderId="0" xfId="0" applyFont="1" applyFill="1" applyAlignment="1" applyProtection="1">
      <alignment horizontal="center" vertical="center"/>
      <protection hidden="1"/>
    </xf>
    <xf numFmtId="0" fontId="14" fillId="4" borderId="0" xfId="0" applyFont="1" applyFill="1" applyProtection="1">
      <protection hidden="1"/>
    </xf>
    <xf numFmtId="225" fontId="128" fillId="5" borderId="0" xfId="0" applyNumberFormat="1" applyFont="1" applyFill="1" applyAlignment="1" applyProtection="1">
      <alignment horizontal="center" vertical="center"/>
      <protection hidden="1"/>
    </xf>
    <xf numFmtId="0" fontId="30" fillId="4" borderId="266" xfId="0" applyFont="1" applyFill="1" applyBorder="1" applyProtection="1">
      <protection hidden="1"/>
    </xf>
    <xf numFmtId="0" fontId="4" fillId="4" borderId="266" xfId="0" applyFont="1" applyFill="1" applyBorder="1" applyProtection="1">
      <protection hidden="1"/>
    </xf>
    <xf numFmtId="0" fontId="129" fillId="3" borderId="0" xfId="2" applyFont="1" applyFill="1" applyAlignment="1" applyProtection="1">
      <alignment horizontal="centerContinuous" vertical="center"/>
      <protection hidden="1"/>
    </xf>
    <xf numFmtId="0" fontId="47" fillId="4" borderId="0" xfId="0" applyFont="1" applyFill="1" applyAlignment="1" applyProtection="1">
      <alignment vertical="center"/>
      <protection hidden="1"/>
    </xf>
    <xf numFmtId="175" fontId="4" fillId="4" borderId="0" xfId="0" applyNumberFormat="1" applyFont="1" applyFill="1" applyProtection="1">
      <protection hidden="1"/>
    </xf>
    <xf numFmtId="0" fontId="18" fillId="40" borderId="0" xfId="0" applyFont="1" applyFill="1" applyAlignment="1" applyProtection="1">
      <alignment horizontal="center" vertical="center"/>
      <protection hidden="1"/>
    </xf>
    <xf numFmtId="0" fontId="79" fillId="40" borderId="0" xfId="0" applyFont="1" applyFill="1" applyAlignment="1" applyProtection="1">
      <alignment horizontal="center" vertical="center"/>
      <protection hidden="1"/>
    </xf>
    <xf numFmtId="0" fontId="19" fillId="40" borderId="0" xfId="0" applyFont="1" applyFill="1" applyAlignment="1" applyProtection="1">
      <alignment horizontal="center" vertical="center"/>
      <protection hidden="1"/>
    </xf>
    <xf numFmtId="0" fontId="4" fillId="25" borderId="0" xfId="0" applyFont="1" applyFill="1" applyAlignment="1" applyProtection="1">
      <alignment vertical="center"/>
      <protection hidden="1"/>
    </xf>
    <xf numFmtId="212" fontId="8" fillId="3" borderId="248" xfId="0" applyNumberFormat="1" applyFont="1" applyFill="1" applyBorder="1" applyAlignment="1" applyProtection="1">
      <alignment vertical="center"/>
      <protection hidden="1"/>
    </xf>
    <xf numFmtId="212" fontId="8" fillId="4" borderId="243" xfId="0" applyNumberFormat="1" applyFont="1" applyFill="1" applyBorder="1" applyAlignment="1" applyProtection="1">
      <alignment vertical="center"/>
      <protection hidden="1"/>
    </xf>
    <xf numFmtId="212" fontId="8" fillId="3" borderId="243" xfId="0" applyNumberFormat="1" applyFont="1" applyFill="1" applyBorder="1" applyAlignment="1" applyProtection="1">
      <alignment vertical="center"/>
      <protection hidden="1"/>
    </xf>
    <xf numFmtId="212" fontId="8" fillId="3" borderId="373" xfId="0" applyNumberFormat="1" applyFont="1" applyFill="1" applyBorder="1" applyAlignment="1" applyProtection="1">
      <alignment vertical="center"/>
      <protection hidden="1"/>
    </xf>
    <xf numFmtId="212" fontId="56" fillId="5" borderId="353" xfId="0" applyNumberFormat="1" applyFont="1" applyFill="1" applyBorder="1" applyAlignment="1" applyProtection="1">
      <alignment vertical="center"/>
      <protection hidden="1"/>
    </xf>
    <xf numFmtId="0" fontId="17" fillId="3" borderId="244" xfId="0" applyFont="1" applyFill="1" applyBorder="1" applyAlignment="1" applyProtection="1">
      <alignment vertical="center"/>
      <protection hidden="1"/>
    </xf>
    <xf numFmtId="0" fontId="17" fillId="3" borderId="250" xfId="0" applyFont="1" applyFill="1" applyBorder="1" applyAlignment="1" applyProtection="1">
      <alignment vertical="center"/>
      <protection hidden="1"/>
    </xf>
    <xf numFmtId="193" fontId="8" fillId="3" borderId="245" xfId="0" applyNumberFormat="1" applyFont="1" applyFill="1" applyBorder="1" applyAlignment="1" applyProtection="1">
      <alignment horizontal="center" vertical="center"/>
      <protection hidden="1"/>
    </xf>
    <xf numFmtId="0" fontId="17" fillId="3" borderId="246" xfId="0" applyFont="1" applyFill="1" applyBorder="1" applyAlignment="1" applyProtection="1">
      <alignment vertical="center"/>
      <protection hidden="1"/>
    </xf>
    <xf numFmtId="193" fontId="8" fillId="3" borderId="248" xfId="0" applyNumberFormat="1" applyFont="1" applyFill="1" applyBorder="1" applyAlignment="1" applyProtection="1">
      <alignment horizontal="center" vertical="center"/>
      <protection hidden="1"/>
    </xf>
    <xf numFmtId="225" fontId="128" fillId="5" borderId="0" xfId="0" applyNumberFormat="1" applyFont="1" applyFill="1" applyAlignment="1" applyProtection="1">
      <alignment horizontal="left" vertical="center"/>
      <protection hidden="1"/>
    </xf>
    <xf numFmtId="0" fontId="19" fillId="40" borderId="0" xfId="0" applyFont="1" applyFill="1" applyProtection="1">
      <protection hidden="1"/>
    </xf>
    <xf numFmtId="0" fontId="19" fillId="5" borderId="0" xfId="0" applyFont="1" applyFill="1" applyAlignment="1" applyProtection="1">
      <alignment vertical="center"/>
      <protection hidden="1"/>
    </xf>
    <xf numFmtId="0" fontId="19" fillId="0" borderId="0" xfId="0" applyFont="1" applyProtection="1">
      <protection hidden="1"/>
    </xf>
    <xf numFmtId="0" fontId="19" fillId="0" borderId="0" xfId="0" applyFont="1" applyAlignment="1" applyProtection="1">
      <alignment vertical="center"/>
      <protection hidden="1"/>
    </xf>
    <xf numFmtId="0" fontId="64" fillId="3" borderId="0" xfId="0" applyFont="1" applyFill="1" applyAlignment="1" applyProtection="1">
      <alignment horizontal="centerContinuous" vertical="center"/>
      <protection hidden="1"/>
    </xf>
    <xf numFmtId="0" fontId="31" fillId="3" borderId="0" xfId="2" applyFont="1" applyFill="1" applyAlignment="1" applyProtection="1">
      <alignment horizontal="centerContinuous" vertical="center"/>
      <protection hidden="1"/>
    </xf>
    <xf numFmtId="14" fontId="45" fillId="4" borderId="266" xfId="0" applyNumberFormat="1" applyFont="1" applyFill="1" applyBorder="1" applyProtection="1">
      <protection hidden="1"/>
    </xf>
    <xf numFmtId="0" fontId="45" fillId="4" borderId="266" xfId="0" applyFont="1" applyFill="1" applyBorder="1" applyAlignment="1" applyProtection="1">
      <alignment horizontal="right"/>
      <protection hidden="1"/>
    </xf>
    <xf numFmtId="0" fontId="8" fillId="3" borderId="250" xfId="0" applyFont="1" applyFill="1" applyBorder="1" applyAlignment="1" applyProtection="1">
      <alignment horizontal="center" vertical="center"/>
      <protection hidden="1"/>
    </xf>
    <xf numFmtId="0" fontId="130" fillId="0" borderId="108" xfId="2" applyFont="1" applyBorder="1" applyAlignment="1" applyProtection="1">
      <alignment horizontal="centerContinuous" vertical="center"/>
      <protection hidden="1"/>
    </xf>
    <xf numFmtId="0" fontId="130" fillId="0" borderId="109" xfId="2" applyFont="1" applyBorder="1" applyAlignment="1" applyProtection="1">
      <alignment horizontal="centerContinuous" vertical="center"/>
      <protection hidden="1"/>
    </xf>
    <xf numFmtId="0" fontId="72" fillId="0" borderId="83" xfId="0" applyFont="1" applyBorder="1" applyAlignment="1" applyProtection="1">
      <alignment vertical="center" wrapText="1"/>
      <protection hidden="1"/>
    </xf>
    <xf numFmtId="0" fontId="72" fillId="0" borderId="84" xfId="0" applyFont="1" applyBorder="1" applyAlignment="1" applyProtection="1">
      <alignment vertical="center" wrapText="1"/>
      <protection hidden="1"/>
    </xf>
    <xf numFmtId="0" fontId="72" fillId="0" borderId="97" xfId="0" applyFont="1" applyBorder="1" applyAlignment="1" applyProtection="1">
      <alignment vertical="center" wrapText="1"/>
      <protection hidden="1"/>
    </xf>
    <xf numFmtId="0" fontId="133" fillId="0" borderId="98" xfId="0" applyFont="1" applyBorder="1" applyAlignment="1" applyProtection="1">
      <alignment horizontal="center" vertical="center" wrapText="1"/>
      <protection hidden="1"/>
    </xf>
    <xf numFmtId="0" fontId="59" fillId="4" borderId="95" xfId="0" applyFont="1" applyFill="1" applyBorder="1" applyAlignment="1" applyProtection="1">
      <alignment horizontal="center" vertical="center"/>
      <protection hidden="1"/>
    </xf>
    <xf numFmtId="0" fontId="133" fillId="0" borderId="233" xfId="0" applyFont="1" applyBorder="1" applyAlignment="1" applyProtection="1">
      <alignment horizontal="center" vertical="center" wrapText="1"/>
      <protection hidden="1"/>
    </xf>
    <xf numFmtId="0" fontId="77" fillId="0" borderId="0" xfId="0" applyFont="1" applyProtection="1">
      <protection hidden="1"/>
    </xf>
    <xf numFmtId="0" fontId="20" fillId="0" borderId="0" xfId="0" applyFont="1" applyProtection="1">
      <protection hidden="1"/>
    </xf>
    <xf numFmtId="1" fontId="20" fillId="0" borderId="0" xfId="0" applyNumberFormat="1" applyFont="1" applyProtection="1">
      <protection hidden="1"/>
    </xf>
    <xf numFmtId="199" fontId="20" fillId="0" borderId="0" xfId="0" applyNumberFormat="1" applyFont="1" applyAlignment="1" applyProtection="1">
      <alignment horizontal="right" vertical="center"/>
      <protection hidden="1"/>
    </xf>
    <xf numFmtId="176" fontId="20" fillId="0" borderId="0" xfId="0" applyNumberFormat="1" applyFont="1" applyAlignment="1" applyProtection="1">
      <alignment horizontal="right" vertical="center"/>
      <protection hidden="1"/>
    </xf>
    <xf numFmtId="172" fontId="20" fillId="0" borderId="0" xfId="1" applyNumberFormat="1" applyFont="1" applyFill="1" applyBorder="1" applyAlignment="1" applyProtection="1">
      <alignment horizontal="right" vertical="center"/>
      <protection hidden="1"/>
    </xf>
    <xf numFmtId="0" fontId="22" fillId="0" borderId="0" xfId="0" applyFont="1" applyProtection="1">
      <protection hidden="1"/>
    </xf>
    <xf numFmtId="0" fontId="83" fillId="0" borderId="0" xfId="0" applyFont="1" applyAlignment="1" applyProtection="1">
      <alignment horizontal="center"/>
      <protection hidden="1"/>
    </xf>
    <xf numFmtId="186" fontId="22" fillId="0" borderId="0" xfId="0" applyNumberFormat="1" applyFont="1" applyAlignment="1" applyProtection="1">
      <alignment horizontal="center" vertical="center"/>
      <protection hidden="1"/>
    </xf>
    <xf numFmtId="191" fontId="22" fillId="0" borderId="0" xfId="0" applyNumberFormat="1" applyFont="1" applyProtection="1">
      <protection hidden="1"/>
    </xf>
    <xf numFmtId="211" fontId="22" fillId="0" borderId="0" xfId="0" applyNumberFormat="1" applyFont="1" applyProtection="1">
      <protection hidden="1"/>
    </xf>
    <xf numFmtId="175" fontId="22" fillId="0" borderId="0" xfId="0" applyNumberFormat="1" applyFont="1" applyProtection="1">
      <protection hidden="1"/>
    </xf>
    <xf numFmtId="0" fontId="83" fillId="0" borderId="0" xfId="0" applyFont="1" applyProtection="1">
      <protection hidden="1"/>
    </xf>
    <xf numFmtId="202" fontId="22" fillId="0" borderId="0" xfId="0" applyNumberFormat="1" applyFont="1" applyProtection="1">
      <protection hidden="1"/>
    </xf>
    <xf numFmtId="0" fontId="45" fillId="4" borderId="0" xfId="0" applyFont="1" applyFill="1" applyProtection="1">
      <protection hidden="1"/>
    </xf>
    <xf numFmtId="175" fontId="45" fillId="4" borderId="0" xfId="0" applyNumberFormat="1" applyFont="1" applyFill="1" applyProtection="1">
      <protection hidden="1"/>
    </xf>
    <xf numFmtId="175" fontId="33" fillId="4" borderId="0" xfId="0" applyNumberFormat="1" applyFont="1" applyFill="1" applyProtection="1">
      <protection hidden="1"/>
    </xf>
    <xf numFmtId="0" fontId="25" fillId="5" borderId="95" xfId="0" applyFont="1" applyFill="1" applyBorder="1" applyAlignment="1" applyProtection="1">
      <alignment horizontal="center" vertical="center"/>
      <protection hidden="1"/>
    </xf>
    <xf numFmtId="229" fontId="22" fillId="0" borderId="0" xfId="0" applyNumberFormat="1" applyFont="1" applyProtection="1">
      <protection hidden="1"/>
    </xf>
    <xf numFmtId="0" fontId="134" fillId="0" borderId="229" xfId="0" applyFont="1" applyBorder="1" applyAlignment="1" applyProtection="1">
      <alignment vertical="center" wrapText="1"/>
      <protection hidden="1"/>
    </xf>
    <xf numFmtId="172" fontId="0" fillId="0" borderId="0" xfId="1" applyNumberFormat="1" applyFont="1"/>
    <xf numFmtId="230" fontId="0" fillId="0" borderId="0" xfId="1" applyNumberFormat="1" applyFont="1"/>
    <xf numFmtId="172" fontId="20" fillId="0" borderId="0" xfId="1" applyNumberFormat="1" applyFont="1" applyProtection="1">
      <protection hidden="1"/>
    </xf>
    <xf numFmtId="0" fontId="0" fillId="0" borderId="303" xfId="0" applyBorder="1"/>
    <xf numFmtId="0" fontId="17" fillId="0" borderId="303" xfId="0" applyFont="1" applyBorder="1"/>
    <xf numFmtId="0" fontId="0" fillId="0" borderId="411" xfId="0" applyBorder="1"/>
    <xf numFmtId="0" fontId="17" fillId="0" borderId="411" xfId="0" applyFont="1" applyBorder="1"/>
    <xf numFmtId="0" fontId="0" fillId="0" borderId="308" xfId="0" applyBorder="1"/>
    <xf numFmtId="0" fontId="17" fillId="0" borderId="308" xfId="0" applyFont="1" applyBorder="1"/>
    <xf numFmtId="0" fontId="45" fillId="4" borderId="0" xfId="0" applyFont="1" applyFill="1" applyAlignment="1" applyProtection="1">
      <alignment vertical="center"/>
      <protection hidden="1"/>
    </xf>
    <xf numFmtId="0" fontId="17" fillId="0" borderId="302" xfId="0" applyFont="1" applyBorder="1" applyAlignment="1">
      <alignment horizontal="right"/>
    </xf>
    <xf numFmtId="0" fontId="17" fillId="0" borderId="305" xfId="0" applyFont="1" applyBorder="1" applyAlignment="1">
      <alignment horizontal="right"/>
    </xf>
    <xf numFmtId="0" fontId="17" fillId="0" borderId="305" xfId="0" applyFont="1" applyBorder="1"/>
    <xf numFmtId="0" fontId="17" fillId="0" borderId="306" xfId="0" applyFont="1" applyBorder="1"/>
    <xf numFmtId="176" fontId="17" fillId="0" borderId="305" xfId="0" applyNumberFormat="1" applyFont="1" applyBorder="1"/>
    <xf numFmtId="176" fontId="23" fillId="0" borderId="412" xfId="0" applyNumberFormat="1" applyFont="1" applyBorder="1"/>
    <xf numFmtId="176" fontId="17" fillId="0" borderId="306" xfId="0" applyNumberFormat="1" applyFont="1" applyBorder="1"/>
    <xf numFmtId="0" fontId="3" fillId="0" borderId="308" xfId="0" applyFont="1" applyBorder="1" applyAlignment="1">
      <alignment horizontal="center" vertical="center"/>
    </xf>
    <xf numFmtId="172" fontId="17" fillId="0" borderId="305" xfId="1" applyNumberFormat="1" applyFont="1" applyBorder="1"/>
    <xf numFmtId="172" fontId="17" fillId="0" borderId="302" xfId="1" applyNumberFormat="1" applyFont="1" applyBorder="1"/>
    <xf numFmtId="176" fontId="17" fillId="0" borderId="304" xfId="0" applyNumberFormat="1" applyFont="1" applyBorder="1"/>
    <xf numFmtId="172" fontId="17" fillId="0" borderId="412" xfId="1" applyNumberFormat="1" applyFont="1" applyBorder="1"/>
    <xf numFmtId="176" fontId="17" fillId="0" borderId="413" xfId="0" applyNumberFormat="1" applyFont="1" applyBorder="1"/>
    <xf numFmtId="0" fontId="0" fillId="0" borderId="302" xfId="0" applyBorder="1"/>
    <xf numFmtId="0" fontId="0" fillId="0" borderId="307" xfId="0" applyBorder="1"/>
    <xf numFmtId="0" fontId="17" fillId="0" borderId="303" xfId="0" applyFont="1" applyBorder="1" applyAlignment="1">
      <alignment horizontal="right"/>
    </xf>
    <xf numFmtId="0" fontId="17" fillId="0" borderId="304" xfId="0" applyFont="1" applyBorder="1"/>
    <xf numFmtId="0" fontId="17" fillId="0" borderId="309" xfId="0" applyFont="1" applyBorder="1"/>
    <xf numFmtId="176" fontId="23" fillId="0" borderId="411" xfId="0" applyNumberFormat="1" applyFont="1" applyBorder="1"/>
    <xf numFmtId="0" fontId="17" fillId="0" borderId="413" xfId="0" applyFont="1" applyBorder="1"/>
    <xf numFmtId="14" fontId="17" fillId="0" borderId="307" xfId="0" applyNumberFormat="1" applyFont="1" applyBorder="1" applyAlignment="1">
      <alignment horizontal="right"/>
    </xf>
    <xf numFmtId="14" fontId="17" fillId="0" borderId="308" xfId="0" applyNumberFormat="1" applyFont="1" applyBorder="1" applyAlignment="1">
      <alignment horizontal="right"/>
    </xf>
    <xf numFmtId="176" fontId="8" fillId="4" borderId="0" xfId="0" applyNumberFormat="1" applyFont="1" applyFill="1" applyAlignment="1" applyProtection="1">
      <alignment horizontal="center" vertical="center"/>
      <protection hidden="1"/>
    </xf>
    <xf numFmtId="176" fontId="108" fillId="4" borderId="0" xfId="0" applyNumberFormat="1" applyFont="1" applyFill="1" applyAlignment="1" applyProtection="1">
      <alignment horizontal="right" vertical="center"/>
      <protection hidden="1"/>
    </xf>
    <xf numFmtId="165" fontId="4" fillId="4" borderId="0" xfId="0" applyNumberFormat="1" applyFont="1" applyFill="1" applyProtection="1">
      <protection hidden="1"/>
    </xf>
    <xf numFmtId="175" fontId="8" fillId="4" borderId="0" xfId="0" applyNumberFormat="1" applyFont="1" applyFill="1" applyAlignment="1" applyProtection="1">
      <alignment vertical="center"/>
      <protection hidden="1"/>
    </xf>
    <xf numFmtId="0" fontId="23" fillId="5" borderId="0" xfId="0" applyFont="1" applyFill="1" applyAlignment="1" applyProtection="1">
      <alignment vertical="center"/>
      <protection hidden="1"/>
    </xf>
    <xf numFmtId="0" fontId="17" fillId="5" borderId="0" xfId="0" applyFont="1" applyFill="1" applyAlignment="1" applyProtection="1">
      <alignment horizontal="center" vertical="center"/>
      <protection hidden="1"/>
    </xf>
    <xf numFmtId="0" fontId="8" fillId="0" borderId="50" xfId="0" applyFont="1" applyBorder="1" applyAlignment="1" applyProtection="1">
      <alignment horizontal="center" vertical="center" wrapText="1"/>
      <protection hidden="1"/>
    </xf>
    <xf numFmtId="233" fontId="89" fillId="4" borderId="228" xfId="0" applyNumberFormat="1" applyFont="1" applyFill="1" applyBorder="1" applyAlignment="1" applyProtection="1">
      <alignment vertical="center"/>
      <protection hidden="1"/>
    </xf>
    <xf numFmtId="0" fontId="3" fillId="0" borderId="308" xfId="0" applyFont="1" applyBorder="1" applyAlignment="1">
      <alignment horizontal="left" vertical="center"/>
    </xf>
    <xf numFmtId="176" fontId="17" fillId="0" borderId="309" xfId="0" applyNumberFormat="1" applyFont="1" applyBorder="1"/>
    <xf numFmtId="0" fontId="23" fillId="0" borderId="305" xfId="0" applyFont="1" applyBorder="1"/>
    <xf numFmtId="0" fontId="23" fillId="0" borderId="306" xfId="0" applyFont="1" applyBorder="1"/>
    <xf numFmtId="0" fontId="17" fillId="0" borderId="304" xfId="0" applyFont="1" applyBorder="1" applyAlignment="1">
      <alignment horizontal="right"/>
    </xf>
    <xf numFmtId="0" fontId="17" fillId="0" borderId="306" xfId="0" applyFont="1" applyBorder="1" applyAlignment="1">
      <alignment horizontal="right"/>
    </xf>
    <xf numFmtId="14" fontId="17" fillId="0" borderId="309" xfId="0" applyNumberFormat="1" applyFont="1" applyBorder="1" applyAlignment="1">
      <alignment horizontal="right"/>
    </xf>
    <xf numFmtId="1" fontId="17" fillId="0" borderId="306" xfId="0" applyNumberFormat="1" applyFont="1" applyBorder="1"/>
    <xf numFmtId="176" fontId="23" fillId="0" borderId="306" xfId="0" applyNumberFormat="1" applyFont="1" applyBorder="1"/>
    <xf numFmtId="0" fontId="22" fillId="0" borderId="0" xfId="0" applyFont="1" applyAlignment="1" applyProtection="1">
      <alignment horizontal="right"/>
      <protection hidden="1"/>
    </xf>
    <xf numFmtId="0" fontId="22" fillId="5" borderId="0" xfId="0" applyFont="1" applyFill="1" applyAlignment="1" applyProtection="1">
      <alignment horizontal="right"/>
      <protection hidden="1"/>
    </xf>
    <xf numFmtId="211" fontId="17" fillId="5" borderId="0" xfId="0" applyNumberFormat="1" applyFont="1" applyFill="1"/>
    <xf numFmtId="199" fontId="17" fillId="5" borderId="0" xfId="0" applyNumberFormat="1" applyFont="1" applyFill="1"/>
    <xf numFmtId="199" fontId="23" fillId="5" borderId="0" xfId="0" applyNumberFormat="1" applyFont="1" applyFill="1"/>
    <xf numFmtId="0" fontId="55" fillId="4" borderId="242" xfId="0" applyFont="1" applyFill="1" applyBorder="1" applyAlignment="1" applyProtection="1">
      <alignment vertical="center"/>
      <protection hidden="1"/>
    </xf>
    <xf numFmtId="0" fontId="55" fillId="0" borderId="7" xfId="0" applyFont="1" applyBorder="1" applyAlignment="1" applyProtection="1">
      <alignment vertical="center"/>
      <protection hidden="1"/>
    </xf>
    <xf numFmtId="2" fontId="55" fillId="4" borderId="0" xfId="0" applyNumberFormat="1" applyFont="1" applyFill="1" applyAlignment="1" applyProtection="1">
      <alignment horizontal="right" vertical="center"/>
      <protection hidden="1"/>
    </xf>
    <xf numFmtId="14" fontId="55" fillId="4" borderId="0" xfId="0" applyNumberFormat="1" applyFont="1" applyFill="1" applyAlignment="1" applyProtection="1">
      <alignment horizontal="right" vertical="center"/>
      <protection hidden="1"/>
    </xf>
    <xf numFmtId="176" fontId="55" fillId="4" borderId="0" xfId="0" applyNumberFormat="1" applyFont="1" applyFill="1" applyAlignment="1" applyProtection="1">
      <alignment horizontal="right" vertical="center"/>
      <protection hidden="1"/>
    </xf>
    <xf numFmtId="0" fontId="55" fillId="4" borderId="0" xfId="0" applyFont="1" applyFill="1" applyAlignment="1" applyProtection="1">
      <alignment vertical="center"/>
      <protection hidden="1"/>
    </xf>
    <xf numFmtId="2" fontId="55" fillId="0" borderId="243" xfId="0" applyNumberFormat="1" applyFont="1" applyBorder="1" applyAlignment="1" applyProtection="1">
      <alignment vertical="center"/>
      <protection hidden="1"/>
    </xf>
    <xf numFmtId="234" fontId="55" fillId="4" borderId="0" xfId="0" applyNumberFormat="1" applyFont="1" applyFill="1" applyAlignment="1" applyProtection="1">
      <alignment horizontal="right" vertical="center"/>
      <protection hidden="1"/>
    </xf>
    <xf numFmtId="0" fontId="77" fillId="5" borderId="0" xfId="0" applyFont="1" applyFill="1" applyProtection="1">
      <protection hidden="1"/>
    </xf>
    <xf numFmtId="0" fontId="22" fillId="5" borderId="0" xfId="0" applyFont="1" applyFill="1" applyProtection="1">
      <protection hidden="1"/>
    </xf>
    <xf numFmtId="211" fontId="22" fillId="5" borderId="0" xfId="0" applyNumberFormat="1" applyFont="1" applyFill="1" applyAlignment="1" applyProtection="1">
      <alignment horizontal="right"/>
      <protection hidden="1"/>
    </xf>
    <xf numFmtId="229" fontId="22" fillId="5" borderId="0" xfId="0" applyNumberFormat="1" applyFont="1" applyFill="1" applyAlignment="1" applyProtection="1">
      <alignment horizontal="right"/>
      <protection hidden="1"/>
    </xf>
    <xf numFmtId="199" fontId="22" fillId="5" borderId="0" xfId="0" applyNumberFormat="1" applyFont="1" applyFill="1" applyAlignment="1" applyProtection="1">
      <alignment horizontal="right"/>
      <protection hidden="1"/>
    </xf>
    <xf numFmtId="212" fontId="14" fillId="5" borderId="0" xfId="0" applyNumberFormat="1" applyFont="1" applyFill="1" applyAlignment="1" applyProtection="1">
      <alignment horizontal="center" vertical="center"/>
      <protection hidden="1"/>
    </xf>
    <xf numFmtId="212" fontId="14" fillId="5" borderId="0" xfId="0" applyNumberFormat="1" applyFont="1" applyFill="1" applyAlignment="1" applyProtection="1">
      <alignment vertical="center"/>
      <protection hidden="1"/>
    </xf>
    <xf numFmtId="0" fontId="140" fillId="4" borderId="0" xfId="0" applyFont="1" applyFill="1" applyAlignment="1" applyProtection="1">
      <alignment vertical="center"/>
      <protection hidden="1"/>
    </xf>
    <xf numFmtId="0" fontId="14" fillId="5" borderId="0" xfId="0" applyFont="1" applyFill="1" applyAlignment="1" applyProtection="1">
      <alignment horizontal="center" vertical="center"/>
      <protection hidden="1"/>
    </xf>
    <xf numFmtId="0" fontId="16" fillId="25" borderId="0" xfId="0" applyFont="1" applyFill="1" applyAlignment="1" applyProtection="1">
      <alignment vertical="center"/>
      <protection hidden="1"/>
    </xf>
    <xf numFmtId="0" fontId="14" fillId="5" borderId="0" xfId="0" applyFont="1" applyFill="1" applyAlignment="1" applyProtection="1">
      <alignment horizontal="centerContinuous" vertical="center"/>
      <protection hidden="1"/>
    </xf>
    <xf numFmtId="176" fontId="22" fillId="5" borderId="0" xfId="0" applyNumberFormat="1" applyFont="1" applyFill="1" applyAlignment="1" applyProtection="1">
      <alignment horizontal="right"/>
      <protection hidden="1"/>
    </xf>
    <xf numFmtId="0" fontId="8" fillId="5" borderId="0" xfId="0" applyFont="1" applyFill="1" applyAlignment="1" applyProtection="1">
      <alignment horizontal="centerContinuous" vertical="center"/>
      <protection hidden="1"/>
    </xf>
    <xf numFmtId="0" fontId="23" fillId="32" borderId="0" xfId="0" applyFont="1" applyFill="1" applyAlignment="1" applyProtection="1">
      <alignment horizontal="centerContinuous" vertical="center"/>
      <protection hidden="1"/>
    </xf>
    <xf numFmtId="0" fontId="17" fillId="32" borderId="0" xfId="0" applyFont="1" applyFill="1" applyAlignment="1" applyProtection="1">
      <alignment horizontal="centerContinuous" vertical="center"/>
      <protection hidden="1"/>
    </xf>
    <xf numFmtId="0" fontId="33" fillId="5" borderId="18" xfId="0" applyFont="1" applyFill="1" applyBorder="1" applyAlignment="1" applyProtection="1">
      <alignment horizontal="left" vertical="center" indent="1"/>
      <protection hidden="1"/>
    </xf>
    <xf numFmtId="0" fontId="33" fillId="5" borderId="0" xfId="0" applyFont="1" applyFill="1" applyAlignment="1" applyProtection="1">
      <alignment horizontal="left" vertical="center" indent="1"/>
      <protection hidden="1"/>
    </xf>
    <xf numFmtId="0" fontId="33" fillId="5" borderId="23" xfId="0" applyFont="1" applyFill="1" applyBorder="1" applyAlignment="1" applyProtection="1">
      <alignment horizontal="left" vertical="center" indent="1"/>
      <protection hidden="1"/>
    </xf>
    <xf numFmtId="225" fontId="128" fillId="5" borderId="371" xfId="0" applyNumberFormat="1" applyFont="1" applyFill="1" applyBorder="1" applyAlignment="1" applyProtection="1">
      <alignment vertical="center"/>
      <protection hidden="1"/>
    </xf>
    <xf numFmtId="225" fontId="128" fillId="5" borderId="0" xfId="0" applyNumberFormat="1" applyFont="1" applyFill="1" applyAlignment="1" applyProtection="1">
      <alignment vertical="center"/>
      <protection hidden="1"/>
    </xf>
    <xf numFmtId="225" fontId="128" fillId="5" borderId="372" xfId="0" applyNumberFormat="1" applyFont="1" applyFill="1" applyBorder="1" applyAlignment="1" applyProtection="1">
      <alignment vertical="center"/>
      <protection hidden="1"/>
    </xf>
    <xf numFmtId="0" fontId="32" fillId="4" borderId="428" xfId="0" applyFont="1" applyFill="1" applyBorder="1" applyAlignment="1" applyProtection="1">
      <alignment vertical="center"/>
      <protection hidden="1"/>
    </xf>
    <xf numFmtId="0" fontId="32" fillId="4" borderId="429" xfId="0" applyFont="1" applyFill="1" applyBorder="1" applyAlignment="1" applyProtection="1">
      <alignment vertical="center"/>
      <protection hidden="1"/>
    </xf>
    <xf numFmtId="0" fontId="31" fillId="3" borderId="0" xfId="0" applyFont="1" applyFill="1" applyAlignment="1" applyProtection="1">
      <alignment horizontal="centerContinuous" vertical="center"/>
      <protection hidden="1"/>
    </xf>
    <xf numFmtId="0" fontId="122" fillId="3" borderId="247" xfId="0" applyFont="1" applyFill="1" applyBorder="1" applyAlignment="1" applyProtection="1">
      <alignment horizontal="center" vertical="center"/>
      <protection hidden="1"/>
    </xf>
    <xf numFmtId="0" fontId="122" fillId="3" borderId="250" xfId="0" applyFont="1" applyFill="1" applyBorder="1" applyAlignment="1" applyProtection="1">
      <alignment horizontal="center" vertical="center"/>
      <protection hidden="1"/>
    </xf>
    <xf numFmtId="0" fontId="0" fillId="4" borderId="0" xfId="0" applyFill="1" applyAlignment="1" applyProtection="1">
      <alignment horizontal="right"/>
      <protection hidden="1"/>
    </xf>
    <xf numFmtId="0" fontId="33" fillId="4" borderId="0" xfId="0" applyFont="1" applyFill="1" applyAlignment="1" applyProtection="1">
      <alignment horizontal="right" vertical="center"/>
      <protection hidden="1"/>
    </xf>
    <xf numFmtId="0" fontId="33" fillId="4" borderId="0" xfId="0" applyFont="1" applyFill="1" applyAlignment="1" applyProtection="1">
      <alignment horizontal="right"/>
      <protection hidden="1"/>
    </xf>
    <xf numFmtId="177" fontId="32" fillId="4" borderId="0" xfId="0" applyNumberFormat="1" applyFont="1" applyFill="1" applyAlignment="1" applyProtection="1">
      <alignment horizontal="right" vertical="center"/>
      <protection hidden="1"/>
    </xf>
    <xf numFmtId="0" fontId="33" fillId="4" borderId="6" xfId="0" applyFont="1" applyFill="1" applyBorder="1" applyAlignment="1" applyProtection="1">
      <alignment horizontal="right" vertical="center"/>
      <protection hidden="1"/>
    </xf>
    <xf numFmtId="172" fontId="33" fillId="4" borderId="0" xfId="1" applyNumberFormat="1" applyFont="1" applyFill="1" applyAlignment="1" applyProtection="1">
      <alignment horizontal="right"/>
      <protection hidden="1"/>
    </xf>
    <xf numFmtId="171" fontId="32" fillId="4" borderId="0" xfId="2" applyNumberFormat="1" applyFont="1" applyFill="1" applyAlignment="1" applyProtection="1">
      <alignment horizontal="right" vertical="center"/>
      <protection hidden="1"/>
    </xf>
    <xf numFmtId="0" fontId="32" fillId="15" borderId="436" xfId="0" applyFont="1" applyFill="1" applyBorder="1" applyAlignment="1" applyProtection="1">
      <alignment horizontal="left" vertical="center" indent="1"/>
      <protection hidden="1"/>
    </xf>
    <xf numFmtId="0" fontId="32" fillId="15" borderId="437" xfId="0" applyFont="1" applyFill="1" applyBorder="1" applyAlignment="1" applyProtection="1">
      <alignment horizontal="left" vertical="center" indent="1"/>
      <protection hidden="1"/>
    </xf>
    <xf numFmtId="0" fontId="32" fillId="15" borderId="437" xfId="0" applyFont="1" applyFill="1" applyBorder="1" applyAlignment="1" applyProtection="1">
      <alignment horizontal="center" vertical="center"/>
      <protection hidden="1"/>
    </xf>
    <xf numFmtId="0" fontId="8" fillId="15" borderId="437" xfId="0" applyFont="1" applyFill="1" applyBorder="1" applyAlignment="1" applyProtection="1">
      <alignment vertical="center"/>
      <protection hidden="1"/>
    </xf>
    <xf numFmtId="0" fontId="44" fillId="15" borderId="437" xfId="0" applyFont="1" applyFill="1" applyBorder="1" applyAlignment="1" applyProtection="1">
      <alignment vertical="center"/>
      <protection hidden="1"/>
    </xf>
    <xf numFmtId="175" fontId="8" fillId="15" borderId="437" xfId="0" applyNumberFormat="1" applyFont="1" applyFill="1" applyBorder="1" applyAlignment="1" applyProtection="1">
      <alignment horizontal="center" vertical="center"/>
      <protection hidden="1"/>
    </xf>
    <xf numFmtId="0" fontId="32" fillId="15" borderId="439" xfId="0" applyFont="1" applyFill="1" applyBorder="1" applyAlignment="1" applyProtection="1">
      <alignment horizontal="left" vertical="center" indent="1"/>
      <protection hidden="1"/>
    </xf>
    <xf numFmtId="0" fontId="32" fillId="15" borderId="440" xfId="0" applyFont="1" applyFill="1" applyBorder="1" applyAlignment="1" applyProtection="1">
      <alignment horizontal="left" vertical="center" indent="1"/>
      <protection hidden="1"/>
    </xf>
    <xf numFmtId="0" fontId="32" fillId="15" borderId="440" xfId="0" applyFont="1" applyFill="1" applyBorder="1" applyAlignment="1" applyProtection="1">
      <alignment horizontal="center" vertical="center"/>
      <protection hidden="1"/>
    </xf>
    <xf numFmtId="0" fontId="8" fillId="15" borderId="440" xfId="0" applyFont="1" applyFill="1" applyBorder="1" applyAlignment="1" applyProtection="1">
      <alignment vertical="center"/>
      <protection hidden="1"/>
    </xf>
    <xf numFmtId="0" fontId="44" fillId="15" borderId="440" xfId="0" applyFont="1" applyFill="1" applyBorder="1" applyAlignment="1" applyProtection="1">
      <alignment vertical="center"/>
      <protection hidden="1"/>
    </xf>
    <xf numFmtId="175" fontId="8" fillId="15" borderId="440" xfId="0" applyNumberFormat="1" applyFont="1" applyFill="1" applyBorder="1" applyAlignment="1" applyProtection="1">
      <alignment horizontal="center" vertical="center"/>
      <protection hidden="1"/>
    </xf>
    <xf numFmtId="0" fontId="8" fillId="15" borderId="442" xfId="0" applyFont="1" applyFill="1" applyBorder="1" applyAlignment="1" applyProtection="1">
      <alignment horizontal="left" vertical="center" indent="1"/>
      <protection hidden="1"/>
    </xf>
    <xf numFmtId="0" fontId="8" fillId="15" borderId="443" xfId="0" applyFont="1" applyFill="1" applyBorder="1" applyAlignment="1" applyProtection="1">
      <alignment horizontal="left" vertical="center" indent="1"/>
      <protection hidden="1"/>
    </xf>
    <xf numFmtId="0" fontId="5" fillId="15" borderId="443" xfId="0" applyFont="1" applyFill="1" applyBorder="1" applyAlignment="1" applyProtection="1">
      <alignment horizontal="center" vertical="center"/>
      <protection hidden="1"/>
    </xf>
    <xf numFmtId="0" fontId="8" fillId="15" borderId="443" xfId="0" applyFont="1" applyFill="1" applyBorder="1" applyAlignment="1" applyProtection="1">
      <alignment horizontal="right" vertical="center"/>
      <protection hidden="1"/>
    </xf>
    <xf numFmtId="175" fontId="8" fillId="15" borderId="443" xfId="0" applyNumberFormat="1" applyFont="1" applyFill="1" applyBorder="1" applyAlignment="1" applyProtection="1">
      <alignment horizontal="center" vertical="center"/>
      <protection hidden="1"/>
    </xf>
    <xf numFmtId="175" fontId="8" fillId="15" borderId="443" xfId="0" applyNumberFormat="1" applyFont="1" applyFill="1" applyBorder="1" applyAlignment="1" applyProtection="1">
      <alignment horizontal="left" vertical="center" indent="1"/>
      <protection hidden="1"/>
    </xf>
    <xf numFmtId="175" fontId="8" fillId="15" borderId="443" xfId="0" applyNumberFormat="1" applyFont="1" applyFill="1" applyBorder="1" applyAlignment="1" applyProtection="1">
      <alignment horizontal="left" vertical="center"/>
      <protection hidden="1"/>
    </xf>
    <xf numFmtId="175" fontId="8" fillId="15" borderId="443" xfId="0" applyNumberFormat="1" applyFont="1" applyFill="1" applyBorder="1" applyAlignment="1" applyProtection="1">
      <alignment horizontal="right" vertical="center"/>
      <protection hidden="1"/>
    </xf>
    <xf numFmtId="168" fontId="8" fillId="15" borderId="443" xfId="1" applyNumberFormat="1" applyFont="1" applyFill="1" applyBorder="1" applyAlignment="1" applyProtection="1">
      <alignment horizontal="center" vertical="center"/>
      <protection hidden="1"/>
    </xf>
    <xf numFmtId="0" fontId="8" fillId="15" borderId="443" xfId="0" applyFont="1" applyFill="1" applyBorder="1" applyAlignment="1" applyProtection="1">
      <alignment vertical="center"/>
      <protection hidden="1"/>
    </xf>
    <xf numFmtId="0" fontId="8" fillId="15" borderId="443" xfId="0" applyFont="1" applyFill="1" applyBorder="1" applyAlignment="1" applyProtection="1">
      <alignment horizontal="right" vertical="center" indent="1"/>
      <protection hidden="1"/>
    </xf>
    <xf numFmtId="0" fontId="8" fillId="15" borderId="445" xfId="0" applyFont="1" applyFill="1" applyBorder="1" applyAlignment="1" applyProtection="1">
      <alignment horizontal="left" vertical="center" indent="1"/>
      <protection hidden="1"/>
    </xf>
    <xf numFmtId="0" fontId="8" fillId="15" borderId="446" xfId="0" applyFont="1" applyFill="1" applyBorder="1" applyAlignment="1" applyProtection="1">
      <alignment horizontal="left" vertical="center" indent="1"/>
      <protection hidden="1"/>
    </xf>
    <xf numFmtId="0" fontId="5" fillId="15" borderId="446" xfId="0" applyFont="1" applyFill="1" applyBorder="1" applyAlignment="1" applyProtection="1">
      <alignment horizontal="center" vertical="center"/>
      <protection hidden="1"/>
    </xf>
    <xf numFmtId="0" fontId="8" fillId="15" borderId="446" xfId="0" applyFont="1" applyFill="1" applyBorder="1" applyAlignment="1" applyProtection="1">
      <alignment horizontal="right" vertical="center"/>
      <protection hidden="1"/>
    </xf>
    <xf numFmtId="175" fontId="8" fillId="15" borderId="446" xfId="0" applyNumberFormat="1" applyFont="1" applyFill="1" applyBorder="1" applyAlignment="1" applyProtection="1">
      <alignment horizontal="left" vertical="center" indent="1"/>
      <protection hidden="1"/>
    </xf>
    <xf numFmtId="175" fontId="8" fillId="15" borderId="446" xfId="0" applyNumberFormat="1" applyFont="1" applyFill="1" applyBorder="1" applyAlignment="1" applyProtection="1">
      <alignment horizontal="left" vertical="center"/>
      <protection hidden="1"/>
    </xf>
    <xf numFmtId="175" fontId="8" fillId="15" borderId="446" xfId="0" applyNumberFormat="1" applyFont="1" applyFill="1" applyBorder="1" applyAlignment="1" applyProtection="1">
      <alignment horizontal="right" vertical="center"/>
      <protection hidden="1"/>
    </xf>
    <xf numFmtId="169" fontId="8" fillId="15" borderId="446" xfId="1" applyNumberFormat="1" applyFont="1" applyFill="1" applyBorder="1" applyAlignment="1" applyProtection="1">
      <alignment horizontal="center" vertical="center"/>
      <protection hidden="1"/>
    </xf>
    <xf numFmtId="206" fontId="8" fillId="15" borderId="446" xfId="0" applyNumberFormat="1" applyFont="1" applyFill="1" applyBorder="1" applyAlignment="1" applyProtection="1">
      <alignment horizontal="center" vertical="center"/>
      <protection hidden="1"/>
    </xf>
    <xf numFmtId="0" fontId="8" fillId="15" borderId="446" xfId="0" applyFont="1" applyFill="1" applyBorder="1" applyAlignment="1" applyProtection="1">
      <alignment vertical="center"/>
      <protection hidden="1"/>
    </xf>
    <xf numFmtId="0" fontId="8" fillId="15" borderId="446" xfId="0" applyFont="1" applyFill="1" applyBorder="1" applyAlignment="1" applyProtection="1">
      <alignment horizontal="right" vertical="center" indent="1"/>
      <protection hidden="1"/>
    </xf>
    <xf numFmtId="206" fontId="8" fillId="15" borderId="446" xfId="0" applyNumberFormat="1" applyFont="1" applyFill="1" applyBorder="1" applyAlignment="1" applyProtection="1">
      <alignment horizontal="left" vertical="center"/>
      <protection hidden="1"/>
    </xf>
    <xf numFmtId="0" fontId="63" fillId="35" borderId="246" xfId="0" applyFont="1" applyFill="1" applyBorder="1" applyAlignment="1" applyProtection="1">
      <alignment horizontal="left" vertical="center" indent="22"/>
      <protection hidden="1"/>
    </xf>
    <xf numFmtId="0" fontId="63" fillId="35" borderId="247" xfId="0" applyFont="1" applyFill="1" applyBorder="1" applyAlignment="1" applyProtection="1">
      <alignment horizontal="left" vertical="center" indent="22"/>
      <protection hidden="1"/>
    </xf>
    <xf numFmtId="0" fontId="63" fillId="35" borderId="247" xfId="0" applyFont="1" applyFill="1" applyBorder="1" applyAlignment="1" applyProtection="1">
      <alignment horizontal="centerContinuous" vertical="center"/>
      <protection hidden="1"/>
    </xf>
    <xf numFmtId="0" fontId="63" fillId="35" borderId="246" xfId="0" applyFont="1" applyFill="1" applyBorder="1" applyAlignment="1" applyProtection="1">
      <alignment horizontal="left" vertical="center" indent="18"/>
      <protection hidden="1"/>
    </xf>
    <xf numFmtId="0" fontId="63" fillId="35" borderId="247" xfId="0" applyFont="1" applyFill="1" applyBorder="1" applyAlignment="1" applyProtection="1">
      <alignment horizontal="left" vertical="center" indent="18"/>
      <protection hidden="1"/>
    </xf>
    <xf numFmtId="0" fontId="63" fillId="35" borderId="246" xfId="0" applyFont="1" applyFill="1" applyBorder="1" applyAlignment="1" applyProtection="1">
      <alignment horizontal="left" vertical="center" indent="16"/>
      <protection hidden="1"/>
    </xf>
    <xf numFmtId="0" fontId="63" fillId="35" borderId="247" xfId="0" applyFont="1" applyFill="1" applyBorder="1" applyAlignment="1" applyProtection="1">
      <alignment horizontal="left" vertical="center" indent="16"/>
      <protection hidden="1"/>
    </xf>
    <xf numFmtId="0" fontId="63" fillId="35" borderId="246" xfId="0" applyFont="1" applyFill="1" applyBorder="1" applyAlignment="1" applyProtection="1">
      <alignment horizontal="left" vertical="center" indent="19"/>
      <protection hidden="1"/>
    </xf>
    <xf numFmtId="0" fontId="63" fillId="35" borderId="247" xfId="0" applyFont="1" applyFill="1" applyBorder="1" applyAlignment="1" applyProtection="1">
      <alignment horizontal="left" vertical="center" indent="19"/>
      <protection hidden="1"/>
    </xf>
    <xf numFmtId="0" fontId="108" fillId="4" borderId="0" xfId="0" applyFont="1" applyFill="1" applyAlignment="1" applyProtection="1">
      <alignment vertical="center"/>
      <protection hidden="1"/>
    </xf>
    <xf numFmtId="14" fontId="48" fillId="4" borderId="0" xfId="0" applyNumberFormat="1" applyFont="1" applyFill="1" applyProtection="1">
      <protection hidden="1"/>
    </xf>
    <xf numFmtId="0" fontId="48" fillId="4" borderId="0" xfId="0" applyFont="1" applyFill="1" applyAlignment="1" applyProtection="1">
      <alignment vertical="center"/>
      <protection hidden="1"/>
    </xf>
    <xf numFmtId="0" fontId="141" fillId="35" borderId="0" xfId="0" applyFont="1" applyFill="1" applyAlignment="1" applyProtection="1">
      <alignment horizontal="centerContinuous" vertical="center"/>
      <protection hidden="1"/>
    </xf>
    <xf numFmtId="0" fontId="75" fillId="35" borderId="448" xfId="0" applyFont="1" applyFill="1" applyBorder="1" applyAlignment="1" applyProtection="1">
      <alignment horizontal="centerContinuous" vertical="center"/>
      <protection hidden="1"/>
    </xf>
    <xf numFmtId="0" fontId="75" fillId="35" borderId="247" xfId="0" applyFont="1" applyFill="1" applyBorder="1" applyAlignment="1" applyProtection="1">
      <alignment horizontal="centerContinuous" vertical="center"/>
      <protection hidden="1"/>
    </xf>
    <xf numFmtId="0" fontId="75" fillId="35" borderId="248" xfId="0" applyFont="1" applyFill="1" applyBorder="1" applyAlignment="1" applyProtection="1">
      <alignment horizontal="centerContinuous" vertical="center"/>
      <protection hidden="1"/>
    </xf>
    <xf numFmtId="0" fontId="19" fillId="4" borderId="0" xfId="0" applyFont="1" applyFill="1" applyProtection="1">
      <protection hidden="1"/>
    </xf>
    <xf numFmtId="0" fontId="63" fillId="4" borderId="0" xfId="0" applyFont="1" applyFill="1" applyAlignment="1" applyProtection="1">
      <alignment horizontal="centerContinuous" vertical="center"/>
      <protection hidden="1"/>
    </xf>
    <xf numFmtId="0" fontId="106" fillId="0" borderId="0" xfId="0" applyFont="1" applyProtection="1">
      <protection hidden="1"/>
    </xf>
    <xf numFmtId="0" fontId="142" fillId="0" borderId="0" xfId="4" applyFont="1" applyAlignment="1" applyProtection="1">
      <alignment vertical="center"/>
      <protection hidden="1"/>
    </xf>
    <xf numFmtId="0" fontId="143" fillId="0" borderId="0" xfId="0" applyFont="1" applyAlignment="1" applyProtection="1">
      <alignment vertical="center"/>
      <protection hidden="1"/>
    </xf>
    <xf numFmtId="200" fontId="143" fillId="0" borderId="0" xfId="0" applyNumberFormat="1" applyFont="1" applyAlignment="1" applyProtection="1">
      <alignment horizontal="left" vertical="center"/>
      <protection hidden="1"/>
    </xf>
    <xf numFmtId="0" fontId="142" fillId="0" borderId="0" xfId="4" applyFont="1" applyProtection="1">
      <protection hidden="1"/>
    </xf>
    <xf numFmtId="0" fontId="144" fillId="0" borderId="45" xfId="0" applyFont="1" applyBorder="1" applyProtection="1">
      <protection hidden="1"/>
    </xf>
    <xf numFmtId="0" fontId="106" fillId="0" borderId="0" xfId="0" applyFont="1" applyAlignment="1" applyProtection="1">
      <alignment horizontal="justify" vertical="center" wrapText="1"/>
      <protection hidden="1"/>
    </xf>
    <xf numFmtId="0" fontId="106" fillId="0" borderId="0" xfId="0" applyFont="1" applyAlignment="1" applyProtection="1">
      <alignment vertical="center"/>
      <protection hidden="1"/>
    </xf>
    <xf numFmtId="0" fontId="144" fillId="0" borderId="0" xfId="0" applyFont="1" applyAlignment="1" applyProtection="1">
      <alignment vertical="center"/>
      <protection hidden="1"/>
    </xf>
    <xf numFmtId="0" fontId="106" fillId="0" borderId="0" xfId="0" applyFont="1" applyAlignment="1" applyProtection="1">
      <alignment horizontal="left" vertical="center" wrapText="1"/>
      <protection hidden="1"/>
    </xf>
    <xf numFmtId="0" fontId="106" fillId="0" borderId="0" xfId="0" applyFont="1" applyAlignment="1" applyProtection="1">
      <alignment horizontal="left" vertical="center" indent="1"/>
      <protection hidden="1"/>
    </xf>
    <xf numFmtId="0" fontId="106" fillId="0" borderId="0" xfId="0" applyFont="1" applyAlignment="1" applyProtection="1">
      <alignment vertical="center" wrapText="1"/>
      <protection hidden="1"/>
    </xf>
    <xf numFmtId="0" fontId="145" fillId="0" borderId="0" xfId="0" applyFont="1" applyAlignment="1" applyProtection="1">
      <alignment vertical="center"/>
      <protection hidden="1"/>
    </xf>
    <xf numFmtId="0" fontId="106" fillId="0" borderId="0" xfId="0" applyFont="1" applyAlignment="1" applyProtection="1">
      <alignment horizontal="justify" vertical="center"/>
      <protection hidden="1"/>
    </xf>
    <xf numFmtId="0" fontId="146" fillId="0" borderId="0" xfId="0" applyFont="1" applyAlignment="1" applyProtection="1">
      <alignment vertical="center"/>
      <protection hidden="1"/>
    </xf>
    <xf numFmtId="0" fontId="147" fillId="0" borderId="0" xfId="0" applyFont="1" applyAlignment="1" applyProtection="1">
      <alignment vertical="center"/>
      <protection hidden="1"/>
    </xf>
    <xf numFmtId="0" fontId="143" fillId="0" borderId="0" xfId="0" applyFont="1" applyAlignment="1" applyProtection="1">
      <alignment horizontal="left" vertical="center"/>
      <protection hidden="1"/>
    </xf>
    <xf numFmtId="0" fontId="94" fillId="35" borderId="0" xfId="0" applyFont="1" applyFill="1" applyAlignment="1" applyProtection="1">
      <alignment vertical="center"/>
      <protection hidden="1"/>
    </xf>
    <xf numFmtId="0" fontId="94" fillId="35" borderId="0" xfId="0" applyFont="1" applyFill="1" applyProtection="1">
      <protection hidden="1"/>
    </xf>
    <xf numFmtId="0" fontId="17" fillId="0" borderId="0" xfId="0" applyFont="1" applyAlignment="1" applyProtection="1">
      <alignment horizontal="justify" vertical="center"/>
      <protection hidden="1"/>
    </xf>
    <xf numFmtId="0" fontId="144" fillId="0" borderId="266" xfId="0" applyFont="1" applyBorder="1" applyProtection="1">
      <protection hidden="1"/>
    </xf>
    <xf numFmtId="0" fontId="106" fillId="0" borderId="0" xfId="0" applyFont="1" applyAlignment="1" applyProtection="1">
      <alignment horizontal="justify" vertical="justify" wrapText="1"/>
      <protection hidden="1"/>
    </xf>
    <xf numFmtId="0" fontId="144" fillId="0" borderId="0" xfId="0" applyFont="1" applyProtection="1">
      <protection hidden="1"/>
    </xf>
    <xf numFmtId="0" fontId="94" fillId="35" borderId="0" xfId="0" applyFont="1" applyFill="1" applyAlignment="1" applyProtection="1">
      <alignment horizontal="centerContinuous" vertical="center" wrapText="1"/>
      <protection hidden="1"/>
    </xf>
    <xf numFmtId="0" fontId="94" fillId="35" borderId="0" xfId="0" applyFont="1" applyFill="1" applyAlignment="1" applyProtection="1">
      <alignment horizontal="centerContinuous"/>
      <protection hidden="1"/>
    </xf>
    <xf numFmtId="0" fontId="94" fillId="3" borderId="0" xfId="0" applyFont="1" applyFill="1" applyProtection="1">
      <protection hidden="1"/>
    </xf>
    <xf numFmtId="0" fontId="11" fillId="0" borderId="0" xfId="0" applyFont="1" applyProtection="1">
      <protection hidden="1"/>
    </xf>
    <xf numFmtId="0" fontId="5" fillId="5" borderId="201" xfId="0" applyFont="1" applyFill="1" applyBorder="1" applyAlignment="1" applyProtection="1">
      <alignment horizontal="centerContinuous" vertical="center"/>
      <protection hidden="1"/>
    </xf>
    <xf numFmtId="0" fontId="5" fillId="5" borderId="200" xfId="0" applyFont="1" applyFill="1" applyBorder="1" applyAlignment="1" applyProtection="1">
      <alignment horizontal="centerContinuous" vertical="center"/>
      <protection hidden="1"/>
    </xf>
    <xf numFmtId="0" fontId="148" fillId="4" borderId="0" xfId="0" applyFont="1" applyFill="1" applyProtection="1">
      <protection hidden="1"/>
    </xf>
    <xf numFmtId="0" fontId="5" fillId="5" borderId="201" xfId="0" applyFont="1" applyFill="1" applyBorder="1" applyAlignment="1" applyProtection="1">
      <alignment horizontal="left" vertical="center"/>
      <protection hidden="1"/>
    </xf>
    <xf numFmtId="0" fontId="55" fillId="5" borderId="264" xfId="0" applyFont="1" applyFill="1" applyBorder="1" applyAlignment="1" applyProtection="1">
      <alignment horizontal="left"/>
      <protection hidden="1"/>
    </xf>
    <xf numFmtId="0" fontId="55" fillId="5" borderId="265" xfId="0" applyFont="1" applyFill="1" applyBorder="1" applyAlignment="1" applyProtection="1">
      <alignment horizontal="left"/>
      <protection hidden="1"/>
    </xf>
    <xf numFmtId="0" fontId="18" fillId="35" borderId="0" xfId="2" applyFont="1" applyFill="1" applyAlignment="1" applyProtection="1">
      <alignment horizontal="center" vertical="center"/>
      <protection hidden="1"/>
    </xf>
    <xf numFmtId="0" fontId="55" fillId="4" borderId="0" xfId="0" quotePrefix="1" applyFont="1" applyFill="1" applyAlignment="1" applyProtection="1">
      <alignment horizontal="right" vertical="center"/>
      <protection hidden="1"/>
    </xf>
    <xf numFmtId="168" fontId="8" fillId="4" borderId="0" xfId="0" applyNumberFormat="1" applyFont="1" applyFill="1" applyAlignment="1" applyProtection="1">
      <alignment horizontal="center" vertical="center"/>
      <protection hidden="1"/>
    </xf>
    <xf numFmtId="0" fontId="4" fillId="35" borderId="454" xfId="0" applyFont="1" applyFill="1" applyBorder="1" applyAlignment="1" applyProtection="1">
      <alignment horizontal="centerContinuous" vertical="center"/>
      <protection hidden="1"/>
    </xf>
    <xf numFmtId="0" fontId="4" fillId="35" borderId="455" xfId="0" applyFont="1" applyFill="1" applyBorder="1" applyAlignment="1" applyProtection="1">
      <alignment horizontal="centerContinuous" vertical="center"/>
      <protection hidden="1"/>
    </xf>
    <xf numFmtId="215" fontId="8" fillId="4" borderId="0" xfId="0" applyNumberFormat="1" applyFont="1" applyFill="1" applyAlignment="1" applyProtection="1">
      <alignment vertical="center"/>
      <protection hidden="1"/>
    </xf>
    <xf numFmtId="215" fontId="8" fillId="4" borderId="72" xfId="0" applyNumberFormat="1" applyFont="1" applyFill="1" applyBorder="1" applyAlignment="1" applyProtection="1">
      <alignment vertical="center"/>
      <protection hidden="1"/>
    </xf>
    <xf numFmtId="0" fontId="88" fillId="40" borderId="0" xfId="0" applyFont="1" applyFill="1" applyProtection="1">
      <protection hidden="1"/>
    </xf>
    <xf numFmtId="0" fontId="88" fillId="5" borderId="0" xfId="0" applyFont="1" applyFill="1" applyAlignment="1" applyProtection="1">
      <alignment vertical="center"/>
      <protection hidden="1"/>
    </xf>
    <xf numFmtId="0" fontId="69" fillId="3" borderId="0" xfId="0" applyFont="1" applyFill="1" applyAlignment="1" applyProtection="1">
      <alignment vertical="center"/>
      <protection hidden="1"/>
    </xf>
    <xf numFmtId="0" fontId="69" fillId="3" borderId="0" xfId="0" applyFont="1" applyFill="1" applyAlignment="1" applyProtection="1">
      <alignment horizontal="right" vertical="center"/>
      <protection hidden="1"/>
    </xf>
    <xf numFmtId="0" fontId="116" fillId="3" borderId="0" xfId="0" applyFont="1" applyFill="1" applyAlignment="1" applyProtection="1">
      <alignment vertical="center"/>
      <protection hidden="1"/>
    </xf>
    <xf numFmtId="0" fontId="149" fillId="3" borderId="0" xfId="0" applyFont="1" applyFill="1" applyAlignment="1" applyProtection="1">
      <alignment vertical="center"/>
      <protection hidden="1"/>
    </xf>
    <xf numFmtId="0" fontId="18" fillId="4" borderId="0" xfId="2" applyFont="1" applyFill="1" applyAlignment="1" applyProtection="1">
      <alignment horizontal="center" vertical="center"/>
      <protection hidden="1"/>
    </xf>
    <xf numFmtId="212" fontId="10" fillId="3" borderId="0" xfId="0" applyNumberFormat="1" applyFont="1" applyFill="1" applyAlignment="1" applyProtection="1">
      <alignment vertical="center"/>
      <protection hidden="1"/>
    </xf>
    <xf numFmtId="0" fontId="19" fillId="0" borderId="0" xfId="0" applyFont="1" applyAlignment="1" applyProtection="1">
      <alignment horizontal="center" vertical="center"/>
      <protection hidden="1"/>
    </xf>
    <xf numFmtId="14" fontId="18" fillId="0" borderId="0" xfId="0" applyNumberFormat="1" applyFont="1" applyAlignment="1" applyProtection="1">
      <alignment horizontal="center" vertical="center"/>
      <protection hidden="1"/>
    </xf>
    <xf numFmtId="0" fontId="150" fillId="0" borderId="0" xfId="0" applyFont="1" applyAlignment="1" applyProtection="1">
      <alignment vertical="center"/>
      <protection hidden="1"/>
    </xf>
    <xf numFmtId="172" fontId="18" fillId="0" borderId="0" xfId="1" applyNumberFormat="1" applyFont="1" applyFill="1" applyBorder="1" applyAlignment="1" applyProtection="1">
      <alignment horizontal="center" vertical="center"/>
      <protection hidden="1"/>
    </xf>
    <xf numFmtId="0" fontId="151" fillId="0" borderId="0" xfId="0" applyFont="1" applyAlignment="1" applyProtection="1">
      <alignment vertical="center"/>
      <protection hidden="1"/>
    </xf>
    <xf numFmtId="0" fontId="18" fillId="0" borderId="0" xfId="0" applyFont="1" applyAlignment="1" applyProtection="1">
      <alignment vertical="center"/>
      <protection hidden="1"/>
    </xf>
    <xf numFmtId="219" fontId="21" fillId="4" borderId="456" xfId="0" applyNumberFormat="1" applyFont="1" applyFill="1" applyBorder="1" applyAlignment="1" applyProtection="1">
      <alignment horizontal="center" vertical="center"/>
      <protection hidden="1"/>
    </xf>
    <xf numFmtId="14" fontId="21" fillId="4" borderId="457" xfId="0" applyNumberFormat="1" applyFont="1" applyFill="1" applyBorder="1" applyAlignment="1" applyProtection="1">
      <alignment horizontal="center" vertical="center"/>
      <protection hidden="1"/>
    </xf>
    <xf numFmtId="176" fontId="8" fillId="0" borderId="458" xfId="0" applyNumberFormat="1" applyFont="1" applyBorder="1" applyAlignment="1" applyProtection="1">
      <alignment horizontal="center" vertical="center"/>
      <protection hidden="1"/>
    </xf>
    <xf numFmtId="226" fontId="8" fillId="0" borderId="459" xfId="0" applyNumberFormat="1" applyFont="1" applyBorder="1" applyAlignment="1" applyProtection="1">
      <alignment horizontal="center" vertical="center"/>
      <protection hidden="1"/>
    </xf>
    <xf numFmtId="168" fontId="117" fillId="4" borderId="456" xfId="1" applyNumberFormat="1" applyFont="1" applyFill="1" applyBorder="1" applyAlignment="1" applyProtection="1">
      <alignment horizontal="center" vertical="center"/>
      <protection hidden="1"/>
    </xf>
    <xf numFmtId="227" fontId="117" fillId="4" borderId="457" xfId="1" applyNumberFormat="1" applyFont="1" applyFill="1" applyBorder="1" applyAlignment="1" applyProtection="1">
      <alignment horizontal="center" vertical="center"/>
      <protection hidden="1"/>
    </xf>
    <xf numFmtId="176" fontId="117" fillId="4" borderId="456" xfId="0" applyNumberFormat="1" applyFont="1" applyFill="1" applyBorder="1" applyAlignment="1" applyProtection="1">
      <alignment horizontal="center" vertical="center"/>
      <protection hidden="1"/>
    </xf>
    <xf numFmtId="176" fontId="117" fillId="4" borderId="457" xfId="0" applyNumberFormat="1" applyFont="1" applyFill="1" applyBorder="1" applyAlignment="1" applyProtection="1">
      <alignment horizontal="center" vertical="center"/>
      <protection hidden="1"/>
    </xf>
    <xf numFmtId="176" fontId="5" fillId="5" borderId="460" xfId="0" applyNumberFormat="1" applyFont="1" applyFill="1" applyBorder="1" applyAlignment="1" applyProtection="1">
      <alignment horizontal="center" vertical="center"/>
      <protection hidden="1"/>
    </xf>
    <xf numFmtId="226" fontId="5" fillId="5" borderId="459" xfId="0" applyNumberFormat="1" applyFont="1" applyFill="1" applyBorder="1" applyAlignment="1" applyProtection="1">
      <alignment horizontal="center" vertical="center"/>
      <protection hidden="1"/>
    </xf>
    <xf numFmtId="226" fontId="5" fillId="0" borderId="459" xfId="0" applyNumberFormat="1" applyFont="1" applyBorder="1" applyAlignment="1" applyProtection="1">
      <alignment horizontal="center" vertical="center"/>
      <protection hidden="1"/>
    </xf>
    <xf numFmtId="176" fontId="5" fillId="7" borderId="456" xfId="0" applyNumberFormat="1" applyFont="1" applyFill="1" applyBorder="1" applyAlignment="1" applyProtection="1">
      <alignment horizontal="center" vertical="center"/>
      <protection hidden="1"/>
    </xf>
    <xf numFmtId="226" fontId="5" fillId="7" borderId="459" xfId="0" applyNumberFormat="1" applyFont="1" applyFill="1" applyBorder="1" applyAlignment="1" applyProtection="1">
      <alignment horizontal="center" vertical="center"/>
      <protection hidden="1"/>
    </xf>
    <xf numFmtId="0" fontId="8" fillId="4" borderId="456" xfId="0" applyFont="1" applyFill="1" applyBorder="1" applyAlignment="1" applyProtection="1">
      <alignment horizontal="center" vertical="center"/>
      <protection hidden="1"/>
    </xf>
    <xf numFmtId="222" fontId="8" fillId="4" borderId="457" xfId="0" applyNumberFormat="1" applyFont="1" applyFill="1" applyBorder="1" applyAlignment="1" applyProtection="1">
      <alignment horizontal="center" vertical="center"/>
      <protection hidden="1"/>
    </xf>
    <xf numFmtId="176" fontId="5" fillId="7" borderId="457" xfId="0" applyNumberFormat="1" applyFont="1" applyFill="1" applyBorder="1" applyAlignment="1" applyProtection="1">
      <alignment horizontal="center" vertical="center"/>
      <protection hidden="1"/>
    </xf>
    <xf numFmtId="168" fontId="13" fillId="4" borderId="456" xfId="0" applyNumberFormat="1" applyFont="1" applyFill="1" applyBorder="1" applyAlignment="1" applyProtection="1">
      <alignment horizontal="center" vertical="center"/>
      <protection hidden="1"/>
    </xf>
    <xf numFmtId="168" fontId="13" fillId="4" borderId="457" xfId="0" applyNumberFormat="1" applyFont="1" applyFill="1" applyBorder="1" applyAlignment="1" applyProtection="1">
      <alignment horizontal="center" vertical="center"/>
      <protection hidden="1"/>
    </xf>
    <xf numFmtId="0" fontId="8" fillId="4" borderId="457" xfId="0" applyFont="1" applyFill="1" applyBorder="1" applyAlignment="1" applyProtection="1">
      <alignment horizontal="center" vertical="center"/>
      <protection hidden="1"/>
    </xf>
    <xf numFmtId="176" fontId="5" fillId="5" borderId="461" xfId="0" applyNumberFormat="1" applyFont="1" applyFill="1" applyBorder="1" applyAlignment="1" applyProtection="1">
      <alignment horizontal="center" vertical="center"/>
      <protection hidden="1"/>
    </xf>
    <xf numFmtId="176" fontId="5" fillId="5" borderId="462" xfId="0" applyNumberFormat="1" applyFont="1" applyFill="1" applyBorder="1" applyAlignment="1" applyProtection="1">
      <alignment horizontal="center" vertical="center"/>
      <protection hidden="1"/>
    </xf>
    <xf numFmtId="168" fontId="21" fillId="5" borderId="463" xfId="1" applyNumberFormat="1" applyFont="1" applyFill="1" applyBorder="1" applyAlignment="1" applyProtection="1">
      <alignment horizontal="center" vertical="center"/>
      <protection hidden="1"/>
    </xf>
    <xf numFmtId="168" fontId="21" fillId="5" borderId="464" xfId="1" applyNumberFormat="1" applyFont="1" applyFill="1" applyBorder="1" applyAlignment="1" applyProtection="1">
      <alignment horizontal="center" vertical="center"/>
      <protection hidden="1"/>
    </xf>
    <xf numFmtId="172" fontId="8" fillId="4" borderId="457" xfId="1" applyNumberFormat="1" applyFont="1" applyFill="1" applyBorder="1" applyAlignment="1" applyProtection="1">
      <alignment horizontal="center" vertical="center"/>
      <protection hidden="1"/>
    </xf>
    <xf numFmtId="176" fontId="5" fillId="5" borderId="465" xfId="0" applyNumberFormat="1" applyFont="1" applyFill="1" applyBorder="1" applyAlignment="1" applyProtection="1">
      <alignment horizontal="center" vertical="center"/>
      <protection hidden="1"/>
    </xf>
    <xf numFmtId="176" fontId="5" fillId="5" borderId="466" xfId="0" applyNumberFormat="1" applyFont="1" applyFill="1" applyBorder="1" applyAlignment="1" applyProtection="1">
      <alignment horizontal="center" vertical="center"/>
      <protection hidden="1"/>
    </xf>
    <xf numFmtId="0" fontId="17" fillId="0" borderId="456" xfId="0" applyFont="1" applyBorder="1" applyAlignment="1" applyProtection="1">
      <alignment horizontal="center" vertical="center"/>
      <protection hidden="1"/>
    </xf>
    <xf numFmtId="0" fontId="17" fillId="0" borderId="457" xfId="0" applyFont="1" applyBorder="1" applyAlignment="1" applyProtection="1">
      <alignment horizontal="center" vertical="center"/>
      <protection hidden="1"/>
    </xf>
    <xf numFmtId="176" fontId="5" fillId="7" borderId="467" xfId="0" applyNumberFormat="1" applyFont="1" applyFill="1" applyBorder="1" applyAlignment="1" applyProtection="1">
      <alignment horizontal="center" vertical="center"/>
      <protection hidden="1"/>
    </xf>
    <xf numFmtId="176" fontId="5" fillId="7" borderId="468" xfId="0" applyNumberFormat="1" applyFont="1" applyFill="1" applyBorder="1" applyAlignment="1" applyProtection="1">
      <alignment horizontal="center" vertical="center"/>
      <protection hidden="1"/>
    </xf>
    <xf numFmtId="176" fontId="5" fillId="5" borderId="469" xfId="0" applyNumberFormat="1" applyFont="1" applyFill="1" applyBorder="1" applyAlignment="1" applyProtection="1">
      <alignment horizontal="center" vertical="center"/>
      <protection hidden="1"/>
    </xf>
    <xf numFmtId="176" fontId="5" fillId="5" borderId="470" xfId="0" applyNumberFormat="1" applyFont="1" applyFill="1" applyBorder="1" applyAlignment="1" applyProtection="1">
      <alignment horizontal="center" vertical="center"/>
      <protection hidden="1"/>
    </xf>
    <xf numFmtId="176" fontId="5" fillId="5" borderId="471" xfId="0" applyNumberFormat="1" applyFont="1" applyFill="1" applyBorder="1" applyAlignment="1" applyProtection="1">
      <alignment horizontal="center" vertical="center"/>
      <protection hidden="1"/>
    </xf>
    <xf numFmtId="14" fontId="152" fillId="5" borderId="0" xfId="0" applyNumberFormat="1" applyFont="1" applyFill="1" applyAlignment="1" applyProtection="1">
      <alignment vertical="center"/>
      <protection hidden="1"/>
    </xf>
    <xf numFmtId="0" fontId="152" fillId="5" borderId="0" xfId="0" applyFont="1" applyFill="1" applyAlignment="1" applyProtection="1">
      <alignment horizontal="center" vertical="center"/>
      <protection hidden="1"/>
    </xf>
    <xf numFmtId="0" fontId="17" fillId="15" borderId="54" xfId="0" applyFont="1" applyFill="1" applyBorder="1" applyAlignment="1" applyProtection="1">
      <alignment vertical="center"/>
      <protection hidden="1"/>
    </xf>
    <xf numFmtId="0" fontId="17" fillId="15" borderId="55" xfId="0" applyFont="1" applyFill="1" applyBorder="1" applyAlignment="1" applyProtection="1">
      <alignment vertical="center"/>
      <protection hidden="1"/>
    </xf>
    <xf numFmtId="0" fontId="17" fillId="15" borderId="57" xfId="0" applyFont="1" applyFill="1" applyBorder="1" applyAlignment="1" applyProtection="1">
      <alignment vertical="center"/>
      <protection hidden="1"/>
    </xf>
    <xf numFmtId="0" fontId="17" fillId="15" borderId="58" xfId="0" applyFont="1" applyFill="1" applyBorder="1" applyAlignment="1" applyProtection="1">
      <alignment vertical="center"/>
      <protection hidden="1"/>
    </xf>
    <xf numFmtId="0" fontId="17" fillId="3" borderId="248" xfId="0" applyFont="1" applyFill="1" applyBorder="1" applyAlignment="1" applyProtection="1">
      <alignment vertical="center"/>
      <protection hidden="1"/>
    </xf>
    <xf numFmtId="0" fontId="17" fillId="3" borderId="245" xfId="0" applyFont="1" applyFill="1" applyBorder="1" applyAlignment="1" applyProtection="1">
      <alignment vertical="center"/>
      <protection hidden="1"/>
    </xf>
    <xf numFmtId="0" fontId="153" fillId="25" borderId="0" xfId="0" applyFont="1" applyFill="1" applyProtection="1">
      <protection hidden="1"/>
    </xf>
    <xf numFmtId="0" fontId="64" fillId="4" borderId="0" xfId="0" applyFont="1" applyFill="1" applyProtection="1">
      <protection hidden="1"/>
    </xf>
    <xf numFmtId="0" fontId="64" fillId="25" borderId="0" xfId="0" applyFont="1" applyFill="1" applyProtection="1">
      <protection hidden="1"/>
    </xf>
    <xf numFmtId="176" fontId="64" fillId="4" borderId="0" xfId="0" applyNumberFormat="1" applyFont="1" applyFill="1" applyAlignment="1" applyProtection="1">
      <alignment horizontal="right" vertical="center"/>
      <protection hidden="1"/>
    </xf>
    <xf numFmtId="0" fontId="25" fillId="0" borderId="0" xfId="0" applyFont="1" applyProtection="1">
      <protection hidden="1"/>
    </xf>
    <xf numFmtId="0" fontId="69" fillId="3" borderId="0" xfId="0" applyFont="1" applyFill="1" applyAlignment="1" applyProtection="1">
      <alignment horizontal="center" vertical="center"/>
      <protection hidden="1"/>
    </xf>
    <xf numFmtId="0" fontId="154" fillId="3" borderId="0" xfId="0" applyFont="1" applyFill="1" applyAlignment="1" applyProtection="1">
      <alignment vertical="center"/>
      <protection hidden="1"/>
    </xf>
    <xf numFmtId="1" fontId="154" fillId="3" borderId="0" xfId="0" applyNumberFormat="1" applyFont="1" applyFill="1" applyAlignment="1" applyProtection="1">
      <alignment horizontal="center" vertical="center"/>
      <protection hidden="1"/>
    </xf>
    <xf numFmtId="171" fontId="5" fillId="5" borderId="0" xfId="2" applyNumberFormat="1" applyFont="1" applyFill="1" applyAlignment="1" applyProtection="1">
      <alignment horizontal="right" vertical="center"/>
      <protection hidden="1"/>
    </xf>
    <xf numFmtId="0" fontId="88" fillId="3" borderId="0" xfId="0" applyFont="1" applyFill="1" applyProtection="1">
      <protection hidden="1"/>
    </xf>
    <xf numFmtId="1" fontId="88" fillId="3" borderId="0" xfId="0" applyNumberFormat="1" applyFont="1" applyFill="1" applyProtection="1">
      <protection hidden="1"/>
    </xf>
    <xf numFmtId="178" fontId="116" fillId="3" borderId="0" xfId="0" applyNumberFormat="1" applyFont="1" applyFill="1" applyAlignment="1" applyProtection="1">
      <alignment horizontal="right"/>
      <protection hidden="1"/>
    </xf>
    <xf numFmtId="0" fontId="18" fillId="4" borderId="242" xfId="0" applyFont="1" applyFill="1" applyBorder="1" applyProtection="1">
      <protection hidden="1"/>
    </xf>
    <xf numFmtId="9" fontId="18" fillId="4" borderId="0" xfId="1" applyFont="1" applyFill="1" applyBorder="1" applyProtection="1">
      <protection hidden="1"/>
    </xf>
    <xf numFmtId="9" fontId="18" fillId="4" borderId="243" xfId="1" applyFont="1" applyFill="1" applyBorder="1" applyProtection="1">
      <protection hidden="1"/>
    </xf>
    <xf numFmtId="173" fontId="18" fillId="4" borderId="0" xfId="0" applyNumberFormat="1" applyFont="1" applyFill="1" applyAlignment="1" applyProtection="1">
      <alignment horizontal="right"/>
      <protection hidden="1"/>
    </xf>
    <xf numFmtId="14" fontId="155" fillId="6" borderId="80" xfId="2" applyNumberFormat="1" applyFont="1" applyFill="1" applyBorder="1" applyAlignment="1" applyProtection="1">
      <alignment horizontal="center" vertical="center"/>
      <protection hidden="1"/>
    </xf>
    <xf numFmtId="0" fontId="88" fillId="5" borderId="66" xfId="0" applyFont="1" applyFill="1" applyBorder="1" applyAlignment="1" applyProtection="1">
      <alignment vertical="center"/>
      <protection hidden="1"/>
    </xf>
    <xf numFmtId="8" fontId="69" fillId="3" borderId="0" xfId="0" applyNumberFormat="1" applyFont="1" applyFill="1" applyAlignment="1" applyProtection="1">
      <alignment vertical="center"/>
      <protection hidden="1"/>
    </xf>
    <xf numFmtId="0" fontId="116" fillId="3" borderId="0" xfId="0" quotePrefix="1" applyFont="1" applyFill="1" applyAlignment="1" applyProtection="1">
      <alignment vertical="center"/>
      <protection hidden="1"/>
    </xf>
    <xf numFmtId="0" fontId="69" fillId="3" borderId="0" xfId="0" quotePrefix="1" applyFont="1" applyFill="1" applyAlignment="1" applyProtection="1">
      <alignment vertical="center"/>
      <protection hidden="1"/>
    </xf>
    <xf numFmtId="0" fontId="69" fillId="3" borderId="0" xfId="0" quotePrefix="1" applyFont="1" applyFill="1" applyProtection="1">
      <protection hidden="1"/>
    </xf>
    <xf numFmtId="0" fontId="69" fillId="3" borderId="0" xfId="0" applyFont="1" applyFill="1" applyAlignment="1" applyProtection="1">
      <alignment horizontal="right"/>
      <protection hidden="1"/>
    </xf>
    <xf numFmtId="176" fontId="69" fillId="3" borderId="0" xfId="5" applyNumberFormat="1" applyFont="1" applyFill="1" applyAlignment="1" applyProtection="1">
      <alignment horizontal="center" vertical="center"/>
      <protection hidden="1"/>
    </xf>
    <xf numFmtId="176" fontId="69" fillId="3" borderId="0" xfId="5" applyNumberFormat="1" applyFont="1" applyFill="1" applyAlignment="1" applyProtection="1">
      <alignment vertical="center"/>
      <protection hidden="1"/>
    </xf>
    <xf numFmtId="1" fontId="64" fillId="0" borderId="0" xfId="0" applyNumberFormat="1" applyFont="1" applyAlignment="1" applyProtection="1">
      <alignment horizontal="center" vertical="center"/>
      <protection hidden="1"/>
    </xf>
    <xf numFmtId="0" fontId="4" fillId="40" borderId="0" xfId="0" applyFont="1" applyFill="1" applyAlignment="1" applyProtection="1">
      <alignment horizontal="center" vertical="center"/>
      <protection hidden="1"/>
    </xf>
    <xf numFmtId="0" fontId="156" fillId="40" borderId="0" xfId="0" applyFont="1" applyFill="1" applyAlignment="1" applyProtection="1">
      <alignment vertical="center"/>
      <protection hidden="1"/>
    </xf>
    <xf numFmtId="0" fontId="94" fillId="4" borderId="0" xfId="0" applyFont="1" applyFill="1" applyAlignment="1" applyProtection="1">
      <alignment horizontal="center" vertical="center"/>
      <protection hidden="1"/>
    </xf>
    <xf numFmtId="0" fontId="64" fillId="0" borderId="0" xfId="0" applyFont="1" applyAlignment="1" applyProtection="1">
      <alignment horizontal="center" vertical="center"/>
      <protection hidden="1"/>
    </xf>
    <xf numFmtId="0" fontId="18" fillId="0" borderId="0" xfId="2" applyFont="1" applyAlignment="1" applyProtection="1">
      <alignment horizontal="center" vertical="center"/>
      <protection hidden="1"/>
    </xf>
    <xf numFmtId="0" fontId="18" fillId="0" borderId="0" xfId="0" applyFont="1" applyProtection="1">
      <protection hidden="1"/>
    </xf>
    <xf numFmtId="169" fontId="20" fillId="4" borderId="0" xfId="1" applyNumberFormat="1" applyFont="1" applyFill="1" applyBorder="1" applyAlignment="1" applyProtection="1">
      <alignment horizontal="center" vertical="center"/>
      <protection hidden="1"/>
    </xf>
    <xf numFmtId="0" fontId="69" fillId="3" borderId="0" xfId="0" applyFont="1" applyFill="1" applyAlignment="1" applyProtection="1">
      <alignment horizontal="left" vertical="center"/>
      <protection hidden="1"/>
    </xf>
    <xf numFmtId="172" fontId="69" fillId="3" borderId="0" xfId="0" applyNumberFormat="1" applyFont="1" applyFill="1" applyAlignment="1" applyProtection="1">
      <alignment horizontal="center" vertical="center"/>
      <protection hidden="1"/>
    </xf>
    <xf numFmtId="165" fontId="69" fillId="3" borderId="0" xfId="0" applyNumberFormat="1" applyFont="1" applyFill="1" applyAlignment="1" applyProtection="1">
      <alignment horizontal="center" vertical="center"/>
      <protection hidden="1"/>
    </xf>
    <xf numFmtId="172" fontId="149" fillId="3" borderId="0" xfId="0" applyNumberFormat="1" applyFont="1" applyFill="1" applyAlignment="1" applyProtection="1">
      <alignment horizontal="center" vertical="center"/>
      <protection hidden="1"/>
    </xf>
    <xf numFmtId="204" fontId="149" fillId="3" borderId="0" xfId="0" applyNumberFormat="1" applyFont="1" applyFill="1" applyAlignment="1" applyProtection="1">
      <alignment horizontal="center" vertical="center"/>
      <protection hidden="1"/>
    </xf>
    <xf numFmtId="204" fontId="69" fillId="3" borderId="0" xfId="0" applyNumberFormat="1" applyFont="1" applyFill="1" applyAlignment="1" applyProtection="1">
      <alignment horizontal="center" vertical="center"/>
      <protection hidden="1"/>
    </xf>
    <xf numFmtId="172" fontId="149" fillId="3" borderId="0" xfId="1" applyNumberFormat="1" applyFont="1" applyFill="1" applyAlignment="1" applyProtection="1">
      <alignment horizontal="center" vertical="center"/>
      <protection hidden="1"/>
    </xf>
    <xf numFmtId="172" fontId="69" fillId="3" borderId="0" xfId="1" applyNumberFormat="1" applyFont="1" applyFill="1" applyAlignment="1" applyProtection="1">
      <alignment horizontal="center" vertical="center"/>
      <protection hidden="1"/>
    </xf>
    <xf numFmtId="10" fontId="69" fillId="3" borderId="0" xfId="1" applyNumberFormat="1" applyFont="1" applyFill="1" applyAlignment="1" applyProtection="1">
      <alignment horizontal="center" vertical="center"/>
      <protection hidden="1"/>
    </xf>
    <xf numFmtId="165" fontId="149" fillId="3" borderId="0" xfId="0" applyNumberFormat="1" applyFont="1" applyFill="1" applyAlignment="1" applyProtection="1">
      <alignment horizontal="center" vertical="center"/>
      <protection hidden="1"/>
    </xf>
    <xf numFmtId="191" fontId="18" fillId="4" borderId="0" xfId="0" applyNumberFormat="1" applyFont="1" applyFill="1" applyAlignment="1" applyProtection="1">
      <alignment horizontal="center" vertical="center"/>
      <protection hidden="1"/>
    </xf>
    <xf numFmtId="176" fontId="8" fillId="4" borderId="95" xfId="2" applyNumberFormat="1" applyFont="1" applyFill="1" applyBorder="1" applyAlignment="1" applyProtection="1">
      <alignment horizontal="center" vertical="center"/>
      <protection hidden="1"/>
    </xf>
    <xf numFmtId="188" fontId="69" fillId="3" borderId="0" xfId="0" applyNumberFormat="1" applyFont="1" applyFill="1" applyAlignment="1" applyProtection="1">
      <alignment vertical="center"/>
      <protection hidden="1"/>
    </xf>
    <xf numFmtId="14" fontId="69" fillId="3" borderId="0" xfId="0" applyNumberFormat="1" applyFont="1" applyFill="1" applyAlignment="1" applyProtection="1">
      <alignment horizontal="right" vertical="center"/>
      <protection hidden="1"/>
    </xf>
    <xf numFmtId="0" fontId="8" fillId="5" borderId="0" xfId="0" applyFont="1" applyFill="1" applyAlignment="1" applyProtection="1">
      <alignment horizontal="right" vertical="center" indent="1"/>
      <protection hidden="1"/>
    </xf>
    <xf numFmtId="168" fontId="85" fillId="4" borderId="0" xfId="0" applyNumberFormat="1" applyFont="1" applyFill="1" applyAlignment="1" applyProtection="1">
      <alignment horizontal="right" vertical="center"/>
      <protection hidden="1"/>
    </xf>
    <xf numFmtId="168" fontId="85" fillId="4" borderId="243" xfId="0" applyNumberFormat="1" applyFont="1" applyFill="1" applyBorder="1" applyAlignment="1" applyProtection="1">
      <alignment horizontal="right" vertical="center"/>
      <protection hidden="1"/>
    </xf>
    <xf numFmtId="202" fontId="119" fillId="3" borderId="59" xfId="0" applyNumberFormat="1" applyFont="1" applyFill="1" applyBorder="1" applyAlignment="1" applyProtection="1">
      <alignment horizontal="center" vertical="center"/>
      <protection locked="0"/>
    </xf>
    <xf numFmtId="14" fontId="119" fillId="3" borderId="59" xfId="0" applyNumberFormat="1" applyFont="1" applyFill="1" applyBorder="1" applyAlignment="1" applyProtection="1">
      <alignment horizontal="center" vertical="center"/>
      <protection locked="0"/>
    </xf>
    <xf numFmtId="202" fontId="119" fillId="3" borderId="327" xfId="0" applyNumberFormat="1" applyFont="1" applyFill="1" applyBorder="1" applyAlignment="1" applyProtection="1">
      <alignment horizontal="center" vertical="center"/>
      <protection locked="0"/>
    </xf>
    <xf numFmtId="176" fontId="119" fillId="3" borderId="312" xfId="0" applyNumberFormat="1" applyFont="1" applyFill="1" applyBorder="1" applyAlignment="1" applyProtection="1">
      <alignment horizontal="right" vertical="center"/>
      <protection locked="0"/>
    </xf>
    <xf numFmtId="176" fontId="119" fillId="3" borderId="311" xfId="0" applyNumberFormat="1" applyFont="1" applyFill="1" applyBorder="1" applyAlignment="1" applyProtection="1">
      <alignment horizontal="right" vertical="center"/>
      <protection locked="0"/>
    </xf>
    <xf numFmtId="176" fontId="119" fillId="3" borderId="316" xfId="0" applyNumberFormat="1" applyFont="1" applyFill="1" applyBorder="1" applyAlignment="1" applyProtection="1">
      <alignment horizontal="right" vertical="center"/>
      <protection locked="0"/>
    </xf>
    <xf numFmtId="176" fontId="120" fillId="3" borderId="330" xfId="0" applyNumberFormat="1" applyFont="1" applyFill="1" applyBorder="1" applyAlignment="1" applyProtection="1">
      <alignment horizontal="right" vertical="center"/>
      <protection locked="0"/>
    </xf>
    <xf numFmtId="176" fontId="120" fillId="3" borderId="331" xfId="0" applyNumberFormat="1" applyFont="1" applyFill="1" applyBorder="1" applyAlignment="1" applyProtection="1">
      <alignment horizontal="right" vertical="center"/>
      <protection locked="0"/>
    </xf>
    <xf numFmtId="212" fontId="5" fillId="5" borderId="95" xfId="2" applyNumberFormat="1" applyFont="1" applyFill="1" applyBorder="1" applyAlignment="1" applyProtection="1">
      <alignment horizontal="center" vertical="center" wrapText="1"/>
      <protection hidden="1"/>
    </xf>
    <xf numFmtId="212" fontId="8" fillId="5" borderId="95" xfId="2" applyNumberFormat="1" applyFont="1" applyFill="1" applyBorder="1" applyAlignment="1" applyProtection="1">
      <alignment horizontal="center" vertical="center" wrapText="1"/>
      <protection hidden="1"/>
    </xf>
    <xf numFmtId="0" fontId="155" fillId="5" borderId="0" xfId="0" applyFont="1" applyFill="1" applyAlignment="1" applyProtection="1">
      <alignment horizontal="center"/>
      <protection hidden="1"/>
    </xf>
    <xf numFmtId="0" fontId="155" fillId="5" borderId="0" xfId="0" applyFont="1" applyFill="1" applyAlignment="1" applyProtection="1">
      <alignment horizontal="center" vertical="center"/>
      <protection hidden="1"/>
    </xf>
    <xf numFmtId="0" fontId="133" fillId="0" borderId="229" xfId="0" applyFont="1" applyBorder="1" applyAlignment="1" applyProtection="1">
      <alignment horizontal="center" vertical="center" wrapText="1"/>
      <protection hidden="1"/>
    </xf>
    <xf numFmtId="0" fontId="158" fillId="3" borderId="95" xfId="0" applyFont="1" applyFill="1" applyBorder="1" applyAlignment="1" applyProtection="1">
      <alignment horizontal="center" vertical="center"/>
      <protection locked="0"/>
    </xf>
    <xf numFmtId="0" fontId="33" fillId="0" borderId="83" xfId="0" applyFont="1" applyBorder="1" applyAlignment="1" applyProtection="1">
      <alignment vertical="center" wrapText="1"/>
      <protection hidden="1"/>
    </xf>
    <xf numFmtId="0" fontId="33" fillId="0" borderId="50" xfId="0" applyFont="1" applyBorder="1" applyAlignment="1" applyProtection="1">
      <alignment vertical="center" wrapText="1"/>
      <protection hidden="1"/>
    </xf>
    <xf numFmtId="0" fontId="33" fillId="0" borderId="84" xfId="0" applyFont="1" applyBorder="1" applyAlignment="1" applyProtection="1">
      <alignment vertical="center" wrapText="1"/>
      <protection hidden="1"/>
    </xf>
    <xf numFmtId="0" fontId="33" fillId="0" borderId="97" xfId="0" applyFont="1" applyBorder="1" applyAlignment="1" applyProtection="1">
      <alignment vertical="center" wrapText="1"/>
      <protection hidden="1"/>
    </xf>
    <xf numFmtId="0" fontId="64" fillId="0" borderId="229" xfId="0" applyFont="1" applyBorder="1" applyAlignment="1" applyProtection="1">
      <alignment horizontal="center" vertical="center" wrapText="1"/>
      <protection hidden="1"/>
    </xf>
    <xf numFmtId="0" fontId="108" fillId="0" borderId="229" xfId="0" applyFont="1" applyBorder="1" applyAlignment="1" applyProtection="1">
      <alignment vertical="center" wrapText="1"/>
      <protection hidden="1"/>
    </xf>
    <xf numFmtId="0" fontId="64" fillId="0" borderId="98" xfId="0" applyFont="1" applyBorder="1" applyAlignment="1" applyProtection="1">
      <alignment horizontal="center" vertical="center" wrapText="1"/>
      <protection hidden="1"/>
    </xf>
    <xf numFmtId="0" fontId="19" fillId="4" borderId="95" xfId="0" applyFont="1" applyFill="1" applyBorder="1" applyAlignment="1" applyProtection="1">
      <alignment horizontal="center" vertical="center"/>
      <protection hidden="1"/>
    </xf>
    <xf numFmtId="0" fontId="64" fillId="0" borderId="233" xfId="0" applyFont="1" applyBorder="1" applyAlignment="1" applyProtection="1">
      <alignment horizontal="center" vertical="center" wrapText="1"/>
      <protection hidden="1"/>
    </xf>
    <xf numFmtId="0" fontId="33" fillId="0" borderId="229" xfId="0" applyFont="1" applyBorder="1" applyAlignment="1" applyProtection="1">
      <alignment vertical="center" wrapText="1"/>
      <protection hidden="1"/>
    </xf>
    <xf numFmtId="0" fontId="17" fillId="41" borderId="0" xfId="2" applyFont="1" applyFill="1" applyAlignment="1" applyProtection="1">
      <alignment vertical="center"/>
      <protection hidden="1"/>
    </xf>
    <xf numFmtId="0" fontId="130" fillId="0" borderId="107" xfId="2" applyFont="1" applyBorder="1" applyAlignment="1" applyProtection="1">
      <alignment horizontal="centerContinuous" vertical="center"/>
      <protection hidden="1"/>
    </xf>
    <xf numFmtId="0" fontId="19" fillId="34" borderId="0" xfId="0" applyFont="1" applyFill="1" applyAlignment="1" applyProtection="1">
      <alignment horizontal="centerContinuous" vertical="center" wrapText="1"/>
      <protection hidden="1"/>
    </xf>
    <xf numFmtId="0" fontId="19" fillId="3" borderId="0" xfId="0" applyFont="1" applyFill="1" applyAlignment="1" applyProtection="1">
      <alignment vertical="center" wrapText="1"/>
      <protection hidden="1"/>
    </xf>
    <xf numFmtId="0" fontId="95" fillId="3" borderId="95" xfId="2" applyFont="1" applyFill="1" applyBorder="1" applyAlignment="1" applyProtection="1">
      <alignment horizontal="center" vertical="center" wrapText="1"/>
      <protection locked="0"/>
    </xf>
    <xf numFmtId="0" fontId="95" fillId="3" borderId="95" xfId="2" applyFont="1" applyFill="1" applyBorder="1" applyAlignment="1" applyProtection="1">
      <alignment horizontal="center" vertical="center"/>
      <protection locked="0"/>
    </xf>
    <xf numFmtId="2" fontId="95" fillId="3" borderId="95" xfId="2" applyNumberFormat="1" applyFont="1" applyFill="1" applyBorder="1" applyAlignment="1" applyProtection="1">
      <alignment horizontal="center" vertical="center"/>
      <protection locked="0"/>
    </xf>
    <xf numFmtId="1" fontId="95" fillId="3" borderId="95" xfId="2" applyNumberFormat="1" applyFont="1" applyFill="1" applyBorder="1" applyAlignment="1" applyProtection="1">
      <alignment horizontal="center" vertical="center"/>
      <protection locked="0"/>
    </xf>
    <xf numFmtId="200" fontId="95" fillId="3" borderId="95" xfId="2" applyNumberFormat="1" applyFont="1" applyFill="1" applyBorder="1" applyAlignment="1" applyProtection="1">
      <alignment horizontal="center" vertical="center"/>
      <protection locked="0"/>
    </xf>
    <xf numFmtId="1" fontId="95" fillId="5" borderId="95" xfId="2" applyNumberFormat="1" applyFont="1" applyFill="1" applyBorder="1" applyAlignment="1" applyProtection="1">
      <alignment horizontal="center" vertical="center"/>
      <protection locked="0"/>
    </xf>
    <xf numFmtId="0" fontId="95" fillId="5" borderId="0" xfId="0" applyFont="1" applyFill="1" applyAlignment="1" applyProtection="1">
      <alignment horizontal="center" vertical="center"/>
      <protection locked="0"/>
    </xf>
    <xf numFmtId="176" fontId="95" fillId="3" borderId="95" xfId="2" applyNumberFormat="1" applyFont="1" applyFill="1" applyBorder="1" applyAlignment="1" applyProtection="1">
      <alignment horizontal="center" vertical="center"/>
      <protection locked="0"/>
    </xf>
    <xf numFmtId="17" fontId="95" fillId="5" borderId="310" xfId="2" applyNumberFormat="1" applyFont="1" applyFill="1" applyBorder="1" applyAlignment="1" applyProtection="1">
      <alignment horizontal="center" vertical="center" wrapText="1"/>
      <protection locked="0"/>
    </xf>
    <xf numFmtId="202" fontId="159" fillId="3" borderId="346" xfId="0" applyNumberFormat="1" applyFont="1" applyFill="1" applyBorder="1" applyAlignment="1" applyProtection="1">
      <alignment horizontal="center" vertical="center"/>
      <protection locked="0"/>
    </xf>
    <xf numFmtId="0" fontId="10" fillId="5" borderId="66" xfId="0" applyFont="1" applyFill="1" applyBorder="1" applyProtection="1">
      <protection hidden="1"/>
    </xf>
    <xf numFmtId="0" fontId="75" fillId="35" borderId="246" xfId="0" applyFont="1" applyFill="1" applyBorder="1" applyAlignment="1" applyProtection="1">
      <alignment horizontal="centerContinuous" vertical="center"/>
      <protection hidden="1"/>
    </xf>
    <xf numFmtId="0" fontId="10" fillId="5" borderId="0" xfId="0" applyFont="1" applyFill="1" applyProtection="1">
      <protection hidden="1"/>
    </xf>
    <xf numFmtId="0" fontId="75" fillId="35" borderId="270" xfId="0" applyFont="1" applyFill="1" applyBorder="1" applyAlignment="1" applyProtection="1">
      <alignment horizontal="centerContinuous" vertical="center"/>
      <protection hidden="1"/>
    </xf>
    <xf numFmtId="165" fontId="95" fillId="3" borderId="157" xfId="0" applyNumberFormat="1" applyFont="1" applyFill="1" applyBorder="1" applyAlignment="1" applyProtection="1">
      <alignment horizontal="center" vertical="center"/>
      <protection locked="0"/>
    </xf>
    <xf numFmtId="165" fontId="95" fillId="3" borderId="276" xfId="0" applyNumberFormat="1" applyFont="1" applyFill="1" applyBorder="1" applyAlignment="1" applyProtection="1">
      <alignment horizontal="center" vertical="center"/>
      <protection locked="0"/>
    </xf>
    <xf numFmtId="0" fontId="95" fillId="3" borderId="82" xfId="2" applyFont="1" applyFill="1" applyBorder="1" applyAlignment="1" applyProtection="1">
      <alignment horizontal="center" vertical="center"/>
      <protection locked="0"/>
    </xf>
    <xf numFmtId="0" fontId="160" fillId="3" borderId="95" xfId="4" applyFont="1" applyFill="1" applyBorder="1" applyAlignment="1" applyProtection="1">
      <alignment horizontal="left" vertical="center" wrapText="1"/>
      <protection locked="0"/>
    </xf>
    <xf numFmtId="0" fontId="95" fillId="18" borderId="95" xfId="2" applyFont="1" applyFill="1" applyBorder="1" applyAlignment="1" applyProtection="1">
      <alignment horizontal="center" vertical="center"/>
      <protection locked="0"/>
    </xf>
    <xf numFmtId="0" fontId="95" fillId="3" borderId="95" xfId="2" applyFont="1" applyFill="1" applyBorder="1" applyAlignment="1" applyProtection="1">
      <alignment horizontal="left" vertical="center" wrapText="1"/>
      <protection locked="0"/>
    </xf>
    <xf numFmtId="168" fontId="95" fillId="3" borderId="83" xfId="1" applyNumberFormat="1" applyFont="1" applyFill="1" applyBorder="1" applyAlignment="1" applyProtection="1">
      <alignment vertical="center"/>
      <protection locked="0"/>
    </xf>
    <xf numFmtId="17" fontId="95" fillId="3" borderId="81" xfId="0" applyNumberFormat="1" applyFont="1" applyFill="1" applyBorder="1" applyAlignment="1" applyProtection="1">
      <alignment horizontal="center" vertical="center"/>
      <protection locked="0"/>
    </xf>
    <xf numFmtId="171" fontId="95" fillId="2" borderId="52" xfId="2" applyNumberFormat="1" applyFont="1" applyFill="1" applyBorder="1" applyAlignment="1" applyProtection="1">
      <alignment horizontal="center" vertical="center"/>
      <protection locked="0"/>
    </xf>
    <xf numFmtId="171" fontId="159" fillId="4" borderId="0" xfId="2" applyNumberFormat="1" applyFont="1" applyFill="1" applyAlignment="1" applyProtection="1">
      <alignment horizontal="right" vertical="center"/>
      <protection hidden="1"/>
    </xf>
    <xf numFmtId="0" fontId="161" fillId="4" borderId="0" xfId="0" applyFont="1" applyFill="1" applyAlignment="1" applyProtection="1">
      <alignment horizontal="center" vertical="center"/>
      <protection hidden="1"/>
    </xf>
    <xf numFmtId="176" fontId="18" fillId="4" borderId="0" xfId="0" applyNumberFormat="1" applyFont="1" applyFill="1" applyAlignment="1" applyProtection="1">
      <alignment horizontal="center" vertical="center"/>
      <protection hidden="1"/>
    </xf>
    <xf numFmtId="0" fontId="18" fillId="25" borderId="0" xfId="0" applyFont="1" applyFill="1" applyProtection="1">
      <protection hidden="1"/>
    </xf>
    <xf numFmtId="185" fontId="18" fillId="25" borderId="0" xfId="0" applyNumberFormat="1" applyFont="1" applyFill="1" applyProtection="1">
      <protection hidden="1"/>
    </xf>
    <xf numFmtId="172" fontId="18" fillId="25" borderId="0" xfId="1" applyNumberFormat="1" applyFont="1" applyFill="1" applyBorder="1" applyProtection="1">
      <protection hidden="1"/>
    </xf>
    <xf numFmtId="3" fontId="95" fillId="3" borderId="95" xfId="2" applyNumberFormat="1" applyFont="1" applyFill="1" applyBorder="1" applyAlignment="1" applyProtection="1">
      <alignment horizontal="center" vertical="center"/>
      <protection locked="0"/>
    </xf>
    <xf numFmtId="0" fontId="5" fillId="5" borderId="1" xfId="0" applyFont="1" applyFill="1" applyBorder="1" applyAlignment="1" applyProtection="1">
      <alignment horizontal="center" vertical="center"/>
      <protection hidden="1"/>
    </xf>
    <xf numFmtId="17" fontId="8" fillId="4" borderId="242" xfId="2" applyNumberFormat="1" applyFont="1" applyFill="1" applyBorder="1" applyAlignment="1" applyProtection="1">
      <alignment vertical="center"/>
      <protection hidden="1"/>
    </xf>
    <xf numFmtId="0" fontId="8" fillId="4" borderId="50" xfId="2" applyFont="1" applyFill="1" applyBorder="1" applyAlignment="1" applyProtection="1">
      <alignment vertical="center"/>
      <protection hidden="1"/>
    </xf>
    <xf numFmtId="165" fontId="21" fillId="4" borderId="50" xfId="3" applyNumberFormat="1" applyFont="1" applyFill="1" applyBorder="1" applyAlignment="1" applyProtection="1">
      <alignment vertical="center"/>
      <protection hidden="1"/>
    </xf>
    <xf numFmtId="0" fontId="18" fillId="4" borderId="0" xfId="3" applyNumberFormat="1" applyFont="1" applyFill="1" applyBorder="1" applyAlignment="1" applyProtection="1">
      <alignment horizontal="center" vertical="center"/>
      <protection hidden="1"/>
    </xf>
    <xf numFmtId="165" fontId="22" fillId="4" borderId="0" xfId="3" applyNumberFormat="1" applyFont="1" applyFill="1" applyBorder="1" applyAlignment="1" applyProtection="1">
      <alignment vertical="center"/>
      <protection hidden="1"/>
    </xf>
    <xf numFmtId="165" fontId="22" fillId="4" borderId="0" xfId="3" applyNumberFormat="1" applyFont="1" applyFill="1" applyBorder="1" applyAlignment="1" applyProtection="1">
      <alignment horizontal="center" vertical="center"/>
      <protection hidden="1"/>
    </xf>
    <xf numFmtId="165" fontId="8" fillId="4" borderId="249" xfId="3" applyNumberFormat="1" applyFont="1" applyFill="1" applyBorder="1" applyAlignment="1" applyProtection="1">
      <alignment horizontal="center" vertical="center"/>
      <protection hidden="1"/>
    </xf>
    <xf numFmtId="165" fontId="5" fillId="4" borderId="12" xfId="3" applyNumberFormat="1" applyFont="1" applyFill="1" applyBorder="1" applyAlignment="1" applyProtection="1">
      <alignment horizontal="center" vertical="center"/>
      <protection hidden="1"/>
    </xf>
    <xf numFmtId="0" fontId="5" fillId="4" borderId="50" xfId="2" applyFont="1" applyFill="1" applyBorder="1" applyAlignment="1" applyProtection="1">
      <alignment vertical="center"/>
      <protection hidden="1"/>
    </xf>
    <xf numFmtId="165" fontId="83" fillId="4" borderId="0" xfId="3" applyNumberFormat="1" applyFont="1" applyFill="1" applyBorder="1" applyAlignment="1" applyProtection="1">
      <alignment vertical="center"/>
      <protection hidden="1"/>
    </xf>
    <xf numFmtId="0" fontId="126" fillId="4" borderId="266" xfId="0" applyFont="1" applyFill="1" applyBorder="1" applyProtection="1">
      <protection hidden="1"/>
    </xf>
    <xf numFmtId="0" fontId="130" fillId="4" borderId="107" xfId="2" applyFont="1" applyFill="1" applyBorder="1" applyAlignment="1" applyProtection="1">
      <alignment horizontal="centerContinuous" vertical="center"/>
      <protection hidden="1"/>
    </xf>
    <xf numFmtId="0" fontId="130" fillId="4" borderId="108" xfId="2" applyFont="1" applyFill="1" applyBorder="1" applyAlignment="1" applyProtection="1">
      <alignment horizontal="centerContinuous" vertical="center"/>
      <protection hidden="1"/>
    </xf>
    <xf numFmtId="0" fontId="130" fillId="4" borderId="109" xfId="2" applyFont="1" applyFill="1" applyBorder="1" applyAlignment="1" applyProtection="1">
      <alignment horizontal="centerContinuous" vertical="center"/>
      <protection hidden="1"/>
    </xf>
    <xf numFmtId="0" fontId="124" fillId="4" borderId="425" xfId="2" applyFont="1" applyFill="1" applyBorder="1" applyAlignment="1" applyProtection="1">
      <alignment horizontal="centerContinuous" vertical="center"/>
      <protection hidden="1"/>
    </xf>
    <xf numFmtId="0" fontId="130" fillId="4" borderId="426" xfId="2" applyFont="1" applyFill="1" applyBorder="1" applyAlignment="1" applyProtection="1">
      <alignment horizontal="centerContinuous" vertical="center"/>
      <protection hidden="1"/>
    </xf>
    <xf numFmtId="0" fontId="130" fillId="4" borderId="427" xfId="2" applyFont="1" applyFill="1" applyBorder="1" applyAlignment="1" applyProtection="1">
      <alignment horizontal="centerContinuous" vertical="center"/>
      <protection hidden="1"/>
    </xf>
    <xf numFmtId="0" fontId="124" fillId="4" borderId="0" xfId="2" applyFont="1" applyFill="1" applyAlignment="1" applyProtection="1">
      <alignment horizontal="centerContinuous" vertical="center"/>
      <protection hidden="1"/>
    </xf>
    <xf numFmtId="0" fontId="130" fillId="4" borderId="0" xfId="2" applyFont="1" applyFill="1" applyAlignment="1" applyProtection="1">
      <alignment horizontal="centerContinuous" vertical="center"/>
      <protection hidden="1"/>
    </xf>
    <xf numFmtId="232" fontId="98" fillId="4" borderId="0" xfId="1" applyNumberFormat="1" applyFont="1" applyFill="1" applyAlignment="1" applyProtection="1">
      <alignment vertical="center"/>
      <protection hidden="1"/>
    </xf>
    <xf numFmtId="232" fontId="14" fillId="4" borderId="0" xfId="1" applyNumberFormat="1" applyFont="1" applyFill="1" applyAlignment="1" applyProtection="1">
      <alignment vertical="center"/>
      <protection hidden="1"/>
    </xf>
    <xf numFmtId="0" fontId="33" fillId="4" borderId="0" xfId="0" applyFont="1" applyFill="1" applyAlignment="1" applyProtection="1">
      <alignment horizontal="center" vertical="center"/>
      <protection hidden="1"/>
    </xf>
    <xf numFmtId="0" fontId="69" fillId="3" borderId="81" xfId="0" applyFont="1" applyFill="1" applyBorder="1" applyAlignment="1" applyProtection="1">
      <alignment horizontal="center" vertical="center"/>
      <protection locked="0"/>
    </xf>
    <xf numFmtId="0" fontId="69" fillId="3" borderId="106" xfId="0" applyFont="1" applyFill="1" applyBorder="1" applyAlignment="1" applyProtection="1">
      <alignment horizontal="center" vertical="center"/>
      <protection locked="0"/>
    </xf>
    <xf numFmtId="0" fontId="162" fillId="0" borderId="0" xfId="0" applyFont="1" applyAlignment="1" applyProtection="1">
      <alignment horizontal="center" vertical="center"/>
      <protection hidden="1"/>
    </xf>
    <xf numFmtId="0" fontId="63" fillId="35" borderId="207" xfId="0" applyFont="1" applyFill="1" applyBorder="1" applyAlignment="1" applyProtection="1">
      <alignment horizontal="center" vertical="center"/>
      <protection hidden="1"/>
    </xf>
    <xf numFmtId="0" fontId="32" fillId="5" borderId="180" xfId="0" applyFont="1" applyFill="1" applyBorder="1" applyAlignment="1" applyProtection="1">
      <alignment horizontal="center" vertical="center"/>
      <protection hidden="1"/>
    </xf>
    <xf numFmtId="0" fontId="63" fillId="35" borderId="0" xfId="0" applyFont="1" applyFill="1" applyAlignment="1" applyProtection="1">
      <alignment horizontal="center" vertical="center"/>
      <protection hidden="1"/>
    </xf>
    <xf numFmtId="0" fontId="128" fillId="5" borderId="155" xfId="0" applyFont="1" applyFill="1" applyBorder="1" applyAlignment="1" applyProtection="1">
      <alignment horizontal="center" vertical="center"/>
      <protection hidden="1"/>
    </xf>
    <xf numFmtId="0" fontId="128" fillId="24" borderId="149" xfId="0" applyFont="1" applyFill="1" applyBorder="1" applyAlignment="1" applyProtection="1">
      <alignment horizontal="center" vertical="center"/>
      <protection hidden="1"/>
    </xf>
    <xf numFmtId="0" fontId="128" fillId="3" borderId="115" xfId="0" applyFont="1" applyFill="1" applyBorder="1" applyAlignment="1" applyProtection="1">
      <alignment horizontal="centerContinuous" vertical="center"/>
      <protection hidden="1"/>
    </xf>
    <xf numFmtId="0" fontId="163" fillId="0" borderId="158" xfId="0" applyFont="1" applyBorder="1" applyAlignment="1" applyProtection="1">
      <alignment horizontal="center" vertical="center"/>
      <protection hidden="1"/>
    </xf>
    <xf numFmtId="0" fontId="26" fillId="35" borderId="0" xfId="0" applyFont="1" applyFill="1" applyAlignment="1" applyProtection="1">
      <alignment horizontal="center" vertical="center"/>
      <protection hidden="1"/>
    </xf>
    <xf numFmtId="0" fontId="93" fillId="5" borderId="7" xfId="0" applyFont="1" applyFill="1" applyBorder="1" applyAlignment="1" applyProtection="1">
      <alignment horizontal="centerContinuous"/>
      <protection hidden="1"/>
    </xf>
    <xf numFmtId="0" fontId="93" fillId="5" borderId="292" xfId="0" applyFont="1" applyFill="1" applyBorder="1" applyAlignment="1" applyProtection="1">
      <alignment horizontal="centerContinuous"/>
      <protection hidden="1"/>
    </xf>
    <xf numFmtId="0" fontId="75" fillId="35" borderId="453" xfId="0" applyFont="1" applyFill="1" applyBorder="1" applyAlignment="1" applyProtection="1">
      <alignment horizontal="centerContinuous" vertical="center"/>
      <protection hidden="1"/>
    </xf>
    <xf numFmtId="0" fontId="32" fillId="7" borderId="7" xfId="0" applyFont="1" applyFill="1" applyBorder="1" applyAlignment="1" applyProtection="1">
      <alignment horizontal="center" vertical="center"/>
      <protection hidden="1"/>
    </xf>
    <xf numFmtId="0" fontId="32" fillId="5" borderId="7" xfId="0" applyFont="1" applyFill="1" applyBorder="1" applyAlignment="1" applyProtection="1">
      <alignment horizontal="center" vertical="center"/>
      <protection hidden="1"/>
    </xf>
    <xf numFmtId="0" fontId="32" fillId="5" borderId="292" xfId="0" applyFont="1" applyFill="1" applyBorder="1" applyAlignment="1" applyProtection="1">
      <alignment horizontal="center" vertical="center"/>
      <protection hidden="1"/>
    </xf>
    <xf numFmtId="0" fontId="32" fillId="15" borderId="0" xfId="0" applyFont="1" applyFill="1" applyAlignment="1" applyProtection="1">
      <alignment horizontal="center" vertical="center"/>
      <protection hidden="1"/>
    </xf>
    <xf numFmtId="0" fontId="32" fillId="4" borderId="0" xfId="0" applyFont="1" applyFill="1" applyAlignment="1" applyProtection="1">
      <alignment horizontal="center" vertical="center"/>
      <protection hidden="1"/>
    </xf>
    <xf numFmtId="0" fontId="163" fillId="0" borderId="0" xfId="0" applyFont="1" applyAlignment="1" applyProtection="1">
      <alignment horizontal="right" vertical="center"/>
      <protection hidden="1"/>
    </xf>
    <xf numFmtId="0" fontId="65" fillId="0" borderId="0" xfId="4" applyFill="1"/>
    <xf numFmtId="0" fontId="143" fillId="4" borderId="0" xfId="0" applyFont="1" applyFill="1" applyProtection="1">
      <protection hidden="1"/>
    </xf>
    <xf numFmtId="168" fontId="115" fillId="4" borderId="0" xfId="0" applyNumberFormat="1" applyFont="1" applyFill="1" applyAlignment="1" applyProtection="1">
      <alignment horizontal="center" vertical="center"/>
      <protection hidden="1"/>
    </xf>
    <xf numFmtId="0" fontId="106" fillId="4" borderId="0" xfId="0" applyFont="1" applyFill="1" applyProtection="1">
      <protection hidden="1"/>
    </xf>
    <xf numFmtId="0" fontId="130" fillId="4" borderId="0" xfId="0" applyFont="1" applyFill="1" applyProtection="1">
      <protection hidden="1"/>
    </xf>
    <xf numFmtId="207" fontId="143" fillId="4" borderId="0" xfId="0" applyNumberFormat="1" applyFont="1" applyFill="1" applyAlignment="1" applyProtection="1">
      <alignment horizontal="left"/>
      <protection hidden="1"/>
    </xf>
    <xf numFmtId="0" fontId="143" fillId="4" borderId="0" xfId="0" applyFont="1" applyFill="1" applyAlignment="1" applyProtection="1">
      <alignment horizontal="left"/>
      <protection hidden="1"/>
    </xf>
    <xf numFmtId="0" fontId="65" fillId="35" borderId="0" xfId="4" applyFill="1" applyAlignment="1" applyProtection="1">
      <alignment horizontal="centerContinuous" vertical="center" wrapText="1"/>
      <protection hidden="1"/>
    </xf>
    <xf numFmtId="0" fontId="54" fillId="45" borderId="0" xfId="0" applyFont="1" applyFill="1" applyProtection="1">
      <protection hidden="1"/>
    </xf>
    <xf numFmtId="0" fontId="4" fillId="45" borderId="0" xfId="0" applyFont="1" applyFill="1" applyProtection="1">
      <protection hidden="1"/>
    </xf>
    <xf numFmtId="176" fontId="165" fillId="3" borderId="0" xfId="0" applyNumberFormat="1" applyFont="1" applyFill="1" applyAlignment="1" applyProtection="1">
      <alignment vertical="center"/>
      <protection hidden="1"/>
    </xf>
    <xf numFmtId="9" fontId="18" fillId="40" borderId="0" xfId="0" applyNumberFormat="1" applyFont="1" applyFill="1" applyAlignment="1" applyProtection="1">
      <alignment horizontal="center" vertical="center"/>
      <protection hidden="1"/>
    </xf>
    <xf numFmtId="0" fontId="166" fillId="0" borderId="0" xfId="6">
      <alignment horizontal="left" vertical="center" wrapText="1" indent="1"/>
    </xf>
    <xf numFmtId="0" fontId="166" fillId="46" borderId="0" xfId="6" applyFill="1">
      <alignment horizontal="left" vertical="center" wrapText="1" indent="1"/>
    </xf>
    <xf numFmtId="38" fontId="167" fillId="46" borderId="474" xfId="7" applyFont="1" applyFill="1" applyBorder="1" applyAlignment="1">
      <alignment horizontal="right" vertical="center" indent="2"/>
    </xf>
    <xf numFmtId="38" fontId="167" fillId="46" borderId="474" xfId="7" applyFont="1" applyFill="1" applyBorder="1">
      <alignment horizontal="right" vertical="center" indent="1"/>
    </xf>
    <xf numFmtId="0" fontId="167" fillId="46" borderId="474" xfId="8" applyFont="1" applyFill="1" applyBorder="1" applyAlignment="1">
      <alignment horizontal="left" vertical="center" indent="2"/>
    </xf>
    <xf numFmtId="38" fontId="167" fillId="47" borderId="474" xfId="7" applyFont="1" applyFill="1" applyBorder="1" applyAlignment="1">
      <alignment horizontal="right" vertical="center" indent="2"/>
    </xf>
    <xf numFmtId="38" fontId="167" fillId="47" borderId="474" xfId="7" applyFont="1" applyFill="1" applyBorder="1">
      <alignment horizontal="right" vertical="center" indent="1"/>
    </xf>
    <xf numFmtId="0" fontId="167" fillId="47" borderId="474" xfId="9" applyFont="1" applyFill="1" applyBorder="1" applyAlignment="1">
      <alignment horizontal="left" vertical="center" indent="2"/>
    </xf>
    <xf numFmtId="0" fontId="170" fillId="0" borderId="0" xfId="6" applyFont="1">
      <alignment horizontal="left" vertical="center" wrapText="1" indent="1"/>
    </xf>
    <xf numFmtId="0" fontId="170" fillId="46" borderId="0" xfId="6" applyFont="1" applyFill="1">
      <alignment horizontal="left" vertical="center" wrapText="1" indent="1"/>
    </xf>
    <xf numFmtId="38" fontId="170" fillId="0" borderId="0" xfId="7" applyFont="1" applyFill="1" applyBorder="1" applyAlignment="1" applyProtection="1">
      <alignment horizontal="right" vertical="center" indent="2"/>
    </xf>
    <xf numFmtId="38" fontId="170" fillId="0" borderId="0" xfId="7" applyFont="1" applyFill="1" applyBorder="1" applyProtection="1">
      <alignment horizontal="right" vertical="center" indent="1"/>
    </xf>
    <xf numFmtId="0" fontId="171" fillId="0" borderId="0" xfId="10" applyFill="1" applyBorder="1" applyAlignment="1">
      <alignment horizontal="right" vertical="center" indent="2"/>
    </xf>
    <xf numFmtId="0" fontId="171" fillId="0" borderId="0" xfId="10" applyFill="1" applyBorder="1" applyAlignment="1">
      <alignment horizontal="right" vertical="center" indent="1"/>
    </xf>
    <xf numFmtId="0" fontId="171" fillId="0" borderId="0" xfId="10" applyFill="1" applyBorder="1" applyAlignment="1">
      <alignment horizontal="left" vertical="center" indent="2"/>
    </xf>
    <xf numFmtId="0" fontId="172" fillId="46" borderId="0" xfId="11" applyFont="1" applyFill="1" applyBorder="1" applyAlignment="1">
      <alignment horizontal="right" vertical="center" indent="2"/>
    </xf>
    <xf numFmtId="0" fontId="172" fillId="46" borderId="0" xfId="11" applyFont="1" applyFill="1" applyBorder="1">
      <alignment horizontal="right" vertical="center" indent="1"/>
    </xf>
    <xf numFmtId="0" fontId="174" fillId="46" borderId="0" xfId="12" applyFont="1" applyFill="1" applyBorder="1" applyAlignment="1" applyProtection="1">
      <alignment horizontal="left" vertical="center" indent="1"/>
    </xf>
    <xf numFmtId="0" fontId="175" fillId="46" borderId="0" xfId="12" applyFont="1" applyFill="1" applyBorder="1" applyAlignment="1" applyProtection="1">
      <alignment horizontal="left" indent="1"/>
    </xf>
    <xf numFmtId="0" fontId="166" fillId="0" borderId="0" xfId="6" applyAlignment="1">
      <alignment vertical="center"/>
    </xf>
    <xf numFmtId="0" fontId="166" fillId="46" borderId="0" xfId="6" applyFill="1" applyAlignment="1">
      <alignment vertical="center"/>
    </xf>
    <xf numFmtId="0" fontId="176" fillId="0" borderId="0" xfId="10" applyFont="1" applyFill="1" applyBorder="1" applyAlignment="1">
      <alignment horizontal="right" vertical="center" indent="1"/>
    </xf>
    <xf numFmtId="0" fontId="176" fillId="0" borderId="0" xfId="10" applyFont="1" applyFill="1" applyBorder="1" applyAlignment="1">
      <alignment horizontal="left" vertical="center" indent="2"/>
    </xf>
    <xf numFmtId="0" fontId="174" fillId="46" borderId="0" xfId="6" applyFont="1" applyFill="1">
      <alignment horizontal="left" vertical="center" wrapText="1" indent="1"/>
    </xf>
    <xf numFmtId="0" fontId="166" fillId="0" borderId="0" xfId="6" applyAlignment="1">
      <alignment horizontal="right" vertical="center" wrapText="1" indent="1"/>
    </xf>
    <xf numFmtId="0" fontId="176" fillId="0" borderId="0" xfId="10" applyFont="1" applyFill="1" applyBorder="1" applyAlignment="1">
      <alignment horizontal="left" vertical="center" indent="1"/>
    </xf>
    <xf numFmtId="0" fontId="174" fillId="46" borderId="0" xfId="6" applyFont="1" applyFill="1" applyAlignment="1">
      <alignment vertical="center"/>
    </xf>
    <xf numFmtId="0" fontId="170" fillId="2" borderId="0" xfId="6" applyFont="1" applyFill="1" applyAlignment="1" applyProtection="1">
      <alignment horizontal="left" vertical="center" wrapText="1" indent="2"/>
      <protection locked="0"/>
    </xf>
    <xf numFmtId="38" fontId="170" fillId="2" borderId="0" xfId="7" applyFont="1" applyFill="1" applyBorder="1" applyProtection="1">
      <alignment horizontal="right" vertical="center" indent="1"/>
      <protection locked="0"/>
    </xf>
    <xf numFmtId="0" fontId="170" fillId="2" borderId="0" xfId="6" applyFont="1" applyFill="1" applyProtection="1">
      <alignment horizontal="left" vertical="center" wrapText="1" indent="1"/>
      <protection locked="0"/>
    </xf>
    <xf numFmtId="0" fontId="0" fillId="37" borderId="0" xfId="0" applyFill="1" applyAlignment="1">
      <alignment horizontal="center" vertical="center"/>
    </xf>
    <xf numFmtId="44" fontId="0" fillId="2" borderId="0" xfId="0" applyNumberFormat="1" applyFill="1" applyProtection="1">
      <protection locked="0"/>
    </xf>
    <xf numFmtId="14" fontId="0" fillId="2" borderId="0" xfId="0" applyNumberFormat="1" applyFill="1" applyProtection="1">
      <protection locked="0"/>
    </xf>
    <xf numFmtId="0" fontId="0" fillId="2" borderId="0" xfId="0" applyFill="1" applyProtection="1">
      <protection locked="0"/>
    </xf>
    <xf numFmtId="44" fontId="0" fillId="0" borderId="0" xfId="0" applyNumberFormat="1"/>
    <xf numFmtId="0" fontId="0" fillId="4" borderId="0" xfId="0" applyFill="1"/>
    <xf numFmtId="0" fontId="170" fillId="0" borderId="0" xfId="6" applyFont="1" applyAlignment="1">
      <alignment horizontal="left" vertical="center" wrapText="1" indent="2"/>
    </xf>
    <xf numFmtId="0" fontId="166" fillId="0" borderId="0" xfId="6" applyProtection="1">
      <alignment horizontal="left" vertical="center" wrapText="1" indent="1"/>
      <protection hidden="1"/>
    </xf>
    <xf numFmtId="0" fontId="4" fillId="3" borderId="0" xfId="0" applyFont="1" applyFill="1" applyAlignment="1" applyProtection="1">
      <alignment vertical="center"/>
      <protection locked="0" hidden="1"/>
    </xf>
    <xf numFmtId="0" fontId="4" fillId="3" borderId="0" xfId="0" applyFont="1" applyFill="1" applyProtection="1">
      <protection locked="0" hidden="1"/>
    </xf>
    <xf numFmtId="0" fontId="88" fillId="3" borderId="0" xfId="0" applyFont="1" applyFill="1" applyAlignment="1" applyProtection="1">
      <alignment vertical="center"/>
      <protection locked="0" hidden="1"/>
    </xf>
    <xf numFmtId="0" fontId="10" fillId="5" borderId="66" xfId="0" applyFont="1" applyFill="1" applyBorder="1" applyAlignment="1" applyProtection="1">
      <alignment vertical="center"/>
      <protection locked="0" hidden="1"/>
    </xf>
    <xf numFmtId="0" fontId="17" fillId="0" borderId="0" xfId="0" applyFont="1" applyAlignment="1" applyProtection="1">
      <alignment vertical="center"/>
      <protection locked="0" hidden="1"/>
    </xf>
    <xf numFmtId="0" fontId="19" fillId="0" borderId="0" xfId="0" applyFont="1" applyAlignment="1" applyProtection="1">
      <alignment vertical="center"/>
      <protection locked="0" hidden="1"/>
    </xf>
    <xf numFmtId="0" fontId="4" fillId="0" borderId="0" xfId="0" applyFont="1" applyAlignment="1" applyProtection="1">
      <alignment vertical="center"/>
      <protection locked="0" hidden="1"/>
    </xf>
    <xf numFmtId="0" fontId="52" fillId="4" borderId="0" xfId="0" applyFont="1" applyFill="1" applyProtection="1">
      <protection locked="0" hidden="1"/>
    </xf>
    <xf numFmtId="0" fontId="47" fillId="4" borderId="0" xfId="0" applyFont="1" applyFill="1" applyProtection="1">
      <protection locked="0" hidden="1"/>
    </xf>
    <xf numFmtId="0" fontId="0" fillId="0" borderId="0" xfId="0" applyProtection="1">
      <protection locked="0" hidden="1"/>
    </xf>
    <xf numFmtId="0" fontId="106" fillId="0" borderId="0" xfId="0" applyFont="1" applyProtection="1">
      <protection locked="0" hidden="1"/>
    </xf>
    <xf numFmtId="0" fontId="156" fillId="40" borderId="0" xfId="0" applyFont="1" applyFill="1" applyAlignment="1" applyProtection="1">
      <alignment vertical="center"/>
      <protection locked="0" hidden="1"/>
    </xf>
    <xf numFmtId="0" fontId="4" fillId="4" borderId="0" xfId="0" applyFont="1" applyFill="1" applyProtection="1">
      <protection locked="0" hidden="1"/>
    </xf>
    <xf numFmtId="0" fontId="4" fillId="0" borderId="0" xfId="0" applyFont="1" applyProtection="1">
      <protection locked="0" hidden="1"/>
    </xf>
    <xf numFmtId="0" fontId="166" fillId="4" borderId="0" xfId="6" applyFill="1" applyProtection="1">
      <alignment horizontal="left" vertical="center" wrapText="1" indent="1"/>
      <protection hidden="1"/>
    </xf>
    <xf numFmtId="0" fontId="177" fillId="40" borderId="0" xfId="0" applyFont="1" applyFill="1" applyAlignment="1" applyProtection="1">
      <alignment vertical="center"/>
      <protection locked="0" hidden="1"/>
    </xf>
    <xf numFmtId="0" fontId="0" fillId="3" borderId="0" xfId="0" applyFill="1" applyProtection="1">
      <protection locked="0"/>
    </xf>
    <xf numFmtId="0" fontId="0" fillId="3" borderId="0" xfId="0" applyFill="1" applyProtection="1">
      <protection hidden="1"/>
    </xf>
    <xf numFmtId="0" fontId="4" fillId="25" borderId="0" xfId="0" applyFont="1" applyFill="1" applyProtection="1">
      <protection locked="0" hidden="1"/>
    </xf>
    <xf numFmtId="44" fontId="188" fillId="44" borderId="0" xfId="5" applyFont="1" applyFill="1" applyBorder="1" applyProtection="1"/>
    <xf numFmtId="44" fontId="188" fillId="4" borderId="0" xfId="5" applyFont="1" applyFill="1" applyBorder="1" applyProtection="1"/>
    <xf numFmtId="44" fontId="190" fillId="4" borderId="0" xfId="5" applyFont="1" applyFill="1" applyBorder="1" applyProtection="1"/>
    <xf numFmtId="44" fontId="188" fillId="4" borderId="487" xfId="5" applyFont="1" applyFill="1" applyBorder="1" applyProtection="1"/>
    <xf numFmtId="0" fontId="188" fillId="4" borderId="0" xfId="19" applyFill="1"/>
    <xf numFmtId="0" fontId="190" fillId="4" borderId="0" xfId="19" applyFont="1" applyFill="1"/>
    <xf numFmtId="9" fontId="188" fillId="4" borderId="0" xfId="19" applyNumberFormat="1" applyFill="1"/>
    <xf numFmtId="0" fontId="188" fillId="4" borderId="485" xfId="19" applyFill="1" applyBorder="1"/>
    <xf numFmtId="0" fontId="0" fillId="0" borderId="0" xfId="0" applyAlignment="1">
      <alignment horizontal="center" vertical="center"/>
    </xf>
    <xf numFmtId="0" fontId="0" fillId="0" borderId="0" xfId="0" applyAlignment="1">
      <alignment horizontal="right" vertical="center"/>
    </xf>
    <xf numFmtId="0" fontId="188" fillId="4" borderId="485" xfId="19" applyFill="1" applyBorder="1" applyAlignment="1">
      <alignment horizontal="center"/>
    </xf>
    <xf numFmtId="0" fontId="188" fillId="42" borderId="0" xfId="19" applyFill="1"/>
    <xf numFmtId="0" fontId="191" fillId="42" borderId="0" xfId="19" applyFont="1" applyFill="1" applyAlignment="1">
      <alignment horizontal="right"/>
    </xf>
    <xf numFmtId="44" fontId="188" fillId="4" borderId="485" xfId="19" applyNumberFormat="1" applyFill="1" applyBorder="1"/>
    <xf numFmtId="0" fontId="193" fillId="42" borderId="0" xfId="19" applyFont="1" applyFill="1" applyAlignment="1">
      <alignment horizontal="right"/>
    </xf>
    <xf numFmtId="0" fontId="188" fillId="42" borderId="0" xfId="19" applyFill="1" applyAlignment="1">
      <alignment horizontal="right"/>
    </xf>
    <xf numFmtId="0" fontId="0" fillId="42" borderId="0" xfId="0" applyFill="1"/>
    <xf numFmtId="44" fontId="190" fillId="4" borderId="0" xfId="19" applyNumberFormat="1" applyFont="1" applyFill="1"/>
    <xf numFmtId="0" fontId="190" fillId="4" borderId="484" xfId="19" applyFont="1" applyFill="1" applyBorder="1"/>
    <xf numFmtId="44" fontId="188" fillId="4" borderId="0" xfId="19" applyNumberFormat="1" applyFill="1"/>
    <xf numFmtId="0" fontId="188" fillId="4" borderId="484" xfId="19" applyFill="1" applyBorder="1"/>
    <xf numFmtId="0" fontId="188" fillId="42" borderId="484" xfId="19" applyFill="1" applyBorder="1"/>
    <xf numFmtId="0" fontId="188" fillId="4" borderId="0" xfId="19" applyFill="1" applyAlignment="1">
      <alignment horizontal="right"/>
    </xf>
    <xf numFmtId="10" fontId="188" fillId="4" borderId="0" xfId="19" applyNumberFormat="1" applyFill="1"/>
    <xf numFmtId="0" fontId="191" fillId="4" borderId="0" xfId="19" applyFont="1" applyFill="1"/>
    <xf numFmtId="0" fontId="189" fillId="50" borderId="0" xfId="19" applyFont="1" applyFill="1" applyAlignment="1">
      <alignment horizontal="center"/>
    </xf>
    <xf numFmtId="0" fontId="189" fillId="50" borderId="485" xfId="19" applyFont="1" applyFill="1" applyBorder="1" applyAlignment="1">
      <alignment horizontal="center"/>
    </xf>
    <xf numFmtId="0" fontId="188" fillId="4" borderId="488" xfId="19" applyFill="1" applyBorder="1"/>
    <xf numFmtId="0" fontId="188" fillId="4" borderId="489" xfId="19" applyFill="1" applyBorder="1"/>
    <xf numFmtId="44" fontId="188" fillId="4" borderId="489" xfId="19" applyNumberFormat="1" applyFill="1" applyBorder="1"/>
    <xf numFmtId="0" fontId="188" fillId="4" borderId="490" xfId="19" applyFill="1" applyBorder="1"/>
    <xf numFmtId="0" fontId="190" fillId="0" borderId="484" xfId="19" applyFont="1" applyBorder="1"/>
    <xf numFmtId="0" fontId="192" fillId="42" borderId="0" xfId="19" applyFont="1" applyFill="1"/>
    <xf numFmtId="44" fontId="190" fillId="4" borderId="486" xfId="19" applyNumberFormat="1" applyFont="1" applyFill="1" applyBorder="1"/>
    <xf numFmtId="0" fontId="192" fillId="4" borderId="0" xfId="19" applyFont="1" applyFill="1"/>
    <xf numFmtId="0" fontId="0" fillId="0" borderId="0" xfId="0" applyAlignment="1" applyProtection="1">
      <alignment horizontal="center" vertical="center" wrapText="1"/>
      <protection locked="0"/>
    </xf>
    <xf numFmtId="0" fontId="0" fillId="0" borderId="0" xfId="5" applyNumberFormat="1" applyFont="1" applyAlignment="1" applyProtection="1">
      <alignment horizontal="center" vertical="center" wrapText="1"/>
      <protection locked="0"/>
    </xf>
    <xf numFmtId="0" fontId="0" fillId="8" borderId="0" xfId="0" applyFill="1" applyAlignment="1" applyProtection="1">
      <alignment horizontal="left" wrapText="1" indent="1"/>
      <protection hidden="1"/>
    </xf>
    <xf numFmtId="0" fontId="0" fillId="0" borderId="0" xfId="0" applyAlignment="1" applyProtection="1">
      <alignment horizontal="left" wrapText="1" indent="1"/>
      <protection hidden="1"/>
    </xf>
    <xf numFmtId="0" fontId="0" fillId="8" borderId="229" xfId="0" applyFill="1" applyBorder="1" applyAlignment="1" applyProtection="1">
      <alignment horizontal="left" wrapText="1" indent="1"/>
      <protection hidden="1"/>
    </xf>
    <xf numFmtId="0" fontId="182" fillId="8" borderId="0" xfId="15" applyFont="1" applyFill="1" applyBorder="1" applyAlignment="1" applyProtection="1">
      <alignment horizontal="right" vertical="center"/>
      <protection hidden="1"/>
    </xf>
    <xf numFmtId="0" fontId="183" fillId="8" borderId="0" xfId="15" applyFont="1" applyFill="1" applyBorder="1" applyAlignment="1" applyProtection="1">
      <alignment vertical="center"/>
      <protection hidden="1"/>
    </xf>
    <xf numFmtId="0" fontId="0" fillId="8" borderId="93" xfId="0" applyFill="1" applyBorder="1" applyAlignment="1" applyProtection="1">
      <alignment horizontal="left" wrapText="1" indent="1"/>
      <protection hidden="1"/>
    </xf>
    <xf numFmtId="44" fontId="184" fillId="8" borderId="0" xfId="16" applyNumberFormat="1" applyFont="1" applyFill="1" applyBorder="1" applyAlignment="1" applyProtection="1">
      <alignment horizontal="right" vertical="top"/>
      <protection hidden="1"/>
    </xf>
    <xf numFmtId="0" fontId="1" fillId="8" borderId="0" xfId="16" applyFont="1" applyFill="1" applyBorder="1" applyAlignment="1" applyProtection="1">
      <alignment horizontal="left" vertical="center"/>
      <protection hidden="1"/>
    </xf>
    <xf numFmtId="44" fontId="184" fillId="8" borderId="0" xfId="16" applyNumberFormat="1" applyFont="1" applyFill="1" applyBorder="1" applyAlignment="1" applyProtection="1">
      <alignment horizontal="right" vertical="top" indent="16"/>
      <protection hidden="1"/>
    </xf>
    <xf numFmtId="44" fontId="184" fillId="8" borderId="52" xfId="16" applyNumberFormat="1" applyFont="1" applyFill="1" applyBorder="1" applyAlignment="1" applyProtection="1">
      <alignment horizontal="right" vertical="top" indent="16"/>
      <protection hidden="1"/>
    </xf>
    <xf numFmtId="0" fontId="1" fillId="8" borderId="52" xfId="16" applyFont="1" applyFill="1" applyBorder="1" applyAlignment="1" applyProtection="1">
      <alignment horizontal="left" vertical="center"/>
      <protection hidden="1"/>
    </xf>
    <xf numFmtId="44" fontId="184" fillId="8" borderId="52" xfId="16" applyNumberFormat="1" applyFont="1" applyFill="1" applyBorder="1" applyAlignment="1" applyProtection="1">
      <alignment horizontal="right" vertical="center" indent="16"/>
      <protection hidden="1"/>
    </xf>
    <xf numFmtId="0" fontId="180" fillId="8" borderId="0" xfId="16" applyFill="1" applyAlignment="1" applyProtection="1">
      <alignment horizontal="right" vertical="center"/>
      <protection hidden="1"/>
    </xf>
    <xf numFmtId="14" fontId="180" fillId="8" borderId="0" xfId="16" applyNumberFormat="1" applyFill="1" applyAlignment="1" applyProtection="1">
      <alignment horizontal="center" vertical="center"/>
      <protection hidden="1"/>
    </xf>
    <xf numFmtId="0" fontId="180" fillId="8" borderId="0" xfId="16" applyFill="1" applyAlignment="1" applyProtection="1">
      <alignment horizontal="left"/>
      <protection hidden="1"/>
    </xf>
    <xf numFmtId="0" fontId="196" fillId="8" borderId="0" xfId="0" applyFont="1" applyFill="1" applyAlignment="1" applyProtection="1">
      <alignment horizontal="left" indent="1"/>
      <protection hidden="1"/>
    </xf>
    <xf numFmtId="44" fontId="170" fillId="2" borderId="0" xfId="5" applyFont="1" applyFill="1" applyBorder="1" applyAlignment="1" applyProtection="1">
      <alignment horizontal="right" vertical="center" indent="1"/>
      <protection locked="0"/>
    </xf>
    <xf numFmtId="44" fontId="170" fillId="2" borderId="0" xfId="5" applyFont="1" applyFill="1" applyBorder="1" applyAlignment="1" applyProtection="1">
      <alignment horizontal="right" vertical="center" indent="2"/>
    </xf>
    <xf numFmtId="0" fontId="176" fillId="0" borderId="0" xfId="10" applyFont="1" applyFill="1" applyBorder="1" applyAlignment="1">
      <alignment horizontal="right" vertical="center" wrapText="1" indent="2"/>
    </xf>
    <xf numFmtId="0" fontId="176" fillId="0" borderId="0" xfId="10" applyFont="1" applyFill="1" applyBorder="1" applyAlignment="1">
      <alignment horizontal="center" vertical="center" wrapText="1"/>
    </xf>
    <xf numFmtId="44" fontId="188" fillId="53" borderId="0" xfId="5" applyFont="1" applyFill="1" applyBorder="1" applyProtection="1"/>
    <xf numFmtId="0" fontId="176" fillId="0" borderId="0" xfId="0" applyFont="1" applyAlignment="1">
      <alignment horizontal="left" vertical="center" indent="2"/>
    </xf>
    <xf numFmtId="38" fontId="176" fillId="0" borderId="0" xfId="0" applyNumberFormat="1" applyFont="1" applyAlignment="1">
      <alignment horizontal="right" vertical="center" indent="1"/>
    </xf>
    <xf numFmtId="38" fontId="176" fillId="0" borderId="0" xfId="0" applyNumberFormat="1" applyFont="1" applyAlignment="1">
      <alignment horizontal="right" vertical="center" indent="2"/>
    </xf>
    <xf numFmtId="0" fontId="176" fillId="46" borderId="0" xfId="10" applyFont="1" applyFill="1" applyBorder="1" applyAlignment="1">
      <alignment horizontal="left" vertical="center" indent="2"/>
    </xf>
    <xf numFmtId="0" fontId="170" fillId="46" borderId="0" xfId="6" applyFont="1" applyFill="1" applyAlignment="1" applyProtection="1">
      <alignment horizontal="left" vertical="center" wrapText="1" indent="2"/>
      <protection locked="0"/>
    </xf>
    <xf numFmtId="0" fontId="176" fillId="0" borderId="0" xfId="10" applyFont="1" applyFill="1" applyBorder="1" applyAlignment="1">
      <alignment horizontal="center" vertical="center"/>
    </xf>
    <xf numFmtId="0" fontId="176" fillId="52" borderId="493" xfId="10" applyFont="1" applyFill="1" applyBorder="1" applyAlignment="1">
      <alignment horizontal="left" vertical="center" indent="2"/>
    </xf>
    <xf numFmtId="0" fontId="4" fillId="3" borderId="0" xfId="0" applyFont="1" applyFill="1" applyAlignment="1" applyProtection="1">
      <alignment horizontal="left" vertical="center"/>
      <protection locked="0" hidden="1"/>
    </xf>
    <xf numFmtId="237" fontId="197" fillId="54" borderId="494" xfId="13" applyNumberFormat="1" applyFont="1" applyFill="1" applyBorder="1" applyAlignment="1" applyProtection="1">
      <alignment horizontal="center" vertical="center"/>
      <protection locked="0"/>
    </xf>
    <xf numFmtId="0" fontId="189" fillId="4" borderId="0" xfId="19" applyFont="1" applyFill="1" applyAlignment="1">
      <alignment horizontal="center"/>
    </xf>
    <xf numFmtId="0" fontId="170" fillId="2" borderId="0" xfId="6" applyFont="1" applyFill="1" applyAlignment="1" applyProtection="1">
      <alignment horizontal="right" vertical="center" wrapText="1" indent="1"/>
      <protection locked="0"/>
    </xf>
    <xf numFmtId="235" fontId="176" fillId="0" borderId="0" xfId="0" applyNumberFormat="1" applyFont="1" applyAlignment="1">
      <alignment horizontal="left" vertical="center" indent="2"/>
    </xf>
    <xf numFmtId="10" fontId="188" fillId="44" borderId="0" xfId="1" applyNumberFormat="1" applyFont="1" applyFill="1" applyBorder="1" applyProtection="1"/>
    <xf numFmtId="236" fontId="1" fillId="8" borderId="97" xfId="5" applyNumberFormat="1" applyFont="1" applyFill="1" applyBorder="1" applyAlignment="1" applyProtection="1">
      <alignment vertical="center"/>
      <protection hidden="1"/>
    </xf>
    <xf numFmtId="44" fontId="1" fillId="8" borderId="98" xfId="5" applyFont="1" applyFill="1" applyBorder="1" applyAlignment="1" applyProtection="1">
      <alignment vertical="center"/>
      <protection hidden="1"/>
    </xf>
    <xf numFmtId="44" fontId="1" fillId="8" borderId="233" xfId="5" applyFont="1" applyFill="1" applyBorder="1" applyAlignment="1" applyProtection="1">
      <alignment vertical="center"/>
      <protection hidden="1"/>
    </xf>
    <xf numFmtId="0" fontId="182" fillId="8" borderId="83" xfId="15" applyFont="1" applyFill="1" applyBorder="1" applyAlignment="1" applyProtection="1">
      <alignment vertical="center"/>
      <protection hidden="1"/>
    </xf>
    <xf numFmtId="0" fontId="182" fillId="8" borderId="98" xfId="15" applyFont="1" applyFill="1" applyBorder="1" applyAlignment="1" applyProtection="1">
      <alignment vertical="center"/>
      <protection hidden="1"/>
    </xf>
    <xf numFmtId="0" fontId="182" fillId="8" borderId="233" xfId="15" applyFont="1" applyFill="1" applyBorder="1" applyAlignment="1" applyProtection="1">
      <alignment vertical="center"/>
      <protection hidden="1"/>
    </xf>
    <xf numFmtId="0" fontId="182" fillId="8" borderId="84" xfId="15" applyFont="1" applyFill="1" applyBorder="1" applyAlignment="1" applyProtection="1">
      <alignment horizontal="right" vertical="center"/>
      <protection hidden="1"/>
    </xf>
    <xf numFmtId="0" fontId="194" fillId="53" borderId="492" xfId="20" applyNumberFormat="1" applyFill="1" applyAlignment="1" applyProtection="1">
      <alignment horizontal="left" vertical="center" indent="1"/>
      <protection hidden="1"/>
    </xf>
    <xf numFmtId="0" fontId="194" fillId="53" borderId="497" xfId="20" applyFill="1" applyBorder="1" applyAlignment="1" applyProtection="1">
      <alignment horizontal="center" vertical="center" wrapText="1"/>
    </xf>
    <xf numFmtId="44" fontId="197" fillId="54" borderId="494" xfId="13" applyNumberFormat="1" applyFont="1" applyFill="1" applyBorder="1" applyAlignment="1" applyProtection="1">
      <alignment horizontal="center" vertical="center"/>
    </xf>
    <xf numFmtId="237" fontId="197" fillId="54" borderId="494" xfId="13" applyNumberFormat="1" applyFont="1" applyFill="1" applyBorder="1" applyAlignment="1" applyProtection="1">
      <alignment horizontal="center" vertical="center"/>
    </xf>
    <xf numFmtId="0" fontId="185" fillId="0" borderId="228" xfId="0" applyFont="1" applyBorder="1" applyAlignment="1">
      <alignment horizontal="left" vertical="center" wrapText="1" indent="1"/>
    </xf>
    <xf numFmtId="0" fontId="185" fillId="0" borderId="228" xfId="0" applyFont="1" applyBorder="1" applyAlignment="1">
      <alignment horizontal="center" vertical="center" wrapText="1"/>
    </xf>
    <xf numFmtId="0" fontId="185" fillId="53" borderId="497" xfId="0" applyFont="1" applyFill="1" applyBorder="1" applyAlignment="1">
      <alignment horizontal="center" vertical="center" wrapText="1"/>
    </xf>
    <xf numFmtId="0" fontId="4" fillId="3" borderId="0" xfId="0" applyFont="1" applyFill="1" applyAlignment="1" applyProtection="1">
      <alignment horizontal="left" vertical="center"/>
      <protection hidden="1"/>
    </xf>
    <xf numFmtId="0" fontId="0" fillId="8" borderId="0" xfId="0" applyFill="1" applyAlignment="1">
      <alignment horizontal="left" wrapText="1" indent="1"/>
    </xf>
    <xf numFmtId="0" fontId="185" fillId="0" borderId="231" xfId="0" applyFont="1" applyBorder="1" applyAlignment="1">
      <alignment horizontal="left" vertical="center" indent="1"/>
    </xf>
    <xf numFmtId="0" fontId="186" fillId="0" borderId="231" xfId="0" applyFont="1" applyBorder="1" applyAlignment="1">
      <alignment horizontal="center" vertical="center" wrapText="1"/>
    </xf>
    <xf numFmtId="0" fontId="186" fillId="53" borderId="496" xfId="0" applyFont="1" applyFill="1" applyBorder="1" applyAlignment="1">
      <alignment horizontal="center" vertical="center" wrapText="1"/>
    </xf>
    <xf numFmtId="237" fontId="184" fillId="8" borderId="494" xfId="13" applyNumberFormat="1" applyFont="1" applyFill="1" applyBorder="1" applyAlignment="1" applyProtection="1">
      <alignment horizontal="center" vertical="center"/>
    </xf>
    <xf numFmtId="0" fontId="196" fillId="8" borderId="0" xfId="0" applyFont="1" applyFill="1" applyAlignment="1">
      <alignment horizontal="left" indent="1"/>
    </xf>
    <xf numFmtId="0" fontId="0" fillId="53" borderId="498" xfId="0" applyFill="1" applyBorder="1" applyAlignment="1">
      <alignment horizontal="left" wrapText="1" indent="1"/>
    </xf>
    <xf numFmtId="0" fontId="0" fillId="8" borderId="52" xfId="0" applyFill="1" applyBorder="1" applyAlignment="1" applyProtection="1">
      <alignment horizontal="left" wrapText="1" indent="1"/>
      <protection hidden="1"/>
    </xf>
    <xf numFmtId="0" fontId="178" fillId="8" borderId="52" xfId="14" applyFill="1" applyBorder="1" applyAlignment="1" applyProtection="1">
      <alignment horizontal="left" vertical="center"/>
      <protection hidden="1"/>
    </xf>
    <xf numFmtId="44" fontId="202" fillId="8" borderId="0" xfId="16" applyNumberFormat="1" applyFont="1" applyFill="1" applyBorder="1" applyAlignment="1" applyProtection="1">
      <alignment horizontal="right" vertical="center" indent="16"/>
      <protection hidden="1"/>
    </xf>
    <xf numFmtId="44" fontId="202" fillId="8" borderId="0" xfId="16" applyNumberFormat="1" applyFont="1" applyFill="1" applyBorder="1" applyAlignment="1" applyProtection="1">
      <alignment horizontal="right" vertical="top"/>
      <protection hidden="1"/>
    </xf>
    <xf numFmtId="44" fontId="202" fillId="8" borderId="0" xfId="16" applyNumberFormat="1" applyFont="1" applyFill="1" applyBorder="1" applyAlignment="1" applyProtection="1">
      <alignment horizontal="right" vertical="top" indent="16"/>
      <protection hidden="1"/>
    </xf>
    <xf numFmtId="0" fontId="194" fillId="53" borderId="492" xfId="20" applyNumberFormat="1" applyFill="1" applyAlignment="1" applyProtection="1">
      <alignment horizontal="left" vertical="center" indent="1"/>
    </xf>
    <xf numFmtId="0" fontId="194" fillId="4" borderId="501" xfId="20" applyFill="1" applyBorder="1" applyAlignment="1" applyProtection="1">
      <alignment horizontal="center" vertical="center" wrapText="1"/>
    </xf>
    <xf numFmtId="0" fontId="194" fillId="4" borderId="492" xfId="20" applyFill="1" applyAlignment="1" applyProtection="1">
      <alignment horizontal="left" vertical="center" indent="1"/>
    </xf>
    <xf numFmtId="14" fontId="194" fillId="4" borderId="492" xfId="20" quotePrefix="1" applyNumberFormat="1" applyFill="1" applyAlignment="1" applyProtection="1">
      <alignment horizontal="center" vertical="center"/>
      <protection locked="0"/>
    </xf>
    <xf numFmtId="0" fontId="194" fillId="55" borderId="492" xfId="20" applyFill="1" applyAlignment="1" applyProtection="1">
      <alignment horizontal="left" vertical="center" indent="1"/>
    </xf>
    <xf numFmtId="0" fontId="194" fillId="55" borderId="501" xfId="20" applyFill="1" applyBorder="1" applyAlignment="1" applyProtection="1">
      <alignment horizontal="center" vertical="center" wrapText="1"/>
    </xf>
    <xf numFmtId="14" fontId="194" fillId="55" borderId="492" xfId="20" quotePrefix="1" applyNumberFormat="1" applyFill="1" applyAlignment="1" applyProtection="1">
      <alignment horizontal="center" vertical="center"/>
      <protection locked="0"/>
    </xf>
    <xf numFmtId="0" fontId="203" fillId="55" borderId="495" xfId="20" applyFont="1" applyFill="1" applyBorder="1" applyAlignment="1" applyProtection="1">
      <alignment horizontal="center" vertical="center" wrapText="1"/>
    </xf>
    <xf numFmtId="0" fontId="203" fillId="4" borderId="495" xfId="20" applyFont="1" applyFill="1" applyBorder="1" applyAlignment="1" applyProtection="1">
      <alignment horizontal="center" vertical="center" wrapText="1"/>
    </xf>
    <xf numFmtId="14" fontId="75" fillId="35" borderId="0" xfId="0" applyNumberFormat="1" applyFont="1" applyFill="1" applyAlignment="1" applyProtection="1">
      <alignment horizontal="centerContinuous" vertical="center"/>
      <protection hidden="1"/>
    </xf>
    <xf numFmtId="0" fontId="75" fillId="35" borderId="0" xfId="0" applyFont="1" applyFill="1" applyAlignment="1" applyProtection="1">
      <alignment horizontal="right" vertical="center"/>
      <protection hidden="1"/>
    </xf>
    <xf numFmtId="236" fontId="1" fillId="15" borderId="229" xfId="5" applyNumberFormat="1" applyFont="1" applyFill="1" applyBorder="1" applyAlignment="1" applyProtection="1">
      <alignment vertical="center"/>
      <protection locked="0" hidden="1"/>
    </xf>
    <xf numFmtId="0" fontId="194" fillId="55" borderId="492" xfId="20" applyFill="1" applyAlignment="1" applyProtection="1">
      <alignment horizontal="left" vertical="center" indent="1"/>
      <protection locked="0"/>
    </xf>
    <xf numFmtId="0" fontId="194" fillId="55" borderId="501" xfId="20" applyFill="1" applyBorder="1" applyAlignment="1" applyProtection="1">
      <alignment horizontal="center" vertical="center" wrapText="1"/>
      <protection locked="0"/>
    </xf>
    <xf numFmtId="0" fontId="194" fillId="4" borderId="492" xfId="20" applyFill="1" applyAlignment="1" applyProtection="1">
      <alignment horizontal="left" vertical="center" indent="1"/>
      <protection locked="0"/>
    </xf>
    <xf numFmtId="0" fontId="194" fillId="4" borderId="501" xfId="20" applyFill="1" applyBorder="1" applyAlignment="1" applyProtection="1">
      <alignment horizontal="center" vertical="center" wrapText="1"/>
      <protection locked="0"/>
    </xf>
    <xf numFmtId="0" fontId="194" fillId="55" borderId="495" xfId="20" applyFill="1" applyBorder="1" applyAlignment="1" applyProtection="1">
      <alignment horizontal="center" vertical="center" wrapText="1"/>
      <protection locked="0"/>
    </xf>
    <xf numFmtId="0" fontId="194" fillId="4" borderId="495" xfId="20" applyFill="1" applyBorder="1" applyAlignment="1" applyProtection="1">
      <alignment horizontal="center" vertical="center" wrapText="1"/>
      <protection locked="0"/>
    </xf>
    <xf numFmtId="0" fontId="75" fillId="35" borderId="0" xfId="0" applyFont="1" applyFill="1" applyAlignment="1" applyProtection="1">
      <alignment horizontal="centerContinuous" vertical="center"/>
      <protection locked="0" hidden="1"/>
    </xf>
    <xf numFmtId="0" fontId="4" fillId="3" borderId="0" xfId="0" applyFont="1" applyFill="1" applyAlignment="1" applyProtection="1">
      <alignment vertical="center"/>
      <protection locked="0"/>
    </xf>
    <xf numFmtId="0" fontId="201" fillId="4" borderId="0" xfId="0" applyFont="1" applyFill="1" applyProtection="1">
      <protection hidden="1"/>
    </xf>
    <xf numFmtId="0" fontId="4" fillId="53" borderId="0" xfId="0" applyFont="1" applyFill="1" applyAlignment="1" applyProtection="1">
      <alignment vertical="center"/>
      <protection hidden="1"/>
    </xf>
    <xf numFmtId="0" fontId="0" fillId="53" borderId="0" xfId="0" applyFill="1" applyProtection="1">
      <protection hidden="1"/>
    </xf>
    <xf numFmtId="0" fontId="181" fillId="33" borderId="0" xfId="0" applyFont="1" applyFill="1" applyProtection="1">
      <protection locked="0"/>
    </xf>
    <xf numFmtId="0" fontId="0" fillId="33" borderId="0" xfId="0" applyFill="1" applyProtection="1">
      <protection locked="0"/>
    </xf>
    <xf numFmtId="0" fontId="0" fillId="48" borderId="0" xfId="0" applyFill="1" applyProtection="1">
      <protection locked="0"/>
    </xf>
    <xf numFmtId="0" fontId="0" fillId="49" borderId="0" xfId="0" applyFill="1" applyProtection="1">
      <protection locked="0"/>
    </xf>
    <xf numFmtId="0" fontId="141" fillId="40" borderId="0" xfId="0" applyFont="1" applyFill="1" applyAlignment="1" applyProtection="1">
      <alignment horizontal="center" vertical="center" wrapText="1"/>
      <protection locked="0" hidden="1"/>
    </xf>
    <xf numFmtId="0" fontId="141" fillId="40" borderId="0" xfId="0" applyFont="1" applyFill="1" applyAlignment="1" applyProtection="1">
      <alignment vertical="center"/>
      <protection hidden="1"/>
    </xf>
    <xf numFmtId="0" fontId="156" fillId="4" borderId="0" xfId="0" applyFont="1" applyFill="1" applyAlignment="1" applyProtection="1">
      <alignment vertical="center"/>
      <protection hidden="1"/>
    </xf>
    <xf numFmtId="0" fontId="0" fillId="4" borderId="0" xfId="0" applyFill="1" applyAlignment="1" applyProtection="1">
      <alignment horizontal="left" wrapText="1" indent="1"/>
      <protection hidden="1"/>
    </xf>
    <xf numFmtId="0" fontId="204" fillId="5" borderId="495" xfId="20" applyFont="1" applyFill="1" applyBorder="1" applyAlignment="1" applyProtection="1">
      <alignment horizontal="center" vertical="center" wrapText="1"/>
    </xf>
    <xf numFmtId="0" fontId="194" fillId="5" borderId="495" xfId="20" applyFill="1" applyBorder="1" applyAlignment="1" applyProtection="1">
      <alignment horizontal="center" vertical="center" wrapText="1"/>
      <protection locked="0"/>
    </xf>
    <xf numFmtId="0" fontId="5" fillId="4" borderId="0" xfId="2" applyFont="1" applyFill="1" applyAlignment="1" applyProtection="1">
      <alignment horizontal="left" vertical="center" indent="1"/>
      <protection hidden="1"/>
    </xf>
    <xf numFmtId="0" fontId="5" fillId="4" borderId="0" xfId="2" quotePrefix="1" applyFont="1" applyFill="1" applyAlignment="1" applyProtection="1">
      <alignment horizontal="left" vertical="center" indent="1"/>
      <protection hidden="1"/>
    </xf>
    <xf numFmtId="0" fontId="204" fillId="31" borderId="495" xfId="20" quotePrefix="1" applyFont="1" applyFill="1" applyBorder="1" applyAlignment="1" applyProtection="1">
      <alignment horizontal="center" vertical="center" wrapText="1"/>
    </xf>
    <xf numFmtId="0" fontId="33" fillId="4" borderId="0" xfId="2" applyFont="1" applyFill="1" applyAlignment="1" applyProtection="1">
      <alignment vertical="center"/>
      <protection hidden="1"/>
    </xf>
    <xf numFmtId="0" fontId="33" fillId="5" borderId="150" xfId="2" applyFont="1" applyFill="1" applyBorder="1" applyAlignment="1" applyProtection="1">
      <alignment vertical="center"/>
      <protection hidden="1"/>
    </xf>
    <xf numFmtId="0" fontId="47" fillId="5" borderId="100" xfId="0" applyFont="1" applyFill="1" applyBorder="1" applyAlignment="1" applyProtection="1">
      <alignment vertical="center"/>
      <protection hidden="1"/>
    </xf>
    <xf numFmtId="0" fontId="64" fillId="5" borderId="100" xfId="0" applyFont="1" applyFill="1" applyBorder="1" applyAlignment="1" applyProtection="1">
      <alignment vertical="center"/>
      <protection hidden="1"/>
    </xf>
    <xf numFmtId="0" fontId="33" fillId="5" borderId="156" xfId="2" applyFont="1" applyFill="1" applyBorder="1" applyAlignment="1" applyProtection="1">
      <alignment vertical="center"/>
      <protection hidden="1"/>
    </xf>
    <xf numFmtId="0" fontId="47" fillId="5" borderId="0" xfId="0" applyFont="1" applyFill="1" applyAlignment="1" applyProtection="1">
      <alignment vertical="center"/>
      <protection hidden="1"/>
    </xf>
    <xf numFmtId="0" fontId="33" fillId="5" borderId="152" xfId="2" applyFont="1" applyFill="1" applyBorder="1" applyAlignment="1" applyProtection="1">
      <alignment vertical="center"/>
      <protection hidden="1"/>
    </xf>
    <xf numFmtId="0" fontId="47" fillId="5" borderId="153" xfId="0" applyFont="1" applyFill="1" applyBorder="1" applyAlignment="1" applyProtection="1">
      <alignment vertical="center"/>
      <protection hidden="1"/>
    </xf>
    <xf numFmtId="0" fontId="33" fillId="4" borderId="0" xfId="2" applyFont="1" applyFill="1" applyAlignment="1" applyProtection="1">
      <alignment horizontal="left" vertical="center"/>
      <protection hidden="1"/>
    </xf>
    <xf numFmtId="0" fontId="47" fillId="4" borderId="139" xfId="0" applyFont="1" applyFill="1" applyBorder="1" applyAlignment="1" applyProtection="1">
      <alignment vertical="center"/>
      <protection hidden="1"/>
    </xf>
    <xf numFmtId="0" fontId="47" fillId="4" borderId="0" xfId="2" applyFont="1" applyFill="1" applyAlignment="1" applyProtection="1">
      <alignment vertical="center"/>
      <protection hidden="1"/>
    </xf>
    <xf numFmtId="165" fontId="47" fillId="4" borderId="0" xfId="0" applyNumberFormat="1" applyFont="1" applyFill="1" applyProtection="1">
      <protection hidden="1"/>
    </xf>
    <xf numFmtId="0" fontId="33" fillId="5" borderId="0" xfId="2" applyFont="1" applyFill="1" applyAlignment="1" applyProtection="1">
      <alignment vertical="center"/>
      <protection hidden="1"/>
    </xf>
    <xf numFmtId="0" fontId="47" fillId="5" borderId="0" xfId="0" applyFont="1" applyFill="1" applyProtection="1">
      <protection hidden="1"/>
    </xf>
    <xf numFmtId="165" fontId="47" fillId="5" borderId="0" xfId="0" applyNumberFormat="1" applyFont="1" applyFill="1" applyProtection="1">
      <protection hidden="1"/>
    </xf>
    <xf numFmtId="0" fontId="60" fillId="4" borderId="0" xfId="2" applyFont="1" applyFill="1" applyAlignment="1" applyProtection="1">
      <alignment vertical="center"/>
      <protection hidden="1"/>
    </xf>
    <xf numFmtId="0" fontId="32" fillId="5" borderId="134" xfId="2" applyFont="1" applyFill="1" applyBorder="1" applyAlignment="1" applyProtection="1">
      <alignment horizontal="left" vertical="center"/>
      <protection hidden="1"/>
    </xf>
    <xf numFmtId="0" fontId="47" fillId="5" borderId="134" xfId="0" applyFont="1" applyFill="1" applyBorder="1" applyProtection="1">
      <protection hidden="1"/>
    </xf>
    <xf numFmtId="0" fontId="209" fillId="5" borderId="134" xfId="2" applyFont="1" applyFill="1" applyBorder="1" applyAlignment="1" applyProtection="1">
      <alignment vertical="center"/>
      <protection hidden="1"/>
    </xf>
    <xf numFmtId="0" fontId="47" fillId="5" borderId="134" xfId="2" applyFont="1" applyFill="1" applyBorder="1" applyAlignment="1" applyProtection="1">
      <alignment vertical="center"/>
      <protection hidden="1"/>
    </xf>
    <xf numFmtId="0" fontId="209" fillId="4" borderId="0" xfId="2" applyFont="1" applyFill="1" applyAlignment="1" applyProtection="1">
      <alignment vertical="center"/>
      <protection hidden="1"/>
    </xf>
    <xf numFmtId="0" fontId="213" fillId="4" borderId="101" xfId="2" applyFont="1" applyFill="1" applyBorder="1" applyAlignment="1" applyProtection="1">
      <alignment horizontal="left" vertical="center"/>
      <protection hidden="1"/>
    </xf>
    <xf numFmtId="0" fontId="214" fillId="4" borderId="102" xfId="0" applyFont="1" applyFill="1" applyBorder="1" applyProtection="1">
      <protection hidden="1"/>
    </xf>
    <xf numFmtId="0" fontId="214" fillId="4" borderId="103" xfId="0" applyFont="1" applyFill="1" applyBorder="1" applyProtection="1">
      <protection hidden="1"/>
    </xf>
    <xf numFmtId="0" fontId="47" fillId="4" borderId="136" xfId="0" applyFont="1" applyFill="1" applyBorder="1" applyAlignment="1" applyProtection="1">
      <alignment vertical="center"/>
      <protection hidden="1"/>
    </xf>
    <xf numFmtId="0" fontId="47" fillId="4" borderId="108" xfId="0" applyFont="1" applyFill="1" applyBorder="1" applyAlignment="1" applyProtection="1">
      <alignment vertical="center"/>
      <protection hidden="1"/>
    </xf>
    <xf numFmtId="0" fontId="47" fillId="4" borderId="509" xfId="0" applyFont="1" applyFill="1" applyBorder="1" applyProtection="1">
      <protection hidden="1"/>
    </xf>
    <xf numFmtId="0" fontId="47" fillId="4" borderId="508" xfId="0" applyFont="1" applyFill="1" applyBorder="1" applyProtection="1">
      <protection hidden="1"/>
    </xf>
    <xf numFmtId="0" fontId="32" fillId="5" borderId="179" xfId="0" applyFont="1" applyFill="1" applyBorder="1" applyAlignment="1" applyProtection="1">
      <alignment horizontal="centerContinuous" vertical="center"/>
      <protection hidden="1"/>
    </xf>
    <xf numFmtId="0" fontId="32" fillId="5" borderId="505" xfId="0" applyFont="1" applyFill="1" applyBorder="1" applyAlignment="1" applyProtection="1">
      <alignment horizontal="centerContinuous" vertical="center"/>
      <protection hidden="1"/>
    </xf>
    <xf numFmtId="0" fontId="69" fillId="5" borderId="516" xfId="0" applyFont="1" applyFill="1" applyBorder="1" applyAlignment="1" applyProtection="1">
      <alignment horizontal="center" vertical="center"/>
      <protection locked="0"/>
    </xf>
    <xf numFmtId="0" fontId="0" fillId="0" borderId="0" xfId="0" applyAlignment="1" applyProtection="1">
      <alignment horizontal="center" vertical="center" wrapText="1"/>
      <protection hidden="1"/>
    </xf>
    <xf numFmtId="0" fontId="4" fillId="3" borderId="0" xfId="0" applyFont="1" applyFill="1" applyAlignment="1" applyProtection="1">
      <alignment vertical="center" wrapText="1"/>
      <protection hidden="1"/>
    </xf>
    <xf numFmtId="0" fontId="4" fillId="3" borderId="0" xfId="0" applyFont="1" applyFill="1" applyAlignment="1" applyProtection="1">
      <alignment horizontal="center" vertical="center"/>
      <protection hidden="1"/>
    </xf>
    <xf numFmtId="0" fontId="166" fillId="4" borderId="0" xfId="6" applyFill="1" applyAlignment="1">
      <alignment horizontal="right" vertical="center" wrapText="1" indent="1"/>
    </xf>
    <xf numFmtId="0" fontId="166" fillId="4" borderId="0" xfId="6" applyFill="1">
      <alignment horizontal="left" vertical="center" wrapText="1" indent="1"/>
    </xf>
    <xf numFmtId="0" fontId="166" fillId="4" borderId="0" xfId="6" applyFill="1" applyAlignment="1">
      <alignment horizontal="center" vertical="center" wrapText="1"/>
    </xf>
    <xf numFmtId="1" fontId="166" fillId="4" borderId="0" xfId="5" applyNumberFormat="1" applyFont="1" applyFill="1" applyAlignment="1">
      <alignment horizontal="center" vertical="center" wrapText="1"/>
    </xf>
    <xf numFmtId="2" fontId="166" fillId="4" borderId="0" xfId="5" applyNumberFormat="1" applyFont="1" applyFill="1" applyAlignment="1">
      <alignment horizontal="left" vertical="center" wrapText="1" indent="1"/>
    </xf>
    <xf numFmtId="44" fontId="166" fillId="56" borderId="0" xfId="5" applyFont="1" applyFill="1" applyAlignment="1">
      <alignment horizontal="left" vertical="center" wrapText="1" indent="1"/>
    </xf>
    <xf numFmtId="44" fontId="166" fillId="57" borderId="0" xfId="5" applyFont="1" applyFill="1" applyAlignment="1">
      <alignment horizontal="left" vertical="center" wrapText="1" indent="1"/>
    </xf>
    <xf numFmtId="0" fontId="166" fillId="53" borderId="0" xfId="6" applyFill="1">
      <alignment horizontal="left" vertical="center" wrapText="1" indent="1"/>
    </xf>
    <xf numFmtId="44" fontId="166" fillId="4" borderId="0" xfId="5" applyFont="1" applyFill="1" applyAlignment="1">
      <alignment horizontal="left" vertical="center" wrapText="1" indent="1"/>
    </xf>
    <xf numFmtId="0" fontId="215" fillId="0" borderId="0" xfId="0" applyFont="1" applyAlignment="1">
      <alignment horizontal="center" vertical="center"/>
    </xf>
    <xf numFmtId="0" fontId="0" fillId="0" borderId="0" xfId="5" applyNumberFormat="1" applyFont="1" applyAlignment="1">
      <alignment horizontal="center" vertical="center"/>
    </xf>
    <xf numFmtId="0" fontId="0" fillId="0" borderId="0" xfId="5" applyNumberFormat="1" applyFont="1" applyAlignment="1">
      <alignment horizontal="center" vertical="center" wrapText="1"/>
    </xf>
    <xf numFmtId="44" fontId="0" fillId="0" borderId="0" xfId="5" applyFont="1" applyAlignment="1">
      <alignment horizontal="center" vertical="center" wrapText="1"/>
    </xf>
    <xf numFmtId="44" fontId="0" fillId="0" borderId="0" xfId="5" applyFont="1" applyFill="1" applyAlignment="1" applyProtection="1">
      <alignment horizontal="center" vertical="center" wrapText="1"/>
      <protection locked="0"/>
    </xf>
    <xf numFmtId="0" fontId="0" fillId="0" borderId="0" xfId="0" applyAlignment="1">
      <alignment horizontal="center" vertical="center" wrapText="1"/>
    </xf>
    <xf numFmtId="0" fontId="216" fillId="0" borderId="0" xfId="4" applyNumberFormat="1" applyFont="1" applyFill="1" applyAlignment="1" applyProtection="1">
      <alignment horizontal="center" vertical="center" wrapText="1"/>
      <protection locked="0"/>
    </xf>
    <xf numFmtId="0" fontId="216" fillId="0" borderId="0" xfId="4" applyNumberFormat="1" applyFont="1" applyFill="1" applyAlignment="1">
      <alignment horizontal="center" vertical="center" wrapText="1"/>
    </xf>
    <xf numFmtId="0" fontId="216" fillId="0" borderId="0" xfId="4" applyFont="1" applyFill="1" applyAlignment="1">
      <alignment horizontal="center" vertical="center" wrapText="1"/>
    </xf>
    <xf numFmtId="0" fontId="4" fillId="0" borderId="0" xfId="0" applyFont="1" applyAlignment="1">
      <alignment horizontal="center" vertical="center" wrapText="1"/>
    </xf>
    <xf numFmtId="44" fontId="4" fillId="0" borderId="0" xfId="5" applyFont="1" applyFill="1" applyAlignment="1">
      <alignment horizontal="center" vertical="center" wrapText="1"/>
    </xf>
    <xf numFmtId="0" fontId="4" fillId="0" borderId="0" xfId="0" applyFont="1" applyAlignment="1" applyProtection="1">
      <alignment horizontal="center" vertical="center" wrapText="1"/>
      <protection locked="0"/>
    </xf>
    <xf numFmtId="44" fontId="4" fillId="0" borderId="0" xfId="5" applyFont="1" applyFill="1" applyAlignment="1" applyProtection="1">
      <alignment horizontal="center" vertical="center" wrapText="1"/>
      <protection locked="0"/>
    </xf>
    <xf numFmtId="0" fontId="216" fillId="0" borderId="0" xfId="4"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217" fillId="0" borderId="0" xfId="0" applyFont="1" applyAlignment="1">
      <alignment horizontal="center" vertical="center" wrapText="1"/>
    </xf>
    <xf numFmtId="0" fontId="4" fillId="0" borderId="0" xfId="0" quotePrefix="1" applyFont="1" applyAlignment="1">
      <alignment horizontal="center" vertical="center" wrapText="1"/>
    </xf>
    <xf numFmtId="0" fontId="54" fillId="3" borderId="0" xfId="0" applyFont="1" applyFill="1" applyAlignment="1" applyProtection="1">
      <alignment horizontal="left" vertical="center"/>
      <protection hidden="1"/>
    </xf>
    <xf numFmtId="0" fontId="156" fillId="37" borderId="0" xfId="0" applyFont="1" applyFill="1" applyAlignment="1" applyProtection="1">
      <alignment vertical="center" wrapText="1"/>
      <protection hidden="1"/>
    </xf>
    <xf numFmtId="0" fontId="166" fillId="37" borderId="0" xfId="6" applyFill="1">
      <alignment horizontal="left" vertical="center" wrapText="1" indent="1"/>
    </xf>
    <xf numFmtId="0" fontId="219" fillId="37" borderId="0" xfId="4" applyFont="1" applyFill="1" applyAlignment="1">
      <alignment horizontal="left" vertical="center" wrapText="1" indent="1"/>
    </xf>
    <xf numFmtId="0" fontId="4" fillId="0" borderId="0" xfId="0" applyFont="1"/>
    <xf numFmtId="0" fontId="216" fillId="0" borderId="0" xfId="4" applyFont="1" applyAlignment="1">
      <alignment horizontal="center" vertical="center"/>
    </xf>
    <xf numFmtId="0" fontId="65" fillId="0" borderId="0" xfId="4" applyFill="1" applyAlignment="1">
      <alignment horizontal="center" vertical="center" wrapText="1"/>
    </xf>
    <xf numFmtId="0" fontId="216" fillId="0" borderId="0" xfId="4" applyFont="1" applyFill="1"/>
    <xf numFmtId="44" fontId="0" fillId="0" borderId="0" xfId="5" applyFont="1"/>
    <xf numFmtId="0" fontId="0" fillId="2" borderId="60" xfId="0" applyFill="1" applyBorder="1" applyAlignment="1">
      <alignment horizontal="center"/>
    </xf>
    <xf numFmtId="0" fontId="97" fillId="35" borderId="0" xfId="0" applyFont="1" applyFill="1" applyAlignment="1" applyProtection="1">
      <alignment horizontal="center" vertical="center"/>
      <protection hidden="1"/>
    </xf>
    <xf numFmtId="0" fontId="106" fillId="0" borderId="0" xfId="0" applyFont="1" applyAlignment="1" applyProtection="1">
      <alignment horizontal="justify" vertical="justify" wrapText="1"/>
      <protection hidden="1"/>
    </xf>
    <xf numFmtId="0" fontId="106" fillId="0" borderId="0" xfId="0" applyFont="1" applyAlignment="1" applyProtection="1">
      <alignment horizontal="justify" vertical="center" wrapText="1"/>
      <protection hidden="1"/>
    </xf>
    <xf numFmtId="0" fontId="22" fillId="8" borderId="0" xfId="4" applyFont="1" applyFill="1" applyAlignment="1" applyProtection="1">
      <alignment horizontal="center" vertical="center"/>
      <protection hidden="1"/>
    </xf>
    <xf numFmtId="0" fontId="22" fillId="28" borderId="0" xfId="4" applyFont="1" applyFill="1" applyAlignment="1" applyProtection="1">
      <alignment horizontal="center" vertical="center"/>
      <protection hidden="1"/>
    </xf>
    <xf numFmtId="0" fontId="18" fillId="20" borderId="0" xfId="4" applyFont="1" applyFill="1" applyAlignment="1" applyProtection="1">
      <alignment horizontal="center" vertical="center"/>
      <protection hidden="1"/>
    </xf>
    <xf numFmtId="0" fontId="18" fillId="43" borderId="0" xfId="4" applyFont="1" applyFill="1" applyAlignment="1" applyProtection="1">
      <alignment horizontal="center" vertical="center"/>
      <protection hidden="1"/>
    </xf>
    <xf numFmtId="0" fontId="145" fillId="0" borderId="96" xfId="0" applyFont="1" applyBorder="1" applyAlignment="1" applyProtection="1">
      <alignment horizontal="center" vertical="center"/>
      <protection hidden="1"/>
    </xf>
    <xf numFmtId="0" fontId="157" fillId="0" borderId="96" xfId="0" applyFont="1" applyBorder="1" applyAlignment="1" applyProtection="1">
      <alignment horizontal="center" vertical="center"/>
      <protection hidden="1"/>
    </xf>
    <xf numFmtId="0" fontId="18" fillId="20" borderId="0" xfId="0" applyFont="1" applyFill="1" applyAlignment="1" applyProtection="1">
      <alignment horizontal="center" vertical="center"/>
      <protection hidden="1"/>
    </xf>
    <xf numFmtId="0" fontId="18" fillId="20" borderId="0" xfId="0" applyFont="1" applyFill="1" applyAlignment="1" applyProtection="1">
      <alignment horizontal="center" vertical="center" wrapText="1"/>
      <protection hidden="1"/>
    </xf>
    <xf numFmtId="0" fontId="22" fillId="29" borderId="0" xfId="4" applyFont="1" applyFill="1" applyAlignment="1" applyProtection="1">
      <alignment horizontal="center" vertical="center"/>
      <protection hidden="1"/>
    </xf>
    <xf numFmtId="0" fontId="22" fillId="30" borderId="0" xfId="4" applyFont="1" applyFill="1" applyAlignment="1" applyProtection="1">
      <alignment horizontal="center" vertical="center"/>
      <protection hidden="1"/>
    </xf>
    <xf numFmtId="0" fontId="94" fillId="35" borderId="0" xfId="0" applyFont="1" applyFill="1" applyAlignment="1" applyProtection="1">
      <alignment horizontal="center" vertical="center" wrapText="1"/>
      <protection hidden="1"/>
    </xf>
    <xf numFmtId="0" fontId="145" fillId="15" borderId="4" xfId="3" applyNumberFormat="1" applyFont="1" applyFill="1" applyBorder="1" applyAlignment="1" applyProtection="1">
      <alignment horizontal="center" vertical="center" wrapText="1"/>
      <protection hidden="1"/>
    </xf>
    <xf numFmtId="0" fontId="145" fillId="15" borderId="5" xfId="3" applyNumberFormat="1" applyFont="1" applyFill="1" applyBorder="1" applyAlignment="1" applyProtection="1">
      <alignment horizontal="center" vertical="center" wrapText="1"/>
      <protection hidden="1"/>
    </xf>
    <xf numFmtId="0" fontId="106" fillId="0" borderId="0" xfId="0" applyFont="1" applyAlignment="1" applyProtection="1">
      <alignment horizontal="left" vertical="center" wrapText="1"/>
      <protection hidden="1"/>
    </xf>
    <xf numFmtId="0" fontId="157" fillId="3" borderId="4" xfId="3" applyNumberFormat="1" applyFont="1" applyFill="1" applyBorder="1" applyAlignment="1" applyProtection="1">
      <alignment horizontal="center" vertical="center"/>
      <protection hidden="1"/>
    </xf>
    <xf numFmtId="0" fontId="157" fillId="3" borderId="5" xfId="3" applyNumberFormat="1" applyFont="1" applyFill="1" applyBorder="1" applyAlignment="1" applyProtection="1">
      <alignment horizontal="center" vertical="center"/>
      <protection hidden="1"/>
    </xf>
    <xf numFmtId="44" fontId="209" fillId="4" borderId="0" xfId="5" applyFont="1" applyFill="1" applyBorder="1" applyAlignment="1" applyProtection="1">
      <alignment horizontal="center" vertical="center"/>
      <protection hidden="1"/>
    </xf>
    <xf numFmtId="165" fontId="0" fillId="4" borderId="81" xfId="3" applyNumberFormat="1" applyFont="1" applyFill="1" applyBorder="1" applyAlignment="1" applyProtection="1">
      <alignment horizontal="center" vertical="center"/>
    </xf>
    <xf numFmtId="165" fontId="0" fillId="4" borderId="46" xfId="3" applyNumberFormat="1" applyFont="1" applyFill="1" applyBorder="1" applyAlignment="1" applyProtection="1">
      <alignment horizontal="center" vertical="center"/>
    </xf>
    <xf numFmtId="165" fontId="0" fillId="4" borderId="82" xfId="3" applyNumberFormat="1" applyFont="1" applyFill="1" applyBorder="1" applyAlignment="1" applyProtection="1">
      <alignment horizontal="center" vertical="center"/>
    </xf>
    <xf numFmtId="203" fontId="66" fillId="15" borderId="510" xfId="3" applyNumberFormat="1" applyFont="1" applyFill="1" applyBorder="1" applyAlignment="1" applyProtection="1">
      <alignment horizontal="center" vertical="center"/>
      <protection locked="0"/>
    </xf>
    <xf numFmtId="203" fontId="66" fillId="15" borderId="511" xfId="3" applyNumberFormat="1" applyFont="1" applyFill="1" applyBorder="1" applyAlignment="1" applyProtection="1">
      <alignment horizontal="center" vertical="center"/>
      <protection locked="0"/>
    </xf>
    <xf numFmtId="203" fontId="66" fillId="15" borderId="512" xfId="3" applyNumberFormat="1" applyFont="1" applyFill="1" applyBorder="1" applyAlignment="1" applyProtection="1">
      <alignment horizontal="center" vertical="center"/>
      <protection locked="0"/>
    </xf>
    <xf numFmtId="190" fontId="66" fillId="15" borderId="116" xfId="1" applyNumberFormat="1" applyFont="1" applyFill="1" applyBorder="1" applyAlignment="1" applyProtection="1">
      <alignment horizontal="center" vertical="center"/>
      <protection locked="0"/>
    </xf>
    <xf numFmtId="190" fontId="66" fillId="15" borderId="117" xfId="1" applyNumberFormat="1" applyFont="1" applyFill="1" applyBorder="1" applyAlignment="1" applyProtection="1">
      <alignment horizontal="center" vertical="center"/>
      <protection locked="0"/>
    </xf>
    <xf numFmtId="190" fontId="66" fillId="15" borderId="118" xfId="1" applyNumberFormat="1" applyFont="1" applyFill="1" applyBorder="1" applyAlignment="1" applyProtection="1">
      <alignment horizontal="center" vertical="center"/>
      <protection locked="0"/>
    </xf>
    <xf numFmtId="191" fontId="66" fillId="15" borderId="35" xfId="3" applyNumberFormat="1" applyFont="1" applyFill="1" applyBorder="1" applyAlignment="1" applyProtection="1">
      <alignment horizontal="center" vertical="center"/>
      <protection locked="0"/>
    </xf>
    <xf numFmtId="191" fontId="66" fillId="15" borderId="36" xfId="3" applyNumberFormat="1" applyFont="1" applyFill="1" applyBorder="1" applyAlignment="1" applyProtection="1">
      <alignment horizontal="center" vertical="center"/>
      <protection locked="0"/>
    </xf>
    <xf numFmtId="191" fontId="66" fillId="15" borderId="37" xfId="3" applyNumberFormat="1" applyFont="1" applyFill="1" applyBorder="1" applyAlignment="1" applyProtection="1">
      <alignment horizontal="center" vertical="center"/>
      <protection locked="0"/>
    </xf>
    <xf numFmtId="178" fontId="5" fillId="5" borderId="134" xfId="1" applyNumberFormat="1" applyFont="1" applyFill="1" applyBorder="1" applyAlignment="1" applyProtection="1">
      <alignment horizontal="center" vertical="center"/>
      <protection hidden="1"/>
    </xf>
    <xf numFmtId="178" fontId="8" fillId="0" borderId="0" xfId="1" applyNumberFormat="1" applyFont="1" applyBorder="1" applyAlignment="1" applyProtection="1">
      <alignment horizontal="center" vertical="center"/>
      <protection hidden="1"/>
    </xf>
    <xf numFmtId="0" fontId="8" fillId="5" borderId="166" xfId="0" applyFont="1" applyFill="1" applyBorder="1" applyAlignment="1" applyProtection="1">
      <alignment horizontal="center" vertical="center"/>
      <protection hidden="1"/>
    </xf>
    <xf numFmtId="0" fontId="8" fillId="5" borderId="167" xfId="0" applyFont="1" applyFill="1" applyBorder="1" applyAlignment="1" applyProtection="1">
      <alignment horizontal="center" vertical="center"/>
      <protection hidden="1"/>
    </xf>
    <xf numFmtId="0" fontId="8" fillId="5" borderId="168" xfId="0" applyFont="1" applyFill="1" applyBorder="1" applyAlignment="1" applyProtection="1">
      <alignment horizontal="center" vertical="center"/>
      <protection hidden="1"/>
    </xf>
    <xf numFmtId="0" fontId="95" fillId="3" borderId="195" xfId="3" applyNumberFormat="1" applyFont="1" applyFill="1" applyBorder="1" applyAlignment="1" applyProtection="1">
      <alignment horizontal="center" vertical="center"/>
      <protection locked="0"/>
    </xf>
    <xf numFmtId="0" fontId="95" fillId="3" borderId="196" xfId="3" applyNumberFormat="1" applyFont="1" applyFill="1" applyBorder="1" applyAlignment="1" applyProtection="1">
      <alignment horizontal="center" vertical="center"/>
      <protection locked="0"/>
    </xf>
    <xf numFmtId="0" fontId="95" fillId="3" borderId="197" xfId="3" applyNumberFormat="1" applyFont="1" applyFill="1" applyBorder="1" applyAlignment="1" applyProtection="1">
      <alignment horizontal="center" vertical="center"/>
      <protection locked="0"/>
    </xf>
    <xf numFmtId="165" fontId="8" fillId="0" borderId="0" xfId="0" applyNumberFormat="1" applyFont="1" applyAlignment="1" applyProtection="1">
      <alignment horizontal="center" vertical="center"/>
      <protection hidden="1"/>
    </xf>
    <xf numFmtId="165" fontId="95" fillId="3" borderId="81" xfId="3" applyNumberFormat="1" applyFont="1" applyFill="1" applyBorder="1" applyAlignment="1" applyProtection="1">
      <alignment horizontal="center" vertical="center"/>
      <protection locked="0"/>
    </xf>
    <xf numFmtId="165" fontId="95" fillId="3" borderId="46" xfId="3" applyNumberFormat="1" applyFont="1" applyFill="1" applyBorder="1" applyAlignment="1" applyProtection="1">
      <alignment horizontal="center" vertical="center"/>
      <protection locked="0"/>
    </xf>
    <xf numFmtId="202" fontId="21" fillId="0" borderId="0" xfId="2" applyNumberFormat="1" applyFont="1" applyAlignment="1" applyProtection="1">
      <alignment horizontal="center" vertical="center"/>
      <protection hidden="1"/>
    </xf>
    <xf numFmtId="178" fontId="21" fillId="0" borderId="0" xfId="1" applyNumberFormat="1" applyFont="1" applyBorder="1" applyAlignment="1" applyProtection="1">
      <alignment horizontal="center" vertical="center"/>
      <protection hidden="1"/>
    </xf>
    <xf numFmtId="176" fontId="25" fillId="5" borderId="100" xfId="2" applyNumberFormat="1" applyFont="1" applyFill="1" applyBorder="1" applyAlignment="1" applyProtection="1">
      <alignment horizontal="center" vertical="center"/>
      <protection hidden="1"/>
    </xf>
    <xf numFmtId="191" fontId="18" fillId="4" borderId="38" xfId="3" applyNumberFormat="1" applyFont="1" applyFill="1" applyBorder="1" applyAlignment="1" applyProtection="1">
      <alignment horizontal="center" vertical="center"/>
      <protection hidden="1"/>
    </xf>
    <xf numFmtId="191" fontId="18" fillId="4" borderId="0" xfId="3" applyNumberFormat="1" applyFont="1" applyFill="1" applyBorder="1" applyAlignment="1" applyProtection="1">
      <alignment horizontal="center" vertical="center"/>
      <protection hidden="1"/>
    </xf>
    <xf numFmtId="169" fontId="211" fillId="3" borderId="107" xfId="1" applyNumberFormat="1" applyFont="1" applyFill="1" applyBorder="1" applyAlignment="1" applyProtection="1">
      <alignment horizontal="center" vertical="center"/>
      <protection locked="0"/>
    </xf>
    <xf numFmtId="169" fontId="211" fillId="3" borderId="108" xfId="1" applyNumberFormat="1" applyFont="1" applyFill="1" applyBorder="1" applyAlignment="1" applyProtection="1">
      <alignment horizontal="center" vertical="center"/>
      <protection locked="0"/>
    </xf>
    <xf numFmtId="169" fontId="211" fillId="3" borderId="109" xfId="1" applyNumberFormat="1" applyFont="1" applyFill="1" applyBorder="1" applyAlignment="1" applyProtection="1">
      <alignment horizontal="center" vertical="center"/>
      <protection locked="0"/>
    </xf>
    <xf numFmtId="1" fontId="21" fillId="0" borderId="0" xfId="2" applyNumberFormat="1" applyFont="1" applyAlignment="1" applyProtection="1">
      <alignment horizontal="center" vertical="center"/>
      <protection hidden="1"/>
    </xf>
    <xf numFmtId="168" fontId="8" fillId="0" borderId="0" xfId="2" applyNumberFormat="1" applyFont="1" applyAlignment="1" applyProtection="1">
      <alignment horizontal="left" vertical="center"/>
      <protection hidden="1"/>
    </xf>
    <xf numFmtId="168" fontId="21" fillId="0" borderId="0" xfId="2" applyNumberFormat="1" applyFont="1" applyAlignment="1" applyProtection="1">
      <alignment horizontal="center" vertical="center"/>
      <protection hidden="1"/>
    </xf>
    <xf numFmtId="0" fontId="33" fillId="4" borderId="502" xfId="2" applyFont="1" applyFill="1" applyBorder="1" applyAlignment="1" applyProtection="1">
      <alignment horizontal="center" vertical="center"/>
      <protection hidden="1"/>
    </xf>
    <xf numFmtId="14" fontId="21" fillId="0" borderId="0" xfId="2" applyNumberFormat="1" applyFont="1" applyAlignment="1" applyProtection="1">
      <alignment horizontal="center" vertical="center"/>
      <protection hidden="1"/>
    </xf>
    <xf numFmtId="0" fontId="21" fillId="0" borderId="0" xfId="2" applyFont="1" applyAlignment="1" applyProtection="1">
      <alignment horizontal="center" vertical="center"/>
      <protection hidden="1"/>
    </xf>
    <xf numFmtId="176" fontId="21" fillId="0" borderId="0" xfId="2" applyNumberFormat="1" applyFont="1" applyAlignment="1" applyProtection="1">
      <alignment horizontal="center" vertical="center"/>
      <protection hidden="1"/>
    </xf>
    <xf numFmtId="168" fontId="95" fillId="3" borderId="107" xfId="1" applyNumberFormat="1" applyFont="1" applyFill="1" applyBorder="1" applyAlignment="1" applyProtection="1">
      <alignment horizontal="center" vertical="center"/>
      <protection locked="0"/>
    </xf>
    <xf numFmtId="168" fontId="95" fillId="3" borderId="108" xfId="1" applyNumberFormat="1" applyFont="1" applyFill="1" applyBorder="1" applyAlignment="1" applyProtection="1">
      <alignment horizontal="center" vertical="center"/>
      <protection locked="0"/>
    </xf>
    <xf numFmtId="168" fontId="95" fillId="3" borderId="109" xfId="1" applyNumberFormat="1" applyFont="1" applyFill="1" applyBorder="1" applyAlignment="1" applyProtection="1">
      <alignment horizontal="center" vertical="center"/>
      <protection locked="0"/>
    </xf>
    <xf numFmtId="165" fontId="20" fillId="3" borderId="81" xfId="3" applyNumberFormat="1" applyFont="1" applyFill="1" applyBorder="1" applyAlignment="1" applyProtection="1">
      <alignment horizontal="center" vertical="center"/>
      <protection locked="0"/>
    </xf>
    <xf numFmtId="165" fontId="20" fillId="3" borderId="46" xfId="3" applyNumberFormat="1" applyFont="1" applyFill="1" applyBorder="1" applyAlignment="1" applyProtection="1">
      <alignment horizontal="center" vertical="center"/>
      <protection locked="0"/>
    </xf>
    <xf numFmtId="0" fontId="5" fillId="0" borderId="101" xfId="2" applyFont="1" applyBorder="1" applyAlignment="1" applyProtection="1">
      <alignment horizontal="center" vertical="center"/>
      <protection hidden="1"/>
    </xf>
    <xf numFmtId="0" fontId="5" fillId="0" borderId="102" xfId="2" applyFont="1" applyBorder="1" applyAlignment="1" applyProtection="1">
      <alignment horizontal="center" vertical="center"/>
      <protection hidden="1"/>
    </xf>
    <xf numFmtId="0" fontId="5" fillId="0" borderId="215" xfId="2" applyFont="1" applyBorder="1" applyAlignment="1" applyProtection="1">
      <alignment horizontal="center" vertical="center"/>
      <protection hidden="1"/>
    </xf>
    <xf numFmtId="0" fontId="95" fillId="3" borderId="214" xfId="3" applyNumberFormat="1" applyFont="1" applyFill="1" applyBorder="1" applyAlignment="1" applyProtection="1">
      <alignment horizontal="center" vertical="center"/>
      <protection locked="0"/>
    </xf>
    <xf numFmtId="0" fontId="95" fillId="3" borderId="102" xfId="3" applyNumberFormat="1" applyFont="1" applyFill="1" applyBorder="1" applyAlignment="1" applyProtection="1">
      <alignment horizontal="center" vertical="center"/>
      <protection locked="0"/>
    </xf>
    <xf numFmtId="0" fontId="95" fillId="3" borderId="103" xfId="3" applyNumberFormat="1" applyFont="1" applyFill="1" applyBorder="1" applyAlignment="1" applyProtection="1">
      <alignment horizontal="center" vertical="center"/>
      <protection locked="0"/>
    </xf>
    <xf numFmtId="1" fontId="158" fillId="3" borderId="107" xfId="3" applyNumberFormat="1" applyFont="1" applyFill="1" applyBorder="1" applyAlignment="1" applyProtection="1">
      <alignment horizontal="center" vertical="center" wrapText="1"/>
      <protection locked="0"/>
    </xf>
    <xf numFmtId="1" fontId="158" fillId="3" borderId="108" xfId="3" applyNumberFormat="1" applyFont="1" applyFill="1" applyBorder="1" applyAlignment="1" applyProtection="1">
      <alignment horizontal="center" vertical="center" wrapText="1"/>
      <protection locked="0"/>
    </xf>
    <xf numFmtId="1" fontId="158" fillId="3" borderId="109" xfId="3" applyNumberFormat="1" applyFont="1" applyFill="1" applyBorder="1" applyAlignment="1" applyProtection="1">
      <alignment horizontal="center" vertical="center" wrapText="1"/>
      <protection locked="0"/>
    </xf>
    <xf numFmtId="169" fontId="95" fillId="3" borderId="107" xfId="1" applyNumberFormat="1" applyFont="1" applyFill="1" applyBorder="1" applyAlignment="1" applyProtection="1">
      <alignment horizontal="center" vertical="center"/>
      <protection locked="0"/>
    </xf>
    <xf numFmtId="169" fontId="95" fillId="3" borderId="108" xfId="1" applyNumberFormat="1" applyFont="1" applyFill="1" applyBorder="1" applyAlignment="1" applyProtection="1">
      <alignment horizontal="center" vertical="center"/>
      <protection locked="0"/>
    </xf>
    <xf numFmtId="169" fontId="95" fillId="3" borderId="109" xfId="1" applyNumberFormat="1" applyFont="1" applyFill="1" applyBorder="1" applyAlignment="1" applyProtection="1">
      <alignment horizontal="center" vertical="center"/>
      <protection locked="0"/>
    </xf>
    <xf numFmtId="0" fontId="8" fillId="0" borderId="0" xfId="2" applyFont="1" applyAlignment="1" applyProtection="1">
      <alignment horizontal="center" vertical="center"/>
      <protection hidden="1"/>
    </xf>
    <xf numFmtId="0" fontId="8" fillId="0" borderId="252" xfId="2" applyFont="1" applyBorder="1" applyAlignment="1" applyProtection="1">
      <alignment horizontal="center" vertical="center"/>
      <protection hidden="1"/>
    </xf>
    <xf numFmtId="0" fontId="8" fillId="0" borderId="253" xfId="2" applyFont="1" applyBorder="1" applyAlignment="1" applyProtection="1">
      <alignment horizontal="center" vertical="center"/>
      <protection hidden="1"/>
    </xf>
    <xf numFmtId="165" fontId="5" fillId="5" borderId="254" xfId="0" applyNumberFormat="1" applyFont="1" applyFill="1" applyBorder="1" applyAlignment="1" applyProtection="1">
      <alignment horizontal="center" vertical="center"/>
      <protection hidden="1"/>
    </xf>
    <xf numFmtId="165" fontId="5" fillId="5" borderId="100" xfId="0" applyNumberFormat="1" applyFont="1" applyFill="1" applyBorder="1" applyAlignment="1" applyProtection="1">
      <alignment horizontal="center" vertical="center"/>
      <protection hidden="1"/>
    </xf>
    <xf numFmtId="42" fontId="158" fillId="3" borderId="107" xfId="3" applyNumberFormat="1" applyFont="1" applyFill="1" applyBorder="1" applyAlignment="1" applyProtection="1">
      <alignment horizontal="center" vertical="center" wrapText="1"/>
      <protection locked="0"/>
    </xf>
    <xf numFmtId="42" fontId="158" fillId="3" borderId="108" xfId="3" applyNumberFormat="1" applyFont="1" applyFill="1" applyBorder="1" applyAlignment="1" applyProtection="1">
      <alignment horizontal="center" vertical="center" wrapText="1"/>
      <protection locked="0"/>
    </xf>
    <xf numFmtId="42" fontId="158" fillId="3" borderId="109" xfId="3" applyNumberFormat="1" applyFont="1" applyFill="1" applyBorder="1" applyAlignment="1" applyProtection="1">
      <alignment horizontal="center" vertical="center" wrapText="1"/>
      <protection locked="0"/>
    </xf>
    <xf numFmtId="168" fontId="8" fillId="4" borderId="36" xfId="1" applyNumberFormat="1" applyFont="1" applyFill="1" applyBorder="1" applyAlignment="1" applyProtection="1">
      <alignment horizontal="center" vertical="center"/>
      <protection hidden="1"/>
    </xf>
    <xf numFmtId="49" fontId="158" fillId="3" borderId="107" xfId="3" applyNumberFormat="1" applyFont="1" applyFill="1" applyBorder="1" applyAlignment="1" applyProtection="1">
      <alignment horizontal="center" vertical="center" wrapText="1"/>
      <protection locked="0"/>
    </xf>
    <xf numFmtId="49" fontId="158" fillId="3" borderId="108" xfId="3" applyNumberFormat="1" applyFont="1" applyFill="1" applyBorder="1" applyAlignment="1" applyProtection="1">
      <alignment horizontal="center" vertical="center" wrapText="1"/>
      <protection locked="0"/>
    </xf>
    <xf numFmtId="49" fontId="158" fillId="3" borderId="109" xfId="3" applyNumberFormat="1" applyFont="1" applyFill="1" applyBorder="1" applyAlignment="1" applyProtection="1">
      <alignment horizontal="center" vertical="center" wrapText="1"/>
      <protection locked="0"/>
    </xf>
    <xf numFmtId="168" fontId="25" fillId="5" borderId="100" xfId="2" applyNumberFormat="1" applyFont="1" applyFill="1" applyBorder="1" applyAlignment="1" applyProtection="1">
      <alignment horizontal="center" vertical="center"/>
      <protection hidden="1"/>
    </xf>
    <xf numFmtId="0" fontId="5" fillId="5" borderId="178" xfId="0" applyFont="1" applyFill="1" applyBorder="1" applyAlignment="1" applyProtection="1">
      <alignment horizontal="center" vertical="center"/>
      <protection hidden="1"/>
    </xf>
    <xf numFmtId="0" fontId="5" fillId="5" borderId="179" xfId="0" applyFont="1" applyFill="1" applyBorder="1" applyAlignment="1" applyProtection="1">
      <alignment horizontal="center" vertical="center"/>
      <protection hidden="1"/>
    </xf>
    <xf numFmtId="0" fontId="5" fillId="5" borderId="180" xfId="0" applyFont="1" applyFill="1" applyBorder="1" applyAlignment="1" applyProtection="1">
      <alignment horizontal="center" vertical="center"/>
      <protection hidden="1"/>
    </xf>
    <xf numFmtId="176" fontId="25" fillId="5" borderId="188" xfId="2" applyNumberFormat="1" applyFont="1" applyFill="1" applyBorder="1" applyAlignment="1" applyProtection="1">
      <alignment horizontal="center" vertical="center"/>
      <protection hidden="1"/>
    </xf>
    <xf numFmtId="176" fontId="25" fillId="5" borderId="189" xfId="2" applyNumberFormat="1" applyFont="1" applyFill="1" applyBorder="1" applyAlignment="1" applyProtection="1">
      <alignment horizontal="center" vertical="center"/>
      <protection hidden="1"/>
    </xf>
    <xf numFmtId="176" fontId="25" fillId="5" borderId="190" xfId="2" applyNumberFormat="1" applyFont="1" applyFill="1" applyBorder="1" applyAlignment="1" applyProtection="1">
      <alignment horizontal="center" vertical="center"/>
      <protection hidden="1"/>
    </xf>
    <xf numFmtId="0" fontId="25" fillId="0" borderId="0" xfId="2" applyFont="1" applyAlignment="1" applyProtection="1">
      <alignment horizontal="center" vertical="center"/>
      <protection hidden="1"/>
    </xf>
    <xf numFmtId="168" fontId="13" fillId="0" borderId="0" xfId="1" applyNumberFormat="1" applyFont="1" applyBorder="1" applyAlignment="1" applyProtection="1">
      <alignment horizontal="center" vertical="center"/>
      <protection hidden="1"/>
    </xf>
    <xf numFmtId="212" fontId="13" fillId="0" borderId="153" xfId="2" applyNumberFormat="1" applyFont="1" applyBorder="1" applyAlignment="1" applyProtection="1">
      <alignment horizontal="center" vertical="center"/>
      <protection hidden="1"/>
    </xf>
    <xf numFmtId="176" fontId="25" fillId="5" borderId="195" xfId="2" applyNumberFormat="1" applyFont="1" applyFill="1" applyBorder="1" applyAlignment="1" applyProtection="1">
      <alignment horizontal="center" vertical="center"/>
      <protection hidden="1"/>
    </xf>
    <xf numFmtId="176" fontId="25" fillId="5" borderId="196" xfId="2" applyNumberFormat="1" applyFont="1" applyFill="1" applyBorder="1" applyAlignment="1" applyProtection="1">
      <alignment horizontal="center" vertical="center"/>
      <protection hidden="1"/>
    </xf>
    <xf numFmtId="176" fontId="25" fillId="5" borderId="197" xfId="2" applyNumberFormat="1" applyFont="1" applyFill="1" applyBorder="1" applyAlignment="1" applyProtection="1">
      <alignment horizontal="center" vertical="center"/>
      <protection hidden="1"/>
    </xf>
    <xf numFmtId="176" fontId="21" fillId="0" borderId="100" xfId="2" applyNumberFormat="1" applyFont="1" applyBorder="1" applyAlignment="1" applyProtection="1">
      <alignment horizontal="center" vertical="center"/>
      <protection hidden="1"/>
    </xf>
    <xf numFmtId="168" fontId="95" fillId="3" borderId="181" xfId="3" applyNumberFormat="1" applyFont="1" applyFill="1" applyBorder="1" applyAlignment="1" applyProtection="1">
      <alignment horizontal="center" vertical="center"/>
      <protection locked="0"/>
    </xf>
    <xf numFmtId="176" fontId="95" fillId="3" borderId="181" xfId="3" applyNumberFormat="1" applyFont="1" applyFill="1" applyBorder="1" applyAlignment="1" applyProtection="1">
      <alignment horizontal="center" vertical="center"/>
      <protection locked="0"/>
    </xf>
    <xf numFmtId="0" fontId="5" fillId="5" borderId="201" xfId="0" applyFont="1" applyFill="1" applyBorder="1" applyAlignment="1" applyProtection="1">
      <alignment horizontal="center" vertical="center"/>
      <protection hidden="1"/>
    </xf>
    <xf numFmtId="0" fontId="5" fillId="5" borderId="264" xfId="0" applyFont="1" applyFill="1" applyBorder="1" applyAlignment="1" applyProtection="1">
      <alignment horizontal="center" vertical="center"/>
      <protection hidden="1"/>
    </xf>
    <xf numFmtId="0" fontId="5" fillId="5" borderId="265" xfId="0" applyFont="1" applyFill="1" applyBorder="1" applyAlignment="1" applyProtection="1">
      <alignment horizontal="center" vertical="center"/>
      <protection hidden="1"/>
    </xf>
    <xf numFmtId="168" fontId="95" fillId="3" borderId="172" xfId="1" applyNumberFormat="1" applyFont="1" applyFill="1" applyBorder="1" applyAlignment="1" applyProtection="1">
      <alignment horizontal="center" vertical="center"/>
      <protection locked="0"/>
    </xf>
    <xf numFmtId="168" fontId="95" fillId="3" borderId="173" xfId="1" applyNumberFormat="1" applyFont="1" applyFill="1" applyBorder="1" applyAlignment="1" applyProtection="1">
      <alignment horizontal="center" vertical="center"/>
      <protection locked="0"/>
    </xf>
    <xf numFmtId="168" fontId="95" fillId="3" borderId="174" xfId="1" applyNumberFormat="1" applyFont="1" applyFill="1" applyBorder="1" applyAlignment="1" applyProtection="1">
      <alignment horizontal="center" vertical="center"/>
      <protection locked="0"/>
    </xf>
    <xf numFmtId="168" fontId="21" fillId="0" borderId="186" xfId="2" applyNumberFormat="1" applyFont="1" applyBorder="1" applyAlignment="1" applyProtection="1">
      <alignment horizontal="center" vertical="center"/>
      <protection hidden="1"/>
    </xf>
    <xf numFmtId="168" fontId="21" fillId="0" borderId="187" xfId="2" applyNumberFormat="1" applyFont="1" applyBorder="1" applyAlignment="1" applyProtection="1">
      <alignment horizontal="center" vertical="center"/>
      <protection hidden="1"/>
    </xf>
    <xf numFmtId="168" fontId="25" fillId="5" borderId="188" xfId="2" applyNumberFormat="1" applyFont="1" applyFill="1" applyBorder="1" applyAlignment="1" applyProtection="1">
      <alignment horizontal="center" vertical="center"/>
      <protection hidden="1"/>
    </xf>
    <xf numFmtId="168" fontId="25" fillId="5" borderId="189" xfId="2" applyNumberFormat="1" applyFont="1" applyFill="1" applyBorder="1" applyAlignment="1" applyProtection="1">
      <alignment horizontal="center" vertical="center"/>
      <protection hidden="1"/>
    </xf>
    <xf numFmtId="168" fontId="25" fillId="5" borderId="190" xfId="2" applyNumberFormat="1" applyFont="1" applyFill="1" applyBorder="1" applyAlignment="1" applyProtection="1">
      <alignment horizontal="center" vertical="center"/>
      <protection hidden="1"/>
    </xf>
    <xf numFmtId="172" fontId="95" fillId="3" borderId="192" xfId="1" applyNumberFormat="1" applyFont="1" applyFill="1" applyBorder="1" applyAlignment="1" applyProtection="1">
      <alignment horizontal="center" vertical="center"/>
      <protection locked="0"/>
    </xf>
    <xf numFmtId="172" fontId="95" fillId="3" borderId="193" xfId="1" applyNumberFormat="1" applyFont="1" applyFill="1" applyBorder="1" applyAlignment="1" applyProtection="1">
      <alignment horizontal="center" vertical="center"/>
      <protection locked="0"/>
    </xf>
    <xf numFmtId="172" fontId="95" fillId="3" borderId="194" xfId="1" applyNumberFormat="1" applyFont="1" applyFill="1" applyBorder="1" applyAlignment="1" applyProtection="1">
      <alignment horizontal="center" vertical="center"/>
      <protection locked="0"/>
    </xf>
    <xf numFmtId="165" fontId="95" fillId="3" borderId="107" xfId="3" applyNumberFormat="1" applyFont="1" applyFill="1" applyBorder="1" applyAlignment="1" applyProtection="1">
      <alignment horizontal="center" vertical="center"/>
      <protection locked="0"/>
    </xf>
    <xf numFmtId="165" fontId="95" fillId="3" borderId="108" xfId="3" applyNumberFormat="1" applyFont="1" applyFill="1" applyBorder="1" applyAlignment="1" applyProtection="1">
      <alignment horizontal="center" vertical="center"/>
      <protection locked="0"/>
    </xf>
    <xf numFmtId="165" fontId="95" fillId="3" borderId="109" xfId="3" applyNumberFormat="1" applyFont="1" applyFill="1" applyBorder="1" applyAlignment="1" applyProtection="1">
      <alignment horizontal="center" vertical="center"/>
      <protection locked="0"/>
    </xf>
    <xf numFmtId="168" fontId="95" fillId="3" borderId="81" xfId="1" applyNumberFormat="1" applyFont="1" applyFill="1" applyBorder="1" applyAlignment="1" applyProtection="1">
      <alignment horizontal="left" vertical="center"/>
      <protection locked="0"/>
    </xf>
    <xf numFmtId="168" fontId="95" fillId="3" borderId="46" xfId="1" applyNumberFormat="1" applyFont="1" applyFill="1" applyBorder="1" applyAlignment="1" applyProtection="1">
      <alignment horizontal="left" vertical="center"/>
      <protection locked="0"/>
    </xf>
    <xf numFmtId="168" fontId="95" fillId="3" borderId="82" xfId="1" applyNumberFormat="1" applyFont="1" applyFill="1" applyBorder="1" applyAlignment="1" applyProtection="1">
      <alignment horizontal="left" vertical="center"/>
      <protection locked="0"/>
    </xf>
    <xf numFmtId="168" fontId="8" fillId="0" borderId="0" xfId="0" applyNumberFormat="1" applyFont="1" applyAlignment="1" applyProtection="1">
      <alignment horizontal="center" vertical="center"/>
      <protection hidden="1"/>
    </xf>
    <xf numFmtId="168" fontId="95" fillId="3" borderId="135" xfId="1" applyNumberFormat="1" applyFont="1" applyFill="1" applyBorder="1" applyAlignment="1" applyProtection="1">
      <alignment horizontal="center" vertical="center"/>
      <protection locked="0"/>
    </xf>
    <xf numFmtId="168" fontId="95" fillId="3" borderId="136" xfId="1" applyNumberFormat="1" applyFont="1" applyFill="1" applyBorder="1" applyAlignment="1" applyProtection="1">
      <alignment horizontal="center" vertical="center"/>
      <protection locked="0"/>
    </xf>
    <xf numFmtId="168" fontId="95" fillId="3" borderId="143" xfId="1" applyNumberFormat="1" applyFont="1" applyFill="1" applyBorder="1" applyAlignment="1" applyProtection="1">
      <alignment horizontal="center" vertical="center"/>
      <protection locked="0"/>
    </xf>
    <xf numFmtId="186" fontId="95" fillId="3" borderId="169" xfId="1" applyNumberFormat="1" applyFont="1" applyFill="1" applyBorder="1" applyAlignment="1" applyProtection="1">
      <alignment horizontal="center" vertical="center"/>
      <protection locked="0"/>
    </xf>
    <xf numFmtId="186" fontId="95" fillId="3" borderId="170" xfId="1" applyNumberFormat="1" applyFont="1" applyFill="1" applyBorder="1" applyAlignment="1" applyProtection="1">
      <alignment horizontal="center" vertical="center"/>
      <protection locked="0"/>
    </xf>
    <xf numFmtId="186" fontId="95" fillId="3" borderId="171" xfId="1" applyNumberFormat="1" applyFont="1" applyFill="1" applyBorder="1" applyAlignment="1" applyProtection="1">
      <alignment horizontal="center" vertical="center"/>
      <protection locked="0"/>
    </xf>
    <xf numFmtId="168" fontId="95" fillId="3" borderId="110" xfId="1" applyNumberFormat="1" applyFont="1" applyFill="1" applyBorder="1" applyAlignment="1" applyProtection="1">
      <alignment horizontal="center" vertical="center"/>
      <protection locked="0"/>
    </xf>
    <xf numFmtId="168" fontId="95" fillId="3" borderId="111" xfId="1" applyNumberFormat="1" applyFont="1" applyFill="1" applyBorder="1" applyAlignment="1" applyProtection="1">
      <alignment horizontal="center" vertical="center"/>
      <protection locked="0"/>
    </xf>
    <xf numFmtId="168" fontId="95" fillId="3" borderId="112" xfId="1" applyNumberFormat="1" applyFont="1" applyFill="1" applyBorder="1" applyAlignment="1" applyProtection="1">
      <alignment horizontal="center" vertical="center"/>
      <protection locked="0"/>
    </xf>
    <xf numFmtId="168" fontId="5" fillId="0" borderId="2" xfId="0" applyNumberFormat="1" applyFont="1" applyBorder="1" applyAlignment="1" applyProtection="1">
      <alignment horizontal="center" vertical="center"/>
      <protection hidden="1"/>
    </xf>
    <xf numFmtId="165" fontId="8" fillId="0" borderId="101" xfId="0" applyNumberFormat="1" applyFont="1" applyBorder="1" applyAlignment="1" applyProtection="1">
      <alignment horizontal="center" vertical="center"/>
      <protection hidden="1"/>
    </xf>
    <xf numFmtId="165" fontId="8" fillId="0" borderId="102" xfId="0" applyNumberFormat="1" applyFont="1" applyBorder="1" applyAlignment="1" applyProtection="1">
      <alignment horizontal="center" vertical="center"/>
      <protection hidden="1"/>
    </xf>
    <xf numFmtId="168" fontId="8" fillId="0" borderId="102" xfId="1" applyNumberFormat="1" applyFont="1" applyBorder="1" applyAlignment="1" applyProtection="1">
      <alignment horizontal="center" vertical="center"/>
      <protection hidden="1"/>
    </xf>
    <xf numFmtId="168" fontId="95" fillId="3" borderId="169" xfId="3" applyNumberFormat="1" applyFont="1" applyFill="1" applyBorder="1" applyAlignment="1" applyProtection="1">
      <alignment horizontal="center" vertical="center"/>
      <protection locked="0"/>
    </xf>
    <xf numFmtId="168" fontId="95" fillId="3" borderId="170" xfId="3" applyNumberFormat="1" applyFont="1" applyFill="1" applyBorder="1" applyAlignment="1" applyProtection="1">
      <alignment horizontal="center" vertical="center"/>
      <protection locked="0"/>
    </xf>
    <xf numFmtId="176" fontId="21" fillId="0" borderId="186" xfId="2" applyNumberFormat="1" applyFont="1" applyBorder="1" applyAlignment="1" applyProtection="1">
      <alignment horizontal="center" vertical="center"/>
      <protection hidden="1"/>
    </xf>
    <xf numFmtId="176" fontId="21" fillId="0" borderId="187" xfId="2" applyNumberFormat="1" applyFont="1" applyBorder="1" applyAlignment="1" applyProtection="1">
      <alignment horizontal="center" vertical="center"/>
      <protection hidden="1"/>
    </xf>
    <xf numFmtId="0" fontId="5" fillId="5" borderId="183" xfId="0" applyFont="1" applyFill="1" applyBorder="1" applyAlignment="1" applyProtection="1">
      <alignment horizontal="center" vertical="center"/>
      <protection hidden="1"/>
    </xf>
    <xf numFmtId="0" fontId="5" fillId="5" borderId="184" xfId="0" applyFont="1" applyFill="1" applyBorder="1" applyAlignment="1" applyProtection="1">
      <alignment horizontal="center" vertical="center"/>
      <protection hidden="1"/>
    </xf>
    <xf numFmtId="0" fontId="5" fillId="5" borderId="185" xfId="0" applyFont="1" applyFill="1" applyBorder="1" applyAlignment="1" applyProtection="1">
      <alignment horizontal="center" vertical="center"/>
      <protection hidden="1"/>
    </xf>
    <xf numFmtId="0" fontId="5" fillId="5" borderId="166" xfId="0" applyFont="1" applyFill="1" applyBorder="1" applyAlignment="1" applyProtection="1">
      <alignment horizontal="center" vertical="center"/>
      <protection locked="0" hidden="1"/>
    </xf>
    <xf numFmtId="0" fontId="5" fillId="5" borderId="167" xfId="0" applyFont="1" applyFill="1" applyBorder="1" applyAlignment="1" applyProtection="1">
      <alignment horizontal="center" vertical="center"/>
      <protection locked="0" hidden="1"/>
    </xf>
    <xf numFmtId="0" fontId="5" fillId="5" borderId="168" xfId="0" applyFont="1" applyFill="1" applyBorder="1" applyAlignment="1" applyProtection="1">
      <alignment horizontal="center" vertical="center"/>
      <protection locked="0" hidden="1"/>
    </xf>
    <xf numFmtId="0" fontId="5" fillId="5" borderId="166" xfId="0" applyFont="1" applyFill="1" applyBorder="1" applyAlignment="1" applyProtection="1">
      <alignment horizontal="center" vertical="center"/>
      <protection hidden="1"/>
    </xf>
    <xf numFmtId="0" fontId="5" fillId="5" borderId="167" xfId="0" applyFont="1" applyFill="1" applyBorder="1" applyAlignment="1" applyProtection="1">
      <alignment horizontal="center" vertical="center"/>
      <protection hidden="1"/>
    </xf>
    <xf numFmtId="0" fontId="5" fillId="5" borderId="168" xfId="0" applyFont="1" applyFill="1" applyBorder="1" applyAlignment="1" applyProtection="1">
      <alignment horizontal="center" vertical="center"/>
      <protection hidden="1"/>
    </xf>
    <xf numFmtId="0" fontId="18" fillId="4" borderId="0" xfId="2" applyFont="1" applyFill="1" applyAlignment="1" applyProtection="1">
      <alignment horizontal="center" vertical="center"/>
      <protection hidden="1"/>
    </xf>
    <xf numFmtId="165" fontId="95" fillId="3" borderId="169" xfId="3" applyNumberFormat="1" applyFont="1" applyFill="1" applyBorder="1" applyAlignment="1" applyProtection="1">
      <alignment horizontal="center" vertical="center"/>
      <protection locked="0"/>
    </xf>
    <xf numFmtId="165" fontId="95" fillId="3" borderId="170" xfId="3" applyNumberFormat="1" applyFont="1" applyFill="1" applyBorder="1" applyAlignment="1" applyProtection="1">
      <alignment horizontal="center" vertical="center"/>
      <protection locked="0"/>
    </xf>
    <xf numFmtId="165" fontId="164" fillId="44" borderId="81" xfId="3" applyNumberFormat="1" applyFont="1" applyFill="1" applyBorder="1" applyAlignment="1" applyProtection="1">
      <alignment horizontal="center" vertical="center"/>
      <protection locked="0" hidden="1"/>
    </xf>
    <xf numFmtId="165" fontId="164" fillId="44" borderId="46" xfId="3" applyNumberFormat="1" applyFont="1" applyFill="1" applyBorder="1" applyAlignment="1" applyProtection="1">
      <alignment horizontal="center" vertical="center"/>
      <protection locked="0" hidden="1"/>
    </xf>
    <xf numFmtId="0" fontId="63" fillId="35" borderId="0" xfId="2" applyFont="1" applyFill="1" applyAlignment="1" applyProtection="1">
      <alignment horizontal="left" vertical="center"/>
      <protection hidden="1"/>
    </xf>
    <xf numFmtId="0" fontId="21" fillId="0" borderId="0" xfId="2" applyFont="1" applyAlignment="1" applyProtection="1">
      <alignment horizontal="left" vertical="center"/>
      <protection hidden="1"/>
    </xf>
    <xf numFmtId="210" fontId="8" fillId="5" borderId="101" xfId="0" applyNumberFormat="1" applyFont="1" applyFill="1" applyBorder="1" applyAlignment="1" applyProtection="1">
      <alignment horizontal="center" vertical="center"/>
      <protection hidden="1"/>
    </xf>
    <xf numFmtId="210" fontId="8" fillId="5" borderId="102" xfId="0" applyNumberFormat="1" applyFont="1" applyFill="1" applyBorder="1" applyAlignment="1" applyProtection="1">
      <alignment horizontal="center" vertical="center"/>
      <protection hidden="1"/>
    </xf>
    <xf numFmtId="210" fontId="8" fillId="5" borderId="103" xfId="0" applyNumberFormat="1" applyFont="1" applyFill="1" applyBorder="1" applyAlignment="1" applyProtection="1">
      <alignment horizontal="center" vertical="center"/>
      <protection hidden="1"/>
    </xf>
    <xf numFmtId="172" fontId="18" fillId="4" borderId="0" xfId="1" applyNumberFormat="1" applyFont="1" applyFill="1" applyBorder="1" applyAlignment="1" applyProtection="1">
      <alignment horizontal="center" vertical="center"/>
      <protection hidden="1"/>
    </xf>
    <xf numFmtId="168" fontId="211" fillId="0" borderId="107" xfId="0" applyNumberFormat="1" applyFont="1" applyBorder="1" applyAlignment="1">
      <alignment horizontal="center"/>
    </xf>
    <xf numFmtId="168" fontId="211" fillId="0" borderId="108" xfId="0" applyNumberFormat="1" applyFont="1" applyBorder="1" applyAlignment="1">
      <alignment horizontal="center"/>
    </xf>
    <xf numFmtId="168" fontId="211" fillId="0" borderId="109" xfId="0" applyNumberFormat="1" applyFont="1" applyBorder="1" applyAlignment="1">
      <alignment horizontal="center"/>
    </xf>
    <xf numFmtId="212" fontId="210" fillId="0" borderId="107" xfId="2" applyNumberFormat="1" applyFont="1" applyBorder="1" applyAlignment="1" applyProtection="1">
      <alignment horizontal="center" vertical="center"/>
      <protection hidden="1"/>
    </xf>
    <xf numFmtId="212" fontId="210" fillId="0" borderId="506" xfId="2" applyNumberFormat="1" applyFont="1" applyBorder="1" applyAlignment="1" applyProtection="1">
      <alignment horizontal="center" vertical="center"/>
      <protection hidden="1"/>
    </xf>
    <xf numFmtId="168" fontId="32" fillId="5" borderId="109" xfId="2" applyNumberFormat="1" applyFont="1" applyFill="1" applyBorder="1" applyAlignment="1" applyProtection="1">
      <alignment horizontal="center" vertical="center"/>
      <protection hidden="1"/>
    </xf>
    <xf numFmtId="168" fontId="66" fillId="15" borderId="116" xfId="1" applyNumberFormat="1" applyFont="1" applyFill="1" applyBorder="1" applyAlignment="1" applyProtection="1">
      <alignment horizontal="center" vertical="center"/>
      <protection locked="0"/>
    </xf>
    <xf numFmtId="168" fontId="66" fillId="15" borderId="117" xfId="1" applyNumberFormat="1" applyFont="1" applyFill="1" applyBorder="1" applyAlignment="1" applyProtection="1">
      <alignment horizontal="center" vertical="center"/>
      <protection locked="0"/>
    </xf>
    <xf numFmtId="168" fontId="66" fillId="15" borderId="118" xfId="1" applyNumberFormat="1" applyFont="1" applyFill="1" applyBorder="1" applyAlignment="1" applyProtection="1">
      <alignment horizontal="center" vertical="center"/>
      <protection locked="0"/>
    </xf>
    <xf numFmtId="0" fontId="108" fillId="4" borderId="0" xfId="0" applyFont="1" applyFill="1" applyAlignment="1" applyProtection="1">
      <alignment horizontal="center" vertical="center"/>
      <protection hidden="1"/>
    </xf>
    <xf numFmtId="165" fontId="66" fillId="15" borderId="116" xfId="3" applyNumberFormat="1" applyFont="1" applyFill="1" applyBorder="1" applyAlignment="1" applyProtection="1">
      <alignment horizontal="center" vertical="center"/>
      <protection locked="0"/>
    </xf>
    <xf numFmtId="165" fontId="66" fillId="15" borderId="117" xfId="3" applyNumberFormat="1" applyFont="1" applyFill="1" applyBorder="1" applyAlignment="1" applyProtection="1">
      <alignment horizontal="center" vertical="center"/>
      <protection locked="0"/>
    </xf>
    <xf numFmtId="165" fontId="66" fillId="15" borderId="118" xfId="3" applyNumberFormat="1" applyFont="1" applyFill="1" applyBorder="1" applyAlignment="1" applyProtection="1">
      <alignment horizontal="center" vertical="center"/>
      <protection locked="0"/>
    </xf>
    <xf numFmtId="0" fontId="95" fillId="3" borderId="175" xfId="3" applyNumberFormat="1" applyFont="1" applyFill="1" applyBorder="1" applyAlignment="1" applyProtection="1">
      <alignment horizontal="center" vertical="center"/>
      <protection locked="0"/>
    </xf>
    <xf numFmtId="0" fontId="95" fillId="3" borderId="176" xfId="3" applyNumberFormat="1" applyFont="1" applyFill="1" applyBorder="1" applyAlignment="1" applyProtection="1">
      <alignment horizontal="center" vertical="center"/>
      <protection locked="0"/>
    </xf>
    <xf numFmtId="0" fontId="95" fillId="3" borderId="177" xfId="3" applyNumberFormat="1" applyFont="1" applyFill="1" applyBorder="1" applyAlignment="1" applyProtection="1">
      <alignment horizontal="center" vertical="center"/>
      <protection locked="0"/>
    </xf>
    <xf numFmtId="0" fontId="26" fillId="0" borderId="0" xfId="0" applyFont="1" applyAlignment="1" applyProtection="1">
      <alignment horizontal="center" vertical="center"/>
      <protection hidden="1"/>
    </xf>
    <xf numFmtId="0" fontId="95" fillId="3" borderId="169" xfId="3" applyNumberFormat="1" applyFont="1" applyFill="1" applyBorder="1" applyAlignment="1" applyProtection="1">
      <alignment horizontal="center" vertical="center"/>
      <protection locked="0"/>
    </xf>
    <xf numFmtId="0" fontId="95" fillId="3" borderId="170" xfId="3" applyNumberFormat="1" applyFont="1" applyFill="1" applyBorder="1" applyAlignment="1" applyProtection="1">
      <alignment horizontal="center" vertical="center"/>
      <protection locked="0"/>
    </xf>
    <xf numFmtId="0" fontId="95" fillId="3" borderId="171" xfId="3" applyNumberFormat="1" applyFont="1" applyFill="1" applyBorder="1" applyAlignment="1" applyProtection="1">
      <alignment horizontal="center" vertical="center"/>
      <protection locked="0"/>
    </xf>
    <xf numFmtId="0" fontId="21" fillId="0" borderId="182" xfId="2" applyFont="1" applyBorder="1" applyAlignment="1" applyProtection="1">
      <alignment horizontal="center" vertical="center"/>
      <protection hidden="1"/>
    </xf>
    <xf numFmtId="0" fontId="8" fillId="0" borderId="166" xfId="2" applyFont="1" applyBorder="1" applyAlignment="1" applyProtection="1">
      <alignment horizontal="left" vertical="center" indent="1"/>
      <protection hidden="1"/>
    </xf>
    <xf numFmtId="0" fontId="8" fillId="0" borderId="167" xfId="2" applyFont="1" applyBorder="1" applyAlignment="1" applyProtection="1">
      <alignment horizontal="left" vertical="center" indent="1"/>
      <protection hidden="1"/>
    </xf>
    <xf numFmtId="165" fontId="158" fillId="4" borderId="505" xfId="3" applyNumberFormat="1" applyFont="1" applyFill="1" applyBorder="1" applyAlignment="1" applyProtection="1">
      <alignment horizontal="center" vertical="center"/>
    </xf>
    <xf numFmtId="0" fontId="211" fillId="3" borderId="197" xfId="3" applyNumberFormat="1" applyFont="1" applyFill="1" applyBorder="1" applyAlignment="1" applyProtection="1">
      <alignment horizontal="center" vertical="center"/>
      <protection locked="0"/>
    </xf>
    <xf numFmtId="0" fontId="212" fillId="5" borderId="201" xfId="0" applyFont="1" applyFill="1" applyBorder="1" applyAlignment="1" applyProtection="1">
      <alignment horizontal="center" vertical="center"/>
      <protection hidden="1"/>
    </xf>
    <xf numFmtId="0" fontId="212" fillId="5" borderId="264" xfId="0" applyFont="1" applyFill="1" applyBorder="1" applyAlignment="1" applyProtection="1">
      <alignment horizontal="center" vertical="center"/>
      <protection hidden="1"/>
    </xf>
    <xf numFmtId="0" fontId="8" fillId="0" borderId="202" xfId="2" applyFont="1" applyBorder="1" applyAlignment="1" applyProtection="1">
      <alignment horizontal="center" vertical="center"/>
      <protection hidden="1"/>
    </xf>
    <xf numFmtId="165" fontId="211" fillId="0" borderId="107" xfId="0" applyNumberFormat="1" applyFont="1" applyBorder="1" applyAlignment="1">
      <alignment horizontal="center"/>
    </xf>
    <xf numFmtId="165" fontId="211" fillId="0" borderId="108" xfId="0" applyNumberFormat="1" applyFont="1" applyBorder="1" applyAlignment="1">
      <alignment horizontal="center"/>
    </xf>
    <xf numFmtId="165" fontId="211" fillId="0" borderId="109" xfId="0" applyNumberFormat="1" applyFont="1" applyBorder="1" applyAlignment="1">
      <alignment horizontal="center"/>
    </xf>
    <xf numFmtId="0" fontId="24" fillId="3" borderId="203" xfId="0" applyFont="1" applyFill="1" applyBorder="1" applyAlignment="1" applyProtection="1">
      <alignment horizontal="center" vertical="center"/>
      <protection hidden="1"/>
    </xf>
    <xf numFmtId="0" fontId="24" fillId="3" borderId="204" xfId="0" applyFont="1" applyFill="1" applyBorder="1" applyAlignment="1" applyProtection="1">
      <alignment horizontal="center" vertical="center"/>
      <protection hidden="1"/>
    </xf>
    <xf numFmtId="191" fontId="211" fillId="3" borderId="107" xfId="3" applyNumberFormat="1" applyFont="1" applyFill="1" applyBorder="1" applyAlignment="1" applyProtection="1">
      <alignment horizontal="center" vertical="center" wrapText="1"/>
      <protection locked="0"/>
    </xf>
    <xf numFmtId="191" fontId="211" fillId="3" borderId="108" xfId="3" applyNumberFormat="1" applyFont="1" applyFill="1" applyBorder="1" applyAlignment="1" applyProtection="1">
      <alignment horizontal="center" vertical="center" wrapText="1"/>
      <protection locked="0"/>
    </xf>
    <xf numFmtId="191" fontId="211" fillId="3" borderId="109" xfId="3" applyNumberFormat="1" applyFont="1" applyFill="1" applyBorder="1" applyAlignment="1" applyProtection="1">
      <alignment horizontal="center" vertical="center" wrapText="1"/>
      <protection locked="0"/>
    </xf>
    <xf numFmtId="14" fontId="211" fillId="0" borderId="107" xfId="0" applyNumberFormat="1" applyFont="1" applyBorder="1" applyAlignment="1">
      <alignment horizontal="center"/>
    </xf>
    <xf numFmtId="14" fontId="211" fillId="0" borderId="108" xfId="0" applyNumberFormat="1" applyFont="1" applyBorder="1" applyAlignment="1">
      <alignment horizontal="center"/>
    </xf>
    <xf numFmtId="14" fontId="211" fillId="0" borderId="109" xfId="0" applyNumberFormat="1" applyFont="1" applyBorder="1" applyAlignment="1">
      <alignment horizontal="center"/>
    </xf>
    <xf numFmtId="210" fontId="211" fillId="0" borderId="107" xfId="0" applyNumberFormat="1" applyFont="1" applyBorder="1" applyAlignment="1">
      <alignment horizontal="center"/>
    </xf>
    <xf numFmtId="210" fontId="211" fillId="0" borderId="108" xfId="0" applyNumberFormat="1" applyFont="1" applyBorder="1" applyAlignment="1">
      <alignment horizontal="center"/>
    </xf>
    <xf numFmtId="210" fontId="211" fillId="0" borderId="109" xfId="0" applyNumberFormat="1" applyFont="1" applyBorder="1" applyAlignment="1">
      <alignment horizontal="center"/>
    </xf>
    <xf numFmtId="168" fontId="5" fillId="5" borderId="100" xfId="1" applyNumberFormat="1" applyFont="1" applyFill="1" applyBorder="1" applyAlignment="1" applyProtection="1">
      <alignment horizontal="center" vertical="center"/>
      <protection hidden="1"/>
    </xf>
    <xf numFmtId="165" fontId="64" fillId="4" borderId="46" xfId="3" applyNumberFormat="1" applyFont="1" applyFill="1" applyBorder="1" applyAlignment="1" applyProtection="1">
      <alignment horizontal="center" vertical="center"/>
    </xf>
    <xf numFmtId="190" fontId="18" fillId="4" borderId="38" xfId="1" applyNumberFormat="1" applyFont="1" applyFill="1" applyBorder="1" applyAlignment="1" applyProtection="1">
      <alignment horizontal="center" vertical="center"/>
      <protection hidden="1"/>
    </xf>
    <xf numFmtId="190" fontId="18" fillId="4" borderId="0" xfId="1" applyNumberFormat="1" applyFont="1" applyFill="1" applyBorder="1" applyAlignment="1" applyProtection="1">
      <alignment horizontal="center" vertical="center"/>
      <protection hidden="1"/>
    </xf>
    <xf numFmtId="168" fontId="211" fillId="0" borderId="503" xfId="1" applyNumberFormat="1" applyFont="1" applyBorder="1" applyAlignment="1">
      <alignment horizontal="center"/>
    </xf>
    <xf numFmtId="168" fontId="211" fillId="0" borderId="108" xfId="1" applyNumberFormat="1" applyFont="1" applyBorder="1" applyAlignment="1">
      <alignment horizontal="center"/>
    </xf>
    <xf numFmtId="168" fontId="211" fillId="0" borderId="504" xfId="1" applyNumberFormat="1" applyFont="1" applyBorder="1" applyAlignment="1">
      <alignment horizontal="center"/>
    </xf>
    <xf numFmtId="165" fontId="8" fillId="0" borderId="66" xfId="0" applyNumberFormat="1" applyFont="1" applyBorder="1" applyAlignment="1" applyProtection="1">
      <alignment horizontal="center" vertical="center"/>
      <protection hidden="1"/>
    </xf>
    <xf numFmtId="169" fontId="95" fillId="3" borderId="119" xfId="1" applyNumberFormat="1" applyFont="1" applyFill="1" applyBorder="1" applyAlignment="1" applyProtection="1">
      <alignment horizontal="center" vertical="center"/>
      <protection locked="0"/>
    </xf>
    <xf numFmtId="169" fontId="95" fillId="3" borderId="120" xfId="1" applyNumberFormat="1" applyFont="1" applyFill="1" applyBorder="1" applyAlignment="1" applyProtection="1">
      <alignment horizontal="center" vertical="center"/>
      <protection locked="0"/>
    </xf>
    <xf numFmtId="169" fontId="95" fillId="3" borderId="121" xfId="1" applyNumberFormat="1" applyFont="1" applyFill="1" applyBorder="1" applyAlignment="1" applyProtection="1">
      <alignment horizontal="center" vertical="center"/>
      <protection locked="0"/>
    </xf>
    <xf numFmtId="165" fontId="5" fillId="5" borderId="67" xfId="0" applyNumberFormat="1" applyFont="1" applyFill="1" applyBorder="1" applyAlignment="1" applyProtection="1">
      <alignment horizontal="center" vertical="center"/>
      <protection hidden="1"/>
    </xf>
    <xf numFmtId="0" fontId="95" fillId="3" borderId="81" xfId="3" applyNumberFormat="1" applyFont="1" applyFill="1" applyBorder="1" applyAlignment="1" applyProtection="1">
      <alignment horizontal="center" vertical="center"/>
      <protection locked="0"/>
    </xf>
    <xf numFmtId="0" fontId="95" fillId="3" borderId="46" xfId="3" applyNumberFormat="1" applyFont="1" applyFill="1" applyBorder="1" applyAlignment="1" applyProtection="1">
      <alignment horizontal="center" vertical="center"/>
      <protection locked="0"/>
    </xf>
    <xf numFmtId="0" fontId="95" fillId="3" borderId="82" xfId="3" applyNumberFormat="1" applyFont="1" applyFill="1" applyBorder="1" applyAlignment="1" applyProtection="1">
      <alignment horizontal="center" vertical="center"/>
      <protection locked="0"/>
    </xf>
    <xf numFmtId="165" fontId="95" fillId="3" borderId="82" xfId="3" applyNumberFormat="1" applyFont="1" applyFill="1" applyBorder="1" applyAlignment="1" applyProtection="1">
      <alignment horizontal="center" vertical="center"/>
      <protection locked="0"/>
    </xf>
    <xf numFmtId="14" fontId="95" fillId="3" borderId="513" xfId="3" applyNumberFormat="1" applyFont="1" applyFill="1" applyBorder="1" applyAlignment="1" applyProtection="1">
      <alignment horizontal="center" vertical="center" wrapText="1"/>
      <protection locked="0"/>
    </xf>
    <xf numFmtId="14" fontId="95" fillId="3" borderId="514" xfId="3" applyNumberFormat="1" applyFont="1" applyFill="1" applyBorder="1" applyAlignment="1" applyProtection="1">
      <alignment horizontal="center" vertical="center" wrapText="1"/>
      <protection locked="0"/>
    </xf>
    <xf numFmtId="14" fontId="95" fillId="3" borderId="515" xfId="3" applyNumberFormat="1" applyFont="1" applyFill="1" applyBorder="1" applyAlignment="1" applyProtection="1">
      <alignment horizontal="center" vertical="center" wrapText="1"/>
      <protection locked="0"/>
    </xf>
    <xf numFmtId="168" fontId="8" fillId="4" borderId="66" xfId="1" applyNumberFormat="1" applyFont="1" applyFill="1" applyBorder="1" applyAlignment="1" applyProtection="1">
      <alignment horizontal="center" vertical="center"/>
      <protection hidden="1"/>
    </xf>
    <xf numFmtId="166" fontId="13" fillId="0" borderId="0" xfId="3" applyNumberFormat="1" applyFont="1" applyBorder="1" applyAlignment="1" applyProtection="1">
      <alignment horizontal="left" vertical="center"/>
      <protection hidden="1"/>
    </xf>
    <xf numFmtId="165" fontId="8" fillId="4" borderId="81" xfId="3" applyNumberFormat="1" applyFont="1" applyFill="1" applyBorder="1" applyAlignment="1" applyProtection="1">
      <alignment horizontal="center" vertical="center"/>
      <protection hidden="1"/>
    </xf>
    <xf numFmtId="165" fontId="8" fillId="4" borderId="46" xfId="3" applyNumberFormat="1" applyFont="1" applyFill="1" applyBorder="1" applyAlignment="1" applyProtection="1">
      <alignment horizontal="center" vertical="center"/>
      <protection hidden="1"/>
    </xf>
    <xf numFmtId="165" fontId="8" fillId="4" borderId="82" xfId="3" applyNumberFormat="1" applyFont="1" applyFill="1" applyBorder="1" applyAlignment="1" applyProtection="1">
      <alignment horizontal="center" vertical="center"/>
      <protection hidden="1"/>
    </xf>
    <xf numFmtId="14" fontId="18" fillId="0" borderId="0" xfId="0" applyNumberFormat="1" applyFont="1" applyAlignment="1" applyProtection="1">
      <alignment horizontal="center" vertical="center"/>
      <protection hidden="1"/>
    </xf>
    <xf numFmtId="201" fontId="95" fillId="3" borderId="81" xfId="3" applyNumberFormat="1" applyFont="1" applyFill="1" applyBorder="1" applyAlignment="1" applyProtection="1">
      <alignment horizontal="center" vertical="center" wrapText="1"/>
      <protection locked="0"/>
    </xf>
    <xf numFmtId="201" fontId="95" fillId="3" borderId="46" xfId="3" applyNumberFormat="1" applyFont="1" applyFill="1" applyBorder="1" applyAlignment="1" applyProtection="1">
      <alignment horizontal="center" vertical="center" wrapText="1"/>
      <protection locked="0"/>
    </xf>
    <xf numFmtId="201" fontId="95" fillId="3" borderId="82" xfId="3" applyNumberFormat="1" applyFont="1" applyFill="1" applyBorder="1" applyAlignment="1" applyProtection="1">
      <alignment horizontal="center" vertical="center" wrapText="1"/>
      <protection locked="0"/>
    </xf>
    <xf numFmtId="180" fontId="8" fillId="4" borderId="66" xfId="0" applyNumberFormat="1" applyFont="1" applyFill="1" applyBorder="1" applyAlignment="1" applyProtection="1">
      <alignment horizontal="center" vertical="center"/>
      <protection hidden="1"/>
    </xf>
    <xf numFmtId="165" fontId="8" fillId="0" borderId="186" xfId="0" applyNumberFormat="1" applyFont="1" applyBorder="1" applyAlignment="1" applyProtection="1">
      <alignment horizontal="center" vertical="center"/>
      <protection hidden="1"/>
    </xf>
    <xf numFmtId="165" fontId="5" fillId="5" borderId="100" xfId="3" applyNumberFormat="1" applyFont="1" applyFill="1" applyBorder="1" applyAlignment="1" applyProtection="1">
      <alignment horizontal="center" vertical="center"/>
      <protection hidden="1"/>
    </xf>
    <xf numFmtId="165" fontId="8" fillId="0" borderId="0" xfId="3" applyNumberFormat="1" applyFont="1" applyFill="1" applyBorder="1" applyAlignment="1" applyProtection="1">
      <alignment horizontal="center" vertical="center"/>
      <protection hidden="1"/>
    </xf>
    <xf numFmtId="165" fontId="8" fillId="4" borderId="0" xfId="0" applyNumberFormat="1" applyFont="1" applyFill="1" applyAlignment="1" applyProtection="1">
      <alignment horizontal="right" vertical="center" indent="1"/>
      <protection hidden="1"/>
    </xf>
    <xf numFmtId="183" fontId="13" fillId="0" borderId="0" xfId="3" applyNumberFormat="1" applyFont="1" applyBorder="1" applyAlignment="1" applyProtection="1">
      <alignment horizontal="left" vertical="center"/>
      <protection hidden="1"/>
    </xf>
    <xf numFmtId="165" fontId="164" fillId="44" borderId="510" xfId="3" applyNumberFormat="1" applyFont="1" applyFill="1" applyBorder="1" applyAlignment="1" applyProtection="1">
      <alignment horizontal="center" vertical="center"/>
      <protection hidden="1"/>
    </xf>
    <xf numFmtId="165" fontId="164" fillId="44" borderId="511" xfId="3" applyNumberFormat="1" applyFont="1" applyFill="1" applyBorder="1" applyAlignment="1" applyProtection="1">
      <alignment horizontal="center" vertical="center"/>
      <protection hidden="1"/>
    </xf>
    <xf numFmtId="165" fontId="164" fillId="44" borderId="512" xfId="3" applyNumberFormat="1" applyFont="1" applyFill="1" applyBorder="1" applyAlignment="1" applyProtection="1">
      <alignment horizontal="center" vertical="center"/>
      <protection hidden="1"/>
    </xf>
    <xf numFmtId="165" fontId="8" fillId="4" borderId="98" xfId="3" applyNumberFormat="1" applyFont="1" applyFill="1" applyBorder="1" applyAlignment="1" applyProtection="1">
      <alignment horizontal="center" vertical="center"/>
      <protection hidden="1"/>
    </xf>
    <xf numFmtId="165" fontId="8" fillId="4" borderId="52" xfId="3" applyNumberFormat="1" applyFont="1" applyFill="1" applyBorder="1" applyAlignment="1" applyProtection="1">
      <alignment horizontal="center" vertical="center"/>
      <protection hidden="1"/>
    </xf>
    <xf numFmtId="165" fontId="8" fillId="4" borderId="233" xfId="3" applyNumberFormat="1" applyFont="1" applyFill="1" applyBorder="1" applyAlignment="1" applyProtection="1">
      <alignment horizontal="center" vertical="center"/>
      <protection hidden="1"/>
    </xf>
    <xf numFmtId="191" fontId="95" fillId="3" borderId="107" xfId="3" applyNumberFormat="1" applyFont="1" applyFill="1" applyBorder="1" applyAlignment="1" applyProtection="1">
      <alignment horizontal="center" vertical="center"/>
      <protection locked="0"/>
    </xf>
    <xf numFmtId="191" fontId="95" fillId="3" borderId="108" xfId="3" applyNumberFormat="1" applyFont="1" applyFill="1" applyBorder="1" applyAlignment="1" applyProtection="1">
      <alignment horizontal="center" vertical="center"/>
      <protection locked="0"/>
    </xf>
    <xf numFmtId="191" fontId="95" fillId="3" borderId="109" xfId="3" applyNumberFormat="1" applyFont="1" applyFill="1" applyBorder="1" applyAlignment="1" applyProtection="1">
      <alignment horizontal="center" vertical="center"/>
      <protection locked="0"/>
    </xf>
    <xf numFmtId="165" fontId="18" fillId="4" borderId="46" xfId="3" applyNumberFormat="1" applyFont="1" applyFill="1" applyBorder="1" applyAlignment="1" applyProtection="1">
      <alignment horizontal="center" vertical="center"/>
      <protection hidden="1"/>
    </xf>
    <xf numFmtId="165" fontId="18" fillId="4" borderId="82" xfId="3" applyNumberFormat="1" applyFont="1" applyFill="1" applyBorder="1" applyAlignment="1" applyProtection="1">
      <alignment horizontal="center" vertical="center"/>
      <protection hidden="1"/>
    </xf>
    <xf numFmtId="202" fontId="95" fillId="3" borderId="81" xfId="3" applyNumberFormat="1" applyFont="1" applyFill="1" applyBorder="1" applyAlignment="1" applyProtection="1">
      <alignment horizontal="center" vertical="center" wrapText="1"/>
      <protection locked="0"/>
    </xf>
    <xf numFmtId="202" fontId="95" fillId="3" borderId="46" xfId="3" applyNumberFormat="1" applyFont="1" applyFill="1" applyBorder="1" applyAlignment="1" applyProtection="1">
      <alignment horizontal="center" vertical="center" wrapText="1"/>
      <protection locked="0"/>
    </xf>
    <xf numFmtId="202" fontId="95" fillId="3" borderId="82" xfId="3" applyNumberFormat="1" applyFont="1" applyFill="1" applyBorder="1" applyAlignment="1" applyProtection="1">
      <alignment horizontal="center" vertical="center" wrapText="1"/>
      <protection locked="0"/>
    </xf>
    <xf numFmtId="0" fontId="66" fillId="15" borderId="81" xfId="3" applyNumberFormat="1" applyFont="1" applyFill="1" applyBorder="1" applyAlignment="1" applyProtection="1">
      <alignment horizontal="center" vertical="center" wrapText="1"/>
      <protection hidden="1"/>
    </xf>
    <xf numFmtId="0" fontId="66" fillId="15" borderId="46" xfId="3" applyNumberFormat="1" applyFont="1" applyFill="1" applyBorder="1" applyAlignment="1" applyProtection="1">
      <alignment horizontal="center" vertical="center" wrapText="1"/>
      <protection hidden="1"/>
    </xf>
    <xf numFmtId="0" fontId="66" fillId="15" borderId="82" xfId="3" applyNumberFormat="1" applyFont="1" applyFill="1" applyBorder="1" applyAlignment="1" applyProtection="1">
      <alignment horizontal="center" vertical="center" wrapText="1"/>
      <protection hidden="1"/>
    </xf>
    <xf numFmtId="0" fontId="20" fillId="3" borderId="81" xfId="3" applyNumberFormat="1" applyFont="1" applyFill="1" applyBorder="1" applyAlignment="1" applyProtection="1">
      <alignment horizontal="center" vertical="center"/>
      <protection hidden="1"/>
    </xf>
    <xf numFmtId="0" fontId="20" fillId="3" borderId="46" xfId="3" applyNumberFormat="1" applyFont="1" applyFill="1" applyBorder="1" applyAlignment="1" applyProtection="1">
      <alignment horizontal="center" vertical="center"/>
      <protection hidden="1"/>
    </xf>
    <xf numFmtId="0" fontId="20" fillId="3" borderId="82" xfId="3" applyNumberFormat="1" applyFont="1" applyFill="1" applyBorder="1" applyAlignment="1" applyProtection="1">
      <alignment horizontal="center" vertical="center"/>
      <protection hidden="1"/>
    </xf>
    <xf numFmtId="0" fontId="8" fillId="0" borderId="128" xfId="3" applyNumberFormat="1" applyFont="1" applyFill="1" applyBorder="1" applyAlignment="1" applyProtection="1">
      <alignment horizontal="center" vertical="center"/>
      <protection hidden="1"/>
    </xf>
    <xf numFmtId="0" fontId="8" fillId="0" borderId="129" xfId="3" applyNumberFormat="1" applyFont="1" applyFill="1" applyBorder="1" applyAlignment="1" applyProtection="1">
      <alignment horizontal="center" vertical="center"/>
      <protection hidden="1"/>
    </xf>
    <xf numFmtId="0" fontId="8" fillId="0" borderId="130" xfId="3" applyNumberFormat="1" applyFont="1" applyFill="1" applyBorder="1" applyAlignment="1" applyProtection="1">
      <alignment horizontal="center" vertical="center"/>
      <protection hidden="1"/>
    </xf>
    <xf numFmtId="0" fontId="8" fillId="5" borderId="0" xfId="3" applyNumberFormat="1" applyFont="1" applyFill="1" applyBorder="1" applyAlignment="1" applyProtection="1">
      <alignment horizontal="center" vertical="center"/>
      <protection hidden="1"/>
    </xf>
    <xf numFmtId="0" fontId="8" fillId="24" borderId="131" xfId="3" applyNumberFormat="1" applyFont="1" applyFill="1" applyBorder="1" applyAlignment="1" applyProtection="1">
      <alignment horizontal="center" vertical="center"/>
      <protection hidden="1"/>
    </xf>
    <xf numFmtId="0" fontId="8" fillId="24" borderId="132" xfId="3" applyNumberFormat="1" applyFont="1" applyFill="1" applyBorder="1" applyAlignment="1" applyProtection="1">
      <alignment horizontal="center" vertical="center"/>
      <protection hidden="1"/>
    </xf>
    <xf numFmtId="0" fontId="8" fillId="24" borderId="133" xfId="3" applyNumberFormat="1" applyFont="1" applyFill="1" applyBorder="1" applyAlignment="1" applyProtection="1">
      <alignment horizontal="center" vertical="center"/>
      <protection hidden="1"/>
    </xf>
    <xf numFmtId="165" fontId="5" fillId="0" borderId="2" xfId="3" applyNumberFormat="1" applyFont="1" applyFill="1" applyBorder="1" applyAlignment="1" applyProtection="1">
      <alignment horizontal="center" vertical="center"/>
      <protection hidden="1"/>
    </xf>
    <xf numFmtId="165" fontId="66" fillId="15" borderId="107" xfId="3" applyNumberFormat="1" applyFont="1" applyFill="1" applyBorder="1" applyAlignment="1" applyProtection="1">
      <alignment horizontal="center" vertical="center" wrapText="1"/>
      <protection locked="0"/>
    </xf>
    <xf numFmtId="165" fontId="66" fillId="15" borderId="108" xfId="3" applyNumberFormat="1" applyFont="1" applyFill="1" applyBorder="1" applyAlignment="1" applyProtection="1">
      <alignment horizontal="center" vertical="center" wrapText="1"/>
      <protection locked="0"/>
    </xf>
    <xf numFmtId="165" fontId="66" fillId="15" borderId="109" xfId="3" applyNumberFormat="1" applyFont="1" applyFill="1" applyBorder="1" applyAlignment="1" applyProtection="1">
      <alignment horizontal="center" vertical="center" wrapText="1"/>
      <protection locked="0"/>
    </xf>
    <xf numFmtId="0" fontId="8" fillId="5" borderId="0" xfId="0" applyFont="1" applyFill="1" applyAlignment="1" applyProtection="1">
      <alignment horizontal="right" vertical="center"/>
      <protection hidden="1"/>
    </xf>
    <xf numFmtId="0" fontId="65" fillId="4" borderId="11" xfId="4" applyFill="1" applyBorder="1" applyAlignment="1" applyProtection="1">
      <alignment horizontal="center" vertical="center"/>
      <protection locked="0" hidden="1"/>
    </xf>
    <xf numFmtId="0" fontId="65" fillId="4" borderId="67" xfId="4" applyFill="1" applyBorder="1" applyAlignment="1" applyProtection="1">
      <alignment horizontal="center" vertical="center"/>
      <protection locked="0" hidden="1"/>
    </xf>
    <xf numFmtId="0" fontId="65" fillId="4" borderId="12" xfId="4" applyFill="1" applyBorder="1" applyAlignment="1" applyProtection="1">
      <alignment horizontal="center" vertical="center"/>
      <protection locked="0" hidden="1"/>
    </xf>
    <xf numFmtId="168" fontId="96" fillId="5" borderId="0" xfId="0" applyNumberFormat="1" applyFont="1" applyFill="1" applyAlignment="1" applyProtection="1">
      <alignment horizontal="center" vertical="center"/>
      <protection hidden="1"/>
    </xf>
    <xf numFmtId="169" fontId="96" fillId="5" borderId="0" xfId="0" applyNumberFormat="1" applyFont="1" applyFill="1" applyAlignment="1" applyProtection="1">
      <alignment horizontal="center" vertical="center"/>
      <protection hidden="1"/>
    </xf>
    <xf numFmtId="168" fontId="96" fillId="5" borderId="66" xfId="0" applyNumberFormat="1" applyFont="1" applyFill="1" applyBorder="1" applyAlignment="1" applyProtection="1">
      <alignment horizontal="center" vertical="center"/>
      <protection hidden="1"/>
    </xf>
    <xf numFmtId="0" fontId="8" fillId="5" borderId="0" xfId="0" applyFont="1" applyFill="1" applyAlignment="1" applyProtection="1">
      <alignment horizontal="center" vertical="center"/>
      <protection hidden="1"/>
    </xf>
    <xf numFmtId="165" fontId="66" fillId="15" borderId="107" xfId="3" applyNumberFormat="1" applyFont="1" applyFill="1" applyBorder="1" applyAlignment="1" applyProtection="1">
      <alignment horizontal="center" vertical="center"/>
      <protection locked="0"/>
    </xf>
    <xf numFmtId="165" fontId="66" fillId="15" borderId="108" xfId="3" applyNumberFormat="1" applyFont="1" applyFill="1" applyBorder="1" applyAlignment="1" applyProtection="1">
      <alignment horizontal="center" vertical="center"/>
      <protection locked="0"/>
    </xf>
    <xf numFmtId="165" fontId="66" fillId="15" borderId="109" xfId="3" applyNumberFormat="1" applyFont="1" applyFill="1" applyBorder="1" applyAlignment="1" applyProtection="1">
      <alignment horizontal="center" vertical="center"/>
      <protection locked="0"/>
    </xf>
    <xf numFmtId="0" fontId="95" fillId="5" borderId="163" xfId="0" applyFont="1" applyFill="1" applyBorder="1" applyAlignment="1" applyProtection="1">
      <alignment horizontal="center" vertical="center"/>
      <protection locked="0"/>
    </xf>
    <xf numFmtId="0" fontId="95" fillId="5" borderId="164" xfId="0" applyFont="1" applyFill="1" applyBorder="1" applyAlignment="1" applyProtection="1">
      <alignment horizontal="center" vertical="center"/>
      <protection locked="0"/>
    </xf>
    <xf numFmtId="0" fontId="95" fillId="5" borderId="165" xfId="0" applyFont="1" applyFill="1" applyBorder="1" applyAlignment="1" applyProtection="1">
      <alignment horizontal="center" vertical="center"/>
      <protection locked="0"/>
    </xf>
    <xf numFmtId="165" fontId="5" fillId="5" borderId="167" xfId="2" applyNumberFormat="1" applyFont="1" applyFill="1" applyBorder="1" applyAlignment="1" applyProtection="1">
      <alignment horizontal="center" vertical="center"/>
      <protection hidden="1"/>
    </xf>
    <xf numFmtId="168" fontId="18" fillId="0" borderId="0" xfId="1" applyNumberFormat="1" applyFont="1" applyFill="1" applyBorder="1" applyAlignment="1" applyProtection="1">
      <alignment horizontal="center" vertical="center"/>
      <protection hidden="1"/>
    </xf>
    <xf numFmtId="165" fontId="95" fillId="3" borderId="110" xfId="3" applyNumberFormat="1" applyFont="1" applyFill="1" applyBorder="1" applyAlignment="1" applyProtection="1">
      <alignment horizontal="center" vertical="center"/>
      <protection locked="0"/>
    </xf>
    <xf numFmtId="165" fontId="95" fillId="3" borderId="111" xfId="3" applyNumberFormat="1" applyFont="1" applyFill="1" applyBorder="1" applyAlignment="1" applyProtection="1">
      <alignment horizontal="center" vertical="center"/>
      <protection locked="0"/>
    </xf>
    <xf numFmtId="165" fontId="95" fillId="3" borderId="112" xfId="3" applyNumberFormat="1" applyFont="1" applyFill="1" applyBorder="1" applyAlignment="1" applyProtection="1">
      <alignment horizontal="center" vertical="center"/>
      <protection locked="0"/>
    </xf>
    <xf numFmtId="168" fontId="95" fillId="3" borderId="106" xfId="1" applyNumberFormat="1" applyFont="1" applyFill="1" applyBorder="1" applyAlignment="1" applyProtection="1">
      <alignment horizontal="left" vertical="center"/>
      <protection locked="0"/>
    </xf>
    <xf numFmtId="168" fontId="95" fillId="3" borderId="472" xfId="1" applyNumberFormat="1" applyFont="1" applyFill="1" applyBorder="1" applyAlignment="1" applyProtection="1">
      <alignment horizontal="left" vertical="center"/>
      <protection locked="0"/>
    </xf>
    <xf numFmtId="168" fontId="95" fillId="3" borderId="473" xfId="1" applyNumberFormat="1" applyFont="1" applyFill="1" applyBorder="1" applyAlignment="1" applyProtection="1">
      <alignment horizontal="left" vertical="center"/>
      <protection locked="0"/>
    </xf>
    <xf numFmtId="165" fontId="5" fillId="0" borderId="2" xfId="0" applyNumberFormat="1" applyFont="1" applyBorder="1" applyAlignment="1" applyProtection="1">
      <alignment horizontal="center" vertical="center"/>
      <protection hidden="1"/>
    </xf>
    <xf numFmtId="0" fontId="8" fillId="5" borderId="101" xfId="0" applyFont="1" applyFill="1" applyBorder="1" applyAlignment="1" applyProtection="1">
      <alignment horizontal="center" vertical="center"/>
      <protection hidden="1"/>
    </xf>
    <xf numFmtId="0" fontId="8" fillId="5" borderId="102" xfId="0" applyFont="1" applyFill="1" applyBorder="1" applyAlignment="1" applyProtection="1">
      <alignment horizontal="center" vertical="center"/>
      <protection hidden="1"/>
    </xf>
    <xf numFmtId="0" fontId="8" fillId="5" borderId="103" xfId="0" applyFont="1" applyFill="1" applyBorder="1" applyAlignment="1" applyProtection="1">
      <alignment horizontal="center" vertical="center"/>
      <protection hidden="1"/>
    </xf>
    <xf numFmtId="165" fontId="8" fillId="4" borderId="0" xfId="0" applyNumberFormat="1" applyFont="1" applyFill="1" applyAlignment="1" applyProtection="1">
      <alignment horizontal="center" vertical="center"/>
      <protection hidden="1"/>
    </xf>
    <xf numFmtId="168" fontId="95" fillId="3" borderId="107" xfId="1" applyNumberFormat="1" applyFont="1" applyFill="1" applyBorder="1" applyAlignment="1" applyProtection="1">
      <alignment horizontal="center" vertical="center"/>
    </xf>
    <xf numFmtId="168" fontId="95" fillId="3" borderId="108" xfId="1" applyNumberFormat="1" applyFont="1" applyFill="1" applyBorder="1" applyAlignment="1" applyProtection="1">
      <alignment horizontal="center" vertical="center"/>
    </xf>
    <xf numFmtId="168" fontId="95" fillId="3" borderId="109" xfId="1" applyNumberFormat="1" applyFont="1" applyFill="1" applyBorder="1" applyAlignment="1" applyProtection="1">
      <alignment horizontal="center" vertical="center"/>
    </xf>
    <xf numFmtId="175" fontId="5" fillId="9" borderId="67" xfId="0" applyNumberFormat="1" applyFont="1" applyFill="1" applyBorder="1" applyAlignment="1" applyProtection="1">
      <alignment horizontal="right" vertical="center" indent="1"/>
      <protection hidden="1"/>
    </xf>
    <xf numFmtId="0" fontId="5" fillId="4" borderId="0" xfId="2" applyFont="1" applyFill="1" applyAlignment="1" applyProtection="1">
      <alignment horizontal="right" vertical="center"/>
      <protection hidden="1"/>
    </xf>
    <xf numFmtId="0" fontId="5" fillId="4" borderId="0" xfId="2" applyFont="1" applyFill="1" applyAlignment="1" applyProtection="1">
      <alignment horizontal="right" vertical="center" indent="1"/>
      <protection hidden="1"/>
    </xf>
    <xf numFmtId="165" fontId="95" fillId="3" borderId="107" xfId="1" applyNumberFormat="1" applyFont="1" applyFill="1" applyBorder="1" applyAlignment="1" applyProtection="1">
      <alignment horizontal="center" vertical="center"/>
      <protection locked="0"/>
    </xf>
    <xf numFmtId="165" fontId="95" fillId="3" borderId="108" xfId="1" applyNumberFormat="1" applyFont="1" applyFill="1" applyBorder="1" applyAlignment="1" applyProtection="1">
      <alignment horizontal="center" vertical="center"/>
      <protection locked="0"/>
    </xf>
    <xf numFmtId="165" fontId="95" fillId="3" borderId="109" xfId="1" applyNumberFormat="1" applyFont="1" applyFill="1" applyBorder="1" applyAlignment="1" applyProtection="1">
      <alignment horizontal="center" vertical="center"/>
      <protection locked="0"/>
    </xf>
    <xf numFmtId="0" fontId="89" fillId="4" borderId="255" xfId="0" applyFont="1" applyFill="1" applyBorder="1" applyAlignment="1" applyProtection="1">
      <alignment horizontal="center" vertical="center"/>
      <protection hidden="1"/>
    </xf>
    <xf numFmtId="168" fontId="18" fillId="4" borderId="0" xfId="1" applyNumberFormat="1" applyFont="1" applyFill="1" applyBorder="1" applyAlignment="1" applyProtection="1">
      <alignment horizontal="center" vertical="center"/>
      <protection hidden="1"/>
    </xf>
    <xf numFmtId="165" fontId="5" fillId="5" borderId="267" xfId="0" applyNumberFormat="1" applyFont="1" applyFill="1" applyBorder="1" applyAlignment="1" applyProtection="1">
      <alignment horizontal="right" vertical="center" indent="1"/>
      <protection hidden="1"/>
    </xf>
    <xf numFmtId="0" fontId="95" fillId="3" borderId="192" xfId="3" applyNumberFormat="1" applyFont="1" applyFill="1" applyBorder="1" applyAlignment="1" applyProtection="1">
      <alignment horizontal="center" vertical="center"/>
      <protection locked="0"/>
    </xf>
    <xf numFmtId="0" fontId="95" fillId="3" borderId="193" xfId="3" applyNumberFormat="1" applyFont="1" applyFill="1" applyBorder="1" applyAlignment="1" applyProtection="1">
      <alignment horizontal="center" vertical="center"/>
      <protection locked="0"/>
    </xf>
    <xf numFmtId="0" fontId="95" fillId="3" borderId="194" xfId="3" applyNumberFormat="1" applyFont="1" applyFill="1" applyBorder="1" applyAlignment="1" applyProtection="1">
      <alignment horizontal="center" vertical="center"/>
      <protection locked="0"/>
    </xf>
    <xf numFmtId="165" fontId="5" fillId="3" borderId="137" xfId="0" applyNumberFormat="1" applyFont="1" applyFill="1" applyBorder="1" applyAlignment="1" applyProtection="1">
      <alignment horizontal="center" vertical="center"/>
      <protection hidden="1"/>
    </xf>
    <xf numFmtId="165" fontId="5" fillId="3" borderId="138" xfId="0" applyNumberFormat="1" applyFont="1" applyFill="1" applyBorder="1" applyAlignment="1" applyProtection="1">
      <alignment horizontal="center" vertical="center"/>
      <protection hidden="1"/>
    </xf>
    <xf numFmtId="165" fontId="5" fillId="3" borderId="46" xfId="0" applyNumberFormat="1" applyFont="1" applyFill="1" applyBorder="1" applyAlignment="1" applyProtection="1">
      <alignment horizontal="center" vertical="center"/>
      <protection hidden="1"/>
    </xf>
    <xf numFmtId="165" fontId="5" fillId="3" borderId="140" xfId="0" applyNumberFormat="1" applyFont="1" applyFill="1" applyBorder="1" applyAlignment="1" applyProtection="1">
      <alignment horizontal="center" vertical="center"/>
      <protection hidden="1"/>
    </xf>
    <xf numFmtId="165" fontId="5" fillId="3" borderId="141" xfId="0" applyNumberFormat="1" applyFont="1" applyFill="1" applyBorder="1" applyAlignment="1" applyProtection="1">
      <alignment horizontal="center" vertical="center"/>
      <protection hidden="1"/>
    </xf>
    <xf numFmtId="165" fontId="5" fillId="3" borderId="142" xfId="0" applyNumberFormat="1" applyFont="1" applyFill="1" applyBorder="1" applyAlignment="1" applyProtection="1">
      <alignment horizontal="center" vertical="center"/>
      <protection hidden="1"/>
    </xf>
    <xf numFmtId="175" fontId="5" fillId="9" borderId="12" xfId="0" applyNumberFormat="1" applyFont="1" applyFill="1" applyBorder="1" applyAlignment="1" applyProtection="1">
      <alignment horizontal="right" vertical="center" indent="1"/>
      <protection hidden="1"/>
    </xf>
    <xf numFmtId="10" fontId="211" fillId="3" borderId="113" xfId="1" applyNumberFormat="1" applyFont="1" applyFill="1" applyBorder="1" applyAlignment="1" applyProtection="1">
      <alignment horizontal="center" vertical="center" wrapText="1"/>
      <protection locked="0"/>
    </xf>
    <xf numFmtId="10" fontId="211" fillId="3" borderId="114" xfId="1" applyNumberFormat="1" applyFont="1" applyFill="1" applyBorder="1" applyAlignment="1" applyProtection="1">
      <alignment horizontal="center" vertical="center" wrapText="1"/>
      <protection locked="0"/>
    </xf>
    <xf numFmtId="10" fontId="211" fillId="3" borderId="115" xfId="1" applyNumberFormat="1" applyFont="1" applyFill="1" applyBorder="1" applyAlignment="1" applyProtection="1">
      <alignment horizontal="center" vertical="center" wrapText="1"/>
      <protection locked="0"/>
    </xf>
    <xf numFmtId="165" fontId="8" fillId="0" borderId="0" xfId="0" applyNumberFormat="1" applyFont="1" applyAlignment="1" applyProtection="1">
      <alignment horizontal="right" vertical="center"/>
      <protection hidden="1"/>
    </xf>
    <xf numFmtId="165" fontId="8" fillId="0" borderId="68" xfId="0" applyNumberFormat="1" applyFont="1" applyBorder="1" applyAlignment="1" applyProtection="1">
      <alignment horizontal="center" vertical="center"/>
      <protection hidden="1"/>
    </xf>
    <xf numFmtId="14" fontId="8" fillId="0" borderId="0" xfId="0" applyNumberFormat="1" applyFont="1" applyAlignment="1" applyProtection="1">
      <alignment horizontal="center" vertical="center"/>
      <protection hidden="1"/>
    </xf>
    <xf numFmtId="165" fontId="8" fillId="5" borderId="125" xfId="3" applyNumberFormat="1" applyFont="1" applyFill="1" applyBorder="1" applyAlignment="1" applyProtection="1">
      <alignment horizontal="center" vertical="center"/>
      <protection hidden="1"/>
    </xf>
    <xf numFmtId="165" fontId="8" fillId="5" borderId="126" xfId="3" applyNumberFormat="1" applyFont="1" applyFill="1" applyBorder="1" applyAlignment="1" applyProtection="1">
      <alignment horizontal="center" vertical="center"/>
      <protection hidden="1"/>
    </xf>
    <xf numFmtId="165" fontId="8" fillId="5" borderId="127" xfId="3" applyNumberFormat="1" applyFont="1" applyFill="1" applyBorder="1" applyAlignment="1" applyProtection="1">
      <alignment horizontal="center" vertical="center"/>
      <protection hidden="1"/>
    </xf>
    <xf numFmtId="165" fontId="5" fillId="5" borderId="134" xfId="0" applyNumberFormat="1" applyFont="1" applyFill="1" applyBorder="1" applyAlignment="1" applyProtection="1">
      <alignment horizontal="right" vertical="center"/>
      <protection hidden="1"/>
    </xf>
    <xf numFmtId="165" fontId="5" fillId="0" borderId="216" xfId="0" applyNumberFormat="1" applyFont="1" applyBorder="1" applyAlignment="1" applyProtection="1">
      <alignment horizontal="center" vertical="center"/>
      <protection hidden="1"/>
    </xf>
    <xf numFmtId="165" fontId="5" fillId="0" borderId="217" xfId="0" applyNumberFormat="1" applyFont="1" applyBorder="1" applyAlignment="1" applyProtection="1">
      <alignment horizontal="center" vertical="center"/>
      <protection hidden="1"/>
    </xf>
    <xf numFmtId="165" fontId="5" fillId="0" borderId="211" xfId="0" applyNumberFormat="1" applyFont="1" applyBorder="1" applyAlignment="1" applyProtection="1">
      <alignment horizontal="center" vertical="center"/>
      <protection hidden="1"/>
    </xf>
    <xf numFmtId="165" fontId="5" fillId="0" borderId="212" xfId="0" applyNumberFormat="1" applyFont="1" applyBorder="1" applyAlignment="1" applyProtection="1">
      <alignment horizontal="center" vertical="center"/>
      <protection hidden="1"/>
    </xf>
    <xf numFmtId="165" fontId="33" fillId="4" borderId="505" xfId="0" applyNumberFormat="1" applyFont="1" applyFill="1" applyBorder="1" applyAlignment="1" applyProtection="1">
      <alignment horizontal="right" vertical="center"/>
      <protection hidden="1"/>
    </xf>
    <xf numFmtId="178" fontId="33" fillId="4" borderId="505" xfId="1" applyNumberFormat="1" applyFont="1" applyFill="1" applyBorder="1" applyAlignment="1" applyProtection="1">
      <alignment horizontal="center" vertical="center"/>
      <protection hidden="1"/>
    </xf>
    <xf numFmtId="178" fontId="32" fillId="5" borderId="134" xfId="1" applyNumberFormat="1" applyFont="1" applyFill="1" applyBorder="1" applyAlignment="1" applyProtection="1">
      <alignment horizontal="center" vertical="center"/>
      <protection hidden="1"/>
    </xf>
    <xf numFmtId="165" fontId="33" fillId="4" borderId="507" xfId="0" applyNumberFormat="1" applyFont="1" applyFill="1" applyBorder="1" applyAlignment="1" applyProtection="1">
      <alignment horizontal="right" vertical="center"/>
      <protection hidden="1"/>
    </xf>
    <xf numFmtId="178" fontId="33" fillId="4" borderId="507" xfId="1" applyNumberFormat="1" applyFont="1" applyFill="1" applyBorder="1" applyAlignment="1" applyProtection="1">
      <alignment horizontal="center" vertical="center"/>
      <protection hidden="1"/>
    </xf>
    <xf numFmtId="165" fontId="32" fillId="5" borderId="134" xfId="0" applyNumberFormat="1" applyFont="1" applyFill="1" applyBorder="1" applyAlignment="1" applyProtection="1">
      <alignment horizontal="right" vertical="center"/>
      <protection hidden="1"/>
    </xf>
    <xf numFmtId="165" fontId="213" fillId="4" borderId="102" xfId="0" applyNumberFormat="1" applyFont="1" applyFill="1" applyBorder="1" applyAlignment="1" applyProtection="1">
      <alignment horizontal="right" vertical="center"/>
      <protection hidden="1"/>
    </xf>
    <xf numFmtId="168" fontId="8" fillId="0" borderId="0" xfId="1" applyNumberFormat="1" applyFont="1" applyBorder="1" applyAlignment="1" applyProtection="1">
      <alignment horizontal="center" vertical="center"/>
      <protection hidden="1"/>
    </xf>
    <xf numFmtId="176" fontId="21" fillId="0" borderId="49" xfId="2" applyNumberFormat="1" applyFont="1" applyBorder="1" applyAlignment="1" applyProtection="1">
      <alignment horizontal="center" vertical="center"/>
      <protection hidden="1"/>
    </xf>
    <xf numFmtId="176" fontId="25" fillId="5" borderId="191" xfId="2" applyNumberFormat="1" applyFont="1" applyFill="1" applyBorder="1" applyAlignment="1" applyProtection="1">
      <alignment horizontal="center" vertical="center"/>
      <protection hidden="1"/>
    </xf>
    <xf numFmtId="212" fontId="13" fillId="0" borderId="155" xfId="2" applyNumberFormat="1" applyFont="1" applyBorder="1" applyAlignment="1" applyProtection="1">
      <alignment horizontal="center" vertical="center"/>
      <protection hidden="1"/>
    </xf>
    <xf numFmtId="168" fontId="5" fillId="5" borderId="167" xfId="2" applyNumberFormat="1" applyFont="1" applyFill="1" applyBorder="1" applyAlignment="1" applyProtection="1">
      <alignment horizontal="center" vertical="center"/>
      <protection hidden="1"/>
    </xf>
    <xf numFmtId="168" fontId="5" fillId="5" borderId="168" xfId="2" applyNumberFormat="1" applyFont="1" applyFill="1" applyBorder="1" applyAlignment="1" applyProtection="1">
      <alignment horizontal="center" vertical="center"/>
      <protection hidden="1"/>
    </xf>
    <xf numFmtId="165" fontId="5" fillId="5" borderId="168" xfId="2" applyNumberFormat="1" applyFont="1" applyFill="1" applyBorder="1" applyAlignment="1" applyProtection="1">
      <alignment horizontal="center" vertical="center"/>
      <protection hidden="1"/>
    </xf>
    <xf numFmtId="168" fontId="95" fillId="3" borderId="83" xfId="1" applyNumberFormat="1" applyFont="1" applyFill="1" applyBorder="1" applyAlignment="1" applyProtection="1">
      <alignment horizontal="left" vertical="center"/>
      <protection locked="0"/>
    </xf>
    <xf numFmtId="168" fontId="95" fillId="3" borderId="50" xfId="1" applyNumberFormat="1" applyFont="1" applyFill="1" applyBorder="1" applyAlignment="1" applyProtection="1">
      <alignment horizontal="left" vertical="center"/>
      <protection locked="0"/>
    </xf>
    <xf numFmtId="168" fontId="95" fillId="3" borderId="84" xfId="1" applyNumberFormat="1" applyFont="1" applyFill="1" applyBorder="1" applyAlignment="1" applyProtection="1">
      <alignment horizontal="left" vertical="center"/>
      <protection locked="0"/>
    </xf>
    <xf numFmtId="176" fontId="21" fillId="0" borderId="151" xfId="2" applyNumberFormat="1" applyFont="1" applyBorder="1" applyAlignment="1" applyProtection="1">
      <alignment horizontal="center" vertical="center"/>
      <protection hidden="1"/>
    </xf>
    <xf numFmtId="165" fontId="8" fillId="5" borderId="163" xfId="3" applyNumberFormat="1" applyFont="1" applyFill="1" applyBorder="1" applyAlignment="1" applyProtection="1">
      <alignment horizontal="center" vertical="center" wrapText="1"/>
      <protection hidden="1"/>
    </xf>
    <xf numFmtId="165" fontId="8" fillId="5" borderId="164" xfId="3" applyNumberFormat="1" applyFont="1" applyFill="1" applyBorder="1" applyAlignment="1" applyProtection="1">
      <alignment horizontal="center" vertical="center" wrapText="1"/>
      <protection hidden="1"/>
    </xf>
    <xf numFmtId="165" fontId="8" fillId="5" borderId="165" xfId="3" applyNumberFormat="1" applyFont="1" applyFill="1" applyBorder="1" applyAlignment="1" applyProtection="1">
      <alignment horizontal="center" vertical="center" wrapText="1"/>
      <protection hidden="1"/>
    </xf>
    <xf numFmtId="0" fontId="8" fillId="5" borderId="163" xfId="0" applyFont="1" applyFill="1" applyBorder="1" applyAlignment="1" applyProtection="1">
      <alignment horizontal="center" vertical="center"/>
      <protection hidden="1"/>
    </xf>
    <xf numFmtId="0" fontId="8" fillId="5" borderId="164" xfId="0" applyFont="1" applyFill="1" applyBorder="1" applyAlignment="1" applyProtection="1">
      <alignment horizontal="center" vertical="center"/>
      <protection hidden="1"/>
    </xf>
    <xf numFmtId="0" fontId="8" fillId="5" borderId="165" xfId="0" applyFont="1" applyFill="1" applyBorder="1" applyAlignment="1" applyProtection="1">
      <alignment horizontal="center" vertical="center"/>
      <protection hidden="1"/>
    </xf>
    <xf numFmtId="0" fontId="21" fillId="0" borderId="100" xfId="2" applyFont="1" applyBorder="1" applyAlignment="1" applyProtection="1">
      <alignment horizontal="left" vertical="center"/>
      <protection hidden="1"/>
    </xf>
    <xf numFmtId="210" fontId="5" fillId="5" borderId="101" xfId="0" applyNumberFormat="1" applyFont="1" applyFill="1" applyBorder="1" applyAlignment="1" applyProtection="1">
      <alignment horizontal="center" vertical="center"/>
      <protection hidden="1"/>
    </xf>
    <xf numFmtId="210" fontId="5" fillId="5" borderId="102" xfId="0" applyNumberFormat="1" applyFont="1" applyFill="1" applyBorder="1" applyAlignment="1" applyProtection="1">
      <alignment horizontal="center" vertical="center"/>
      <protection hidden="1"/>
    </xf>
    <xf numFmtId="210" fontId="5" fillId="5" borderId="103" xfId="0" applyNumberFormat="1" applyFont="1" applyFill="1" applyBorder="1" applyAlignment="1" applyProtection="1">
      <alignment horizontal="center" vertical="center"/>
      <protection hidden="1"/>
    </xf>
    <xf numFmtId="191" fontId="18" fillId="4" borderId="100" xfId="0" applyNumberFormat="1" applyFont="1" applyFill="1" applyBorder="1" applyAlignment="1" applyProtection="1">
      <alignment horizontal="center" vertical="center"/>
      <protection hidden="1"/>
    </xf>
    <xf numFmtId="168" fontId="8" fillId="0" borderId="103" xfId="1" applyNumberFormat="1" applyFont="1" applyBorder="1" applyAlignment="1" applyProtection="1">
      <alignment horizontal="center" vertical="center"/>
      <protection hidden="1"/>
    </xf>
    <xf numFmtId="191" fontId="95" fillId="3" borderId="81" xfId="3" applyNumberFormat="1" applyFont="1" applyFill="1" applyBorder="1" applyAlignment="1" applyProtection="1">
      <alignment horizontal="center" vertical="center" wrapText="1"/>
      <protection locked="0"/>
    </xf>
    <xf numFmtId="191" fontId="95" fillId="3" borderId="46" xfId="3" applyNumberFormat="1" applyFont="1" applyFill="1" applyBorder="1" applyAlignment="1" applyProtection="1">
      <alignment horizontal="center" vertical="center" wrapText="1"/>
      <protection locked="0"/>
    </xf>
    <xf numFmtId="191" fontId="95" fillId="3" borderId="82" xfId="3" applyNumberFormat="1" applyFont="1" applyFill="1" applyBorder="1" applyAlignment="1" applyProtection="1">
      <alignment horizontal="center" vertical="center" wrapText="1"/>
      <protection locked="0"/>
    </xf>
    <xf numFmtId="14" fontId="5" fillId="0" borderId="0" xfId="0" applyNumberFormat="1" applyFont="1" applyAlignment="1" applyProtection="1">
      <alignment horizontal="center" vertical="center"/>
      <protection hidden="1"/>
    </xf>
    <xf numFmtId="203" fontId="18" fillId="4" borderId="98" xfId="3" applyNumberFormat="1" applyFont="1" applyFill="1" applyBorder="1" applyAlignment="1" applyProtection="1">
      <alignment horizontal="center" vertical="center"/>
      <protection hidden="1"/>
    </xf>
    <xf numFmtId="203" fontId="18" fillId="4" borderId="52" xfId="3" applyNumberFormat="1" applyFont="1" applyFill="1" applyBorder="1" applyAlignment="1" applyProtection="1">
      <alignment horizontal="center" vertical="center"/>
      <protection hidden="1"/>
    </xf>
    <xf numFmtId="203" fontId="18" fillId="4" borderId="233" xfId="3" applyNumberFormat="1" applyFont="1" applyFill="1" applyBorder="1" applyAlignment="1" applyProtection="1">
      <alignment horizontal="center" vertical="center"/>
      <protection hidden="1"/>
    </xf>
    <xf numFmtId="165" fontId="8" fillId="0" borderId="209" xfId="0" applyNumberFormat="1" applyFont="1" applyBorder="1" applyAlignment="1" applyProtection="1">
      <alignment horizontal="center" vertical="center"/>
      <protection hidden="1"/>
    </xf>
    <xf numFmtId="212" fontId="95" fillId="3" borderId="1" xfId="0" applyNumberFormat="1" applyFont="1" applyFill="1" applyBorder="1" applyAlignment="1" applyProtection="1">
      <alignment horizontal="center" vertical="center"/>
      <protection locked="0"/>
    </xf>
    <xf numFmtId="212" fontId="95" fillId="3" borderId="213" xfId="0" applyNumberFormat="1" applyFont="1" applyFill="1" applyBorder="1" applyAlignment="1" applyProtection="1">
      <alignment horizontal="center" vertical="center"/>
      <protection locked="0"/>
    </xf>
    <xf numFmtId="168" fontId="95" fillId="3" borderId="1" xfId="1" applyNumberFormat="1" applyFont="1" applyFill="1" applyBorder="1" applyAlignment="1" applyProtection="1">
      <alignment horizontal="center" vertical="center"/>
      <protection locked="0"/>
    </xf>
    <xf numFmtId="168" fontId="95" fillId="3" borderId="213" xfId="1" applyNumberFormat="1" applyFont="1" applyFill="1" applyBorder="1" applyAlignment="1" applyProtection="1">
      <alignment horizontal="center" vertical="center"/>
      <protection locked="0"/>
    </xf>
    <xf numFmtId="165" fontId="8" fillId="0" borderId="6" xfId="0" applyNumberFormat="1" applyFont="1" applyBorder="1" applyAlignment="1" applyProtection="1">
      <alignment horizontal="center" vertical="center"/>
      <protection hidden="1"/>
    </xf>
    <xf numFmtId="165" fontId="8" fillId="0" borderId="241" xfId="0" applyNumberFormat="1" applyFont="1" applyBorder="1" applyAlignment="1" applyProtection="1">
      <alignment horizontal="center" vertical="center"/>
      <protection hidden="1"/>
    </xf>
    <xf numFmtId="9" fontId="95" fillId="3" borderId="1" xfId="1" applyFont="1" applyFill="1" applyBorder="1" applyAlignment="1" applyProtection="1">
      <alignment horizontal="center" vertical="center"/>
    </xf>
    <xf numFmtId="9" fontId="95" fillId="3" borderId="213" xfId="1" applyFont="1" applyFill="1" applyBorder="1" applyAlignment="1" applyProtection="1">
      <alignment horizontal="center" vertical="center"/>
    </xf>
    <xf numFmtId="168" fontId="95" fillId="3" borderId="123" xfId="1" applyNumberFormat="1" applyFont="1" applyFill="1" applyBorder="1" applyAlignment="1" applyProtection="1">
      <alignment horizontal="center" vertical="center"/>
      <protection locked="0"/>
    </xf>
    <xf numFmtId="168" fontId="95" fillId="3" borderId="122" xfId="1" applyNumberFormat="1" applyFont="1" applyFill="1" applyBorder="1" applyAlignment="1" applyProtection="1">
      <alignment horizontal="center" vertical="center"/>
      <protection locked="0"/>
    </xf>
    <xf numFmtId="168" fontId="95" fillId="3" borderId="124" xfId="1" applyNumberFormat="1" applyFont="1" applyFill="1" applyBorder="1" applyAlignment="1" applyProtection="1">
      <alignment horizontal="center" vertical="center"/>
      <protection locked="0"/>
    </xf>
    <xf numFmtId="165" fontId="95" fillId="3" borderId="0" xfId="0" applyNumberFormat="1" applyFont="1" applyFill="1" applyAlignment="1" applyProtection="1">
      <alignment horizontal="center" vertical="center"/>
      <protection locked="0"/>
    </xf>
    <xf numFmtId="165" fontId="95" fillId="3" borderId="209" xfId="0" applyNumberFormat="1" applyFont="1" applyFill="1" applyBorder="1" applyAlignment="1" applyProtection="1">
      <alignment horizontal="center" vertical="center"/>
      <protection locked="0"/>
    </xf>
    <xf numFmtId="14" fontId="95" fillId="3" borderId="169" xfId="3" applyNumberFormat="1" applyFont="1" applyFill="1" applyBorder="1" applyAlignment="1" applyProtection="1">
      <alignment horizontal="center" vertical="center" wrapText="1"/>
      <protection locked="0"/>
    </xf>
    <xf numFmtId="14" fontId="95" fillId="3" borderId="170" xfId="3" applyNumberFormat="1" applyFont="1" applyFill="1" applyBorder="1" applyAlignment="1" applyProtection="1">
      <alignment horizontal="center" vertical="center" wrapText="1"/>
      <protection locked="0"/>
    </xf>
    <xf numFmtId="14" fontId="95" fillId="3" borderId="171" xfId="3" applyNumberFormat="1" applyFont="1" applyFill="1" applyBorder="1" applyAlignment="1" applyProtection="1">
      <alignment horizontal="center" vertical="center" wrapText="1"/>
      <protection locked="0"/>
    </xf>
    <xf numFmtId="165" fontId="5" fillId="5" borderId="67" xfId="3" applyNumberFormat="1" applyFont="1" applyFill="1" applyBorder="1" applyAlignment="1" applyProtection="1">
      <alignment horizontal="center" vertical="center"/>
      <protection hidden="1"/>
    </xf>
    <xf numFmtId="0" fontId="19" fillId="4" borderId="0" xfId="0" applyFont="1" applyFill="1" applyAlignment="1" applyProtection="1">
      <alignment horizontal="center"/>
      <protection hidden="1"/>
    </xf>
    <xf numFmtId="9" fontId="19" fillId="4" borderId="0" xfId="1" applyFont="1" applyFill="1" applyAlignment="1" applyProtection="1">
      <alignment horizontal="center"/>
      <protection hidden="1"/>
    </xf>
    <xf numFmtId="165" fontId="33" fillId="5" borderId="0" xfId="0" applyNumberFormat="1" applyFont="1" applyFill="1" applyAlignment="1" applyProtection="1">
      <alignment horizontal="center" vertical="center"/>
      <protection hidden="1"/>
    </xf>
    <xf numFmtId="0" fontId="32" fillId="0" borderId="0" xfId="2" applyFont="1" applyAlignment="1" applyProtection="1">
      <alignment horizontal="center" vertical="center"/>
      <protection hidden="1"/>
    </xf>
    <xf numFmtId="169" fontId="95" fillId="3" borderId="169" xfId="1" applyNumberFormat="1" applyFont="1" applyFill="1" applyBorder="1" applyAlignment="1" applyProtection="1">
      <alignment horizontal="center" vertical="center"/>
      <protection locked="0"/>
    </xf>
    <xf numFmtId="169" fontId="95" fillId="3" borderId="170" xfId="1" applyNumberFormat="1" applyFont="1" applyFill="1" applyBorder="1" applyAlignment="1" applyProtection="1">
      <alignment horizontal="center" vertical="center"/>
      <protection locked="0"/>
    </xf>
    <xf numFmtId="169" fontId="95" fillId="3" borderId="171" xfId="1" applyNumberFormat="1" applyFont="1" applyFill="1" applyBorder="1" applyAlignment="1" applyProtection="1">
      <alignment horizontal="center" vertical="center"/>
      <protection locked="0"/>
    </xf>
    <xf numFmtId="168" fontId="20" fillId="3" borderId="260" xfId="1" applyNumberFormat="1" applyFont="1" applyFill="1" applyBorder="1" applyAlignment="1" applyProtection="1">
      <alignment horizontal="center" vertical="center"/>
      <protection locked="0"/>
    </xf>
    <xf numFmtId="168" fontId="20" fillId="3" borderId="261" xfId="1" applyNumberFormat="1" applyFont="1" applyFill="1" applyBorder="1" applyAlignment="1" applyProtection="1">
      <alignment horizontal="center" vertical="center"/>
      <protection locked="0"/>
    </xf>
    <xf numFmtId="168" fontId="20" fillId="3" borderId="262" xfId="1" applyNumberFormat="1" applyFont="1" applyFill="1" applyBorder="1" applyAlignment="1" applyProtection="1">
      <alignment horizontal="center" vertical="center"/>
      <protection locked="0"/>
    </xf>
    <xf numFmtId="0" fontId="59" fillId="53" borderId="499" xfId="20" quotePrefix="1" applyNumberFormat="1" applyFont="1" applyFill="1" applyBorder="1" applyAlignment="1" applyProtection="1">
      <alignment horizontal="center" vertical="center"/>
      <protection hidden="1"/>
    </xf>
    <xf numFmtId="0" fontId="59" fillId="53" borderId="0" xfId="20" quotePrefix="1" applyNumberFormat="1" applyFont="1" applyFill="1" applyBorder="1" applyAlignment="1" applyProtection="1">
      <alignment horizontal="center" vertical="center"/>
      <protection hidden="1"/>
    </xf>
    <xf numFmtId="0" fontId="59" fillId="53" borderId="500" xfId="20" quotePrefix="1" applyNumberFormat="1" applyFont="1" applyFill="1" applyBorder="1" applyAlignment="1" applyProtection="1">
      <alignment horizontal="center" vertical="center"/>
      <protection hidden="1"/>
    </xf>
    <xf numFmtId="0" fontId="59" fillId="53" borderId="499" xfId="20" quotePrefix="1" applyNumberFormat="1" applyFont="1" applyFill="1" applyBorder="1" applyAlignment="1" applyProtection="1">
      <alignment horizontal="center" vertical="center"/>
    </xf>
    <xf numFmtId="0" fontId="59" fillId="53" borderId="0" xfId="20" quotePrefix="1" applyNumberFormat="1" applyFont="1" applyFill="1" applyBorder="1" applyAlignment="1" applyProtection="1">
      <alignment horizontal="center" vertical="center"/>
    </xf>
    <xf numFmtId="0" fontId="59" fillId="53" borderId="500" xfId="20" quotePrefix="1" applyNumberFormat="1" applyFont="1" applyFill="1" applyBorder="1" applyAlignment="1" applyProtection="1">
      <alignment horizontal="center" vertical="center"/>
    </xf>
    <xf numFmtId="0" fontId="1" fillId="8" borderId="0" xfId="16" applyFont="1" applyFill="1" applyBorder="1" applyAlignment="1" applyProtection="1">
      <alignment horizontal="right" vertical="center"/>
      <protection hidden="1"/>
    </xf>
    <xf numFmtId="0" fontId="1" fillId="8" borderId="52" xfId="16" applyFont="1" applyFill="1" applyBorder="1" applyAlignment="1" applyProtection="1">
      <alignment horizontal="right" vertical="center"/>
      <protection hidden="1"/>
    </xf>
    <xf numFmtId="0" fontId="188" fillId="4" borderId="0" xfId="19" applyFill="1" applyAlignment="1">
      <alignment horizontal="left" vertical="center" wrapText="1"/>
    </xf>
    <xf numFmtId="0" fontId="188" fillId="4" borderId="485" xfId="19" applyFill="1" applyBorder="1" applyAlignment="1">
      <alignment horizontal="left" vertical="center" wrapText="1"/>
    </xf>
    <xf numFmtId="0" fontId="188" fillId="44" borderId="491" xfId="19" applyFill="1" applyBorder="1" applyAlignment="1" applyProtection="1">
      <alignment horizontal="center"/>
      <protection locked="0"/>
    </xf>
    <xf numFmtId="15" fontId="188" fillId="44" borderId="491" xfId="19" applyNumberFormat="1" applyFill="1" applyBorder="1" applyAlignment="1" applyProtection="1">
      <alignment horizontal="center"/>
      <protection locked="0"/>
    </xf>
    <xf numFmtId="0" fontId="189" fillId="50" borderId="0" xfId="19" applyFont="1" applyFill="1" applyAlignment="1">
      <alignment horizontal="center"/>
    </xf>
    <xf numFmtId="0" fontId="189" fillId="50" borderId="485" xfId="19" applyFont="1" applyFill="1" applyBorder="1" applyAlignment="1">
      <alignment horizontal="center"/>
    </xf>
    <xf numFmtId="0" fontId="0" fillId="0" borderId="0" xfId="0" applyAlignment="1">
      <alignment horizontal="center" vertical="center"/>
    </xf>
    <xf numFmtId="0" fontId="189" fillId="50" borderId="481" xfId="19" applyFont="1" applyFill="1" applyBorder="1" applyAlignment="1">
      <alignment horizontal="center"/>
    </xf>
    <xf numFmtId="0" fontId="189" fillId="50" borderId="482" xfId="19" applyFont="1" applyFill="1" applyBorder="1" applyAlignment="1">
      <alignment horizontal="center"/>
    </xf>
    <xf numFmtId="0" fontId="189" fillId="50" borderId="483" xfId="19" applyFont="1" applyFill="1" applyBorder="1" applyAlignment="1">
      <alignment horizontal="center"/>
    </xf>
    <xf numFmtId="0" fontId="189" fillId="50" borderId="484" xfId="19" applyFont="1" applyFill="1" applyBorder="1" applyAlignment="1">
      <alignment horizontal="center"/>
    </xf>
    <xf numFmtId="0" fontId="189" fillId="4" borderId="485" xfId="19" applyFont="1" applyFill="1" applyBorder="1" applyAlignment="1">
      <alignment horizontal="center"/>
    </xf>
    <xf numFmtId="9" fontId="18" fillId="40" borderId="0" xfId="0" applyNumberFormat="1" applyFont="1" applyFill="1" applyAlignment="1" applyProtection="1">
      <alignment horizontal="center" vertical="center"/>
      <protection hidden="1"/>
    </xf>
    <xf numFmtId="212" fontId="78" fillId="5" borderId="0" xfId="0" applyNumberFormat="1" applyFont="1" applyFill="1" applyAlignment="1" applyProtection="1">
      <alignment horizontal="center" vertical="center"/>
      <protection hidden="1"/>
    </xf>
    <xf numFmtId="213" fontId="95" fillId="2" borderId="98" xfId="0" applyNumberFormat="1" applyFont="1" applyFill="1" applyBorder="1" applyAlignment="1" applyProtection="1">
      <alignment horizontal="center" vertical="center"/>
      <protection locked="0"/>
    </xf>
    <xf numFmtId="213" fontId="95" fillId="2" borderId="52" xfId="0" applyNumberFormat="1" applyFont="1" applyFill="1" applyBorder="1" applyAlignment="1" applyProtection="1">
      <alignment horizontal="center" vertical="center"/>
      <protection locked="0"/>
    </xf>
    <xf numFmtId="213" fontId="95" fillId="2" borderId="233" xfId="0" applyNumberFormat="1" applyFont="1" applyFill="1" applyBorder="1" applyAlignment="1" applyProtection="1">
      <alignment horizontal="center" vertical="center"/>
      <protection locked="0"/>
    </xf>
    <xf numFmtId="165" fontId="95" fillId="2" borderId="98" xfId="0" applyNumberFormat="1" applyFont="1" applyFill="1" applyBorder="1" applyAlignment="1" applyProtection="1">
      <alignment horizontal="center" vertical="center"/>
      <protection locked="0"/>
    </xf>
    <xf numFmtId="165" fontId="95" fillId="2" borderId="52" xfId="0" applyNumberFormat="1" applyFont="1" applyFill="1" applyBorder="1" applyAlignment="1" applyProtection="1">
      <alignment horizontal="center" vertical="center"/>
      <protection locked="0"/>
    </xf>
    <xf numFmtId="165" fontId="95" fillId="2" borderId="233" xfId="0" applyNumberFormat="1" applyFont="1" applyFill="1" applyBorder="1" applyAlignment="1" applyProtection="1">
      <alignment horizontal="center" vertical="center"/>
      <protection locked="0"/>
    </xf>
    <xf numFmtId="213" fontId="95" fillId="2" borderId="240" xfId="0" applyNumberFormat="1" applyFont="1" applyFill="1" applyBorder="1" applyAlignment="1" applyProtection="1">
      <alignment horizontal="center" vertical="center"/>
      <protection locked="0"/>
    </xf>
    <xf numFmtId="212" fontId="8" fillId="4" borderId="0" xfId="0" applyNumberFormat="1" applyFont="1" applyFill="1" applyAlignment="1" applyProtection="1">
      <alignment horizontal="center" vertical="center"/>
      <protection hidden="1"/>
    </xf>
    <xf numFmtId="212" fontId="5" fillId="5" borderId="0" xfId="0" applyNumberFormat="1" applyFont="1" applyFill="1" applyAlignment="1" applyProtection="1">
      <alignment horizontal="center" vertical="center"/>
      <protection hidden="1"/>
    </xf>
    <xf numFmtId="165" fontId="8" fillId="9" borderId="46" xfId="0" applyNumberFormat="1" applyFont="1" applyFill="1" applyBorder="1" applyAlignment="1" applyProtection="1">
      <alignment horizontal="center" vertical="center"/>
      <protection locked="0"/>
    </xf>
    <xf numFmtId="165" fontId="8" fillId="9" borderId="82" xfId="0" applyNumberFormat="1" applyFont="1" applyFill="1" applyBorder="1" applyAlignment="1" applyProtection="1">
      <alignment horizontal="center" vertical="center"/>
      <protection locked="0"/>
    </xf>
    <xf numFmtId="212" fontId="8" fillId="4" borderId="97" xfId="0" applyNumberFormat="1" applyFont="1" applyFill="1" applyBorder="1" applyAlignment="1" applyProtection="1">
      <alignment horizontal="center" vertical="center"/>
      <protection hidden="1"/>
    </xf>
    <xf numFmtId="212" fontId="8" fillId="4" borderId="229" xfId="0" applyNumberFormat="1" applyFont="1" applyFill="1" applyBorder="1" applyAlignment="1" applyProtection="1">
      <alignment horizontal="center" vertical="center"/>
      <protection hidden="1"/>
    </xf>
    <xf numFmtId="165" fontId="8" fillId="9" borderId="52" xfId="0" applyNumberFormat="1" applyFont="1" applyFill="1" applyBorder="1" applyAlignment="1" applyProtection="1">
      <alignment horizontal="center" vertical="center"/>
      <protection locked="0"/>
    </xf>
    <xf numFmtId="165" fontId="8" fillId="9" borderId="233" xfId="0" applyNumberFormat="1" applyFont="1" applyFill="1" applyBorder="1" applyAlignment="1" applyProtection="1">
      <alignment horizontal="center" vertical="center"/>
      <protection locked="0"/>
    </xf>
    <xf numFmtId="1" fontId="95" fillId="38" borderId="46" xfId="0" applyNumberFormat="1" applyFont="1" applyFill="1" applyBorder="1" applyAlignment="1" applyProtection="1">
      <alignment horizontal="left" vertical="center"/>
      <protection locked="0"/>
    </xf>
    <xf numFmtId="1" fontId="95" fillId="38" borderId="82" xfId="0" applyNumberFormat="1" applyFont="1" applyFill="1" applyBorder="1" applyAlignment="1" applyProtection="1">
      <alignment horizontal="left" vertical="center"/>
      <protection locked="0"/>
    </xf>
    <xf numFmtId="213" fontId="95" fillId="38" borderId="98" xfId="0" applyNumberFormat="1" applyFont="1" applyFill="1" applyBorder="1" applyAlignment="1" applyProtection="1">
      <alignment horizontal="center" vertical="center"/>
      <protection locked="0"/>
    </xf>
    <xf numFmtId="213" fontId="95" fillId="38" borderId="52" xfId="0" applyNumberFormat="1" applyFont="1" applyFill="1" applyBorder="1" applyAlignment="1" applyProtection="1">
      <alignment horizontal="center" vertical="center"/>
      <protection locked="0"/>
    </xf>
    <xf numFmtId="213" fontId="95" fillId="38" borderId="233" xfId="0" applyNumberFormat="1" applyFont="1" applyFill="1" applyBorder="1" applyAlignment="1" applyProtection="1">
      <alignment horizontal="center" vertical="center"/>
      <protection locked="0"/>
    </xf>
    <xf numFmtId="165" fontId="95" fillId="38" borderId="98" xfId="0" applyNumberFormat="1" applyFont="1" applyFill="1" applyBorder="1" applyAlignment="1" applyProtection="1">
      <alignment horizontal="center" vertical="center"/>
      <protection locked="0"/>
    </xf>
    <xf numFmtId="165" fontId="95" fillId="38" borderId="52" xfId="0" applyNumberFormat="1" applyFont="1" applyFill="1" applyBorder="1" applyAlignment="1" applyProtection="1">
      <alignment horizontal="center" vertical="center"/>
      <protection locked="0"/>
    </xf>
    <xf numFmtId="165" fontId="95" fillId="38" borderId="233" xfId="0" applyNumberFormat="1" applyFont="1" applyFill="1" applyBorder="1" applyAlignment="1" applyProtection="1">
      <alignment horizontal="center" vertical="center"/>
      <protection locked="0"/>
    </xf>
    <xf numFmtId="213" fontId="95" fillId="38" borderId="240" xfId="0" applyNumberFormat="1" applyFont="1" applyFill="1" applyBorder="1" applyAlignment="1" applyProtection="1">
      <alignment horizontal="center" vertical="center"/>
      <protection locked="0"/>
    </xf>
    <xf numFmtId="0" fontId="26" fillId="21" borderId="0" xfId="0" applyFont="1" applyFill="1" applyAlignment="1" applyProtection="1">
      <alignment horizontal="center" vertical="center"/>
      <protection hidden="1"/>
    </xf>
    <xf numFmtId="0" fontId="26" fillId="21" borderId="236" xfId="0" applyFont="1" applyFill="1" applyBorder="1" applyAlignment="1" applyProtection="1">
      <alignment horizontal="center" vertical="center"/>
      <protection hidden="1"/>
    </xf>
    <xf numFmtId="212" fontId="5" fillId="5" borderId="237" xfId="0" applyNumberFormat="1" applyFont="1" applyFill="1" applyBorder="1" applyAlignment="1" applyProtection="1">
      <alignment horizontal="center" vertical="center"/>
      <protection hidden="1"/>
    </xf>
    <xf numFmtId="1" fontId="95" fillId="38" borderId="0" xfId="0" applyNumberFormat="1" applyFont="1" applyFill="1" applyAlignment="1" applyProtection="1">
      <alignment horizontal="left" vertical="center"/>
      <protection locked="0"/>
    </xf>
    <xf numFmtId="1" fontId="95" fillId="38" borderId="229" xfId="0" applyNumberFormat="1" applyFont="1" applyFill="1" applyBorder="1" applyAlignment="1" applyProtection="1">
      <alignment horizontal="left" vertical="center"/>
      <protection locked="0"/>
    </xf>
    <xf numFmtId="0" fontId="63" fillId="20" borderId="93" xfId="0" applyFont="1" applyFill="1" applyBorder="1" applyAlignment="1" applyProtection="1">
      <alignment horizontal="center" vertical="center"/>
      <protection hidden="1"/>
    </xf>
    <xf numFmtId="0" fontId="63" fillId="20" borderId="97" xfId="0" applyFont="1" applyFill="1" applyBorder="1" applyAlignment="1" applyProtection="1">
      <alignment horizontal="center" vertical="center"/>
      <protection hidden="1"/>
    </xf>
    <xf numFmtId="0" fontId="63" fillId="23" borderId="93" xfId="0" applyFont="1" applyFill="1" applyBorder="1" applyAlignment="1" applyProtection="1">
      <alignment horizontal="center" vertical="center"/>
      <protection hidden="1"/>
    </xf>
    <xf numFmtId="0" fontId="63" fillId="23" borderId="97" xfId="0" applyFont="1" applyFill="1" applyBorder="1" applyAlignment="1" applyProtection="1">
      <alignment horizontal="center" vertical="center"/>
      <protection hidden="1"/>
    </xf>
    <xf numFmtId="0" fontId="63" fillId="20" borderId="229" xfId="0" applyFont="1" applyFill="1" applyBorder="1" applyAlignment="1" applyProtection="1">
      <alignment horizontal="center" vertical="center"/>
      <protection hidden="1"/>
    </xf>
    <xf numFmtId="17" fontId="8" fillId="4" borderId="81" xfId="0" applyNumberFormat="1" applyFont="1" applyFill="1" applyBorder="1" applyAlignment="1" applyProtection="1">
      <alignment horizontal="center" vertical="center"/>
      <protection hidden="1"/>
    </xf>
    <xf numFmtId="17" fontId="8" fillId="4" borderId="46" xfId="0" applyNumberFormat="1" applyFont="1" applyFill="1" applyBorder="1" applyAlignment="1" applyProtection="1">
      <alignment horizontal="center" vertical="center"/>
      <protection hidden="1"/>
    </xf>
    <xf numFmtId="212" fontId="5" fillId="4" borderId="126" xfId="0" applyNumberFormat="1" applyFont="1" applyFill="1" applyBorder="1" applyAlignment="1" applyProtection="1">
      <alignment horizontal="center" vertical="center"/>
      <protection hidden="1"/>
    </xf>
    <xf numFmtId="0" fontId="96" fillId="9" borderId="46" xfId="0" applyFont="1" applyFill="1" applyBorder="1" applyAlignment="1" applyProtection="1">
      <alignment horizontal="center" vertical="center"/>
      <protection hidden="1"/>
    </xf>
    <xf numFmtId="0" fontId="96" fillId="9" borderId="82" xfId="0" applyFont="1" applyFill="1" applyBorder="1" applyAlignment="1" applyProtection="1">
      <alignment horizontal="center" vertical="center"/>
      <protection hidden="1"/>
    </xf>
    <xf numFmtId="212" fontId="8" fillId="4" borderId="126" xfId="0" applyNumberFormat="1" applyFont="1" applyFill="1" applyBorder="1" applyAlignment="1" applyProtection="1">
      <alignment horizontal="center" vertical="center"/>
      <protection hidden="1"/>
    </xf>
    <xf numFmtId="212" fontId="5" fillId="6" borderId="67" xfId="0" applyNumberFormat="1" applyFont="1" applyFill="1" applyBorder="1" applyAlignment="1" applyProtection="1">
      <alignment horizontal="center" vertical="center"/>
      <protection hidden="1"/>
    </xf>
    <xf numFmtId="0" fontId="63" fillId="23" borderId="0" xfId="0" applyFont="1" applyFill="1" applyAlignment="1" applyProtection="1">
      <alignment horizontal="center" vertical="center"/>
      <protection hidden="1"/>
    </xf>
    <xf numFmtId="0" fontId="63" fillId="39" borderId="0" xfId="0" applyFont="1" applyFill="1" applyAlignment="1" applyProtection="1">
      <alignment horizontal="center" vertical="center"/>
      <protection hidden="1"/>
    </xf>
    <xf numFmtId="0" fontId="63" fillId="39" borderId="229" xfId="0" applyFont="1" applyFill="1" applyBorder="1" applyAlignment="1" applyProtection="1">
      <alignment horizontal="center" vertical="center"/>
      <protection hidden="1"/>
    </xf>
    <xf numFmtId="0" fontId="63" fillId="36" borderId="97" xfId="0" applyFont="1" applyFill="1" applyBorder="1" applyAlignment="1" applyProtection="1">
      <alignment horizontal="center" vertical="center"/>
      <protection hidden="1"/>
    </xf>
    <xf numFmtId="0" fontId="63" fillId="36" borderId="0" xfId="0" applyFont="1" applyFill="1" applyAlignment="1" applyProtection="1">
      <alignment horizontal="center" vertical="center"/>
      <protection hidden="1"/>
    </xf>
    <xf numFmtId="0" fontId="63" fillId="36" borderId="229" xfId="0" applyFont="1" applyFill="1" applyBorder="1" applyAlignment="1" applyProtection="1">
      <alignment horizontal="center" vertical="center"/>
      <protection hidden="1"/>
    </xf>
    <xf numFmtId="0" fontId="63" fillId="37" borderId="97" xfId="0" applyFont="1" applyFill="1" applyBorder="1" applyAlignment="1" applyProtection="1">
      <alignment horizontal="center" vertical="center"/>
      <protection hidden="1"/>
    </xf>
    <xf numFmtId="0" fontId="63" fillId="37" borderId="0" xfId="0" applyFont="1" applyFill="1" applyAlignment="1" applyProtection="1">
      <alignment horizontal="center" vertical="center"/>
      <protection hidden="1"/>
    </xf>
    <xf numFmtId="0" fontId="63" fillId="23" borderId="83" xfId="0" applyFont="1" applyFill="1" applyBorder="1" applyAlignment="1" applyProtection="1">
      <alignment horizontal="center" vertical="center"/>
      <protection hidden="1"/>
    </xf>
    <xf numFmtId="0" fontId="63" fillId="23" borderId="50" xfId="0" applyFont="1" applyFill="1" applyBorder="1" applyAlignment="1" applyProtection="1">
      <alignment horizontal="center" vertical="center"/>
      <protection hidden="1"/>
    </xf>
    <xf numFmtId="0" fontId="63" fillId="23" borderId="84" xfId="0" applyFont="1" applyFill="1" applyBorder="1" applyAlignment="1" applyProtection="1">
      <alignment horizontal="center" vertical="center"/>
      <protection hidden="1"/>
    </xf>
    <xf numFmtId="0" fontId="63" fillId="23" borderId="98" xfId="0" applyFont="1" applyFill="1" applyBorder="1" applyAlignment="1" applyProtection="1">
      <alignment horizontal="center" vertical="center"/>
      <protection hidden="1"/>
    </xf>
    <xf numFmtId="0" fontId="63" fillId="23" borderId="52" xfId="0" applyFont="1" applyFill="1" applyBorder="1" applyAlignment="1" applyProtection="1">
      <alignment horizontal="center" vertical="center"/>
      <protection hidden="1"/>
    </xf>
    <xf numFmtId="0" fontId="63" fillId="23" borderId="233" xfId="0" applyFont="1" applyFill="1" applyBorder="1" applyAlignment="1" applyProtection="1">
      <alignment horizontal="center" vertical="center"/>
      <protection hidden="1"/>
    </xf>
    <xf numFmtId="0" fontId="63" fillId="23" borderId="230" xfId="0" applyFont="1" applyFill="1" applyBorder="1" applyAlignment="1" applyProtection="1">
      <alignment horizontal="center" vertical="center"/>
      <protection hidden="1"/>
    </xf>
    <xf numFmtId="0" fontId="63" fillId="23" borderId="231" xfId="0" applyFont="1" applyFill="1" applyBorder="1" applyAlignment="1" applyProtection="1">
      <alignment horizontal="center" vertical="center"/>
      <protection hidden="1"/>
    </xf>
    <xf numFmtId="0" fontId="63" fillId="23" borderId="232" xfId="0" applyFont="1" applyFill="1" applyBorder="1" applyAlignment="1" applyProtection="1">
      <alignment horizontal="center" vertical="center"/>
      <protection hidden="1"/>
    </xf>
    <xf numFmtId="0" fontId="63" fillId="23" borderId="234" xfId="0" applyFont="1" applyFill="1" applyBorder="1" applyAlignment="1" applyProtection="1">
      <alignment horizontal="center" vertical="center"/>
      <protection hidden="1"/>
    </xf>
    <xf numFmtId="0" fontId="63" fillId="23" borderId="228" xfId="0" applyFont="1" applyFill="1" applyBorder="1" applyAlignment="1" applyProtection="1">
      <alignment horizontal="center" vertical="center"/>
      <protection hidden="1"/>
    </xf>
    <xf numFmtId="0" fontId="63" fillId="23" borderId="235" xfId="0" applyFont="1" applyFill="1" applyBorder="1" applyAlignment="1" applyProtection="1">
      <alignment horizontal="center" vertical="center"/>
      <protection hidden="1"/>
    </xf>
    <xf numFmtId="171" fontId="5" fillId="6" borderId="0" xfId="2" applyNumberFormat="1" applyFont="1" applyFill="1" applyAlignment="1" applyProtection="1">
      <alignment horizontal="center" vertical="center"/>
      <protection hidden="1"/>
    </xf>
    <xf numFmtId="0" fontId="18" fillId="40" borderId="0" xfId="0" applyFont="1" applyFill="1" applyAlignment="1" applyProtection="1">
      <alignment horizontal="center" vertical="center"/>
      <protection hidden="1"/>
    </xf>
    <xf numFmtId="17" fontId="8" fillId="4" borderId="98" xfId="0" applyNumberFormat="1" applyFont="1" applyFill="1" applyBorder="1" applyAlignment="1" applyProtection="1">
      <alignment horizontal="center" vertical="center"/>
      <protection hidden="1"/>
    </xf>
    <xf numFmtId="17" fontId="8" fillId="4" borderId="52" xfId="0" applyNumberFormat="1" applyFont="1" applyFill="1" applyBorder="1" applyAlignment="1" applyProtection="1">
      <alignment horizontal="center" vertical="center"/>
      <protection hidden="1"/>
    </xf>
    <xf numFmtId="212" fontId="5" fillId="4" borderId="219" xfId="0" applyNumberFormat="1" applyFont="1" applyFill="1" applyBorder="1" applyAlignment="1" applyProtection="1">
      <alignment horizontal="center" vertical="center"/>
      <protection hidden="1"/>
    </xf>
    <xf numFmtId="171" fontId="5" fillId="6" borderId="52" xfId="2" applyNumberFormat="1" applyFont="1" applyFill="1" applyBorder="1" applyAlignment="1" applyProtection="1">
      <alignment horizontal="center" vertical="center"/>
      <protection hidden="1"/>
    </xf>
    <xf numFmtId="212" fontId="8" fillId="4" borderId="219" xfId="0" applyNumberFormat="1" applyFont="1" applyFill="1" applyBorder="1" applyAlignment="1" applyProtection="1">
      <alignment horizontal="center" vertical="center"/>
      <protection hidden="1"/>
    </xf>
    <xf numFmtId="212" fontId="8" fillId="4" borderId="220" xfId="0" applyNumberFormat="1" applyFont="1" applyFill="1" applyBorder="1" applyAlignment="1" applyProtection="1">
      <alignment horizontal="center" vertical="center"/>
      <protection hidden="1"/>
    </xf>
    <xf numFmtId="178" fontId="101" fillId="6" borderId="223" xfId="1" applyNumberFormat="1" applyFont="1" applyFill="1" applyBorder="1" applyAlignment="1" applyProtection="1">
      <alignment horizontal="center" vertical="center"/>
      <protection hidden="1"/>
    </xf>
    <xf numFmtId="178" fontId="101" fillId="6" borderId="226" xfId="1" applyNumberFormat="1" applyFont="1" applyFill="1" applyBorder="1" applyAlignment="1" applyProtection="1">
      <alignment horizontal="center" vertical="center"/>
      <protection hidden="1"/>
    </xf>
    <xf numFmtId="212" fontId="5" fillId="4" borderId="220" xfId="0" applyNumberFormat="1" applyFont="1" applyFill="1" applyBorder="1" applyAlignment="1" applyProtection="1">
      <alignment horizontal="center" vertical="center"/>
      <protection hidden="1"/>
    </xf>
    <xf numFmtId="17" fontId="8" fillId="4" borderId="83" xfId="0" applyNumberFormat="1" applyFont="1" applyFill="1" applyBorder="1" applyAlignment="1" applyProtection="1">
      <alignment horizontal="center" vertical="center"/>
      <protection hidden="1"/>
    </xf>
    <xf numFmtId="17" fontId="8" fillId="4" borderId="50" xfId="0" applyNumberFormat="1" applyFont="1" applyFill="1" applyBorder="1" applyAlignment="1" applyProtection="1">
      <alignment horizontal="center" vertical="center"/>
      <protection hidden="1"/>
    </xf>
    <xf numFmtId="17" fontId="99" fillId="6" borderId="221" xfId="0" applyNumberFormat="1" applyFont="1" applyFill="1" applyBorder="1" applyAlignment="1" applyProtection="1">
      <alignment horizontal="center" vertical="center"/>
      <protection hidden="1"/>
    </xf>
    <xf numFmtId="17" fontId="99" fillId="6" borderId="222" xfId="0" applyNumberFormat="1" applyFont="1" applyFill="1" applyBorder="1" applyAlignment="1" applyProtection="1">
      <alignment horizontal="center" vertical="center"/>
      <protection hidden="1"/>
    </xf>
    <xf numFmtId="17" fontId="99" fillId="6" borderId="224" xfId="0" applyNumberFormat="1" applyFont="1" applyFill="1" applyBorder="1" applyAlignment="1" applyProtection="1">
      <alignment horizontal="center" vertical="center"/>
      <protection hidden="1"/>
    </xf>
    <xf numFmtId="17" fontId="99" fillId="6" borderId="225" xfId="0" applyNumberFormat="1" applyFont="1" applyFill="1" applyBorder="1" applyAlignment="1" applyProtection="1">
      <alignment horizontal="center" vertical="center"/>
      <protection hidden="1"/>
    </xf>
    <xf numFmtId="212" fontId="100" fillId="6" borderId="222" xfId="0" applyNumberFormat="1" applyFont="1" applyFill="1" applyBorder="1" applyAlignment="1" applyProtection="1">
      <alignment horizontal="center" vertical="center"/>
      <protection hidden="1"/>
    </xf>
    <xf numFmtId="212" fontId="100" fillId="6" borderId="225" xfId="0" applyNumberFormat="1" applyFont="1" applyFill="1" applyBorder="1" applyAlignment="1" applyProtection="1">
      <alignment horizontal="center" vertical="center"/>
      <protection hidden="1"/>
    </xf>
    <xf numFmtId="17" fontId="5" fillId="32" borderId="97" xfId="2" applyNumberFormat="1" applyFont="1" applyFill="1" applyBorder="1" applyAlignment="1" applyProtection="1">
      <alignment horizontal="center" vertical="center" wrapText="1"/>
      <protection hidden="1"/>
    </xf>
    <xf numFmtId="17" fontId="5" fillId="32" borderId="0" xfId="2" applyNumberFormat="1" applyFont="1" applyFill="1" applyAlignment="1" applyProtection="1">
      <alignment horizontal="center" vertical="center" wrapText="1"/>
      <protection hidden="1"/>
    </xf>
    <xf numFmtId="216" fontId="8" fillId="5" borderId="0" xfId="0" applyNumberFormat="1" applyFont="1" applyFill="1" applyAlignment="1" applyProtection="1">
      <alignment horizontal="center" vertical="center"/>
      <protection hidden="1"/>
    </xf>
    <xf numFmtId="14" fontId="26" fillId="27" borderId="284" xfId="0" applyNumberFormat="1" applyFont="1" applyFill="1" applyBorder="1" applyAlignment="1" applyProtection="1">
      <alignment horizontal="center" vertical="center" wrapText="1"/>
      <protection hidden="1"/>
    </xf>
    <xf numFmtId="14" fontId="26" fillId="27" borderId="286" xfId="0" applyNumberFormat="1" applyFont="1" applyFill="1" applyBorder="1" applyAlignment="1" applyProtection="1">
      <alignment horizontal="center" vertical="center" wrapText="1"/>
      <protection hidden="1"/>
    </xf>
    <xf numFmtId="14" fontId="63" fillId="35" borderId="280" xfId="0" applyNumberFormat="1" applyFont="1" applyFill="1" applyBorder="1" applyAlignment="1" applyProtection="1">
      <alignment horizontal="center" vertical="center" wrapText="1"/>
      <protection hidden="1"/>
    </xf>
    <xf numFmtId="14" fontId="63" fillId="35" borderId="93" xfId="0" applyNumberFormat="1" applyFont="1" applyFill="1" applyBorder="1" applyAlignment="1" applyProtection="1">
      <alignment horizontal="center" vertical="center" wrapText="1"/>
      <protection hidden="1"/>
    </xf>
    <xf numFmtId="14" fontId="63" fillId="27" borderId="280" xfId="0" applyNumberFormat="1" applyFont="1" applyFill="1" applyBorder="1" applyAlignment="1" applyProtection="1">
      <alignment horizontal="center" vertical="center" wrapText="1"/>
      <protection hidden="1"/>
    </xf>
    <xf numFmtId="14" fontId="63" fillId="27" borderId="93" xfId="0" applyNumberFormat="1" applyFont="1" applyFill="1" applyBorder="1" applyAlignment="1" applyProtection="1">
      <alignment horizontal="center" vertical="center" wrapText="1"/>
      <protection hidden="1"/>
    </xf>
    <xf numFmtId="14" fontId="63" fillId="35" borderId="281" xfId="0" applyNumberFormat="1" applyFont="1" applyFill="1" applyBorder="1" applyAlignment="1" applyProtection="1">
      <alignment horizontal="center" vertical="center" wrapText="1"/>
      <protection hidden="1"/>
    </xf>
    <xf numFmtId="14" fontId="63" fillId="35" borderId="282" xfId="0" applyNumberFormat="1" applyFont="1" applyFill="1" applyBorder="1" applyAlignment="1" applyProtection="1">
      <alignment horizontal="center" vertical="center" wrapText="1"/>
      <protection hidden="1"/>
    </xf>
    <xf numFmtId="14" fontId="63" fillId="35" borderId="279" xfId="0" applyNumberFormat="1" applyFont="1" applyFill="1" applyBorder="1" applyAlignment="1" applyProtection="1">
      <alignment horizontal="center" vertical="center" wrapText="1"/>
      <protection hidden="1"/>
    </xf>
    <xf numFmtId="14" fontId="63" fillId="35" borderId="285" xfId="0" applyNumberFormat="1" applyFont="1" applyFill="1" applyBorder="1" applyAlignment="1" applyProtection="1">
      <alignment horizontal="center" vertical="center" wrapText="1"/>
      <protection hidden="1"/>
    </xf>
    <xf numFmtId="14" fontId="26" fillId="27" borderId="283" xfId="0" applyNumberFormat="1" applyFont="1" applyFill="1" applyBorder="1" applyAlignment="1" applyProtection="1">
      <alignment horizontal="center" vertical="center" wrapText="1"/>
      <protection hidden="1"/>
    </xf>
    <xf numFmtId="14" fontId="26" fillId="27" borderId="97" xfId="0" applyNumberFormat="1" applyFont="1" applyFill="1" applyBorder="1" applyAlignment="1" applyProtection="1">
      <alignment horizontal="center" vertical="center" wrapText="1"/>
      <protection hidden="1"/>
    </xf>
    <xf numFmtId="171" fontId="5" fillId="44" borderId="144" xfId="2" applyNumberFormat="1" applyFont="1" applyFill="1" applyBorder="1" applyAlignment="1" applyProtection="1">
      <alignment horizontal="center" vertical="center"/>
      <protection hidden="1"/>
    </xf>
    <xf numFmtId="171" fontId="5" fillId="44" borderId="145" xfId="2" applyNumberFormat="1" applyFont="1" applyFill="1" applyBorder="1" applyAlignment="1" applyProtection="1">
      <alignment horizontal="center" vertical="center"/>
      <protection hidden="1"/>
    </xf>
    <xf numFmtId="171" fontId="5" fillId="44" borderId="146" xfId="2" applyNumberFormat="1" applyFont="1" applyFill="1" applyBorder="1" applyAlignment="1" applyProtection="1">
      <alignment horizontal="center" vertical="center"/>
      <protection hidden="1"/>
    </xf>
    <xf numFmtId="0" fontId="5" fillId="4" borderId="0" xfId="0" applyFont="1" applyFill="1" applyAlignment="1" applyProtection="1">
      <alignment horizontal="center" vertical="center"/>
      <protection hidden="1"/>
    </xf>
    <xf numFmtId="202" fontId="5" fillId="5" borderId="354" xfId="2" applyNumberFormat="1" applyFont="1" applyFill="1" applyBorder="1" applyAlignment="1" applyProtection="1">
      <alignment horizontal="center" vertical="center"/>
      <protection hidden="1"/>
    </xf>
    <xf numFmtId="202" fontId="5" fillId="5" borderId="126" xfId="2" applyNumberFormat="1" applyFont="1" applyFill="1" applyBorder="1" applyAlignment="1" applyProtection="1">
      <alignment horizontal="center" vertical="center"/>
      <protection hidden="1"/>
    </xf>
    <xf numFmtId="202" fontId="5" fillId="5" borderId="127" xfId="2" applyNumberFormat="1" applyFont="1" applyFill="1" applyBorder="1" applyAlignment="1" applyProtection="1">
      <alignment horizontal="center" vertical="center"/>
      <protection hidden="1"/>
    </xf>
    <xf numFmtId="225" fontId="128" fillId="5" borderId="371" xfId="0" applyNumberFormat="1" applyFont="1" applyFill="1" applyBorder="1" applyAlignment="1" applyProtection="1">
      <alignment horizontal="center" vertical="center"/>
      <protection hidden="1"/>
    </xf>
    <xf numFmtId="225" fontId="128" fillId="5" borderId="0" xfId="0" applyNumberFormat="1" applyFont="1" applyFill="1" applyAlignment="1" applyProtection="1">
      <alignment horizontal="center" vertical="center"/>
      <protection hidden="1"/>
    </xf>
    <xf numFmtId="225" fontId="128" fillId="5" borderId="372" xfId="0" applyNumberFormat="1" applyFont="1" applyFill="1" applyBorder="1" applyAlignment="1" applyProtection="1">
      <alignment horizontal="center" vertical="center"/>
      <protection hidden="1"/>
    </xf>
    <xf numFmtId="225" fontId="128" fillId="4" borderId="371" xfId="0" applyNumberFormat="1" applyFont="1" applyFill="1" applyBorder="1" applyAlignment="1" applyProtection="1">
      <alignment horizontal="center" vertical="center"/>
      <protection hidden="1"/>
    </xf>
    <xf numFmtId="225" fontId="128" fillId="4" borderId="0" xfId="0" applyNumberFormat="1" applyFont="1" applyFill="1" applyAlignment="1" applyProtection="1">
      <alignment horizontal="center" vertical="center"/>
      <protection hidden="1"/>
    </xf>
    <xf numFmtId="225" fontId="128" fillId="4" borderId="372" xfId="0" applyNumberFormat="1" applyFont="1" applyFill="1" applyBorder="1" applyAlignment="1" applyProtection="1">
      <alignment horizontal="center" vertical="center"/>
      <protection hidden="1"/>
    </xf>
    <xf numFmtId="182" fontId="31" fillId="4" borderId="0" xfId="0" applyNumberFormat="1" applyFont="1" applyFill="1" applyAlignment="1" applyProtection="1">
      <alignment horizontal="center" vertical="center"/>
      <protection hidden="1"/>
    </xf>
    <xf numFmtId="14" fontId="5" fillId="3" borderId="0" xfId="0" applyNumberFormat="1" applyFont="1" applyFill="1" applyAlignment="1" applyProtection="1">
      <alignment horizontal="center" vertical="center"/>
      <protection hidden="1"/>
    </xf>
    <xf numFmtId="173" fontId="35" fillId="3" borderId="0" xfId="0" applyNumberFormat="1" applyFont="1" applyFill="1" applyAlignment="1" applyProtection="1">
      <alignment horizontal="center" vertical="center"/>
      <protection hidden="1"/>
    </xf>
    <xf numFmtId="14" fontId="5" fillId="10" borderId="0" xfId="0" applyNumberFormat="1" applyFont="1" applyFill="1" applyAlignment="1" applyProtection="1">
      <alignment horizontal="center" vertical="center"/>
      <protection hidden="1"/>
    </xf>
    <xf numFmtId="173" fontId="38" fillId="6" borderId="0" xfId="0" applyNumberFormat="1" applyFont="1" applyFill="1" applyAlignment="1" applyProtection="1">
      <alignment horizontal="center" vertical="center"/>
      <protection hidden="1"/>
    </xf>
    <xf numFmtId="168" fontId="36" fillId="10" borderId="0" xfId="0" applyNumberFormat="1" applyFont="1" applyFill="1" applyAlignment="1" applyProtection="1">
      <alignment horizontal="center" vertical="center"/>
      <protection hidden="1"/>
    </xf>
    <xf numFmtId="14" fontId="5" fillId="6" borderId="0" xfId="0" applyNumberFormat="1" applyFont="1" applyFill="1" applyAlignment="1" applyProtection="1">
      <alignment horizontal="center" vertical="center"/>
      <protection hidden="1"/>
    </xf>
    <xf numFmtId="173" fontId="36" fillId="10" borderId="0" xfId="0" applyNumberFormat="1" applyFont="1" applyFill="1" applyAlignment="1" applyProtection="1">
      <alignment horizontal="center" vertical="center"/>
      <protection hidden="1"/>
    </xf>
    <xf numFmtId="168" fontId="38" fillId="6" borderId="0" xfId="0" applyNumberFormat="1" applyFont="1" applyFill="1" applyAlignment="1" applyProtection="1">
      <alignment horizontal="center" vertical="center"/>
      <protection hidden="1"/>
    </xf>
    <xf numFmtId="170" fontId="36" fillId="10" borderId="0" xfId="0" applyNumberFormat="1" applyFont="1" applyFill="1" applyAlignment="1" applyProtection="1">
      <alignment horizontal="center" vertical="center"/>
      <protection hidden="1"/>
    </xf>
    <xf numFmtId="172" fontId="38" fillId="6" borderId="0" xfId="0" applyNumberFormat="1" applyFont="1" applyFill="1" applyAlignment="1" applyProtection="1">
      <alignment horizontal="center" vertical="center"/>
      <protection hidden="1"/>
    </xf>
    <xf numFmtId="175" fontId="32" fillId="4" borderId="271" xfId="0" applyNumberFormat="1" applyFont="1" applyFill="1" applyBorder="1" applyAlignment="1" applyProtection="1">
      <alignment horizontal="right" vertical="center" indent="1"/>
      <protection hidden="1"/>
    </xf>
    <xf numFmtId="175" fontId="32" fillId="4" borderId="272" xfId="0" applyNumberFormat="1" applyFont="1" applyFill="1" applyBorder="1" applyAlignment="1" applyProtection="1">
      <alignment horizontal="right" vertical="center" indent="1"/>
      <protection hidden="1"/>
    </xf>
    <xf numFmtId="175" fontId="33" fillId="4" borderId="247" xfId="0" applyNumberFormat="1" applyFont="1" applyFill="1" applyBorder="1" applyAlignment="1" applyProtection="1">
      <alignment horizontal="right" vertical="center" indent="1"/>
      <protection hidden="1"/>
    </xf>
    <xf numFmtId="166" fontId="42" fillId="3" borderId="0" xfId="3" applyNumberFormat="1" applyFont="1" applyFill="1" applyAlignment="1" applyProtection="1">
      <alignment horizontal="right" vertical="center" indent="1"/>
      <protection hidden="1"/>
    </xf>
    <xf numFmtId="183" fontId="42" fillId="3" borderId="0" xfId="3" applyNumberFormat="1" applyFont="1" applyFill="1" applyAlignment="1" applyProtection="1">
      <alignment horizontal="right" vertical="center" indent="1"/>
      <protection hidden="1"/>
    </xf>
    <xf numFmtId="170" fontId="38" fillId="6" borderId="0" xfId="0" applyNumberFormat="1" applyFont="1" applyFill="1" applyAlignment="1" applyProtection="1">
      <alignment horizontal="center" vertical="center"/>
      <protection hidden="1"/>
    </xf>
    <xf numFmtId="175" fontId="33" fillId="4" borderId="0" xfId="0" applyNumberFormat="1" applyFont="1" applyFill="1" applyAlignment="1" applyProtection="1">
      <alignment horizontal="right" vertical="center" indent="1"/>
      <protection hidden="1"/>
    </xf>
    <xf numFmtId="175" fontId="33" fillId="4" borderId="250" xfId="0" applyNumberFormat="1" applyFont="1" applyFill="1" applyBorder="1" applyAlignment="1" applyProtection="1">
      <alignment horizontal="right" vertical="center" indent="1"/>
      <protection hidden="1"/>
    </xf>
    <xf numFmtId="175" fontId="33" fillId="5" borderId="0" xfId="0" applyNumberFormat="1" applyFont="1" applyFill="1" applyAlignment="1" applyProtection="1">
      <alignment horizontal="right" vertical="center" indent="1"/>
      <protection hidden="1"/>
    </xf>
    <xf numFmtId="175" fontId="33" fillId="5" borderId="23" xfId="0" applyNumberFormat="1" applyFont="1" applyFill="1" applyBorder="1" applyAlignment="1" applyProtection="1">
      <alignment horizontal="right" vertical="center" indent="1"/>
      <protection hidden="1"/>
    </xf>
    <xf numFmtId="175" fontId="33" fillId="5" borderId="21" xfId="0" applyNumberFormat="1" applyFont="1" applyFill="1" applyBorder="1" applyAlignment="1" applyProtection="1">
      <alignment horizontal="right" vertical="center" indent="1"/>
      <protection hidden="1"/>
    </xf>
    <xf numFmtId="175" fontId="33" fillId="5" borderId="24" xfId="0" applyNumberFormat="1" applyFont="1" applyFill="1" applyBorder="1" applyAlignment="1" applyProtection="1">
      <alignment horizontal="right" vertical="center" indent="1"/>
      <protection hidden="1"/>
    </xf>
    <xf numFmtId="0" fontId="45" fillId="4" borderId="0" xfId="0" applyFont="1" applyFill="1" applyAlignment="1" applyProtection="1">
      <alignment horizontal="right" vertical="center" indent="1"/>
      <protection hidden="1"/>
    </xf>
    <xf numFmtId="198" fontId="33" fillId="5" borderId="18" xfId="0" applyNumberFormat="1" applyFont="1" applyFill="1" applyBorder="1" applyAlignment="1" applyProtection="1">
      <alignment horizontal="right" vertical="center" indent="1"/>
      <protection hidden="1"/>
    </xf>
    <xf numFmtId="190" fontId="33" fillId="5" borderId="0" xfId="1" applyNumberFormat="1" applyFont="1" applyFill="1" applyBorder="1" applyAlignment="1" applyProtection="1">
      <alignment horizontal="right" vertical="center" indent="1"/>
      <protection hidden="1"/>
    </xf>
    <xf numFmtId="198" fontId="33" fillId="5" borderId="19" xfId="0" applyNumberFormat="1" applyFont="1" applyFill="1" applyBorder="1" applyAlignment="1" applyProtection="1">
      <alignment horizontal="right" vertical="center" indent="1"/>
      <protection hidden="1"/>
    </xf>
    <xf numFmtId="190" fontId="33" fillId="5" borderId="21" xfId="1" applyNumberFormat="1" applyFont="1" applyFill="1" applyBorder="1" applyAlignment="1" applyProtection="1">
      <alignment horizontal="right" vertical="center" indent="1"/>
      <protection hidden="1"/>
    </xf>
    <xf numFmtId="187" fontId="33" fillId="4" borderId="0" xfId="0" applyNumberFormat="1" applyFont="1" applyFill="1" applyAlignment="1" applyProtection="1">
      <alignment horizontal="center" vertical="center"/>
      <protection hidden="1"/>
    </xf>
    <xf numFmtId="175" fontId="32" fillId="4" borderId="429" xfId="0" applyNumberFormat="1" applyFont="1" applyFill="1" applyBorder="1" applyAlignment="1" applyProtection="1">
      <alignment horizontal="center" vertical="center"/>
      <protection hidden="1"/>
    </xf>
    <xf numFmtId="175" fontId="32" fillId="4" borderId="430" xfId="0" applyNumberFormat="1" applyFont="1" applyFill="1" applyBorder="1" applyAlignment="1" applyProtection="1">
      <alignment horizontal="center" vertical="center"/>
      <protection hidden="1"/>
    </xf>
    <xf numFmtId="175" fontId="32" fillId="3" borderId="271" xfId="0" applyNumberFormat="1" applyFont="1" applyFill="1" applyBorder="1" applyAlignment="1" applyProtection="1">
      <alignment horizontal="center" vertical="center"/>
      <protection hidden="1"/>
    </xf>
    <xf numFmtId="175" fontId="32" fillId="3" borderId="272" xfId="0" applyNumberFormat="1" applyFont="1" applyFill="1" applyBorder="1" applyAlignment="1" applyProtection="1">
      <alignment horizontal="center" vertical="center"/>
      <protection hidden="1"/>
    </xf>
    <xf numFmtId="184" fontId="41" fillId="4" borderId="0" xfId="1" applyNumberFormat="1" applyFont="1" applyFill="1" applyAlignment="1" applyProtection="1">
      <alignment horizontal="center" vertical="center"/>
      <protection hidden="1"/>
    </xf>
    <xf numFmtId="184" fontId="5" fillId="3" borderId="271" xfId="0" applyNumberFormat="1" applyFont="1" applyFill="1" applyBorder="1" applyAlignment="1" applyProtection="1">
      <alignment horizontal="center" vertical="center"/>
      <protection hidden="1"/>
    </xf>
    <xf numFmtId="175" fontId="32" fillId="3" borderId="0" xfId="0" applyNumberFormat="1" applyFont="1" applyFill="1" applyAlignment="1" applyProtection="1">
      <alignment horizontal="right" vertical="center" indent="1"/>
      <protection hidden="1"/>
    </xf>
    <xf numFmtId="212" fontId="56" fillId="5" borderId="0" xfId="0" applyNumberFormat="1" applyFont="1" applyFill="1" applyAlignment="1" applyProtection="1">
      <alignment horizontal="center" vertical="center"/>
      <protection hidden="1"/>
    </xf>
    <xf numFmtId="232" fontId="98" fillId="4" borderId="0" xfId="1" applyNumberFormat="1" applyFont="1" applyFill="1" applyAlignment="1" applyProtection="1">
      <alignment horizontal="center" vertical="center"/>
      <protection hidden="1"/>
    </xf>
    <xf numFmtId="212" fontId="6" fillId="4" borderId="0" xfId="0" applyNumberFormat="1" applyFont="1" applyFill="1" applyAlignment="1" applyProtection="1">
      <alignment horizontal="center" vertical="center"/>
      <protection hidden="1"/>
    </xf>
    <xf numFmtId="0" fontId="96" fillId="41" borderId="136" xfId="2" applyFont="1" applyFill="1" applyBorder="1" applyAlignment="1" applyProtection="1">
      <alignment horizontal="center" vertical="center"/>
      <protection hidden="1"/>
    </xf>
    <xf numFmtId="175" fontId="132" fillId="41" borderId="0" xfId="2" applyNumberFormat="1" applyFont="1" applyFill="1" applyAlignment="1" applyProtection="1">
      <alignment horizontal="center" vertical="center"/>
      <protection hidden="1"/>
    </xf>
    <xf numFmtId="168" fontId="78" fillId="41" borderId="0" xfId="1" applyNumberFormat="1" applyFont="1" applyFill="1" applyAlignment="1" applyProtection="1">
      <alignment horizontal="center" vertical="center"/>
      <protection hidden="1"/>
    </xf>
    <xf numFmtId="14" fontId="74" fillId="4" borderId="266" xfId="0" applyNumberFormat="1" applyFont="1" applyFill="1" applyBorder="1" applyAlignment="1" applyProtection="1">
      <alignment horizontal="center"/>
      <protection hidden="1"/>
    </xf>
    <xf numFmtId="0" fontId="141" fillId="40" borderId="81" xfId="0" applyFont="1" applyFill="1" applyBorder="1" applyAlignment="1" applyProtection="1">
      <alignment horizontal="center"/>
      <protection hidden="1"/>
    </xf>
    <xf numFmtId="0" fontId="141" fillId="40" borderId="46" xfId="0" applyFont="1" applyFill="1" applyBorder="1" applyAlignment="1" applyProtection="1">
      <alignment horizontal="center"/>
      <protection hidden="1"/>
    </xf>
    <xf numFmtId="0" fontId="141" fillId="40" borderId="82" xfId="0" applyFont="1" applyFill="1" applyBorder="1" applyAlignment="1" applyProtection="1">
      <alignment horizontal="center"/>
      <protection hidden="1"/>
    </xf>
    <xf numFmtId="233" fontId="89" fillId="4" borderId="228" xfId="0" applyNumberFormat="1" applyFont="1" applyFill="1" applyBorder="1" applyAlignment="1" applyProtection="1">
      <alignment horizontal="center" vertical="center"/>
      <protection hidden="1"/>
    </xf>
    <xf numFmtId="0" fontId="56" fillId="5" borderId="237" xfId="0" applyFont="1" applyFill="1" applyBorder="1" applyAlignment="1" applyProtection="1">
      <alignment horizontal="center" vertical="center"/>
      <protection hidden="1"/>
    </xf>
    <xf numFmtId="231" fontId="78" fillId="41" borderId="0" xfId="2" applyNumberFormat="1" applyFont="1" applyFill="1" applyAlignment="1" applyProtection="1">
      <alignment horizontal="center" vertical="center"/>
      <protection hidden="1"/>
    </xf>
    <xf numFmtId="212" fontId="60" fillId="4" borderId="0" xfId="0" applyNumberFormat="1" applyFont="1" applyFill="1" applyAlignment="1" applyProtection="1">
      <alignment horizontal="right" vertical="center"/>
      <protection hidden="1"/>
    </xf>
    <xf numFmtId="0" fontId="57" fillId="40" borderId="81" xfId="0" applyFont="1" applyFill="1" applyBorder="1" applyAlignment="1" applyProtection="1">
      <alignment horizontal="center"/>
      <protection hidden="1"/>
    </xf>
    <xf numFmtId="0" fontId="57" fillId="40" borderId="46" xfId="0" applyFont="1" applyFill="1" applyBorder="1" applyAlignment="1" applyProtection="1">
      <alignment horizontal="center"/>
      <protection hidden="1"/>
    </xf>
    <xf numFmtId="0" fontId="57" fillId="40" borderId="82" xfId="0" applyFont="1" applyFill="1" applyBorder="1" applyAlignment="1" applyProtection="1">
      <alignment horizontal="center"/>
      <protection hidden="1"/>
    </xf>
    <xf numFmtId="0" fontId="8" fillId="4" borderId="231" xfId="0" applyFont="1" applyFill="1" applyBorder="1" applyAlignment="1" applyProtection="1">
      <alignment horizontal="center" vertical="center"/>
      <protection hidden="1"/>
    </xf>
    <xf numFmtId="0" fontId="56" fillId="5" borderId="234" xfId="0" applyFont="1" applyFill="1" applyBorder="1" applyAlignment="1" applyProtection="1">
      <alignment horizontal="center" vertical="center"/>
      <protection hidden="1"/>
    </xf>
    <xf numFmtId="0" fontId="56" fillId="5" borderId="228" xfId="0" applyFont="1" applyFill="1" applyBorder="1" applyAlignment="1" applyProtection="1">
      <alignment horizontal="center" vertical="center"/>
      <protection hidden="1"/>
    </xf>
    <xf numFmtId="0" fontId="131" fillId="41" borderId="0" xfId="2" applyFont="1" applyFill="1" applyAlignment="1" applyProtection="1">
      <alignment horizontal="center" vertical="center"/>
      <protection hidden="1"/>
    </xf>
    <xf numFmtId="168" fontId="139" fillId="42" borderId="0" xfId="1" applyNumberFormat="1" applyFont="1" applyFill="1" applyBorder="1" applyAlignment="1" applyProtection="1">
      <alignment horizontal="center" vertical="center"/>
      <protection hidden="1"/>
    </xf>
    <xf numFmtId="0" fontId="137" fillId="42" borderId="0" xfId="2" applyFont="1" applyFill="1" applyAlignment="1" applyProtection="1">
      <alignment horizontal="center" vertical="center"/>
      <protection hidden="1"/>
    </xf>
    <xf numFmtId="175" fontId="138" fillId="42" borderId="0" xfId="2" applyNumberFormat="1" applyFont="1" applyFill="1" applyAlignment="1" applyProtection="1">
      <alignment horizontal="center" vertical="center"/>
      <protection hidden="1"/>
    </xf>
    <xf numFmtId="0" fontId="135" fillId="41" borderId="414" xfId="2" applyFont="1" applyFill="1" applyBorder="1" applyAlignment="1" applyProtection="1">
      <alignment horizontal="center" vertical="center" wrapText="1"/>
      <protection hidden="1"/>
    </xf>
    <xf numFmtId="0" fontId="135" fillId="41" borderId="415" xfId="2" applyFont="1" applyFill="1" applyBorder="1" applyAlignment="1" applyProtection="1">
      <alignment horizontal="center" vertical="center" wrapText="1"/>
      <protection hidden="1"/>
    </xf>
    <xf numFmtId="0" fontId="135" fillId="41" borderId="416" xfId="2" applyFont="1" applyFill="1" applyBorder="1" applyAlignment="1" applyProtection="1">
      <alignment horizontal="center" vertical="center" wrapText="1"/>
      <protection hidden="1"/>
    </xf>
    <xf numFmtId="0" fontId="135" fillId="41" borderId="374" xfId="2" applyFont="1" applyFill="1" applyBorder="1" applyAlignment="1" applyProtection="1">
      <alignment horizontal="center" vertical="center" wrapText="1"/>
      <protection hidden="1"/>
    </xf>
    <xf numFmtId="0" fontId="135" fillId="41" borderId="0" xfId="2" applyFont="1" applyFill="1" applyAlignment="1" applyProtection="1">
      <alignment horizontal="center" vertical="center" wrapText="1"/>
      <protection hidden="1"/>
    </xf>
    <xf numFmtId="0" fontId="135" fillId="41" borderId="375" xfId="2" applyFont="1" applyFill="1" applyBorder="1" applyAlignment="1" applyProtection="1">
      <alignment horizontal="center" vertical="center" wrapText="1"/>
      <protection hidden="1"/>
    </xf>
    <xf numFmtId="0" fontId="135" fillId="41" borderId="380" xfId="2" applyFont="1" applyFill="1" applyBorder="1" applyAlignment="1" applyProtection="1">
      <alignment horizontal="center" vertical="center" wrapText="1"/>
      <protection hidden="1"/>
    </xf>
    <xf numFmtId="0" fontId="135" fillId="41" borderId="381" xfId="2" applyFont="1" applyFill="1" applyBorder="1" applyAlignment="1" applyProtection="1">
      <alignment horizontal="center" vertical="center" wrapText="1"/>
      <protection hidden="1"/>
    </xf>
    <xf numFmtId="0" fontId="135" fillId="41" borderId="382" xfId="2" applyFont="1" applyFill="1" applyBorder="1" applyAlignment="1" applyProtection="1">
      <alignment horizontal="center" vertical="center" wrapText="1"/>
      <protection hidden="1"/>
    </xf>
    <xf numFmtId="0" fontId="136" fillId="42" borderId="417" xfId="2" applyFont="1" applyFill="1" applyBorder="1" applyAlignment="1" applyProtection="1">
      <alignment horizontal="center" vertical="center" wrapText="1"/>
      <protection hidden="1"/>
    </xf>
    <xf numFmtId="0" fontId="136" fillId="42" borderId="418" xfId="2" applyFont="1" applyFill="1" applyBorder="1" applyAlignment="1" applyProtection="1">
      <alignment horizontal="center" vertical="center" wrapText="1"/>
      <protection hidden="1"/>
    </xf>
    <xf numFmtId="0" fontId="136" fillId="42" borderId="419" xfId="2" applyFont="1" applyFill="1" applyBorder="1" applyAlignment="1" applyProtection="1">
      <alignment horizontal="center" vertical="center" wrapText="1"/>
      <protection hidden="1"/>
    </xf>
    <xf numFmtId="0" fontId="136" fillId="42" borderId="420" xfId="2" applyFont="1" applyFill="1" applyBorder="1" applyAlignment="1" applyProtection="1">
      <alignment horizontal="center" vertical="center" wrapText="1"/>
      <protection hidden="1"/>
    </xf>
    <xf numFmtId="0" fontId="136" fillId="42" borderId="0" xfId="2" applyFont="1" applyFill="1" applyAlignment="1" applyProtection="1">
      <alignment horizontal="center" vertical="center" wrapText="1"/>
      <protection hidden="1"/>
    </xf>
    <xf numFmtId="0" fontId="136" fillId="42" borderId="421" xfId="2" applyFont="1" applyFill="1" applyBorder="1" applyAlignment="1" applyProtection="1">
      <alignment horizontal="center" vertical="center" wrapText="1"/>
      <protection hidden="1"/>
    </xf>
    <xf numFmtId="0" fontId="136" fillId="42" borderId="422" xfId="2" applyFont="1" applyFill="1" applyBorder="1" applyAlignment="1" applyProtection="1">
      <alignment horizontal="center" vertical="center" wrapText="1"/>
      <protection hidden="1"/>
    </xf>
    <xf numFmtId="0" fontId="136" fillId="42" borderId="423" xfId="2" applyFont="1" applyFill="1" applyBorder="1" applyAlignment="1" applyProtection="1">
      <alignment horizontal="center" vertical="center" wrapText="1"/>
      <protection hidden="1"/>
    </xf>
    <xf numFmtId="0" fontId="136" fillId="42" borderId="424" xfId="2" applyFont="1" applyFill="1" applyBorder="1" applyAlignment="1" applyProtection="1">
      <alignment horizontal="center" vertical="center" wrapText="1"/>
      <protection hidden="1"/>
    </xf>
    <xf numFmtId="0" fontId="137" fillId="42" borderId="420" xfId="2" applyFont="1" applyFill="1" applyBorder="1" applyAlignment="1" applyProtection="1">
      <alignment horizontal="center" vertical="center"/>
      <protection hidden="1"/>
    </xf>
    <xf numFmtId="231" fontId="139" fillId="42" borderId="420" xfId="2" applyNumberFormat="1" applyFont="1" applyFill="1" applyBorder="1" applyAlignment="1" applyProtection="1">
      <alignment horizontal="center" vertical="center"/>
      <protection hidden="1"/>
    </xf>
    <xf numFmtId="231" fontId="139" fillId="42" borderId="0" xfId="2" applyNumberFormat="1" applyFont="1" applyFill="1" applyAlignment="1" applyProtection="1">
      <alignment horizontal="center" vertical="center"/>
      <protection hidden="1"/>
    </xf>
    <xf numFmtId="175" fontId="138" fillId="42" borderId="420" xfId="2" applyNumberFormat="1" applyFont="1" applyFill="1" applyBorder="1" applyAlignment="1" applyProtection="1">
      <alignment horizontal="center" vertical="center"/>
      <protection hidden="1"/>
    </xf>
    <xf numFmtId="0" fontId="131" fillId="41" borderId="374" xfId="2" applyFont="1" applyFill="1" applyBorder="1" applyAlignment="1" applyProtection="1">
      <alignment horizontal="center" vertical="center"/>
      <protection hidden="1"/>
    </xf>
    <xf numFmtId="175" fontId="8" fillId="5" borderId="0" xfId="0" applyNumberFormat="1" applyFont="1" applyFill="1" applyAlignment="1" applyProtection="1">
      <alignment horizontal="center" vertical="center"/>
      <protection hidden="1"/>
    </xf>
    <xf numFmtId="175" fontId="8" fillId="4" borderId="0" xfId="0" applyNumberFormat="1" applyFont="1" applyFill="1" applyAlignment="1" applyProtection="1">
      <alignment horizontal="center" vertical="center"/>
      <protection hidden="1"/>
    </xf>
    <xf numFmtId="168" fontId="8" fillId="5" borderId="0" xfId="1" applyNumberFormat="1" applyFont="1" applyFill="1" applyAlignment="1" applyProtection="1">
      <alignment horizontal="center" vertical="center"/>
      <protection hidden="1"/>
    </xf>
    <xf numFmtId="168" fontId="8" fillId="4" borderId="0" xfId="1" applyNumberFormat="1" applyFont="1" applyFill="1" applyAlignment="1" applyProtection="1">
      <alignment horizontal="center" vertical="center"/>
      <protection hidden="1"/>
    </xf>
    <xf numFmtId="212" fontId="56" fillId="32" borderId="0" xfId="0" applyNumberFormat="1" applyFont="1" applyFill="1" applyAlignment="1" applyProtection="1">
      <alignment horizontal="center" vertical="center"/>
      <protection hidden="1"/>
    </xf>
    <xf numFmtId="168" fontId="14" fillId="5" borderId="0" xfId="1" applyNumberFormat="1" applyFont="1" applyFill="1" applyAlignment="1" applyProtection="1">
      <alignment horizontal="center" vertical="center"/>
      <protection hidden="1"/>
    </xf>
    <xf numFmtId="175" fontId="8" fillId="3" borderId="250" xfId="0" applyNumberFormat="1" applyFont="1" applyFill="1" applyBorder="1" applyAlignment="1" applyProtection="1">
      <alignment horizontal="center" vertical="center"/>
      <protection hidden="1"/>
    </xf>
    <xf numFmtId="0" fontId="47" fillId="16" borderId="238" xfId="0" applyFont="1" applyFill="1" applyBorder="1" applyAlignment="1" applyProtection="1">
      <alignment horizontal="center" vertical="center" wrapText="1"/>
      <protection hidden="1"/>
    </xf>
    <xf numFmtId="0" fontId="47" fillId="16" borderId="239" xfId="0" applyFont="1" applyFill="1" applyBorder="1" applyAlignment="1" applyProtection="1">
      <alignment horizontal="center" vertical="center" wrapText="1"/>
      <protection hidden="1"/>
    </xf>
    <xf numFmtId="0" fontId="47" fillId="16" borderId="408" xfId="0" applyFont="1" applyFill="1" applyBorder="1" applyAlignment="1" applyProtection="1">
      <alignment horizontal="center" vertical="center" wrapText="1"/>
      <protection hidden="1"/>
    </xf>
    <xf numFmtId="0" fontId="47" fillId="13" borderId="238" xfId="0" applyFont="1" applyFill="1" applyBorder="1" applyAlignment="1" applyProtection="1">
      <alignment horizontal="center" vertical="center"/>
      <protection hidden="1"/>
    </xf>
    <xf numFmtId="0" fontId="47" fillId="13" borderId="239" xfId="0" applyFont="1" applyFill="1" applyBorder="1" applyAlignment="1" applyProtection="1">
      <alignment horizontal="center" vertical="center"/>
      <protection hidden="1"/>
    </xf>
    <xf numFmtId="0" fontId="47" fillId="13" borderId="408" xfId="0" applyFont="1" applyFill="1" applyBorder="1" applyAlignment="1" applyProtection="1">
      <alignment horizontal="center" vertical="center"/>
      <protection hidden="1"/>
    </xf>
    <xf numFmtId="0" fontId="47" fillId="17" borderId="238" xfId="0" applyFont="1" applyFill="1" applyBorder="1" applyAlignment="1" applyProtection="1">
      <alignment horizontal="center" vertical="center" wrapText="1"/>
      <protection hidden="1"/>
    </xf>
    <xf numFmtId="0" fontId="47" fillId="17" borderId="239" xfId="0" applyFont="1" applyFill="1" applyBorder="1" applyAlignment="1" applyProtection="1">
      <alignment horizontal="center" vertical="center" wrapText="1"/>
      <protection hidden="1"/>
    </xf>
    <xf numFmtId="0" fontId="47" fillId="17" borderId="408" xfId="0" applyFont="1" applyFill="1" applyBorder="1" applyAlignment="1" applyProtection="1">
      <alignment horizontal="center" vertical="center" wrapText="1"/>
      <protection hidden="1"/>
    </xf>
    <xf numFmtId="0" fontId="47" fillId="18" borderId="238" xfId="0" applyFont="1" applyFill="1" applyBorder="1" applyAlignment="1" applyProtection="1">
      <alignment horizontal="center" vertical="center" wrapText="1"/>
      <protection hidden="1"/>
    </xf>
    <xf numFmtId="0" fontId="47" fillId="18" borderId="239" xfId="0" applyFont="1" applyFill="1" applyBorder="1" applyAlignment="1" applyProtection="1">
      <alignment horizontal="center" vertical="center" wrapText="1"/>
      <protection hidden="1"/>
    </xf>
    <xf numFmtId="0" fontId="47" fillId="18" borderId="408" xfId="0" applyFont="1" applyFill="1" applyBorder="1" applyAlignment="1" applyProtection="1">
      <alignment horizontal="center" vertical="center" wrapText="1"/>
      <protection hidden="1"/>
    </xf>
    <xf numFmtId="0" fontId="47" fillId="18" borderId="410" xfId="0" applyFont="1" applyFill="1" applyBorder="1" applyAlignment="1" applyProtection="1">
      <alignment horizontal="center" vertical="center" wrapText="1"/>
      <protection hidden="1"/>
    </xf>
    <xf numFmtId="0" fontId="47" fillId="18" borderId="0" xfId="0" applyFont="1" applyFill="1" applyAlignment="1" applyProtection="1">
      <alignment horizontal="center" vertical="center" wrapText="1"/>
      <protection hidden="1"/>
    </xf>
    <xf numFmtId="14" fontId="45" fillId="4" borderId="266" xfId="0" applyNumberFormat="1" applyFont="1" applyFill="1" applyBorder="1" applyAlignment="1" applyProtection="1">
      <alignment horizontal="center"/>
      <protection hidden="1"/>
    </xf>
    <xf numFmtId="175" fontId="8" fillId="3" borderId="247" xfId="0" applyNumberFormat="1" applyFont="1" applyFill="1" applyBorder="1" applyAlignment="1" applyProtection="1">
      <alignment horizontal="center" vertical="center"/>
      <protection hidden="1"/>
    </xf>
    <xf numFmtId="193" fontId="8" fillId="3" borderId="247" xfId="0" applyNumberFormat="1" applyFont="1" applyFill="1" applyBorder="1" applyAlignment="1" applyProtection="1">
      <alignment horizontal="center" vertical="center"/>
      <protection hidden="1"/>
    </xf>
    <xf numFmtId="190" fontId="8" fillId="3" borderId="250" xfId="1" applyNumberFormat="1" applyFont="1" applyFill="1" applyBorder="1" applyAlignment="1" applyProtection="1">
      <alignment horizontal="center" vertical="center"/>
      <protection hidden="1"/>
    </xf>
    <xf numFmtId="168" fontId="8" fillId="3" borderId="247" xfId="1" applyNumberFormat="1" applyFont="1" applyFill="1" applyBorder="1" applyAlignment="1" applyProtection="1">
      <alignment horizontal="center" vertical="center"/>
      <protection hidden="1"/>
    </xf>
    <xf numFmtId="169" fontId="8" fillId="3" borderId="250" xfId="1" applyNumberFormat="1" applyFont="1" applyFill="1" applyBorder="1" applyAlignment="1" applyProtection="1">
      <alignment horizontal="center" vertical="center"/>
      <protection hidden="1"/>
    </xf>
    <xf numFmtId="14" fontId="8" fillId="3" borderId="250" xfId="0" applyNumberFormat="1" applyFont="1" applyFill="1" applyBorder="1" applyAlignment="1" applyProtection="1">
      <alignment horizontal="center" vertical="center"/>
      <protection hidden="1"/>
    </xf>
    <xf numFmtId="189" fontId="47" fillId="18" borderId="410" xfId="1" applyNumberFormat="1" applyFont="1" applyFill="1" applyBorder="1" applyAlignment="1" applyProtection="1">
      <alignment horizontal="center" vertical="center"/>
      <protection hidden="1"/>
    </xf>
    <xf numFmtId="189" fontId="47" fillId="18" borderId="0" xfId="1" applyNumberFormat="1" applyFont="1" applyFill="1" applyBorder="1" applyAlignment="1" applyProtection="1">
      <alignment horizontal="center" vertical="center"/>
      <protection hidden="1"/>
    </xf>
    <xf numFmtId="189" fontId="48" fillId="18" borderId="410" xfId="1" applyNumberFormat="1" applyFont="1" applyFill="1" applyBorder="1" applyAlignment="1" applyProtection="1">
      <alignment horizontal="center" vertical="center"/>
      <protection hidden="1"/>
    </xf>
    <xf numFmtId="189" fontId="48" fillId="18" borderId="0" xfId="1" applyNumberFormat="1" applyFont="1" applyFill="1" applyBorder="1" applyAlignment="1" applyProtection="1">
      <alignment horizontal="center" vertical="center"/>
      <protection hidden="1"/>
    </xf>
    <xf numFmtId="189" fontId="47" fillId="18" borderId="236" xfId="1" applyNumberFormat="1" applyFont="1" applyFill="1" applyBorder="1" applyAlignment="1" applyProtection="1">
      <alignment horizontal="center" vertical="center"/>
      <protection hidden="1"/>
    </xf>
    <xf numFmtId="189" fontId="48" fillId="18" borderId="230" xfId="1" applyNumberFormat="1" applyFont="1" applyFill="1" applyBorder="1" applyAlignment="1" applyProtection="1">
      <alignment horizontal="center" vertical="center"/>
      <protection hidden="1"/>
    </xf>
    <xf numFmtId="189" fontId="48" fillId="18" borderId="231" xfId="1" applyNumberFormat="1" applyFont="1" applyFill="1" applyBorder="1" applyAlignment="1" applyProtection="1">
      <alignment horizontal="center" vertical="center"/>
      <protection hidden="1"/>
    </xf>
    <xf numFmtId="189" fontId="48" fillId="18" borderId="232" xfId="1" applyNumberFormat="1" applyFont="1" applyFill="1" applyBorder="1" applyAlignment="1" applyProtection="1">
      <alignment horizontal="center" vertical="center"/>
      <protection hidden="1"/>
    </xf>
    <xf numFmtId="187" fontId="47" fillId="17" borderId="409" xfId="0" applyNumberFormat="1" applyFont="1" applyFill="1" applyBorder="1" applyAlignment="1" applyProtection="1">
      <alignment horizontal="center" vertical="center"/>
      <protection hidden="1"/>
    </xf>
    <xf numFmtId="187" fontId="47" fillId="17" borderId="46" xfId="0" applyNumberFormat="1" applyFont="1" applyFill="1" applyBorder="1" applyAlignment="1" applyProtection="1">
      <alignment horizontal="center" vertical="center"/>
      <protection hidden="1"/>
    </xf>
    <xf numFmtId="187" fontId="47" fillId="17" borderId="401" xfId="0" applyNumberFormat="1" applyFont="1" applyFill="1" applyBorder="1" applyAlignment="1" applyProtection="1">
      <alignment horizontal="center" vertical="center"/>
      <protection hidden="1"/>
    </xf>
    <xf numFmtId="187" fontId="48" fillId="17" borderId="402" xfId="0" applyNumberFormat="1" applyFont="1" applyFill="1" applyBorder="1" applyAlignment="1" applyProtection="1">
      <alignment horizontal="center" vertical="center"/>
      <protection hidden="1"/>
    </xf>
    <xf numFmtId="187" fontId="48" fillId="17" borderId="403" xfId="0" applyNumberFormat="1" applyFont="1" applyFill="1" applyBorder="1" applyAlignment="1" applyProtection="1">
      <alignment horizontal="center" vertical="center"/>
      <protection hidden="1"/>
    </xf>
    <xf numFmtId="187" fontId="48" fillId="17" borderId="404" xfId="0" applyNumberFormat="1" applyFont="1" applyFill="1" applyBorder="1" applyAlignment="1" applyProtection="1">
      <alignment horizontal="center" vertical="center"/>
      <protection hidden="1"/>
    </xf>
    <xf numFmtId="187" fontId="47" fillId="13" borderId="409" xfId="0" applyNumberFormat="1" applyFont="1" applyFill="1" applyBorder="1" applyAlignment="1" applyProtection="1">
      <alignment horizontal="center" vertical="center"/>
      <protection hidden="1"/>
    </xf>
    <xf numFmtId="187" fontId="47" fillId="13" borderId="46" xfId="0" applyNumberFormat="1" applyFont="1" applyFill="1" applyBorder="1" applyAlignment="1" applyProtection="1">
      <alignment horizontal="center" vertical="center"/>
      <protection hidden="1"/>
    </xf>
    <xf numFmtId="187" fontId="47" fillId="13" borderId="401" xfId="0" applyNumberFormat="1" applyFont="1" applyFill="1" applyBorder="1" applyAlignment="1" applyProtection="1">
      <alignment horizontal="center" vertical="center"/>
      <protection hidden="1"/>
    </xf>
    <xf numFmtId="187" fontId="48" fillId="13" borderId="402" xfId="0" applyNumberFormat="1" applyFont="1" applyFill="1" applyBorder="1" applyAlignment="1" applyProtection="1">
      <alignment horizontal="center" vertical="center"/>
      <protection hidden="1"/>
    </xf>
    <xf numFmtId="187" fontId="48" fillId="13" borderId="403" xfId="0" applyNumberFormat="1" applyFont="1" applyFill="1" applyBorder="1" applyAlignment="1" applyProtection="1">
      <alignment horizontal="center" vertical="center"/>
      <protection hidden="1"/>
    </xf>
    <xf numFmtId="187" fontId="48" fillId="13" borderId="404" xfId="0" applyNumberFormat="1" applyFont="1" applyFill="1" applyBorder="1" applyAlignment="1" applyProtection="1">
      <alignment horizontal="center" vertical="center"/>
      <protection hidden="1"/>
    </xf>
    <xf numFmtId="187" fontId="47" fillId="16" borderId="409" xfId="0" applyNumberFormat="1" applyFont="1" applyFill="1" applyBorder="1" applyAlignment="1" applyProtection="1">
      <alignment horizontal="center" vertical="center"/>
      <protection hidden="1"/>
    </xf>
    <xf numFmtId="187" fontId="47" fillId="16" borderId="46" xfId="0" applyNumberFormat="1" applyFont="1" applyFill="1" applyBorder="1" applyAlignment="1" applyProtection="1">
      <alignment horizontal="center" vertical="center"/>
      <protection hidden="1"/>
    </xf>
    <xf numFmtId="187" fontId="47" fillId="16" borderId="401" xfId="0" applyNumberFormat="1" applyFont="1" applyFill="1" applyBorder="1" applyAlignment="1" applyProtection="1">
      <alignment horizontal="center" vertical="center"/>
      <protection hidden="1"/>
    </xf>
    <xf numFmtId="0" fontId="48" fillId="13" borderId="410" xfId="0" applyFont="1" applyFill="1" applyBorder="1" applyAlignment="1" applyProtection="1">
      <alignment horizontal="center" vertical="center"/>
      <protection hidden="1"/>
    </xf>
    <xf numFmtId="0" fontId="48" fillId="13" borderId="0" xfId="0" applyFont="1" applyFill="1" applyAlignment="1" applyProtection="1">
      <alignment horizontal="center" vertical="center"/>
      <protection hidden="1"/>
    </xf>
    <xf numFmtId="175" fontId="47" fillId="13" borderId="410" xfId="0" applyNumberFormat="1" applyFont="1" applyFill="1" applyBorder="1" applyAlignment="1" applyProtection="1">
      <alignment horizontal="center" vertical="center"/>
      <protection hidden="1"/>
    </xf>
    <xf numFmtId="175" fontId="47" fillId="13" borderId="0" xfId="0" applyNumberFormat="1" applyFont="1" applyFill="1" applyAlignment="1" applyProtection="1">
      <alignment horizontal="center" vertical="center"/>
      <protection hidden="1"/>
    </xf>
    <xf numFmtId="187" fontId="48" fillId="16" borderId="402" xfId="0" applyNumberFormat="1" applyFont="1" applyFill="1" applyBorder="1" applyAlignment="1" applyProtection="1">
      <alignment horizontal="center" vertical="center"/>
      <protection hidden="1"/>
    </xf>
    <xf numFmtId="187" fontId="48" fillId="16" borderId="403" xfId="0" applyNumberFormat="1" applyFont="1" applyFill="1" applyBorder="1" applyAlignment="1" applyProtection="1">
      <alignment horizontal="center" vertical="center"/>
      <protection hidden="1"/>
    </xf>
    <xf numFmtId="187" fontId="48" fillId="16" borderId="404" xfId="0" applyNumberFormat="1" applyFont="1" applyFill="1" applyBorder="1" applyAlignment="1" applyProtection="1">
      <alignment horizontal="center" vertical="center"/>
      <protection hidden="1"/>
    </xf>
    <xf numFmtId="187" fontId="47" fillId="15" borderId="409" xfId="0" applyNumberFormat="1" applyFont="1" applyFill="1" applyBorder="1" applyAlignment="1" applyProtection="1">
      <alignment horizontal="center" vertical="center"/>
      <protection hidden="1"/>
    </xf>
    <xf numFmtId="187" fontId="47" fillId="15" borderId="46" xfId="0" applyNumberFormat="1" applyFont="1" applyFill="1" applyBorder="1" applyAlignment="1" applyProtection="1">
      <alignment horizontal="center" vertical="center"/>
      <protection hidden="1"/>
    </xf>
    <xf numFmtId="187" fontId="47" fillId="15" borderId="401" xfId="0" applyNumberFormat="1" applyFont="1" applyFill="1" applyBorder="1" applyAlignment="1" applyProtection="1">
      <alignment horizontal="center" vertical="center"/>
      <protection hidden="1"/>
    </xf>
    <xf numFmtId="0" fontId="48" fillId="16" borderId="402" xfId="0" applyFont="1" applyFill="1" applyBorder="1" applyAlignment="1" applyProtection="1">
      <alignment horizontal="center" vertical="center" wrapText="1"/>
      <protection hidden="1"/>
    </xf>
    <xf numFmtId="0" fontId="48" fillId="16" borderId="403" xfId="0" applyFont="1" applyFill="1" applyBorder="1" applyAlignment="1" applyProtection="1">
      <alignment horizontal="center" vertical="center" wrapText="1"/>
      <protection hidden="1"/>
    </xf>
    <xf numFmtId="0" fontId="48" fillId="16" borderId="404" xfId="0" applyFont="1" applyFill="1" applyBorder="1" applyAlignment="1" applyProtection="1">
      <alignment horizontal="center" vertical="center" wrapText="1"/>
      <protection hidden="1"/>
    </xf>
    <xf numFmtId="187" fontId="47" fillId="16" borderId="405" xfId="0" applyNumberFormat="1" applyFont="1" applyFill="1" applyBorder="1" applyAlignment="1" applyProtection="1">
      <alignment horizontal="center" vertical="center"/>
      <protection hidden="1"/>
    </xf>
    <xf numFmtId="187" fontId="47" fillId="16" borderId="406" xfId="0" applyNumberFormat="1" applyFont="1" applyFill="1" applyBorder="1" applyAlignment="1" applyProtection="1">
      <alignment horizontal="center" vertical="center"/>
      <protection hidden="1"/>
    </xf>
    <xf numFmtId="187" fontId="47" fillId="16" borderId="407" xfId="0" applyNumberFormat="1" applyFont="1" applyFill="1" applyBorder="1" applyAlignment="1" applyProtection="1">
      <alignment horizontal="center" vertical="center"/>
      <protection hidden="1"/>
    </xf>
    <xf numFmtId="187" fontId="48" fillId="15" borderId="402" xfId="0" applyNumberFormat="1" applyFont="1" applyFill="1" applyBorder="1" applyAlignment="1" applyProtection="1">
      <alignment horizontal="center" vertical="center"/>
      <protection hidden="1"/>
    </xf>
    <xf numFmtId="187" fontId="48" fillId="15" borderId="403" xfId="0" applyNumberFormat="1" applyFont="1" applyFill="1" applyBorder="1" applyAlignment="1" applyProtection="1">
      <alignment horizontal="center" vertical="center"/>
      <protection hidden="1"/>
    </xf>
    <xf numFmtId="187" fontId="48" fillId="15" borderId="404" xfId="0" applyNumberFormat="1" applyFont="1" applyFill="1" applyBorder="1" applyAlignment="1" applyProtection="1">
      <alignment horizontal="center" vertical="center"/>
      <protection hidden="1"/>
    </xf>
    <xf numFmtId="187" fontId="47" fillId="3" borderId="409" xfId="0" applyNumberFormat="1" applyFont="1" applyFill="1" applyBorder="1" applyAlignment="1" applyProtection="1">
      <alignment horizontal="center" vertical="center"/>
      <protection hidden="1"/>
    </xf>
    <xf numFmtId="187" fontId="47" fillId="3" borderId="46" xfId="0" applyNumberFormat="1" applyFont="1" applyFill="1" applyBorder="1" applyAlignment="1" applyProtection="1">
      <alignment horizontal="center" vertical="center"/>
      <protection hidden="1"/>
    </xf>
    <xf numFmtId="187" fontId="47" fillId="3" borderId="401" xfId="0" applyNumberFormat="1" applyFont="1" applyFill="1" applyBorder="1" applyAlignment="1" applyProtection="1">
      <alignment horizontal="center" vertical="center"/>
      <protection hidden="1"/>
    </xf>
    <xf numFmtId="0" fontId="48" fillId="15" borderId="402" xfId="0" applyFont="1" applyFill="1" applyBorder="1" applyAlignment="1" applyProtection="1">
      <alignment horizontal="center" vertical="center" wrapText="1"/>
      <protection hidden="1"/>
    </xf>
    <xf numFmtId="0" fontId="48" fillId="15" borderId="403" xfId="0" applyFont="1" applyFill="1" applyBorder="1" applyAlignment="1" applyProtection="1">
      <alignment horizontal="center" vertical="center" wrapText="1"/>
      <protection hidden="1"/>
    </xf>
    <xf numFmtId="0" fontId="48" fillId="15" borderId="404" xfId="0" applyFont="1" applyFill="1" applyBorder="1" applyAlignment="1" applyProtection="1">
      <alignment horizontal="center" vertical="center" wrapText="1"/>
      <protection hidden="1"/>
    </xf>
    <xf numFmtId="187" fontId="47" fillId="15" borderId="405" xfId="0" applyNumberFormat="1" applyFont="1" applyFill="1" applyBorder="1" applyAlignment="1" applyProtection="1">
      <alignment horizontal="center" vertical="center"/>
      <protection hidden="1"/>
    </xf>
    <xf numFmtId="187" fontId="47" fillId="15" borderId="406" xfId="0" applyNumberFormat="1" applyFont="1" applyFill="1" applyBorder="1" applyAlignment="1" applyProtection="1">
      <alignment horizontal="center" vertical="center"/>
      <protection hidden="1"/>
    </xf>
    <xf numFmtId="187" fontId="47" fillId="15" borderId="407" xfId="0" applyNumberFormat="1" applyFont="1" applyFill="1" applyBorder="1" applyAlignment="1" applyProtection="1">
      <alignment horizontal="center" vertical="center"/>
      <protection hidden="1"/>
    </xf>
    <xf numFmtId="0" fontId="47" fillId="15" borderId="238" xfId="0" applyFont="1" applyFill="1" applyBorder="1" applyAlignment="1" applyProtection="1">
      <alignment horizontal="center" vertical="center" wrapText="1"/>
      <protection hidden="1"/>
    </xf>
    <xf numFmtId="0" fontId="47" fillId="15" borderId="239" xfId="0" applyFont="1" applyFill="1" applyBorder="1" applyAlignment="1" applyProtection="1">
      <alignment horizontal="center" vertical="center" wrapText="1"/>
      <protection hidden="1"/>
    </xf>
    <xf numFmtId="0" fontId="47" fillId="15" borderId="408" xfId="0" applyFont="1" applyFill="1" applyBorder="1" applyAlignment="1" applyProtection="1">
      <alignment horizontal="center" vertical="center" wrapText="1"/>
      <protection hidden="1"/>
    </xf>
    <xf numFmtId="187" fontId="48" fillId="3" borderId="402" xfId="0" applyNumberFormat="1" applyFont="1" applyFill="1" applyBorder="1" applyAlignment="1" applyProtection="1">
      <alignment horizontal="center" vertical="center"/>
      <protection hidden="1"/>
    </xf>
    <xf numFmtId="187" fontId="48" fillId="3" borderId="403" xfId="0" applyNumberFormat="1" applyFont="1" applyFill="1" applyBorder="1" applyAlignment="1" applyProtection="1">
      <alignment horizontal="center" vertical="center"/>
      <protection hidden="1"/>
    </xf>
    <xf numFmtId="187" fontId="48" fillId="3" borderId="404" xfId="0" applyNumberFormat="1" applyFont="1" applyFill="1" applyBorder="1" applyAlignment="1" applyProtection="1">
      <alignment horizontal="center" vertical="center"/>
      <protection hidden="1"/>
    </xf>
    <xf numFmtId="0" fontId="47" fillId="0" borderId="400" xfId="0" applyFont="1" applyBorder="1" applyAlignment="1" applyProtection="1">
      <alignment horizontal="center" vertical="center"/>
      <protection hidden="1"/>
    </xf>
    <xf numFmtId="0" fontId="47" fillId="0" borderId="46" xfId="0" applyFont="1" applyBorder="1" applyAlignment="1" applyProtection="1">
      <alignment horizontal="center" vertical="center"/>
      <protection hidden="1"/>
    </xf>
    <xf numFmtId="0" fontId="47" fillId="0" borderId="401" xfId="0" applyFont="1" applyBorder="1" applyAlignment="1" applyProtection="1">
      <alignment horizontal="center" vertical="center"/>
      <protection hidden="1"/>
    </xf>
    <xf numFmtId="187" fontId="47" fillId="3" borderId="405" xfId="0" applyNumberFormat="1" applyFont="1" applyFill="1" applyBorder="1" applyAlignment="1" applyProtection="1">
      <alignment horizontal="center" vertical="center"/>
      <protection hidden="1"/>
    </xf>
    <xf numFmtId="187" fontId="47" fillId="3" borderId="406" xfId="0" applyNumberFormat="1" applyFont="1" applyFill="1" applyBorder="1" applyAlignment="1" applyProtection="1">
      <alignment horizontal="center" vertical="center"/>
      <protection hidden="1"/>
    </xf>
    <xf numFmtId="187" fontId="47" fillId="3" borderId="407" xfId="0" applyNumberFormat="1" applyFont="1" applyFill="1" applyBorder="1" applyAlignment="1" applyProtection="1">
      <alignment horizontal="center" vertical="center"/>
      <protection hidden="1"/>
    </xf>
    <xf numFmtId="0" fontId="47" fillId="3" borderId="238" xfId="0" applyFont="1" applyFill="1" applyBorder="1" applyAlignment="1" applyProtection="1">
      <alignment horizontal="center" vertical="center" wrapText="1"/>
      <protection hidden="1"/>
    </xf>
    <xf numFmtId="0" fontId="47" fillId="3" borderId="239" xfId="0" applyFont="1" applyFill="1" applyBorder="1" applyAlignment="1" applyProtection="1">
      <alignment horizontal="center" vertical="center" wrapText="1"/>
      <protection hidden="1"/>
    </xf>
    <xf numFmtId="0" fontId="47" fillId="3" borderId="408" xfId="0" applyFont="1" applyFill="1" applyBorder="1" applyAlignment="1" applyProtection="1">
      <alignment horizontal="center" vertical="center" wrapText="1"/>
      <protection hidden="1"/>
    </xf>
    <xf numFmtId="0" fontId="48" fillId="0" borderId="398" xfId="0" applyFont="1" applyBorder="1" applyAlignment="1" applyProtection="1">
      <alignment horizontal="center" vertical="center"/>
      <protection hidden="1"/>
    </xf>
    <xf numFmtId="0" fontId="48" fillId="0" borderId="52" xfId="0" applyFont="1" applyBorder="1" applyAlignment="1" applyProtection="1">
      <alignment horizontal="center" vertical="center"/>
      <protection hidden="1"/>
    </xf>
    <xf numFmtId="0" fontId="48" fillId="0" borderId="399" xfId="0" applyFont="1" applyBorder="1" applyAlignment="1" applyProtection="1">
      <alignment horizontal="center" vertical="center"/>
      <protection hidden="1"/>
    </xf>
    <xf numFmtId="0" fontId="47" fillId="0" borderId="371" xfId="0" applyFont="1" applyBorder="1" applyAlignment="1" applyProtection="1">
      <alignment horizontal="center" vertical="center" wrapText="1"/>
      <protection hidden="1"/>
    </xf>
    <xf numFmtId="0" fontId="47" fillId="0" borderId="0" xfId="0" applyFont="1" applyAlignment="1" applyProtection="1">
      <alignment horizontal="center" vertical="center" wrapText="1"/>
      <protection hidden="1"/>
    </xf>
    <xf numFmtId="0" fontId="47" fillId="0" borderId="236" xfId="0" applyFont="1" applyBorder="1" applyAlignment="1" applyProtection="1">
      <alignment horizontal="center" vertical="center" wrapText="1"/>
      <protection hidden="1"/>
    </xf>
    <xf numFmtId="191" fontId="47" fillId="18" borderId="371" xfId="0" applyNumberFormat="1" applyFont="1" applyFill="1" applyBorder="1" applyAlignment="1" applyProtection="1">
      <alignment horizontal="center" vertical="center"/>
      <protection hidden="1"/>
    </xf>
    <xf numFmtId="191" fontId="47" fillId="18" borderId="0" xfId="0" applyNumberFormat="1" applyFont="1" applyFill="1" applyAlignment="1" applyProtection="1">
      <alignment horizontal="center" vertical="center"/>
      <protection hidden="1"/>
    </xf>
    <xf numFmtId="191" fontId="47" fillId="18" borderId="390" xfId="0" applyNumberFormat="1" applyFont="1" applyFill="1" applyBorder="1" applyAlignment="1" applyProtection="1">
      <alignment horizontal="center" vertical="center"/>
      <protection hidden="1"/>
    </xf>
    <xf numFmtId="191" fontId="47" fillId="18" borderId="396" xfId="0" applyNumberFormat="1" applyFont="1" applyFill="1" applyBorder="1" applyAlignment="1" applyProtection="1">
      <alignment horizontal="center" vertical="center"/>
      <protection hidden="1"/>
    </xf>
    <xf numFmtId="191" fontId="47" fillId="18" borderId="255" xfId="0" applyNumberFormat="1" applyFont="1" applyFill="1" applyBorder="1" applyAlignment="1" applyProtection="1">
      <alignment horizontal="center" vertical="center"/>
      <protection hidden="1"/>
    </xf>
    <xf numFmtId="191" fontId="47" fillId="18" borderId="397" xfId="0" applyNumberFormat="1" applyFont="1" applyFill="1" applyBorder="1" applyAlignment="1" applyProtection="1">
      <alignment horizontal="center" vertical="center"/>
      <protection hidden="1"/>
    </xf>
    <xf numFmtId="191" fontId="48" fillId="18" borderId="394" xfId="0" applyNumberFormat="1" applyFont="1" applyFill="1" applyBorder="1" applyAlignment="1" applyProtection="1">
      <alignment horizontal="center" vertical="center"/>
      <protection hidden="1"/>
    </xf>
    <xf numFmtId="191" fontId="48" fillId="18" borderId="267" xfId="0" applyNumberFormat="1" applyFont="1" applyFill="1" applyBorder="1" applyAlignment="1" applyProtection="1">
      <alignment horizontal="center" vertical="center"/>
      <protection hidden="1"/>
    </xf>
    <xf numFmtId="191" fontId="48" fillId="18" borderId="395" xfId="0" applyNumberFormat="1" applyFont="1" applyFill="1" applyBorder="1" applyAlignment="1" applyProtection="1">
      <alignment horizontal="center" vertical="center"/>
      <protection hidden="1"/>
    </xf>
    <xf numFmtId="0" fontId="47" fillId="18" borderId="163" xfId="0" applyFont="1" applyFill="1" applyBorder="1" applyAlignment="1" applyProtection="1">
      <alignment horizontal="center" vertical="center" wrapText="1"/>
      <protection hidden="1"/>
    </xf>
    <xf numFmtId="0" fontId="47" fillId="18" borderId="164" xfId="0" applyFont="1" applyFill="1" applyBorder="1" applyAlignment="1" applyProtection="1">
      <alignment horizontal="center" vertical="center" wrapText="1"/>
      <protection hidden="1"/>
    </xf>
    <xf numFmtId="0" fontId="47" fillId="18" borderId="165" xfId="0" applyFont="1" applyFill="1" applyBorder="1" applyAlignment="1" applyProtection="1">
      <alignment horizontal="center" vertical="center" wrapText="1"/>
      <protection hidden="1"/>
    </xf>
    <xf numFmtId="168" fontId="8" fillId="15" borderId="57" xfId="1" applyNumberFormat="1" applyFont="1" applyFill="1" applyBorder="1" applyAlignment="1" applyProtection="1">
      <alignment horizontal="center" vertical="center"/>
      <protection hidden="1"/>
    </xf>
    <xf numFmtId="175" fontId="8" fillId="15" borderId="54" xfId="0" applyNumberFormat="1" applyFont="1" applyFill="1" applyBorder="1" applyAlignment="1" applyProtection="1">
      <alignment horizontal="center" vertical="center"/>
      <protection hidden="1"/>
    </xf>
    <xf numFmtId="176" fontId="33" fillId="4" borderId="46" xfId="0" applyNumberFormat="1" applyFont="1" applyFill="1" applyBorder="1" applyAlignment="1" applyProtection="1">
      <alignment horizontal="center" vertical="center"/>
      <protection hidden="1"/>
    </xf>
    <xf numFmtId="168" fontId="32" fillId="3" borderId="50" xfId="1" applyNumberFormat="1" applyFont="1" applyFill="1" applyBorder="1" applyAlignment="1" applyProtection="1">
      <alignment horizontal="right" vertical="center"/>
      <protection hidden="1"/>
    </xf>
    <xf numFmtId="196" fontId="8" fillId="15" borderId="57" xfId="0" applyNumberFormat="1" applyFont="1" applyFill="1" applyBorder="1" applyAlignment="1" applyProtection="1">
      <alignment horizontal="center" vertical="center"/>
      <protection hidden="1"/>
    </xf>
    <xf numFmtId="168" fontId="8" fillId="15" borderId="54" xfId="1" applyNumberFormat="1" applyFont="1" applyFill="1" applyBorder="1" applyAlignment="1" applyProtection="1">
      <alignment horizontal="center" vertical="center"/>
      <protection hidden="1"/>
    </xf>
    <xf numFmtId="176" fontId="33" fillId="4" borderId="46" xfId="0" applyNumberFormat="1" applyFont="1" applyFill="1" applyBorder="1" applyAlignment="1" applyProtection="1">
      <alignment horizontal="right" vertical="center"/>
      <protection hidden="1"/>
    </xf>
    <xf numFmtId="176" fontId="33" fillId="4" borderId="432" xfId="0" applyNumberFormat="1" applyFont="1" applyFill="1" applyBorder="1" applyAlignment="1" applyProtection="1">
      <alignment horizontal="right" vertical="center"/>
      <protection hidden="1"/>
    </xf>
    <xf numFmtId="177" fontId="32" fillId="3" borderId="0" xfId="0" applyNumberFormat="1" applyFont="1" applyFill="1" applyAlignment="1" applyProtection="1">
      <alignment horizontal="right" vertical="center"/>
      <protection hidden="1"/>
    </xf>
    <xf numFmtId="176" fontId="33" fillId="4" borderId="50" xfId="0" applyNumberFormat="1" applyFont="1" applyFill="1" applyBorder="1" applyAlignment="1" applyProtection="1">
      <alignment horizontal="right" vertical="center"/>
      <protection hidden="1"/>
    </xf>
    <xf numFmtId="176" fontId="33" fillId="4" borderId="52" xfId="0" applyNumberFormat="1" applyFont="1" applyFill="1" applyBorder="1" applyAlignment="1" applyProtection="1">
      <alignment horizontal="right" vertical="center"/>
      <protection hidden="1"/>
    </xf>
    <xf numFmtId="176" fontId="33" fillId="4" borderId="431" xfId="0" applyNumberFormat="1" applyFont="1" applyFill="1" applyBorder="1" applyAlignment="1" applyProtection="1">
      <alignment horizontal="right" vertical="center"/>
      <protection hidden="1"/>
    </xf>
    <xf numFmtId="176" fontId="33" fillId="4" borderId="51" xfId="0" applyNumberFormat="1" applyFont="1" applyFill="1" applyBorder="1" applyAlignment="1" applyProtection="1">
      <alignment horizontal="right" vertical="center"/>
      <protection hidden="1"/>
    </xf>
    <xf numFmtId="176" fontId="32" fillId="3" borderId="0" xfId="0" applyNumberFormat="1" applyFont="1" applyFill="1" applyAlignment="1" applyProtection="1">
      <alignment horizontal="right" vertical="center"/>
      <protection hidden="1"/>
    </xf>
    <xf numFmtId="176" fontId="32" fillId="3" borderId="46" xfId="0" applyNumberFormat="1" applyFont="1" applyFill="1" applyBorder="1" applyAlignment="1" applyProtection="1">
      <alignment horizontal="right" vertical="center"/>
      <protection hidden="1"/>
    </xf>
    <xf numFmtId="175" fontId="32" fillId="3" borderId="50" xfId="0" applyNumberFormat="1" applyFont="1" applyFill="1" applyBorder="1" applyAlignment="1" applyProtection="1">
      <alignment horizontal="right" vertical="center"/>
      <protection hidden="1"/>
    </xf>
    <xf numFmtId="171" fontId="32" fillId="6" borderId="6" xfId="2" applyNumberFormat="1" applyFont="1" applyFill="1" applyBorder="1" applyAlignment="1" applyProtection="1">
      <alignment horizontal="center" vertical="center"/>
      <protection hidden="1"/>
    </xf>
    <xf numFmtId="176" fontId="32" fillId="3" borderId="50" xfId="0" applyNumberFormat="1" applyFont="1" applyFill="1" applyBorder="1" applyAlignment="1" applyProtection="1">
      <alignment horizontal="right" vertical="center"/>
      <protection hidden="1"/>
    </xf>
    <xf numFmtId="0" fontId="122" fillId="3" borderId="246" xfId="0" applyFont="1" applyFill="1" applyBorder="1" applyAlignment="1" applyProtection="1">
      <alignment horizontal="center" vertical="center"/>
      <protection hidden="1"/>
    </xf>
    <xf numFmtId="0" fontId="122" fillId="3" borderId="247" xfId="0" applyFont="1" applyFill="1" applyBorder="1" applyAlignment="1" applyProtection="1">
      <alignment horizontal="center" vertical="center"/>
      <protection hidden="1"/>
    </xf>
    <xf numFmtId="0" fontId="122" fillId="3" borderId="244" xfId="0" applyFont="1" applyFill="1" applyBorder="1" applyAlignment="1" applyProtection="1">
      <alignment horizontal="center" vertical="center"/>
      <protection hidden="1"/>
    </xf>
    <xf numFmtId="0" fontId="122" fillId="3" borderId="250" xfId="0" applyFont="1" applyFill="1" applyBorder="1" applyAlignment="1" applyProtection="1">
      <alignment horizontal="center" vertical="center"/>
      <protection hidden="1"/>
    </xf>
    <xf numFmtId="0" fontId="33" fillId="4" borderId="0" xfId="0" applyFont="1" applyFill="1" applyAlignment="1" applyProtection="1">
      <alignment horizontal="left" vertical="center"/>
      <protection hidden="1"/>
    </xf>
    <xf numFmtId="0" fontId="32" fillId="15" borderId="53" xfId="0" applyFont="1" applyFill="1" applyBorder="1" applyAlignment="1" applyProtection="1">
      <alignment horizontal="center" vertical="center"/>
      <protection hidden="1"/>
    </xf>
    <xf numFmtId="0" fontId="32" fillId="15" borderId="54" xfId="0" applyFont="1" applyFill="1" applyBorder="1" applyAlignment="1" applyProtection="1">
      <alignment horizontal="center" vertical="center"/>
      <protection hidden="1"/>
    </xf>
    <xf numFmtId="0" fontId="32" fillId="15" borderId="56" xfId="0" applyFont="1" applyFill="1" applyBorder="1" applyAlignment="1" applyProtection="1">
      <alignment horizontal="center" vertical="center"/>
      <protection hidden="1"/>
    </xf>
    <xf numFmtId="0" fontId="32" fillId="15" borderId="57" xfId="0" applyFont="1" applyFill="1" applyBorder="1" applyAlignment="1" applyProtection="1">
      <alignment horizontal="center" vertical="center"/>
      <protection hidden="1"/>
    </xf>
    <xf numFmtId="14" fontId="74" fillId="4" borderId="266" xfId="0" applyNumberFormat="1" applyFont="1" applyFill="1" applyBorder="1" applyAlignment="1" applyProtection="1">
      <alignment horizontal="left" indent="1"/>
      <protection hidden="1"/>
    </xf>
    <xf numFmtId="0" fontId="32" fillId="3" borderId="0" xfId="0" applyFont="1" applyFill="1" applyAlignment="1" applyProtection="1">
      <alignment horizontal="left" vertical="center"/>
      <protection hidden="1"/>
    </xf>
    <xf numFmtId="0" fontId="32" fillId="3"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168" fontId="60" fillId="4" borderId="0" xfId="1" applyNumberFormat="1" applyFont="1" applyFill="1" applyAlignment="1" applyProtection="1">
      <alignment horizontal="right"/>
      <protection hidden="1"/>
    </xf>
    <xf numFmtId="175" fontId="8" fillId="15" borderId="57" xfId="0" applyNumberFormat="1" applyFont="1" applyFill="1" applyBorder="1" applyAlignment="1" applyProtection="1">
      <alignment horizontal="center" vertical="center"/>
      <protection hidden="1"/>
    </xf>
    <xf numFmtId="190" fontId="8" fillId="15" borderId="57" xfId="1" applyNumberFormat="1" applyFont="1" applyFill="1" applyBorder="1" applyAlignment="1" applyProtection="1">
      <alignment horizontal="center" vertical="center"/>
      <protection hidden="1"/>
    </xf>
    <xf numFmtId="193" fontId="8" fillId="15" borderId="54" xfId="0" applyNumberFormat="1" applyFont="1" applyFill="1" applyBorder="1" applyAlignment="1" applyProtection="1">
      <alignment horizontal="center" vertical="center"/>
      <protection hidden="1"/>
    </xf>
    <xf numFmtId="176" fontId="32" fillId="19" borderId="50" xfId="0" applyNumberFormat="1" applyFont="1" applyFill="1" applyBorder="1" applyAlignment="1" applyProtection="1">
      <alignment horizontal="right" vertical="center"/>
      <protection hidden="1"/>
    </xf>
    <xf numFmtId="225" fontId="128" fillId="5" borderId="479" xfId="0" applyNumberFormat="1" applyFont="1" applyFill="1" applyBorder="1" applyAlignment="1" applyProtection="1">
      <alignment horizontal="center" vertical="center"/>
      <protection hidden="1"/>
    </xf>
    <xf numFmtId="225" fontId="128" fillId="4" borderId="479" xfId="0" applyNumberFormat="1" applyFont="1" applyFill="1" applyBorder="1" applyAlignment="1" applyProtection="1">
      <alignment horizontal="center" vertical="center"/>
      <protection hidden="1"/>
    </xf>
    <xf numFmtId="171" fontId="32" fillId="6" borderId="6" xfId="2" applyNumberFormat="1" applyFont="1" applyFill="1" applyBorder="1" applyAlignment="1" applyProtection="1">
      <alignment horizontal="right" vertical="center"/>
      <protection hidden="1"/>
    </xf>
    <xf numFmtId="176" fontId="33" fillId="4" borderId="0" xfId="0" applyNumberFormat="1" applyFont="1" applyFill="1" applyAlignment="1" applyProtection="1">
      <alignment horizontal="right" vertical="center"/>
      <protection hidden="1"/>
    </xf>
    <xf numFmtId="168" fontId="33" fillId="4" borderId="0" xfId="1" applyNumberFormat="1" applyFont="1" applyFill="1" applyBorder="1" applyAlignment="1" applyProtection="1">
      <alignment horizontal="center" vertical="center"/>
      <protection hidden="1"/>
    </xf>
    <xf numFmtId="0" fontId="63" fillId="35" borderId="238" xfId="0" applyFont="1" applyFill="1" applyBorder="1" applyAlignment="1" applyProtection="1">
      <alignment horizontal="center" vertical="center"/>
      <protection hidden="1"/>
    </xf>
    <xf numFmtId="0" fontId="63" fillId="35" borderId="239" xfId="0" applyFont="1" applyFill="1" applyBorder="1" applyAlignment="1" applyProtection="1">
      <alignment horizontal="center" vertical="center"/>
      <protection hidden="1"/>
    </xf>
    <xf numFmtId="0" fontId="63" fillId="35" borderId="408" xfId="0" applyFont="1" applyFill="1" applyBorder="1" applyAlignment="1" applyProtection="1">
      <alignment horizontal="center" vertical="center"/>
      <protection hidden="1"/>
    </xf>
    <xf numFmtId="168" fontId="33" fillId="4" borderId="231" xfId="1" applyNumberFormat="1" applyFont="1" applyFill="1" applyBorder="1" applyAlignment="1" applyProtection="1">
      <alignment horizontal="center" vertical="center"/>
      <protection hidden="1"/>
    </xf>
    <xf numFmtId="175" fontId="32" fillId="3" borderId="0" xfId="0" applyNumberFormat="1" applyFont="1" applyFill="1" applyAlignment="1" applyProtection="1">
      <alignment horizontal="center" vertical="center"/>
      <protection hidden="1"/>
    </xf>
    <xf numFmtId="175" fontId="33" fillId="4" borderId="239" xfId="0" applyNumberFormat="1" applyFont="1" applyFill="1" applyBorder="1" applyAlignment="1" applyProtection="1">
      <alignment horizontal="center" vertical="center"/>
      <protection hidden="1"/>
    </xf>
    <xf numFmtId="175" fontId="33" fillId="4" borderId="231" xfId="0" applyNumberFormat="1" applyFont="1" applyFill="1" applyBorder="1" applyAlignment="1" applyProtection="1">
      <alignment horizontal="center" vertical="center"/>
      <protection hidden="1"/>
    </xf>
    <xf numFmtId="0" fontId="33" fillId="4" borderId="231" xfId="0" applyFont="1" applyFill="1" applyBorder="1" applyAlignment="1" applyProtection="1">
      <alignment horizontal="left" vertical="center"/>
      <protection hidden="1"/>
    </xf>
    <xf numFmtId="175" fontId="33" fillId="4" borderId="0" xfId="0" applyNumberFormat="1" applyFont="1" applyFill="1" applyAlignment="1" applyProtection="1">
      <alignment horizontal="center" vertical="center"/>
      <protection hidden="1"/>
    </xf>
    <xf numFmtId="168" fontId="32" fillId="3" borderId="0" xfId="1" applyNumberFormat="1" applyFont="1" applyFill="1" applyAlignment="1" applyProtection="1">
      <alignment horizontal="center" vertical="center"/>
      <protection hidden="1"/>
    </xf>
    <xf numFmtId="212" fontId="56" fillId="5" borderId="352" xfId="0" applyNumberFormat="1" applyFont="1" applyFill="1" applyBorder="1" applyAlignment="1" applyProtection="1">
      <alignment horizontal="right" vertical="center"/>
      <protection hidden="1"/>
    </xf>
    <xf numFmtId="212" fontId="8" fillId="3" borderId="247" xfId="0" applyNumberFormat="1" applyFont="1" applyFill="1" applyBorder="1" applyAlignment="1" applyProtection="1">
      <alignment horizontal="right" vertical="center"/>
      <protection hidden="1"/>
    </xf>
    <xf numFmtId="212" fontId="8" fillId="4" borderId="0" xfId="0" applyNumberFormat="1" applyFont="1" applyFill="1" applyAlignment="1" applyProtection="1">
      <alignment horizontal="right" vertical="center"/>
      <protection hidden="1"/>
    </xf>
    <xf numFmtId="212" fontId="8" fillId="3" borderId="0" xfId="0" applyNumberFormat="1" applyFont="1" applyFill="1" applyAlignment="1" applyProtection="1">
      <alignment horizontal="right" vertical="center"/>
      <protection hidden="1"/>
    </xf>
    <xf numFmtId="212" fontId="8" fillId="3" borderId="66" xfId="0" applyNumberFormat="1" applyFont="1" applyFill="1" applyBorder="1" applyAlignment="1" applyProtection="1">
      <alignment horizontal="right" vertical="center"/>
      <protection hidden="1"/>
    </xf>
    <xf numFmtId="1" fontId="5" fillId="5" borderId="66" xfId="2" applyNumberFormat="1" applyFont="1" applyFill="1" applyBorder="1" applyAlignment="1" applyProtection="1">
      <alignment horizontal="right" vertical="center"/>
      <protection hidden="1"/>
    </xf>
    <xf numFmtId="1" fontId="8" fillId="4" borderId="0" xfId="0" applyNumberFormat="1" applyFont="1" applyFill="1" applyAlignment="1" applyProtection="1">
      <alignment horizontal="right" vertical="center"/>
      <protection hidden="1"/>
    </xf>
    <xf numFmtId="176" fontId="5" fillId="3" borderId="0" xfId="0" applyNumberFormat="1" applyFont="1" applyFill="1" applyAlignment="1" applyProtection="1">
      <alignment horizontal="right" vertical="center"/>
      <protection hidden="1"/>
    </xf>
    <xf numFmtId="168" fontId="21" fillId="4" borderId="0" xfId="1" applyNumberFormat="1" applyFont="1" applyFill="1" applyBorder="1" applyAlignment="1" applyProtection="1">
      <alignment horizontal="right" vertical="center"/>
      <protection hidden="1"/>
    </xf>
    <xf numFmtId="176" fontId="8" fillId="4" borderId="0" xfId="0" applyNumberFormat="1" applyFont="1" applyFill="1" applyAlignment="1" applyProtection="1">
      <alignment horizontal="right" vertical="center"/>
      <protection hidden="1"/>
    </xf>
    <xf numFmtId="1" fontId="21" fillId="4" borderId="0" xfId="0" applyNumberFormat="1" applyFont="1" applyFill="1" applyAlignment="1" applyProtection="1">
      <alignment horizontal="right" vertical="center"/>
      <protection hidden="1"/>
    </xf>
    <xf numFmtId="176" fontId="5" fillId="3" borderId="247" xfId="0" applyNumberFormat="1" applyFont="1" applyFill="1" applyBorder="1" applyAlignment="1" applyProtection="1">
      <alignment horizontal="right" vertical="center"/>
      <protection hidden="1"/>
    </xf>
    <xf numFmtId="176" fontId="8" fillId="3" borderId="250" xfId="1" applyNumberFormat="1" applyFont="1" applyFill="1" applyBorder="1" applyAlignment="1" applyProtection="1">
      <alignment horizontal="right" vertical="center"/>
      <protection hidden="1"/>
    </xf>
    <xf numFmtId="168" fontId="8" fillId="3" borderId="14" xfId="1" applyNumberFormat="1" applyFont="1" applyFill="1" applyBorder="1" applyAlignment="1" applyProtection="1">
      <alignment horizontal="right" vertical="center"/>
      <protection hidden="1"/>
    </xf>
    <xf numFmtId="176" fontId="8" fillId="3" borderId="247" xfId="0" applyNumberFormat="1" applyFont="1" applyFill="1" applyBorder="1" applyAlignment="1" applyProtection="1">
      <alignment horizontal="right" vertical="center"/>
      <protection hidden="1"/>
    </xf>
    <xf numFmtId="168" fontId="8" fillId="3" borderId="0" xfId="1" applyNumberFormat="1" applyFont="1" applyFill="1" applyBorder="1" applyAlignment="1" applyProtection="1">
      <alignment horizontal="right" vertical="center"/>
      <protection hidden="1"/>
    </xf>
    <xf numFmtId="177" fontId="8" fillId="3" borderId="0" xfId="0" applyNumberFormat="1" applyFont="1" applyFill="1" applyAlignment="1" applyProtection="1">
      <alignment horizontal="right" vertical="center"/>
      <protection hidden="1"/>
    </xf>
    <xf numFmtId="168" fontId="8" fillId="3" borderId="250" xfId="1" applyNumberFormat="1" applyFont="1" applyFill="1" applyBorder="1" applyAlignment="1" applyProtection="1">
      <alignment horizontal="right" vertical="center"/>
      <protection hidden="1"/>
    </xf>
    <xf numFmtId="168" fontId="18" fillId="35" borderId="250" xfId="1" applyNumberFormat="1" applyFont="1" applyFill="1" applyBorder="1" applyAlignment="1" applyProtection="1">
      <alignment horizontal="right" vertical="center"/>
      <protection hidden="1"/>
    </xf>
    <xf numFmtId="176" fontId="12" fillId="4" borderId="247" xfId="0" applyNumberFormat="1" applyFont="1" applyFill="1" applyBorder="1" applyAlignment="1" applyProtection="1">
      <alignment horizontal="right" vertical="center"/>
      <protection hidden="1"/>
    </xf>
    <xf numFmtId="168" fontId="8" fillId="3" borderId="16" xfId="1" applyNumberFormat="1" applyFont="1" applyFill="1" applyBorder="1" applyAlignment="1" applyProtection="1">
      <alignment horizontal="right" vertical="center"/>
      <protection hidden="1"/>
    </xf>
    <xf numFmtId="176" fontId="8" fillId="3" borderId="0" xfId="0" applyNumberFormat="1" applyFont="1" applyFill="1" applyAlignment="1" applyProtection="1">
      <alignment horizontal="right" vertical="center"/>
      <protection hidden="1"/>
    </xf>
    <xf numFmtId="176" fontId="26" fillId="35" borderId="0" xfId="0" applyNumberFormat="1" applyFont="1" applyFill="1" applyAlignment="1" applyProtection="1">
      <alignment horizontal="right" vertical="center"/>
      <protection hidden="1"/>
    </xf>
    <xf numFmtId="1" fontId="5" fillId="5" borderId="391" xfId="2" applyNumberFormat="1" applyFont="1" applyFill="1" applyBorder="1" applyAlignment="1" applyProtection="1">
      <alignment horizontal="center" vertical="center"/>
      <protection hidden="1"/>
    </xf>
    <xf numFmtId="1" fontId="5" fillId="5" borderId="392" xfId="2" applyNumberFormat="1" applyFont="1" applyFill="1" applyBorder="1" applyAlignment="1" applyProtection="1">
      <alignment horizontal="center" vertical="center"/>
      <protection hidden="1"/>
    </xf>
    <xf numFmtId="1" fontId="5" fillId="5" borderId="393" xfId="2" applyNumberFormat="1" applyFont="1" applyFill="1" applyBorder="1" applyAlignment="1" applyProtection="1">
      <alignment horizontal="center" vertical="center"/>
      <protection hidden="1"/>
    </xf>
    <xf numFmtId="1" fontId="8" fillId="4" borderId="374" xfId="0" applyNumberFormat="1" applyFont="1" applyFill="1" applyBorder="1" applyAlignment="1" applyProtection="1">
      <alignment horizontal="center" vertical="center"/>
      <protection hidden="1"/>
    </xf>
    <xf numFmtId="1" fontId="8" fillId="4" borderId="0" xfId="0" applyNumberFormat="1" applyFont="1" applyFill="1" applyAlignment="1" applyProtection="1">
      <alignment horizontal="center" vertical="center"/>
      <protection hidden="1"/>
    </xf>
    <xf numFmtId="1" fontId="8" fillId="4" borderId="375" xfId="0" applyNumberFormat="1" applyFont="1" applyFill="1" applyBorder="1" applyAlignment="1" applyProtection="1">
      <alignment horizontal="center" vertical="center"/>
      <protection hidden="1"/>
    </xf>
    <xf numFmtId="176" fontId="5" fillId="3" borderId="374" xfId="0" applyNumberFormat="1" applyFont="1" applyFill="1" applyBorder="1" applyAlignment="1" applyProtection="1">
      <alignment horizontal="center" vertical="center"/>
      <protection hidden="1"/>
    </xf>
    <xf numFmtId="176" fontId="5" fillId="3" borderId="0" xfId="0" applyNumberFormat="1" applyFont="1" applyFill="1" applyAlignment="1" applyProtection="1">
      <alignment horizontal="center" vertical="center"/>
      <protection hidden="1"/>
    </xf>
    <xf numFmtId="176" fontId="5" fillId="3" borderId="375" xfId="0" applyNumberFormat="1" applyFont="1" applyFill="1" applyBorder="1" applyAlignment="1" applyProtection="1">
      <alignment horizontal="center" vertical="center"/>
      <protection hidden="1"/>
    </xf>
    <xf numFmtId="168" fontId="21" fillId="4" borderId="374" xfId="1" applyNumberFormat="1" applyFont="1" applyFill="1" applyBorder="1" applyAlignment="1" applyProtection="1">
      <alignment horizontal="center" vertical="center"/>
      <protection hidden="1"/>
    </xf>
    <xf numFmtId="168" fontId="21" fillId="4" borderId="0" xfId="1" applyNumberFormat="1" applyFont="1" applyFill="1" applyBorder="1" applyAlignment="1" applyProtection="1">
      <alignment horizontal="center" vertical="center"/>
      <protection hidden="1"/>
    </xf>
    <xf numFmtId="168" fontId="21" fillId="4" borderId="375" xfId="1" applyNumberFormat="1" applyFont="1" applyFill="1" applyBorder="1" applyAlignment="1" applyProtection="1">
      <alignment horizontal="center" vertical="center"/>
      <protection hidden="1"/>
    </xf>
    <xf numFmtId="176" fontId="8" fillId="4" borderId="374" xfId="0" applyNumberFormat="1" applyFont="1" applyFill="1" applyBorder="1" applyAlignment="1" applyProtection="1">
      <alignment horizontal="center" vertical="center"/>
      <protection hidden="1"/>
    </xf>
    <xf numFmtId="176" fontId="8" fillId="4" borderId="0" xfId="0" applyNumberFormat="1" applyFont="1" applyFill="1" applyAlignment="1" applyProtection="1">
      <alignment horizontal="center" vertical="center"/>
      <protection hidden="1"/>
    </xf>
    <xf numFmtId="176" fontId="8" fillId="4" borderId="375" xfId="0" applyNumberFormat="1" applyFont="1" applyFill="1" applyBorder="1" applyAlignment="1" applyProtection="1">
      <alignment horizontal="center" vertical="center"/>
      <protection hidden="1"/>
    </xf>
    <xf numFmtId="176" fontId="26" fillId="35" borderId="374" xfId="0" applyNumberFormat="1" applyFont="1" applyFill="1" applyBorder="1" applyAlignment="1" applyProtection="1">
      <alignment horizontal="center" vertical="center"/>
      <protection hidden="1"/>
    </xf>
    <xf numFmtId="176" fontId="26" fillId="35" borderId="0" xfId="0" applyNumberFormat="1" applyFont="1" applyFill="1" applyAlignment="1" applyProtection="1">
      <alignment horizontal="center" vertical="center"/>
      <protection hidden="1"/>
    </xf>
    <xf numFmtId="176" fontId="26" fillId="35" borderId="375" xfId="0" applyNumberFormat="1" applyFont="1" applyFill="1" applyBorder="1" applyAlignment="1" applyProtection="1">
      <alignment horizontal="center" vertical="center"/>
      <protection hidden="1"/>
    </xf>
    <xf numFmtId="168" fontId="18" fillId="35" borderId="378" xfId="1" applyNumberFormat="1" applyFont="1" applyFill="1" applyBorder="1" applyAlignment="1" applyProtection="1">
      <alignment horizontal="center" vertical="center"/>
      <protection hidden="1"/>
    </xf>
    <xf numFmtId="168" fontId="18" fillId="35" borderId="250" xfId="1" applyNumberFormat="1" applyFont="1" applyFill="1" applyBorder="1" applyAlignment="1" applyProtection="1">
      <alignment horizontal="center" vertical="center"/>
      <protection hidden="1"/>
    </xf>
    <xf numFmtId="168" fontId="18" fillId="35" borderId="379" xfId="1" applyNumberFormat="1" applyFont="1" applyFill="1" applyBorder="1" applyAlignment="1" applyProtection="1">
      <alignment horizontal="center" vertical="center"/>
      <protection hidden="1"/>
    </xf>
    <xf numFmtId="176" fontId="12" fillId="4" borderId="387" xfId="0" applyNumberFormat="1" applyFont="1" applyFill="1" applyBorder="1" applyAlignment="1" applyProtection="1">
      <alignment horizontal="center" vertical="center"/>
      <protection hidden="1"/>
    </xf>
    <xf numFmtId="176" fontId="12" fillId="4" borderId="388" xfId="0" applyNumberFormat="1" applyFont="1" applyFill="1" applyBorder="1" applyAlignment="1" applyProtection="1">
      <alignment horizontal="center" vertical="center"/>
      <protection hidden="1"/>
    </xf>
    <xf numFmtId="176" fontId="12" fillId="4" borderId="389" xfId="0" applyNumberFormat="1" applyFont="1" applyFill="1" applyBorder="1" applyAlignment="1" applyProtection="1">
      <alignment horizontal="center" vertical="center"/>
      <protection hidden="1"/>
    </xf>
    <xf numFmtId="168" fontId="8" fillId="3" borderId="383" xfId="1" applyNumberFormat="1" applyFont="1" applyFill="1" applyBorder="1" applyAlignment="1" applyProtection="1">
      <alignment horizontal="center" vertical="center"/>
      <protection hidden="1"/>
    </xf>
    <xf numFmtId="168" fontId="8" fillId="3" borderId="14" xfId="1" applyNumberFormat="1" applyFont="1" applyFill="1" applyBorder="1" applyAlignment="1" applyProtection="1">
      <alignment horizontal="center" vertical="center"/>
      <protection hidden="1"/>
    </xf>
    <xf numFmtId="168" fontId="8" fillId="3" borderId="384" xfId="1" applyNumberFormat="1" applyFont="1" applyFill="1" applyBorder="1" applyAlignment="1" applyProtection="1">
      <alignment horizontal="center" vertical="center"/>
      <protection hidden="1"/>
    </xf>
    <xf numFmtId="168" fontId="8" fillId="3" borderId="374" xfId="1" applyNumberFormat="1" applyFont="1" applyFill="1" applyBorder="1" applyAlignment="1" applyProtection="1">
      <alignment horizontal="center" vertical="center"/>
      <protection hidden="1"/>
    </xf>
    <xf numFmtId="168" fontId="8" fillId="3" borderId="0" xfId="1" applyNumberFormat="1" applyFont="1" applyFill="1" applyBorder="1" applyAlignment="1" applyProtection="1">
      <alignment horizontal="center" vertical="center"/>
      <protection hidden="1"/>
    </xf>
    <xf numFmtId="168" fontId="8" fillId="3" borderId="375" xfId="1" applyNumberFormat="1" applyFont="1" applyFill="1" applyBorder="1" applyAlignment="1" applyProtection="1">
      <alignment horizontal="center" vertical="center"/>
      <protection hidden="1"/>
    </xf>
    <xf numFmtId="168" fontId="8" fillId="3" borderId="385" xfId="1" applyNumberFormat="1" applyFont="1" applyFill="1" applyBorder="1" applyAlignment="1" applyProtection="1">
      <alignment horizontal="center" vertical="center"/>
      <protection hidden="1"/>
    </xf>
    <xf numFmtId="168" fontId="8" fillId="3" borderId="16" xfId="1" applyNumberFormat="1" applyFont="1" applyFill="1" applyBorder="1" applyAlignment="1" applyProtection="1">
      <alignment horizontal="center" vertical="center"/>
      <protection hidden="1"/>
    </xf>
    <xf numFmtId="168" fontId="8" fillId="3" borderId="386" xfId="1" applyNumberFormat="1" applyFont="1" applyFill="1" applyBorder="1" applyAlignment="1" applyProtection="1">
      <alignment horizontal="center" vertical="center"/>
      <protection hidden="1"/>
    </xf>
    <xf numFmtId="176" fontId="8" fillId="3" borderId="376" xfId="0" applyNumberFormat="1" applyFont="1" applyFill="1" applyBorder="1" applyAlignment="1" applyProtection="1">
      <alignment horizontal="center" vertical="center"/>
      <protection hidden="1"/>
    </xf>
    <xf numFmtId="176" fontId="8" fillId="3" borderId="247" xfId="0" applyNumberFormat="1" applyFont="1" applyFill="1" applyBorder="1" applyAlignment="1" applyProtection="1">
      <alignment horizontal="center" vertical="center"/>
      <protection hidden="1"/>
    </xf>
    <xf numFmtId="176" fontId="8" fillId="3" borderId="377" xfId="0" applyNumberFormat="1" applyFont="1" applyFill="1" applyBorder="1" applyAlignment="1" applyProtection="1">
      <alignment horizontal="center" vertical="center"/>
      <protection hidden="1"/>
    </xf>
    <xf numFmtId="176" fontId="8" fillId="3" borderId="374" xfId="0" applyNumberFormat="1" applyFont="1" applyFill="1" applyBorder="1" applyAlignment="1" applyProtection="1">
      <alignment horizontal="center" vertical="center"/>
      <protection hidden="1"/>
    </xf>
    <xf numFmtId="176" fontId="8" fillId="3" borderId="0" xfId="0" applyNumberFormat="1" applyFont="1" applyFill="1" applyAlignment="1" applyProtection="1">
      <alignment horizontal="center" vertical="center"/>
      <protection hidden="1"/>
    </xf>
    <xf numFmtId="176" fontId="8" fillId="3" borderId="375" xfId="0" applyNumberFormat="1" applyFont="1" applyFill="1" applyBorder="1" applyAlignment="1" applyProtection="1">
      <alignment horizontal="center" vertical="center"/>
      <protection hidden="1"/>
    </xf>
    <xf numFmtId="177" fontId="8" fillId="3" borderId="374" xfId="0" applyNumberFormat="1" applyFont="1" applyFill="1" applyBorder="1" applyAlignment="1" applyProtection="1">
      <alignment horizontal="center" vertical="center"/>
      <protection hidden="1"/>
    </xf>
    <xf numFmtId="177" fontId="8" fillId="3" borderId="0" xfId="0" applyNumberFormat="1" applyFont="1" applyFill="1" applyAlignment="1" applyProtection="1">
      <alignment horizontal="center" vertical="center"/>
      <protection hidden="1"/>
    </xf>
    <xf numFmtId="177" fontId="8" fillId="3" borderId="375" xfId="0" applyNumberFormat="1" applyFont="1" applyFill="1" applyBorder="1" applyAlignment="1" applyProtection="1">
      <alignment horizontal="center" vertical="center"/>
      <protection hidden="1"/>
    </xf>
    <xf numFmtId="168" fontId="8" fillId="3" borderId="380" xfId="1" applyNumberFormat="1" applyFont="1" applyFill="1" applyBorder="1" applyAlignment="1" applyProtection="1">
      <alignment horizontal="center" vertical="center"/>
      <protection hidden="1"/>
    </xf>
    <xf numFmtId="168" fontId="8" fillId="3" borderId="381" xfId="1" applyNumberFormat="1" applyFont="1" applyFill="1" applyBorder="1" applyAlignment="1" applyProtection="1">
      <alignment horizontal="center" vertical="center"/>
      <protection hidden="1"/>
    </xf>
    <xf numFmtId="168" fontId="8" fillId="3" borderId="382" xfId="1" applyNumberFormat="1" applyFont="1" applyFill="1" applyBorder="1" applyAlignment="1" applyProtection="1">
      <alignment horizontal="center" vertical="center"/>
      <protection hidden="1"/>
    </xf>
    <xf numFmtId="176" fontId="5" fillId="3" borderId="376" xfId="0" applyNumberFormat="1" applyFont="1" applyFill="1" applyBorder="1" applyAlignment="1" applyProtection="1">
      <alignment horizontal="center" vertical="center"/>
      <protection hidden="1"/>
    </xf>
    <xf numFmtId="176" fontId="5" fillId="3" borderId="247" xfId="0" applyNumberFormat="1" applyFont="1" applyFill="1" applyBorder="1" applyAlignment="1" applyProtection="1">
      <alignment horizontal="center" vertical="center"/>
      <protection hidden="1"/>
    </xf>
    <xf numFmtId="176" fontId="5" fillId="3" borderId="377" xfId="0" applyNumberFormat="1" applyFont="1" applyFill="1" applyBorder="1" applyAlignment="1" applyProtection="1">
      <alignment horizontal="center" vertical="center"/>
      <protection hidden="1"/>
    </xf>
    <xf numFmtId="176" fontId="8" fillId="3" borderId="378" xfId="1" applyNumberFormat="1" applyFont="1" applyFill="1" applyBorder="1" applyAlignment="1" applyProtection="1">
      <alignment horizontal="center" vertical="center"/>
      <protection hidden="1"/>
    </xf>
    <xf numFmtId="176" fontId="8" fillId="3" borderId="250" xfId="1" applyNumberFormat="1" applyFont="1" applyFill="1" applyBorder="1" applyAlignment="1" applyProtection="1">
      <alignment horizontal="center" vertical="center"/>
      <protection hidden="1"/>
    </xf>
    <xf numFmtId="176" fontId="8" fillId="3" borderId="379" xfId="1" applyNumberFormat="1" applyFont="1" applyFill="1" applyBorder="1" applyAlignment="1" applyProtection="1">
      <alignment horizontal="center" vertical="center"/>
      <protection hidden="1"/>
    </xf>
    <xf numFmtId="212" fontId="8" fillId="3" borderId="250" xfId="0" applyNumberFormat="1" applyFont="1" applyFill="1" applyBorder="1" applyAlignment="1" applyProtection="1">
      <alignment horizontal="center" vertical="center"/>
      <protection hidden="1"/>
    </xf>
    <xf numFmtId="177" fontId="8" fillId="3" borderId="247" xfId="0" applyNumberFormat="1" applyFont="1" applyFill="1" applyBorder="1" applyAlignment="1" applyProtection="1">
      <alignment horizontal="center" vertical="center"/>
      <protection hidden="1"/>
    </xf>
    <xf numFmtId="169" fontId="8" fillId="4" borderId="0" xfId="0" applyNumberFormat="1" applyFont="1" applyFill="1" applyAlignment="1" applyProtection="1">
      <alignment horizontal="center" vertical="center"/>
      <protection hidden="1"/>
    </xf>
    <xf numFmtId="228" fontId="8" fillId="3" borderId="250" xfId="0" applyNumberFormat="1" applyFont="1" applyFill="1" applyBorder="1" applyAlignment="1" applyProtection="1">
      <alignment horizontal="center" vertical="center"/>
      <protection hidden="1"/>
    </xf>
    <xf numFmtId="0" fontId="95" fillId="3" borderId="156" xfId="3" applyNumberFormat="1" applyFont="1" applyFill="1" applyBorder="1" applyAlignment="1" applyProtection="1">
      <alignment horizontal="center" vertical="center"/>
      <protection locked="0"/>
    </xf>
    <xf numFmtId="0" fontId="95" fillId="3" borderId="390" xfId="3" applyNumberFormat="1" applyFont="1" applyFill="1" applyBorder="1" applyAlignment="1" applyProtection="1">
      <alignment horizontal="center" vertical="center"/>
      <protection locked="0"/>
    </xf>
    <xf numFmtId="168" fontId="8" fillId="4" borderId="0" xfId="0" applyNumberFormat="1" applyFont="1" applyFill="1" applyAlignment="1" applyProtection="1">
      <alignment horizontal="center" vertical="center"/>
      <protection hidden="1"/>
    </xf>
    <xf numFmtId="212" fontId="8" fillId="3" borderId="247" xfId="0" applyNumberFormat="1" applyFont="1" applyFill="1" applyBorder="1" applyAlignment="1" applyProtection="1">
      <alignment horizontal="center" vertical="center"/>
      <protection hidden="1"/>
    </xf>
    <xf numFmtId="212" fontId="8" fillId="3" borderId="0" xfId="0" applyNumberFormat="1" applyFont="1" applyFill="1" applyAlignment="1" applyProtection="1">
      <alignment horizontal="center" vertical="center"/>
      <protection hidden="1"/>
    </xf>
    <xf numFmtId="212" fontId="56" fillId="5" borderId="352" xfId="0" applyNumberFormat="1" applyFont="1" applyFill="1" applyBorder="1" applyAlignment="1" applyProtection="1">
      <alignment horizontal="center" vertical="center"/>
      <protection hidden="1"/>
    </xf>
    <xf numFmtId="212" fontId="8" fillId="3" borderId="248" xfId="0" applyNumberFormat="1" applyFont="1" applyFill="1" applyBorder="1" applyAlignment="1" applyProtection="1">
      <alignment horizontal="center" vertical="center"/>
      <protection hidden="1"/>
    </xf>
    <xf numFmtId="212" fontId="8" fillId="4" borderId="243" xfId="0" applyNumberFormat="1" applyFont="1" applyFill="1" applyBorder="1" applyAlignment="1" applyProtection="1">
      <alignment horizontal="center" vertical="center"/>
      <protection hidden="1"/>
    </xf>
    <xf numFmtId="212" fontId="8" fillId="3" borderId="66" xfId="0" applyNumberFormat="1" applyFont="1" applyFill="1" applyBorder="1" applyAlignment="1" applyProtection="1">
      <alignment horizontal="center" vertical="center"/>
      <protection hidden="1"/>
    </xf>
    <xf numFmtId="212" fontId="8" fillId="3" borderId="373" xfId="0" applyNumberFormat="1" applyFont="1" applyFill="1" applyBorder="1" applyAlignment="1" applyProtection="1">
      <alignment horizontal="center" vertical="center"/>
      <protection hidden="1"/>
    </xf>
    <xf numFmtId="212" fontId="56" fillId="5" borderId="353" xfId="0" applyNumberFormat="1" applyFont="1" applyFill="1" applyBorder="1" applyAlignment="1" applyProtection="1">
      <alignment horizontal="center" vertical="center"/>
      <protection hidden="1"/>
    </xf>
    <xf numFmtId="175" fontId="8" fillId="15" borderId="437" xfId="0" applyNumberFormat="1" applyFont="1" applyFill="1" applyBorder="1" applyAlignment="1" applyProtection="1">
      <alignment horizontal="center" vertical="center"/>
      <protection hidden="1"/>
    </xf>
    <xf numFmtId="175" fontId="8" fillId="15" borderId="438" xfId="0" applyNumberFormat="1" applyFont="1" applyFill="1" applyBorder="1" applyAlignment="1" applyProtection="1">
      <alignment horizontal="center" vertical="center"/>
      <protection hidden="1"/>
    </xf>
    <xf numFmtId="168" fontId="8" fillId="15" borderId="440" xfId="1" applyNumberFormat="1" applyFont="1" applyFill="1" applyBorder="1" applyAlignment="1" applyProtection="1">
      <alignment horizontal="center" vertical="center"/>
      <protection hidden="1"/>
    </xf>
    <xf numFmtId="168" fontId="8" fillId="15" borderId="441" xfId="1" applyNumberFormat="1" applyFont="1" applyFill="1" applyBorder="1" applyAlignment="1" applyProtection="1">
      <alignment horizontal="center" vertical="center"/>
      <protection hidden="1"/>
    </xf>
    <xf numFmtId="165" fontId="95" fillId="3" borderId="11" xfId="3" applyNumberFormat="1" applyFont="1" applyFill="1" applyBorder="1" applyAlignment="1" applyProtection="1">
      <alignment horizontal="center" vertical="center"/>
      <protection locked="0"/>
    </xf>
    <xf numFmtId="165" fontId="95" fillId="3" borderId="67" xfId="3" applyNumberFormat="1" applyFont="1" applyFill="1" applyBorder="1" applyAlignment="1" applyProtection="1">
      <alignment horizontal="center" vertical="center"/>
      <protection locked="0"/>
    </xf>
    <xf numFmtId="165" fontId="95" fillId="3" borderId="12" xfId="3" applyNumberFormat="1" applyFont="1" applyFill="1" applyBorder="1" applyAlignment="1" applyProtection="1">
      <alignment horizontal="center" vertical="center"/>
      <protection locked="0"/>
    </xf>
    <xf numFmtId="193" fontId="8" fillId="15" borderId="437" xfId="0" applyNumberFormat="1" applyFont="1" applyFill="1" applyBorder="1" applyAlignment="1" applyProtection="1">
      <alignment horizontal="center" vertical="center"/>
      <protection hidden="1"/>
    </xf>
    <xf numFmtId="190" fontId="8" fillId="15" borderId="440" xfId="1" applyNumberFormat="1" applyFont="1" applyFill="1" applyBorder="1" applyAlignment="1" applyProtection="1">
      <alignment horizontal="center" vertical="center"/>
      <protection hidden="1"/>
    </xf>
    <xf numFmtId="168" fontId="8" fillId="15" borderId="437" xfId="1" applyNumberFormat="1" applyFont="1" applyFill="1" applyBorder="1" applyAlignment="1" applyProtection="1">
      <alignment horizontal="center" vertical="center"/>
      <protection hidden="1"/>
    </xf>
    <xf numFmtId="196" fontId="8" fillId="15" borderId="440" xfId="0" applyNumberFormat="1" applyFont="1" applyFill="1" applyBorder="1" applyAlignment="1" applyProtection="1">
      <alignment horizontal="center" vertical="center"/>
      <protection hidden="1"/>
    </xf>
    <xf numFmtId="175" fontId="33" fillId="3" borderId="86" xfId="0" applyNumberFormat="1" applyFont="1" applyFill="1" applyBorder="1" applyAlignment="1" applyProtection="1">
      <alignment horizontal="center" vertical="center"/>
      <protection hidden="1"/>
    </xf>
    <xf numFmtId="175" fontId="33" fillId="3" borderId="0" xfId="0" applyNumberFormat="1" applyFont="1" applyFill="1" applyAlignment="1" applyProtection="1">
      <alignment horizontal="center" vertical="center"/>
      <protection hidden="1"/>
    </xf>
    <xf numFmtId="175" fontId="33" fillId="3" borderId="52" xfId="0" applyNumberFormat="1" applyFont="1" applyFill="1" applyBorder="1" applyAlignment="1" applyProtection="1">
      <alignment horizontal="center" vertical="center"/>
      <protection hidden="1"/>
    </xf>
    <xf numFmtId="190" fontId="32" fillId="3" borderId="434" xfId="1" applyNumberFormat="1" applyFont="1" applyFill="1" applyBorder="1" applyAlignment="1" applyProtection="1">
      <alignment horizontal="center" vertical="center"/>
      <protection hidden="1"/>
    </xf>
    <xf numFmtId="168" fontId="33" fillId="3" borderId="86" xfId="0" applyNumberFormat="1" applyFont="1" applyFill="1" applyBorder="1" applyAlignment="1" applyProtection="1">
      <alignment horizontal="center" vertical="center"/>
      <protection hidden="1"/>
    </xf>
    <xf numFmtId="168" fontId="33" fillId="3" borderId="0" xfId="0" applyNumberFormat="1" applyFont="1" applyFill="1" applyAlignment="1" applyProtection="1">
      <alignment horizontal="center" vertical="center"/>
      <protection hidden="1"/>
    </xf>
    <xf numFmtId="178" fontId="32" fillId="3" borderId="434" xfId="1" applyNumberFormat="1" applyFont="1" applyFill="1" applyBorder="1" applyAlignment="1" applyProtection="1">
      <alignment horizontal="center" vertical="center"/>
      <protection hidden="1"/>
    </xf>
    <xf numFmtId="168" fontId="33" fillId="3" borderId="52" xfId="0" applyNumberFormat="1" applyFont="1" applyFill="1" applyBorder="1" applyAlignment="1" applyProtection="1">
      <alignment horizontal="center" vertical="center"/>
      <protection hidden="1"/>
    </xf>
    <xf numFmtId="176" fontId="32" fillId="3" borderId="434" xfId="0" applyNumberFormat="1" applyFont="1" applyFill="1" applyBorder="1" applyAlignment="1" applyProtection="1">
      <alignment horizontal="center" vertical="center"/>
      <protection hidden="1"/>
    </xf>
    <xf numFmtId="175" fontId="33" fillId="4" borderId="52" xfId="0" applyNumberFormat="1" applyFont="1" applyFill="1" applyBorder="1" applyAlignment="1" applyProtection="1">
      <alignment horizontal="center" vertical="center"/>
      <protection hidden="1"/>
    </xf>
    <xf numFmtId="168" fontId="33" fillId="4" borderId="52" xfId="0" applyNumberFormat="1" applyFont="1" applyFill="1" applyBorder="1" applyAlignment="1" applyProtection="1">
      <alignment horizontal="center" vertical="center"/>
      <protection hidden="1"/>
    </xf>
    <xf numFmtId="176" fontId="33" fillId="3" borderId="434" xfId="0" applyNumberFormat="1" applyFont="1" applyFill="1" applyBorder="1" applyAlignment="1" applyProtection="1">
      <alignment horizontal="center" vertical="center"/>
      <protection hidden="1"/>
    </xf>
    <xf numFmtId="175" fontId="33" fillId="4" borderId="86" xfId="0" applyNumberFormat="1" applyFont="1" applyFill="1" applyBorder="1" applyAlignment="1" applyProtection="1">
      <alignment horizontal="center" vertical="center"/>
      <protection hidden="1"/>
    </xf>
    <xf numFmtId="168" fontId="33" fillId="4" borderId="86" xfId="0" applyNumberFormat="1" applyFont="1" applyFill="1" applyBorder="1" applyAlignment="1" applyProtection="1">
      <alignment horizontal="center" vertical="center"/>
      <protection hidden="1"/>
    </xf>
    <xf numFmtId="168" fontId="33" fillId="4" borderId="0" xfId="0" applyNumberFormat="1" applyFont="1" applyFill="1" applyAlignment="1" applyProtection="1">
      <alignment horizontal="center" vertical="center"/>
      <protection hidden="1"/>
    </xf>
    <xf numFmtId="190" fontId="33" fillId="3" borderId="434" xfId="1" applyNumberFormat="1" applyFont="1" applyFill="1" applyBorder="1" applyAlignment="1" applyProtection="1">
      <alignment horizontal="center" vertical="center"/>
      <protection hidden="1"/>
    </xf>
    <xf numFmtId="169" fontId="95" fillId="3" borderId="11" xfId="1" applyNumberFormat="1" applyFont="1" applyFill="1" applyBorder="1" applyAlignment="1" applyProtection="1">
      <alignment horizontal="center" vertical="center"/>
      <protection locked="0"/>
    </xf>
    <xf numFmtId="169" fontId="95" fillId="3" borderId="67" xfId="1" applyNumberFormat="1" applyFont="1" applyFill="1" applyBorder="1" applyAlignment="1" applyProtection="1">
      <alignment horizontal="center" vertical="center"/>
      <protection locked="0"/>
    </xf>
    <xf numFmtId="169" fontId="95" fillId="3" borderId="12" xfId="1" applyNumberFormat="1" applyFont="1" applyFill="1" applyBorder="1" applyAlignment="1" applyProtection="1">
      <alignment horizontal="center" vertical="center"/>
      <protection locked="0"/>
    </xf>
    <xf numFmtId="168" fontId="95" fillId="3" borderId="11" xfId="1" applyNumberFormat="1" applyFont="1" applyFill="1" applyBorder="1" applyAlignment="1" applyProtection="1">
      <alignment horizontal="center" vertical="center"/>
      <protection locked="0"/>
    </xf>
    <xf numFmtId="168" fontId="95" fillId="3" borderId="67" xfId="1" applyNumberFormat="1" applyFont="1" applyFill="1" applyBorder="1" applyAlignment="1" applyProtection="1">
      <alignment horizontal="center" vertical="center"/>
      <protection locked="0"/>
    </xf>
    <xf numFmtId="168" fontId="95" fillId="3" borderId="12" xfId="1" applyNumberFormat="1" applyFont="1" applyFill="1" applyBorder="1" applyAlignment="1" applyProtection="1">
      <alignment horizontal="center" vertical="center"/>
      <protection locked="0"/>
    </xf>
    <xf numFmtId="178" fontId="33" fillId="3" borderId="434" xfId="1" applyNumberFormat="1" applyFont="1" applyFill="1" applyBorder="1" applyAlignment="1" applyProtection="1">
      <alignment horizontal="center" vertical="center"/>
      <protection hidden="1"/>
    </xf>
    <xf numFmtId="175" fontId="33" fillId="4" borderId="87" xfId="0" applyNumberFormat="1" applyFont="1" applyFill="1" applyBorder="1" applyAlignment="1" applyProtection="1">
      <alignment horizontal="center" vertical="center"/>
      <protection hidden="1"/>
    </xf>
    <xf numFmtId="175" fontId="33" fillId="4" borderId="85" xfId="0" applyNumberFormat="1" applyFont="1" applyFill="1" applyBorder="1" applyAlignment="1" applyProtection="1">
      <alignment horizontal="center" vertical="center"/>
      <protection hidden="1"/>
    </xf>
    <xf numFmtId="175" fontId="33" fillId="3" borderId="87" xfId="0" applyNumberFormat="1" applyFont="1" applyFill="1" applyBorder="1" applyAlignment="1" applyProtection="1">
      <alignment horizontal="center" vertical="center"/>
      <protection hidden="1"/>
    </xf>
    <xf numFmtId="168" fontId="33" fillId="4" borderId="85" xfId="0" applyNumberFormat="1" applyFont="1" applyFill="1" applyBorder="1" applyAlignment="1" applyProtection="1">
      <alignment horizontal="center" vertical="center"/>
      <protection hidden="1"/>
    </xf>
    <xf numFmtId="168" fontId="33" fillId="4" borderId="87" xfId="0" applyNumberFormat="1" applyFont="1" applyFill="1" applyBorder="1" applyAlignment="1" applyProtection="1">
      <alignment horizontal="center" vertical="center"/>
      <protection hidden="1"/>
    </xf>
    <xf numFmtId="168" fontId="33" fillId="3" borderId="87" xfId="0" applyNumberFormat="1" applyFont="1" applyFill="1" applyBorder="1" applyAlignment="1" applyProtection="1">
      <alignment horizontal="center" vertical="center"/>
      <protection hidden="1"/>
    </xf>
    <xf numFmtId="168" fontId="33" fillId="4" borderId="435" xfId="0" applyNumberFormat="1" applyFont="1" applyFill="1" applyBorder="1" applyAlignment="1" applyProtection="1">
      <alignment horizontal="center" vertical="center"/>
      <protection hidden="1"/>
    </xf>
    <xf numFmtId="172" fontId="33" fillId="3" borderId="0" xfId="1" applyNumberFormat="1" applyFont="1" applyFill="1" applyBorder="1" applyAlignment="1" applyProtection="1">
      <alignment horizontal="center" vertical="center"/>
      <protection hidden="1"/>
    </xf>
    <xf numFmtId="172" fontId="33" fillId="3" borderId="433" xfId="1" applyNumberFormat="1" applyFont="1" applyFill="1" applyBorder="1" applyAlignment="1" applyProtection="1">
      <alignment horizontal="center" vertical="center"/>
      <protection hidden="1"/>
    </xf>
    <xf numFmtId="172" fontId="32" fillId="3" borderId="0" xfId="1" applyNumberFormat="1" applyFont="1" applyFill="1" applyBorder="1" applyAlignment="1" applyProtection="1">
      <alignment horizontal="center" vertical="center"/>
      <protection hidden="1"/>
    </xf>
    <xf numFmtId="172" fontId="32" fillId="3" borderId="433" xfId="1" applyNumberFormat="1" applyFont="1" applyFill="1" applyBorder="1" applyAlignment="1" applyProtection="1">
      <alignment horizontal="center" vertical="center"/>
      <protection hidden="1"/>
    </xf>
    <xf numFmtId="168" fontId="33" fillId="3" borderId="0" xfId="1" applyNumberFormat="1" applyFont="1" applyFill="1" applyBorder="1" applyAlignment="1" applyProtection="1">
      <alignment horizontal="center" vertical="center"/>
      <protection hidden="1"/>
    </xf>
    <xf numFmtId="168" fontId="33" fillId="3" borderId="433" xfId="1" applyNumberFormat="1" applyFont="1" applyFill="1" applyBorder="1" applyAlignment="1" applyProtection="1">
      <alignment horizontal="center" vertical="center"/>
      <protection hidden="1"/>
    </xf>
    <xf numFmtId="168" fontId="32" fillId="3" borderId="0" xfId="1" applyNumberFormat="1" applyFont="1" applyFill="1" applyBorder="1" applyAlignment="1" applyProtection="1">
      <alignment horizontal="center" vertical="center"/>
      <protection hidden="1"/>
    </xf>
    <xf numFmtId="168" fontId="32" fillId="3" borderId="433" xfId="1" applyNumberFormat="1" applyFont="1" applyFill="1" applyBorder="1" applyAlignment="1" applyProtection="1">
      <alignment horizontal="center" vertical="center"/>
      <protection hidden="1"/>
    </xf>
    <xf numFmtId="176" fontId="33" fillId="3" borderId="0" xfId="0" applyNumberFormat="1" applyFont="1" applyFill="1" applyAlignment="1" applyProtection="1">
      <alignment horizontal="center" vertical="center"/>
      <protection hidden="1"/>
    </xf>
    <xf numFmtId="176" fontId="33" fillId="3" borderId="433" xfId="0" applyNumberFormat="1" applyFont="1" applyFill="1" applyBorder="1" applyAlignment="1" applyProtection="1">
      <alignment horizontal="center" vertical="center"/>
      <protection hidden="1"/>
    </xf>
    <xf numFmtId="176" fontId="32" fillId="3" borderId="0" xfId="0" applyNumberFormat="1" applyFont="1" applyFill="1" applyAlignment="1" applyProtection="1">
      <alignment horizontal="center" vertical="center"/>
      <protection hidden="1"/>
    </xf>
    <xf numFmtId="176" fontId="32" fillId="3" borderId="433" xfId="0" applyNumberFormat="1" applyFont="1" applyFill="1" applyBorder="1" applyAlignment="1" applyProtection="1">
      <alignment horizontal="center" vertical="center"/>
      <protection hidden="1"/>
    </xf>
    <xf numFmtId="178" fontId="95" fillId="3" borderId="11" xfId="1" applyNumberFormat="1" applyFont="1" applyFill="1" applyBorder="1" applyAlignment="1" applyProtection="1">
      <alignment horizontal="center" vertical="center"/>
      <protection locked="0"/>
    </xf>
    <xf numFmtId="178" fontId="95" fillId="3" borderId="67" xfId="1" applyNumberFormat="1" applyFont="1" applyFill="1" applyBorder="1" applyAlignment="1" applyProtection="1">
      <alignment horizontal="center" vertical="center"/>
      <protection locked="0"/>
    </xf>
    <xf numFmtId="178" fontId="95" fillId="3" borderId="12" xfId="1" applyNumberFormat="1" applyFont="1" applyFill="1" applyBorder="1" applyAlignment="1" applyProtection="1">
      <alignment horizontal="center" vertical="center"/>
      <protection locked="0"/>
    </xf>
    <xf numFmtId="176" fontId="33" fillId="4" borderId="452" xfId="0" applyNumberFormat="1" applyFont="1" applyFill="1" applyBorder="1" applyAlignment="1" applyProtection="1">
      <alignment horizontal="center" vertical="center"/>
      <protection hidden="1"/>
    </xf>
    <xf numFmtId="176" fontId="33" fillId="4" borderId="247" xfId="0" applyNumberFormat="1" applyFont="1" applyFill="1" applyBorder="1" applyAlignment="1" applyProtection="1">
      <alignment horizontal="center" vertical="center"/>
      <protection hidden="1"/>
    </xf>
    <xf numFmtId="176" fontId="33" fillId="4" borderId="451" xfId="0" applyNumberFormat="1" applyFont="1" applyFill="1" applyBorder="1" applyAlignment="1" applyProtection="1">
      <alignment horizontal="center" vertical="center"/>
      <protection hidden="1"/>
    </xf>
    <xf numFmtId="169" fontId="8" fillId="15" borderId="446" xfId="1" applyNumberFormat="1" applyFont="1" applyFill="1" applyBorder="1" applyAlignment="1" applyProtection="1">
      <alignment horizontal="center" vertical="center"/>
      <protection hidden="1"/>
    </xf>
    <xf numFmtId="175" fontId="8" fillId="15" borderId="443" xfId="0" applyNumberFormat="1" applyFont="1" applyFill="1" applyBorder="1" applyAlignment="1" applyProtection="1">
      <alignment horizontal="center" vertical="center"/>
      <protection hidden="1"/>
    </xf>
    <xf numFmtId="175" fontId="8" fillId="15" borderId="446" xfId="0" applyNumberFormat="1" applyFont="1" applyFill="1" applyBorder="1" applyAlignment="1" applyProtection="1">
      <alignment horizontal="center" vertical="center"/>
      <protection hidden="1"/>
    </xf>
    <xf numFmtId="206" fontId="8" fillId="15" borderId="446" xfId="0" applyNumberFormat="1" applyFont="1" applyFill="1" applyBorder="1" applyAlignment="1" applyProtection="1">
      <alignment horizontal="center" vertical="center"/>
      <protection hidden="1"/>
    </xf>
    <xf numFmtId="168" fontId="8" fillId="15" borderId="443" xfId="1" applyNumberFormat="1" applyFont="1" applyFill="1" applyBorder="1" applyAlignment="1" applyProtection="1">
      <alignment horizontal="center" vertical="center"/>
      <protection hidden="1"/>
    </xf>
    <xf numFmtId="168" fontId="33" fillId="3" borderId="50" xfId="1" applyNumberFormat="1" applyFont="1" applyFill="1" applyBorder="1" applyAlignment="1" applyProtection="1">
      <alignment horizontal="center" vertical="center"/>
      <protection hidden="1"/>
    </xf>
    <xf numFmtId="176" fontId="33" fillId="4" borderId="250" xfId="0" applyNumberFormat="1" applyFont="1" applyFill="1" applyBorder="1" applyAlignment="1" applyProtection="1">
      <alignment horizontal="center" vertical="center"/>
      <protection hidden="1"/>
    </xf>
    <xf numFmtId="168" fontId="32" fillId="3" borderId="50" xfId="1" applyNumberFormat="1" applyFont="1" applyFill="1" applyBorder="1" applyAlignment="1" applyProtection="1">
      <alignment horizontal="center" vertical="center"/>
      <protection hidden="1"/>
    </xf>
    <xf numFmtId="176" fontId="33" fillId="4" borderId="245" xfId="0" applyNumberFormat="1" applyFont="1" applyFill="1" applyBorder="1" applyAlignment="1" applyProtection="1">
      <alignment horizontal="center" vertical="center"/>
      <protection hidden="1"/>
    </xf>
    <xf numFmtId="168" fontId="33" fillId="3" borderId="243" xfId="1" applyNumberFormat="1" applyFont="1" applyFill="1" applyBorder="1" applyAlignment="1" applyProtection="1">
      <alignment horizontal="center" vertical="center"/>
      <protection hidden="1"/>
    </xf>
    <xf numFmtId="203" fontId="8" fillId="15" borderId="443" xfId="0" applyNumberFormat="1" applyFont="1" applyFill="1" applyBorder="1" applyAlignment="1" applyProtection="1">
      <alignment horizontal="center" vertical="center"/>
      <protection hidden="1"/>
    </xf>
    <xf numFmtId="0" fontId="33" fillId="4" borderId="50" xfId="0" applyFont="1" applyFill="1" applyBorder="1" applyAlignment="1" applyProtection="1">
      <alignment horizontal="center" vertical="center"/>
      <protection hidden="1"/>
    </xf>
    <xf numFmtId="0" fontId="33" fillId="4" borderId="88" xfId="0" applyFont="1" applyFill="1" applyBorder="1" applyAlignment="1" applyProtection="1">
      <alignment horizontal="center" vertical="center"/>
      <protection hidden="1"/>
    </xf>
    <xf numFmtId="0" fontId="33" fillId="4" borderId="63" xfId="0" applyFont="1" applyFill="1" applyBorder="1" applyAlignment="1" applyProtection="1">
      <alignment horizontal="center" vertical="center"/>
      <protection hidden="1"/>
    </xf>
    <xf numFmtId="175" fontId="8" fillId="15" borderId="444" xfId="0" applyNumberFormat="1" applyFont="1" applyFill="1" applyBorder="1" applyAlignment="1" applyProtection="1">
      <alignment horizontal="center" vertical="center"/>
      <protection hidden="1"/>
    </xf>
    <xf numFmtId="175" fontId="8" fillId="15" borderId="447" xfId="0" applyNumberFormat="1" applyFont="1" applyFill="1" applyBorder="1" applyAlignment="1" applyProtection="1">
      <alignment horizontal="center" vertical="center"/>
      <protection hidden="1"/>
    </xf>
    <xf numFmtId="175" fontId="95" fillId="3" borderId="11" xfId="1" applyNumberFormat="1" applyFont="1" applyFill="1" applyBorder="1" applyAlignment="1" applyProtection="1">
      <alignment horizontal="center" vertical="center"/>
      <protection locked="0"/>
    </xf>
    <xf numFmtId="175" fontId="95" fillId="3" borderId="67" xfId="1" applyNumberFormat="1" applyFont="1" applyFill="1" applyBorder="1" applyAlignment="1" applyProtection="1">
      <alignment horizontal="center" vertical="center"/>
      <protection locked="0"/>
    </xf>
    <xf numFmtId="175" fontId="95" fillId="3" borderId="12" xfId="1" applyNumberFormat="1" applyFont="1" applyFill="1" applyBorder="1" applyAlignment="1" applyProtection="1">
      <alignment horizontal="center" vertical="center"/>
      <protection locked="0"/>
    </xf>
    <xf numFmtId="0" fontId="33" fillId="4" borderId="47" xfId="0" applyFont="1" applyFill="1" applyBorder="1" applyAlignment="1" applyProtection="1">
      <alignment horizontal="center" vertical="center"/>
      <protection hidden="1"/>
    </xf>
    <xf numFmtId="0" fontId="33" fillId="4" borderId="89" xfId="0" applyFont="1" applyFill="1" applyBorder="1" applyAlignment="1" applyProtection="1">
      <alignment horizontal="center" vertical="center"/>
      <protection hidden="1"/>
    </xf>
    <xf numFmtId="175" fontId="33" fillId="3" borderId="0" xfId="1" applyNumberFormat="1" applyFont="1" applyFill="1" applyBorder="1" applyAlignment="1" applyProtection="1">
      <alignment horizontal="center" vertical="center"/>
      <protection hidden="1"/>
    </xf>
    <xf numFmtId="175" fontId="33" fillId="3" borderId="243" xfId="1" applyNumberFormat="1" applyFont="1" applyFill="1" applyBorder="1" applyAlignment="1" applyProtection="1">
      <alignment horizontal="center" vertical="center"/>
      <protection hidden="1"/>
    </xf>
    <xf numFmtId="168" fontId="33" fillId="3" borderId="449" xfId="1" applyNumberFormat="1" applyFont="1" applyFill="1" applyBorder="1" applyAlignment="1" applyProtection="1">
      <alignment horizontal="center" vertical="center"/>
      <protection hidden="1"/>
    </xf>
    <xf numFmtId="176" fontId="33" fillId="4" borderId="244" xfId="0" applyNumberFormat="1" applyFont="1" applyFill="1" applyBorder="1" applyAlignment="1" applyProtection="1">
      <alignment horizontal="center" vertical="center"/>
      <protection hidden="1"/>
    </xf>
    <xf numFmtId="168" fontId="33" fillId="3" borderId="450" xfId="1" applyNumberFormat="1" applyFont="1" applyFill="1" applyBorder="1" applyAlignment="1" applyProtection="1">
      <alignment horizontal="center" vertical="center"/>
      <protection hidden="1"/>
    </xf>
    <xf numFmtId="1" fontId="95" fillId="3" borderId="11" xfId="1" applyNumberFormat="1" applyFont="1" applyFill="1" applyBorder="1" applyAlignment="1" applyProtection="1">
      <alignment horizontal="center" vertical="center"/>
      <protection locked="0"/>
    </xf>
    <xf numFmtId="1" fontId="95" fillId="3" borderId="67" xfId="1" applyNumberFormat="1" applyFont="1" applyFill="1" applyBorder="1" applyAlignment="1" applyProtection="1">
      <alignment horizontal="center" vertical="center"/>
      <protection locked="0"/>
    </xf>
    <xf numFmtId="1" fontId="95" fillId="3" borderId="12" xfId="1" applyNumberFormat="1" applyFont="1" applyFill="1" applyBorder="1" applyAlignment="1" applyProtection="1">
      <alignment horizontal="center" vertical="center"/>
      <protection locked="0"/>
    </xf>
    <xf numFmtId="175" fontId="33" fillId="3" borderId="50" xfId="1" applyNumberFormat="1" applyFont="1" applyFill="1" applyBorder="1" applyAlignment="1" applyProtection="1">
      <alignment horizontal="center" vertical="center"/>
      <protection hidden="1"/>
    </xf>
    <xf numFmtId="175" fontId="33" fillId="3" borderId="449" xfId="1" applyNumberFormat="1" applyFont="1" applyFill="1" applyBorder="1" applyAlignment="1" applyProtection="1">
      <alignment horizontal="center" vertical="center"/>
      <protection hidden="1"/>
    </xf>
    <xf numFmtId="175" fontId="32" fillId="3" borderId="50" xfId="1" applyNumberFormat="1" applyFont="1" applyFill="1" applyBorder="1" applyAlignment="1" applyProtection="1">
      <alignment horizontal="center" vertical="center"/>
      <protection hidden="1"/>
    </xf>
  </cellXfs>
  <cellStyles count="21">
    <cellStyle name="Check Code" xfId="17" xr:uid="{529C7E97-AFCD-43B0-A74C-2765EC991D0E}"/>
    <cellStyle name="Currency" xfId="5" builtinId="4"/>
    <cellStyle name="Currency [0]" xfId="13" builtinId="7"/>
    <cellStyle name="Currency 2" xfId="3" xr:uid="{EDC3190B-9499-40DE-8B97-B4EFD23693B1}"/>
    <cellStyle name="Currency 3" xfId="7" xr:uid="{D7E38FA0-9920-4018-8729-FB8D77661C1E}"/>
    <cellStyle name="Date" xfId="18" xr:uid="{78710A52-736A-4CC4-B2E0-E98A829E7811}"/>
    <cellStyle name="Explanatory Text" xfId="16" builtinId="53"/>
    <cellStyle name="Heading 1" xfId="15" builtinId="16"/>
    <cellStyle name="Heading 1 2" xfId="10" xr:uid="{7A62C025-1891-4707-887B-D17E47B947DB}"/>
    <cellStyle name="Heading 2 2" xfId="11" xr:uid="{EEB5C967-DCB2-48DA-8F03-3CB54B1D0743}"/>
    <cellStyle name="Heading 4 2" xfId="9" xr:uid="{A23B812E-7E71-4CA4-B9DE-F05D88420F93}"/>
    <cellStyle name="Hyperlink" xfId="4" builtinId="8"/>
    <cellStyle name="Input" xfId="20" builtinId="20"/>
    <cellStyle name="Normal" xfId="0" builtinId="0"/>
    <cellStyle name="Normal 2" xfId="2" xr:uid="{04B37F17-B136-4BC2-9694-77E34B7164B4}"/>
    <cellStyle name="Normal 3" xfId="6" xr:uid="{4ACA7E15-E857-4524-97AB-ACCE9BD7D145}"/>
    <cellStyle name="Normal_Book1" xfId="19" xr:uid="{A207F464-3BF8-43D1-A295-D6814F997951}"/>
    <cellStyle name="Percent" xfId="1" builtinId="5"/>
    <cellStyle name="Title" xfId="14" builtinId="15"/>
    <cellStyle name="Title 2" xfId="12" xr:uid="{41B2F15F-3A13-43C5-A61B-D0559C2815CD}"/>
    <cellStyle name="Total 2" xfId="8" xr:uid="{CF5F0C77-F845-42B6-9F08-2F7955B7C2EA}"/>
  </cellStyles>
  <dxfs count="797">
    <dxf>
      <font>
        <b val="0"/>
        <i/>
        <color theme="1" tint="0.499984740745262"/>
      </font>
    </dxf>
    <dxf>
      <font>
        <b val="0"/>
        <i/>
        <color theme="1" tint="0.499984740745262"/>
      </font>
    </dxf>
    <dxf>
      <font>
        <b val="0"/>
        <i/>
        <color theme="1" tint="0.499984740745262"/>
      </font>
    </dxf>
    <dxf>
      <fill>
        <patternFill>
          <bgColor rgb="FFFFFFCC"/>
        </patternFill>
      </fill>
    </dxf>
    <dxf>
      <fill>
        <patternFill>
          <bgColor rgb="FFFFFFCC"/>
        </patternFill>
      </fill>
    </dxf>
    <dxf>
      <font>
        <b val="0"/>
        <i/>
        <color theme="1" tint="0.499984740745262"/>
      </font>
    </dxf>
    <dxf>
      <font>
        <b val="0"/>
        <i/>
        <color theme="1" tint="0.499984740745262"/>
      </font>
    </dxf>
    <dxf>
      <font>
        <b val="0"/>
        <i/>
        <color theme="1" tint="0.499984740745262"/>
      </font>
    </dxf>
    <dxf>
      <font>
        <color rgb="FF00B050"/>
      </font>
    </dxf>
    <dxf>
      <font>
        <color rgb="FFC00000"/>
      </font>
    </dxf>
    <dxf>
      <font>
        <color rgb="FF00B050"/>
      </font>
    </dxf>
    <dxf>
      <font>
        <color rgb="FFC00000"/>
      </font>
    </dxf>
    <dxf>
      <font>
        <b val="0"/>
        <i/>
        <color theme="1" tint="0.499984740745262"/>
      </font>
    </dxf>
    <dxf>
      <font>
        <color rgb="FF00B050"/>
      </font>
    </dxf>
    <dxf>
      <font>
        <color rgb="FFC00000"/>
      </font>
    </dxf>
    <dxf>
      <font>
        <color theme="0"/>
      </font>
    </dxf>
    <dxf>
      <font>
        <color theme="0"/>
      </font>
    </dxf>
    <dxf>
      <font>
        <b val="0"/>
        <i/>
        <color theme="1" tint="0.499984740745262"/>
      </font>
    </dxf>
    <dxf>
      <font>
        <color rgb="FF00B050"/>
      </font>
    </dxf>
    <dxf>
      <font>
        <color rgb="FFC00000"/>
      </font>
    </dxf>
    <dxf>
      <font>
        <color theme="0"/>
      </font>
    </dxf>
    <dxf>
      <font>
        <b val="0"/>
        <i val="0"/>
        <color theme="0" tint="-0.24994659260841701"/>
      </font>
      <fill>
        <patternFill>
          <bgColor theme="0" tint="-4.9989318521683403E-2"/>
        </patternFill>
      </fill>
    </dxf>
    <dxf>
      <font>
        <b val="0"/>
        <i val="0"/>
        <color theme="0" tint="-0.24994659260841701"/>
      </font>
      <fill>
        <patternFill>
          <bgColor theme="0" tint="-4.9989318521683403E-2"/>
        </patternFill>
      </fill>
    </dxf>
    <dxf>
      <font>
        <b val="0"/>
        <i val="0"/>
        <color theme="0" tint="-0.24994659260841701"/>
      </font>
      <fill>
        <patternFill>
          <bgColor theme="0" tint="-4.9989318521683403E-2"/>
        </patternFill>
      </fill>
    </dxf>
    <dxf>
      <font>
        <b val="0"/>
        <i val="0"/>
        <color rgb="FF009265"/>
      </font>
    </dxf>
    <dxf>
      <font>
        <b val="0"/>
        <i val="0"/>
        <color rgb="FFC00000"/>
      </font>
    </dxf>
    <dxf>
      <font>
        <b val="0"/>
        <i val="0"/>
        <color rgb="FF009265"/>
      </font>
    </dxf>
    <dxf>
      <font>
        <b val="0"/>
        <i val="0"/>
        <color rgb="FFC00000"/>
      </font>
    </dxf>
    <dxf>
      <font>
        <b val="0"/>
        <i val="0"/>
        <color rgb="FF009265"/>
      </font>
    </dxf>
    <dxf>
      <font>
        <b val="0"/>
        <i val="0"/>
        <color rgb="FFC00000"/>
      </font>
    </dxf>
    <dxf>
      <font>
        <b/>
        <i val="0"/>
        <color rgb="FF009265"/>
      </font>
    </dxf>
    <dxf>
      <font>
        <b/>
        <i val="0"/>
        <color rgb="FFC00000"/>
      </font>
    </dxf>
    <dxf>
      <font>
        <b val="0"/>
        <i val="0"/>
        <color rgb="FF009265"/>
      </font>
    </dxf>
    <dxf>
      <font>
        <b val="0"/>
        <i val="0"/>
        <color rgb="FFC00000"/>
      </font>
    </dxf>
    <dxf>
      <font>
        <b/>
        <i val="0"/>
        <color rgb="FF009265"/>
      </font>
    </dxf>
    <dxf>
      <font>
        <b/>
        <i val="0"/>
        <color rgb="FFC00000"/>
      </font>
    </dxf>
    <dxf>
      <font>
        <b val="0"/>
        <i val="0"/>
        <color rgb="FF009265"/>
      </font>
    </dxf>
    <dxf>
      <font>
        <b val="0"/>
        <i val="0"/>
        <color rgb="FFC00000"/>
      </font>
    </dxf>
    <dxf>
      <font>
        <b val="0"/>
        <i val="0"/>
        <color rgb="FF009265"/>
      </font>
    </dxf>
    <dxf>
      <font>
        <b val="0"/>
        <i val="0"/>
        <color rgb="FFC00000"/>
      </font>
    </dxf>
    <dxf>
      <font>
        <b val="0"/>
        <i val="0"/>
        <color rgb="FF009265"/>
      </font>
    </dxf>
    <dxf>
      <font>
        <b val="0"/>
        <i val="0"/>
        <color rgb="FFC00000"/>
      </font>
    </dxf>
    <dxf>
      <font>
        <b/>
        <i val="0"/>
        <color rgb="FF009265"/>
      </font>
    </dxf>
    <dxf>
      <font>
        <b/>
        <i val="0"/>
        <color rgb="FFC00000"/>
      </font>
    </dxf>
    <dxf>
      <font>
        <b val="0"/>
        <i val="0"/>
        <color rgb="FF009265"/>
      </font>
    </dxf>
    <dxf>
      <font>
        <b val="0"/>
        <i val="0"/>
        <color rgb="FFC00000"/>
      </font>
    </dxf>
    <dxf>
      <font>
        <b/>
        <i val="0"/>
        <color rgb="FF009265"/>
      </font>
    </dxf>
    <dxf>
      <font>
        <b/>
        <i val="0"/>
        <color rgb="FFC00000"/>
      </font>
    </dxf>
    <dxf>
      <font>
        <b val="0"/>
        <i val="0"/>
        <color rgb="FF009265"/>
      </font>
    </dxf>
    <dxf>
      <font>
        <b val="0"/>
        <i val="0"/>
        <color rgb="FFC00000"/>
      </font>
    </dxf>
    <dxf>
      <font>
        <b val="0"/>
        <i val="0"/>
        <color rgb="FF009265"/>
      </font>
    </dxf>
    <dxf>
      <font>
        <b val="0"/>
        <i val="0"/>
        <color rgb="FFC00000"/>
      </font>
    </dxf>
    <dxf>
      <font>
        <b val="0"/>
        <i val="0"/>
        <color rgb="FF009265"/>
      </font>
    </dxf>
    <dxf>
      <font>
        <b val="0"/>
        <i val="0"/>
        <color rgb="FFC00000"/>
      </font>
    </dxf>
    <dxf>
      <font>
        <b/>
        <i val="0"/>
        <color rgb="FF009265"/>
      </font>
    </dxf>
    <dxf>
      <font>
        <b/>
        <i val="0"/>
        <color rgb="FFC00000"/>
      </font>
    </dxf>
    <dxf>
      <font>
        <b val="0"/>
        <i val="0"/>
        <color rgb="FF009265"/>
      </font>
    </dxf>
    <dxf>
      <font>
        <b val="0"/>
        <i val="0"/>
        <color rgb="FFC00000"/>
      </font>
    </dxf>
    <dxf>
      <font>
        <b/>
        <i val="0"/>
        <color rgb="FF009265"/>
      </font>
    </dxf>
    <dxf>
      <font>
        <b/>
        <i val="0"/>
        <color rgb="FFC00000"/>
      </font>
    </dxf>
    <dxf>
      <font>
        <b val="0"/>
        <i val="0"/>
        <color rgb="FF009265"/>
      </font>
    </dxf>
    <dxf>
      <font>
        <b val="0"/>
        <i val="0"/>
        <color rgb="FFC00000"/>
      </font>
    </dxf>
    <dxf>
      <font>
        <b val="0"/>
        <i val="0"/>
        <color rgb="FF009265"/>
      </font>
    </dxf>
    <dxf>
      <font>
        <b val="0"/>
        <i val="0"/>
        <color rgb="FFC00000"/>
      </font>
    </dxf>
    <dxf>
      <font>
        <b val="0"/>
        <i val="0"/>
        <color rgb="FF009265"/>
      </font>
    </dxf>
    <dxf>
      <font>
        <b val="0"/>
        <i val="0"/>
        <color rgb="FFC00000"/>
      </font>
    </dxf>
    <dxf>
      <font>
        <b/>
        <i val="0"/>
        <color rgb="FF009265"/>
      </font>
    </dxf>
    <dxf>
      <font>
        <b/>
        <i val="0"/>
        <color rgb="FFC00000"/>
      </font>
    </dxf>
    <dxf>
      <font>
        <b val="0"/>
        <i val="0"/>
        <color rgb="FF009265"/>
      </font>
    </dxf>
    <dxf>
      <font>
        <b val="0"/>
        <i val="0"/>
        <color rgb="FFC00000"/>
      </font>
    </dxf>
    <dxf>
      <font>
        <b/>
        <i val="0"/>
        <color rgb="FF009265"/>
      </font>
    </dxf>
    <dxf>
      <font>
        <b/>
        <i val="0"/>
        <color rgb="FFC00000"/>
      </font>
    </dxf>
    <dxf>
      <font>
        <b val="0"/>
        <i val="0"/>
        <color rgb="FF009265"/>
      </font>
    </dxf>
    <dxf>
      <font>
        <b val="0"/>
        <i val="0"/>
        <color rgb="FFC00000"/>
      </font>
    </dxf>
    <dxf>
      <font>
        <b val="0"/>
        <i val="0"/>
        <color rgb="FF009265"/>
      </font>
    </dxf>
    <dxf>
      <font>
        <b val="0"/>
        <i val="0"/>
        <color rgb="FFC00000"/>
      </font>
    </dxf>
    <dxf>
      <font>
        <b val="0"/>
        <i val="0"/>
        <color rgb="FF009265"/>
      </font>
    </dxf>
    <dxf>
      <font>
        <b val="0"/>
        <i val="0"/>
        <color rgb="FFC00000"/>
      </font>
    </dxf>
    <dxf>
      <font>
        <b/>
        <i val="0"/>
        <color rgb="FF009265"/>
      </font>
    </dxf>
    <dxf>
      <font>
        <b/>
        <i val="0"/>
        <color rgb="FFC00000"/>
      </font>
    </dxf>
    <dxf>
      <font>
        <b val="0"/>
        <i val="0"/>
        <color rgb="FF009265"/>
      </font>
    </dxf>
    <dxf>
      <font>
        <b val="0"/>
        <i val="0"/>
        <color rgb="FFC00000"/>
      </font>
    </dxf>
    <dxf>
      <font>
        <b/>
        <i val="0"/>
        <color rgb="FF009265"/>
      </font>
    </dxf>
    <dxf>
      <font>
        <b/>
        <i val="0"/>
        <color rgb="FFC00000"/>
      </font>
    </dxf>
    <dxf>
      <font>
        <b val="0"/>
        <i val="0"/>
        <color rgb="FF009265"/>
      </font>
    </dxf>
    <dxf>
      <font>
        <b val="0"/>
        <i val="0"/>
        <color rgb="FFC00000"/>
      </font>
    </dxf>
    <dxf>
      <font>
        <b val="0"/>
        <i val="0"/>
        <color rgb="FF009265"/>
      </font>
    </dxf>
    <dxf>
      <font>
        <b val="0"/>
        <i val="0"/>
        <color rgb="FFC00000"/>
      </font>
    </dxf>
    <dxf>
      <font>
        <b val="0"/>
        <i val="0"/>
        <color rgb="FF009265"/>
      </font>
    </dxf>
    <dxf>
      <font>
        <b val="0"/>
        <i val="0"/>
        <color rgb="FFC00000"/>
      </font>
    </dxf>
    <dxf>
      <font>
        <b/>
        <i val="0"/>
        <color rgb="FF009265"/>
      </font>
    </dxf>
    <dxf>
      <font>
        <b/>
        <i val="0"/>
        <color rgb="FFC00000"/>
      </font>
    </dxf>
    <dxf>
      <font>
        <b val="0"/>
        <i val="0"/>
        <color rgb="FF009265"/>
      </font>
    </dxf>
    <dxf>
      <font>
        <b val="0"/>
        <i val="0"/>
        <color rgb="FFC00000"/>
      </font>
    </dxf>
    <dxf>
      <font>
        <b/>
        <i val="0"/>
        <color rgb="FF009265"/>
      </font>
    </dxf>
    <dxf>
      <font>
        <b/>
        <i val="0"/>
        <color rgb="FFC00000"/>
      </font>
    </dxf>
    <dxf>
      <font>
        <b val="0"/>
        <i val="0"/>
        <color rgb="FF009265"/>
      </font>
    </dxf>
    <dxf>
      <font>
        <b val="0"/>
        <i val="0"/>
        <color rgb="FFC00000"/>
      </font>
    </dxf>
    <dxf>
      <font>
        <b val="0"/>
        <i val="0"/>
        <color rgb="FF009265"/>
      </font>
    </dxf>
    <dxf>
      <font>
        <b val="0"/>
        <i val="0"/>
        <color rgb="FFC00000"/>
      </font>
    </dxf>
    <dxf>
      <font>
        <b val="0"/>
        <i val="0"/>
        <color rgb="FF009265"/>
      </font>
    </dxf>
    <dxf>
      <font>
        <b val="0"/>
        <i val="0"/>
        <color rgb="FFC00000"/>
      </font>
    </dxf>
    <dxf>
      <font>
        <b/>
        <i val="0"/>
        <color rgb="FF009265"/>
      </font>
    </dxf>
    <dxf>
      <font>
        <b/>
        <i val="0"/>
        <color rgb="FFC00000"/>
      </font>
    </dxf>
    <dxf>
      <font>
        <b val="0"/>
        <i val="0"/>
        <color rgb="FF009265"/>
      </font>
    </dxf>
    <dxf>
      <font>
        <b val="0"/>
        <i val="0"/>
        <color rgb="FFC00000"/>
      </font>
    </dxf>
    <dxf>
      <font>
        <b/>
        <i val="0"/>
        <color rgb="FF009265"/>
      </font>
    </dxf>
    <dxf>
      <font>
        <b/>
        <i val="0"/>
        <color rgb="FFC00000"/>
      </font>
    </dxf>
    <dxf>
      <font>
        <b val="0"/>
        <i val="0"/>
        <color rgb="FF009265"/>
      </font>
    </dxf>
    <dxf>
      <font>
        <b val="0"/>
        <i val="0"/>
        <color rgb="FFC00000"/>
      </font>
    </dxf>
    <dxf>
      <font>
        <b val="0"/>
        <i val="0"/>
        <color rgb="FF009265"/>
      </font>
    </dxf>
    <dxf>
      <font>
        <b val="0"/>
        <i val="0"/>
        <color rgb="FFC00000"/>
      </font>
    </dxf>
    <dxf>
      <font>
        <b val="0"/>
        <i val="0"/>
        <color rgb="FF009265"/>
      </font>
    </dxf>
    <dxf>
      <font>
        <b val="0"/>
        <i val="0"/>
        <color rgb="FFC00000"/>
      </font>
    </dxf>
    <dxf>
      <font>
        <b/>
        <i val="0"/>
        <color rgb="FF009265"/>
      </font>
    </dxf>
    <dxf>
      <font>
        <b/>
        <i val="0"/>
        <color rgb="FFC00000"/>
      </font>
    </dxf>
    <dxf>
      <font>
        <b val="0"/>
        <i val="0"/>
        <color rgb="FF009265"/>
      </font>
    </dxf>
    <dxf>
      <font>
        <b val="0"/>
        <i val="0"/>
        <color rgb="FFC00000"/>
      </font>
    </dxf>
    <dxf>
      <font>
        <b/>
        <i val="0"/>
        <color rgb="FF009265"/>
      </font>
    </dxf>
    <dxf>
      <font>
        <b/>
        <i val="0"/>
        <color rgb="FFC00000"/>
      </font>
    </dxf>
    <dxf>
      <font>
        <b val="0"/>
        <i val="0"/>
        <color rgb="FF009265"/>
      </font>
    </dxf>
    <dxf>
      <font>
        <b val="0"/>
        <i val="0"/>
        <color rgb="FFC00000"/>
      </font>
    </dxf>
    <dxf>
      <font>
        <b val="0"/>
        <i val="0"/>
        <color rgb="FF009265"/>
      </font>
    </dxf>
    <dxf>
      <font>
        <b val="0"/>
        <i val="0"/>
        <color rgb="FFC00000"/>
      </font>
    </dxf>
    <dxf>
      <font>
        <b val="0"/>
        <i val="0"/>
        <color rgb="FF009265"/>
      </font>
    </dxf>
    <dxf>
      <font>
        <b val="0"/>
        <i val="0"/>
        <color rgb="FFC00000"/>
      </font>
    </dxf>
    <dxf>
      <font>
        <b/>
        <i val="0"/>
        <color rgb="FF009265"/>
      </font>
    </dxf>
    <dxf>
      <font>
        <b/>
        <i val="0"/>
        <color rgb="FFC00000"/>
      </font>
    </dxf>
    <dxf>
      <font>
        <b val="0"/>
        <i val="0"/>
        <color rgb="FF009265"/>
      </font>
    </dxf>
    <dxf>
      <font>
        <b val="0"/>
        <i val="0"/>
        <color rgb="FFC00000"/>
      </font>
    </dxf>
    <dxf>
      <font>
        <b/>
        <i val="0"/>
        <color rgb="FF009265"/>
      </font>
    </dxf>
    <dxf>
      <font>
        <b/>
        <i val="0"/>
        <color rgb="FFC00000"/>
      </font>
    </dxf>
    <dxf>
      <font>
        <b val="0"/>
        <i val="0"/>
        <color rgb="FF009265"/>
      </font>
    </dxf>
    <dxf>
      <font>
        <b val="0"/>
        <i val="0"/>
        <color rgb="FFC00000"/>
      </font>
    </dxf>
    <dxf>
      <font>
        <b val="0"/>
        <i val="0"/>
        <color rgb="FF009265"/>
      </font>
    </dxf>
    <dxf>
      <font>
        <b val="0"/>
        <i val="0"/>
        <color rgb="FFC00000"/>
      </font>
    </dxf>
    <dxf>
      <font>
        <b val="0"/>
        <i val="0"/>
        <color rgb="FF009265"/>
      </font>
    </dxf>
    <dxf>
      <font>
        <b val="0"/>
        <i val="0"/>
        <color rgb="FFC00000"/>
      </font>
    </dxf>
    <dxf>
      <font>
        <b/>
        <i val="0"/>
        <color rgb="FF009265"/>
      </font>
    </dxf>
    <dxf>
      <font>
        <b/>
        <i val="0"/>
        <color rgb="FFC00000"/>
      </font>
    </dxf>
    <dxf>
      <font>
        <b val="0"/>
        <i val="0"/>
        <color rgb="FF009265"/>
      </font>
    </dxf>
    <dxf>
      <font>
        <b val="0"/>
        <i val="0"/>
        <color rgb="FFC00000"/>
      </font>
    </dxf>
    <dxf>
      <font>
        <b/>
        <i val="0"/>
        <color rgb="FF009265"/>
      </font>
    </dxf>
    <dxf>
      <font>
        <b/>
        <i val="0"/>
        <color rgb="FFC00000"/>
      </font>
    </dxf>
    <dxf>
      <font>
        <b val="0"/>
        <i val="0"/>
        <color rgb="FF009265"/>
      </font>
    </dxf>
    <dxf>
      <font>
        <b val="0"/>
        <i val="0"/>
        <color rgb="FFC00000"/>
      </font>
    </dxf>
    <dxf>
      <font>
        <b val="0"/>
        <i val="0"/>
        <color rgb="FF009265"/>
      </font>
    </dxf>
    <dxf>
      <font>
        <b val="0"/>
        <i val="0"/>
        <color rgb="FFC00000"/>
      </font>
    </dxf>
    <dxf>
      <font>
        <b val="0"/>
        <i val="0"/>
        <color rgb="FF009265"/>
      </font>
    </dxf>
    <dxf>
      <font>
        <b val="0"/>
        <i val="0"/>
        <color rgb="FFC00000"/>
      </font>
    </dxf>
    <dxf>
      <font>
        <b/>
        <i val="0"/>
        <color rgb="FF009265"/>
      </font>
    </dxf>
    <dxf>
      <font>
        <b/>
        <i val="0"/>
        <color rgb="FFC00000"/>
      </font>
    </dxf>
    <dxf>
      <font>
        <b val="0"/>
        <i val="0"/>
        <color rgb="FF009265"/>
      </font>
    </dxf>
    <dxf>
      <font>
        <b val="0"/>
        <i val="0"/>
        <color rgb="FFC00000"/>
      </font>
    </dxf>
    <dxf>
      <font>
        <b/>
        <i val="0"/>
        <color rgb="FF009265"/>
      </font>
    </dxf>
    <dxf>
      <font>
        <b/>
        <i val="0"/>
        <color rgb="FFC00000"/>
      </font>
    </dxf>
    <dxf>
      <font>
        <b val="0"/>
        <i val="0"/>
        <color rgb="FF009265"/>
      </font>
    </dxf>
    <dxf>
      <font>
        <b val="0"/>
        <i val="0"/>
        <color rgb="FFC00000"/>
      </font>
    </dxf>
    <dxf>
      <font>
        <b val="0"/>
        <i val="0"/>
        <color rgb="FF009265"/>
      </font>
    </dxf>
    <dxf>
      <font>
        <b val="0"/>
        <i val="0"/>
        <color rgb="FFC00000"/>
      </font>
    </dxf>
    <dxf>
      <font>
        <b val="0"/>
        <i val="0"/>
        <color rgb="FF009265"/>
      </font>
    </dxf>
    <dxf>
      <font>
        <b val="0"/>
        <i val="0"/>
        <color rgb="FFC00000"/>
      </font>
    </dxf>
    <dxf>
      <font>
        <b/>
        <i val="0"/>
        <color rgb="FF009265"/>
      </font>
    </dxf>
    <dxf>
      <font>
        <b/>
        <i val="0"/>
        <color rgb="FFC00000"/>
      </font>
    </dxf>
    <dxf>
      <font>
        <b val="0"/>
        <i val="0"/>
        <color rgb="FF009265"/>
      </font>
    </dxf>
    <dxf>
      <font>
        <b val="0"/>
        <i val="0"/>
        <color rgb="FFC00000"/>
      </font>
    </dxf>
    <dxf>
      <font>
        <b/>
        <i val="0"/>
        <color rgb="FF009265"/>
      </font>
    </dxf>
    <dxf>
      <font>
        <b/>
        <i val="0"/>
        <color rgb="FFC00000"/>
      </font>
    </dxf>
    <dxf>
      <font>
        <b val="0"/>
        <i val="0"/>
        <color rgb="FF009265"/>
      </font>
    </dxf>
    <dxf>
      <font>
        <b val="0"/>
        <i val="0"/>
        <color rgb="FFC00000"/>
      </font>
    </dxf>
    <dxf>
      <font>
        <b val="0"/>
        <i val="0"/>
        <color rgb="FF009265"/>
      </font>
    </dxf>
    <dxf>
      <font>
        <b val="0"/>
        <i val="0"/>
        <color rgb="FFC00000"/>
      </font>
    </dxf>
    <dxf>
      <font>
        <b val="0"/>
        <i val="0"/>
        <color rgb="FF009265"/>
      </font>
    </dxf>
    <dxf>
      <font>
        <b val="0"/>
        <i val="0"/>
        <color rgb="FFC00000"/>
      </font>
    </dxf>
    <dxf>
      <font>
        <b/>
        <i val="0"/>
        <color rgb="FF009265"/>
      </font>
    </dxf>
    <dxf>
      <font>
        <b/>
        <i val="0"/>
        <color rgb="FFC00000"/>
      </font>
    </dxf>
    <dxf>
      <font>
        <b val="0"/>
        <i val="0"/>
        <color rgb="FF009265"/>
      </font>
    </dxf>
    <dxf>
      <font>
        <b val="0"/>
        <i val="0"/>
        <color rgb="FFC00000"/>
      </font>
    </dxf>
    <dxf>
      <font>
        <b/>
        <i val="0"/>
        <color rgb="FF009265"/>
      </font>
    </dxf>
    <dxf>
      <font>
        <b/>
        <i val="0"/>
        <color rgb="FFC00000"/>
      </font>
    </dxf>
    <dxf>
      <font>
        <b val="0"/>
        <i val="0"/>
        <color theme="0" tint="-0.24994659260841701"/>
      </font>
      <fill>
        <patternFill>
          <bgColor theme="0" tint="-4.9989318521683403E-2"/>
        </patternFill>
      </fill>
    </dxf>
    <dxf>
      <font>
        <b val="0"/>
        <i val="0"/>
        <color theme="0" tint="-0.24994659260841701"/>
      </font>
      <fill>
        <patternFill>
          <bgColor theme="0" tint="-4.9989318521683403E-2"/>
        </patternFill>
      </fill>
    </dxf>
    <dxf>
      <font>
        <color theme="0" tint="-0.24994659260841701"/>
      </font>
      <fill>
        <patternFill patternType="lightUp">
          <fgColor theme="0" tint="-0.24994659260841701"/>
          <bgColor theme="0" tint="-4.9989318521683403E-2"/>
        </patternFill>
      </fill>
    </dxf>
    <dxf>
      <font>
        <strike val="0"/>
        <outline val="0"/>
        <shadow val="0"/>
        <u val="none"/>
        <vertAlign val="baseline"/>
        <sz val="12"/>
        <color theme="1" tint="0.14993743705557422"/>
        <name val="Calibri"/>
        <family val="2"/>
        <scheme val="minor"/>
      </font>
      <fill>
        <patternFill patternType="solid">
          <fgColor indexed="64"/>
          <bgColor theme="4" tint="0.79998168889431442"/>
        </patternFill>
      </fill>
      <protection locked="0" hidden="0"/>
    </dxf>
    <dxf>
      <font>
        <strike val="0"/>
        <outline val="0"/>
        <shadow val="0"/>
        <u val="none"/>
        <vertAlign val="baseline"/>
        <sz val="12"/>
        <color theme="1" tint="0.14993743705557422"/>
        <name val="Calibri"/>
        <family val="2"/>
        <scheme val="minor"/>
      </font>
      <fill>
        <patternFill patternType="solid">
          <fgColor indexed="64"/>
          <bgColor theme="4" tint="0.79998168889431442"/>
        </patternFill>
      </fill>
      <protection locked="0" hidden="0"/>
    </dxf>
    <dxf>
      <font>
        <strike val="0"/>
        <outline val="0"/>
        <shadow val="0"/>
        <u val="none"/>
        <vertAlign val="baseline"/>
        <sz val="12"/>
        <color theme="1" tint="0.14993743705557422"/>
        <name val="Calibri"/>
        <family val="2"/>
        <scheme val="minor"/>
      </font>
      <fill>
        <patternFill patternType="solid">
          <fgColor indexed="64"/>
          <bgColor theme="4" tint="0.79998168889431442"/>
        </patternFill>
      </fill>
      <protection locked="0" hidden="0"/>
    </dxf>
    <dxf>
      <font>
        <b/>
        <i val="0"/>
        <strike val="0"/>
        <condense val="0"/>
        <extend val="0"/>
        <outline val="0"/>
        <shadow val="0"/>
        <u val="none"/>
        <vertAlign val="baseline"/>
        <sz val="12"/>
        <color theme="1" tint="0.14993743705557422"/>
        <name val="Calibri Light"/>
        <family val="2"/>
        <scheme val="major"/>
      </font>
      <fill>
        <patternFill patternType="none">
          <fgColor indexed="64"/>
          <bgColor indexed="65"/>
        </patternFill>
      </fill>
      <alignment horizontal="left" vertical="center" textRotation="0" wrapText="0" indent="2" justifyLastLine="0" shrinkToFit="0" readingOrder="0"/>
    </dxf>
    <dxf>
      <font>
        <strike val="0"/>
        <outline val="0"/>
        <shadow val="0"/>
        <u val="none"/>
        <vertAlign val="baseline"/>
        <sz val="12"/>
        <color theme="1" tint="0.14993743705557422"/>
        <name val="Calibri"/>
        <family val="2"/>
        <scheme val="minor"/>
      </font>
      <fill>
        <patternFill patternType="solid">
          <fgColor indexed="64"/>
          <bgColor theme="4" tint="0.79998168889431442"/>
        </patternFill>
      </fill>
      <protection locked="0" hidden="0"/>
    </dxf>
    <dxf>
      <font>
        <strike val="0"/>
        <outline val="0"/>
        <shadow val="0"/>
        <u val="none"/>
        <vertAlign val="baseline"/>
        <sz val="12"/>
        <color theme="1" tint="0.14993743705557422"/>
        <name val="Calibri"/>
        <family val="2"/>
        <scheme val="minor"/>
      </font>
      <fill>
        <patternFill patternType="solid">
          <fgColor indexed="64"/>
          <bgColor theme="4" tint="0.79998168889431442"/>
        </patternFill>
      </fill>
      <protection locked="0" hidden="0"/>
    </dxf>
    <dxf>
      <font>
        <b/>
        <strike val="0"/>
        <outline val="0"/>
        <shadow val="0"/>
        <u val="none"/>
        <vertAlign val="baseline"/>
        <sz val="12"/>
        <color theme="1" tint="0.14993743705557422"/>
        <name val="Calibri Light"/>
        <family val="2"/>
        <scheme val="major"/>
      </font>
    </dxf>
    <dxf>
      <font>
        <b/>
        <i val="0"/>
        <strike val="0"/>
        <condense val="0"/>
        <extend val="0"/>
        <outline val="0"/>
        <shadow val="0"/>
        <u val="none"/>
        <vertAlign val="baseline"/>
        <sz val="12"/>
        <color theme="1" tint="0.14993743705557422"/>
        <name val="Calibri Light"/>
        <family val="2"/>
        <scheme val="major"/>
      </font>
      <numFmt numFmtId="6" formatCode="#,##0_);[Red]\(#,##0\)"/>
      <fill>
        <patternFill patternType="none">
          <fgColor indexed="64"/>
          <bgColor indexed="65"/>
        </patternFill>
      </fill>
      <alignment horizontal="right" vertical="center" textRotation="0" wrapText="0" indent="2" justifyLastLine="0" shrinkToFit="0" readingOrder="0"/>
      <border diagonalUp="0" diagonalDown="0" outline="0">
        <left/>
        <right/>
        <top/>
        <bottom/>
      </border>
    </dxf>
    <dxf>
      <font>
        <strike val="0"/>
        <outline val="0"/>
        <shadow val="0"/>
        <u val="none"/>
        <vertAlign val="baseline"/>
        <sz val="12"/>
        <color theme="1" tint="0.14993743705557422"/>
        <name val="Calibri"/>
        <family val="2"/>
        <scheme val="minor"/>
      </font>
      <fill>
        <patternFill patternType="solid">
          <fgColor indexed="64"/>
          <bgColor theme="4" tint="0.79998168889431442"/>
        </patternFill>
      </fill>
      <alignment horizontal="right" vertical="center" textRotation="0" wrapText="0" indent="2" justifyLastLine="0" shrinkToFit="0" readingOrder="0"/>
      <protection locked="1" hidden="0"/>
    </dxf>
    <dxf>
      <font>
        <b/>
        <i val="0"/>
        <strike val="0"/>
        <condense val="0"/>
        <extend val="0"/>
        <outline val="0"/>
        <shadow val="0"/>
        <u val="none"/>
        <vertAlign val="baseline"/>
        <sz val="12"/>
        <color theme="1" tint="0.14993743705557422"/>
        <name val="Calibri Light"/>
        <family val="2"/>
        <scheme val="major"/>
      </font>
      <numFmt numFmtId="6" formatCode="#,##0_);[Red]\(#,##0\)"/>
      <fill>
        <patternFill patternType="none">
          <fgColor indexed="64"/>
          <bgColor indexed="65"/>
        </patternFill>
      </fill>
      <alignment horizontal="right" vertical="center" textRotation="0" wrapText="0" indent="1" justifyLastLine="0" shrinkToFit="0" readingOrder="0"/>
      <border diagonalUp="0" diagonalDown="0" outline="0">
        <left/>
        <right/>
        <top/>
        <bottom/>
      </border>
    </dxf>
    <dxf>
      <font>
        <strike val="0"/>
        <outline val="0"/>
        <shadow val="0"/>
        <u val="none"/>
        <vertAlign val="baseline"/>
        <sz val="12"/>
        <color theme="1" tint="0.14993743705557422"/>
        <name val="Calibri"/>
        <family val="2"/>
        <scheme val="minor"/>
      </font>
      <fill>
        <patternFill patternType="solid">
          <fgColor indexed="64"/>
          <bgColor theme="4" tint="0.79998168889431442"/>
        </patternFill>
      </fill>
      <protection locked="0" hidden="0"/>
    </dxf>
    <dxf>
      <font>
        <b/>
        <i val="0"/>
        <strike val="0"/>
        <condense val="0"/>
        <extend val="0"/>
        <outline val="0"/>
        <shadow val="0"/>
        <u val="none"/>
        <vertAlign val="baseline"/>
        <sz val="12"/>
        <color theme="1" tint="0.14993743705557422"/>
        <name val="Calibri Light"/>
        <family val="2"/>
        <scheme val="major"/>
      </font>
      <fill>
        <patternFill patternType="none">
          <fgColor indexed="64"/>
          <bgColor indexed="65"/>
        </patternFill>
      </fill>
      <alignment horizontal="left" vertical="center" textRotation="0" wrapText="0" indent="2" justifyLastLine="0" shrinkToFit="0" readingOrder="0"/>
      <border diagonalUp="0" diagonalDown="0" outline="0">
        <left/>
        <right/>
        <top/>
        <bottom/>
      </border>
    </dxf>
    <dxf>
      <font>
        <strike val="0"/>
        <outline val="0"/>
        <shadow val="0"/>
        <u val="none"/>
        <vertAlign val="baseline"/>
        <sz val="12"/>
        <color theme="1" tint="0.14993743705557422"/>
        <name val="Calibri"/>
        <family val="2"/>
        <scheme val="minor"/>
      </font>
      <fill>
        <patternFill patternType="solid">
          <fgColor indexed="64"/>
          <bgColor theme="4" tint="0.79998168889431442"/>
        </patternFill>
      </fill>
      <protection locked="0" hidden="0"/>
    </dxf>
    <dxf>
      <font>
        <b/>
        <i val="0"/>
        <strike val="0"/>
        <condense val="0"/>
        <extend val="0"/>
        <outline val="0"/>
        <shadow val="0"/>
        <u val="none"/>
        <vertAlign val="baseline"/>
        <sz val="12"/>
        <color theme="1" tint="0.14993743705557422"/>
        <name val="Calibri Light"/>
        <family val="2"/>
        <scheme val="major"/>
      </font>
      <numFmt numFmtId="235" formatCode="0_);\-0_)"/>
      <fill>
        <patternFill patternType="none">
          <fgColor indexed="64"/>
          <bgColor indexed="65"/>
        </patternFill>
      </fill>
      <alignment horizontal="left" vertical="center" textRotation="0" wrapText="0" indent="2" justifyLastLine="0" shrinkToFit="0" readingOrder="0"/>
      <border diagonalUp="0" diagonalDown="0" outline="0">
        <left/>
        <right/>
        <top/>
        <bottom/>
      </border>
    </dxf>
    <dxf>
      <font>
        <strike val="0"/>
        <outline val="0"/>
        <shadow val="0"/>
        <u val="none"/>
        <vertAlign val="baseline"/>
        <sz val="12"/>
        <color theme="1" tint="0.14993743705557422"/>
        <name val="Calibri"/>
        <family val="2"/>
        <scheme val="minor"/>
      </font>
      <fill>
        <patternFill patternType="solid">
          <fgColor indexed="64"/>
          <bgColor theme="4" tint="0.79998168889431442"/>
        </patternFill>
      </fill>
      <protection locked="0" hidden="0"/>
    </dxf>
    <dxf>
      <font>
        <b/>
        <strike val="0"/>
        <outline val="0"/>
        <shadow val="0"/>
        <u val="none"/>
        <vertAlign val="baseline"/>
        <sz val="12"/>
        <color theme="1" tint="0.14993743705557422"/>
        <name val="Calibri Light"/>
        <family val="2"/>
        <scheme val="major"/>
      </font>
    </dxf>
    <dxf>
      <font>
        <strike val="0"/>
        <outline val="0"/>
        <shadow val="0"/>
        <u val="none"/>
        <vertAlign val="baseline"/>
        <sz val="12"/>
        <color theme="1" tint="0.14993743705557422"/>
        <name val="Calibri"/>
        <family val="2"/>
        <scheme val="minor"/>
      </font>
    </dxf>
    <dxf>
      <font>
        <b/>
        <strike val="0"/>
        <outline val="0"/>
        <shadow val="0"/>
        <u val="none"/>
        <vertAlign val="baseline"/>
        <sz val="12"/>
        <color theme="1" tint="0.14993743705557422"/>
        <name val="Calibri Light"/>
        <family val="2"/>
        <scheme val="major"/>
      </font>
    </dxf>
    <dxf>
      <font>
        <color rgb="FF006100"/>
      </font>
      <fill>
        <patternFill>
          <bgColor rgb="FFC6EFCE"/>
        </patternFill>
      </fill>
    </dxf>
    <dxf>
      <fill>
        <patternFill>
          <bgColor theme="0"/>
        </patternFill>
      </fill>
    </dxf>
    <dxf>
      <font>
        <color rgb="FF9C0006"/>
      </font>
      <fill>
        <patternFill>
          <bgColor rgb="FFFFC7CE"/>
        </patternFill>
      </fill>
    </dxf>
    <dxf>
      <font>
        <b/>
        <i val="0"/>
        <strike val="0"/>
        <condense val="0"/>
        <extend val="0"/>
        <outline val="0"/>
        <shadow val="0"/>
        <u val="none"/>
        <vertAlign val="baseline"/>
        <sz val="12"/>
        <color theme="1" tint="0.14993743705557422"/>
        <name val="Calibri Light"/>
        <family val="2"/>
        <scheme val="major"/>
      </font>
      <numFmt numFmtId="6" formatCode="#,##0_);[Red]\(#,##0\)"/>
      <fill>
        <patternFill patternType="none">
          <fgColor indexed="64"/>
          <bgColor indexed="65"/>
        </patternFill>
      </fill>
      <alignment horizontal="right" vertical="center" textRotation="0" wrapText="0" indent="2" justifyLastLine="0" shrinkToFit="0" readingOrder="0"/>
      <border diagonalUp="0" diagonalDown="0" outline="0">
        <left/>
        <right/>
        <top/>
        <bottom/>
      </border>
    </dxf>
    <dxf>
      <font>
        <strike val="0"/>
        <outline val="0"/>
        <shadow val="0"/>
        <u val="none"/>
        <vertAlign val="baseline"/>
        <sz val="12"/>
        <color theme="1" tint="0.14993743705557422"/>
        <name val="Calibri"/>
        <family val="2"/>
        <scheme val="minor"/>
      </font>
      <fill>
        <patternFill patternType="solid">
          <fgColor indexed="64"/>
          <bgColor theme="4" tint="0.79998168889431442"/>
        </patternFill>
      </fill>
      <protection locked="1" hidden="0"/>
    </dxf>
    <dxf>
      <font>
        <b/>
        <i val="0"/>
        <strike val="0"/>
        <condense val="0"/>
        <extend val="0"/>
        <outline val="0"/>
        <shadow val="0"/>
        <u val="none"/>
        <vertAlign val="baseline"/>
        <sz val="12"/>
        <color theme="1" tint="0.14993743705557422"/>
        <name val="Calibri Light"/>
        <family val="2"/>
        <scheme val="major"/>
      </font>
      <numFmt numFmtId="6" formatCode="#,##0_);[Red]\(#,##0\)"/>
      <fill>
        <patternFill patternType="none">
          <fgColor indexed="64"/>
          <bgColor indexed="65"/>
        </patternFill>
      </fill>
      <alignment horizontal="right" vertical="center" textRotation="0" wrapText="0" indent="1" justifyLastLine="0" shrinkToFit="0" readingOrder="0"/>
      <border diagonalUp="0" diagonalDown="0" outline="0">
        <left/>
        <right/>
        <top/>
        <bottom/>
      </border>
    </dxf>
    <dxf>
      <font>
        <strike val="0"/>
        <outline val="0"/>
        <shadow val="0"/>
        <u val="none"/>
        <vertAlign val="baseline"/>
        <sz val="12"/>
        <color theme="1" tint="0.14993743705557422"/>
        <name val="Calibri"/>
        <family val="2"/>
        <scheme val="minor"/>
      </font>
      <fill>
        <patternFill patternType="solid">
          <fgColor indexed="64"/>
          <bgColor theme="4" tint="0.79998168889431442"/>
        </patternFill>
      </fill>
      <protection locked="0" hidden="0"/>
    </dxf>
    <dxf>
      <font>
        <b/>
        <i val="0"/>
        <strike val="0"/>
        <condense val="0"/>
        <extend val="0"/>
        <outline val="0"/>
        <shadow val="0"/>
        <u val="none"/>
        <vertAlign val="baseline"/>
        <sz val="12"/>
        <color theme="1" tint="0.14993743705557422"/>
        <name val="Calibri Light"/>
        <family val="2"/>
        <scheme val="major"/>
      </font>
      <fill>
        <patternFill patternType="none">
          <fgColor indexed="64"/>
          <bgColor indexed="65"/>
        </patternFill>
      </fill>
      <alignment horizontal="left" vertical="center" textRotation="0" wrapText="0" indent="2" justifyLastLine="0" shrinkToFit="0" readingOrder="0"/>
      <border diagonalUp="0" diagonalDown="0" outline="0">
        <left/>
        <right/>
        <top/>
        <bottom/>
      </border>
    </dxf>
    <dxf>
      <font>
        <strike val="0"/>
        <outline val="0"/>
        <shadow val="0"/>
        <u val="none"/>
        <vertAlign val="baseline"/>
        <sz val="12"/>
        <color theme="1" tint="0.14993743705557422"/>
        <name val="Calibri"/>
        <family val="2"/>
        <scheme val="minor"/>
      </font>
      <fill>
        <patternFill patternType="solid">
          <fgColor indexed="64"/>
          <bgColor theme="4" tint="0.79998168889431442"/>
        </patternFill>
      </fill>
      <protection locked="0" hidden="0"/>
    </dxf>
    <dxf>
      <font>
        <b/>
        <i val="0"/>
        <strike val="0"/>
        <condense val="0"/>
        <extend val="0"/>
        <outline val="0"/>
        <shadow val="0"/>
        <u val="none"/>
        <vertAlign val="baseline"/>
        <sz val="12"/>
        <color theme="1" tint="0.14993743705557422"/>
        <name val="Calibri Light"/>
        <family val="2"/>
        <scheme val="major"/>
      </font>
      <fill>
        <patternFill patternType="none">
          <fgColor indexed="64"/>
          <bgColor indexed="65"/>
        </patternFill>
      </fill>
      <alignment horizontal="left" vertical="center" textRotation="0" wrapText="0" indent="2" justifyLastLine="0" shrinkToFit="0" readingOrder="0"/>
      <border diagonalUp="0" diagonalDown="0" outline="0">
        <left/>
        <right/>
        <top/>
        <bottom/>
      </border>
    </dxf>
    <dxf>
      <font>
        <strike val="0"/>
        <outline val="0"/>
        <shadow val="0"/>
        <u val="none"/>
        <vertAlign val="baseline"/>
        <sz val="12"/>
        <color theme="1" tint="0.14993743705557422"/>
        <name val="Calibri"/>
        <family val="2"/>
        <scheme val="minor"/>
      </font>
      <fill>
        <patternFill patternType="solid">
          <fgColor indexed="64"/>
          <bgColor theme="4" tint="0.79998168889431442"/>
        </patternFill>
      </fill>
      <protection locked="0" hidden="0"/>
    </dxf>
    <dxf>
      <font>
        <b/>
        <strike val="0"/>
        <outline val="0"/>
        <shadow val="0"/>
        <u val="none"/>
        <vertAlign val="baseline"/>
        <sz val="12"/>
        <color theme="1" tint="0.14993743705557422"/>
        <name val="Calibri Light"/>
        <family val="2"/>
        <scheme val="major"/>
      </font>
    </dxf>
    <dxf>
      <protection locked="0" hidden="0"/>
    </dxf>
    <dxf>
      <font>
        <b/>
        <strike val="0"/>
        <outline val="0"/>
        <shadow val="0"/>
        <u val="none"/>
        <vertAlign val="baseline"/>
        <sz val="12"/>
        <color theme="1" tint="0.14993743705557422"/>
        <name val="Calibri Light"/>
        <family val="2"/>
        <scheme val="major"/>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4" tint="0.79998168889431442"/>
        </patternFill>
      </fill>
    </dxf>
    <dxf>
      <font>
        <color rgb="FF006100"/>
      </font>
      <fill>
        <patternFill>
          <bgColor rgb="FFC6EFCE"/>
        </patternFill>
      </fill>
    </dxf>
    <dxf>
      <fill>
        <patternFill>
          <bgColor theme="0"/>
        </patternFill>
      </fill>
    </dxf>
    <dxf>
      <font>
        <color rgb="FF9C0006"/>
      </font>
      <fill>
        <patternFill>
          <bgColor rgb="FFFFC7CE"/>
        </patternFill>
      </fill>
    </dxf>
    <dxf>
      <font>
        <strike val="0"/>
        <outline val="0"/>
        <shadow val="0"/>
        <u val="none"/>
        <vertAlign val="baseline"/>
        <sz val="12"/>
      </font>
      <protection locked="1" hidden="0"/>
    </dxf>
    <dxf>
      <font>
        <strike val="0"/>
        <outline val="0"/>
        <shadow val="0"/>
        <u val="none"/>
        <vertAlign val="baseline"/>
        <sz val="12"/>
      </font>
      <protection locked="1" hidden="0"/>
    </dxf>
    <dxf>
      <font>
        <strike val="0"/>
        <outline val="0"/>
        <shadow val="0"/>
        <u val="none"/>
        <vertAlign val="baseline"/>
        <sz val="12"/>
      </font>
      <protection locked="1" hidden="0"/>
    </dxf>
    <dxf>
      <font>
        <strike val="0"/>
        <outline val="0"/>
        <shadow val="0"/>
        <u val="none"/>
        <vertAlign val="baseline"/>
        <sz val="12"/>
        <color theme="1"/>
        <name val="Calibri"/>
        <family val="2"/>
        <scheme val="minor"/>
      </font>
      <fill>
        <patternFill>
          <fgColor indexed="64"/>
          <bgColor theme="4"/>
        </patternFill>
      </fill>
      <alignment vertical="center" textRotation="0" indent="0" justifyLastLine="0" shrinkToFit="0" readingOrder="0"/>
    </dxf>
    <dxf>
      <font>
        <strike val="0"/>
        <outline val="0"/>
        <shadow val="0"/>
        <u val="none"/>
        <vertAlign val="baseline"/>
        <sz val="12"/>
      </font>
      <protection locked="1" hidden="0"/>
    </dxf>
    <dxf>
      <font>
        <strike val="0"/>
        <outline val="0"/>
        <shadow val="0"/>
        <u val="none"/>
        <vertAlign val="baseline"/>
        <sz val="12"/>
        <color theme="1" tint="0.14993743705557422"/>
        <name val="Calibri Light"/>
        <family val="2"/>
        <scheme val="major"/>
      </font>
    </dxf>
    <dxf>
      <font>
        <b/>
        <i val="0"/>
        <color theme="6" tint="-0.24994659260841701"/>
      </font>
    </dxf>
    <dxf>
      <font>
        <b/>
        <i val="0"/>
        <color rgb="FFFF0000"/>
      </font>
      <fill>
        <patternFill patternType="none">
          <bgColor auto="1"/>
        </patternFill>
      </fill>
    </dxf>
    <dxf>
      <font>
        <b/>
        <i val="0"/>
        <color rgb="FFFF0000"/>
      </font>
    </dxf>
    <dxf>
      <font>
        <b/>
        <i val="0"/>
        <color theme="6" tint="-0.499984740745262"/>
      </font>
    </dxf>
    <dxf>
      <font>
        <b/>
        <i val="0"/>
        <color rgb="FFFF0000"/>
      </font>
    </dxf>
    <dxf>
      <font>
        <b/>
        <i val="0"/>
        <color rgb="FFFF000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b val="0"/>
        <i/>
        <color theme="0" tint="-0.24994659260841701"/>
      </font>
      <fill>
        <patternFill>
          <bgColor theme="0" tint="-4.9989318521683403E-2"/>
        </patternFill>
      </fill>
    </dxf>
    <dxf>
      <font>
        <b val="0"/>
        <i val="0"/>
        <color theme="0" tint="-0.24994659260841701"/>
      </font>
      <fill>
        <patternFill>
          <bgColor theme="0" tint="-4.9989318521683403E-2"/>
        </patternFill>
      </fill>
    </dxf>
    <dxf>
      <font>
        <color theme="0"/>
      </font>
      <fill>
        <patternFill>
          <bgColor theme="0"/>
        </patternFill>
      </fill>
    </dxf>
    <dxf>
      <font>
        <color theme="0"/>
      </font>
      <fill>
        <patternFill>
          <bgColor theme="0"/>
        </patternFill>
      </fill>
    </dxf>
    <dxf>
      <font>
        <b/>
        <i val="0"/>
        <color rgb="FF00B050"/>
      </font>
      <fill>
        <patternFill>
          <bgColor theme="9" tint="0.79998168889431442"/>
        </patternFill>
      </fill>
    </dxf>
    <dxf>
      <font>
        <b/>
        <i val="0"/>
        <color rgb="FF00B050"/>
      </font>
      <fill>
        <patternFill>
          <bgColor theme="9" tint="0.79998168889431442"/>
        </patternFill>
      </fill>
    </dxf>
    <dxf>
      <font>
        <b val="0"/>
        <i val="0"/>
        <strike val="0"/>
        <condense val="0"/>
        <extend val="0"/>
        <outline val="0"/>
        <shadow val="0"/>
        <u val="none"/>
        <vertAlign val="baseline"/>
        <sz val="8"/>
        <color rgb="FFFF0000"/>
        <name val="Arial"/>
        <family val="2"/>
        <scheme val="none"/>
      </font>
      <numFmt numFmtId="191" formatCode="0;0;\-"/>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1" hidden="1"/>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1" tint="0.249977111117893"/>
        <name val="Arial"/>
        <family val="2"/>
        <scheme val="none"/>
      </font>
      <numFmt numFmtId="176" formatCode="#,##0;\(#,##0\);\-"/>
      <fill>
        <patternFill patternType="solid">
          <fgColor indexed="64"/>
          <bgColor theme="0"/>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1" hidden="1"/>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protection locked="0" hidden="0"/>
    </dxf>
    <dxf>
      <border outline="0">
        <left style="thin">
          <color theme="0"/>
        </left>
      </border>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tint="0.499984740745262"/>
        <name val="Arial"/>
        <family val="2"/>
        <scheme val="none"/>
      </font>
      <fill>
        <patternFill patternType="solid">
          <fgColor indexed="64"/>
          <bgColor theme="0" tint="-4.9989318521683403E-2"/>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8"/>
        <color rgb="FFFF0000"/>
        <name val="Arial"/>
        <family val="2"/>
        <scheme val="none"/>
      </font>
      <numFmt numFmtId="191" formatCode="0;0;\-"/>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1" hidden="1"/>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1" tint="0.249977111117893"/>
        <name val="Arial"/>
        <family val="2"/>
        <scheme val="none"/>
      </font>
      <numFmt numFmtId="176" formatCode="#,##0;\(#,##0\);\-"/>
      <fill>
        <patternFill patternType="solid">
          <fgColor indexed="64"/>
          <bgColor theme="0"/>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1" hidden="1"/>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protection locked="0" hidden="0"/>
    </dxf>
    <dxf>
      <border outline="0">
        <left style="thin">
          <color theme="0"/>
        </left>
      </border>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tint="0.499984740745262"/>
        <name val="Arial"/>
        <family val="2"/>
        <scheme val="none"/>
      </font>
      <fill>
        <patternFill patternType="solid">
          <fgColor indexed="64"/>
          <bgColor theme="0" tint="-4.9989318521683403E-2"/>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8"/>
        <color rgb="FFFF0000"/>
        <name val="Arial"/>
        <family val="2"/>
        <scheme val="none"/>
      </font>
      <numFmt numFmtId="191" formatCode="0;0;\-"/>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1" hidden="1"/>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1" tint="0.249977111117893"/>
        <name val="Arial"/>
        <family val="2"/>
        <scheme val="none"/>
      </font>
      <numFmt numFmtId="176" formatCode="#,##0;\(#,##0\);\-"/>
      <fill>
        <patternFill patternType="solid">
          <fgColor indexed="64"/>
          <bgColor theme="0"/>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1" hidden="1"/>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protection locked="0" hidden="0"/>
    </dxf>
    <dxf>
      <border outline="0">
        <left style="thin">
          <color theme="0"/>
        </left>
      </border>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tint="0.499984740745262"/>
        <name val="Arial"/>
        <family val="2"/>
        <scheme val="none"/>
      </font>
      <fill>
        <patternFill patternType="solid">
          <fgColor indexed="64"/>
          <bgColor theme="0" tint="-4.9989318521683403E-2"/>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8"/>
        <color rgb="FFFF0000"/>
        <name val="Arial"/>
        <family val="2"/>
        <scheme val="none"/>
      </font>
      <numFmt numFmtId="191" formatCode="0;0;\-"/>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1" hidden="1"/>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1" tint="0.249977111117893"/>
        <name val="Arial"/>
        <family val="2"/>
        <scheme val="none"/>
      </font>
      <numFmt numFmtId="176" formatCode="#,##0;\(#,##0\);\-"/>
      <fill>
        <patternFill patternType="solid">
          <fgColor indexed="64"/>
          <bgColor theme="0"/>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1" hidden="1"/>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protection locked="0" hidden="0"/>
    </dxf>
    <dxf>
      <border outline="0">
        <left style="thin">
          <color theme="0"/>
        </left>
      </border>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tint="0.499984740745262"/>
        <name val="Arial"/>
        <family val="2"/>
        <scheme val="none"/>
      </font>
      <fill>
        <patternFill patternType="solid">
          <fgColor indexed="64"/>
          <bgColor theme="0" tint="-4.9989318521683403E-2"/>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8"/>
        <color rgb="FFFF0000"/>
        <name val="Arial"/>
        <family val="2"/>
        <scheme val="none"/>
      </font>
      <numFmt numFmtId="191" formatCode="0;0;\-"/>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1" hidden="1"/>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1" tint="0.249977111117893"/>
        <name val="Arial"/>
        <family val="2"/>
        <scheme val="none"/>
      </font>
      <numFmt numFmtId="176" formatCode="#,##0;\(#,##0\);\-"/>
      <fill>
        <patternFill patternType="solid">
          <fgColor indexed="64"/>
          <bgColor theme="0"/>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1" hidden="1"/>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protection locked="0" hidden="0"/>
    </dxf>
    <dxf>
      <border outline="0">
        <left style="thin">
          <color theme="0"/>
        </left>
      </border>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tint="0.499984740745262"/>
        <name val="Arial"/>
        <family val="2"/>
        <scheme val="none"/>
      </font>
      <fill>
        <patternFill patternType="solid">
          <fgColor indexed="64"/>
          <bgColor theme="0" tint="-4.9989318521683403E-2"/>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8"/>
        <color rgb="FFFF0000"/>
        <name val="Arial"/>
        <family val="2"/>
        <scheme val="none"/>
      </font>
      <numFmt numFmtId="191" formatCode="0;0;\-"/>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1" hidden="1"/>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1" tint="0.249977111117893"/>
        <name val="Arial"/>
        <family val="2"/>
        <scheme val="none"/>
      </font>
      <numFmt numFmtId="176" formatCode="#,##0;\(#,##0\);\-"/>
      <fill>
        <patternFill patternType="solid">
          <fgColor indexed="64"/>
          <bgColor theme="0"/>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1" hidden="1"/>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protection locked="0" hidden="0"/>
    </dxf>
    <dxf>
      <border outline="0">
        <left style="thin">
          <color theme="0"/>
        </left>
      </border>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tint="0.499984740745262"/>
        <name val="Arial"/>
        <family val="2"/>
        <scheme val="none"/>
      </font>
      <fill>
        <patternFill patternType="solid">
          <fgColor indexed="64"/>
          <bgColor theme="0" tint="-4.9989318521683403E-2"/>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8"/>
        <color rgb="FFFF0000"/>
        <name val="Arial"/>
        <family val="2"/>
        <scheme val="none"/>
      </font>
      <numFmt numFmtId="191" formatCode="0;0;\-"/>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1" hidden="1"/>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1" tint="0.249977111117893"/>
        <name val="Arial"/>
        <family val="2"/>
        <scheme val="none"/>
      </font>
      <numFmt numFmtId="176" formatCode="#,##0;\(#,##0\);\-"/>
      <fill>
        <patternFill patternType="solid">
          <fgColor indexed="64"/>
          <bgColor theme="0"/>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1" hidden="1"/>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protection locked="0" hidden="0"/>
    </dxf>
    <dxf>
      <border outline="0">
        <left style="thin">
          <color theme="0"/>
        </left>
      </border>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tint="0.499984740745262"/>
        <name val="Arial"/>
        <family val="2"/>
        <scheme val="none"/>
      </font>
      <fill>
        <patternFill patternType="solid">
          <fgColor indexed="64"/>
          <bgColor theme="0" tint="-4.9989318521683403E-2"/>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8"/>
        <color rgb="FFFF0000"/>
        <name val="Arial"/>
        <family val="2"/>
        <scheme val="none"/>
      </font>
      <numFmt numFmtId="191" formatCode="0;0;\-"/>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1" hidden="1"/>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1" tint="0.249977111117893"/>
        <name val="Arial"/>
        <family val="2"/>
        <scheme val="none"/>
      </font>
      <numFmt numFmtId="176" formatCode="#,##0;\(#,##0\);\-"/>
      <fill>
        <patternFill patternType="solid">
          <fgColor indexed="64"/>
          <bgColor theme="0"/>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1" hidden="1"/>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protection locked="0" hidden="0"/>
    </dxf>
    <dxf>
      <border outline="0">
        <left style="thin">
          <color theme="0"/>
        </left>
      </border>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tint="0.499984740745262"/>
        <name val="Arial"/>
        <family val="2"/>
        <scheme val="none"/>
      </font>
      <fill>
        <patternFill patternType="solid">
          <fgColor indexed="64"/>
          <bgColor theme="0" tint="-4.9989318521683403E-2"/>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8"/>
        <color rgb="FFFF0000"/>
        <name val="Arial"/>
        <family val="2"/>
        <scheme val="none"/>
      </font>
      <numFmt numFmtId="191" formatCode="0;0;\-"/>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1" hidden="1"/>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1" tint="0.249977111117893"/>
        <name val="Arial"/>
        <family val="2"/>
        <scheme val="none"/>
      </font>
      <numFmt numFmtId="176" formatCode="#,##0;\(#,##0\);\-"/>
      <fill>
        <patternFill patternType="solid">
          <fgColor indexed="64"/>
          <bgColor theme="0"/>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1" hidden="1"/>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protection locked="0" hidden="0"/>
    </dxf>
    <dxf>
      <border outline="0">
        <left style="thin">
          <color theme="0"/>
        </left>
      </border>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tint="0.499984740745262"/>
        <name val="Arial"/>
        <family val="2"/>
        <scheme val="none"/>
      </font>
      <fill>
        <patternFill patternType="solid">
          <fgColor indexed="64"/>
          <bgColor theme="0" tint="-4.9989318521683403E-2"/>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8"/>
        <color rgb="FFFF0000"/>
        <name val="Arial"/>
        <family val="2"/>
        <scheme val="none"/>
      </font>
      <numFmt numFmtId="191" formatCode="0;0;\-"/>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1" hidden="1"/>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1" tint="0.249977111117893"/>
        <name val="Arial"/>
        <family val="2"/>
        <scheme val="none"/>
      </font>
      <numFmt numFmtId="176" formatCode="#,##0;\(#,##0\);\-"/>
      <fill>
        <patternFill patternType="solid">
          <fgColor indexed="64"/>
          <bgColor theme="0"/>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1" hidden="1"/>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protection locked="0" hidden="0"/>
    </dxf>
    <dxf>
      <border outline="0">
        <left style="thin">
          <color theme="0"/>
        </left>
      </border>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tint="0.499984740745262"/>
        <name val="Arial"/>
        <family val="2"/>
        <scheme val="none"/>
      </font>
      <fill>
        <patternFill patternType="solid">
          <fgColor indexed="64"/>
          <bgColor theme="0" tint="-4.9989318521683403E-2"/>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8"/>
        <color rgb="FFFF0000"/>
        <name val="Arial"/>
        <family val="2"/>
        <scheme val="none"/>
      </font>
      <numFmt numFmtId="191" formatCode="0;0;\-"/>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1" hidden="1"/>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1" tint="0.249977111117893"/>
        <name val="Arial"/>
        <family val="2"/>
        <scheme val="none"/>
      </font>
      <numFmt numFmtId="176" formatCode="#,##0;\(#,##0\);\-"/>
      <fill>
        <patternFill patternType="solid">
          <fgColor indexed="64"/>
          <bgColor theme="0"/>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1" hidden="1"/>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protection locked="0" hidden="0"/>
    </dxf>
    <dxf>
      <border outline="0">
        <left style="thin">
          <color theme="0"/>
        </left>
      </border>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tint="0.499984740745262"/>
        <name val="Arial"/>
        <family val="2"/>
        <scheme val="none"/>
      </font>
      <fill>
        <patternFill patternType="solid">
          <fgColor indexed="64"/>
          <bgColor theme="0" tint="-4.9989318521683403E-2"/>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8"/>
        <color rgb="FFFF0000"/>
        <name val="Arial"/>
        <family val="2"/>
        <scheme val="none"/>
      </font>
      <numFmt numFmtId="191" formatCode="0;0;\-"/>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1" hidden="1"/>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1" tint="0.249977111117893"/>
        <name val="Arial"/>
        <family val="2"/>
        <scheme val="none"/>
      </font>
      <numFmt numFmtId="176" formatCode="#,##0;\(#,##0\);\-"/>
      <fill>
        <patternFill patternType="solid">
          <fgColor indexed="64"/>
          <bgColor theme="0"/>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1" hidden="1"/>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protection locked="0" hidden="0"/>
    </dxf>
    <dxf>
      <border outline="0">
        <left style="thin">
          <color theme="0"/>
        </left>
      </border>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tint="0.499984740745262"/>
        <name val="Arial"/>
        <family val="2"/>
        <scheme val="none"/>
      </font>
      <fill>
        <patternFill patternType="solid">
          <fgColor indexed="64"/>
          <bgColor theme="0" tint="-4.9989318521683403E-2"/>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8"/>
        <color rgb="FFFF0000"/>
        <name val="Arial"/>
        <family val="2"/>
        <scheme val="none"/>
      </font>
      <numFmt numFmtId="191" formatCode="0;0;\-"/>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1" hidden="1"/>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1" tint="0.249977111117893"/>
        <name val="Arial"/>
        <family val="2"/>
        <scheme val="none"/>
      </font>
      <numFmt numFmtId="176" formatCode="#,##0;\(#,##0\);\-"/>
      <fill>
        <patternFill patternType="solid">
          <fgColor indexed="64"/>
          <bgColor theme="0"/>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1" hidden="1"/>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protection locked="0" hidden="0"/>
    </dxf>
    <dxf>
      <border outline="0">
        <left style="thin">
          <color theme="0"/>
        </left>
      </border>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tint="0.499984740745262"/>
        <name val="Arial"/>
        <family val="2"/>
        <scheme val="none"/>
      </font>
      <fill>
        <patternFill patternType="solid">
          <fgColor indexed="64"/>
          <bgColor theme="0" tint="-4.9989318521683403E-2"/>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8"/>
        <color rgb="FFFF0000"/>
        <name val="Arial"/>
        <family val="2"/>
        <scheme val="none"/>
      </font>
      <numFmt numFmtId="191" formatCode="0;0;\-"/>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1" hidden="1"/>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1" tint="0.249977111117893"/>
        <name val="Arial"/>
        <family val="2"/>
        <scheme val="none"/>
      </font>
      <numFmt numFmtId="176" formatCode="#,##0;\(#,##0\);\-"/>
      <fill>
        <patternFill patternType="solid">
          <fgColor indexed="64"/>
          <bgColor theme="0"/>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1" hidden="1"/>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protection locked="0" hidden="0"/>
    </dxf>
    <dxf>
      <border outline="0">
        <left style="thin">
          <color theme="0"/>
        </left>
      </border>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tint="0.499984740745262"/>
        <name val="Arial"/>
        <family val="2"/>
        <scheme val="none"/>
      </font>
      <fill>
        <patternFill patternType="solid">
          <fgColor indexed="64"/>
          <bgColor theme="0" tint="-4.9989318521683403E-2"/>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8"/>
        <color rgb="FFFF0000"/>
        <name val="Arial"/>
        <family val="2"/>
        <scheme val="none"/>
      </font>
      <numFmt numFmtId="191" formatCode="0;0;\-"/>
      <fill>
        <patternFill patternType="solid">
          <fgColor indexed="64"/>
          <bgColor rgb="FFEEF3F8"/>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border>
      <protection locked="1" hidden="1"/>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F9F9F9"/>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left" vertical="center" textRotation="0" wrapText="1"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val="0"/>
        <i val="0"/>
        <strike val="0"/>
        <condense val="0"/>
        <extend val="0"/>
        <outline val="0"/>
        <shadow val="0"/>
        <u val="none"/>
        <vertAlign val="baseline"/>
        <sz val="8"/>
        <color theme="1" tint="0.249977111117893"/>
        <name val="Arial"/>
        <family val="2"/>
        <scheme val="none"/>
      </font>
      <numFmt numFmtId="176" formatCode="#,##0;\(#,##0\);\-"/>
      <fill>
        <patternFill patternType="solid">
          <fgColor indexed="64"/>
          <bgColor theme="0"/>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protection locked="1" hidden="1"/>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protection locked="0" hidden="0"/>
    </dxf>
    <dxf>
      <font>
        <b val="0"/>
        <i val="0"/>
        <strike val="0"/>
        <condense val="0"/>
        <extend val="0"/>
        <outline val="0"/>
        <shadow val="0"/>
        <u val="none"/>
        <vertAlign val="baseline"/>
        <sz val="8"/>
        <color theme="8"/>
        <name val="Arial"/>
        <family val="2"/>
        <scheme val="none"/>
      </font>
      <fill>
        <patternFill patternType="solid">
          <fgColor indexed="64"/>
          <bgColor rgb="FFEEF3F8"/>
        </patternFill>
      </fill>
      <alignment horizontal="center" vertical="center" textRotation="0" wrapText="0" indent="0" justifyLastLine="0" shrinkToFit="0" readingOrder="0"/>
      <border diagonalUp="0" diagonalDown="0" outline="0">
        <left/>
        <right style="thin">
          <color theme="0"/>
        </right>
        <top style="thin">
          <color theme="0"/>
        </top>
        <bottom style="thin">
          <color theme="0"/>
        </bottom>
      </border>
      <protection locked="0" hidden="0"/>
    </dxf>
    <dxf>
      <border outline="0">
        <left style="thin">
          <color theme="0"/>
        </left>
      </border>
    </dxf>
    <dxf>
      <font>
        <b val="0"/>
        <i val="0"/>
        <strike val="0"/>
        <condense val="0"/>
        <extend val="0"/>
        <outline val="0"/>
        <shadow val="0"/>
        <u val="none"/>
        <vertAlign val="baseline"/>
        <sz val="8"/>
        <color rgb="FF0000FF"/>
        <name val="Arial"/>
        <family val="2"/>
        <scheme val="none"/>
      </font>
      <fill>
        <patternFill patternType="solid">
          <fgColor indexed="64"/>
          <bgColor rgb="FFEEF3F8"/>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8"/>
        <color theme="1" tint="0.499984740745262"/>
        <name val="Arial"/>
        <family val="2"/>
        <scheme val="none"/>
      </font>
      <fill>
        <patternFill patternType="solid">
          <fgColor indexed="64"/>
          <bgColor theme="0" tint="-4.9989318521683403E-2"/>
        </patternFill>
      </fill>
      <alignment horizontal="center" vertical="center" textRotation="0" wrapText="0" indent="0" justifyLastLine="0" shrinkToFit="0" readingOrder="0"/>
      <protection locked="1" hidden="1"/>
    </dxf>
    <dxf>
      <font>
        <color theme="0" tint="-0.34998626667073579"/>
      </font>
      <fill>
        <patternFill>
          <bgColor theme="0" tint="-4.9989318521683403E-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FF0000"/>
      </font>
    </dxf>
    <dxf>
      <font>
        <color rgb="FF006100"/>
      </font>
      <fill>
        <patternFill>
          <bgColor rgb="FFC6EFCE"/>
        </patternFill>
      </fill>
    </dxf>
    <dxf>
      <font>
        <color theme="9" tint="-0.24994659260841701"/>
      </font>
      <fill>
        <patternFill>
          <bgColor theme="0"/>
        </patternFill>
      </fill>
    </dxf>
    <dxf>
      <font>
        <color rgb="FF9C0006"/>
      </font>
      <fill>
        <patternFill>
          <bgColor rgb="FFFFC7CE"/>
        </patternFill>
      </fill>
    </dxf>
    <dxf>
      <font>
        <color rgb="FF006100"/>
      </font>
      <fill>
        <patternFill>
          <bgColor rgb="FFC6EFCE"/>
        </patternFill>
      </fill>
    </dxf>
    <dxf>
      <font>
        <color rgb="FF9C5700"/>
      </font>
      <fill>
        <patternFill>
          <bgColor theme="0"/>
        </patternFill>
      </fill>
    </dxf>
    <dxf>
      <font>
        <color rgb="FF9C0006"/>
      </font>
      <fill>
        <patternFill>
          <bgColor rgb="FFFFC7CE"/>
        </patternFill>
      </fill>
    </dxf>
    <dxf>
      <font>
        <color rgb="FFFF0000"/>
      </font>
    </dxf>
    <dxf>
      <font>
        <color rgb="FF006100"/>
      </font>
      <fill>
        <patternFill>
          <bgColor rgb="FFC6EFCE"/>
        </patternFill>
      </fill>
    </dxf>
    <dxf>
      <font>
        <color theme="9" tint="-0.24994659260841701"/>
      </font>
      <fill>
        <patternFill>
          <bgColor rgb="FFFDF0E9"/>
        </patternFill>
      </fill>
    </dxf>
    <dxf>
      <font>
        <color rgb="FF9C0006"/>
      </font>
      <fill>
        <patternFill>
          <bgColor rgb="FFFFC7CE"/>
        </patternFill>
      </fill>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rgb="FF00B050"/>
      </font>
      <fill>
        <patternFill>
          <bgColor theme="9" tint="0.79998168889431442"/>
        </patternFill>
      </fill>
    </dxf>
    <dxf>
      <font>
        <b val="0"/>
        <i/>
        <color theme="0" tint="-0.24994659260841701"/>
      </font>
      <fill>
        <patternFill>
          <bgColor theme="0" tint="-4.9989318521683403E-2"/>
        </patternFill>
      </fill>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b val="0"/>
        <i/>
        <color theme="0" tint="-0.24994659260841701"/>
      </font>
      <fill>
        <patternFill patternType="lightUp">
          <fgColor theme="0" tint="-0.24994659260841701"/>
          <bgColor theme="0" tint="-4.9989318521683403E-2"/>
        </patternFill>
      </fill>
    </dxf>
    <dxf>
      <font>
        <b val="0"/>
        <i/>
        <color theme="0" tint="-0.24994659260841701"/>
      </font>
      <fill>
        <patternFill patternType="lightUp">
          <fgColor theme="0" tint="-0.24994659260841701"/>
          <bgColor theme="0" tint="-4.9989318521683403E-2"/>
        </patternFill>
      </fill>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bgColor theme="0"/>
        </patternFill>
      </fill>
    </dxf>
    <dxf>
      <font>
        <b val="0"/>
        <i/>
        <color theme="0" tint="-0.24994659260841701"/>
      </font>
      <fill>
        <patternFill>
          <bgColor theme="0" tint="-4.9989318521683403E-2"/>
        </patternFill>
      </fill>
    </dxf>
    <dxf>
      <font>
        <b val="0"/>
        <i/>
        <color theme="0" tint="-0.24994659260841701"/>
      </font>
      <fill>
        <patternFill>
          <bgColor theme="0" tint="-4.9989318521683403E-2"/>
        </patternFill>
      </fill>
    </dxf>
    <dxf>
      <font>
        <b val="0"/>
        <i/>
        <color theme="0" tint="-0.24994659260841701"/>
      </font>
      <fill>
        <patternFill>
          <bgColor theme="0" tint="-4.9989318521683403E-2"/>
        </patternFill>
      </fill>
    </dxf>
    <dxf>
      <font>
        <b/>
        <i val="0"/>
        <color rgb="FF3B4E87"/>
      </font>
    </dxf>
    <dxf>
      <font>
        <b/>
        <i val="0"/>
        <color rgb="FF3B4E87"/>
      </font>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b val="0"/>
        <i/>
        <color theme="0" tint="-0.24994659260841701"/>
      </font>
      <fill>
        <patternFill patternType="lightUp">
          <fgColor theme="0" tint="-0.24994659260841701"/>
          <bgColor theme="0" tint="-4.9989318521683403E-2"/>
        </patternFill>
      </fill>
    </dxf>
    <dxf>
      <font>
        <b val="0"/>
        <i/>
        <color theme="0" tint="-0.24994659260841701"/>
      </font>
      <fill>
        <patternFill patternType="lightUp">
          <fgColor theme="0" tint="-0.24994659260841701"/>
          <bgColor theme="0" tint="-4.9989318521683403E-2"/>
        </patternFill>
      </fill>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b val="0"/>
        <i/>
        <color theme="0" tint="-0.24994659260841701"/>
      </font>
      <fill>
        <patternFill>
          <bgColor theme="0" tint="-4.9989318521683403E-2"/>
        </patternFill>
      </fill>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b val="0"/>
        <i/>
        <color theme="0" tint="-0.24994659260841701"/>
      </font>
      <fill>
        <patternFill>
          <bgColor theme="0" tint="-4.9989318521683403E-2"/>
        </patternFill>
      </fill>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b val="0"/>
        <i/>
        <color theme="0" tint="-0.24994659260841701"/>
      </font>
      <fill>
        <patternFill patternType="lightUp">
          <fgColor theme="0" tint="-0.24994659260841701"/>
          <bgColor theme="0" tint="-4.9989318521683403E-2"/>
        </patternFill>
      </fill>
    </dxf>
    <dxf>
      <font>
        <b val="0"/>
        <i/>
        <color theme="0" tint="-0.24994659260841701"/>
      </font>
      <fill>
        <patternFill patternType="lightUp">
          <fgColor theme="0" tint="-0.24994659260841701"/>
          <bgColor theme="0" tint="-4.9989318521683403E-2"/>
        </patternFill>
      </fill>
    </dxf>
    <dxf>
      <font>
        <color theme="0"/>
      </font>
      <fill>
        <patternFill patternType="lightUp">
          <fgColor theme="0"/>
          <bgColor theme="0" tint="-4.9989318521683403E-2"/>
        </patternFill>
      </fill>
    </dxf>
    <dxf>
      <font>
        <color theme="0"/>
      </font>
      <fill>
        <patternFill patternType="lightUp">
          <fgColor theme="0"/>
          <bgColor theme="0" tint="-4.9989318521683403E-2"/>
        </patternFill>
      </fill>
    </dxf>
    <dxf>
      <font>
        <color theme="0"/>
      </font>
      <fill>
        <patternFill patternType="lightUp">
          <fgColor theme="0"/>
          <bgColor theme="0" tint="-4.9989318521683403E-2"/>
        </patternFill>
      </fill>
    </dxf>
    <dxf>
      <font>
        <color theme="0"/>
      </font>
      <fill>
        <patternFill patternType="lightUp">
          <fgColor theme="0"/>
          <bgColor theme="0" tint="-4.9989318521683403E-2"/>
        </patternFill>
      </fill>
    </dxf>
    <dxf>
      <font>
        <color theme="0" tint="-0.24994659260841701"/>
      </font>
      <fill>
        <patternFill patternType="lightUp">
          <fgColor theme="0" tint="-0.24994659260841701"/>
          <bgColor theme="0" tint="-4.9989318521683403E-2"/>
        </patternFill>
      </fill>
      <border>
        <left/>
        <right/>
        <top/>
        <bottom/>
      </border>
    </dxf>
    <dxf>
      <font>
        <color theme="0" tint="-0.24994659260841701"/>
      </font>
      <fill>
        <patternFill patternType="lightUp">
          <fgColor theme="0" tint="-0.24994659260841701"/>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tint="-0.24994659260841701"/>
      </font>
      <fill>
        <patternFill patternType="lightUp">
          <fgColor theme="0" tint="-0.24994659260841701"/>
          <bgColor theme="0" tint="-4.9989318521683403E-2"/>
        </patternFill>
      </fill>
    </dxf>
    <dxf>
      <font>
        <color theme="0" tint="-0.24994659260841701"/>
      </font>
      <fill>
        <patternFill patternType="lightUp">
          <fgColor theme="0" tint="-0.24994659260841701"/>
          <bgColor theme="0" tint="-4.9989318521683403E-2"/>
        </patternFill>
      </fill>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tint="-0.24994659260841701"/>
      </font>
      <fill>
        <patternFill patternType="lightUp">
          <fgColor theme="0" tint="-0.24994659260841701"/>
          <bgColor theme="0" tint="-4.9989318521683403E-2"/>
        </patternFill>
      </fill>
    </dxf>
    <dxf>
      <font>
        <color theme="0" tint="-0.24994659260841701"/>
      </font>
      <fill>
        <patternFill patternType="lightUp">
          <fgColor theme="0" tint="-0.24994659260841701"/>
          <bgColor theme="0" tint="-4.9989318521683403E-2"/>
        </patternFill>
      </fill>
    </dxf>
    <dxf>
      <font>
        <color theme="0" tint="-0.24994659260841701"/>
      </font>
      <fill>
        <patternFill patternType="lightUp">
          <fgColor theme="0" tint="-0.24994659260841701"/>
          <bgColor theme="0" tint="-4.9989318521683403E-2"/>
        </patternFill>
      </fill>
    </dxf>
    <dxf>
      <font>
        <color theme="0" tint="-0.24994659260841701"/>
      </font>
      <fill>
        <patternFill patternType="lightUp">
          <fgColor theme="0" tint="-0.24994659260841701"/>
          <bgColor theme="0" tint="-4.9989318521683403E-2"/>
        </patternFill>
      </fill>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b val="0"/>
        <i/>
        <color theme="0" tint="-0.24994659260841701"/>
      </font>
      <fill>
        <patternFill patternType="lightUp">
          <fgColor theme="0" tint="-0.24994659260841701"/>
          <bgColor theme="0" tint="-4.9989318521683403E-2"/>
        </patternFill>
      </fill>
    </dxf>
    <dxf>
      <font>
        <b val="0"/>
        <i/>
        <color theme="0" tint="-0.24994659260841701"/>
      </font>
      <fill>
        <patternFill patternType="lightUp">
          <fgColor theme="0" tint="-0.24994659260841701"/>
          <bgColor theme="0" tint="-4.9989318521683403E-2"/>
        </patternFill>
      </fill>
    </dxf>
    <dxf>
      <font>
        <color rgb="FF00B050"/>
      </font>
      <fill>
        <patternFill>
          <bgColor theme="9" tint="0.79998168889431442"/>
        </patternFill>
      </fill>
    </dxf>
    <dxf>
      <font>
        <color rgb="FFC00000"/>
      </font>
      <fill>
        <patternFill>
          <bgColor theme="5" tint="0.79998168889431442"/>
        </patternFill>
      </fill>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patternType="lightUp">
          <fgColor theme="0"/>
          <bgColor theme="0" tint="-4.9989318521683403E-2"/>
        </patternFill>
      </fill>
      <border>
        <left/>
        <right/>
        <top/>
        <bottom/>
      </border>
    </dxf>
    <dxf>
      <font>
        <color theme="0"/>
      </font>
      <fill>
        <patternFill>
          <bgColor theme="0"/>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font>
    </dxf>
    <dxf>
      <font>
        <b/>
        <i val="0"/>
        <color theme="9" tint="-0.24994659260841701"/>
      </font>
      <border>
        <top style="medium">
          <color theme="0"/>
        </top>
        <bottom/>
      </border>
    </dxf>
    <dxf>
      <border>
        <bottom style="medium">
          <color theme="0"/>
        </bottom>
        <vertical/>
      </border>
    </dxf>
    <dxf>
      <font>
        <color theme="1" tint="0.24994659260841701"/>
      </font>
      <fill>
        <patternFill>
          <bgColor theme="9" tint="0.79998168889431442"/>
        </patternFill>
      </fill>
      <border diagonalUp="0" diagonalDown="0">
        <left/>
        <right/>
        <top/>
        <bottom style="thin">
          <color theme="0"/>
        </bottom>
        <vertical style="medium">
          <color theme="0"/>
        </vertical>
        <horizontal style="thin">
          <color theme="0"/>
        </horizontal>
      </border>
    </dxf>
    <dxf>
      <font>
        <b/>
        <i val="0"/>
      </font>
    </dxf>
    <dxf>
      <font>
        <b/>
        <i val="0"/>
        <color theme="9" tint="-0.24994659260841701"/>
      </font>
      <border>
        <top style="medium">
          <color theme="0"/>
        </top>
        <bottom/>
      </border>
    </dxf>
    <dxf>
      <border>
        <bottom style="medium">
          <color theme="0"/>
        </bottom>
        <vertical/>
      </border>
    </dxf>
    <dxf>
      <font>
        <color theme="1" tint="0.24994659260841701"/>
      </font>
      <fill>
        <patternFill>
          <bgColor theme="9" tint="0.79998168889431442"/>
        </patternFill>
      </fill>
      <border diagonalUp="0" diagonalDown="0">
        <left/>
        <right/>
        <top/>
        <bottom style="thin">
          <color theme="0"/>
        </bottom>
        <vertical style="medium">
          <color theme="0"/>
        </vertical>
        <horizontal style="thin">
          <color theme="0"/>
        </horizontal>
      </border>
    </dxf>
    <dxf>
      <fill>
        <patternFill patternType="none">
          <fgColor indexed="64"/>
          <bgColor auto="1"/>
        </patternFill>
      </fill>
    </dxf>
    <dxf>
      <font>
        <b/>
        <i val="0"/>
        <color theme="1" tint="0.14993743705557422"/>
      </font>
      <fill>
        <patternFill>
          <bgColor theme="3" tint="0.89996032593768116"/>
        </patternFill>
      </fill>
      <border diagonalUp="0" diagonalDown="0">
        <left/>
        <right/>
        <top style="thin">
          <color theme="4"/>
        </top>
        <bottom style="medium">
          <color theme="4"/>
        </bottom>
        <vertical/>
        <horizontal/>
      </border>
    </dxf>
    <dxf>
      <font>
        <b/>
        <i val="0"/>
      </font>
      <fill>
        <patternFill>
          <bgColor theme="3" tint="0.749961851863155"/>
        </patternFill>
      </fill>
    </dxf>
    <dxf>
      <font>
        <color theme="1"/>
      </font>
      <border diagonalUp="0" diagonalDown="0">
        <left/>
        <right/>
        <top/>
        <bottom style="thin">
          <color theme="3" tint="0.749961851863155"/>
        </bottom>
        <vertical/>
        <horizontal style="thin">
          <color theme="3" tint="0.749961851863155"/>
        </horizontal>
      </border>
    </dxf>
    <dxf>
      <fill>
        <patternFill patternType="none">
          <fgColor indexed="64"/>
          <bgColor auto="1"/>
        </patternFill>
      </fill>
    </dxf>
    <dxf>
      <font>
        <b/>
        <i val="0"/>
        <color theme="1" tint="0.14993743705557422"/>
      </font>
      <fill>
        <patternFill>
          <bgColor theme="3" tint="0.89996032593768116"/>
        </patternFill>
      </fill>
      <border diagonalUp="0" diagonalDown="0">
        <left/>
        <right/>
        <top style="thin">
          <color theme="4"/>
        </top>
        <bottom style="medium">
          <color theme="4"/>
        </bottom>
        <vertical/>
        <horizontal/>
      </border>
    </dxf>
    <dxf>
      <font>
        <b/>
        <i val="0"/>
      </font>
      <fill>
        <patternFill>
          <bgColor theme="3" tint="0.749961851863155"/>
        </patternFill>
      </fill>
    </dxf>
    <dxf>
      <font>
        <color theme="1"/>
      </font>
      <border diagonalUp="0" diagonalDown="0">
        <left/>
        <right/>
        <top/>
        <bottom style="thin">
          <color theme="3" tint="0.749961851863155"/>
        </bottom>
        <vertical/>
        <horizontal style="thin">
          <color theme="3" tint="0.749961851863155"/>
        </horizontal>
      </border>
    </dxf>
    <dxf>
      <fill>
        <patternFill patternType="none">
          <fgColor indexed="64"/>
          <bgColor auto="1"/>
        </patternFill>
      </fill>
    </dxf>
    <dxf>
      <font>
        <b/>
        <i val="0"/>
        <color theme="1" tint="0.14993743705557422"/>
      </font>
      <fill>
        <patternFill>
          <bgColor theme="3" tint="0.89996032593768116"/>
        </patternFill>
      </fill>
      <border diagonalUp="0" diagonalDown="0">
        <left/>
        <right/>
        <top style="thin">
          <color theme="4"/>
        </top>
        <bottom style="medium">
          <color theme="4"/>
        </bottom>
        <vertical/>
        <horizontal/>
      </border>
    </dxf>
    <dxf>
      <font>
        <b/>
        <i val="0"/>
      </font>
      <fill>
        <patternFill>
          <bgColor theme="3" tint="0.749961851863155"/>
        </patternFill>
      </fill>
    </dxf>
    <dxf>
      <font>
        <color theme="1"/>
      </font>
      <border diagonalUp="0" diagonalDown="0">
        <left/>
        <right/>
        <top/>
        <bottom style="thin">
          <color theme="3" tint="0.749961851863155"/>
        </bottom>
        <vertical/>
        <horizontal style="thin">
          <color theme="3" tint="0.749961851863155"/>
        </horizontal>
      </border>
    </dxf>
    <dxf>
      <fill>
        <patternFill patternType="none">
          <fgColor indexed="64"/>
          <bgColor auto="1"/>
        </patternFill>
      </fill>
    </dxf>
    <dxf>
      <font>
        <b/>
        <i val="0"/>
        <color theme="1" tint="0.14993743705557422"/>
      </font>
      <fill>
        <patternFill>
          <bgColor theme="3" tint="0.89996032593768116"/>
        </patternFill>
      </fill>
      <border diagonalUp="0" diagonalDown="0">
        <left/>
        <right/>
        <top style="thin">
          <color theme="4"/>
        </top>
        <bottom style="medium">
          <color theme="4"/>
        </bottom>
        <vertical/>
        <horizontal/>
      </border>
    </dxf>
    <dxf>
      <font>
        <b/>
        <i val="0"/>
      </font>
      <fill>
        <patternFill>
          <bgColor theme="3" tint="0.749961851863155"/>
        </patternFill>
      </fill>
    </dxf>
    <dxf>
      <font>
        <color theme="1"/>
      </font>
      <border diagonalUp="0" diagonalDown="0">
        <left/>
        <right/>
        <top/>
        <bottom style="thin">
          <color theme="3" tint="0.749961851863155"/>
        </bottom>
        <vertical/>
        <horizontal style="thin">
          <color theme="3" tint="0.749961851863155"/>
        </horizontal>
      </border>
    </dxf>
  </dxfs>
  <tableStyles count="6" defaultTableStyle="TableStyleMedium2" defaultPivotStyle="PivotStyleLight16">
    <tableStyle name="Balance Sheet" pivot="0" count="4" xr9:uid="{B95F4AD0-DB95-43B2-9211-1EFA06DC5F1D}">
      <tableStyleElement type="wholeTable" dxfId="796"/>
      <tableStyleElement type="headerRow" dxfId="795"/>
      <tableStyleElement type="totalRow" dxfId="794"/>
      <tableStyleElement type="firstColumnStripe" dxfId="793"/>
    </tableStyle>
    <tableStyle name="Balance Sheet 2" pivot="0" count="4" xr9:uid="{5F228DB6-CBF2-48FB-9735-618C82903D30}">
      <tableStyleElement type="wholeTable" dxfId="792"/>
      <tableStyleElement type="headerRow" dxfId="791"/>
      <tableStyleElement type="totalRow" dxfId="790"/>
      <tableStyleElement type="firstColumnStripe" dxfId="789"/>
    </tableStyle>
    <tableStyle name="Balance Sheet 3" pivot="0" count="4" xr9:uid="{93877B94-10F4-4D72-BABF-5D0705A09497}">
      <tableStyleElement type="wholeTable" dxfId="788"/>
      <tableStyleElement type="headerRow" dxfId="787"/>
      <tableStyleElement type="totalRow" dxfId="786"/>
      <tableStyleElement type="firstColumnStripe" dxfId="785"/>
    </tableStyle>
    <tableStyle name="Balance Sheet 4" pivot="0" count="4" xr9:uid="{9ED23D65-2B63-4396-AAB3-B0060710DD5B}">
      <tableStyleElement type="wholeTable" dxfId="784"/>
      <tableStyleElement type="headerRow" dxfId="783"/>
      <tableStyleElement type="totalRow" dxfId="782"/>
      <tableStyleElement type="firstColumnStripe" dxfId="781"/>
    </tableStyle>
    <tableStyle name="Check Register" pivot="0" count="4" xr9:uid="{AEE9A477-1923-48D2-893D-F4EE145E9CF6}">
      <tableStyleElement type="wholeTable" dxfId="780"/>
      <tableStyleElement type="headerRow" dxfId="779"/>
      <tableStyleElement type="totalRow" dxfId="778"/>
      <tableStyleElement type="firstColumn" dxfId="777"/>
    </tableStyle>
    <tableStyle name="Check Register 2" pivot="0" count="4" xr9:uid="{D8933EB3-402E-47CF-B59C-731E0B387BF7}">
      <tableStyleElement type="wholeTable" dxfId="776"/>
      <tableStyleElement type="headerRow" dxfId="775"/>
      <tableStyleElement type="totalRow" dxfId="774"/>
      <tableStyleElement type="firstColumn" dxfId="773"/>
    </tableStyle>
  </tableStyles>
  <colors>
    <mruColors>
      <color rgb="FFEAF2EF"/>
      <color rgb="FF7FA6C7"/>
      <color rgb="FFEEF3F8"/>
      <color rgb="FFFDF0E9"/>
      <color rgb="FFF2F2F2"/>
      <color rgb="FFFFCC99"/>
      <color rgb="FFFFCC66"/>
      <color rgb="FFA2BED6"/>
      <color rgb="FFE6E6E6"/>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4.xml"/><Relationship Id="rId1" Type="http://schemas.microsoft.com/office/2011/relationships/chartStyle" Target="style14.xml"/></Relationships>
</file>

<file path=xl/charts/_rels/chart2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7.xml"/><Relationship Id="rId1" Type="http://schemas.microsoft.com/office/2011/relationships/chartStyle" Target="style17.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8.xml"/><Relationship Id="rId1" Type="http://schemas.microsoft.com/office/2011/relationships/chartStyle" Target="style18.xml"/></Relationships>
</file>

<file path=xl/charts/_rels/chart26.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HIDE2!$D$5</c:f>
              <c:strCache>
                <c:ptCount val="1"/>
                <c:pt idx="0">
                  <c:v>Start &amp; End</c:v>
                </c:pt>
              </c:strCache>
            </c:strRef>
          </c:tx>
          <c:spPr>
            <a:solidFill>
              <a:schemeClr val="tx1">
                <a:lumMod val="75000"/>
                <a:lumOff val="25000"/>
              </a:schemeClr>
            </a:solidFill>
            <a:ln>
              <a:solidFill>
                <a:schemeClr val="bg1">
                  <a:lumMod val="65000"/>
                </a:schemeClr>
              </a:solidFill>
            </a:ln>
          </c:spPr>
          <c:invertIfNegative val="0"/>
          <c:dPt>
            <c:idx val="0"/>
            <c:invertIfNegative val="0"/>
            <c:bubble3D val="0"/>
            <c:spPr>
              <a:solidFill>
                <a:schemeClr val="accent1">
                  <a:lumMod val="20000"/>
                  <a:lumOff val="80000"/>
                </a:schemeClr>
              </a:solidFill>
              <a:ln>
                <a:solidFill>
                  <a:schemeClr val="accent1">
                    <a:lumMod val="60000"/>
                    <a:lumOff val="40000"/>
                  </a:schemeClr>
                </a:solidFill>
              </a:ln>
            </c:spPr>
            <c:extLst>
              <c:ext xmlns:c16="http://schemas.microsoft.com/office/drawing/2014/chart" uri="{C3380CC4-5D6E-409C-BE32-E72D297353CC}">
                <c16:uniqueId val="{00000008-8DE7-4E8E-97C4-E8D25D8EC9D3}"/>
              </c:ext>
            </c:extLst>
          </c:dPt>
          <c:dPt>
            <c:idx val="5"/>
            <c:invertIfNegative val="0"/>
            <c:bubble3D val="0"/>
            <c:spPr>
              <a:solidFill>
                <a:schemeClr val="accent6">
                  <a:lumMod val="20000"/>
                  <a:lumOff val="80000"/>
                </a:schemeClr>
              </a:solidFill>
              <a:ln>
                <a:solidFill>
                  <a:schemeClr val="accent6">
                    <a:lumMod val="60000"/>
                    <a:lumOff val="40000"/>
                  </a:schemeClr>
                </a:solidFill>
              </a:ln>
            </c:spPr>
            <c:extLst>
              <c:ext xmlns:c16="http://schemas.microsoft.com/office/drawing/2014/chart" uri="{C3380CC4-5D6E-409C-BE32-E72D297353CC}">
                <c16:uniqueId val="{00000003-0B5B-48A6-9759-BB21D5331285}"/>
              </c:ext>
            </c:extLst>
          </c:dPt>
          <c:dLbls>
            <c:spPr>
              <a:noFill/>
              <a:ln>
                <a:noFill/>
              </a:ln>
              <a:effectLst/>
            </c:spPr>
            <c:txPr>
              <a:bodyPr wrap="square" lIns="38100" tIns="19050" rIns="38100" bIns="19050" anchor="ctr">
                <a:spAutoFit/>
              </a:bodyPr>
              <a:lstStyle/>
              <a:p>
                <a:pPr>
                  <a:defRPr>
                    <a:solidFill>
                      <a:schemeClr val="tx1">
                        <a:lumMod val="65000"/>
                        <a:lumOff val="35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HIDE2!$A$6:$A$11</c:f>
              <c:strCache>
                <c:ptCount val="6"/>
                <c:pt idx="0">
                  <c:v>Monthly Income</c:v>
                </c:pt>
                <c:pt idx="1">
                  <c:v>Airbnb Fee</c:v>
                </c:pt>
                <c:pt idx="2">
                  <c:v>Operating Expenses</c:v>
                </c:pt>
                <c:pt idx="3">
                  <c:v>CAPEX</c:v>
                </c:pt>
                <c:pt idx="4">
                  <c:v>P&amp;I</c:v>
                </c:pt>
                <c:pt idx="5">
                  <c:v>Net Cash Flow</c:v>
                </c:pt>
              </c:strCache>
            </c:strRef>
          </c:cat>
          <c:val>
            <c:numRef>
              <c:f>HIDE2!$D$6:$D$11</c:f>
              <c:numCache>
                <c:formatCode>"$"\ #,##0;\("$"\ #,##0\);\-</c:formatCode>
                <c:ptCount val="6"/>
                <c:pt idx="0">
                  <c:v>0</c:v>
                </c:pt>
                <c:pt idx="5">
                  <c:v>0</c:v>
                </c:pt>
              </c:numCache>
            </c:numRef>
          </c:val>
          <c:extLst>
            <c:ext xmlns:c16="http://schemas.microsoft.com/office/drawing/2014/chart" uri="{C3380CC4-5D6E-409C-BE32-E72D297353CC}">
              <c16:uniqueId val="{00000000-8DE7-4E8E-97C4-E8D25D8EC9D3}"/>
            </c:ext>
          </c:extLst>
        </c:ser>
        <c:dLbls>
          <c:showLegendKey val="0"/>
          <c:showVal val="0"/>
          <c:showCatName val="0"/>
          <c:showSerName val="0"/>
          <c:showPercent val="0"/>
          <c:showBubbleSize val="0"/>
        </c:dLbls>
        <c:gapWidth val="53"/>
        <c:axId val="93889280"/>
        <c:axId val="93890816"/>
      </c:barChart>
      <c:lineChart>
        <c:grouping val="standard"/>
        <c:varyColors val="0"/>
        <c:ser>
          <c:idx val="1"/>
          <c:order val="1"/>
          <c:tx>
            <c:strRef>
              <c:f>HIDE2!$E$5</c:f>
              <c:strCache>
                <c:ptCount val="1"/>
                <c:pt idx="0">
                  <c:v>Before</c:v>
                </c:pt>
              </c:strCache>
            </c:strRef>
          </c:tx>
          <c:spPr>
            <a:ln>
              <a:noFill/>
            </a:ln>
          </c:spPr>
          <c:marker>
            <c:symbol val="none"/>
          </c:marker>
          <c:cat>
            <c:strRef>
              <c:f>HIDE2!$A$6:$A$11</c:f>
              <c:strCache>
                <c:ptCount val="6"/>
                <c:pt idx="0">
                  <c:v>Monthly Income</c:v>
                </c:pt>
                <c:pt idx="1">
                  <c:v>Airbnb Fee</c:v>
                </c:pt>
                <c:pt idx="2">
                  <c:v>Operating Expenses</c:v>
                </c:pt>
                <c:pt idx="3">
                  <c:v>CAPEX</c:v>
                </c:pt>
                <c:pt idx="4">
                  <c:v>P&amp;I</c:v>
                </c:pt>
                <c:pt idx="5">
                  <c:v>Net Cash Flow</c:v>
                </c:pt>
              </c:strCache>
            </c:strRef>
          </c:cat>
          <c:val>
            <c:numRef>
              <c:f>HIDE2!$E$6:$E$11</c:f>
              <c:numCache>
                <c:formatCode>"$"\ #,##0;\("$"\ #,##0\);\-</c:formatCode>
                <c:ptCount val="6"/>
                <c:pt idx="1">
                  <c:v>0</c:v>
                </c:pt>
                <c:pt idx="2">
                  <c:v>0</c:v>
                </c:pt>
                <c:pt idx="3">
                  <c:v>0</c:v>
                </c:pt>
                <c:pt idx="4">
                  <c:v>0</c:v>
                </c:pt>
              </c:numCache>
            </c:numRef>
          </c:val>
          <c:smooth val="0"/>
          <c:extLst>
            <c:ext xmlns:c16="http://schemas.microsoft.com/office/drawing/2014/chart" uri="{C3380CC4-5D6E-409C-BE32-E72D297353CC}">
              <c16:uniqueId val="{00000001-8DE7-4E8E-97C4-E8D25D8EC9D3}"/>
            </c:ext>
          </c:extLst>
        </c:ser>
        <c:ser>
          <c:idx val="2"/>
          <c:order val="2"/>
          <c:tx>
            <c:strRef>
              <c:f>HIDE2!$F$5</c:f>
              <c:strCache>
                <c:ptCount val="1"/>
                <c:pt idx="0">
                  <c:v>After</c:v>
                </c:pt>
              </c:strCache>
            </c:strRef>
          </c:tx>
          <c:spPr>
            <a:ln>
              <a:noFill/>
            </a:ln>
          </c:spPr>
          <c:marker>
            <c:symbol val="none"/>
          </c:marker>
          <c:cat>
            <c:strRef>
              <c:f>HIDE2!$A$6:$A$11</c:f>
              <c:strCache>
                <c:ptCount val="6"/>
                <c:pt idx="0">
                  <c:v>Monthly Income</c:v>
                </c:pt>
                <c:pt idx="1">
                  <c:v>Airbnb Fee</c:v>
                </c:pt>
                <c:pt idx="2">
                  <c:v>Operating Expenses</c:v>
                </c:pt>
                <c:pt idx="3">
                  <c:v>CAPEX</c:v>
                </c:pt>
                <c:pt idx="4">
                  <c:v>P&amp;I</c:v>
                </c:pt>
                <c:pt idx="5">
                  <c:v>Net Cash Flow</c:v>
                </c:pt>
              </c:strCache>
            </c:strRef>
          </c:cat>
          <c:val>
            <c:numRef>
              <c:f>HIDE2!$F$6:$F$11</c:f>
              <c:numCache>
                <c:formatCode>"$"\ #,##0;\("$"\ #,##0\);\-</c:formatCode>
                <c:ptCount val="6"/>
                <c:pt idx="1">
                  <c:v>0</c:v>
                </c:pt>
                <c:pt idx="2">
                  <c:v>0</c:v>
                </c:pt>
                <c:pt idx="3">
                  <c:v>0</c:v>
                </c:pt>
                <c:pt idx="4">
                  <c:v>0</c:v>
                </c:pt>
              </c:numCache>
            </c:numRef>
          </c:val>
          <c:smooth val="0"/>
          <c:extLst>
            <c:ext xmlns:c16="http://schemas.microsoft.com/office/drawing/2014/chart" uri="{C3380CC4-5D6E-409C-BE32-E72D297353CC}">
              <c16:uniqueId val="{00000002-8DE7-4E8E-97C4-E8D25D8EC9D3}"/>
            </c:ext>
          </c:extLst>
        </c:ser>
        <c:dLbls>
          <c:showLegendKey val="0"/>
          <c:showVal val="0"/>
          <c:showCatName val="0"/>
          <c:showSerName val="0"/>
          <c:showPercent val="0"/>
          <c:showBubbleSize val="0"/>
        </c:dLbls>
        <c:upDownBars>
          <c:gapWidth val="69"/>
          <c:upBars>
            <c:spPr>
              <a:solidFill>
                <a:schemeClr val="accent6"/>
              </a:solidFill>
              <a:ln>
                <a:solidFill>
                  <a:schemeClr val="bg1">
                    <a:lumMod val="65000"/>
                  </a:schemeClr>
                </a:solidFill>
              </a:ln>
            </c:spPr>
          </c:upBars>
          <c:downBars>
            <c:spPr>
              <a:solidFill>
                <a:schemeClr val="accent2">
                  <a:lumMod val="20000"/>
                  <a:lumOff val="80000"/>
                </a:schemeClr>
              </a:solidFill>
              <a:ln>
                <a:solidFill>
                  <a:schemeClr val="accent2">
                    <a:lumMod val="60000"/>
                    <a:lumOff val="40000"/>
                  </a:schemeClr>
                </a:solidFill>
              </a:ln>
            </c:spPr>
          </c:downBars>
        </c:upDownBars>
        <c:marker val="1"/>
        <c:smooth val="0"/>
        <c:axId val="93889280"/>
        <c:axId val="93890816"/>
      </c:lineChart>
      <c:scatterChart>
        <c:scatterStyle val="lineMarker"/>
        <c:varyColors val="0"/>
        <c:ser>
          <c:idx val="3"/>
          <c:order val="3"/>
          <c:tx>
            <c:strRef>
              <c:f>HIDE2!$C$5</c:f>
              <c:strCache>
                <c:ptCount val="1"/>
                <c:pt idx="0">
                  <c:v>Cumulative</c:v>
                </c:pt>
              </c:strCache>
            </c:strRef>
          </c:tx>
          <c:spPr>
            <a:ln w="28575">
              <a:noFill/>
            </a:ln>
          </c:spPr>
          <c:marker>
            <c:symbol val="none"/>
          </c:marker>
          <c:errBars>
            <c:errDir val="x"/>
            <c:errBarType val="plus"/>
            <c:errValType val="fixedVal"/>
            <c:noEndCap val="1"/>
            <c:val val="1"/>
            <c:spPr>
              <a:ln w="6350">
                <a:noFill/>
                <a:prstDash val="solid"/>
              </a:ln>
            </c:spPr>
          </c:errBars>
          <c:yVal>
            <c:numRef>
              <c:f>HIDE2!$C$6:$C$10</c:f>
              <c:numCache>
                <c:formatCode>"$"\ #,##0;\("$"\ #,##0\);\-</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3-8DE7-4E8E-97C4-E8D25D8EC9D3}"/>
            </c:ext>
          </c:extLst>
        </c:ser>
        <c:ser>
          <c:idx val="4"/>
          <c:order val="4"/>
          <c:tx>
            <c:strRef>
              <c:f>HIDE2!$G$5</c:f>
              <c:strCache>
                <c:ptCount val="1"/>
                <c:pt idx="0">
                  <c:v>Data label position</c:v>
                </c:pt>
              </c:strCache>
            </c:strRef>
          </c:tx>
          <c:spPr>
            <a:ln w="28575">
              <a:noFill/>
            </a:ln>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4-8DE7-4E8E-97C4-E8D25D8EC9D3}"/>
                </c:ext>
              </c:extLst>
            </c:dLbl>
            <c:dLbl>
              <c:idx val="2"/>
              <c:tx>
                <c:strRef>
                  <c:f>HIDE2!$B$8</c:f>
                  <c:strCache>
                    <c:ptCount val="1"/>
                    <c:pt idx="0">
                      <c:v>-</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{AAAF6572-D955-4015-9CD7-FA63160C6DE1}</c15:txfldGUID>
                      <c15:f>HIDE2!$B$8</c15:f>
                      <c15:dlblFieldTableCache>
                        <c:ptCount val="1"/>
                        <c:pt idx="0">
                          <c:v>-</c:v>
                        </c:pt>
                      </c15:dlblFieldTableCache>
                    </c15:dlblFTEntry>
                  </c15:dlblFieldTable>
                  <c15:showDataLabelsRange val="0"/>
                </c:ext>
                <c:ext xmlns:c16="http://schemas.microsoft.com/office/drawing/2014/chart" uri="{C3380CC4-5D6E-409C-BE32-E72D297353CC}">
                  <c16:uniqueId val="{00000005-8DE7-4E8E-97C4-E8D25D8EC9D3}"/>
                </c:ext>
              </c:extLst>
            </c:dLbl>
            <c:dLbl>
              <c:idx val="3"/>
              <c:tx>
                <c:strRef>
                  <c:f>HIDE2!$B$9</c:f>
                  <c:strCache>
                    <c:ptCount val="1"/>
                    <c:pt idx="0">
                      <c:v>-</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{B3BBC8C3-3B03-415E-B204-4CE028284A71}</c15:txfldGUID>
                      <c15:f>HIDE2!$B$9</c15:f>
                      <c15:dlblFieldTableCache>
                        <c:ptCount val="1"/>
                        <c:pt idx="0">
                          <c:v>-</c:v>
                        </c:pt>
                      </c15:dlblFieldTableCache>
                    </c15:dlblFTEntry>
                  </c15:dlblFieldTable>
                  <c15:showDataLabelsRange val="0"/>
                </c:ext>
                <c:ext xmlns:c16="http://schemas.microsoft.com/office/drawing/2014/chart" uri="{C3380CC4-5D6E-409C-BE32-E72D297353CC}">
                  <c16:uniqueId val="{00000006-8DE7-4E8E-97C4-E8D25D8EC9D3}"/>
                </c:ext>
              </c:extLst>
            </c:dLbl>
            <c:dLbl>
              <c:idx val="4"/>
              <c:tx>
                <c:strRef>
                  <c:f>HIDE2!$B$10</c:f>
                  <c:strCache>
                    <c:ptCount val="1"/>
                    <c:pt idx="0">
                      <c:v>-</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{AB70A7DD-D762-4BE1-AFF0-E911F184ABC8}</c15:txfldGUID>
                      <c15:f>HIDE2!$B$10</c15:f>
                      <c15:dlblFieldTableCache>
                        <c:ptCount val="1"/>
                        <c:pt idx="0">
                          <c:v>-</c:v>
                        </c:pt>
                      </c15:dlblFieldTableCache>
                    </c15:dlblFTEntry>
                  </c15:dlblFieldTable>
                  <c15:showDataLabelsRange val="0"/>
                </c:ext>
                <c:ext xmlns:c16="http://schemas.microsoft.com/office/drawing/2014/chart" uri="{C3380CC4-5D6E-409C-BE32-E72D297353CC}">
                  <c16:uniqueId val="{00000004-0B5B-48A6-9759-BB21D5331285}"/>
                </c:ext>
              </c:extLst>
            </c:dLbl>
            <c:spPr>
              <a:noFill/>
              <a:ln>
                <a:noFill/>
              </a:ln>
              <a:effectLst/>
            </c:spPr>
            <c:txPr>
              <a:bodyPr wrap="square" lIns="38100" tIns="19050" rIns="38100" bIns="19050" anchor="ctr">
                <a:spAutoFit/>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yVal>
            <c:numRef>
              <c:f>HIDE2!$G$6:$G$11</c:f>
              <c:numCache>
                <c:formatCode>"$"\ #,##0;\("$"\ #,##0\);\-</c:formatCode>
                <c:ptCount val="6"/>
                <c:pt idx="1">
                  <c:v>0</c:v>
                </c:pt>
                <c:pt idx="2">
                  <c:v>0</c:v>
                </c:pt>
                <c:pt idx="3">
                  <c:v>0</c:v>
                </c:pt>
                <c:pt idx="4">
                  <c:v>0</c:v>
                </c:pt>
              </c:numCache>
            </c:numRef>
          </c:yVal>
          <c:smooth val="0"/>
          <c:extLst>
            <c:ext xmlns:c16="http://schemas.microsoft.com/office/drawing/2014/chart" uri="{C3380CC4-5D6E-409C-BE32-E72D297353CC}">
              <c16:uniqueId val="{00000007-8DE7-4E8E-97C4-E8D25D8EC9D3}"/>
            </c:ext>
          </c:extLst>
        </c:ser>
        <c:dLbls>
          <c:showLegendKey val="0"/>
          <c:showVal val="0"/>
          <c:showCatName val="0"/>
          <c:showSerName val="0"/>
          <c:showPercent val="0"/>
          <c:showBubbleSize val="0"/>
        </c:dLbls>
        <c:axId val="93889280"/>
        <c:axId val="93890816"/>
      </c:scatterChart>
      <c:catAx>
        <c:axId val="93889280"/>
        <c:scaling>
          <c:orientation val="minMax"/>
        </c:scaling>
        <c:delete val="0"/>
        <c:axPos val="b"/>
        <c:numFmt formatCode="General" sourceLinked="0"/>
        <c:majorTickMark val="none"/>
        <c:minorTickMark val="none"/>
        <c:tickLblPos val="low"/>
        <c:spPr>
          <a:ln w="12700">
            <a:solidFill>
              <a:schemeClr val="bg1">
                <a:lumMod val="50000"/>
              </a:schemeClr>
            </a:solidFill>
            <a:prstDash val="dash"/>
          </a:ln>
        </c:spPr>
        <c:txPr>
          <a:bodyPr/>
          <a:lstStyle/>
          <a:p>
            <a:pPr>
              <a:defRPr sz="1050">
                <a:solidFill>
                  <a:schemeClr val="tx1">
                    <a:lumMod val="65000"/>
                    <a:lumOff val="35000"/>
                  </a:schemeClr>
                </a:solidFill>
              </a:defRPr>
            </a:pPr>
            <a:endParaRPr lang="en-US"/>
          </a:p>
        </c:txPr>
        <c:crossAx val="93890816"/>
        <c:crosses val="autoZero"/>
        <c:auto val="1"/>
        <c:lblAlgn val="ctr"/>
        <c:lblOffset val="100"/>
        <c:noMultiLvlLbl val="0"/>
      </c:catAx>
      <c:valAx>
        <c:axId val="93890816"/>
        <c:scaling>
          <c:orientation val="minMax"/>
        </c:scaling>
        <c:delete val="0"/>
        <c:axPos val="l"/>
        <c:numFmt formatCode="&quot;$&quot;\ #,##0;\(&quot;$&quot;\ #,##0\);\-" sourceLinked="1"/>
        <c:majorTickMark val="out"/>
        <c:minorTickMark val="none"/>
        <c:tickLblPos val="nextTo"/>
        <c:spPr>
          <a:ln>
            <a:prstDash val="dash"/>
          </a:ln>
        </c:spPr>
        <c:txPr>
          <a:bodyPr/>
          <a:lstStyle/>
          <a:p>
            <a:pPr>
              <a:defRPr>
                <a:solidFill>
                  <a:schemeClr val="tx1">
                    <a:lumMod val="65000"/>
                    <a:lumOff val="35000"/>
                  </a:schemeClr>
                </a:solidFill>
              </a:defRPr>
            </a:pPr>
            <a:endParaRPr lang="en-US"/>
          </a:p>
        </c:txPr>
        <c:crossAx val="9388928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8.6785009861932938E-2"/>
          <c:w val="1"/>
          <c:h val="0.73980276134122291"/>
        </c:manualLayout>
      </c:layout>
      <c:barChart>
        <c:barDir val="col"/>
        <c:grouping val="clustered"/>
        <c:varyColors val="0"/>
        <c:ser>
          <c:idx val="0"/>
          <c:order val="0"/>
          <c:tx>
            <c:strRef>
              <c:f>HIDE2!$D$26</c:f>
              <c:strCache>
                <c:ptCount val="1"/>
                <c:pt idx="0">
                  <c:v>Start &amp; End</c:v>
                </c:pt>
              </c:strCache>
            </c:strRef>
          </c:tx>
          <c:spPr>
            <a:solidFill>
              <a:schemeClr val="accent1">
                <a:lumMod val="20000"/>
                <a:lumOff val="80000"/>
              </a:schemeClr>
            </a:solidFill>
            <a:ln>
              <a:solidFill>
                <a:schemeClr val="accent1">
                  <a:lumMod val="20000"/>
                  <a:lumOff val="80000"/>
                </a:schemeClr>
              </a:solidFill>
            </a:ln>
          </c:spPr>
          <c:invertIfNegative val="0"/>
          <c:dPt>
            <c:idx val="0"/>
            <c:invertIfNegative val="0"/>
            <c:bubble3D val="0"/>
            <c:spPr>
              <a:solidFill>
                <a:schemeClr val="accent1">
                  <a:lumMod val="20000"/>
                  <a:lumOff val="80000"/>
                </a:schemeClr>
              </a:solidFill>
              <a:ln w="38100" cap="rnd">
                <a:solidFill>
                  <a:schemeClr val="accent1">
                    <a:lumMod val="20000"/>
                    <a:lumOff val="80000"/>
                  </a:schemeClr>
                </a:solidFill>
              </a:ln>
            </c:spPr>
            <c:extLst>
              <c:ext xmlns:c16="http://schemas.microsoft.com/office/drawing/2014/chart" uri="{C3380CC4-5D6E-409C-BE32-E72D297353CC}">
                <c16:uniqueId val="{00000005-933A-4E9C-B1C9-682D6C30D752}"/>
              </c:ext>
            </c:extLst>
          </c:dPt>
          <c:dPt>
            <c:idx val="4"/>
            <c:invertIfNegative val="0"/>
            <c:bubble3D val="0"/>
            <c:spPr>
              <a:solidFill>
                <a:srgbClr val="B9D3CA"/>
              </a:solidFill>
              <a:ln w="38100" cap="rnd">
                <a:solidFill>
                  <a:srgbClr val="B9D3CA"/>
                </a:solidFill>
              </a:ln>
            </c:spPr>
            <c:extLst>
              <c:ext xmlns:c16="http://schemas.microsoft.com/office/drawing/2014/chart" uri="{C3380CC4-5D6E-409C-BE32-E72D297353CC}">
                <c16:uniqueId val="{00000006-933A-4E9C-B1C9-682D6C30D752}"/>
              </c:ext>
            </c:extLst>
          </c:dPt>
          <c:dLbls>
            <c:spPr>
              <a:noFill/>
              <a:ln>
                <a:noFill/>
              </a:ln>
              <a:effectLst/>
            </c:spPr>
            <c:txPr>
              <a:bodyPr wrap="square" lIns="38100" tIns="19050" rIns="38100" bIns="19050" anchor="ctr">
                <a:spAutoFit/>
              </a:bodyPr>
              <a:lstStyle/>
              <a:p>
                <a:pPr>
                  <a:defRPr sz="800">
                    <a:solidFill>
                      <a:schemeClr val="tx1">
                        <a:lumMod val="65000"/>
                        <a:lumOff val="35000"/>
                      </a:schemeClr>
                    </a:solidFill>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HIDE2!$A$16:$A$20</c:f>
              <c:strCache>
                <c:ptCount val="5"/>
                <c:pt idx="0">
                  <c:v>Net Rental Income</c:v>
                </c:pt>
                <c:pt idx="1">
                  <c:v>Operating Exp.</c:v>
                </c:pt>
                <c:pt idx="2">
                  <c:v>Capex &amp; Other</c:v>
                </c:pt>
                <c:pt idx="3">
                  <c:v>Financing Exp.</c:v>
                </c:pt>
                <c:pt idx="4">
                  <c:v>Net Cash Flow</c:v>
                </c:pt>
              </c:strCache>
            </c:strRef>
          </c:cat>
          <c:val>
            <c:numRef>
              <c:f>HIDE2!$D$27:$D$31</c:f>
              <c:numCache>
                <c:formatCode>"$"\ #,##0;\("$"\ #,##0\);\-</c:formatCode>
                <c:ptCount val="5"/>
                <c:pt idx="0">
                  <c:v>0</c:v>
                </c:pt>
                <c:pt idx="4">
                  <c:v>0</c:v>
                </c:pt>
              </c:numCache>
            </c:numRef>
          </c:val>
          <c:extLst>
            <c:ext xmlns:c16="http://schemas.microsoft.com/office/drawing/2014/chart" uri="{C3380CC4-5D6E-409C-BE32-E72D297353CC}">
              <c16:uniqueId val="{00000000-933A-4E9C-B1C9-682D6C30D752}"/>
            </c:ext>
          </c:extLst>
        </c:ser>
        <c:dLbls>
          <c:showLegendKey val="0"/>
          <c:showVal val="0"/>
          <c:showCatName val="0"/>
          <c:showSerName val="0"/>
          <c:showPercent val="0"/>
          <c:showBubbleSize val="0"/>
        </c:dLbls>
        <c:gapWidth val="53"/>
        <c:axId val="93889280"/>
        <c:axId val="93890816"/>
      </c:barChart>
      <c:lineChart>
        <c:grouping val="standard"/>
        <c:varyColors val="0"/>
        <c:ser>
          <c:idx val="1"/>
          <c:order val="1"/>
          <c:tx>
            <c:strRef>
              <c:f>HIDE2!$E$26</c:f>
              <c:strCache>
                <c:ptCount val="1"/>
                <c:pt idx="0">
                  <c:v>Before</c:v>
                </c:pt>
              </c:strCache>
            </c:strRef>
          </c:tx>
          <c:spPr>
            <a:ln w="19050">
              <a:noFill/>
            </a:ln>
          </c:spPr>
          <c:marker>
            <c:symbol val="none"/>
          </c:marker>
          <c:cat>
            <c:strRef>
              <c:f>HIDE2!$A$6:$A$11</c:f>
              <c:strCache>
                <c:ptCount val="6"/>
                <c:pt idx="0">
                  <c:v>Monthly Income</c:v>
                </c:pt>
                <c:pt idx="1">
                  <c:v>Airbnb Fee</c:v>
                </c:pt>
                <c:pt idx="2">
                  <c:v>Operating Expenses</c:v>
                </c:pt>
                <c:pt idx="3">
                  <c:v>CAPEX</c:v>
                </c:pt>
                <c:pt idx="4">
                  <c:v>P&amp;I</c:v>
                </c:pt>
                <c:pt idx="5">
                  <c:v>Net Cash Flow</c:v>
                </c:pt>
              </c:strCache>
            </c:strRef>
          </c:cat>
          <c:val>
            <c:numRef>
              <c:f>HIDE2!$E$27:$E$31</c:f>
              <c:numCache>
                <c:formatCode>"$"\ #,##0;\("$"\ #,##0\);\-</c:formatCode>
                <c:ptCount val="5"/>
                <c:pt idx="1">
                  <c:v>0</c:v>
                </c:pt>
                <c:pt idx="2">
                  <c:v>0</c:v>
                </c:pt>
                <c:pt idx="3">
                  <c:v>0</c:v>
                </c:pt>
              </c:numCache>
            </c:numRef>
          </c:val>
          <c:smooth val="0"/>
          <c:extLst>
            <c:ext xmlns:c16="http://schemas.microsoft.com/office/drawing/2014/chart" uri="{C3380CC4-5D6E-409C-BE32-E72D297353CC}">
              <c16:uniqueId val="{00000001-933A-4E9C-B1C9-682D6C30D752}"/>
            </c:ext>
          </c:extLst>
        </c:ser>
        <c:ser>
          <c:idx val="2"/>
          <c:order val="2"/>
          <c:tx>
            <c:strRef>
              <c:f>HIDE2!$F$26</c:f>
              <c:strCache>
                <c:ptCount val="1"/>
                <c:pt idx="0">
                  <c:v>After</c:v>
                </c:pt>
              </c:strCache>
            </c:strRef>
          </c:tx>
          <c:spPr>
            <a:ln w="19050">
              <a:noFill/>
            </a:ln>
          </c:spPr>
          <c:marker>
            <c:symbol val="none"/>
          </c:marker>
          <c:cat>
            <c:strRef>
              <c:f>HIDE2!$A$6:$A$11</c:f>
              <c:strCache>
                <c:ptCount val="6"/>
                <c:pt idx="0">
                  <c:v>Monthly Income</c:v>
                </c:pt>
                <c:pt idx="1">
                  <c:v>Airbnb Fee</c:v>
                </c:pt>
                <c:pt idx="2">
                  <c:v>Operating Expenses</c:v>
                </c:pt>
                <c:pt idx="3">
                  <c:v>CAPEX</c:v>
                </c:pt>
                <c:pt idx="4">
                  <c:v>P&amp;I</c:v>
                </c:pt>
                <c:pt idx="5">
                  <c:v>Net Cash Flow</c:v>
                </c:pt>
              </c:strCache>
            </c:strRef>
          </c:cat>
          <c:val>
            <c:numRef>
              <c:f>HIDE2!$F$27:$F$31</c:f>
              <c:numCache>
                <c:formatCode>"$"\ #,##0;\("$"\ #,##0\);\-</c:formatCode>
                <c:ptCount val="5"/>
                <c:pt idx="1">
                  <c:v>0</c:v>
                </c:pt>
                <c:pt idx="2">
                  <c:v>0</c:v>
                </c:pt>
                <c:pt idx="3">
                  <c:v>0</c:v>
                </c:pt>
              </c:numCache>
            </c:numRef>
          </c:val>
          <c:smooth val="0"/>
          <c:extLst>
            <c:ext xmlns:c16="http://schemas.microsoft.com/office/drawing/2014/chart" uri="{C3380CC4-5D6E-409C-BE32-E72D297353CC}">
              <c16:uniqueId val="{00000002-933A-4E9C-B1C9-682D6C30D752}"/>
            </c:ext>
          </c:extLst>
        </c:ser>
        <c:dLbls>
          <c:showLegendKey val="0"/>
          <c:showVal val="0"/>
          <c:showCatName val="0"/>
          <c:showSerName val="0"/>
          <c:showPercent val="0"/>
          <c:showBubbleSize val="0"/>
        </c:dLbls>
        <c:upDownBars>
          <c:gapWidth val="69"/>
          <c:upBars>
            <c:spPr>
              <a:solidFill>
                <a:schemeClr val="accent6"/>
              </a:solidFill>
              <a:ln>
                <a:solidFill>
                  <a:schemeClr val="bg1">
                    <a:lumMod val="65000"/>
                  </a:schemeClr>
                </a:solidFill>
              </a:ln>
            </c:spPr>
          </c:upBars>
          <c:downBars>
            <c:spPr>
              <a:solidFill>
                <a:schemeClr val="accent2">
                  <a:lumMod val="20000"/>
                  <a:lumOff val="80000"/>
                </a:schemeClr>
              </a:solidFill>
              <a:ln w="38100" cap="rnd">
                <a:solidFill>
                  <a:schemeClr val="accent2">
                    <a:lumMod val="20000"/>
                    <a:lumOff val="80000"/>
                  </a:schemeClr>
                </a:solidFill>
              </a:ln>
            </c:spPr>
          </c:downBars>
        </c:upDownBars>
        <c:marker val="1"/>
        <c:smooth val="0"/>
        <c:axId val="93889280"/>
        <c:axId val="93890816"/>
      </c:lineChart>
      <c:scatterChart>
        <c:scatterStyle val="lineMarker"/>
        <c:varyColors val="0"/>
        <c:ser>
          <c:idx val="3"/>
          <c:order val="3"/>
          <c:tx>
            <c:strRef>
              <c:f>HIDE2!$C$26</c:f>
              <c:strCache>
                <c:ptCount val="1"/>
                <c:pt idx="0">
                  <c:v>Cumulative</c:v>
                </c:pt>
              </c:strCache>
            </c:strRef>
          </c:tx>
          <c:spPr>
            <a:ln w="19050">
              <a:noFill/>
            </a:ln>
          </c:spPr>
          <c:marker>
            <c:symbol val="none"/>
          </c:marker>
          <c:errBars>
            <c:errDir val="x"/>
            <c:errBarType val="plus"/>
            <c:errValType val="fixedVal"/>
            <c:noEndCap val="1"/>
            <c:val val="1"/>
            <c:spPr>
              <a:ln w="6350">
                <a:noFill/>
                <a:prstDash val="solid"/>
              </a:ln>
            </c:spPr>
          </c:errBars>
          <c:yVal>
            <c:numRef>
              <c:f>HIDE2!$C$27:$C$30</c:f>
              <c:numCache>
                <c:formatCode>"$"\ #,##0;\("$"\ #,##0\);\-</c:formatCode>
                <c:ptCount val="4"/>
                <c:pt idx="0">
                  <c:v>0</c:v>
                </c:pt>
                <c:pt idx="1">
                  <c:v>0</c:v>
                </c:pt>
                <c:pt idx="2">
                  <c:v>0</c:v>
                </c:pt>
                <c:pt idx="3">
                  <c:v>0</c:v>
                </c:pt>
              </c:numCache>
            </c:numRef>
          </c:yVal>
          <c:smooth val="0"/>
          <c:extLst>
            <c:ext xmlns:c16="http://schemas.microsoft.com/office/drawing/2014/chart" uri="{C3380CC4-5D6E-409C-BE32-E72D297353CC}">
              <c16:uniqueId val="{00000003-933A-4E9C-B1C9-682D6C30D752}"/>
            </c:ext>
          </c:extLst>
        </c:ser>
        <c:ser>
          <c:idx val="4"/>
          <c:order val="4"/>
          <c:tx>
            <c:strRef>
              <c:f>HIDE2!$G$26</c:f>
              <c:strCache>
                <c:ptCount val="1"/>
                <c:pt idx="0">
                  <c:v>Data label position</c:v>
                </c:pt>
              </c:strCache>
            </c:strRef>
          </c:tx>
          <c:spPr>
            <a:ln w="19050">
              <a:noFill/>
            </a:ln>
          </c:spPr>
          <c:marker>
            <c:symbol val="none"/>
          </c:marker>
          <c:dLbls>
            <c:dLbl>
              <c:idx val="1"/>
              <c:tx>
                <c:strRef>
                  <c:f>HIDE2!$B$28</c:f>
                  <c:strCache>
                    <c:ptCount val="1"/>
                    <c:pt idx="0">
                      <c:v>-</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{EF1FEA86-89B1-4558-BC07-2653E4F0DDE2}</c15:txfldGUID>
                      <c15:f>HIDE2!$B$28</c15:f>
                      <c15:dlblFieldTableCache>
                        <c:ptCount val="1"/>
                        <c:pt idx="0">
                          <c:v>-</c:v>
                        </c:pt>
                      </c15:dlblFieldTableCache>
                    </c15:dlblFTEntry>
                  </c15:dlblFieldTable>
                  <c15:showDataLabelsRange val="0"/>
                </c:ext>
                <c:ext xmlns:c16="http://schemas.microsoft.com/office/drawing/2014/chart" uri="{C3380CC4-5D6E-409C-BE32-E72D297353CC}">
                  <c16:uniqueId val="{00000007-933A-4E9C-B1C9-682D6C30D752}"/>
                </c:ext>
              </c:extLst>
            </c:dLbl>
            <c:dLbl>
              <c:idx val="2"/>
              <c:tx>
                <c:strRef>
                  <c:f>HIDE2!$B$29</c:f>
                  <c:strCache>
                    <c:ptCount val="1"/>
                    <c:pt idx="0">
                      <c:v>-</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{75F834F8-6E29-46D5-B961-495D14A441E6}</c15:txfldGUID>
                      <c15:f>HIDE2!$B$29</c15:f>
                      <c15:dlblFieldTableCache>
                        <c:ptCount val="1"/>
                        <c:pt idx="0">
                          <c:v>-</c:v>
                        </c:pt>
                      </c15:dlblFieldTableCache>
                    </c15:dlblFTEntry>
                  </c15:dlblFieldTable>
                  <c15:showDataLabelsRange val="0"/>
                </c:ext>
                <c:ext xmlns:c16="http://schemas.microsoft.com/office/drawing/2014/chart" uri="{C3380CC4-5D6E-409C-BE32-E72D297353CC}">
                  <c16:uniqueId val="{00000008-933A-4E9C-B1C9-682D6C30D752}"/>
                </c:ext>
              </c:extLst>
            </c:dLbl>
            <c:dLbl>
              <c:idx val="3"/>
              <c:tx>
                <c:strRef>
                  <c:f>HIDE2!$B$30</c:f>
                  <c:strCache>
                    <c:ptCount val="1"/>
                    <c:pt idx="0">
                      <c:v>-</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{A5A441AD-38EE-4F38-BC55-0F3E5007B537}</c15:txfldGUID>
                      <c15:f>HIDE2!$B$30</c15:f>
                      <c15:dlblFieldTableCache>
                        <c:ptCount val="1"/>
                        <c:pt idx="0">
                          <c:v>-</c:v>
                        </c:pt>
                      </c15:dlblFieldTableCache>
                    </c15:dlblFTEntry>
                  </c15:dlblFieldTable>
                  <c15:showDataLabelsRange val="0"/>
                </c:ext>
                <c:ext xmlns:c16="http://schemas.microsoft.com/office/drawing/2014/chart" uri="{C3380CC4-5D6E-409C-BE32-E72D297353CC}">
                  <c16:uniqueId val="{00000009-933A-4E9C-B1C9-682D6C30D752}"/>
                </c:ext>
              </c:extLst>
            </c:dLbl>
            <c:spPr>
              <a:noFill/>
              <a:ln>
                <a:noFill/>
              </a:ln>
              <a:effectLst/>
            </c:spPr>
            <c:txPr>
              <a:bodyPr wrap="square" lIns="38100" tIns="19050" rIns="38100" bIns="19050" anchor="ctr">
                <a:spAutoFit/>
              </a:bodyPr>
              <a:lstStyle/>
              <a:p>
                <a:pPr>
                  <a:defRPr sz="800">
                    <a:solidFill>
                      <a:schemeClr val="tx1">
                        <a:lumMod val="65000"/>
                        <a:lumOff val="35000"/>
                      </a:schemeClr>
                    </a:solidFill>
                    <a:latin typeface="Arial" panose="020B0604020202020204" pitchFamily="34" charset="0"/>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yVal>
            <c:numRef>
              <c:f>HIDE2!$G$27:$G$31</c:f>
              <c:numCache>
                <c:formatCode>"$"\ #,##0;\("$"\ #,##0\);\-</c:formatCode>
                <c:ptCount val="5"/>
                <c:pt idx="1">
                  <c:v>0</c:v>
                </c:pt>
                <c:pt idx="2">
                  <c:v>0</c:v>
                </c:pt>
                <c:pt idx="3">
                  <c:v>0</c:v>
                </c:pt>
              </c:numCache>
            </c:numRef>
          </c:yVal>
          <c:smooth val="0"/>
          <c:extLst>
            <c:ext xmlns:c16="http://schemas.microsoft.com/office/drawing/2014/chart" uri="{C3380CC4-5D6E-409C-BE32-E72D297353CC}">
              <c16:uniqueId val="{00000004-933A-4E9C-B1C9-682D6C30D752}"/>
            </c:ext>
          </c:extLst>
        </c:ser>
        <c:dLbls>
          <c:showLegendKey val="0"/>
          <c:showVal val="0"/>
          <c:showCatName val="0"/>
          <c:showSerName val="0"/>
          <c:showPercent val="0"/>
          <c:showBubbleSize val="0"/>
        </c:dLbls>
        <c:axId val="93889280"/>
        <c:axId val="93890816"/>
      </c:scatterChart>
      <c:catAx>
        <c:axId val="93889280"/>
        <c:scaling>
          <c:orientation val="minMax"/>
        </c:scaling>
        <c:delete val="0"/>
        <c:axPos val="b"/>
        <c:numFmt formatCode="General" sourceLinked="0"/>
        <c:majorTickMark val="none"/>
        <c:minorTickMark val="none"/>
        <c:tickLblPos val="low"/>
        <c:spPr>
          <a:ln w="12700">
            <a:solidFill>
              <a:schemeClr val="bg1">
                <a:lumMod val="50000"/>
              </a:schemeClr>
            </a:solidFill>
            <a:prstDash val="dash"/>
          </a:ln>
        </c:spPr>
        <c:txPr>
          <a:bodyPr anchor="ctr" anchorCtr="0"/>
          <a:lstStyle/>
          <a:p>
            <a:pPr>
              <a:defRPr sz="900">
                <a:solidFill>
                  <a:schemeClr val="tx1">
                    <a:lumMod val="65000"/>
                    <a:lumOff val="35000"/>
                  </a:schemeClr>
                </a:solidFill>
                <a:latin typeface="Arial" panose="020B0604020202020204" pitchFamily="34" charset="0"/>
                <a:cs typeface="Arial" panose="020B0604020202020204" pitchFamily="34" charset="0"/>
              </a:defRPr>
            </a:pPr>
            <a:endParaRPr lang="en-US"/>
          </a:p>
        </c:txPr>
        <c:crossAx val="93890816"/>
        <c:crosses val="autoZero"/>
        <c:auto val="1"/>
        <c:lblAlgn val="ctr"/>
        <c:lblOffset val="100"/>
        <c:noMultiLvlLbl val="0"/>
      </c:catAx>
      <c:valAx>
        <c:axId val="93890816"/>
        <c:scaling>
          <c:orientation val="minMax"/>
        </c:scaling>
        <c:delete val="1"/>
        <c:axPos val="l"/>
        <c:numFmt formatCode="&quot;$&quot;\ #,##0;\(&quot;$&quot;\ #,##0\);\-" sourceLinked="1"/>
        <c:majorTickMark val="out"/>
        <c:minorTickMark val="none"/>
        <c:tickLblPos val="nextTo"/>
        <c:crossAx val="9388928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11369509043927649"/>
          <c:w val="1"/>
          <c:h val="0.5329890740401636"/>
        </c:manualLayout>
      </c:layout>
      <c:barChart>
        <c:barDir val="col"/>
        <c:grouping val="clustered"/>
        <c:varyColors val="0"/>
        <c:ser>
          <c:idx val="0"/>
          <c:order val="0"/>
          <c:spPr>
            <a:solidFill>
              <a:schemeClr val="accent2">
                <a:lumMod val="20000"/>
                <a:lumOff val="80000"/>
              </a:schemeClr>
            </a:solidFill>
            <a:ln w="38100" cap="rnd">
              <a:solidFill>
                <a:schemeClr val="accent2">
                  <a:lumMod val="20000"/>
                  <a:lumOff val="8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HIDE5!$D$128:$D$131</c:f>
              <c:strCache>
                <c:ptCount val="4"/>
                <c:pt idx="0">
                  <c:v>Actual</c:v>
                </c:pt>
                <c:pt idx="1">
                  <c:v>Forecasted</c:v>
                </c:pt>
                <c:pt idx="2">
                  <c:v>Previous Month</c:v>
                </c:pt>
                <c:pt idx="3">
                  <c:v>YoY</c:v>
                </c:pt>
              </c:strCache>
            </c:strRef>
          </c:cat>
          <c:val>
            <c:numRef>
              <c:f>HIDE5!$E$128:$E$131</c:f>
              <c:numCache>
                <c:formatCode>"$"\ #,##0;\("$"\ #,##0\);\-</c:formatCode>
                <c:ptCount val="4"/>
                <c:pt idx="0">
                  <c:v>0</c:v>
                </c:pt>
                <c:pt idx="1">
                  <c:v>#N/A</c:v>
                </c:pt>
                <c:pt idx="2">
                  <c:v>0</c:v>
                </c:pt>
                <c:pt idx="3">
                  <c:v>0</c:v>
                </c:pt>
              </c:numCache>
            </c:numRef>
          </c:val>
          <c:extLst>
            <c:ext xmlns:c16="http://schemas.microsoft.com/office/drawing/2014/chart" uri="{C3380CC4-5D6E-409C-BE32-E72D297353CC}">
              <c16:uniqueId val="{00000000-C451-4376-98FB-34CB88CD62ED}"/>
            </c:ext>
          </c:extLst>
        </c:ser>
        <c:dLbls>
          <c:showLegendKey val="0"/>
          <c:showVal val="0"/>
          <c:showCatName val="0"/>
          <c:showSerName val="0"/>
          <c:showPercent val="0"/>
          <c:showBubbleSize val="0"/>
        </c:dLbls>
        <c:gapWidth val="86"/>
        <c:overlap val="-27"/>
        <c:axId val="826795568"/>
        <c:axId val="1601479824"/>
      </c:barChart>
      <c:catAx>
        <c:axId val="8267955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601479824"/>
        <c:crosses val="autoZero"/>
        <c:auto val="1"/>
        <c:lblAlgn val="ctr"/>
        <c:lblOffset val="100"/>
        <c:noMultiLvlLbl val="0"/>
      </c:catAx>
      <c:valAx>
        <c:axId val="1601479824"/>
        <c:scaling>
          <c:orientation val="minMax"/>
        </c:scaling>
        <c:delete val="1"/>
        <c:axPos val="l"/>
        <c:numFmt formatCode="&quot;$&quot;\ #,##0;\(&quot;$&quot;\ #,##0\);\-" sourceLinked="1"/>
        <c:majorTickMark val="none"/>
        <c:minorTickMark val="none"/>
        <c:tickLblPos val="nextTo"/>
        <c:crossAx val="8267955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11369509043927649"/>
          <c:w val="1"/>
          <c:h val="0.5329890740401636"/>
        </c:manualLayout>
      </c:layout>
      <c:barChart>
        <c:barDir val="col"/>
        <c:grouping val="clustered"/>
        <c:varyColors val="0"/>
        <c:ser>
          <c:idx val="0"/>
          <c:order val="0"/>
          <c:spPr>
            <a:solidFill>
              <a:srgbClr val="B9D3CA"/>
            </a:solidFill>
            <a:ln w="38100" cap="rnd">
              <a:solidFill>
                <a:srgbClr val="B9D3C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HIDE5!$G$128:$G$131</c:f>
              <c:strCache>
                <c:ptCount val="4"/>
                <c:pt idx="0">
                  <c:v>Actual</c:v>
                </c:pt>
                <c:pt idx="1">
                  <c:v>Forecasted</c:v>
                </c:pt>
                <c:pt idx="2">
                  <c:v>Previous Month</c:v>
                </c:pt>
                <c:pt idx="3">
                  <c:v>YoY</c:v>
                </c:pt>
              </c:strCache>
            </c:strRef>
          </c:cat>
          <c:val>
            <c:numRef>
              <c:f>HIDE5!$H$128:$H$131</c:f>
              <c:numCache>
                <c:formatCode>"$"\ #,##0;\("$"\ #,##0\);\-</c:formatCode>
                <c:ptCount val="4"/>
                <c:pt idx="0">
                  <c:v>0</c:v>
                </c:pt>
                <c:pt idx="1">
                  <c:v>#N/A</c:v>
                </c:pt>
                <c:pt idx="2">
                  <c:v>0</c:v>
                </c:pt>
                <c:pt idx="3">
                  <c:v>0</c:v>
                </c:pt>
              </c:numCache>
            </c:numRef>
          </c:val>
          <c:extLst>
            <c:ext xmlns:c16="http://schemas.microsoft.com/office/drawing/2014/chart" uri="{C3380CC4-5D6E-409C-BE32-E72D297353CC}">
              <c16:uniqueId val="{00000000-26BE-4EE1-8388-15DED2D40411}"/>
            </c:ext>
          </c:extLst>
        </c:ser>
        <c:dLbls>
          <c:showLegendKey val="0"/>
          <c:showVal val="0"/>
          <c:showCatName val="0"/>
          <c:showSerName val="0"/>
          <c:showPercent val="0"/>
          <c:showBubbleSize val="0"/>
        </c:dLbls>
        <c:gapWidth val="86"/>
        <c:overlap val="-27"/>
        <c:axId val="826795568"/>
        <c:axId val="1601479824"/>
      </c:barChart>
      <c:catAx>
        <c:axId val="8267955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601479824"/>
        <c:crosses val="autoZero"/>
        <c:auto val="1"/>
        <c:lblAlgn val="ctr"/>
        <c:lblOffset val="100"/>
        <c:noMultiLvlLbl val="0"/>
      </c:catAx>
      <c:valAx>
        <c:axId val="1601479824"/>
        <c:scaling>
          <c:orientation val="minMax"/>
        </c:scaling>
        <c:delete val="1"/>
        <c:axPos val="l"/>
        <c:numFmt formatCode="&quot;$&quot;\ #,##0;\(&quot;$&quot;\ #,##0\);\-" sourceLinked="1"/>
        <c:majorTickMark val="none"/>
        <c:minorTickMark val="none"/>
        <c:tickLblPos val="nextTo"/>
        <c:crossAx val="8267955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125519534497094E-3"/>
          <c:y val="8.662958812808777E-2"/>
          <c:w val="0.98503740648379046"/>
          <c:h val="0.74026874395778774"/>
        </c:manualLayout>
      </c:layout>
      <c:barChart>
        <c:barDir val="col"/>
        <c:grouping val="clustered"/>
        <c:varyColors val="0"/>
        <c:ser>
          <c:idx val="0"/>
          <c:order val="0"/>
          <c:tx>
            <c:strRef>
              <c:f>HIDE2!$D$15</c:f>
              <c:strCache>
                <c:ptCount val="1"/>
                <c:pt idx="0">
                  <c:v>Start &amp; End</c:v>
                </c:pt>
              </c:strCache>
            </c:strRef>
          </c:tx>
          <c:invertIfNegative val="0"/>
          <c:dPt>
            <c:idx val="0"/>
            <c:invertIfNegative val="0"/>
            <c:bubble3D val="0"/>
            <c:spPr>
              <a:solidFill>
                <a:schemeClr val="accent1">
                  <a:lumMod val="20000"/>
                  <a:lumOff val="80000"/>
                </a:schemeClr>
              </a:solidFill>
              <a:ln w="63500" cap="rnd">
                <a:solidFill>
                  <a:schemeClr val="accent1">
                    <a:lumMod val="20000"/>
                    <a:lumOff val="80000"/>
                  </a:schemeClr>
                </a:solidFill>
              </a:ln>
            </c:spPr>
            <c:extLst>
              <c:ext xmlns:c16="http://schemas.microsoft.com/office/drawing/2014/chart" uri="{C3380CC4-5D6E-409C-BE32-E72D297353CC}">
                <c16:uniqueId val="{00000001-38E3-47E7-8B92-BACDE5181898}"/>
              </c:ext>
            </c:extLst>
          </c:dPt>
          <c:dPt>
            <c:idx val="4"/>
            <c:invertIfNegative val="0"/>
            <c:bubble3D val="0"/>
            <c:spPr>
              <a:solidFill>
                <a:srgbClr val="B9D3CA"/>
              </a:solidFill>
              <a:ln w="63500" cap="rnd">
                <a:solidFill>
                  <a:srgbClr val="B9D3CA"/>
                </a:solidFill>
              </a:ln>
            </c:spPr>
            <c:extLst>
              <c:ext xmlns:c16="http://schemas.microsoft.com/office/drawing/2014/chart" uri="{C3380CC4-5D6E-409C-BE32-E72D297353CC}">
                <c16:uniqueId val="{00000003-38E3-47E7-8B92-BACDE5181898}"/>
              </c:ext>
            </c:extLst>
          </c:dPt>
          <c:dLbls>
            <c:spPr>
              <a:noFill/>
              <a:ln>
                <a:noFill/>
              </a:ln>
              <a:effectLst/>
            </c:spPr>
            <c:txPr>
              <a:bodyPr wrap="square" lIns="38100" tIns="19050" rIns="38100" bIns="19050" anchor="ctr">
                <a:spAutoFit/>
              </a:bodyPr>
              <a:lstStyle/>
              <a:p>
                <a:pPr>
                  <a:defRPr sz="800">
                    <a:solidFill>
                      <a:schemeClr val="tx1">
                        <a:lumMod val="65000"/>
                        <a:lumOff val="35000"/>
                      </a:schemeClr>
                    </a:solidFill>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HIDE2!$A$16:$A$20</c:f>
              <c:strCache>
                <c:ptCount val="5"/>
                <c:pt idx="0">
                  <c:v>Net Rental Income</c:v>
                </c:pt>
                <c:pt idx="1">
                  <c:v>Operating Exp.</c:v>
                </c:pt>
                <c:pt idx="2">
                  <c:v>Capex &amp; Other</c:v>
                </c:pt>
                <c:pt idx="3">
                  <c:v>Financing Exp.</c:v>
                </c:pt>
                <c:pt idx="4">
                  <c:v>Net Cash Flow</c:v>
                </c:pt>
              </c:strCache>
            </c:strRef>
          </c:cat>
          <c:val>
            <c:numRef>
              <c:f>HIDE2!$D$16:$D$20</c:f>
              <c:numCache>
                <c:formatCode>"$"\ #,##0;\("$"\ #,##0\);\-</c:formatCode>
                <c:ptCount val="5"/>
                <c:pt idx="0">
                  <c:v>0</c:v>
                </c:pt>
                <c:pt idx="4">
                  <c:v>0</c:v>
                </c:pt>
              </c:numCache>
            </c:numRef>
          </c:val>
          <c:extLst>
            <c:ext xmlns:c16="http://schemas.microsoft.com/office/drawing/2014/chart" uri="{C3380CC4-5D6E-409C-BE32-E72D297353CC}">
              <c16:uniqueId val="{00000004-38E3-47E7-8B92-BACDE5181898}"/>
            </c:ext>
          </c:extLst>
        </c:ser>
        <c:dLbls>
          <c:showLegendKey val="0"/>
          <c:showVal val="0"/>
          <c:showCatName val="0"/>
          <c:showSerName val="0"/>
          <c:showPercent val="0"/>
          <c:showBubbleSize val="0"/>
        </c:dLbls>
        <c:gapWidth val="53"/>
        <c:axId val="93889280"/>
        <c:axId val="93890816"/>
      </c:barChart>
      <c:lineChart>
        <c:grouping val="standard"/>
        <c:varyColors val="0"/>
        <c:ser>
          <c:idx val="1"/>
          <c:order val="1"/>
          <c:tx>
            <c:strRef>
              <c:f>HIDE2!$E$15</c:f>
              <c:strCache>
                <c:ptCount val="1"/>
                <c:pt idx="0">
                  <c:v>Before</c:v>
                </c:pt>
              </c:strCache>
            </c:strRef>
          </c:tx>
          <c:spPr>
            <a:ln w="19050">
              <a:noFill/>
            </a:ln>
          </c:spPr>
          <c:marker>
            <c:symbol val="none"/>
          </c:marker>
          <c:cat>
            <c:strRef>
              <c:f>HIDE2!$A$6:$A$11</c:f>
              <c:strCache>
                <c:ptCount val="6"/>
                <c:pt idx="0">
                  <c:v>Monthly Income</c:v>
                </c:pt>
                <c:pt idx="1">
                  <c:v>Airbnb Fee</c:v>
                </c:pt>
                <c:pt idx="2">
                  <c:v>Operating Expenses</c:v>
                </c:pt>
                <c:pt idx="3">
                  <c:v>CAPEX</c:v>
                </c:pt>
                <c:pt idx="4">
                  <c:v>P&amp;I</c:v>
                </c:pt>
                <c:pt idx="5">
                  <c:v>Net Cash Flow</c:v>
                </c:pt>
              </c:strCache>
            </c:strRef>
          </c:cat>
          <c:val>
            <c:numRef>
              <c:f>HIDE2!$E$16:$E$20</c:f>
              <c:numCache>
                <c:formatCode>"$"\ #,##0;\("$"\ #,##0\);\-</c:formatCode>
                <c:ptCount val="5"/>
                <c:pt idx="1">
                  <c:v>0</c:v>
                </c:pt>
                <c:pt idx="2">
                  <c:v>0</c:v>
                </c:pt>
                <c:pt idx="3">
                  <c:v>0</c:v>
                </c:pt>
              </c:numCache>
            </c:numRef>
          </c:val>
          <c:smooth val="0"/>
          <c:extLst>
            <c:ext xmlns:c16="http://schemas.microsoft.com/office/drawing/2014/chart" uri="{C3380CC4-5D6E-409C-BE32-E72D297353CC}">
              <c16:uniqueId val="{00000005-38E3-47E7-8B92-BACDE5181898}"/>
            </c:ext>
          </c:extLst>
        </c:ser>
        <c:ser>
          <c:idx val="2"/>
          <c:order val="2"/>
          <c:tx>
            <c:strRef>
              <c:f>HIDE2!$F$15</c:f>
              <c:strCache>
                <c:ptCount val="1"/>
                <c:pt idx="0">
                  <c:v>After</c:v>
                </c:pt>
              </c:strCache>
            </c:strRef>
          </c:tx>
          <c:spPr>
            <a:ln w="19050">
              <a:noFill/>
            </a:ln>
          </c:spPr>
          <c:marker>
            <c:symbol val="none"/>
          </c:marker>
          <c:cat>
            <c:strRef>
              <c:f>HIDE2!$A$6:$A$11</c:f>
              <c:strCache>
                <c:ptCount val="6"/>
                <c:pt idx="0">
                  <c:v>Monthly Income</c:v>
                </c:pt>
                <c:pt idx="1">
                  <c:v>Airbnb Fee</c:v>
                </c:pt>
                <c:pt idx="2">
                  <c:v>Operating Expenses</c:v>
                </c:pt>
                <c:pt idx="3">
                  <c:v>CAPEX</c:v>
                </c:pt>
                <c:pt idx="4">
                  <c:v>P&amp;I</c:v>
                </c:pt>
                <c:pt idx="5">
                  <c:v>Net Cash Flow</c:v>
                </c:pt>
              </c:strCache>
            </c:strRef>
          </c:cat>
          <c:val>
            <c:numRef>
              <c:f>HIDE2!$F$16:$F$20</c:f>
              <c:numCache>
                <c:formatCode>"$"\ #,##0;\("$"\ #,##0\);\-</c:formatCode>
                <c:ptCount val="5"/>
                <c:pt idx="1">
                  <c:v>0</c:v>
                </c:pt>
                <c:pt idx="2">
                  <c:v>0</c:v>
                </c:pt>
                <c:pt idx="3">
                  <c:v>0</c:v>
                </c:pt>
              </c:numCache>
            </c:numRef>
          </c:val>
          <c:smooth val="0"/>
          <c:extLst>
            <c:ext xmlns:c16="http://schemas.microsoft.com/office/drawing/2014/chart" uri="{C3380CC4-5D6E-409C-BE32-E72D297353CC}">
              <c16:uniqueId val="{00000006-38E3-47E7-8B92-BACDE5181898}"/>
            </c:ext>
          </c:extLst>
        </c:ser>
        <c:dLbls>
          <c:showLegendKey val="0"/>
          <c:showVal val="0"/>
          <c:showCatName val="0"/>
          <c:showSerName val="0"/>
          <c:showPercent val="0"/>
          <c:showBubbleSize val="0"/>
        </c:dLbls>
        <c:upDownBars>
          <c:gapWidth val="69"/>
          <c:upBars>
            <c:spPr>
              <a:solidFill>
                <a:schemeClr val="accent6"/>
              </a:solidFill>
              <a:ln>
                <a:solidFill>
                  <a:schemeClr val="bg1">
                    <a:lumMod val="65000"/>
                  </a:schemeClr>
                </a:solidFill>
              </a:ln>
            </c:spPr>
          </c:upBars>
          <c:downBars>
            <c:spPr>
              <a:solidFill>
                <a:schemeClr val="accent2">
                  <a:lumMod val="20000"/>
                  <a:lumOff val="80000"/>
                </a:schemeClr>
              </a:solidFill>
              <a:ln w="63500" cap="rnd">
                <a:solidFill>
                  <a:schemeClr val="accent2">
                    <a:lumMod val="20000"/>
                    <a:lumOff val="80000"/>
                  </a:schemeClr>
                </a:solidFill>
              </a:ln>
            </c:spPr>
          </c:downBars>
        </c:upDownBars>
        <c:marker val="1"/>
        <c:smooth val="0"/>
        <c:axId val="93889280"/>
        <c:axId val="93890816"/>
      </c:lineChart>
      <c:scatterChart>
        <c:scatterStyle val="lineMarker"/>
        <c:varyColors val="0"/>
        <c:ser>
          <c:idx val="3"/>
          <c:order val="3"/>
          <c:tx>
            <c:strRef>
              <c:f>HIDE2!$C$15</c:f>
              <c:strCache>
                <c:ptCount val="1"/>
                <c:pt idx="0">
                  <c:v>Cumulative</c:v>
                </c:pt>
              </c:strCache>
            </c:strRef>
          </c:tx>
          <c:spPr>
            <a:ln w="19050">
              <a:noFill/>
            </a:ln>
          </c:spPr>
          <c:marker>
            <c:symbol val="none"/>
          </c:marker>
          <c:errBars>
            <c:errDir val="x"/>
            <c:errBarType val="plus"/>
            <c:errValType val="fixedVal"/>
            <c:noEndCap val="1"/>
            <c:val val="1"/>
            <c:spPr>
              <a:ln w="6350">
                <a:noFill/>
                <a:prstDash val="solid"/>
              </a:ln>
            </c:spPr>
          </c:errBars>
          <c:yVal>
            <c:numRef>
              <c:f>HIDE2!$C$16:$C$19</c:f>
              <c:numCache>
                <c:formatCode>"$"\ #,##0;\("$"\ #,##0\);\-</c:formatCode>
                <c:ptCount val="4"/>
                <c:pt idx="0">
                  <c:v>0</c:v>
                </c:pt>
                <c:pt idx="1">
                  <c:v>0</c:v>
                </c:pt>
                <c:pt idx="2">
                  <c:v>0</c:v>
                </c:pt>
                <c:pt idx="3">
                  <c:v>0</c:v>
                </c:pt>
              </c:numCache>
            </c:numRef>
          </c:yVal>
          <c:smooth val="0"/>
          <c:extLst>
            <c:ext xmlns:c16="http://schemas.microsoft.com/office/drawing/2014/chart" uri="{C3380CC4-5D6E-409C-BE32-E72D297353CC}">
              <c16:uniqueId val="{00000007-38E3-47E7-8B92-BACDE5181898}"/>
            </c:ext>
          </c:extLst>
        </c:ser>
        <c:ser>
          <c:idx val="4"/>
          <c:order val="4"/>
          <c:tx>
            <c:strRef>
              <c:f>HIDE2!$G$15</c:f>
              <c:strCache>
                <c:ptCount val="1"/>
                <c:pt idx="0">
                  <c:v>Data label position</c:v>
                </c:pt>
              </c:strCache>
            </c:strRef>
          </c:tx>
          <c:spPr>
            <a:ln w="19050">
              <a:noFill/>
            </a:ln>
          </c:spPr>
          <c:marker>
            <c:symbol val="none"/>
          </c:marker>
          <c:dLbls>
            <c:dLbl>
              <c:idx val="1"/>
              <c:tx>
                <c:strRef>
                  <c:f>HIDE2!$B$17</c:f>
                  <c:strCache>
                    <c:ptCount val="1"/>
                    <c:pt idx="0">
                      <c:v>-</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{AEA940ED-6C00-4079-BE4D-D48938071F56}</c15:txfldGUID>
                      <c15:f>HIDE2!$B$17</c15:f>
                      <c15:dlblFieldTableCache>
                        <c:ptCount val="1"/>
                        <c:pt idx="0">
                          <c:v>-</c:v>
                        </c:pt>
                      </c15:dlblFieldTableCache>
                    </c15:dlblFTEntry>
                  </c15:dlblFieldTable>
                  <c15:showDataLabelsRange val="0"/>
                </c:ext>
                <c:ext xmlns:c16="http://schemas.microsoft.com/office/drawing/2014/chart" uri="{C3380CC4-5D6E-409C-BE32-E72D297353CC}">
                  <c16:uniqueId val="{00000008-38E3-47E7-8B92-BACDE5181898}"/>
                </c:ext>
              </c:extLst>
            </c:dLbl>
            <c:dLbl>
              <c:idx val="2"/>
              <c:tx>
                <c:strRef>
                  <c:f>HIDE2!$B$18</c:f>
                  <c:strCache>
                    <c:ptCount val="1"/>
                    <c:pt idx="0">
                      <c:v>-</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{1F8BA2B7-74A7-40F8-A9EB-F5E39C550210}</c15:txfldGUID>
                      <c15:f>HIDE2!$B$18</c15:f>
                      <c15:dlblFieldTableCache>
                        <c:ptCount val="1"/>
                        <c:pt idx="0">
                          <c:v>-</c:v>
                        </c:pt>
                      </c15:dlblFieldTableCache>
                    </c15:dlblFTEntry>
                  </c15:dlblFieldTable>
                  <c15:showDataLabelsRange val="0"/>
                </c:ext>
                <c:ext xmlns:c16="http://schemas.microsoft.com/office/drawing/2014/chart" uri="{C3380CC4-5D6E-409C-BE32-E72D297353CC}">
                  <c16:uniqueId val="{00000009-38E3-47E7-8B92-BACDE5181898}"/>
                </c:ext>
              </c:extLst>
            </c:dLbl>
            <c:dLbl>
              <c:idx val="3"/>
              <c:tx>
                <c:strRef>
                  <c:f>HIDE2!$B$19</c:f>
                  <c:strCache>
                    <c:ptCount val="1"/>
                    <c:pt idx="0">
                      <c:v>-</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{37FC2AA6-4277-42DB-910F-84574A68CEA2}</c15:txfldGUID>
                      <c15:f>HIDE2!$B$19</c15:f>
                      <c15:dlblFieldTableCache>
                        <c:ptCount val="1"/>
                        <c:pt idx="0">
                          <c:v>-</c:v>
                        </c:pt>
                      </c15:dlblFieldTableCache>
                    </c15:dlblFTEntry>
                  </c15:dlblFieldTable>
                  <c15:showDataLabelsRange val="0"/>
                </c:ext>
                <c:ext xmlns:c16="http://schemas.microsoft.com/office/drawing/2014/chart" uri="{C3380CC4-5D6E-409C-BE32-E72D297353CC}">
                  <c16:uniqueId val="{0000000A-38E3-47E7-8B92-BACDE5181898}"/>
                </c:ext>
              </c:extLst>
            </c:dLbl>
            <c:spPr>
              <a:noFill/>
              <a:ln>
                <a:noFill/>
              </a:ln>
              <a:effectLst/>
            </c:spPr>
            <c:txPr>
              <a:bodyPr wrap="square" lIns="38100" tIns="19050" rIns="38100" bIns="19050" anchor="ctr">
                <a:spAutoFit/>
              </a:bodyPr>
              <a:lstStyle/>
              <a:p>
                <a:pPr>
                  <a:defRPr sz="800">
                    <a:solidFill>
                      <a:schemeClr val="tx1">
                        <a:lumMod val="65000"/>
                        <a:lumOff val="35000"/>
                      </a:schemeClr>
                    </a:solidFill>
                    <a:latin typeface="Arial" panose="020B0604020202020204" pitchFamily="34" charset="0"/>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yVal>
            <c:numRef>
              <c:f>HIDE2!$G$16:$G$20</c:f>
              <c:numCache>
                <c:formatCode>"$"\ #,##0;\("$"\ #,##0\);\-</c:formatCode>
                <c:ptCount val="5"/>
                <c:pt idx="1">
                  <c:v>0</c:v>
                </c:pt>
                <c:pt idx="2">
                  <c:v>0</c:v>
                </c:pt>
                <c:pt idx="3">
                  <c:v>0</c:v>
                </c:pt>
              </c:numCache>
            </c:numRef>
          </c:yVal>
          <c:smooth val="0"/>
          <c:extLst>
            <c:ext xmlns:c16="http://schemas.microsoft.com/office/drawing/2014/chart" uri="{C3380CC4-5D6E-409C-BE32-E72D297353CC}">
              <c16:uniqueId val="{0000000B-38E3-47E7-8B92-BACDE5181898}"/>
            </c:ext>
          </c:extLst>
        </c:ser>
        <c:dLbls>
          <c:showLegendKey val="0"/>
          <c:showVal val="0"/>
          <c:showCatName val="0"/>
          <c:showSerName val="0"/>
          <c:showPercent val="0"/>
          <c:showBubbleSize val="0"/>
        </c:dLbls>
        <c:axId val="93889280"/>
        <c:axId val="93890816"/>
      </c:scatterChart>
      <c:catAx>
        <c:axId val="93889280"/>
        <c:scaling>
          <c:orientation val="minMax"/>
        </c:scaling>
        <c:delete val="0"/>
        <c:axPos val="b"/>
        <c:numFmt formatCode="General" sourceLinked="0"/>
        <c:majorTickMark val="none"/>
        <c:minorTickMark val="none"/>
        <c:tickLblPos val="low"/>
        <c:spPr>
          <a:ln w="12700">
            <a:solidFill>
              <a:schemeClr val="bg1">
                <a:lumMod val="50000"/>
              </a:schemeClr>
            </a:solidFill>
            <a:prstDash val="dash"/>
          </a:ln>
        </c:spPr>
        <c:txPr>
          <a:bodyPr/>
          <a:lstStyle/>
          <a:p>
            <a:pPr>
              <a:defRPr sz="800">
                <a:solidFill>
                  <a:schemeClr val="tx1">
                    <a:lumMod val="65000"/>
                    <a:lumOff val="35000"/>
                  </a:schemeClr>
                </a:solidFill>
                <a:latin typeface="Arial" panose="020B0604020202020204" pitchFamily="34" charset="0"/>
                <a:cs typeface="Arial" panose="020B0604020202020204" pitchFamily="34" charset="0"/>
              </a:defRPr>
            </a:pPr>
            <a:endParaRPr lang="en-US"/>
          </a:p>
        </c:txPr>
        <c:crossAx val="93890816"/>
        <c:crosses val="autoZero"/>
        <c:auto val="1"/>
        <c:lblAlgn val="ctr"/>
        <c:lblOffset val="100"/>
        <c:noMultiLvlLbl val="0"/>
      </c:catAx>
      <c:valAx>
        <c:axId val="93890816"/>
        <c:scaling>
          <c:orientation val="minMax"/>
        </c:scaling>
        <c:delete val="1"/>
        <c:axPos val="l"/>
        <c:numFmt formatCode="&quot;$&quot;\ #,##0;\(&quot;$&quot;\ #,##0\);\-" sourceLinked="1"/>
        <c:majorTickMark val="out"/>
        <c:minorTickMark val="none"/>
        <c:tickLblPos val="nextTo"/>
        <c:crossAx val="9388928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HIDE3!$C$30</c:f>
              <c:strCache>
                <c:ptCount val="1"/>
                <c:pt idx="0">
                  <c:v>Net Rental Income</c:v>
                </c:pt>
              </c:strCache>
            </c:strRef>
          </c:tx>
          <c:spPr>
            <a:solidFill>
              <a:schemeClr val="accent1">
                <a:lumMod val="20000"/>
                <a:lumOff val="80000"/>
              </a:schemeClr>
            </a:solidFill>
            <a:ln w="38100" cap="rnd">
              <a:solidFill>
                <a:schemeClr val="accent1">
                  <a:lumMod val="20000"/>
                  <a:lumOff val="8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HIDE3!$D$28:$O$28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HIDE3!$D$30:$O$30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6A9-4A05-BD79-B545D95932E2}"/>
            </c:ext>
          </c:extLst>
        </c:ser>
        <c:dLbls>
          <c:showLegendKey val="0"/>
          <c:showVal val="0"/>
          <c:showCatName val="0"/>
          <c:showSerName val="0"/>
          <c:showPercent val="0"/>
          <c:showBubbleSize val="0"/>
        </c:dLbls>
        <c:gapWidth val="150"/>
        <c:overlap val="-27"/>
        <c:axId val="826795568"/>
        <c:axId val="1601479824"/>
      </c:barChart>
      <c:lineChart>
        <c:grouping val="standard"/>
        <c:varyColors val="0"/>
        <c:ser>
          <c:idx val="1"/>
          <c:order val="1"/>
          <c:tx>
            <c:strRef>
              <c:f>HIDE3!$C$29</c:f>
              <c:strCache>
                <c:ptCount val="1"/>
                <c:pt idx="0">
                  <c:v>Days Booked</c:v>
                </c:pt>
              </c:strCache>
            </c:strRef>
          </c:tx>
          <c:spPr>
            <a:ln w="28575"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HIDE3!$D$28:$O$28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HIDE3!$D$29:$O$29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6A9-4A05-BD79-B545D95932E2}"/>
            </c:ext>
          </c:extLst>
        </c:ser>
        <c:dLbls>
          <c:showLegendKey val="0"/>
          <c:showVal val="0"/>
          <c:showCatName val="0"/>
          <c:showSerName val="0"/>
          <c:showPercent val="0"/>
          <c:showBubbleSize val="0"/>
        </c:dLbls>
        <c:marker val="1"/>
        <c:smooth val="0"/>
        <c:axId val="1739438224"/>
        <c:axId val="535306464"/>
      </c:lineChart>
      <c:catAx>
        <c:axId val="826795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1479824"/>
        <c:crosses val="autoZero"/>
        <c:auto val="1"/>
        <c:lblAlgn val="ctr"/>
        <c:lblOffset val="100"/>
        <c:noMultiLvlLbl val="0"/>
      </c:catAx>
      <c:valAx>
        <c:axId val="1601479824"/>
        <c:scaling>
          <c:orientation val="minMax"/>
        </c:scaling>
        <c:delete val="1"/>
        <c:axPos val="l"/>
        <c:numFmt formatCode="&quot;$&quot;#,##0;\(&quot;$&quot;#,##0\);&quot;&quot;" sourceLinked="1"/>
        <c:majorTickMark val="none"/>
        <c:minorTickMark val="none"/>
        <c:tickLblPos val="nextTo"/>
        <c:crossAx val="826795568"/>
        <c:crosses val="autoZero"/>
        <c:crossBetween val="between"/>
      </c:valAx>
      <c:valAx>
        <c:axId val="535306464"/>
        <c:scaling>
          <c:orientation val="minMax"/>
        </c:scaling>
        <c:delete val="1"/>
        <c:axPos val="r"/>
        <c:numFmt formatCode="0;0;&quot;&quot;" sourceLinked="1"/>
        <c:majorTickMark val="out"/>
        <c:minorTickMark val="none"/>
        <c:tickLblPos val="nextTo"/>
        <c:crossAx val="1739438224"/>
        <c:crosses val="max"/>
        <c:crossBetween val="between"/>
      </c:valAx>
      <c:catAx>
        <c:axId val="1739438224"/>
        <c:scaling>
          <c:orientation val="minMax"/>
        </c:scaling>
        <c:delete val="1"/>
        <c:axPos val="b"/>
        <c:numFmt formatCode="General" sourceLinked="1"/>
        <c:majorTickMark val="out"/>
        <c:minorTickMark val="none"/>
        <c:tickLblPos val="nextTo"/>
        <c:crossAx val="535306464"/>
        <c:crosses val="autoZero"/>
        <c:auto val="1"/>
        <c:lblAlgn val="ctr"/>
        <c:lblOffset val="100"/>
        <c:noMultiLvlLbl val="0"/>
      </c:cat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333333333333333E-2"/>
          <c:y val="5.1679586563307491E-2"/>
          <c:w val="0.96333333333333337"/>
          <c:h val="0.74160206718346255"/>
        </c:manualLayout>
      </c:layout>
      <c:barChart>
        <c:barDir val="col"/>
        <c:grouping val="clustered"/>
        <c:varyColors val="0"/>
        <c:ser>
          <c:idx val="0"/>
          <c:order val="0"/>
          <c:tx>
            <c:strRef>
              <c:f>HIDE3!$C$31</c:f>
              <c:strCache>
                <c:ptCount val="1"/>
                <c:pt idx="0">
                  <c:v>Expenses</c:v>
                </c:pt>
              </c:strCache>
            </c:strRef>
          </c:tx>
          <c:spPr>
            <a:solidFill>
              <a:schemeClr val="accent2">
                <a:lumMod val="20000"/>
                <a:lumOff val="80000"/>
              </a:schemeClr>
            </a:solidFill>
            <a:ln w="38100" cap="rnd">
              <a:solidFill>
                <a:schemeClr val="accent2">
                  <a:lumMod val="20000"/>
                  <a:lumOff val="8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HIDE3!$D$28:$O$28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HIDE3!$D$31:$O$31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335-4B04-A58F-CB76E3349838}"/>
            </c:ext>
          </c:extLst>
        </c:ser>
        <c:dLbls>
          <c:showLegendKey val="0"/>
          <c:showVal val="0"/>
          <c:showCatName val="0"/>
          <c:showSerName val="0"/>
          <c:showPercent val="0"/>
          <c:showBubbleSize val="0"/>
        </c:dLbls>
        <c:gapWidth val="150"/>
        <c:axId val="826795568"/>
        <c:axId val="1601479824"/>
      </c:barChart>
      <c:catAx>
        <c:axId val="8267955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1479824"/>
        <c:crosses val="autoZero"/>
        <c:auto val="1"/>
        <c:lblAlgn val="ctr"/>
        <c:lblOffset val="100"/>
        <c:noMultiLvlLbl val="0"/>
      </c:catAx>
      <c:valAx>
        <c:axId val="1601479824"/>
        <c:scaling>
          <c:orientation val="minMax"/>
        </c:scaling>
        <c:delete val="1"/>
        <c:axPos val="l"/>
        <c:numFmt formatCode="&quot;$&quot;#,##0;\(&quot;$&quot;#,##0\);&quot;&quot;" sourceLinked="1"/>
        <c:majorTickMark val="none"/>
        <c:minorTickMark val="none"/>
        <c:tickLblPos val="nextTo"/>
        <c:crossAx val="8267955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333333333333333E-2"/>
          <c:y val="5.1679586563307491E-2"/>
          <c:w val="0.96333333333333337"/>
          <c:h val="0.74160206718346255"/>
        </c:manualLayout>
      </c:layout>
      <c:barChart>
        <c:barDir val="col"/>
        <c:grouping val="clustered"/>
        <c:varyColors val="0"/>
        <c:ser>
          <c:idx val="0"/>
          <c:order val="0"/>
          <c:tx>
            <c:strRef>
              <c:f>HIDE3!$C$32</c:f>
              <c:strCache>
                <c:ptCount val="1"/>
                <c:pt idx="0">
                  <c:v>Cash Flow</c:v>
                </c:pt>
              </c:strCache>
            </c:strRef>
          </c:tx>
          <c:spPr>
            <a:solidFill>
              <a:srgbClr val="B9D3CA"/>
            </a:solidFill>
            <a:ln w="38100" cap="rnd">
              <a:solidFill>
                <a:srgbClr val="B9D3C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HIDE3!$D$28:$O$28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HIDE3!$D$32:$O$32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030-472D-B748-23A1B3171CBD}"/>
            </c:ext>
          </c:extLst>
        </c:ser>
        <c:dLbls>
          <c:showLegendKey val="0"/>
          <c:showVal val="0"/>
          <c:showCatName val="0"/>
          <c:showSerName val="0"/>
          <c:showPercent val="0"/>
          <c:showBubbleSize val="0"/>
        </c:dLbls>
        <c:gapWidth val="150"/>
        <c:axId val="826795568"/>
        <c:axId val="1601479824"/>
      </c:barChart>
      <c:catAx>
        <c:axId val="8267955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1479824"/>
        <c:crosses val="autoZero"/>
        <c:auto val="1"/>
        <c:lblAlgn val="ctr"/>
        <c:lblOffset val="100"/>
        <c:noMultiLvlLbl val="0"/>
      </c:catAx>
      <c:valAx>
        <c:axId val="1601479824"/>
        <c:scaling>
          <c:orientation val="minMax"/>
        </c:scaling>
        <c:delete val="1"/>
        <c:axPos val="l"/>
        <c:numFmt formatCode="&quot;$&quot;#,##0;\(&quot;$&quot;#,##0\);&quot;&quot;" sourceLinked="1"/>
        <c:majorTickMark val="none"/>
        <c:minorTickMark val="none"/>
        <c:tickLblPos val="nextTo"/>
        <c:crossAx val="8267955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333333333333333E-2"/>
          <c:y val="0.11369509043927649"/>
          <c:w val="0.96333333333333337"/>
          <c:h val="0.54295832883903206"/>
        </c:manualLayout>
      </c:layout>
      <c:barChart>
        <c:barDir val="col"/>
        <c:grouping val="clustered"/>
        <c:varyColors val="0"/>
        <c:ser>
          <c:idx val="0"/>
          <c:order val="0"/>
          <c:tx>
            <c:strRef>
              <c:f>HIDE5!$C$137</c:f>
              <c:strCache>
                <c:ptCount val="1"/>
                <c:pt idx="0">
                  <c:v>Actuals</c:v>
                </c:pt>
              </c:strCache>
            </c:strRef>
          </c:tx>
          <c:spPr>
            <a:solidFill>
              <a:schemeClr val="accent1">
                <a:lumMod val="20000"/>
                <a:lumOff val="80000"/>
              </a:schemeClr>
            </a:solidFill>
            <a:ln w="38100" cap="rnd">
              <a:solidFill>
                <a:schemeClr val="accent1">
                  <a:lumMod val="20000"/>
                  <a:lumOff val="8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HIDE3!$D$28:$O$28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HIDE5!$D$137:$O$137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FA0-4B87-8863-E19661CA9ECB}"/>
            </c:ext>
          </c:extLst>
        </c:ser>
        <c:ser>
          <c:idx val="2"/>
          <c:order val="1"/>
          <c:tx>
            <c:strRef>
              <c:f>HIDE5!$C$139</c:f>
              <c:strCache>
                <c:ptCount val="1"/>
                <c:pt idx="0">
                  <c:v>Forecasted</c:v>
                </c:pt>
              </c:strCache>
            </c:strRef>
          </c:tx>
          <c:spPr>
            <a:solidFill>
              <a:srgbClr val="E0ECE8"/>
            </a:solidFill>
            <a:ln w="38100" cap="rnd">
              <a:solidFill>
                <a:srgbClr val="E0ECE8"/>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HIDE5!$D$139:$O$139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B1A-4E38-ABEA-FD1C9B73966D}"/>
            </c:ext>
          </c:extLst>
        </c:ser>
        <c:dLbls>
          <c:showLegendKey val="0"/>
          <c:showVal val="0"/>
          <c:showCatName val="0"/>
          <c:showSerName val="0"/>
          <c:showPercent val="0"/>
          <c:showBubbleSize val="0"/>
        </c:dLbls>
        <c:gapWidth val="100"/>
        <c:overlap val="-30"/>
        <c:axId val="826795568"/>
        <c:axId val="1601479824"/>
      </c:barChart>
      <c:catAx>
        <c:axId val="826795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1479824"/>
        <c:crosses val="autoZero"/>
        <c:auto val="1"/>
        <c:lblAlgn val="ctr"/>
        <c:lblOffset val="100"/>
        <c:noMultiLvlLbl val="0"/>
      </c:catAx>
      <c:valAx>
        <c:axId val="1601479824"/>
        <c:scaling>
          <c:orientation val="minMax"/>
        </c:scaling>
        <c:delete val="1"/>
        <c:axPos val="l"/>
        <c:numFmt formatCode="#,##0;\(#,##0\);&quot;&quot;" sourceLinked="1"/>
        <c:majorTickMark val="none"/>
        <c:minorTickMark val="none"/>
        <c:tickLblPos val="nextTo"/>
        <c:crossAx val="826795568"/>
        <c:crosses val="autoZero"/>
        <c:crossBetween val="between"/>
      </c:valAx>
      <c:spPr>
        <a:noFill/>
        <a:ln>
          <a:noFill/>
        </a:ln>
        <a:effectLst/>
      </c:spPr>
    </c:plotArea>
    <c:legend>
      <c:legendPos val="b"/>
      <c:layout>
        <c:manualLayout>
          <c:xMode val="edge"/>
          <c:yMode val="edge"/>
          <c:x val="0.24906627296587927"/>
          <c:y val="0.8458893323266099"/>
          <c:w val="0.50186732283464575"/>
          <c:h val="0.154110667673390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HIDE2!$D$36</c:f>
              <c:strCache>
                <c:ptCount val="1"/>
                <c:pt idx="0">
                  <c:v>Start &amp; End</c:v>
                </c:pt>
              </c:strCache>
            </c:strRef>
          </c:tx>
          <c:spPr>
            <a:solidFill>
              <a:schemeClr val="accent1">
                <a:lumMod val="20000"/>
                <a:lumOff val="80000"/>
              </a:schemeClr>
            </a:solidFill>
            <a:ln w="63500" cap="rnd">
              <a:solidFill>
                <a:schemeClr val="accent1">
                  <a:lumMod val="20000"/>
                  <a:lumOff val="80000"/>
                </a:schemeClr>
              </a:solidFill>
            </a:ln>
          </c:spPr>
          <c:invertIfNegative val="0"/>
          <c:dPt>
            <c:idx val="0"/>
            <c:invertIfNegative val="0"/>
            <c:bubble3D val="0"/>
            <c:spPr>
              <a:solidFill>
                <a:srgbClr val="E0ECE8"/>
              </a:solidFill>
              <a:ln w="63500" cap="rnd">
                <a:solidFill>
                  <a:srgbClr val="E0ECE8"/>
                </a:solidFill>
              </a:ln>
            </c:spPr>
            <c:extLst>
              <c:ext xmlns:c16="http://schemas.microsoft.com/office/drawing/2014/chart" uri="{C3380CC4-5D6E-409C-BE32-E72D297353CC}">
                <c16:uniqueId val="{00000009-295F-46E5-B31A-0A43455652D2}"/>
              </c:ext>
            </c:extLst>
          </c:dPt>
          <c:dLbls>
            <c:spPr>
              <a:noFill/>
              <a:ln>
                <a:noFill/>
              </a:ln>
              <a:effectLst/>
            </c:spPr>
            <c:txPr>
              <a:bodyPr wrap="square" lIns="38100" tIns="19050" rIns="38100" bIns="19050" anchor="ctr">
                <a:spAutoFit/>
              </a:bodyPr>
              <a:lstStyle/>
              <a:p>
                <a:pPr>
                  <a:defRPr sz="800">
                    <a:solidFill>
                      <a:schemeClr val="tx1">
                        <a:lumMod val="65000"/>
                        <a:lumOff val="35000"/>
                      </a:schemeClr>
                    </a:solidFill>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HIDE2!$A$37:$A$42</c:f>
              <c:strCache>
                <c:ptCount val="6"/>
                <c:pt idx="0">
                  <c:v>Forecasted Cash Flow</c:v>
                </c:pt>
                <c:pt idx="1">
                  <c:v>Rental Income</c:v>
                </c:pt>
                <c:pt idx="2">
                  <c:v>Operating Exp.</c:v>
                </c:pt>
                <c:pt idx="3">
                  <c:v>Capex &amp; Other</c:v>
                </c:pt>
                <c:pt idx="4">
                  <c:v>Financing Exp.</c:v>
                </c:pt>
                <c:pt idx="5">
                  <c:v>Actual Cash Flow</c:v>
                </c:pt>
              </c:strCache>
            </c:strRef>
          </c:cat>
          <c:val>
            <c:numRef>
              <c:f>HIDE2!$D$37:$D$42</c:f>
              <c:numCache>
                <c:formatCode>"$"\ #,##0;\("$"\ #,##0\);\-</c:formatCode>
                <c:ptCount val="6"/>
                <c:pt idx="0">
                  <c:v>0</c:v>
                </c:pt>
                <c:pt idx="5">
                  <c:v>0</c:v>
                </c:pt>
              </c:numCache>
            </c:numRef>
          </c:val>
          <c:extLst>
            <c:ext xmlns:c16="http://schemas.microsoft.com/office/drawing/2014/chart" uri="{C3380CC4-5D6E-409C-BE32-E72D297353CC}">
              <c16:uniqueId val="{00000000-295F-46E5-B31A-0A43455652D2}"/>
            </c:ext>
          </c:extLst>
        </c:ser>
        <c:dLbls>
          <c:showLegendKey val="0"/>
          <c:showVal val="0"/>
          <c:showCatName val="0"/>
          <c:showSerName val="0"/>
          <c:showPercent val="0"/>
          <c:showBubbleSize val="0"/>
        </c:dLbls>
        <c:gapWidth val="53"/>
        <c:axId val="93889280"/>
        <c:axId val="93890816"/>
      </c:barChart>
      <c:lineChart>
        <c:grouping val="standard"/>
        <c:varyColors val="0"/>
        <c:ser>
          <c:idx val="1"/>
          <c:order val="1"/>
          <c:tx>
            <c:strRef>
              <c:f>HIDE2!$E$36</c:f>
              <c:strCache>
                <c:ptCount val="1"/>
                <c:pt idx="0">
                  <c:v>Before</c:v>
                </c:pt>
              </c:strCache>
            </c:strRef>
          </c:tx>
          <c:spPr>
            <a:ln w="19050">
              <a:noFill/>
            </a:ln>
          </c:spPr>
          <c:marker>
            <c:symbol val="none"/>
          </c:marker>
          <c:cat>
            <c:strRef>
              <c:f>HIDE2!$A$6:$A$11</c:f>
              <c:strCache>
                <c:ptCount val="6"/>
                <c:pt idx="0">
                  <c:v>Monthly Income</c:v>
                </c:pt>
                <c:pt idx="1">
                  <c:v>Airbnb Fee</c:v>
                </c:pt>
                <c:pt idx="2">
                  <c:v>Operating Expenses</c:v>
                </c:pt>
                <c:pt idx="3">
                  <c:v>CAPEX</c:v>
                </c:pt>
                <c:pt idx="4">
                  <c:v>P&amp;I</c:v>
                </c:pt>
                <c:pt idx="5">
                  <c:v>Net Cash Flow</c:v>
                </c:pt>
              </c:strCache>
            </c:strRef>
          </c:cat>
          <c:val>
            <c:numRef>
              <c:f>HIDE2!$E$37:$E$42</c:f>
              <c:numCache>
                <c:formatCode>"$"\ #,##0;\("$"\ #,##0\);\-</c:formatCode>
                <c:ptCount val="6"/>
                <c:pt idx="1">
                  <c:v>0</c:v>
                </c:pt>
                <c:pt idx="2">
                  <c:v>0</c:v>
                </c:pt>
                <c:pt idx="3">
                  <c:v>0</c:v>
                </c:pt>
                <c:pt idx="4">
                  <c:v>0</c:v>
                </c:pt>
              </c:numCache>
            </c:numRef>
          </c:val>
          <c:smooth val="0"/>
          <c:extLst>
            <c:ext xmlns:c16="http://schemas.microsoft.com/office/drawing/2014/chart" uri="{C3380CC4-5D6E-409C-BE32-E72D297353CC}">
              <c16:uniqueId val="{00000001-295F-46E5-B31A-0A43455652D2}"/>
            </c:ext>
          </c:extLst>
        </c:ser>
        <c:ser>
          <c:idx val="2"/>
          <c:order val="2"/>
          <c:tx>
            <c:strRef>
              <c:f>HIDE2!$F$36</c:f>
              <c:strCache>
                <c:ptCount val="1"/>
                <c:pt idx="0">
                  <c:v>After</c:v>
                </c:pt>
              </c:strCache>
            </c:strRef>
          </c:tx>
          <c:spPr>
            <a:ln w="19050">
              <a:noFill/>
            </a:ln>
          </c:spPr>
          <c:marker>
            <c:symbol val="none"/>
          </c:marker>
          <c:cat>
            <c:strRef>
              <c:f>HIDE2!$A$6:$A$11</c:f>
              <c:strCache>
                <c:ptCount val="6"/>
                <c:pt idx="0">
                  <c:v>Monthly Income</c:v>
                </c:pt>
                <c:pt idx="1">
                  <c:v>Airbnb Fee</c:v>
                </c:pt>
                <c:pt idx="2">
                  <c:v>Operating Expenses</c:v>
                </c:pt>
                <c:pt idx="3">
                  <c:v>CAPEX</c:v>
                </c:pt>
                <c:pt idx="4">
                  <c:v>P&amp;I</c:v>
                </c:pt>
                <c:pt idx="5">
                  <c:v>Net Cash Flow</c:v>
                </c:pt>
              </c:strCache>
            </c:strRef>
          </c:cat>
          <c:val>
            <c:numRef>
              <c:f>HIDE2!$F$37:$F$42</c:f>
              <c:numCache>
                <c:formatCode>"$"\ #,##0;\("$"\ #,##0\);\-</c:formatCode>
                <c:ptCount val="6"/>
                <c:pt idx="1">
                  <c:v>0</c:v>
                </c:pt>
                <c:pt idx="2">
                  <c:v>0</c:v>
                </c:pt>
                <c:pt idx="3">
                  <c:v>0</c:v>
                </c:pt>
                <c:pt idx="4">
                  <c:v>0</c:v>
                </c:pt>
              </c:numCache>
            </c:numRef>
          </c:val>
          <c:smooth val="0"/>
          <c:extLst>
            <c:ext xmlns:c16="http://schemas.microsoft.com/office/drawing/2014/chart" uri="{C3380CC4-5D6E-409C-BE32-E72D297353CC}">
              <c16:uniqueId val="{00000002-295F-46E5-B31A-0A43455652D2}"/>
            </c:ext>
          </c:extLst>
        </c:ser>
        <c:dLbls>
          <c:showLegendKey val="0"/>
          <c:showVal val="0"/>
          <c:showCatName val="0"/>
          <c:showSerName val="0"/>
          <c:showPercent val="0"/>
          <c:showBubbleSize val="0"/>
        </c:dLbls>
        <c:upDownBars>
          <c:gapWidth val="69"/>
          <c:upBars>
            <c:spPr>
              <a:solidFill>
                <a:schemeClr val="accent3">
                  <a:lumMod val="20000"/>
                  <a:lumOff val="80000"/>
                </a:schemeClr>
              </a:solidFill>
              <a:ln>
                <a:solidFill>
                  <a:schemeClr val="accent3">
                    <a:lumMod val="20000"/>
                    <a:lumOff val="80000"/>
                  </a:schemeClr>
                </a:solidFill>
              </a:ln>
            </c:spPr>
          </c:upBars>
          <c:downBars>
            <c:spPr>
              <a:solidFill>
                <a:schemeClr val="accent3">
                  <a:lumMod val="20000"/>
                  <a:lumOff val="80000"/>
                </a:schemeClr>
              </a:solidFill>
              <a:ln w="38100" cap="rnd">
                <a:solidFill>
                  <a:schemeClr val="accent3">
                    <a:lumMod val="20000"/>
                    <a:lumOff val="80000"/>
                  </a:schemeClr>
                </a:solidFill>
              </a:ln>
            </c:spPr>
          </c:downBars>
        </c:upDownBars>
        <c:marker val="1"/>
        <c:smooth val="0"/>
        <c:axId val="93889280"/>
        <c:axId val="93890816"/>
      </c:lineChart>
      <c:scatterChart>
        <c:scatterStyle val="lineMarker"/>
        <c:varyColors val="0"/>
        <c:ser>
          <c:idx val="3"/>
          <c:order val="3"/>
          <c:tx>
            <c:strRef>
              <c:f>HIDE2!$C$36</c:f>
              <c:strCache>
                <c:ptCount val="1"/>
                <c:pt idx="0">
                  <c:v>Cumulative</c:v>
                </c:pt>
              </c:strCache>
            </c:strRef>
          </c:tx>
          <c:spPr>
            <a:ln w="19050">
              <a:noFill/>
            </a:ln>
          </c:spPr>
          <c:marker>
            <c:symbol val="none"/>
          </c:marker>
          <c:errBars>
            <c:errDir val="x"/>
            <c:errBarType val="plus"/>
            <c:errValType val="fixedVal"/>
            <c:noEndCap val="1"/>
            <c:val val="1"/>
            <c:spPr>
              <a:ln w="6350">
                <a:noFill/>
                <a:prstDash val="solid"/>
              </a:ln>
            </c:spPr>
          </c:errBars>
          <c:yVal>
            <c:numRef>
              <c:f>HIDE2!$C$37:$C$41</c:f>
              <c:numCache>
                <c:formatCode>"$"\ #,##0;\("$"\ #,##0\);\-</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3-295F-46E5-B31A-0A43455652D2}"/>
            </c:ext>
          </c:extLst>
        </c:ser>
        <c:ser>
          <c:idx val="4"/>
          <c:order val="4"/>
          <c:tx>
            <c:strRef>
              <c:f>HIDE2!$G$36</c:f>
              <c:strCache>
                <c:ptCount val="1"/>
                <c:pt idx="0">
                  <c:v>Data label position</c:v>
                </c:pt>
              </c:strCache>
            </c:strRef>
          </c:tx>
          <c:spPr>
            <a:ln w="19050">
              <a:noFill/>
            </a:ln>
          </c:spPr>
          <c:marker>
            <c:symbol val="none"/>
          </c:marker>
          <c:dLbls>
            <c:dLbl>
              <c:idx val="1"/>
              <c:tx>
                <c:strRef>
                  <c:f>HIDE2!$B$38</c:f>
                  <c:strCache>
                    <c:ptCount val="1"/>
                    <c:pt idx="0">
                      <c:v>-</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{A80E51A3-8929-4B7E-BDDD-18579174359D}</c15:txfldGUID>
                      <c15:f>HIDE2!$B$38</c15:f>
                      <c15:dlblFieldTableCache>
                        <c:ptCount val="1"/>
                        <c:pt idx="0">
                          <c:v>-</c:v>
                        </c:pt>
                      </c15:dlblFieldTableCache>
                    </c15:dlblFTEntry>
                  </c15:dlblFieldTable>
                  <c15:showDataLabelsRange val="0"/>
                </c:ext>
                <c:ext xmlns:c16="http://schemas.microsoft.com/office/drawing/2014/chart" uri="{C3380CC4-5D6E-409C-BE32-E72D297353CC}">
                  <c16:uniqueId val="{00000005-295F-46E5-B31A-0A43455652D2}"/>
                </c:ext>
              </c:extLst>
            </c:dLbl>
            <c:dLbl>
              <c:idx val="2"/>
              <c:tx>
                <c:strRef>
                  <c:f>HIDE2!$B$39</c:f>
                  <c:strCache>
                    <c:ptCount val="1"/>
                    <c:pt idx="0">
                      <c:v>-</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{4301217F-FC23-4593-9ECA-41F1E688F287}</c15:txfldGUID>
                      <c15:f>HIDE2!$B$39</c15:f>
                      <c15:dlblFieldTableCache>
                        <c:ptCount val="1"/>
                        <c:pt idx="0">
                          <c:v>-</c:v>
                        </c:pt>
                      </c15:dlblFieldTableCache>
                    </c15:dlblFTEntry>
                  </c15:dlblFieldTable>
                  <c15:showDataLabelsRange val="0"/>
                </c:ext>
                <c:ext xmlns:c16="http://schemas.microsoft.com/office/drawing/2014/chart" uri="{C3380CC4-5D6E-409C-BE32-E72D297353CC}">
                  <c16:uniqueId val="{00000006-295F-46E5-B31A-0A43455652D2}"/>
                </c:ext>
              </c:extLst>
            </c:dLbl>
            <c:dLbl>
              <c:idx val="3"/>
              <c:tx>
                <c:strRef>
                  <c:f>HIDE2!$B$40</c:f>
                  <c:strCache>
                    <c:ptCount val="1"/>
                    <c:pt idx="0">
                      <c:v>-</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{545D5E20-D246-4253-B570-EC76E8A140C8}</c15:txfldGUID>
                      <c15:f>HIDE2!$B$40</c15:f>
                      <c15:dlblFieldTableCache>
                        <c:ptCount val="1"/>
                        <c:pt idx="0">
                          <c:v>-</c:v>
                        </c:pt>
                      </c15:dlblFieldTableCache>
                    </c15:dlblFTEntry>
                  </c15:dlblFieldTable>
                  <c15:showDataLabelsRange val="0"/>
                </c:ext>
                <c:ext xmlns:c16="http://schemas.microsoft.com/office/drawing/2014/chart" uri="{C3380CC4-5D6E-409C-BE32-E72D297353CC}">
                  <c16:uniqueId val="{00000007-295F-46E5-B31A-0A43455652D2}"/>
                </c:ext>
              </c:extLst>
            </c:dLbl>
            <c:dLbl>
              <c:idx val="4"/>
              <c:tx>
                <c:strRef>
                  <c:f>HIDE2!$B$41</c:f>
                  <c:strCache>
                    <c:ptCount val="1"/>
                    <c:pt idx="0">
                      <c:v>-</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{0B3998BB-31C5-4DEA-8A66-414172CC4A4D}</c15:txfldGUID>
                      <c15:f>HIDE2!$B$41</c15:f>
                      <c15:dlblFieldTableCache>
                        <c:ptCount val="1"/>
                        <c:pt idx="0">
                          <c:v>-</c:v>
                        </c:pt>
                      </c15:dlblFieldTableCache>
                    </c15:dlblFTEntry>
                  </c15:dlblFieldTable>
                  <c15:showDataLabelsRange val="0"/>
                </c:ext>
                <c:ext xmlns:c16="http://schemas.microsoft.com/office/drawing/2014/chart" uri="{C3380CC4-5D6E-409C-BE32-E72D297353CC}">
                  <c16:uniqueId val="{00000008-295F-46E5-B31A-0A43455652D2}"/>
                </c:ext>
              </c:extLst>
            </c:dLbl>
            <c:spPr>
              <a:noFill/>
              <a:ln>
                <a:noFill/>
              </a:ln>
              <a:effectLst/>
            </c:spPr>
            <c:txPr>
              <a:bodyPr wrap="square" lIns="38100" tIns="19050" rIns="38100" bIns="19050" anchor="ctr">
                <a:spAutoFit/>
              </a:bodyPr>
              <a:lstStyle/>
              <a:p>
                <a:pPr>
                  <a:defRPr sz="800">
                    <a:solidFill>
                      <a:schemeClr val="tx1">
                        <a:lumMod val="65000"/>
                        <a:lumOff val="35000"/>
                      </a:schemeClr>
                    </a:solidFill>
                    <a:latin typeface="Arial" panose="020B0604020202020204" pitchFamily="34" charset="0"/>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yVal>
            <c:numRef>
              <c:f>HIDE2!$G$37:$G$42</c:f>
              <c:numCache>
                <c:formatCode>"$"\ #,##0;\("$"\ #,##0\);\-</c:formatCode>
                <c:ptCount val="6"/>
                <c:pt idx="1">
                  <c:v>0</c:v>
                </c:pt>
                <c:pt idx="2">
                  <c:v>0</c:v>
                </c:pt>
                <c:pt idx="3">
                  <c:v>0</c:v>
                </c:pt>
                <c:pt idx="4">
                  <c:v>0</c:v>
                </c:pt>
              </c:numCache>
            </c:numRef>
          </c:yVal>
          <c:smooth val="0"/>
          <c:extLst>
            <c:ext xmlns:c16="http://schemas.microsoft.com/office/drawing/2014/chart" uri="{C3380CC4-5D6E-409C-BE32-E72D297353CC}">
              <c16:uniqueId val="{00000004-295F-46E5-B31A-0A43455652D2}"/>
            </c:ext>
          </c:extLst>
        </c:ser>
        <c:dLbls>
          <c:showLegendKey val="0"/>
          <c:showVal val="0"/>
          <c:showCatName val="0"/>
          <c:showSerName val="0"/>
          <c:showPercent val="0"/>
          <c:showBubbleSize val="0"/>
        </c:dLbls>
        <c:axId val="93889280"/>
        <c:axId val="93890816"/>
      </c:scatterChart>
      <c:catAx>
        <c:axId val="93889280"/>
        <c:scaling>
          <c:orientation val="minMax"/>
        </c:scaling>
        <c:delete val="0"/>
        <c:axPos val="b"/>
        <c:numFmt formatCode="General" sourceLinked="0"/>
        <c:majorTickMark val="none"/>
        <c:minorTickMark val="none"/>
        <c:tickLblPos val="low"/>
        <c:spPr>
          <a:ln w="12700">
            <a:solidFill>
              <a:schemeClr val="bg1">
                <a:lumMod val="50000"/>
              </a:schemeClr>
            </a:solidFill>
            <a:prstDash val="dash"/>
          </a:ln>
        </c:spPr>
        <c:txPr>
          <a:bodyPr/>
          <a:lstStyle/>
          <a:p>
            <a:pPr>
              <a:defRPr sz="900">
                <a:solidFill>
                  <a:schemeClr val="tx1">
                    <a:lumMod val="65000"/>
                    <a:lumOff val="35000"/>
                  </a:schemeClr>
                </a:solidFill>
                <a:latin typeface="Arial" panose="020B0604020202020204" pitchFamily="34" charset="0"/>
                <a:cs typeface="Arial" panose="020B0604020202020204" pitchFamily="34" charset="0"/>
              </a:defRPr>
            </a:pPr>
            <a:endParaRPr lang="en-US"/>
          </a:p>
        </c:txPr>
        <c:crossAx val="93890816"/>
        <c:crosses val="autoZero"/>
        <c:auto val="1"/>
        <c:lblAlgn val="ctr"/>
        <c:lblOffset val="100"/>
        <c:noMultiLvlLbl val="0"/>
      </c:catAx>
      <c:valAx>
        <c:axId val="93890816"/>
        <c:scaling>
          <c:orientation val="minMax"/>
        </c:scaling>
        <c:delete val="1"/>
        <c:axPos val="l"/>
        <c:numFmt formatCode="&quot;$&quot;\ #,##0;\(&quot;$&quot;\ #,##0\);\-" sourceLinked="1"/>
        <c:majorTickMark val="out"/>
        <c:minorTickMark val="none"/>
        <c:tickLblPos val="nextTo"/>
        <c:crossAx val="9388928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333333333333333E-2"/>
          <c:y val="0.11369509043927649"/>
          <c:w val="0.96333333333333337"/>
          <c:h val="0.56114737302574025"/>
        </c:manualLayout>
      </c:layout>
      <c:barChart>
        <c:barDir val="col"/>
        <c:grouping val="clustered"/>
        <c:varyColors val="0"/>
        <c:ser>
          <c:idx val="0"/>
          <c:order val="0"/>
          <c:tx>
            <c:strRef>
              <c:f>HIDE5!$C$141</c:f>
              <c:strCache>
                <c:ptCount val="1"/>
                <c:pt idx="0">
                  <c:v>Actuals</c:v>
                </c:pt>
              </c:strCache>
            </c:strRef>
          </c:tx>
          <c:spPr>
            <a:solidFill>
              <a:schemeClr val="accent1">
                <a:lumMod val="20000"/>
                <a:lumOff val="80000"/>
              </a:schemeClr>
            </a:solidFill>
            <a:ln w="38100" cap="rnd">
              <a:solidFill>
                <a:schemeClr val="accent1">
                  <a:lumMod val="20000"/>
                  <a:lumOff val="8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HIDE3!$D$28:$O$28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HIDE5!$D$141:$O$141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973-4463-8EE9-1238A331682D}"/>
            </c:ext>
          </c:extLst>
        </c:ser>
        <c:ser>
          <c:idx val="2"/>
          <c:order val="1"/>
          <c:tx>
            <c:strRef>
              <c:f>HIDE5!$C$142</c:f>
              <c:strCache>
                <c:ptCount val="1"/>
                <c:pt idx="0">
                  <c:v>Forecasted</c:v>
                </c:pt>
              </c:strCache>
            </c:strRef>
          </c:tx>
          <c:spPr>
            <a:solidFill>
              <a:srgbClr val="E0ECE8"/>
            </a:solidFill>
            <a:ln w="38100" cap="rnd">
              <a:solidFill>
                <a:srgbClr val="E0ECE8"/>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HIDE5!$D$142:$O$142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5973-4463-8EE9-1238A331682D}"/>
            </c:ext>
          </c:extLst>
        </c:ser>
        <c:dLbls>
          <c:showLegendKey val="0"/>
          <c:showVal val="0"/>
          <c:showCatName val="0"/>
          <c:showSerName val="0"/>
          <c:showPercent val="0"/>
          <c:showBubbleSize val="0"/>
        </c:dLbls>
        <c:gapWidth val="100"/>
        <c:overlap val="-30"/>
        <c:axId val="826795568"/>
        <c:axId val="1601479824"/>
      </c:barChart>
      <c:catAx>
        <c:axId val="826795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1479824"/>
        <c:crosses val="autoZero"/>
        <c:auto val="1"/>
        <c:lblAlgn val="ctr"/>
        <c:lblOffset val="100"/>
        <c:noMultiLvlLbl val="0"/>
      </c:catAx>
      <c:valAx>
        <c:axId val="1601479824"/>
        <c:scaling>
          <c:orientation val="minMax"/>
        </c:scaling>
        <c:delete val="1"/>
        <c:axPos val="l"/>
        <c:numFmt formatCode="#,##0;\(#,##0\);&quot;&quot;" sourceLinked="1"/>
        <c:majorTickMark val="none"/>
        <c:minorTickMark val="none"/>
        <c:tickLblPos val="nextTo"/>
        <c:crossAx val="826795568"/>
        <c:crosses val="autoZero"/>
        <c:crossBetween val="between"/>
      </c:valAx>
      <c:spPr>
        <a:noFill/>
        <a:ln>
          <a:noFill/>
        </a:ln>
        <a:effectLst/>
      </c:spPr>
    </c:plotArea>
    <c:legend>
      <c:legendPos val="b"/>
      <c:layout>
        <c:manualLayout>
          <c:xMode val="edge"/>
          <c:yMode val="edge"/>
          <c:x val="0.22654501312335959"/>
          <c:y val="0.84580484182898186"/>
          <c:w val="0.52190997375328074"/>
          <c:h val="0.154195158171018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HIDE2!$D$15</c:f>
              <c:strCache>
                <c:ptCount val="1"/>
                <c:pt idx="0">
                  <c:v>Start &amp; End</c:v>
                </c:pt>
              </c:strCache>
            </c:strRef>
          </c:tx>
          <c:invertIfNegative val="0"/>
          <c:dPt>
            <c:idx val="0"/>
            <c:invertIfNegative val="0"/>
            <c:bubble3D val="0"/>
            <c:spPr>
              <a:solidFill>
                <a:schemeClr val="accent1">
                  <a:lumMod val="20000"/>
                  <a:lumOff val="80000"/>
                </a:schemeClr>
              </a:solidFill>
              <a:ln w="38100" cap="rnd">
                <a:solidFill>
                  <a:schemeClr val="accent1">
                    <a:lumMod val="20000"/>
                    <a:lumOff val="80000"/>
                  </a:schemeClr>
                </a:solidFill>
              </a:ln>
            </c:spPr>
            <c:extLst>
              <c:ext xmlns:c16="http://schemas.microsoft.com/office/drawing/2014/chart" uri="{C3380CC4-5D6E-409C-BE32-E72D297353CC}">
                <c16:uniqueId val="{00000001-2EB3-4B4E-9DF1-BF5EB62011E5}"/>
              </c:ext>
            </c:extLst>
          </c:dPt>
          <c:dPt>
            <c:idx val="4"/>
            <c:invertIfNegative val="0"/>
            <c:bubble3D val="0"/>
            <c:spPr>
              <a:solidFill>
                <a:schemeClr val="accent6">
                  <a:lumMod val="20000"/>
                  <a:lumOff val="80000"/>
                </a:schemeClr>
              </a:solidFill>
              <a:ln w="38100" cap="rnd">
                <a:solidFill>
                  <a:schemeClr val="accent6">
                    <a:lumMod val="20000"/>
                    <a:lumOff val="80000"/>
                  </a:schemeClr>
                </a:solidFill>
              </a:ln>
            </c:spPr>
            <c:extLst>
              <c:ext xmlns:c16="http://schemas.microsoft.com/office/drawing/2014/chart" uri="{C3380CC4-5D6E-409C-BE32-E72D297353CC}">
                <c16:uniqueId val="{0000000D-2EB3-4B4E-9DF1-BF5EB62011E5}"/>
              </c:ext>
            </c:extLst>
          </c:dPt>
          <c:dLbls>
            <c:spPr>
              <a:noFill/>
              <a:ln>
                <a:noFill/>
              </a:ln>
              <a:effectLst/>
            </c:spPr>
            <c:txPr>
              <a:bodyPr wrap="square" lIns="38100" tIns="19050" rIns="38100" bIns="19050" anchor="ctr">
                <a:spAutoFit/>
              </a:bodyPr>
              <a:lstStyle/>
              <a:p>
                <a:pPr>
                  <a:defRPr sz="800">
                    <a:solidFill>
                      <a:schemeClr val="tx1">
                        <a:lumMod val="65000"/>
                        <a:lumOff val="35000"/>
                      </a:schemeClr>
                    </a:solidFill>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HIDE2!$A$16:$A$20</c:f>
              <c:strCache>
                <c:ptCount val="5"/>
                <c:pt idx="0">
                  <c:v>Net Rental Income</c:v>
                </c:pt>
                <c:pt idx="1">
                  <c:v>Operating Exp.</c:v>
                </c:pt>
                <c:pt idx="2">
                  <c:v>Capex &amp; Other</c:v>
                </c:pt>
                <c:pt idx="3">
                  <c:v>Financing Exp.</c:v>
                </c:pt>
                <c:pt idx="4">
                  <c:v>Net Cash Flow</c:v>
                </c:pt>
              </c:strCache>
            </c:strRef>
          </c:cat>
          <c:val>
            <c:numRef>
              <c:f>HIDE2!$D$16:$D$20</c:f>
              <c:numCache>
                <c:formatCode>"$"\ #,##0;\("$"\ #,##0\);\-</c:formatCode>
                <c:ptCount val="5"/>
                <c:pt idx="0">
                  <c:v>0</c:v>
                </c:pt>
                <c:pt idx="4">
                  <c:v>0</c:v>
                </c:pt>
              </c:numCache>
            </c:numRef>
          </c:val>
          <c:extLst>
            <c:ext xmlns:c16="http://schemas.microsoft.com/office/drawing/2014/chart" uri="{C3380CC4-5D6E-409C-BE32-E72D297353CC}">
              <c16:uniqueId val="{00000004-2EB3-4B4E-9DF1-BF5EB62011E5}"/>
            </c:ext>
          </c:extLst>
        </c:ser>
        <c:dLbls>
          <c:showLegendKey val="0"/>
          <c:showVal val="0"/>
          <c:showCatName val="0"/>
          <c:showSerName val="0"/>
          <c:showPercent val="0"/>
          <c:showBubbleSize val="0"/>
        </c:dLbls>
        <c:gapWidth val="53"/>
        <c:axId val="93889280"/>
        <c:axId val="93890816"/>
      </c:barChart>
      <c:lineChart>
        <c:grouping val="standard"/>
        <c:varyColors val="0"/>
        <c:ser>
          <c:idx val="1"/>
          <c:order val="1"/>
          <c:tx>
            <c:strRef>
              <c:f>HIDE2!$E$15</c:f>
              <c:strCache>
                <c:ptCount val="1"/>
                <c:pt idx="0">
                  <c:v>Before</c:v>
                </c:pt>
              </c:strCache>
            </c:strRef>
          </c:tx>
          <c:spPr>
            <a:ln w="19050">
              <a:noFill/>
            </a:ln>
          </c:spPr>
          <c:marker>
            <c:symbol val="none"/>
          </c:marker>
          <c:cat>
            <c:strRef>
              <c:f>HIDE2!$A$6:$A$11</c:f>
              <c:strCache>
                <c:ptCount val="6"/>
                <c:pt idx="0">
                  <c:v>Monthly Income</c:v>
                </c:pt>
                <c:pt idx="1">
                  <c:v>Airbnb Fee</c:v>
                </c:pt>
                <c:pt idx="2">
                  <c:v>Operating Expenses</c:v>
                </c:pt>
                <c:pt idx="3">
                  <c:v>CAPEX</c:v>
                </c:pt>
                <c:pt idx="4">
                  <c:v>P&amp;I</c:v>
                </c:pt>
                <c:pt idx="5">
                  <c:v>Net Cash Flow</c:v>
                </c:pt>
              </c:strCache>
            </c:strRef>
          </c:cat>
          <c:val>
            <c:numRef>
              <c:f>HIDE2!$E$16:$E$20</c:f>
              <c:numCache>
                <c:formatCode>"$"\ #,##0;\("$"\ #,##0\);\-</c:formatCode>
                <c:ptCount val="5"/>
                <c:pt idx="1">
                  <c:v>0</c:v>
                </c:pt>
                <c:pt idx="2">
                  <c:v>0</c:v>
                </c:pt>
                <c:pt idx="3">
                  <c:v>0</c:v>
                </c:pt>
              </c:numCache>
            </c:numRef>
          </c:val>
          <c:smooth val="0"/>
          <c:extLst>
            <c:ext xmlns:c16="http://schemas.microsoft.com/office/drawing/2014/chart" uri="{C3380CC4-5D6E-409C-BE32-E72D297353CC}">
              <c16:uniqueId val="{00000005-2EB3-4B4E-9DF1-BF5EB62011E5}"/>
            </c:ext>
          </c:extLst>
        </c:ser>
        <c:ser>
          <c:idx val="2"/>
          <c:order val="2"/>
          <c:tx>
            <c:strRef>
              <c:f>HIDE2!$F$15</c:f>
              <c:strCache>
                <c:ptCount val="1"/>
                <c:pt idx="0">
                  <c:v>After</c:v>
                </c:pt>
              </c:strCache>
            </c:strRef>
          </c:tx>
          <c:spPr>
            <a:ln w="19050">
              <a:noFill/>
            </a:ln>
          </c:spPr>
          <c:marker>
            <c:symbol val="none"/>
          </c:marker>
          <c:cat>
            <c:strRef>
              <c:f>HIDE2!$A$6:$A$11</c:f>
              <c:strCache>
                <c:ptCount val="6"/>
                <c:pt idx="0">
                  <c:v>Monthly Income</c:v>
                </c:pt>
                <c:pt idx="1">
                  <c:v>Airbnb Fee</c:v>
                </c:pt>
                <c:pt idx="2">
                  <c:v>Operating Expenses</c:v>
                </c:pt>
                <c:pt idx="3">
                  <c:v>CAPEX</c:v>
                </c:pt>
                <c:pt idx="4">
                  <c:v>P&amp;I</c:v>
                </c:pt>
                <c:pt idx="5">
                  <c:v>Net Cash Flow</c:v>
                </c:pt>
              </c:strCache>
            </c:strRef>
          </c:cat>
          <c:val>
            <c:numRef>
              <c:f>HIDE2!$F$16:$F$20</c:f>
              <c:numCache>
                <c:formatCode>"$"\ #,##0;\("$"\ #,##0\);\-</c:formatCode>
                <c:ptCount val="5"/>
                <c:pt idx="1">
                  <c:v>0</c:v>
                </c:pt>
                <c:pt idx="2">
                  <c:v>0</c:v>
                </c:pt>
                <c:pt idx="3">
                  <c:v>0</c:v>
                </c:pt>
              </c:numCache>
            </c:numRef>
          </c:val>
          <c:smooth val="0"/>
          <c:extLst>
            <c:ext xmlns:c16="http://schemas.microsoft.com/office/drawing/2014/chart" uri="{C3380CC4-5D6E-409C-BE32-E72D297353CC}">
              <c16:uniqueId val="{00000006-2EB3-4B4E-9DF1-BF5EB62011E5}"/>
            </c:ext>
          </c:extLst>
        </c:ser>
        <c:dLbls>
          <c:showLegendKey val="0"/>
          <c:showVal val="0"/>
          <c:showCatName val="0"/>
          <c:showSerName val="0"/>
          <c:showPercent val="0"/>
          <c:showBubbleSize val="0"/>
        </c:dLbls>
        <c:upDownBars>
          <c:gapWidth val="69"/>
          <c:upBars>
            <c:spPr>
              <a:solidFill>
                <a:schemeClr val="accent6"/>
              </a:solidFill>
              <a:ln>
                <a:solidFill>
                  <a:schemeClr val="bg1">
                    <a:lumMod val="65000"/>
                  </a:schemeClr>
                </a:solidFill>
              </a:ln>
            </c:spPr>
          </c:upBars>
          <c:downBars>
            <c:spPr>
              <a:solidFill>
                <a:schemeClr val="accent2">
                  <a:lumMod val="20000"/>
                  <a:lumOff val="80000"/>
                </a:schemeClr>
              </a:solidFill>
              <a:ln w="38100" cap="rnd">
                <a:solidFill>
                  <a:schemeClr val="accent2">
                    <a:lumMod val="20000"/>
                    <a:lumOff val="80000"/>
                  </a:schemeClr>
                </a:solidFill>
              </a:ln>
            </c:spPr>
          </c:downBars>
        </c:upDownBars>
        <c:marker val="1"/>
        <c:smooth val="0"/>
        <c:axId val="93889280"/>
        <c:axId val="93890816"/>
      </c:lineChart>
      <c:scatterChart>
        <c:scatterStyle val="lineMarker"/>
        <c:varyColors val="0"/>
        <c:ser>
          <c:idx val="3"/>
          <c:order val="3"/>
          <c:tx>
            <c:strRef>
              <c:f>HIDE2!$C$15</c:f>
              <c:strCache>
                <c:ptCount val="1"/>
                <c:pt idx="0">
                  <c:v>Cumulative</c:v>
                </c:pt>
              </c:strCache>
            </c:strRef>
          </c:tx>
          <c:spPr>
            <a:ln w="19050">
              <a:noFill/>
            </a:ln>
          </c:spPr>
          <c:marker>
            <c:symbol val="none"/>
          </c:marker>
          <c:errBars>
            <c:errDir val="x"/>
            <c:errBarType val="plus"/>
            <c:errValType val="fixedVal"/>
            <c:noEndCap val="1"/>
            <c:val val="1"/>
            <c:spPr>
              <a:ln w="6350">
                <a:noFill/>
                <a:prstDash val="solid"/>
              </a:ln>
            </c:spPr>
          </c:errBars>
          <c:yVal>
            <c:numRef>
              <c:f>HIDE2!$C$16:$C$19</c:f>
              <c:numCache>
                <c:formatCode>"$"\ #,##0;\("$"\ #,##0\);\-</c:formatCode>
                <c:ptCount val="4"/>
                <c:pt idx="0">
                  <c:v>0</c:v>
                </c:pt>
                <c:pt idx="1">
                  <c:v>0</c:v>
                </c:pt>
                <c:pt idx="2">
                  <c:v>0</c:v>
                </c:pt>
                <c:pt idx="3">
                  <c:v>0</c:v>
                </c:pt>
              </c:numCache>
            </c:numRef>
          </c:yVal>
          <c:smooth val="0"/>
          <c:extLst>
            <c:ext xmlns:c16="http://schemas.microsoft.com/office/drawing/2014/chart" uri="{C3380CC4-5D6E-409C-BE32-E72D297353CC}">
              <c16:uniqueId val="{00000007-2EB3-4B4E-9DF1-BF5EB62011E5}"/>
            </c:ext>
          </c:extLst>
        </c:ser>
        <c:ser>
          <c:idx val="4"/>
          <c:order val="4"/>
          <c:tx>
            <c:strRef>
              <c:f>HIDE2!$G$15</c:f>
              <c:strCache>
                <c:ptCount val="1"/>
                <c:pt idx="0">
                  <c:v>Data label position</c:v>
                </c:pt>
              </c:strCache>
            </c:strRef>
          </c:tx>
          <c:spPr>
            <a:ln w="19050">
              <a:noFill/>
            </a:ln>
          </c:spPr>
          <c:marker>
            <c:symbol val="none"/>
          </c:marker>
          <c:dLbls>
            <c:dLbl>
              <c:idx val="1"/>
              <c:tx>
                <c:strRef>
                  <c:f>HIDE2!$B$17</c:f>
                  <c:strCache>
                    <c:ptCount val="1"/>
                    <c:pt idx="0">
                      <c:v>-</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{2B51621A-A39C-48EC-BAB8-4DA2B9836FF9}</c15:txfldGUID>
                      <c15:f>HIDE2!$B$17</c15:f>
                      <c15:dlblFieldTableCache>
                        <c:ptCount val="1"/>
                        <c:pt idx="0">
                          <c:v>-</c:v>
                        </c:pt>
                      </c15:dlblFieldTableCache>
                    </c15:dlblFTEntry>
                  </c15:dlblFieldTable>
                  <c15:showDataLabelsRange val="0"/>
                </c:ext>
                <c:ext xmlns:c16="http://schemas.microsoft.com/office/drawing/2014/chart" uri="{C3380CC4-5D6E-409C-BE32-E72D297353CC}">
                  <c16:uniqueId val="{00000008-2EB3-4B4E-9DF1-BF5EB62011E5}"/>
                </c:ext>
              </c:extLst>
            </c:dLbl>
            <c:dLbl>
              <c:idx val="2"/>
              <c:tx>
                <c:strRef>
                  <c:f>HIDE2!$B$18</c:f>
                  <c:strCache>
                    <c:ptCount val="1"/>
                    <c:pt idx="0">
                      <c:v>-</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{97342BD4-B1C2-4777-8BAD-2F8307C9674D}</c15:txfldGUID>
                      <c15:f>HIDE2!$B$18</c15:f>
                      <c15:dlblFieldTableCache>
                        <c:ptCount val="1"/>
                        <c:pt idx="0">
                          <c:v>-</c:v>
                        </c:pt>
                      </c15:dlblFieldTableCache>
                    </c15:dlblFTEntry>
                  </c15:dlblFieldTable>
                  <c15:showDataLabelsRange val="0"/>
                </c:ext>
                <c:ext xmlns:c16="http://schemas.microsoft.com/office/drawing/2014/chart" uri="{C3380CC4-5D6E-409C-BE32-E72D297353CC}">
                  <c16:uniqueId val="{00000009-2EB3-4B4E-9DF1-BF5EB62011E5}"/>
                </c:ext>
              </c:extLst>
            </c:dLbl>
            <c:dLbl>
              <c:idx val="3"/>
              <c:tx>
                <c:strRef>
                  <c:f>HIDE2!$B$19</c:f>
                  <c:strCache>
                    <c:ptCount val="1"/>
                    <c:pt idx="0">
                      <c:v>-</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{35725B42-151D-4FF2-AA3F-91E377BBA679}</c15:txfldGUID>
                      <c15:f>HIDE2!$B$19</c15:f>
                      <c15:dlblFieldTableCache>
                        <c:ptCount val="1"/>
                        <c:pt idx="0">
                          <c:v>-</c:v>
                        </c:pt>
                      </c15:dlblFieldTableCache>
                    </c15:dlblFTEntry>
                  </c15:dlblFieldTable>
                  <c15:showDataLabelsRange val="0"/>
                </c:ext>
                <c:ext xmlns:c16="http://schemas.microsoft.com/office/drawing/2014/chart" uri="{C3380CC4-5D6E-409C-BE32-E72D297353CC}">
                  <c16:uniqueId val="{0000000A-2EB3-4B4E-9DF1-BF5EB62011E5}"/>
                </c:ext>
              </c:extLst>
            </c:dLbl>
            <c:spPr>
              <a:noFill/>
              <a:ln>
                <a:noFill/>
              </a:ln>
              <a:effectLst/>
            </c:spPr>
            <c:txPr>
              <a:bodyPr wrap="square" lIns="38100" tIns="19050" rIns="38100" bIns="19050" anchor="ctr">
                <a:spAutoFit/>
              </a:bodyPr>
              <a:lstStyle/>
              <a:p>
                <a:pPr>
                  <a:defRPr sz="800">
                    <a:solidFill>
                      <a:schemeClr val="tx1">
                        <a:lumMod val="65000"/>
                        <a:lumOff val="35000"/>
                      </a:schemeClr>
                    </a:solidFill>
                    <a:latin typeface="Arial" panose="020B0604020202020204" pitchFamily="34" charset="0"/>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yVal>
            <c:numRef>
              <c:f>HIDE2!$G$16:$G$20</c:f>
              <c:numCache>
                <c:formatCode>"$"\ #,##0;\("$"\ #,##0\);\-</c:formatCode>
                <c:ptCount val="5"/>
                <c:pt idx="1">
                  <c:v>0</c:v>
                </c:pt>
                <c:pt idx="2">
                  <c:v>0</c:v>
                </c:pt>
                <c:pt idx="3">
                  <c:v>0</c:v>
                </c:pt>
              </c:numCache>
            </c:numRef>
          </c:yVal>
          <c:smooth val="0"/>
          <c:extLst>
            <c:ext xmlns:c16="http://schemas.microsoft.com/office/drawing/2014/chart" uri="{C3380CC4-5D6E-409C-BE32-E72D297353CC}">
              <c16:uniqueId val="{0000000C-2EB3-4B4E-9DF1-BF5EB62011E5}"/>
            </c:ext>
          </c:extLst>
        </c:ser>
        <c:dLbls>
          <c:showLegendKey val="0"/>
          <c:showVal val="0"/>
          <c:showCatName val="0"/>
          <c:showSerName val="0"/>
          <c:showPercent val="0"/>
          <c:showBubbleSize val="0"/>
        </c:dLbls>
        <c:axId val="93889280"/>
        <c:axId val="93890816"/>
      </c:scatterChart>
      <c:catAx>
        <c:axId val="93889280"/>
        <c:scaling>
          <c:orientation val="minMax"/>
        </c:scaling>
        <c:delete val="0"/>
        <c:axPos val="b"/>
        <c:numFmt formatCode="General" sourceLinked="0"/>
        <c:majorTickMark val="none"/>
        <c:minorTickMark val="none"/>
        <c:tickLblPos val="low"/>
        <c:spPr>
          <a:ln w="12700">
            <a:solidFill>
              <a:schemeClr val="bg1">
                <a:lumMod val="50000"/>
              </a:schemeClr>
            </a:solidFill>
            <a:prstDash val="dash"/>
          </a:ln>
        </c:spPr>
        <c:txPr>
          <a:bodyPr/>
          <a:lstStyle/>
          <a:p>
            <a:pPr>
              <a:defRPr sz="900">
                <a:solidFill>
                  <a:schemeClr val="tx1">
                    <a:lumMod val="65000"/>
                    <a:lumOff val="35000"/>
                  </a:schemeClr>
                </a:solidFill>
                <a:latin typeface="Arial" panose="020B0604020202020204" pitchFamily="34" charset="0"/>
                <a:cs typeface="Arial" panose="020B0604020202020204" pitchFamily="34" charset="0"/>
              </a:defRPr>
            </a:pPr>
            <a:endParaRPr lang="en-US"/>
          </a:p>
        </c:txPr>
        <c:crossAx val="93890816"/>
        <c:crosses val="autoZero"/>
        <c:auto val="1"/>
        <c:lblAlgn val="ctr"/>
        <c:lblOffset val="100"/>
        <c:noMultiLvlLbl val="0"/>
      </c:catAx>
      <c:valAx>
        <c:axId val="93890816"/>
        <c:scaling>
          <c:orientation val="minMax"/>
        </c:scaling>
        <c:delete val="0"/>
        <c:axPos val="l"/>
        <c:numFmt formatCode="&quot;$&quot;\ #,##0;\(&quot;$&quot;\ #,##0\);\-" sourceLinked="1"/>
        <c:majorTickMark val="out"/>
        <c:minorTickMark val="none"/>
        <c:tickLblPos val="nextTo"/>
        <c:spPr>
          <a:ln>
            <a:prstDash val="dash"/>
          </a:ln>
        </c:spPr>
        <c:txPr>
          <a:bodyPr/>
          <a:lstStyle/>
          <a:p>
            <a:pPr>
              <a:defRPr sz="900">
                <a:solidFill>
                  <a:schemeClr val="tx1">
                    <a:lumMod val="65000"/>
                    <a:lumOff val="35000"/>
                  </a:schemeClr>
                </a:solidFill>
                <a:latin typeface="Arial" panose="020B0604020202020204" pitchFamily="34" charset="0"/>
                <a:cs typeface="Arial" panose="020B0604020202020204" pitchFamily="34" charset="0"/>
              </a:defRPr>
            </a:pPr>
            <a:endParaRPr lang="en-US"/>
          </a:p>
        </c:txPr>
        <c:crossAx val="9388928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333333333333333E-2"/>
          <c:y val="0.11369509043927649"/>
          <c:w val="0.96333333333333337"/>
          <c:h val="0.53373509232398586"/>
        </c:manualLayout>
      </c:layout>
      <c:barChart>
        <c:barDir val="col"/>
        <c:grouping val="clustered"/>
        <c:varyColors val="0"/>
        <c:ser>
          <c:idx val="0"/>
          <c:order val="0"/>
          <c:tx>
            <c:strRef>
              <c:f>HIDE5!$C$144</c:f>
              <c:strCache>
                <c:ptCount val="1"/>
                <c:pt idx="0">
                  <c:v>Actuals</c:v>
                </c:pt>
              </c:strCache>
            </c:strRef>
          </c:tx>
          <c:spPr>
            <a:solidFill>
              <a:schemeClr val="accent1">
                <a:lumMod val="20000"/>
                <a:lumOff val="80000"/>
              </a:schemeClr>
            </a:solidFill>
            <a:ln w="38100" cap="rnd">
              <a:solidFill>
                <a:schemeClr val="accent1">
                  <a:lumMod val="20000"/>
                  <a:lumOff val="8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HIDE3!$D$28:$O$28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HIDE5!$D$144:$O$144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FC6-4DB2-B07F-25E714C23584}"/>
            </c:ext>
          </c:extLst>
        </c:ser>
        <c:ser>
          <c:idx val="2"/>
          <c:order val="1"/>
          <c:tx>
            <c:strRef>
              <c:f>HIDE5!$C$145</c:f>
              <c:strCache>
                <c:ptCount val="1"/>
                <c:pt idx="0">
                  <c:v>Forecasted</c:v>
                </c:pt>
              </c:strCache>
            </c:strRef>
          </c:tx>
          <c:spPr>
            <a:solidFill>
              <a:srgbClr val="E0ECE8"/>
            </a:solidFill>
            <a:ln w="38100" cap="rnd">
              <a:solidFill>
                <a:srgbClr val="E0ECE8"/>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HIDE5!$D$145:$O$145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4FC6-4DB2-B07F-25E714C23584}"/>
            </c:ext>
          </c:extLst>
        </c:ser>
        <c:dLbls>
          <c:showLegendKey val="0"/>
          <c:showVal val="0"/>
          <c:showCatName val="0"/>
          <c:showSerName val="0"/>
          <c:showPercent val="0"/>
          <c:showBubbleSize val="0"/>
        </c:dLbls>
        <c:gapWidth val="100"/>
        <c:overlap val="-30"/>
        <c:axId val="826795568"/>
        <c:axId val="1601479824"/>
      </c:barChart>
      <c:catAx>
        <c:axId val="826795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1479824"/>
        <c:crosses val="autoZero"/>
        <c:auto val="1"/>
        <c:lblAlgn val="ctr"/>
        <c:lblOffset val="100"/>
        <c:noMultiLvlLbl val="0"/>
      </c:catAx>
      <c:valAx>
        <c:axId val="1601479824"/>
        <c:scaling>
          <c:orientation val="minMax"/>
        </c:scaling>
        <c:delete val="1"/>
        <c:axPos val="l"/>
        <c:numFmt formatCode="#,##0;\(#,##0\);&quot;&quot;" sourceLinked="1"/>
        <c:majorTickMark val="none"/>
        <c:minorTickMark val="none"/>
        <c:tickLblPos val="nextTo"/>
        <c:crossAx val="826795568"/>
        <c:crosses val="autoZero"/>
        <c:crossBetween val="between"/>
      </c:valAx>
      <c:spPr>
        <a:noFill/>
        <a:ln>
          <a:noFill/>
        </a:ln>
        <a:effectLst/>
      </c:spPr>
    </c:plotArea>
    <c:legend>
      <c:legendPos val="b"/>
      <c:layout>
        <c:manualLayout>
          <c:xMode val="edge"/>
          <c:yMode val="edge"/>
          <c:x val="0.24821167979002626"/>
          <c:y val="0.83666741492839725"/>
          <c:w val="0.50524330708661414"/>
          <c:h val="0.154195158171018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51089611944363E-2"/>
          <c:y val="0.13373713752555352"/>
          <c:w val="0.92551953255534036"/>
          <c:h val="0.7431353216766905"/>
        </c:manualLayout>
      </c:layout>
      <c:barChart>
        <c:barDir val="col"/>
        <c:grouping val="clustered"/>
        <c:varyColors val="0"/>
        <c:ser>
          <c:idx val="0"/>
          <c:order val="0"/>
          <c:tx>
            <c:strRef>
              <c:f>DEBT!$B$17</c:f>
              <c:strCache>
                <c:ptCount val="1"/>
                <c:pt idx="0">
                  <c:v>Debt (End of year)</c:v>
                </c:pt>
              </c:strCache>
            </c:strRef>
          </c:tx>
          <c:spPr>
            <a:solidFill>
              <a:schemeClr val="accent4">
                <a:lumMod val="20000"/>
                <a:lumOff val="80000"/>
              </a:schemeClr>
            </a:solidFill>
            <a:ln>
              <a:solidFill>
                <a:schemeClr val="accent4">
                  <a:lumMod val="60000"/>
                  <a:lumOff val="40000"/>
                </a:schemeClr>
              </a:solidFill>
            </a:ln>
            <a:effectLst/>
          </c:spPr>
          <c:invertIfNegative val="0"/>
          <c:dLbls>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F7-4982-81AF-E0D87E29F4AC}"/>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F7-4982-81AF-E0D87E29F4AC}"/>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F7-4982-81AF-E0D87E29F4AC}"/>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F7-4982-81AF-E0D87E29F4AC}"/>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FF7-4982-81AF-E0D87E29F4AC}"/>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DEBT!$D$12:$AG$12</c:f>
              <c:numCache>
                <c:formatCode>0</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DEBT!$D$17:$AG$17</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7FF7-4982-81AF-E0D87E29F4AC}"/>
            </c:ext>
          </c:extLst>
        </c:ser>
        <c:dLbls>
          <c:showLegendKey val="0"/>
          <c:showVal val="0"/>
          <c:showCatName val="0"/>
          <c:showSerName val="0"/>
          <c:showPercent val="0"/>
          <c:showBubbleSize val="0"/>
        </c:dLbls>
        <c:gapWidth val="70"/>
        <c:axId val="884807360"/>
        <c:axId val="326463936"/>
      </c:barChart>
      <c:catAx>
        <c:axId val="88480736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326463936"/>
        <c:crosses val="autoZero"/>
        <c:auto val="1"/>
        <c:lblAlgn val="ctr"/>
        <c:lblOffset val="100"/>
        <c:noMultiLvlLbl val="0"/>
      </c:catAx>
      <c:valAx>
        <c:axId val="326463936"/>
        <c:scaling>
          <c:orientation val="minMax"/>
          <c:min val="0"/>
        </c:scaling>
        <c:delete val="0"/>
        <c:axPos val="l"/>
        <c:majorGridlines>
          <c:spPr>
            <a:ln w="9525" cap="flat" cmpd="sng" algn="ctr">
              <a:solidFill>
                <a:schemeClr val="tx1">
                  <a:lumMod val="15000"/>
                  <a:lumOff val="85000"/>
                  <a:alpha val="85000"/>
                </a:schemeClr>
              </a:solidFill>
              <a:prstDash val="dash"/>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88480736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50977036711007"/>
          <c:y val="3.4879107813893868E-2"/>
          <c:w val="0.70923531912242965"/>
          <c:h val="0.90646823354293027"/>
        </c:manualLayout>
      </c:layout>
      <c:barChart>
        <c:barDir val="bar"/>
        <c:grouping val="clustered"/>
        <c:varyColors val="0"/>
        <c:ser>
          <c:idx val="0"/>
          <c:order val="0"/>
          <c:spPr>
            <a:solidFill>
              <a:schemeClr val="accent4">
                <a:lumMod val="20000"/>
                <a:lumOff val="80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HIDE4!$E$35:$E$57</c:f>
              <c:strCache>
                <c:ptCount val="23"/>
                <c:pt idx="0">
                  <c:v>Non Op. Expense 2</c:v>
                </c:pt>
                <c:pt idx="1">
                  <c:v>Non Op. Expense 1</c:v>
                </c:pt>
                <c:pt idx="2">
                  <c:v>Custom Op. Expense 2</c:v>
                </c:pt>
                <c:pt idx="3">
                  <c:v>Custom Op. Expense 1</c:v>
                </c:pt>
                <c:pt idx="4">
                  <c:v>Capital Expenditures</c:v>
                </c:pt>
                <c:pt idx="5">
                  <c:v>Miscellaneous (Variable)</c:v>
                </c:pt>
                <c:pt idx="6">
                  <c:v>Other Cost 2</c:v>
                </c:pt>
                <c:pt idx="7">
                  <c:v>Other Cost 1</c:v>
                </c:pt>
                <c:pt idx="8">
                  <c:v>Advertising</c:v>
                </c:pt>
                <c:pt idx="9">
                  <c:v>Legal</c:v>
                </c:pt>
                <c:pt idx="10">
                  <c:v>Rent Insurance</c:v>
                </c:pt>
                <c:pt idx="11">
                  <c:v>Vacancy Insurance</c:v>
                </c:pt>
                <c:pt idx="12">
                  <c:v>Property Management </c:v>
                </c:pt>
                <c:pt idx="13">
                  <c:v>Repairs &amp; Maintenance</c:v>
                </c:pt>
                <c:pt idx="14">
                  <c:v>Accounting</c:v>
                </c:pt>
                <c:pt idx="15">
                  <c:v>Security</c:v>
                </c:pt>
                <c:pt idx="16">
                  <c:v>Irrigation</c:v>
                </c:pt>
                <c:pt idx="17">
                  <c:v>Property Insurance + Tax</c:v>
                </c:pt>
                <c:pt idx="18">
                  <c:v>Internet</c:v>
                </c:pt>
                <c:pt idx="19">
                  <c:v>Phone</c:v>
                </c:pt>
                <c:pt idx="20">
                  <c:v>Water Utilities</c:v>
                </c:pt>
                <c:pt idx="21">
                  <c:v>Gas Utilities</c:v>
                </c:pt>
                <c:pt idx="22">
                  <c:v>Electrical Utilities</c:v>
                </c:pt>
              </c:strCache>
            </c:strRef>
          </c:cat>
          <c:val>
            <c:numRef>
              <c:f>HIDE4!$F$35:$F$57</c:f>
              <c:numCache>
                <c:formatCode>"$"\ #,##0;\("$"\ #,##0\);\-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A3DC-4CC2-969E-9AAE4C94AB75}"/>
            </c:ext>
          </c:extLst>
        </c:ser>
        <c:dLbls>
          <c:showLegendKey val="0"/>
          <c:showVal val="0"/>
          <c:showCatName val="0"/>
          <c:showSerName val="0"/>
          <c:showPercent val="0"/>
          <c:showBubbleSize val="0"/>
        </c:dLbls>
        <c:gapWidth val="60"/>
        <c:axId val="1674981728"/>
        <c:axId val="1967984448"/>
      </c:barChart>
      <c:catAx>
        <c:axId val="1674981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67984448"/>
        <c:crosses val="autoZero"/>
        <c:auto val="1"/>
        <c:lblAlgn val="ctr"/>
        <c:lblOffset val="100"/>
        <c:noMultiLvlLbl val="0"/>
      </c:catAx>
      <c:valAx>
        <c:axId val="1967984448"/>
        <c:scaling>
          <c:orientation val="minMax"/>
        </c:scaling>
        <c:delete val="0"/>
        <c:axPos val="b"/>
        <c:majorGridlines>
          <c:spPr>
            <a:ln w="9525" cap="flat" cmpd="sng" algn="ctr">
              <a:solidFill>
                <a:schemeClr val="tx1">
                  <a:lumMod val="15000"/>
                  <a:lumOff val="85000"/>
                  <a:alpha val="85000"/>
                </a:schemeClr>
              </a:solidFill>
              <a:prstDash val="dash"/>
              <a:round/>
            </a:ln>
            <a:effectLst/>
          </c:spPr>
        </c:majorGridlines>
        <c:numFmt formatCode="&quot;$&quot;\ #,##0;\(&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6749817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958058814076813E-2"/>
          <c:y val="0.13372168284789643"/>
          <c:w val="0.92925491456425091"/>
          <c:h val="0.74639077092107675"/>
        </c:manualLayout>
      </c:layout>
      <c:barChart>
        <c:barDir val="col"/>
        <c:grouping val="stacked"/>
        <c:varyColors val="0"/>
        <c:ser>
          <c:idx val="0"/>
          <c:order val="0"/>
          <c:tx>
            <c:strRef>
              <c:f>HIDE3!$C$8:$D$8</c:f>
              <c:strCache>
                <c:ptCount val="2"/>
                <c:pt idx="0">
                  <c:v>Operating Expenses</c:v>
                </c:pt>
              </c:strCache>
            </c:strRef>
          </c:tx>
          <c:spPr>
            <a:solidFill>
              <a:schemeClr val="accent5">
                <a:lumMod val="20000"/>
                <a:lumOff val="80000"/>
              </a:schemeClr>
            </a:solidFill>
            <a:ln w="63500" cap="rnd">
              <a:solidFill>
                <a:schemeClr val="accent5">
                  <a:lumMod val="20000"/>
                  <a:lumOff val="8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HIDE3!$E$7:$N$7</c:f>
              <c:numCache>
                <c:formatCode>0</c:formatCode>
                <c:ptCount val="10"/>
                <c:pt idx="0">
                  <c:v>2025</c:v>
                </c:pt>
                <c:pt idx="1">
                  <c:v>2026</c:v>
                </c:pt>
                <c:pt idx="2">
                  <c:v>2027</c:v>
                </c:pt>
                <c:pt idx="3">
                  <c:v>2028</c:v>
                </c:pt>
                <c:pt idx="4">
                  <c:v>2029</c:v>
                </c:pt>
                <c:pt idx="5">
                  <c:v>2030</c:v>
                </c:pt>
                <c:pt idx="6">
                  <c:v>2031</c:v>
                </c:pt>
                <c:pt idx="7">
                  <c:v>2032</c:v>
                </c:pt>
                <c:pt idx="8">
                  <c:v>2033</c:v>
                </c:pt>
                <c:pt idx="9">
                  <c:v>2034</c:v>
                </c:pt>
              </c:numCache>
            </c:numRef>
          </c:cat>
          <c:val>
            <c:numRef>
              <c:f>HIDE3!$E$8:$N$8</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BFE-49AC-9D25-5EA7867C9322}"/>
            </c:ext>
          </c:extLst>
        </c:ser>
        <c:ser>
          <c:idx val="1"/>
          <c:order val="1"/>
          <c:tx>
            <c:strRef>
              <c:f>HIDE3!$C$9:$D$9</c:f>
              <c:strCache>
                <c:ptCount val="2"/>
                <c:pt idx="0">
                  <c:v>Capex</c:v>
                </c:pt>
              </c:strCache>
            </c:strRef>
          </c:tx>
          <c:spPr>
            <a:solidFill>
              <a:schemeClr val="accent3">
                <a:lumMod val="20000"/>
                <a:lumOff val="80000"/>
              </a:schemeClr>
            </a:solidFill>
            <a:ln w="63500" cap="rnd">
              <a:solidFill>
                <a:schemeClr val="accent3">
                  <a:lumMod val="20000"/>
                  <a:lumOff val="8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HIDE3!$E$7:$N$7</c:f>
              <c:numCache>
                <c:formatCode>0</c:formatCode>
                <c:ptCount val="10"/>
                <c:pt idx="0">
                  <c:v>2025</c:v>
                </c:pt>
                <c:pt idx="1">
                  <c:v>2026</c:v>
                </c:pt>
                <c:pt idx="2">
                  <c:v>2027</c:v>
                </c:pt>
                <c:pt idx="3">
                  <c:v>2028</c:v>
                </c:pt>
                <c:pt idx="4">
                  <c:v>2029</c:v>
                </c:pt>
                <c:pt idx="5">
                  <c:v>2030</c:v>
                </c:pt>
                <c:pt idx="6">
                  <c:v>2031</c:v>
                </c:pt>
                <c:pt idx="7">
                  <c:v>2032</c:v>
                </c:pt>
                <c:pt idx="8">
                  <c:v>2033</c:v>
                </c:pt>
                <c:pt idx="9">
                  <c:v>2034</c:v>
                </c:pt>
              </c:numCache>
            </c:numRef>
          </c:cat>
          <c:val>
            <c:numRef>
              <c:f>HIDE3!$E$9:$N$9</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4BFE-49AC-9D25-5EA7867C9322}"/>
            </c:ext>
          </c:extLst>
        </c:ser>
        <c:ser>
          <c:idx val="2"/>
          <c:order val="2"/>
          <c:tx>
            <c:strRef>
              <c:f>HIDE3!$C$10:$D$10</c:f>
              <c:strCache>
                <c:ptCount val="2"/>
                <c:pt idx="0">
                  <c:v>Interest Expense</c:v>
                </c:pt>
              </c:strCache>
            </c:strRef>
          </c:tx>
          <c:spPr>
            <a:solidFill>
              <a:schemeClr val="accent4">
                <a:lumMod val="20000"/>
                <a:lumOff val="80000"/>
              </a:schemeClr>
            </a:solidFill>
            <a:ln w="63500" cap="rnd">
              <a:solidFill>
                <a:schemeClr val="accent4">
                  <a:lumMod val="20000"/>
                  <a:lumOff val="8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HIDE3!$E$7:$N$7</c:f>
              <c:numCache>
                <c:formatCode>0</c:formatCode>
                <c:ptCount val="10"/>
                <c:pt idx="0">
                  <c:v>2025</c:v>
                </c:pt>
                <c:pt idx="1">
                  <c:v>2026</c:v>
                </c:pt>
                <c:pt idx="2">
                  <c:v>2027</c:v>
                </c:pt>
                <c:pt idx="3">
                  <c:v>2028</c:v>
                </c:pt>
                <c:pt idx="4">
                  <c:v>2029</c:v>
                </c:pt>
                <c:pt idx="5">
                  <c:v>2030</c:v>
                </c:pt>
                <c:pt idx="6">
                  <c:v>2031</c:v>
                </c:pt>
                <c:pt idx="7">
                  <c:v>2032</c:v>
                </c:pt>
                <c:pt idx="8">
                  <c:v>2033</c:v>
                </c:pt>
                <c:pt idx="9">
                  <c:v>2034</c:v>
                </c:pt>
              </c:numCache>
            </c:numRef>
          </c:cat>
          <c:val>
            <c:numRef>
              <c:f>HIDE3!$E$10:$N$10</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4BFE-49AC-9D25-5EA7867C9322}"/>
            </c:ext>
          </c:extLst>
        </c:ser>
        <c:ser>
          <c:idx val="3"/>
          <c:order val="3"/>
          <c:tx>
            <c:strRef>
              <c:f>HIDE3!$C$11:$D$11</c:f>
              <c:strCache>
                <c:ptCount val="2"/>
                <c:pt idx="0">
                  <c:v>Principal Repayment</c:v>
                </c:pt>
              </c:strCache>
            </c:strRef>
          </c:tx>
          <c:spPr>
            <a:solidFill>
              <a:schemeClr val="accent2">
                <a:lumMod val="20000"/>
                <a:lumOff val="80000"/>
              </a:schemeClr>
            </a:solidFill>
            <a:ln w="63500" cap="rnd">
              <a:solidFill>
                <a:schemeClr val="accent2">
                  <a:lumMod val="20000"/>
                  <a:lumOff val="8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HIDE3!$E$7:$N$7</c:f>
              <c:numCache>
                <c:formatCode>0</c:formatCode>
                <c:ptCount val="10"/>
                <c:pt idx="0">
                  <c:v>2025</c:v>
                </c:pt>
                <c:pt idx="1">
                  <c:v>2026</c:v>
                </c:pt>
                <c:pt idx="2">
                  <c:v>2027</c:v>
                </c:pt>
                <c:pt idx="3">
                  <c:v>2028</c:v>
                </c:pt>
                <c:pt idx="4">
                  <c:v>2029</c:v>
                </c:pt>
                <c:pt idx="5">
                  <c:v>2030</c:v>
                </c:pt>
                <c:pt idx="6">
                  <c:v>2031</c:v>
                </c:pt>
                <c:pt idx="7">
                  <c:v>2032</c:v>
                </c:pt>
                <c:pt idx="8">
                  <c:v>2033</c:v>
                </c:pt>
                <c:pt idx="9">
                  <c:v>2034</c:v>
                </c:pt>
              </c:numCache>
            </c:numRef>
          </c:cat>
          <c:val>
            <c:numRef>
              <c:f>HIDE3!$E$11:$N$11</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4BFE-49AC-9D25-5EA7867C9322}"/>
            </c:ext>
          </c:extLst>
        </c:ser>
        <c:ser>
          <c:idx val="4"/>
          <c:order val="4"/>
          <c:tx>
            <c:strRef>
              <c:f>HIDE3!$C$12:$D$12</c:f>
              <c:strCache>
                <c:ptCount val="2"/>
                <c:pt idx="0">
                  <c:v>Free Cash Flow</c:v>
                </c:pt>
              </c:strCache>
            </c:strRef>
          </c:tx>
          <c:spPr>
            <a:solidFill>
              <a:schemeClr val="accent6">
                <a:lumMod val="20000"/>
                <a:lumOff val="80000"/>
              </a:schemeClr>
            </a:solidFill>
            <a:ln w="63500" cap="rnd">
              <a:solidFill>
                <a:schemeClr val="accent6">
                  <a:lumMod val="20000"/>
                  <a:lumOff val="8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HIDE3!$E$7:$N$7</c:f>
              <c:numCache>
                <c:formatCode>0</c:formatCode>
                <c:ptCount val="10"/>
                <c:pt idx="0">
                  <c:v>2025</c:v>
                </c:pt>
                <c:pt idx="1">
                  <c:v>2026</c:v>
                </c:pt>
                <c:pt idx="2">
                  <c:v>2027</c:v>
                </c:pt>
                <c:pt idx="3">
                  <c:v>2028</c:v>
                </c:pt>
                <c:pt idx="4">
                  <c:v>2029</c:v>
                </c:pt>
                <c:pt idx="5">
                  <c:v>2030</c:v>
                </c:pt>
                <c:pt idx="6">
                  <c:v>2031</c:v>
                </c:pt>
                <c:pt idx="7">
                  <c:v>2032</c:v>
                </c:pt>
                <c:pt idx="8">
                  <c:v>2033</c:v>
                </c:pt>
                <c:pt idx="9">
                  <c:v>2034</c:v>
                </c:pt>
              </c:numCache>
            </c:numRef>
          </c:cat>
          <c:val>
            <c:numRef>
              <c:f>HIDE3!$E$12:$N$12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4BFE-49AC-9D25-5EA7867C9322}"/>
            </c:ext>
          </c:extLst>
        </c:ser>
        <c:dLbls>
          <c:showLegendKey val="0"/>
          <c:showVal val="0"/>
          <c:showCatName val="0"/>
          <c:showSerName val="0"/>
          <c:showPercent val="0"/>
          <c:showBubbleSize val="0"/>
        </c:dLbls>
        <c:gapWidth val="50"/>
        <c:overlap val="100"/>
        <c:axId val="2053993136"/>
        <c:axId val="2056905408"/>
      </c:barChart>
      <c:catAx>
        <c:axId val="205399313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6905408"/>
        <c:crosses val="autoZero"/>
        <c:auto val="1"/>
        <c:lblAlgn val="ctr"/>
        <c:lblOffset val="100"/>
        <c:noMultiLvlLbl val="0"/>
      </c:catAx>
      <c:valAx>
        <c:axId val="2056905408"/>
        <c:scaling>
          <c:orientation val="minMax"/>
          <c:min val="0"/>
        </c:scaling>
        <c:delete val="0"/>
        <c:axPos val="l"/>
        <c:numFmt formatCode="#,##0;\(#,##0\);&quot;&quot;" sourceLinked="1"/>
        <c:majorTickMark val="out"/>
        <c:minorTickMark val="none"/>
        <c:tickLblPos val="nextTo"/>
        <c:spPr>
          <a:noFill/>
          <a:ln>
            <a:solidFill>
              <a:schemeClr val="bg2"/>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53993136"/>
        <c:crosses val="autoZero"/>
        <c:crossBetween val="between"/>
      </c:valAx>
      <c:spPr>
        <a:noFill/>
        <a:ln>
          <a:noFill/>
        </a:ln>
        <a:effectLst/>
      </c:spPr>
    </c:plotArea>
    <c:legend>
      <c:legendPos val="t"/>
      <c:layout>
        <c:manualLayout>
          <c:xMode val="edge"/>
          <c:yMode val="edge"/>
          <c:x val="7.0068241469816273E-2"/>
          <c:y val="1.0561053910022315E-2"/>
          <c:w val="0.84081589801274836"/>
          <c:h val="8.720991271439908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17715663453238E-2"/>
          <c:y val="0.11371079211661277"/>
          <c:w val="0.89986044271063625"/>
          <c:h val="0.76570044651134617"/>
        </c:manualLayout>
      </c:layout>
      <c:areaChart>
        <c:grouping val="standard"/>
        <c:varyColors val="0"/>
        <c:ser>
          <c:idx val="2"/>
          <c:order val="0"/>
          <c:tx>
            <c:strRef>
              <c:f>HIDE4!$B$6</c:f>
              <c:strCache>
                <c:ptCount val="1"/>
                <c:pt idx="0">
                  <c:v>Property Value</c:v>
                </c:pt>
              </c:strCache>
            </c:strRef>
          </c:tx>
          <c:spPr>
            <a:solidFill>
              <a:srgbClr val="EEF3F8"/>
            </a:solidFill>
            <a:ln w="6350">
              <a:solidFill>
                <a:schemeClr val="accent1">
                  <a:lumMod val="60000"/>
                  <a:lumOff val="40000"/>
                </a:schemeClr>
              </a:solidFill>
              <a:prstDash val="solid"/>
            </a:ln>
            <a:effectLst/>
          </c:spPr>
          <c:cat>
            <c:numRef>
              <c:f>HIDE4!$C$3:$AF$3</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HIDE4!$C$6:$AF$6</c:f>
              <c:numCache>
                <c:formatCode>#,##0;\(#,##0\);\-</c:formatCode>
                <c:ptCount val="30"/>
                <c:pt idx="0">
                  <c:v>347250.41095890407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75A2-4EB0-9F04-7AEC0228B317}"/>
            </c:ext>
          </c:extLst>
        </c:ser>
        <c:ser>
          <c:idx val="1"/>
          <c:order val="1"/>
          <c:tx>
            <c:strRef>
              <c:f>HIDE4!$B$5</c:f>
              <c:strCache>
                <c:ptCount val="1"/>
                <c:pt idx="0">
                  <c:v>Equity</c:v>
                </c:pt>
              </c:strCache>
            </c:strRef>
          </c:tx>
          <c:spPr>
            <a:solidFill>
              <a:schemeClr val="accent6">
                <a:lumMod val="20000"/>
                <a:lumOff val="80000"/>
              </a:schemeClr>
            </a:solidFill>
            <a:ln w="6350">
              <a:solidFill>
                <a:schemeClr val="accent6">
                  <a:lumMod val="40000"/>
                  <a:lumOff val="60000"/>
                </a:schemeClr>
              </a:solidFill>
              <a:prstDash val="solid"/>
            </a:ln>
            <a:effectLst/>
          </c:spPr>
          <c:cat>
            <c:numRef>
              <c:f>HIDE4!$C$3:$AF$3</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HIDE4!$C$5:$AF$5</c:f>
              <c:numCache>
                <c:formatCode>#,##0;\(#,##0\);\-</c:formatCode>
                <c:ptCount val="30"/>
                <c:pt idx="0">
                  <c:v>347250.41095890407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75A2-4EB0-9F04-7AEC0228B317}"/>
            </c:ext>
          </c:extLst>
        </c:ser>
        <c:ser>
          <c:idx val="0"/>
          <c:order val="2"/>
          <c:tx>
            <c:strRef>
              <c:f>HIDE4!$B$4</c:f>
              <c:strCache>
                <c:ptCount val="1"/>
                <c:pt idx="0">
                  <c:v>Loan Balance</c:v>
                </c:pt>
              </c:strCache>
            </c:strRef>
          </c:tx>
          <c:spPr>
            <a:solidFill>
              <a:schemeClr val="accent2">
                <a:lumMod val="20000"/>
                <a:lumOff val="80000"/>
                <a:alpha val="74000"/>
              </a:schemeClr>
            </a:solidFill>
            <a:ln w="6350">
              <a:solidFill>
                <a:schemeClr val="accent2">
                  <a:lumMod val="60000"/>
                  <a:lumOff val="40000"/>
                </a:schemeClr>
              </a:solidFill>
              <a:prstDash val="solid"/>
            </a:ln>
            <a:effectLst/>
          </c:spPr>
          <c:cat>
            <c:numRef>
              <c:f>HIDE4!$C$3:$AF$3</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HIDE4!$C$4:$AF$4</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75A2-4EB0-9F04-7AEC0228B317}"/>
            </c:ext>
          </c:extLst>
        </c:ser>
        <c:dLbls>
          <c:showLegendKey val="0"/>
          <c:showVal val="0"/>
          <c:showCatName val="0"/>
          <c:showSerName val="0"/>
          <c:showPercent val="0"/>
          <c:showBubbleSize val="0"/>
        </c:dLbls>
        <c:axId val="2020778400"/>
        <c:axId val="2056864224"/>
      </c:areaChart>
      <c:catAx>
        <c:axId val="2020778400"/>
        <c:scaling>
          <c:orientation val="minMax"/>
        </c:scaling>
        <c:delete val="0"/>
        <c:axPos val="b"/>
        <c:numFmt formatCode="#,##0"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56864224"/>
        <c:crosses val="autoZero"/>
        <c:auto val="1"/>
        <c:lblAlgn val="ctr"/>
        <c:lblOffset val="100"/>
        <c:tickMarkSkip val="1"/>
        <c:noMultiLvlLbl val="0"/>
      </c:catAx>
      <c:valAx>
        <c:axId val="2056864224"/>
        <c:scaling>
          <c:orientation val="minMax"/>
        </c:scaling>
        <c:delete val="0"/>
        <c:axPos val="l"/>
        <c:majorGridlines>
          <c:spPr>
            <a:ln w="9525" cap="flat" cmpd="sng" algn="ctr">
              <a:solidFill>
                <a:schemeClr val="bg2">
                  <a:alpha val="85000"/>
                </a:schemeClr>
              </a:solidFill>
              <a:prstDash val="dash"/>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20778400"/>
        <c:crosses val="autoZero"/>
        <c:crossBetween val="midCat"/>
      </c:valAx>
      <c:spPr>
        <a:noFill/>
        <a:ln>
          <a:noFill/>
        </a:ln>
        <a:effectLst/>
      </c:spPr>
    </c:plotArea>
    <c:legend>
      <c:legendPos val="t"/>
      <c:layout>
        <c:manualLayout>
          <c:xMode val="edge"/>
          <c:yMode val="edge"/>
          <c:x val="0.28985806014622784"/>
          <c:y val="0"/>
          <c:w val="0.44803264316206048"/>
          <c:h val="8.771989425183666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18373775582581E-2"/>
          <c:y val="0.13372154062137584"/>
          <c:w val="0.90748617207712834"/>
          <c:h val="0.74639077092107675"/>
        </c:manualLayout>
      </c:layout>
      <c:barChart>
        <c:barDir val="col"/>
        <c:grouping val="stacked"/>
        <c:varyColors val="0"/>
        <c:ser>
          <c:idx val="0"/>
          <c:order val="0"/>
          <c:tx>
            <c:strRef>
              <c:f>FORECASTS!$B$153</c:f>
              <c:strCache>
                <c:ptCount val="1"/>
                <c:pt idx="0">
                  <c:v>Recurring Cash Flow</c:v>
                </c:pt>
              </c:strCache>
            </c:strRef>
          </c:tx>
          <c:spPr>
            <a:solidFill>
              <a:schemeClr val="accent1">
                <a:lumMod val="20000"/>
                <a:lumOff val="80000"/>
              </a:schemeClr>
            </a:solidFill>
            <a:ln w="38100" cap="rnd">
              <a:solidFill>
                <a:schemeClr val="accent1">
                  <a:lumMod val="20000"/>
                  <a:lumOff val="80000"/>
                </a:schemeClr>
              </a:solidFill>
            </a:ln>
            <a:effectLst/>
          </c:spPr>
          <c:invertIfNegative val="0"/>
          <c:val>
            <c:numRef>
              <c:f>FORECASTS!$E$153:$AI$153</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1D39-41FC-836F-3DE1BBEB49F5}"/>
            </c:ext>
          </c:extLst>
        </c:ser>
        <c:ser>
          <c:idx val="1"/>
          <c:order val="1"/>
          <c:tx>
            <c:strRef>
              <c:f>FORECASTS!$B$154</c:f>
              <c:strCache>
                <c:ptCount val="1"/>
                <c:pt idx="0">
                  <c:v>Principal Repayment</c:v>
                </c:pt>
              </c:strCache>
            </c:strRef>
          </c:tx>
          <c:spPr>
            <a:solidFill>
              <a:schemeClr val="accent2">
                <a:lumMod val="20000"/>
                <a:lumOff val="80000"/>
              </a:schemeClr>
            </a:solidFill>
            <a:ln w="38100" cap="rnd">
              <a:solidFill>
                <a:schemeClr val="accent2">
                  <a:lumMod val="20000"/>
                  <a:lumOff val="80000"/>
                </a:schemeClr>
              </a:solidFill>
            </a:ln>
            <a:effectLst/>
          </c:spPr>
          <c:invertIfNegative val="0"/>
          <c:val>
            <c:numRef>
              <c:f>FORECASTS!$E$154:$AI$154</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1-1D39-41FC-836F-3DE1BBEB49F5}"/>
            </c:ext>
          </c:extLst>
        </c:ser>
        <c:ser>
          <c:idx val="2"/>
          <c:order val="2"/>
          <c:tx>
            <c:strRef>
              <c:f>FORECASTS!$B$155</c:f>
              <c:strCache>
                <c:ptCount val="1"/>
                <c:pt idx="0">
                  <c:v>Property Appreciation</c:v>
                </c:pt>
              </c:strCache>
            </c:strRef>
          </c:tx>
          <c:spPr>
            <a:solidFill>
              <a:schemeClr val="accent6">
                <a:lumMod val="20000"/>
                <a:lumOff val="80000"/>
              </a:schemeClr>
            </a:solidFill>
            <a:ln w="38100" cap="rnd">
              <a:solidFill>
                <a:schemeClr val="accent6">
                  <a:lumMod val="20000"/>
                  <a:lumOff val="80000"/>
                </a:schemeClr>
              </a:solidFill>
            </a:ln>
            <a:effectLst/>
          </c:spPr>
          <c:invertIfNegative val="0"/>
          <c:val>
            <c:numRef>
              <c:f>FORECASTS!$E$155:$AI$155</c:f>
              <c:numCache>
                <c:formatCode>#,##0;\(#,##0\);\-</c:formatCode>
                <c:ptCount val="31"/>
                <c:pt idx="0">
                  <c:v>17250.41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2-1D39-41FC-836F-3DE1BBEB49F5}"/>
            </c:ext>
          </c:extLst>
        </c:ser>
        <c:dLbls>
          <c:showLegendKey val="0"/>
          <c:showVal val="0"/>
          <c:showCatName val="0"/>
          <c:showSerName val="0"/>
          <c:showPercent val="0"/>
          <c:showBubbleSize val="0"/>
        </c:dLbls>
        <c:gapWidth val="50"/>
        <c:overlap val="100"/>
        <c:axId val="2053993136"/>
        <c:axId val="2056905408"/>
      </c:barChart>
      <c:catAx>
        <c:axId val="2053993136"/>
        <c:scaling>
          <c:orientation val="minMax"/>
        </c:scaling>
        <c:delete val="0"/>
        <c:axPos val="b"/>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56905408"/>
        <c:crosses val="autoZero"/>
        <c:auto val="1"/>
        <c:lblAlgn val="ctr"/>
        <c:lblOffset val="100"/>
        <c:noMultiLvlLbl val="0"/>
      </c:catAx>
      <c:valAx>
        <c:axId val="2056905408"/>
        <c:scaling>
          <c:orientation val="minMax"/>
        </c:scaling>
        <c:delete val="0"/>
        <c:axPos val="l"/>
        <c:majorGridlines>
          <c:spPr>
            <a:ln w="9525" cap="flat" cmpd="sng" algn="ctr">
              <a:solidFill>
                <a:schemeClr val="tx1">
                  <a:lumMod val="15000"/>
                  <a:lumOff val="85000"/>
                  <a:alpha val="85000"/>
                </a:schemeClr>
              </a:solidFill>
              <a:prstDash val="dash"/>
              <a:round/>
            </a:ln>
            <a:effectLst/>
          </c:spPr>
        </c:majorGridlines>
        <c:numFmt formatCode="#,##0;\(#,##0\);\-" sourceLinked="1"/>
        <c:majorTickMark val="out"/>
        <c:minorTickMark val="none"/>
        <c:tickLblPos val="nextTo"/>
        <c:spPr>
          <a:noFill/>
          <a:ln>
            <a:solidFill>
              <a:schemeClr val="bg2"/>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53993136"/>
        <c:crosses val="autoZero"/>
        <c:crossBetween val="between"/>
      </c:valAx>
      <c:spPr>
        <a:noFill/>
        <a:ln>
          <a:noFill/>
        </a:ln>
        <a:effectLst/>
      </c:spPr>
    </c:plotArea>
    <c:legend>
      <c:legendPos val="t"/>
      <c:layout>
        <c:manualLayout>
          <c:xMode val="edge"/>
          <c:yMode val="edge"/>
          <c:x val="0.13401377038405585"/>
          <c:y val="1.0561053910022315E-2"/>
          <c:w val="0.80069944381952252"/>
          <c:h val="7.812554680664918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4">
                <a:lumMod val="20000"/>
                <a:lumOff val="80000"/>
              </a:schemeClr>
            </a:solidFill>
            <a:ln>
              <a:noFill/>
            </a:ln>
            <a:effectLst/>
          </c:spPr>
          <c:invertIfNegative val="0"/>
          <c:dPt>
            <c:idx val="4"/>
            <c:invertIfNegative val="0"/>
            <c:bubble3D val="0"/>
            <c:spPr>
              <a:solidFill>
                <a:schemeClr val="accent2">
                  <a:lumMod val="20000"/>
                  <a:lumOff val="80000"/>
                </a:schemeClr>
              </a:solidFill>
              <a:ln>
                <a:noFill/>
              </a:ln>
              <a:effectLst/>
            </c:spPr>
            <c:extLst>
              <c:ext xmlns:c16="http://schemas.microsoft.com/office/drawing/2014/chart" uri="{C3380CC4-5D6E-409C-BE32-E72D297353CC}">
                <c16:uniqueId val="{00000003-CBFE-4A75-B9E7-17ECE5E7842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'MAX PRICE'!$B$30:$B$34</c:f>
              <c:strCache>
                <c:ptCount val="5"/>
                <c:pt idx="0">
                  <c:v>Cap Rate
(0% - 0%)</c:v>
                </c:pt>
                <c:pt idx="1">
                  <c:v>CoC
(0% - 0%)</c:v>
                </c:pt>
                <c:pt idx="2">
                  <c:v>Cash Flow
($ - $0)</c:v>
                </c:pt>
                <c:pt idx="3">
                  <c:v>IRR
(0% - 0%)</c:v>
                </c:pt>
                <c:pt idx="4">
                  <c:v>Average   </c:v>
                </c:pt>
              </c:strCache>
            </c:strRef>
          </c:cat>
          <c:val>
            <c:numRef>
              <c:f>'MAX PRICE'!$E$30:$E$34</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CBFE-4A75-B9E7-17ECE5E78421}"/>
            </c:ext>
          </c:extLst>
        </c:ser>
        <c:ser>
          <c:idx val="1"/>
          <c:order val="1"/>
          <c:spPr>
            <a:solidFill>
              <a:schemeClr val="bg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'MAX PRICE'!$B$30:$B$34</c:f>
              <c:strCache>
                <c:ptCount val="5"/>
                <c:pt idx="0">
                  <c:v>Cap Rate
(0% - 0%)</c:v>
                </c:pt>
                <c:pt idx="1">
                  <c:v>CoC
(0% - 0%)</c:v>
                </c:pt>
                <c:pt idx="2">
                  <c:v>Cash Flow
($ - $0)</c:v>
                </c:pt>
                <c:pt idx="3">
                  <c:v>IRR
(0% - 0%)</c:v>
                </c:pt>
                <c:pt idx="4">
                  <c:v>Average   </c:v>
                </c:pt>
              </c:strCache>
            </c:strRef>
          </c:cat>
          <c:val>
            <c:numRef>
              <c:f>'MAX PRICE'!$H$30:$H$34</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CBFE-4A75-B9E7-17ECE5E78421}"/>
            </c:ext>
          </c:extLst>
        </c:ser>
        <c:dLbls>
          <c:showLegendKey val="0"/>
          <c:showVal val="0"/>
          <c:showCatName val="0"/>
          <c:showSerName val="0"/>
          <c:showPercent val="0"/>
          <c:showBubbleSize val="0"/>
        </c:dLbls>
        <c:gapWidth val="122"/>
        <c:overlap val="100"/>
        <c:axId val="970596463"/>
        <c:axId val="186415679"/>
      </c:barChart>
      <c:catAx>
        <c:axId val="97059646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6415679"/>
        <c:crosses val="autoZero"/>
        <c:auto val="1"/>
        <c:lblAlgn val="ctr"/>
        <c:lblOffset val="100"/>
        <c:noMultiLvlLbl val="0"/>
      </c:catAx>
      <c:valAx>
        <c:axId val="186415679"/>
        <c:scaling>
          <c:orientation val="minMax"/>
        </c:scaling>
        <c:delete val="0"/>
        <c:axPos val="b"/>
        <c:numFmt formatCode="#,##0;\(#,##0\);\-" sourceLinked="1"/>
        <c:majorTickMark val="none"/>
        <c:minorTickMark val="none"/>
        <c:tickLblPos val="nextTo"/>
        <c:spPr>
          <a:solidFill>
            <a:schemeClr val="bg1"/>
          </a:solidFill>
          <a:ln>
            <a:solidFill>
              <a:srgbClr val="D9D9D9"/>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7059646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HIDE2!$D$26</c:f>
              <c:strCache>
                <c:ptCount val="1"/>
                <c:pt idx="0">
                  <c:v>Start &amp; End</c:v>
                </c:pt>
              </c:strCache>
            </c:strRef>
          </c:tx>
          <c:invertIfNegative val="0"/>
          <c:cat>
            <c:strRef>
              <c:f>HIDE2!$A$16:$A$20</c:f>
              <c:strCache>
                <c:ptCount val="5"/>
                <c:pt idx="0">
                  <c:v>Net Rental Income</c:v>
                </c:pt>
                <c:pt idx="1">
                  <c:v>Operating Exp.</c:v>
                </c:pt>
                <c:pt idx="2">
                  <c:v>Capex &amp; Other</c:v>
                </c:pt>
                <c:pt idx="3">
                  <c:v>Financing Exp.</c:v>
                </c:pt>
                <c:pt idx="4">
                  <c:v>Net Cash Flow</c:v>
                </c:pt>
              </c:strCache>
            </c:strRef>
          </c:cat>
          <c:val>
            <c:numRef>
              <c:f>HIDE2!$D$27:$D$31</c:f>
              <c:numCache>
                <c:formatCode>"$"\ #,##0;\("$"\ #,##0\);\-</c:formatCode>
                <c:ptCount val="5"/>
                <c:pt idx="0">
                  <c:v>0</c:v>
                </c:pt>
                <c:pt idx="4">
                  <c:v>0</c:v>
                </c:pt>
              </c:numCache>
            </c:numRef>
          </c:val>
          <c:extLst>
            <c:ext xmlns:c16="http://schemas.microsoft.com/office/drawing/2014/chart" uri="{C3380CC4-5D6E-409C-BE32-E72D297353CC}">
              <c16:uniqueId val="{00000004-F53D-49F7-AC25-C2E7245144D7}"/>
            </c:ext>
          </c:extLst>
        </c:ser>
        <c:dLbls>
          <c:showLegendKey val="0"/>
          <c:showVal val="0"/>
          <c:showCatName val="0"/>
          <c:showSerName val="0"/>
          <c:showPercent val="0"/>
          <c:showBubbleSize val="0"/>
        </c:dLbls>
        <c:gapWidth val="53"/>
        <c:axId val="93889280"/>
        <c:axId val="93890816"/>
      </c:barChart>
      <c:lineChart>
        <c:grouping val="standard"/>
        <c:varyColors val="0"/>
        <c:ser>
          <c:idx val="1"/>
          <c:order val="1"/>
          <c:tx>
            <c:strRef>
              <c:f>HIDE2!$E$26</c:f>
              <c:strCache>
                <c:ptCount val="1"/>
                <c:pt idx="0">
                  <c:v>Before</c:v>
                </c:pt>
              </c:strCache>
            </c:strRef>
          </c:tx>
          <c:spPr>
            <a:ln w="19050">
              <a:noFill/>
            </a:ln>
          </c:spPr>
          <c:marker>
            <c:symbol val="none"/>
          </c:marker>
          <c:cat>
            <c:strRef>
              <c:f>HIDE2!$A$6:$A$11</c:f>
              <c:strCache>
                <c:ptCount val="6"/>
                <c:pt idx="0">
                  <c:v>Monthly Income</c:v>
                </c:pt>
                <c:pt idx="1">
                  <c:v>Airbnb Fee</c:v>
                </c:pt>
                <c:pt idx="2">
                  <c:v>Operating Expenses</c:v>
                </c:pt>
                <c:pt idx="3">
                  <c:v>CAPEX</c:v>
                </c:pt>
                <c:pt idx="4">
                  <c:v>P&amp;I</c:v>
                </c:pt>
                <c:pt idx="5">
                  <c:v>Net Cash Flow</c:v>
                </c:pt>
              </c:strCache>
            </c:strRef>
          </c:cat>
          <c:val>
            <c:numRef>
              <c:f>HIDE2!$E$27:$E$31</c:f>
              <c:numCache>
                <c:formatCode>"$"\ #,##0;\("$"\ #,##0\);\-</c:formatCode>
                <c:ptCount val="5"/>
                <c:pt idx="1">
                  <c:v>0</c:v>
                </c:pt>
                <c:pt idx="2">
                  <c:v>0</c:v>
                </c:pt>
                <c:pt idx="3">
                  <c:v>0</c:v>
                </c:pt>
              </c:numCache>
            </c:numRef>
          </c:val>
          <c:smooth val="0"/>
          <c:extLst>
            <c:ext xmlns:c16="http://schemas.microsoft.com/office/drawing/2014/chart" uri="{C3380CC4-5D6E-409C-BE32-E72D297353CC}">
              <c16:uniqueId val="{00000005-F53D-49F7-AC25-C2E7245144D7}"/>
            </c:ext>
          </c:extLst>
        </c:ser>
        <c:ser>
          <c:idx val="2"/>
          <c:order val="2"/>
          <c:tx>
            <c:strRef>
              <c:f>HIDE2!$F$26</c:f>
              <c:strCache>
                <c:ptCount val="1"/>
                <c:pt idx="0">
                  <c:v>After</c:v>
                </c:pt>
              </c:strCache>
            </c:strRef>
          </c:tx>
          <c:spPr>
            <a:ln w="19050">
              <a:noFill/>
            </a:ln>
          </c:spPr>
          <c:marker>
            <c:symbol val="none"/>
          </c:marker>
          <c:cat>
            <c:strRef>
              <c:f>HIDE2!$A$6:$A$11</c:f>
              <c:strCache>
                <c:ptCount val="6"/>
                <c:pt idx="0">
                  <c:v>Monthly Income</c:v>
                </c:pt>
                <c:pt idx="1">
                  <c:v>Airbnb Fee</c:v>
                </c:pt>
                <c:pt idx="2">
                  <c:v>Operating Expenses</c:v>
                </c:pt>
                <c:pt idx="3">
                  <c:v>CAPEX</c:v>
                </c:pt>
                <c:pt idx="4">
                  <c:v>P&amp;I</c:v>
                </c:pt>
                <c:pt idx="5">
                  <c:v>Net Cash Flow</c:v>
                </c:pt>
              </c:strCache>
            </c:strRef>
          </c:cat>
          <c:val>
            <c:numRef>
              <c:f>HIDE2!$F$27:$F$31</c:f>
              <c:numCache>
                <c:formatCode>"$"\ #,##0;\("$"\ #,##0\);\-</c:formatCode>
                <c:ptCount val="5"/>
                <c:pt idx="1">
                  <c:v>0</c:v>
                </c:pt>
                <c:pt idx="2">
                  <c:v>0</c:v>
                </c:pt>
                <c:pt idx="3">
                  <c:v>0</c:v>
                </c:pt>
              </c:numCache>
            </c:numRef>
          </c:val>
          <c:smooth val="0"/>
          <c:extLst>
            <c:ext xmlns:c16="http://schemas.microsoft.com/office/drawing/2014/chart" uri="{C3380CC4-5D6E-409C-BE32-E72D297353CC}">
              <c16:uniqueId val="{00000006-F53D-49F7-AC25-C2E7245144D7}"/>
            </c:ext>
          </c:extLst>
        </c:ser>
        <c:dLbls>
          <c:showLegendKey val="0"/>
          <c:showVal val="0"/>
          <c:showCatName val="0"/>
          <c:showSerName val="0"/>
          <c:showPercent val="0"/>
          <c:showBubbleSize val="0"/>
        </c:dLbls>
        <c:upDownBars>
          <c:gapWidth val="69"/>
          <c:upBars>
            <c:spPr>
              <a:solidFill>
                <a:schemeClr val="accent6"/>
              </a:solidFill>
              <a:ln>
                <a:solidFill>
                  <a:schemeClr val="bg1">
                    <a:lumMod val="65000"/>
                  </a:schemeClr>
                </a:solidFill>
              </a:ln>
            </c:spPr>
          </c:upBars>
          <c:downBars>
            <c:spPr>
              <a:solidFill>
                <a:schemeClr val="accent2">
                  <a:lumMod val="20000"/>
                  <a:lumOff val="80000"/>
                </a:schemeClr>
              </a:solidFill>
              <a:ln w="38100" cap="rnd">
                <a:solidFill>
                  <a:schemeClr val="accent2">
                    <a:lumMod val="20000"/>
                    <a:lumOff val="80000"/>
                  </a:schemeClr>
                </a:solidFill>
              </a:ln>
            </c:spPr>
          </c:downBars>
        </c:upDownBars>
        <c:marker val="1"/>
        <c:smooth val="0"/>
        <c:axId val="93889280"/>
        <c:axId val="93890816"/>
      </c:lineChart>
      <c:scatterChart>
        <c:scatterStyle val="lineMarker"/>
        <c:varyColors val="0"/>
        <c:ser>
          <c:idx val="3"/>
          <c:order val="3"/>
          <c:tx>
            <c:strRef>
              <c:f>HIDE2!$C$26</c:f>
              <c:strCache>
                <c:ptCount val="1"/>
                <c:pt idx="0">
                  <c:v>Cumulative</c:v>
                </c:pt>
              </c:strCache>
            </c:strRef>
          </c:tx>
          <c:spPr>
            <a:ln w="19050">
              <a:noFill/>
            </a:ln>
          </c:spPr>
          <c:marker>
            <c:symbol val="none"/>
          </c:marker>
          <c:errBars>
            <c:errDir val="x"/>
            <c:errBarType val="plus"/>
            <c:errValType val="fixedVal"/>
            <c:noEndCap val="1"/>
            <c:val val="1"/>
            <c:spPr>
              <a:ln w="6350">
                <a:noFill/>
                <a:prstDash val="solid"/>
              </a:ln>
            </c:spPr>
          </c:errBars>
          <c:yVal>
            <c:numRef>
              <c:f>HIDE2!$C$27:$C$30</c:f>
              <c:numCache>
                <c:formatCode>"$"\ #,##0;\("$"\ #,##0\);\-</c:formatCode>
                <c:ptCount val="4"/>
                <c:pt idx="0">
                  <c:v>0</c:v>
                </c:pt>
                <c:pt idx="1">
                  <c:v>0</c:v>
                </c:pt>
                <c:pt idx="2">
                  <c:v>0</c:v>
                </c:pt>
                <c:pt idx="3">
                  <c:v>0</c:v>
                </c:pt>
              </c:numCache>
            </c:numRef>
          </c:yVal>
          <c:smooth val="0"/>
          <c:extLst>
            <c:ext xmlns:c16="http://schemas.microsoft.com/office/drawing/2014/chart" uri="{C3380CC4-5D6E-409C-BE32-E72D297353CC}">
              <c16:uniqueId val="{00000007-F53D-49F7-AC25-C2E7245144D7}"/>
            </c:ext>
          </c:extLst>
        </c:ser>
        <c:ser>
          <c:idx val="4"/>
          <c:order val="4"/>
          <c:tx>
            <c:strRef>
              <c:f>HIDE2!$G$26</c:f>
              <c:strCache>
                <c:ptCount val="1"/>
                <c:pt idx="0">
                  <c:v>Data label position</c:v>
                </c:pt>
              </c:strCache>
            </c:strRef>
          </c:tx>
          <c:spPr>
            <a:ln w="19050">
              <a:noFill/>
            </a:ln>
          </c:spPr>
          <c:marker>
            <c:symbol val="none"/>
          </c:marker>
          <c:yVal>
            <c:numRef>
              <c:f>HIDE2!$G$27:$G$31</c:f>
              <c:numCache>
                <c:formatCode>"$"\ #,##0;\("$"\ #,##0\);\-</c:formatCode>
                <c:ptCount val="5"/>
                <c:pt idx="1">
                  <c:v>0</c:v>
                </c:pt>
                <c:pt idx="2">
                  <c:v>0</c:v>
                </c:pt>
                <c:pt idx="3">
                  <c:v>0</c:v>
                </c:pt>
              </c:numCache>
            </c:numRef>
          </c:yVal>
          <c:smooth val="0"/>
          <c:extLst>
            <c:ext xmlns:c16="http://schemas.microsoft.com/office/drawing/2014/chart" uri="{C3380CC4-5D6E-409C-BE32-E72D297353CC}">
              <c16:uniqueId val="{0000000B-F53D-49F7-AC25-C2E7245144D7}"/>
            </c:ext>
          </c:extLst>
        </c:ser>
        <c:dLbls>
          <c:showLegendKey val="0"/>
          <c:showVal val="0"/>
          <c:showCatName val="0"/>
          <c:showSerName val="0"/>
          <c:showPercent val="0"/>
          <c:showBubbleSize val="0"/>
        </c:dLbls>
        <c:axId val="93889280"/>
        <c:axId val="93890816"/>
      </c:scatterChart>
      <c:catAx>
        <c:axId val="93889280"/>
        <c:scaling>
          <c:orientation val="minMax"/>
        </c:scaling>
        <c:delete val="0"/>
        <c:axPos val="b"/>
        <c:numFmt formatCode="General" sourceLinked="0"/>
        <c:majorTickMark val="none"/>
        <c:minorTickMark val="none"/>
        <c:tickLblPos val="low"/>
        <c:spPr>
          <a:ln w="12700">
            <a:solidFill>
              <a:schemeClr val="bg1">
                <a:lumMod val="50000"/>
              </a:schemeClr>
            </a:solidFill>
            <a:prstDash val="dash"/>
          </a:ln>
        </c:spPr>
        <c:txPr>
          <a:bodyPr/>
          <a:lstStyle/>
          <a:p>
            <a:pPr>
              <a:defRPr sz="900">
                <a:solidFill>
                  <a:schemeClr val="tx1">
                    <a:lumMod val="65000"/>
                    <a:lumOff val="35000"/>
                  </a:schemeClr>
                </a:solidFill>
                <a:latin typeface="Arial" panose="020B0604020202020204" pitchFamily="34" charset="0"/>
                <a:cs typeface="Arial" panose="020B0604020202020204" pitchFamily="34" charset="0"/>
              </a:defRPr>
            </a:pPr>
            <a:endParaRPr lang="en-US"/>
          </a:p>
        </c:txPr>
        <c:crossAx val="93890816"/>
        <c:crosses val="autoZero"/>
        <c:auto val="1"/>
        <c:lblAlgn val="ctr"/>
        <c:lblOffset val="100"/>
        <c:noMultiLvlLbl val="0"/>
      </c:catAx>
      <c:valAx>
        <c:axId val="93890816"/>
        <c:scaling>
          <c:orientation val="minMax"/>
        </c:scaling>
        <c:delete val="0"/>
        <c:axPos val="l"/>
        <c:numFmt formatCode="&quot;$&quot;\ #,##0;\(&quot;$&quot;\ #,##0\);\-" sourceLinked="1"/>
        <c:majorTickMark val="out"/>
        <c:minorTickMark val="none"/>
        <c:tickLblPos val="nextTo"/>
        <c:spPr>
          <a:ln>
            <a:prstDash val="dash"/>
          </a:ln>
        </c:spPr>
        <c:txPr>
          <a:bodyPr/>
          <a:lstStyle/>
          <a:p>
            <a:pPr>
              <a:defRPr sz="900">
                <a:solidFill>
                  <a:schemeClr val="tx1">
                    <a:lumMod val="65000"/>
                    <a:lumOff val="35000"/>
                  </a:schemeClr>
                </a:solidFill>
                <a:latin typeface="Arial" panose="020B0604020202020204" pitchFamily="34" charset="0"/>
                <a:cs typeface="Arial" panose="020B0604020202020204" pitchFamily="34" charset="0"/>
              </a:defRPr>
            </a:pPr>
            <a:endParaRPr lang="en-US"/>
          </a:p>
        </c:txPr>
        <c:crossAx val="9388928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HIDE2!$D$36</c:f>
              <c:strCache>
                <c:ptCount val="1"/>
                <c:pt idx="0">
                  <c:v>Start &amp; End</c:v>
                </c:pt>
              </c:strCache>
            </c:strRef>
          </c:tx>
          <c:invertIfNegative val="0"/>
          <c:cat>
            <c:strRef>
              <c:f>HIDE2!$A$37:$A$42</c:f>
              <c:strCache>
                <c:ptCount val="6"/>
                <c:pt idx="0">
                  <c:v>Forecasted Cash Flow</c:v>
                </c:pt>
                <c:pt idx="1">
                  <c:v>Rental Income</c:v>
                </c:pt>
                <c:pt idx="2">
                  <c:v>Operating Exp.</c:v>
                </c:pt>
                <c:pt idx="3">
                  <c:v>Capex &amp; Other</c:v>
                </c:pt>
                <c:pt idx="4">
                  <c:v>Financing Exp.</c:v>
                </c:pt>
                <c:pt idx="5">
                  <c:v>Actual Cash Flow</c:v>
                </c:pt>
              </c:strCache>
            </c:strRef>
          </c:cat>
          <c:val>
            <c:numRef>
              <c:f>HIDE2!$D$37:$D$42</c:f>
              <c:numCache>
                <c:formatCode>"$"\ #,##0;\("$"\ #,##0\);\-</c:formatCode>
                <c:ptCount val="6"/>
                <c:pt idx="0">
                  <c:v>0</c:v>
                </c:pt>
                <c:pt idx="5">
                  <c:v>0</c:v>
                </c:pt>
              </c:numCache>
            </c:numRef>
          </c:val>
          <c:extLst>
            <c:ext xmlns:c16="http://schemas.microsoft.com/office/drawing/2014/chart" uri="{C3380CC4-5D6E-409C-BE32-E72D297353CC}">
              <c16:uniqueId val="{00000000-F5C5-48FE-9A00-6BA0E81F1382}"/>
            </c:ext>
          </c:extLst>
        </c:ser>
        <c:dLbls>
          <c:showLegendKey val="0"/>
          <c:showVal val="0"/>
          <c:showCatName val="0"/>
          <c:showSerName val="0"/>
          <c:showPercent val="0"/>
          <c:showBubbleSize val="0"/>
        </c:dLbls>
        <c:gapWidth val="53"/>
        <c:axId val="93889280"/>
        <c:axId val="93890816"/>
      </c:barChart>
      <c:lineChart>
        <c:grouping val="standard"/>
        <c:varyColors val="0"/>
        <c:ser>
          <c:idx val="1"/>
          <c:order val="1"/>
          <c:tx>
            <c:strRef>
              <c:f>HIDE2!$E$36</c:f>
              <c:strCache>
                <c:ptCount val="1"/>
                <c:pt idx="0">
                  <c:v>Before</c:v>
                </c:pt>
              </c:strCache>
            </c:strRef>
          </c:tx>
          <c:spPr>
            <a:ln w="19050">
              <a:noFill/>
            </a:ln>
          </c:spPr>
          <c:marker>
            <c:symbol val="none"/>
          </c:marker>
          <c:cat>
            <c:strRef>
              <c:f>HIDE2!$A$6:$A$11</c:f>
              <c:strCache>
                <c:ptCount val="6"/>
                <c:pt idx="0">
                  <c:v>Monthly Income</c:v>
                </c:pt>
                <c:pt idx="1">
                  <c:v>Airbnb Fee</c:v>
                </c:pt>
                <c:pt idx="2">
                  <c:v>Operating Expenses</c:v>
                </c:pt>
                <c:pt idx="3">
                  <c:v>CAPEX</c:v>
                </c:pt>
                <c:pt idx="4">
                  <c:v>P&amp;I</c:v>
                </c:pt>
                <c:pt idx="5">
                  <c:v>Net Cash Flow</c:v>
                </c:pt>
              </c:strCache>
            </c:strRef>
          </c:cat>
          <c:val>
            <c:numRef>
              <c:f>HIDE2!$E$37:$E$42</c:f>
              <c:numCache>
                <c:formatCode>"$"\ #,##0;\("$"\ #,##0\);\-</c:formatCode>
                <c:ptCount val="6"/>
                <c:pt idx="1">
                  <c:v>0</c:v>
                </c:pt>
                <c:pt idx="2">
                  <c:v>0</c:v>
                </c:pt>
                <c:pt idx="3">
                  <c:v>0</c:v>
                </c:pt>
                <c:pt idx="4">
                  <c:v>0</c:v>
                </c:pt>
              </c:numCache>
            </c:numRef>
          </c:val>
          <c:smooth val="0"/>
          <c:extLst>
            <c:ext xmlns:c16="http://schemas.microsoft.com/office/drawing/2014/chart" uri="{C3380CC4-5D6E-409C-BE32-E72D297353CC}">
              <c16:uniqueId val="{00000001-F5C5-48FE-9A00-6BA0E81F1382}"/>
            </c:ext>
          </c:extLst>
        </c:ser>
        <c:ser>
          <c:idx val="2"/>
          <c:order val="2"/>
          <c:tx>
            <c:strRef>
              <c:f>HIDE2!$F$36</c:f>
              <c:strCache>
                <c:ptCount val="1"/>
                <c:pt idx="0">
                  <c:v>After</c:v>
                </c:pt>
              </c:strCache>
            </c:strRef>
          </c:tx>
          <c:spPr>
            <a:ln w="19050">
              <a:noFill/>
            </a:ln>
          </c:spPr>
          <c:marker>
            <c:symbol val="none"/>
          </c:marker>
          <c:cat>
            <c:strRef>
              <c:f>HIDE2!$A$6:$A$11</c:f>
              <c:strCache>
                <c:ptCount val="6"/>
                <c:pt idx="0">
                  <c:v>Monthly Income</c:v>
                </c:pt>
                <c:pt idx="1">
                  <c:v>Airbnb Fee</c:v>
                </c:pt>
                <c:pt idx="2">
                  <c:v>Operating Expenses</c:v>
                </c:pt>
                <c:pt idx="3">
                  <c:v>CAPEX</c:v>
                </c:pt>
                <c:pt idx="4">
                  <c:v>P&amp;I</c:v>
                </c:pt>
                <c:pt idx="5">
                  <c:v>Net Cash Flow</c:v>
                </c:pt>
              </c:strCache>
            </c:strRef>
          </c:cat>
          <c:val>
            <c:numRef>
              <c:f>HIDE2!$F$37:$F$42</c:f>
              <c:numCache>
                <c:formatCode>"$"\ #,##0;\("$"\ #,##0\);\-</c:formatCode>
                <c:ptCount val="6"/>
                <c:pt idx="1">
                  <c:v>0</c:v>
                </c:pt>
                <c:pt idx="2">
                  <c:v>0</c:v>
                </c:pt>
                <c:pt idx="3">
                  <c:v>0</c:v>
                </c:pt>
                <c:pt idx="4">
                  <c:v>0</c:v>
                </c:pt>
              </c:numCache>
            </c:numRef>
          </c:val>
          <c:smooth val="0"/>
          <c:extLst>
            <c:ext xmlns:c16="http://schemas.microsoft.com/office/drawing/2014/chart" uri="{C3380CC4-5D6E-409C-BE32-E72D297353CC}">
              <c16:uniqueId val="{00000002-F5C5-48FE-9A00-6BA0E81F1382}"/>
            </c:ext>
          </c:extLst>
        </c:ser>
        <c:dLbls>
          <c:showLegendKey val="0"/>
          <c:showVal val="0"/>
          <c:showCatName val="0"/>
          <c:showSerName val="0"/>
          <c:showPercent val="0"/>
          <c:showBubbleSize val="0"/>
        </c:dLbls>
        <c:upDownBars>
          <c:gapWidth val="69"/>
          <c:upBars>
            <c:spPr>
              <a:solidFill>
                <a:schemeClr val="accent6"/>
              </a:solidFill>
              <a:ln>
                <a:solidFill>
                  <a:schemeClr val="bg1">
                    <a:lumMod val="65000"/>
                  </a:schemeClr>
                </a:solidFill>
              </a:ln>
            </c:spPr>
          </c:upBars>
          <c:downBars>
            <c:spPr>
              <a:solidFill>
                <a:schemeClr val="accent2">
                  <a:lumMod val="20000"/>
                  <a:lumOff val="80000"/>
                </a:schemeClr>
              </a:solidFill>
              <a:ln w="38100" cap="rnd">
                <a:solidFill>
                  <a:schemeClr val="accent2">
                    <a:lumMod val="20000"/>
                    <a:lumOff val="80000"/>
                  </a:schemeClr>
                </a:solidFill>
              </a:ln>
            </c:spPr>
          </c:downBars>
        </c:upDownBars>
        <c:marker val="1"/>
        <c:smooth val="0"/>
        <c:axId val="93889280"/>
        <c:axId val="93890816"/>
      </c:lineChart>
      <c:scatterChart>
        <c:scatterStyle val="lineMarker"/>
        <c:varyColors val="0"/>
        <c:ser>
          <c:idx val="3"/>
          <c:order val="3"/>
          <c:tx>
            <c:strRef>
              <c:f>HIDE2!$C$36</c:f>
              <c:strCache>
                <c:ptCount val="1"/>
                <c:pt idx="0">
                  <c:v>Cumulative</c:v>
                </c:pt>
              </c:strCache>
            </c:strRef>
          </c:tx>
          <c:spPr>
            <a:ln w="19050">
              <a:noFill/>
            </a:ln>
          </c:spPr>
          <c:marker>
            <c:symbol val="none"/>
          </c:marker>
          <c:errBars>
            <c:errDir val="x"/>
            <c:errBarType val="plus"/>
            <c:errValType val="fixedVal"/>
            <c:noEndCap val="1"/>
            <c:val val="1"/>
            <c:spPr>
              <a:ln w="6350">
                <a:noFill/>
                <a:prstDash val="solid"/>
              </a:ln>
            </c:spPr>
          </c:errBars>
          <c:yVal>
            <c:numRef>
              <c:f>HIDE2!$C$37:$C$41</c:f>
              <c:numCache>
                <c:formatCode>"$"\ #,##0;\("$"\ #,##0\);\-</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3-F5C5-48FE-9A00-6BA0E81F1382}"/>
            </c:ext>
          </c:extLst>
        </c:ser>
        <c:ser>
          <c:idx val="4"/>
          <c:order val="4"/>
          <c:tx>
            <c:strRef>
              <c:f>HIDE2!$G$36</c:f>
              <c:strCache>
                <c:ptCount val="1"/>
                <c:pt idx="0">
                  <c:v>Data label position</c:v>
                </c:pt>
              </c:strCache>
            </c:strRef>
          </c:tx>
          <c:spPr>
            <a:ln w="19050">
              <a:noFill/>
            </a:ln>
          </c:spPr>
          <c:marker>
            <c:symbol val="none"/>
          </c:marker>
          <c:yVal>
            <c:numRef>
              <c:f>HIDE2!$G$37:$G$42</c:f>
              <c:numCache>
                <c:formatCode>"$"\ #,##0;\("$"\ #,##0\);\-</c:formatCode>
                <c:ptCount val="6"/>
                <c:pt idx="1">
                  <c:v>0</c:v>
                </c:pt>
                <c:pt idx="2">
                  <c:v>0</c:v>
                </c:pt>
                <c:pt idx="3">
                  <c:v>0</c:v>
                </c:pt>
                <c:pt idx="4">
                  <c:v>0</c:v>
                </c:pt>
              </c:numCache>
            </c:numRef>
          </c:yVal>
          <c:smooth val="0"/>
          <c:extLst>
            <c:ext xmlns:c16="http://schemas.microsoft.com/office/drawing/2014/chart" uri="{C3380CC4-5D6E-409C-BE32-E72D297353CC}">
              <c16:uniqueId val="{00000004-F5C5-48FE-9A00-6BA0E81F1382}"/>
            </c:ext>
          </c:extLst>
        </c:ser>
        <c:dLbls>
          <c:showLegendKey val="0"/>
          <c:showVal val="0"/>
          <c:showCatName val="0"/>
          <c:showSerName val="0"/>
          <c:showPercent val="0"/>
          <c:showBubbleSize val="0"/>
        </c:dLbls>
        <c:axId val="93889280"/>
        <c:axId val="93890816"/>
      </c:scatterChart>
      <c:catAx>
        <c:axId val="93889280"/>
        <c:scaling>
          <c:orientation val="minMax"/>
        </c:scaling>
        <c:delete val="0"/>
        <c:axPos val="b"/>
        <c:numFmt formatCode="General" sourceLinked="0"/>
        <c:majorTickMark val="none"/>
        <c:minorTickMark val="none"/>
        <c:tickLblPos val="low"/>
        <c:spPr>
          <a:ln w="12700">
            <a:solidFill>
              <a:schemeClr val="bg1">
                <a:lumMod val="50000"/>
              </a:schemeClr>
            </a:solidFill>
            <a:prstDash val="dash"/>
          </a:ln>
        </c:spPr>
        <c:txPr>
          <a:bodyPr/>
          <a:lstStyle/>
          <a:p>
            <a:pPr>
              <a:defRPr sz="900">
                <a:solidFill>
                  <a:schemeClr val="tx1">
                    <a:lumMod val="65000"/>
                    <a:lumOff val="35000"/>
                  </a:schemeClr>
                </a:solidFill>
                <a:latin typeface="Arial" panose="020B0604020202020204" pitchFamily="34" charset="0"/>
                <a:cs typeface="Arial" panose="020B0604020202020204" pitchFamily="34" charset="0"/>
              </a:defRPr>
            </a:pPr>
            <a:endParaRPr lang="en-US"/>
          </a:p>
        </c:txPr>
        <c:crossAx val="93890816"/>
        <c:crosses val="autoZero"/>
        <c:auto val="1"/>
        <c:lblAlgn val="ctr"/>
        <c:lblOffset val="100"/>
        <c:noMultiLvlLbl val="0"/>
      </c:catAx>
      <c:valAx>
        <c:axId val="93890816"/>
        <c:scaling>
          <c:orientation val="minMax"/>
        </c:scaling>
        <c:delete val="0"/>
        <c:axPos val="l"/>
        <c:numFmt formatCode="&quot;$&quot;\ #,##0;\(&quot;$&quot;\ #,##0\);\-" sourceLinked="1"/>
        <c:majorTickMark val="out"/>
        <c:minorTickMark val="none"/>
        <c:tickLblPos val="nextTo"/>
        <c:spPr>
          <a:ln>
            <a:prstDash val="dash"/>
          </a:ln>
        </c:spPr>
        <c:txPr>
          <a:bodyPr/>
          <a:lstStyle/>
          <a:p>
            <a:pPr>
              <a:defRPr sz="900">
                <a:solidFill>
                  <a:schemeClr val="tx1">
                    <a:lumMod val="65000"/>
                    <a:lumOff val="35000"/>
                  </a:schemeClr>
                </a:solidFill>
                <a:latin typeface="Arial" panose="020B0604020202020204" pitchFamily="34" charset="0"/>
                <a:cs typeface="Arial" panose="020B0604020202020204" pitchFamily="34" charset="0"/>
              </a:defRPr>
            </a:pPr>
            <a:endParaRPr lang="en-US"/>
          </a:p>
        </c:txPr>
        <c:crossAx val="9388928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51089611944363E-2"/>
          <c:y val="0.13373713752555352"/>
          <c:w val="0.92551953255534036"/>
          <c:h val="0.7431353216766905"/>
        </c:manualLayout>
      </c:layout>
      <c:barChart>
        <c:barDir val="col"/>
        <c:grouping val="percentStacked"/>
        <c:varyColors val="0"/>
        <c:ser>
          <c:idx val="0"/>
          <c:order val="0"/>
          <c:tx>
            <c:strRef>
              <c:f>DEBT!$D$34</c:f>
              <c:strCache>
                <c:ptCount val="1"/>
                <c:pt idx="0">
                  <c:v>Principal Repayment</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DEBT!$D$12:$AG$12</c:f>
              <c:numCache>
                <c:formatCode>0</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DEBT!$E$34:$AH$34</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formatCode="0%;\(0%\);\-">
                  <c:v>0</c:v>
                </c:pt>
                <c:pt idx="29" formatCode="0%;\(0%\);\-">
                  <c:v>0</c:v>
                </c:pt>
              </c:numCache>
            </c:numRef>
          </c:val>
          <c:extLst>
            <c:ext xmlns:c16="http://schemas.microsoft.com/office/drawing/2014/chart" uri="{C3380CC4-5D6E-409C-BE32-E72D297353CC}">
              <c16:uniqueId val="{00000000-0D95-4708-92A5-61B77E0131A2}"/>
            </c:ext>
          </c:extLst>
        </c:ser>
        <c:ser>
          <c:idx val="1"/>
          <c:order val="1"/>
          <c:tx>
            <c:strRef>
              <c:f>DEBT!$D$35</c:f>
              <c:strCache>
                <c:ptCount val="1"/>
                <c:pt idx="0">
                  <c:v>Interest Payment</c:v>
                </c:pt>
              </c:strCache>
            </c:strRef>
          </c:tx>
          <c:spPr>
            <a:solidFill>
              <a:schemeClr val="accent1">
                <a:lumMod val="40000"/>
                <a:lumOff val="60000"/>
              </a:schemeClr>
            </a:solidFill>
            <a:ln>
              <a:noFill/>
            </a:ln>
            <a:effectLst/>
          </c:spPr>
          <c:invertIfNegative val="0"/>
          <c:cat>
            <c:numRef>
              <c:f>DEBT!$D$12:$AG$12</c:f>
              <c:numCache>
                <c:formatCode>0</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DEBT!$E$35:$AH$35</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formatCode="0%;\(0%\);\-">
                  <c:v>0</c:v>
                </c:pt>
                <c:pt idx="29" formatCode="0%;\(0%\);\-">
                  <c:v>0</c:v>
                </c:pt>
              </c:numCache>
            </c:numRef>
          </c:val>
          <c:extLst>
            <c:ext xmlns:c16="http://schemas.microsoft.com/office/drawing/2014/chart" uri="{C3380CC4-5D6E-409C-BE32-E72D297353CC}">
              <c16:uniqueId val="{00000001-0D95-4708-92A5-61B77E0131A2}"/>
            </c:ext>
          </c:extLst>
        </c:ser>
        <c:dLbls>
          <c:showLegendKey val="0"/>
          <c:showVal val="0"/>
          <c:showCatName val="0"/>
          <c:showSerName val="0"/>
          <c:showPercent val="0"/>
          <c:showBubbleSize val="0"/>
        </c:dLbls>
        <c:gapWidth val="70"/>
        <c:overlap val="100"/>
        <c:axId val="884807360"/>
        <c:axId val="326463936"/>
      </c:barChart>
      <c:catAx>
        <c:axId val="88480736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n-US"/>
          </a:p>
        </c:txPr>
        <c:crossAx val="326463936"/>
        <c:crosses val="autoZero"/>
        <c:auto val="1"/>
        <c:lblAlgn val="ctr"/>
        <c:lblOffset val="100"/>
        <c:noMultiLvlLbl val="0"/>
      </c:catAx>
      <c:valAx>
        <c:axId val="326463936"/>
        <c:scaling>
          <c:orientation val="minMax"/>
        </c:scaling>
        <c:delete val="0"/>
        <c:axPos val="l"/>
        <c:majorGridlines>
          <c:spPr>
            <a:ln w="9525" cap="flat" cmpd="sng" algn="ctr">
              <a:solidFill>
                <a:schemeClr val="tx1">
                  <a:lumMod val="15000"/>
                  <a:lumOff val="85000"/>
                  <a:alpha val="86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n-US"/>
          </a:p>
        </c:txPr>
        <c:crossAx val="884807360"/>
        <c:crosses val="autoZero"/>
        <c:crossBetween val="between"/>
      </c:valAx>
      <c:spPr>
        <a:noFill/>
        <a:ln>
          <a:noFill/>
        </a:ln>
        <a:effectLst/>
      </c:spPr>
    </c:plotArea>
    <c:legend>
      <c:legendPos val="t"/>
      <c:layout>
        <c:manualLayout>
          <c:xMode val="edge"/>
          <c:yMode val="edge"/>
          <c:x val="0.30466425936560154"/>
          <c:y val="1.0752683620064507E-2"/>
          <c:w val="0.36418974204244242"/>
          <c:h val="9.07264030452954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51089611944363E-2"/>
          <c:y val="0.13373713752555352"/>
          <c:w val="0.92551953255534036"/>
          <c:h val="0.7431353216766905"/>
        </c:manualLayout>
      </c:layout>
      <c:barChart>
        <c:barDir val="col"/>
        <c:grouping val="clustered"/>
        <c:varyColors val="0"/>
        <c:ser>
          <c:idx val="0"/>
          <c:order val="0"/>
          <c:tx>
            <c:strRef>
              <c:f>DEBT!$B$17</c:f>
              <c:strCache>
                <c:ptCount val="1"/>
                <c:pt idx="0">
                  <c:v>Debt (End of year)</c:v>
                </c:pt>
              </c:strCache>
            </c:strRef>
          </c:tx>
          <c:spPr>
            <a:solidFill>
              <a:schemeClr val="accent4">
                <a:lumMod val="20000"/>
                <a:lumOff val="80000"/>
              </a:schemeClr>
            </a:solidFill>
            <a:ln>
              <a:noFill/>
            </a:ln>
            <a:effectLst/>
          </c:spPr>
          <c:invertIfNegative val="0"/>
          <c:dLbls>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EA-4CE7-845D-D09059AFC675}"/>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EA-4CE7-845D-D09059AFC675}"/>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5EA-4CE7-845D-D09059AFC675}"/>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5EA-4CE7-845D-D09059AFC6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DEBT!$D$12:$AG$12</c:f>
              <c:numCache>
                <c:formatCode>0</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DEBT!$D$17:$AG$17</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25EA-4CE7-845D-D09059AFC675}"/>
            </c:ext>
          </c:extLst>
        </c:ser>
        <c:dLbls>
          <c:showLegendKey val="0"/>
          <c:showVal val="0"/>
          <c:showCatName val="0"/>
          <c:showSerName val="0"/>
          <c:showPercent val="0"/>
          <c:showBubbleSize val="0"/>
        </c:dLbls>
        <c:gapWidth val="70"/>
        <c:axId val="884807360"/>
        <c:axId val="326463936"/>
      </c:barChart>
      <c:catAx>
        <c:axId val="88480736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n-US"/>
          </a:p>
        </c:txPr>
        <c:crossAx val="326463936"/>
        <c:crosses val="autoZero"/>
        <c:auto val="1"/>
        <c:lblAlgn val="ctr"/>
        <c:lblOffset val="100"/>
        <c:noMultiLvlLbl val="0"/>
      </c:catAx>
      <c:valAx>
        <c:axId val="326463936"/>
        <c:scaling>
          <c:orientation val="minMax"/>
          <c:min val="0"/>
        </c:scaling>
        <c:delete val="0"/>
        <c:axPos val="l"/>
        <c:majorGridlines>
          <c:spPr>
            <a:ln w="9525" cap="flat" cmpd="sng" algn="ctr">
              <a:solidFill>
                <a:schemeClr val="tx1">
                  <a:lumMod val="15000"/>
                  <a:lumOff val="85000"/>
                  <a:alpha val="86000"/>
                </a:schemeClr>
              </a:solidFill>
              <a:prstDash val="dash"/>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n-US"/>
          </a:p>
        </c:txPr>
        <c:crossAx val="88480736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65986325935275"/>
          <c:y val="0"/>
          <c:w val="0.831705990613129"/>
          <c:h val="0.97413886653948378"/>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5-3FF8-4120-AAE7-5D25F0145083}"/>
              </c:ext>
            </c:extLst>
          </c:dPt>
          <c:dPt>
            <c:idx val="1"/>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4-3FF8-4120-AAE7-5D25F0145083}"/>
              </c:ext>
            </c:extLst>
          </c:dPt>
          <c:dPt>
            <c:idx val="2"/>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3-3FF8-4120-AAE7-5D25F0145083}"/>
              </c:ext>
            </c:extLst>
          </c:dPt>
          <c:dPt>
            <c:idx val="3"/>
            <c:bubble3D val="0"/>
            <c:spPr>
              <a:solidFill>
                <a:schemeClr val="accent3">
                  <a:lumMod val="40000"/>
                  <a:lumOff val="60000"/>
                </a:schemeClr>
              </a:solidFill>
              <a:ln w="19050">
                <a:solidFill>
                  <a:schemeClr val="lt1"/>
                </a:solidFill>
              </a:ln>
              <a:effectLst/>
            </c:spPr>
            <c:extLst>
              <c:ext xmlns:c16="http://schemas.microsoft.com/office/drawing/2014/chart" uri="{C3380CC4-5D6E-409C-BE32-E72D297353CC}">
                <c16:uniqueId val="{00000002-3FF8-4120-AAE7-5D25F0145083}"/>
              </c:ext>
            </c:extLst>
          </c:dPt>
          <c:dPt>
            <c:idx val="4"/>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6-3FF8-4120-AAE7-5D25F0145083}"/>
              </c:ext>
            </c:extLst>
          </c:dPt>
          <c:dPt>
            <c:idx val="5"/>
            <c:bubble3D val="0"/>
            <c:spPr>
              <a:solidFill>
                <a:schemeClr val="accent5">
                  <a:lumMod val="40000"/>
                  <a:lumOff val="60000"/>
                </a:schemeClr>
              </a:solidFill>
              <a:ln w="19050">
                <a:solidFill>
                  <a:schemeClr val="lt1"/>
                </a:solidFill>
              </a:ln>
              <a:effectLst/>
            </c:spPr>
            <c:extLst>
              <c:ext xmlns:c16="http://schemas.microsoft.com/office/drawing/2014/chart" uri="{C3380CC4-5D6E-409C-BE32-E72D297353CC}">
                <c16:uniqueId val="{00000007-3FF8-4120-AAE7-5D25F0145083}"/>
              </c:ext>
            </c:extLst>
          </c:dPt>
          <c:dPt>
            <c:idx val="6"/>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8-3FF8-4120-AAE7-5D25F0145083}"/>
              </c:ext>
            </c:extLst>
          </c:dPt>
          <c:dPt>
            <c:idx val="7"/>
            <c:bubble3D val="0"/>
            <c:spPr>
              <a:solidFill>
                <a:schemeClr val="tx2">
                  <a:lumMod val="40000"/>
                  <a:lumOff val="60000"/>
                </a:schemeClr>
              </a:solidFill>
              <a:ln w="19050">
                <a:solidFill>
                  <a:schemeClr val="lt1"/>
                </a:solidFill>
              </a:ln>
              <a:effectLst/>
            </c:spPr>
            <c:extLst>
              <c:ext xmlns:c16="http://schemas.microsoft.com/office/drawing/2014/chart" uri="{C3380CC4-5D6E-409C-BE32-E72D297353CC}">
                <c16:uniqueId val="{00000009-3FF8-4120-AAE7-5D25F0145083}"/>
              </c:ext>
            </c:extLst>
          </c:dPt>
          <c:dPt>
            <c:idx val="8"/>
            <c:bubble3D val="0"/>
            <c:spPr>
              <a:solidFill>
                <a:schemeClr val="bg2">
                  <a:lumMod val="75000"/>
                </a:schemeClr>
              </a:solidFill>
              <a:ln w="19050">
                <a:solidFill>
                  <a:schemeClr val="lt1"/>
                </a:solidFill>
              </a:ln>
              <a:effectLst/>
            </c:spPr>
            <c:extLst>
              <c:ext xmlns:c16="http://schemas.microsoft.com/office/drawing/2014/chart" uri="{C3380CC4-5D6E-409C-BE32-E72D297353CC}">
                <c16:uniqueId val="{0000000A-3FF8-4120-AAE7-5D25F0145083}"/>
              </c:ext>
            </c:extLst>
          </c:dPt>
          <c:dPt>
            <c:idx val="9"/>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12-BA53-4B06-8C95-BD88D8764801}"/>
              </c:ext>
            </c:extLst>
          </c:dPt>
          <c:dLbls>
            <c:numFmt formatCode="&quot;$&quot;\ #,##0;\(#,##0\);&quot;&quot;" sourceLinked="0"/>
            <c:spPr>
              <a:noFill/>
              <a:ln>
                <a:noFill/>
              </a:ln>
              <a:effectLst/>
            </c:spPr>
            <c:txPr>
              <a:bodyPr rot="0" spcFirstLastPara="1" vertOverflow="overflow" horzOverflow="overflow" vert="horz" wrap="none" lIns="38100" tIns="19050" rIns="38100" bIns="19050" anchor="ctr" anchorCtr="1">
                <a:spAutoFit/>
              </a:bodyPr>
              <a:lstStyle/>
              <a:p>
                <a:pPr>
                  <a:defRPr sz="900" b="0" i="0" u="none" strike="noStrike" kern="1200" baseline="0">
                    <a:ln>
                      <a:noFill/>
                    </a:ln>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'SUMMARY (R)'!$B$41:$B$50</c:f>
              <c:strCache>
                <c:ptCount val="10"/>
                <c:pt idx="9">
                  <c:v>Total Estimated Expenses</c:v>
                </c:pt>
              </c:strCache>
            </c:strRef>
          </c:cat>
          <c:val>
            <c:numRef>
              <c:f>'SUMMARY (R)'!$L$41:$L$50</c:f>
              <c:numCache>
                <c:formatCode>"$"\ #,##0;\("$"\ #,##0\);""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FF8-4120-AAE7-5D25F0145083}"/>
            </c:ext>
          </c:extLst>
        </c:ser>
        <c:dLbls>
          <c:showLegendKey val="0"/>
          <c:showVal val="0"/>
          <c:showCatName val="0"/>
          <c:showSerName val="0"/>
          <c:showPercent val="0"/>
          <c:showBubbleSize val="0"/>
          <c:showLeaderLines val="1"/>
        </c:dLbls>
        <c:firstSliceAng val="268"/>
        <c:holeSize val="6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17715663453238E-2"/>
          <c:y val="0.11371079211661277"/>
          <c:w val="0.90037475784276966"/>
          <c:h val="0.76570044651134617"/>
        </c:manualLayout>
      </c:layout>
      <c:areaChart>
        <c:grouping val="standard"/>
        <c:varyColors val="0"/>
        <c:ser>
          <c:idx val="2"/>
          <c:order val="0"/>
          <c:tx>
            <c:strRef>
              <c:f>HIDE4!$B$6</c:f>
              <c:strCache>
                <c:ptCount val="1"/>
                <c:pt idx="0">
                  <c:v>Property Value</c:v>
                </c:pt>
              </c:strCache>
            </c:strRef>
          </c:tx>
          <c:spPr>
            <a:solidFill>
              <a:srgbClr val="EEF3F8"/>
            </a:solidFill>
            <a:ln w="6350">
              <a:solidFill>
                <a:schemeClr val="accent1">
                  <a:lumMod val="60000"/>
                  <a:lumOff val="40000"/>
                </a:schemeClr>
              </a:solidFill>
              <a:prstDash val="solid"/>
            </a:ln>
            <a:effectLst/>
          </c:spPr>
          <c:cat>
            <c:numRef>
              <c:f>HIDE4!$C$3:$AF$3</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HIDE4!$C$6:$AF$6</c:f>
              <c:numCache>
                <c:formatCode>#,##0;\(#,##0\);\-</c:formatCode>
                <c:ptCount val="30"/>
                <c:pt idx="0">
                  <c:v>347250.41095890407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C025-43F8-8FDC-177730AFB7F0}"/>
            </c:ext>
          </c:extLst>
        </c:ser>
        <c:ser>
          <c:idx val="1"/>
          <c:order val="1"/>
          <c:tx>
            <c:strRef>
              <c:f>HIDE4!$B$5</c:f>
              <c:strCache>
                <c:ptCount val="1"/>
                <c:pt idx="0">
                  <c:v>Equity</c:v>
                </c:pt>
              </c:strCache>
            </c:strRef>
          </c:tx>
          <c:spPr>
            <a:solidFill>
              <a:schemeClr val="accent6">
                <a:lumMod val="20000"/>
                <a:lumOff val="80000"/>
              </a:schemeClr>
            </a:solidFill>
            <a:ln w="6350">
              <a:solidFill>
                <a:schemeClr val="accent6">
                  <a:lumMod val="40000"/>
                  <a:lumOff val="60000"/>
                </a:schemeClr>
              </a:solidFill>
              <a:prstDash val="solid"/>
            </a:ln>
            <a:effectLst/>
          </c:spPr>
          <c:cat>
            <c:numRef>
              <c:f>HIDE4!$C$3:$AF$3</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HIDE4!$C$5:$AF$5</c:f>
              <c:numCache>
                <c:formatCode>#,##0;\(#,##0\);\-</c:formatCode>
                <c:ptCount val="30"/>
                <c:pt idx="0">
                  <c:v>347250.41095890407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C025-43F8-8FDC-177730AFB7F0}"/>
            </c:ext>
          </c:extLst>
        </c:ser>
        <c:ser>
          <c:idx val="0"/>
          <c:order val="2"/>
          <c:tx>
            <c:strRef>
              <c:f>HIDE4!$B$4</c:f>
              <c:strCache>
                <c:ptCount val="1"/>
                <c:pt idx="0">
                  <c:v>Loan Balance</c:v>
                </c:pt>
              </c:strCache>
            </c:strRef>
          </c:tx>
          <c:spPr>
            <a:solidFill>
              <a:schemeClr val="accent2">
                <a:lumMod val="20000"/>
                <a:lumOff val="80000"/>
                <a:alpha val="60000"/>
              </a:schemeClr>
            </a:solidFill>
            <a:ln w="6350">
              <a:solidFill>
                <a:schemeClr val="accent2">
                  <a:lumMod val="60000"/>
                  <a:lumOff val="40000"/>
                </a:schemeClr>
              </a:solidFill>
              <a:prstDash val="solid"/>
            </a:ln>
            <a:effectLst/>
          </c:spPr>
          <c:cat>
            <c:numRef>
              <c:f>HIDE4!$C$3:$AF$3</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HIDE4!$C$4:$AF$4</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C025-43F8-8FDC-177730AFB7F0}"/>
            </c:ext>
          </c:extLst>
        </c:ser>
        <c:dLbls>
          <c:showLegendKey val="0"/>
          <c:showVal val="0"/>
          <c:showCatName val="0"/>
          <c:showSerName val="0"/>
          <c:showPercent val="0"/>
          <c:showBubbleSize val="0"/>
        </c:dLbls>
        <c:axId val="2020778400"/>
        <c:axId val="2056864224"/>
      </c:areaChart>
      <c:catAx>
        <c:axId val="2020778400"/>
        <c:scaling>
          <c:orientation val="minMax"/>
        </c:scaling>
        <c:delete val="0"/>
        <c:axPos val="b"/>
        <c:numFmt formatCode="#,##0"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6864224"/>
        <c:crosses val="autoZero"/>
        <c:auto val="1"/>
        <c:lblAlgn val="ctr"/>
        <c:lblOffset val="100"/>
        <c:tickMarkSkip val="1"/>
        <c:noMultiLvlLbl val="0"/>
      </c:catAx>
      <c:valAx>
        <c:axId val="2056864224"/>
        <c:scaling>
          <c:orientation val="minMax"/>
        </c:scaling>
        <c:delete val="0"/>
        <c:axPos val="l"/>
        <c:majorGridlines>
          <c:spPr>
            <a:ln w="9525" cap="flat" cmpd="sng" algn="ctr">
              <a:solidFill>
                <a:schemeClr val="bg2">
                  <a:alpha val="85000"/>
                </a:schemeClr>
              </a:solidFill>
              <a:prstDash val="dash"/>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0778400"/>
        <c:crosses val="autoZero"/>
        <c:crossBetween val="midCat"/>
      </c:valAx>
      <c:spPr>
        <a:noFill/>
        <a:ln>
          <a:noFill/>
        </a:ln>
        <a:effectLst/>
      </c:spPr>
    </c:plotArea>
    <c:legend>
      <c:legendPos val="t"/>
      <c:layout>
        <c:manualLayout>
          <c:xMode val="edge"/>
          <c:yMode val="edge"/>
          <c:x val="0.3300939091419986"/>
          <c:y val="0"/>
          <c:w val="0.33981203838921908"/>
          <c:h val="8.771989425183666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11369509043927649"/>
          <c:w val="1"/>
          <c:h val="0.5329890740401636"/>
        </c:manualLayout>
      </c:layout>
      <c:barChart>
        <c:barDir val="col"/>
        <c:grouping val="clustered"/>
        <c:varyColors val="0"/>
        <c:ser>
          <c:idx val="0"/>
          <c:order val="0"/>
          <c:spPr>
            <a:solidFill>
              <a:schemeClr val="accent1">
                <a:lumMod val="20000"/>
                <a:lumOff val="80000"/>
              </a:schemeClr>
            </a:solidFill>
            <a:ln w="38100" cap="rnd">
              <a:solidFill>
                <a:schemeClr val="accent1">
                  <a:lumMod val="20000"/>
                  <a:lumOff val="8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HIDE2!$B$87:$B$90</c:f>
              <c:strCache>
                <c:ptCount val="4"/>
                <c:pt idx="0">
                  <c:v>Actual</c:v>
                </c:pt>
                <c:pt idx="1">
                  <c:v>Forecasted</c:v>
                </c:pt>
                <c:pt idx="2">
                  <c:v>Previous Month</c:v>
                </c:pt>
                <c:pt idx="3">
                  <c:v>YoY</c:v>
                </c:pt>
              </c:strCache>
            </c:strRef>
          </c:cat>
          <c:val>
            <c:numRef>
              <c:f>HIDE2!$C$87:$C$90</c:f>
              <c:numCache>
                <c:formatCode>"$"\ #,##0;\("$"\ #,##0\);\-</c:formatCode>
                <c:ptCount val="4"/>
                <c:pt idx="0">
                  <c:v>0</c:v>
                </c:pt>
                <c:pt idx="1">
                  <c:v>#N/A</c:v>
                </c:pt>
                <c:pt idx="2">
                  <c:v>0</c:v>
                </c:pt>
                <c:pt idx="3">
                  <c:v>0</c:v>
                </c:pt>
              </c:numCache>
            </c:numRef>
          </c:val>
          <c:extLst>
            <c:ext xmlns:c16="http://schemas.microsoft.com/office/drawing/2014/chart" uri="{C3380CC4-5D6E-409C-BE32-E72D297353CC}">
              <c16:uniqueId val="{00000000-B212-4B48-A1E9-F72A61318748}"/>
            </c:ext>
          </c:extLst>
        </c:ser>
        <c:dLbls>
          <c:showLegendKey val="0"/>
          <c:showVal val="0"/>
          <c:showCatName val="0"/>
          <c:showSerName val="0"/>
          <c:showPercent val="0"/>
          <c:showBubbleSize val="0"/>
        </c:dLbls>
        <c:gapWidth val="86"/>
        <c:overlap val="-27"/>
        <c:axId val="826795568"/>
        <c:axId val="1601479824"/>
      </c:barChart>
      <c:lineChart>
        <c:grouping val="standard"/>
        <c:varyColors val="0"/>
        <c:ser>
          <c:idx val="1"/>
          <c:order val="1"/>
          <c:tx>
            <c:strRef>
              <c:f>HIDE2!$B$87:$B$90</c:f>
              <c:strCache>
                <c:ptCount val="4"/>
                <c:pt idx="0">
                  <c:v>Actual</c:v>
                </c:pt>
                <c:pt idx="1">
                  <c:v>Forecasted</c:v>
                </c:pt>
                <c:pt idx="2">
                  <c:v>Previous Month</c:v>
                </c:pt>
                <c:pt idx="3">
                  <c:v>YoY</c:v>
                </c:pt>
              </c:strCache>
            </c:strRef>
          </c:tx>
          <c:spPr>
            <a:ln w="28575"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HIDE2!$B$87:$B$90</c:f>
              <c:strCache>
                <c:ptCount val="4"/>
                <c:pt idx="0">
                  <c:v>Actual</c:v>
                </c:pt>
                <c:pt idx="1">
                  <c:v>Forecasted</c:v>
                </c:pt>
                <c:pt idx="2">
                  <c:v>Previous Month</c:v>
                </c:pt>
                <c:pt idx="3">
                  <c:v>YoY</c:v>
                </c:pt>
              </c:strCache>
            </c:strRef>
          </c:cat>
          <c:val>
            <c:numRef>
              <c:f>HIDE2!$D$87:$D$90</c:f>
              <c:numCache>
                <c:formatCode>\+0%;\(0%\);\-</c:formatCode>
                <c:ptCount val="4"/>
                <c:pt idx="1">
                  <c:v>#N/A</c:v>
                </c:pt>
                <c:pt idx="2">
                  <c:v>0</c:v>
                </c:pt>
                <c:pt idx="3">
                  <c:v>0</c:v>
                </c:pt>
              </c:numCache>
            </c:numRef>
          </c:val>
          <c:smooth val="0"/>
          <c:extLst>
            <c:ext xmlns:c16="http://schemas.microsoft.com/office/drawing/2014/chart" uri="{C3380CC4-5D6E-409C-BE32-E72D297353CC}">
              <c16:uniqueId val="{00000005-B212-4B48-A1E9-F72A61318748}"/>
            </c:ext>
          </c:extLst>
        </c:ser>
        <c:dLbls>
          <c:showLegendKey val="0"/>
          <c:showVal val="0"/>
          <c:showCatName val="0"/>
          <c:showSerName val="0"/>
          <c:showPercent val="0"/>
          <c:showBubbleSize val="0"/>
        </c:dLbls>
        <c:marker val="1"/>
        <c:smooth val="0"/>
        <c:axId val="1866860592"/>
        <c:axId val="1713301151"/>
      </c:lineChart>
      <c:catAx>
        <c:axId val="8267955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601479824"/>
        <c:crosses val="autoZero"/>
        <c:auto val="1"/>
        <c:lblAlgn val="ctr"/>
        <c:lblOffset val="100"/>
        <c:noMultiLvlLbl val="0"/>
      </c:catAx>
      <c:valAx>
        <c:axId val="1601479824"/>
        <c:scaling>
          <c:orientation val="minMax"/>
        </c:scaling>
        <c:delete val="1"/>
        <c:axPos val="l"/>
        <c:numFmt formatCode="&quot;$&quot;\ #,##0;\(&quot;$&quot;\ #,##0\);\-" sourceLinked="1"/>
        <c:majorTickMark val="none"/>
        <c:minorTickMark val="none"/>
        <c:tickLblPos val="nextTo"/>
        <c:crossAx val="826795568"/>
        <c:crosses val="autoZero"/>
        <c:crossBetween val="between"/>
      </c:valAx>
      <c:valAx>
        <c:axId val="1713301151"/>
        <c:scaling>
          <c:orientation val="minMax"/>
        </c:scaling>
        <c:delete val="1"/>
        <c:axPos val="r"/>
        <c:numFmt formatCode="General" sourceLinked="1"/>
        <c:majorTickMark val="out"/>
        <c:minorTickMark val="none"/>
        <c:tickLblPos val="nextTo"/>
        <c:crossAx val="1866860592"/>
        <c:crosses val="max"/>
        <c:crossBetween val="between"/>
      </c:valAx>
      <c:catAx>
        <c:axId val="1866860592"/>
        <c:scaling>
          <c:orientation val="minMax"/>
        </c:scaling>
        <c:delete val="1"/>
        <c:axPos val="b"/>
        <c:numFmt formatCode="General" sourceLinked="1"/>
        <c:majorTickMark val="out"/>
        <c:minorTickMark val="none"/>
        <c:tickLblPos val="nextTo"/>
        <c:crossAx val="1713301151"/>
        <c:crosses val="autoZero"/>
        <c:auto val="1"/>
        <c:lblAlgn val="ctr"/>
        <c:lblOffset val="100"/>
        <c:noMultiLvlLbl val="0"/>
      </c:cat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AD$16" lockText="1" noThreeD="1"/>
</file>

<file path=xl/ctrlProps/ctrlProp2.xml><?xml version="1.0" encoding="utf-8"?>
<formControlPr xmlns="http://schemas.microsoft.com/office/spreadsheetml/2009/9/main" objectType="CheckBox" fmlaLink="$AY$14"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3" Type="http://schemas.openxmlformats.org/officeDocument/2006/relationships/image" Target="../media/image19.png"/><Relationship Id="rId18" Type="http://schemas.openxmlformats.org/officeDocument/2006/relationships/hyperlink" Target="#REPAIRS!A1"/><Relationship Id="rId26" Type="http://schemas.openxmlformats.org/officeDocument/2006/relationships/hyperlink" Target="#SCENARIOS!A1"/><Relationship Id="rId39" Type="http://schemas.openxmlformats.org/officeDocument/2006/relationships/hyperlink" Target="#'$ Game Apps'!A1"/><Relationship Id="rId21" Type="http://schemas.openxmlformats.org/officeDocument/2006/relationships/image" Target="../media/image23.png"/><Relationship Id="rId34" Type="http://schemas.openxmlformats.org/officeDocument/2006/relationships/hyperlink" Target="#Liabilities!A1"/><Relationship Id="rId42" Type="http://schemas.openxmlformats.org/officeDocument/2006/relationships/image" Target="../media/image33.jpeg"/><Relationship Id="rId7" Type="http://schemas.openxmlformats.org/officeDocument/2006/relationships/hyperlink" Target="#MORTGAGE!A1"/><Relationship Id="rId2" Type="http://schemas.openxmlformats.org/officeDocument/2006/relationships/image" Target="../media/image14.png"/><Relationship Id="rId16" Type="http://schemas.openxmlformats.org/officeDocument/2006/relationships/hyperlink" Target="#'VERSUS (R)'!A1"/><Relationship Id="rId29" Type="http://schemas.openxmlformats.org/officeDocument/2006/relationships/image" Target="../media/image27.png"/><Relationship Id="rId1" Type="http://schemas.openxmlformats.org/officeDocument/2006/relationships/hyperlink" Target="https://winswithmike.com/airbnb" TargetMode="External"/><Relationship Id="rId6" Type="http://schemas.openxmlformats.org/officeDocument/2006/relationships/image" Target="../media/image16.emf"/><Relationship Id="rId11" Type="http://schemas.openxmlformats.org/officeDocument/2006/relationships/hyperlink" Target="#F_Client"/><Relationship Id="rId24" Type="http://schemas.openxmlformats.org/officeDocument/2006/relationships/hyperlink" Target="#'MAX PRICE'!A1"/><Relationship Id="rId32" Type="http://schemas.openxmlformats.org/officeDocument/2006/relationships/hyperlink" Target="#Assets!A1"/><Relationship Id="rId37" Type="http://schemas.openxmlformats.org/officeDocument/2006/relationships/image" Target="../media/image31.png"/><Relationship Id="rId40" Type="http://schemas.openxmlformats.org/officeDocument/2006/relationships/image" Target="../media/image32.png"/><Relationship Id="rId45" Type="http://schemas.openxmlformats.org/officeDocument/2006/relationships/image" Target="../media/image35.png"/><Relationship Id="rId5" Type="http://schemas.openxmlformats.org/officeDocument/2006/relationships/hyperlink" Target="#'SUMMARY (R)'!A1"/><Relationship Id="rId15" Type="http://schemas.openxmlformats.org/officeDocument/2006/relationships/image" Target="../media/image20.png"/><Relationship Id="rId23" Type="http://schemas.openxmlformats.org/officeDocument/2006/relationships/image" Target="../media/image24.png"/><Relationship Id="rId28" Type="http://schemas.openxmlformats.org/officeDocument/2006/relationships/hyperlink" Target="#'Market Research'!A1"/><Relationship Id="rId36" Type="http://schemas.openxmlformats.org/officeDocument/2006/relationships/hyperlink" Target="#'Categories'!A1"/><Relationship Id="rId10" Type="http://schemas.openxmlformats.org/officeDocument/2006/relationships/image" Target="../media/image18.png"/><Relationship Id="rId19" Type="http://schemas.openxmlformats.org/officeDocument/2006/relationships/image" Target="../media/image22.png"/><Relationship Id="rId31" Type="http://schemas.openxmlformats.org/officeDocument/2006/relationships/image" Target="../media/image28.png"/><Relationship Id="rId44" Type="http://schemas.openxmlformats.org/officeDocument/2006/relationships/image" Target="../media/image34.jpeg"/><Relationship Id="rId4" Type="http://schemas.openxmlformats.org/officeDocument/2006/relationships/image" Target="../media/image15.emf"/><Relationship Id="rId9" Type="http://schemas.openxmlformats.org/officeDocument/2006/relationships/hyperlink" Target="#DEBT!A1"/><Relationship Id="rId14" Type="http://schemas.openxmlformats.org/officeDocument/2006/relationships/hyperlink" Target="#'ACTUALS (Y)'!A1"/><Relationship Id="rId22" Type="http://schemas.openxmlformats.org/officeDocument/2006/relationships/hyperlink" Target="#PEERS!A1"/><Relationship Id="rId27" Type="http://schemas.openxmlformats.org/officeDocument/2006/relationships/image" Target="../media/image26.png"/><Relationship Id="rId30" Type="http://schemas.openxmlformats.org/officeDocument/2006/relationships/hyperlink" Target="#'Balance Sheet Summary'!A1"/><Relationship Id="rId35" Type="http://schemas.openxmlformats.org/officeDocument/2006/relationships/image" Target="../media/image30.png"/><Relationship Id="rId43" Type="http://schemas.openxmlformats.org/officeDocument/2006/relationships/hyperlink" Target="#TravelSandbox"/><Relationship Id="rId8" Type="http://schemas.openxmlformats.org/officeDocument/2006/relationships/image" Target="../media/image17.png"/><Relationship Id="rId3" Type="http://schemas.openxmlformats.org/officeDocument/2006/relationships/hyperlink" Target="#DASHBOARD!A1"/><Relationship Id="rId12" Type="http://schemas.openxmlformats.org/officeDocument/2006/relationships/hyperlink" Target="#'ACTUALS (M)'!A1"/><Relationship Id="rId17" Type="http://schemas.openxmlformats.org/officeDocument/2006/relationships/image" Target="../media/image21.png"/><Relationship Id="rId25" Type="http://schemas.openxmlformats.org/officeDocument/2006/relationships/image" Target="../media/image25.png"/><Relationship Id="rId33" Type="http://schemas.openxmlformats.org/officeDocument/2006/relationships/image" Target="../media/image29.png"/><Relationship Id="rId38" Type="http://schemas.openxmlformats.org/officeDocument/2006/relationships/hyperlink" Target="#GAME_APPS_TAB"/><Relationship Id="rId20" Type="http://schemas.openxmlformats.org/officeDocument/2006/relationships/hyperlink" Target="#FURNITURE!A1"/><Relationship Id="rId41" Type="http://schemas.openxmlformats.org/officeDocument/2006/relationships/hyperlink" Target="#BOOK_KEEPING_LEDGER"/></Relationships>
</file>

<file path=xl/drawings/_rels/drawing11.xml.rels><?xml version="1.0" encoding="UTF-8" standalone="yes"?>
<Relationships xmlns="http://schemas.openxmlformats.org/package/2006/relationships"><Relationship Id="rId13" Type="http://schemas.openxmlformats.org/officeDocument/2006/relationships/hyperlink" Target="#F_Client"/><Relationship Id="rId18" Type="http://schemas.openxmlformats.org/officeDocument/2006/relationships/hyperlink" Target="#'VERSUS (R)'!A1"/><Relationship Id="rId26" Type="http://schemas.openxmlformats.org/officeDocument/2006/relationships/hyperlink" Target="#'MAX PRICE'!A1"/><Relationship Id="rId39" Type="http://schemas.openxmlformats.org/officeDocument/2006/relationships/image" Target="../media/image31.png"/><Relationship Id="rId21" Type="http://schemas.openxmlformats.org/officeDocument/2006/relationships/image" Target="../media/image22.png"/><Relationship Id="rId34" Type="http://schemas.openxmlformats.org/officeDocument/2006/relationships/hyperlink" Target="#Assets!A1"/><Relationship Id="rId42" Type="http://schemas.openxmlformats.org/officeDocument/2006/relationships/image" Target="../media/image32.png"/><Relationship Id="rId47" Type="http://schemas.openxmlformats.org/officeDocument/2006/relationships/image" Target="../media/image35.png"/><Relationship Id="rId7" Type="http://schemas.openxmlformats.org/officeDocument/2006/relationships/hyperlink" Target="#'SUMMARY (R)'!A1"/><Relationship Id="rId2" Type="http://schemas.openxmlformats.org/officeDocument/2006/relationships/chart" Target="../charts/chart6.xml"/><Relationship Id="rId16" Type="http://schemas.openxmlformats.org/officeDocument/2006/relationships/hyperlink" Target="#'ACTUALS (Y)'!A1"/><Relationship Id="rId29" Type="http://schemas.openxmlformats.org/officeDocument/2006/relationships/image" Target="../media/image26.png"/><Relationship Id="rId1" Type="http://schemas.openxmlformats.org/officeDocument/2006/relationships/chart" Target="../charts/chart5.xml"/><Relationship Id="rId6" Type="http://schemas.openxmlformats.org/officeDocument/2006/relationships/image" Target="../media/image15.emf"/><Relationship Id="rId11" Type="http://schemas.openxmlformats.org/officeDocument/2006/relationships/hyperlink" Target="#DEBT!A1"/><Relationship Id="rId24" Type="http://schemas.openxmlformats.org/officeDocument/2006/relationships/hyperlink" Target="#PEERS!A1"/><Relationship Id="rId32" Type="http://schemas.openxmlformats.org/officeDocument/2006/relationships/hyperlink" Target="#'Balance Sheet Summary'!A1"/><Relationship Id="rId37" Type="http://schemas.openxmlformats.org/officeDocument/2006/relationships/image" Target="../media/image30.png"/><Relationship Id="rId40" Type="http://schemas.openxmlformats.org/officeDocument/2006/relationships/hyperlink" Target="#GAME_APPS_TAB"/><Relationship Id="rId45" Type="http://schemas.openxmlformats.org/officeDocument/2006/relationships/hyperlink" Target="#TravelSandbox"/><Relationship Id="rId5" Type="http://schemas.openxmlformats.org/officeDocument/2006/relationships/hyperlink" Target="#DASHBOARD!A1"/><Relationship Id="rId15" Type="http://schemas.openxmlformats.org/officeDocument/2006/relationships/image" Target="../media/image19.png"/><Relationship Id="rId23" Type="http://schemas.openxmlformats.org/officeDocument/2006/relationships/image" Target="../media/image23.png"/><Relationship Id="rId28" Type="http://schemas.openxmlformats.org/officeDocument/2006/relationships/hyperlink" Target="#SCENARIOS!A1"/><Relationship Id="rId36" Type="http://schemas.openxmlformats.org/officeDocument/2006/relationships/hyperlink" Target="#Liabilities!A1"/><Relationship Id="rId10" Type="http://schemas.openxmlformats.org/officeDocument/2006/relationships/image" Target="../media/image17.png"/><Relationship Id="rId19" Type="http://schemas.openxmlformats.org/officeDocument/2006/relationships/image" Target="../media/image21.png"/><Relationship Id="rId31" Type="http://schemas.openxmlformats.org/officeDocument/2006/relationships/image" Target="../media/image27.png"/><Relationship Id="rId44" Type="http://schemas.openxmlformats.org/officeDocument/2006/relationships/image" Target="../media/image33.jpeg"/><Relationship Id="rId4" Type="http://schemas.openxmlformats.org/officeDocument/2006/relationships/image" Target="../media/image14.png"/><Relationship Id="rId9" Type="http://schemas.openxmlformats.org/officeDocument/2006/relationships/hyperlink" Target="#MORTGAGE!A1"/><Relationship Id="rId14" Type="http://schemas.openxmlformats.org/officeDocument/2006/relationships/hyperlink" Target="#'ACTUALS (M)'!A1"/><Relationship Id="rId22" Type="http://schemas.openxmlformats.org/officeDocument/2006/relationships/hyperlink" Target="#FURNITURE!A1"/><Relationship Id="rId27" Type="http://schemas.openxmlformats.org/officeDocument/2006/relationships/image" Target="../media/image25.png"/><Relationship Id="rId30" Type="http://schemas.openxmlformats.org/officeDocument/2006/relationships/hyperlink" Target="#'Market Research'!A1"/><Relationship Id="rId35" Type="http://schemas.openxmlformats.org/officeDocument/2006/relationships/image" Target="../media/image29.png"/><Relationship Id="rId43" Type="http://schemas.openxmlformats.org/officeDocument/2006/relationships/hyperlink" Target="#BOOK_KEEPING_LEDGER"/><Relationship Id="rId8" Type="http://schemas.openxmlformats.org/officeDocument/2006/relationships/image" Target="../media/image16.emf"/><Relationship Id="rId3" Type="http://schemas.openxmlformats.org/officeDocument/2006/relationships/hyperlink" Target="https://winswithmike.com/airbnb" TargetMode="External"/><Relationship Id="rId12" Type="http://schemas.openxmlformats.org/officeDocument/2006/relationships/image" Target="../media/image18.png"/><Relationship Id="rId17" Type="http://schemas.openxmlformats.org/officeDocument/2006/relationships/image" Target="../media/image20.png"/><Relationship Id="rId25" Type="http://schemas.openxmlformats.org/officeDocument/2006/relationships/image" Target="../media/image24.png"/><Relationship Id="rId33" Type="http://schemas.openxmlformats.org/officeDocument/2006/relationships/image" Target="../media/image28.png"/><Relationship Id="rId38" Type="http://schemas.openxmlformats.org/officeDocument/2006/relationships/hyperlink" Target="#'Categories'!A1"/><Relationship Id="rId46" Type="http://schemas.openxmlformats.org/officeDocument/2006/relationships/image" Target="../media/image34.jpeg"/><Relationship Id="rId20" Type="http://schemas.openxmlformats.org/officeDocument/2006/relationships/hyperlink" Target="#REPAIRS!A1"/><Relationship Id="rId41" Type="http://schemas.openxmlformats.org/officeDocument/2006/relationships/hyperlink" Target="#'$ Game Apps'!A1"/></Relationships>
</file>

<file path=xl/drawings/_rels/drawing14.xml.rels><?xml version="1.0" encoding="UTF-8" standalone="yes"?>
<Relationships xmlns="http://schemas.openxmlformats.org/package/2006/relationships"><Relationship Id="rId13" Type="http://schemas.openxmlformats.org/officeDocument/2006/relationships/image" Target="../media/image19.png"/><Relationship Id="rId18" Type="http://schemas.openxmlformats.org/officeDocument/2006/relationships/hyperlink" Target="#REPAIRS!A1"/><Relationship Id="rId26" Type="http://schemas.openxmlformats.org/officeDocument/2006/relationships/hyperlink" Target="#SCENARIOS!A1"/><Relationship Id="rId39" Type="http://schemas.openxmlformats.org/officeDocument/2006/relationships/hyperlink" Target="#'$ Game Apps'!A1"/><Relationship Id="rId21" Type="http://schemas.openxmlformats.org/officeDocument/2006/relationships/image" Target="../media/image23.png"/><Relationship Id="rId34" Type="http://schemas.openxmlformats.org/officeDocument/2006/relationships/hyperlink" Target="#Liabilities!A1"/><Relationship Id="rId42" Type="http://schemas.openxmlformats.org/officeDocument/2006/relationships/image" Target="../media/image33.jpeg"/><Relationship Id="rId7" Type="http://schemas.openxmlformats.org/officeDocument/2006/relationships/hyperlink" Target="#MORTGAGE!A1"/><Relationship Id="rId2" Type="http://schemas.openxmlformats.org/officeDocument/2006/relationships/image" Target="../media/image14.png"/><Relationship Id="rId16" Type="http://schemas.openxmlformats.org/officeDocument/2006/relationships/hyperlink" Target="#'VERSUS (R)'!A1"/><Relationship Id="rId29" Type="http://schemas.openxmlformats.org/officeDocument/2006/relationships/image" Target="../media/image27.png"/><Relationship Id="rId1" Type="http://schemas.openxmlformats.org/officeDocument/2006/relationships/hyperlink" Target="https://winswithmike.com/airbnb" TargetMode="External"/><Relationship Id="rId6" Type="http://schemas.openxmlformats.org/officeDocument/2006/relationships/image" Target="../media/image16.emf"/><Relationship Id="rId11" Type="http://schemas.openxmlformats.org/officeDocument/2006/relationships/hyperlink" Target="#F_Client"/><Relationship Id="rId24" Type="http://schemas.openxmlformats.org/officeDocument/2006/relationships/hyperlink" Target="#'MAX PRICE'!A1"/><Relationship Id="rId32" Type="http://schemas.openxmlformats.org/officeDocument/2006/relationships/hyperlink" Target="#Assets!A1"/><Relationship Id="rId37" Type="http://schemas.openxmlformats.org/officeDocument/2006/relationships/image" Target="../media/image31.png"/><Relationship Id="rId40" Type="http://schemas.openxmlformats.org/officeDocument/2006/relationships/image" Target="../media/image32.png"/><Relationship Id="rId45" Type="http://schemas.openxmlformats.org/officeDocument/2006/relationships/image" Target="../media/image35.png"/><Relationship Id="rId5" Type="http://schemas.openxmlformats.org/officeDocument/2006/relationships/hyperlink" Target="#'SUMMARY (R)'!A1"/><Relationship Id="rId15" Type="http://schemas.openxmlformats.org/officeDocument/2006/relationships/image" Target="../media/image20.png"/><Relationship Id="rId23" Type="http://schemas.openxmlformats.org/officeDocument/2006/relationships/image" Target="../media/image24.png"/><Relationship Id="rId28" Type="http://schemas.openxmlformats.org/officeDocument/2006/relationships/hyperlink" Target="#'Market Research'!A1"/><Relationship Id="rId36" Type="http://schemas.openxmlformats.org/officeDocument/2006/relationships/hyperlink" Target="#'Categories'!A1"/><Relationship Id="rId10" Type="http://schemas.openxmlformats.org/officeDocument/2006/relationships/image" Target="../media/image18.png"/><Relationship Id="rId19" Type="http://schemas.openxmlformats.org/officeDocument/2006/relationships/image" Target="../media/image22.png"/><Relationship Id="rId31" Type="http://schemas.openxmlformats.org/officeDocument/2006/relationships/image" Target="../media/image28.png"/><Relationship Id="rId44" Type="http://schemas.openxmlformats.org/officeDocument/2006/relationships/image" Target="../media/image34.jpeg"/><Relationship Id="rId4" Type="http://schemas.openxmlformats.org/officeDocument/2006/relationships/image" Target="../media/image15.emf"/><Relationship Id="rId9" Type="http://schemas.openxmlformats.org/officeDocument/2006/relationships/hyperlink" Target="#DEBT!A1"/><Relationship Id="rId14" Type="http://schemas.openxmlformats.org/officeDocument/2006/relationships/hyperlink" Target="#'ACTUALS (Y)'!A1"/><Relationship Id="rId22" Type="http://schemas.openxmlformats.org/officeDocument/2006/relationships/hyperlink" Target="#PEERS!A1"/><Relationship Id="rId27" Type="http://schemas.openxmlformats.org/officeDocument/2006/relationships/image" Target="../media/image26.png"/><Relationship Id="rId30" Type="http://schemas.openxmlformats.org/officeDocument/2006/relationships/hyperlink" Target="#'Balance Sheet Summary'!A1"/><Relationship Id="rId35" Type="http://schemas.openxmlformats.org/officeDocument/2006/relationships/image" Target="../media/image30.png"/><Relationship Id="rId43" Type="http://schemas.openxmlformats.org/officeDocument/2006/relationships/hyperlink" Target="#TravelSandbox"/><Relationship Id="rId8" Type="http://schemas.openxmlformats.org/officeDocument/2006/relationships/image" Target="../media/image17.png"/><Relationship Id="rId3" Type="http://schemas.openxmlformats.org/officeDocument/2006/relationships/hyperlink" Target="#DASHBOARD!A1"/><Relationship Id="rId12" Type="http://schemas.openxmlformats.org/officeDocument/2006/relationships/hyperlink" Target="#'ACTUALS (M)'!A1"/><Relationship Id="rId17" Type="http://schemas.openxmlformats.org/officeDocument/2006/relationships/image" Target="../media/image21.png"/><Relationship Id="rId25" Type="http://schemas.openxmlformats.org/officeDocument/2006/relationships/image" Target="../media/image25.png"/><Relationship Id="rId33" Type="http://schemas.openxmlformats.org/officeDocument/2006/relationships/image" Target="../media/image29.png"/><Relationship Id="rId38" Type="http://schemas.openxmlformats.org/officeDocument/2006/relationships/hyperlink" Target="#GAME_APPS_TAB"/><Relationship Id="rId20" Type="http://schemas.openxmlformats.org/officeDocument/2006/relationships/hyperlink" Target="#FURNITURE!A1"/><Relationship Id="rId41" Type="http://schemas.openxmlformats.org/officeDocument/2006/relationships/hyperlink" Target="#BOOK_KEEPING_LEDGER"/></Relationships>
</file>

<file path=xl/drawings/_rels/drawing15.xml.rels><?xml version="1.0" encoding="UTF-8" standalone="yes"?>
<Relationships xmlns="http://schemas.openxmlformats.org/package/2006/relationships"><Relationship Id="rId13" Type="http://schemas.openxmlformats.org/officeDocument/2006/relationships/image" Target="../media/image19.png"/><Relationship Id="rId18" Type="http://schemas.openxmlformats.org/officeDocument/2006/relationships/hyperlink" Target="#REPAIRS!A1"/><Relationship Id="rId26" Type="http://schemas.openxmlformats.org/officeDocument/2006/relationships/hyperlink" Target="#SCENARIOS!A1"/><Relationship Id="rId39" Type="http://schemas.openxmlformats.org/officeDocument/2006/relationships/hyperlink" Target="#'$ Game Apps'!A1"/><Relationship Id="rId21" Type="http://schemas.openxmlformats.org/officeDocument/2006/relationships/image" Target="../media/image23.png"/><Relationship Id="rId34" Type="http://schemas.openxmlformats.org/officeDocument/2006/relationships/hyperlink" Target="#Liabilities!A1"/><Relationship Id="rId42" Type="http://schemas.openxmlformats.org/officeDocument/2006/relationships/image" Target="../media/image33.jpeg"/><Relationship Id="rId7" Type="http://schemas.openxmlformats.org/officeDocument/2006/relationships/hyperlink" Target="#MORTGAGE!A1"/><Relationship Id="rId2" Type="http://schemas.openxmlformats.org/officeDocument/2006/relationships/image" Target="../media/image14.png"/><Relationship Id="rId16" Type="http://schemas.openxmlformats.org/officeDocument/2006/relationships/hyperlink" Target="#'VERSUS (R)'!A1"/><Relationship Id="rId29" Type="http://schemas.openxmlformats.org/officeDocument/2006/relationships/image" Target="../media/image27.png"/><Relationship Id="rId1" Type="http://schemas.openxmlformats.org/officeDocument/2006/relationships/hyperlink" Target="https://winswithmike.com/airbnb" TargetMode="External"/><Relationship Id="rId6" Type="http://schemas.openxmlformats.org/officeDocument/2006/relationships/image" Target="../media/image16.emf"/><Relationship Id="rId11" Type="http://schemas.openxmlformats.org/officeDocument/2006/relationships/hyperlink" Target="#F_Client"/><Relationship Id="rId24" Type="http://schemas.openxmlformats.org/officeDocument/2006/relationships/hyperlink" Target="#'MAX PRICE'!A1"/><Relationship Id="rId32" Type="http://schemas.openxmlformats.org/officeDocument/2006/relationships/hyperlink" Target="#Assets!A1"/><Relationship Id="rId37" Type="http://schemas.openxmlformats.org/officeDocument/2006/relationships/image" Target="../media/image31.png"/><Relationship Id="rId40" Type="http://schemas.openxmlformats.org/officeDocument/2006/relationships/image" Target="../media/image32.png"/><Relationship Id="rId45" Type="http://schemas.openxmlformats.org/officeDocument/2006/relationships/image" Target="../media/image35.png"/><Relationship Id="rId5" Type="http://schemas.openxmlformats.org/officeDocument/2006/relationships/hyperlink" Target="#'SUMMARY (R)'!A1"/><Relationship Id="rId15" Type="http://schemas.openxmlformats.org/officeDocument/2006/relationships/image" Target="../media/image20.png"/><Relationship Id="rId23" Type="http://schemas.openxmlformats.org/officeDocument/2006/relationships/image" Target="../media/image24.png"/><Relationship Id="rId28" Type="http://schemas.openxmlformats.org/officeDocument/2006/relationships/hyperlink" Target="#'Market Research'!A1"/><Relationship Id="rId36" Type="http://schemas.openxmlformats.org/officeDocument/2006/relationships/hyperlink" Target="#'Categories'!A1"/><Relationship Id="rId10" Type="http://schemas.openxmlformats.org/officeDocument/2006/relationships/image" Target="../media/image18.png"/><Relationship Id="rId19" Type="http://schemas.openxmlformats.org/officeDocument/2006/relationships/image" Target="../media/image22.png"/><Relationship Id="rId31" Type="http://schemas.openxmlformats.org/officeDocument/2006/relationships/image" Target="../media/image28.png"/><Relationship Id="rId44" Type="http://schemas.openxmlformats.org/officeDocument/2006/relationships/image" Target="../media/image34.jpeg"/><Relationship Id="rId4" Type="http://schemas.openxmlformats.org/officeDocument/2006/relationships/image" Target="../media/image15.emf"/><Relationship Id="rId9" Type="http://schemas.openxmlformats.org/officeDocument/2006/relationships/hyperlink" Target="#DEBT!A1"/><Relationship Id="rId14" Type="http://schemas.openxmlformats.org/officeDocument/2006/relationships/hyperlink" Target="#'ACTUALS (Y)'!A1"/><Relationship Id="rId22" Type="http://schemas.openxmlformats.org/officeDocument/2006/relationships/hyperlink" Target="#PEERS!A1"/><Relationship Id="rId27" Type="http://schemas.openxmlformats.org/officeDocument/2006/relationships/image" Target="../media/image26.png"/><Relationship Id="rId30" Type="http://schemas.openxmlformats.org/officeDocument/2006/relationships/hyperlink" Target="#'Balance Sheet Summary'!A1"/><Relationship Id="rId35" Type="http://schemas.openxmlformats.org/officeDocument/2006/relationships/image" Target="../media/image30.png"/><Relationship Id="rId43" Type="http://schemas.openxmlformats.org/officeDocument/2006/relationships/hyperlink" Target="#TravelSandbox"/><Relationship Id="rId8" Type="http://schemas.openxmlformats.org/officeDocument/2006/relationships/image" Target="../media/image17.png"/><Relationship Id="rId3" Type="http://schemas.openxmlformats.org/officeDocument/2006/relationships/hyperlink" Target="#DASHBOARD!A1"/><Relationship Id="rId12" Type="http://schemas.openxmlformats.org/officeDocument/2006/relationships/hyperlink" Target="#'ACTUALS (M)'!A1"/><Relationship Id="rId17" Type="http://schemas.openxmlformats.org/officeDocument/2006/relationships/image" Target="../media/image21.png"/><Relationship Id="rId25" Type="http://schemas.openxmlformats.org/officeDocument/2006/relationships/image" Target="../media/image25.png"/><Relationship Id="rId33" Type="http://schemas.openxmlformats.org/officeDocument/2006/relationships/image" Target="../media/image29.png"/><Relationship Id="rId38" Type="http://schemas.openxmlformats.org/officeDocument/2006/relationships/hyperlink" Target="#GAME_APPS_TAB"/><Relationship Id="rId20" Type="http://schemas.openxmlformats.org/officeDocument/2006/relationships/hyperlink" Target="#FURNITURE!A1"/><Relationship Id="rId41" Type="http://schemas.openxmlformats.org/officeDocument/2006/relationships/hyperlink" Target="#BOOK_KEEPING_LEDGER"/></Relationships>
</file>

<file path=xl/drawings/_rels/drawing16.xml.rels><?xml version="1.0" encoding="UTF-8" standalone="yes"?>
<Relationships xmlns="http://schemas.openxmlformats.org/package/2006/relationships"><Relationship Id="rId13" Type="http://schemas.openxmlformats.org/officeDocument/2006/relationships/hyperlink" Target="#'ACTUALS (M)'!A1"/><Relationship Id="rId18" Type="http://schemas.openxmlformats.org/officeDocument/2006/relationships/image" Target="../media/image21.png"/><Relationship Id="rId26" Type="http://schemas.openxmlformats.org/officeDocument/2006/relationships/image" Target="../media/image25.png"/><Relationship Id="rId39" Type="http://schemas.openxmlformats.org/officeDocument/2006/relationships/hyperlink" Target="#GAME_APPS_TAB"/><Relationship Id="rId21" Type="http://schemas.openxmlformats.org/officeDocument/2006/relationships/hyperlink" Target="#FURNITURE!A1"/><Relationship Id="rId34" Type="http://schemas.openxmlformats.org/officeDocument/2006/relationships/image" Target="../media/image29.png"/><Relationship Id="rId42" Type="http://schemas.openxmlformats.org/officeDocument/2006/relationships/hyperlink" Target="#BOOK_KEEPING_LEDGER"/><Relationship Id="rId7" Type="http://schemas.openxmlformats.org/officeDocument/2006/relationships/image" Target="../media/image16.emf"/><Relationship Id="rId2" Type="http://schemas.openxmlformats.org/officeDocument/2006/relationships/hyperlink" Target="https://winswithmike.com/airbnb" TargetMode="External"/><Relationship Id="rId16" Type="http://schemas.openxmlformats.org/officeDocument/2006/relationships/image" Target="../media/image20.png"/><Relationship Id="rId29" Type="http://schemas.openxmlformats.org/officeDocument/2006/relationships/hyperlink" Target="#'Market Research'!A1"/><Relationship Id="rId1" Type="http://schemas.openxmlformats.org/officeDocument/2006/relationships/image" Target="../media/image36.png"/><Relationship Id="rId6" Type="http://schemas.openxmlformats.org/officeDocument/2006/relationships/hyperlink" Target="#'SUMMARY (R)'!A1"/><Relationship Id="rId11" Type="http://schemas.openxmlformats.org/officeDocument/2006/relationships/image" Target="../media/image18.png"/><Relationship Id="rId24" Type="http://schemas.openxmlformats.org/officeDocument/2006/relationships/image" Target="../media/image24.png"/><Relationship Id="rId32" Type="http://schemas.openxmlformats.org/officeDocument/2006/relationships/image" Target="../media/image28.png"/><Relationship Id="rId37" Type="http://schemas.openxmlformats.org/officeDocument/2006/relationships/hyperlink" Target="#'Categories'!A1"/><Relationship Id="rId40" Type="http://schemas.openxmlformats.org/officeDocument/2006/relationships/hyperlink" Target="#'$ Game Apps'!A1"/><Relationship Id="rId45" Type="http://schemas.openxmlformats.org/officeDocument/2006/relationships/image" Target="../media/image34.jpeg"/><Relationship Id="rId5" Type="http://schemas.openxmlformats.org/officeDocument/2006/relationships/image" Target="../media/image15.emf"/><Relationship Id="rId15" Type="http://schemas.openxmlformats.org/officeDocument/2006/relationships/hyperlink" Target="#'ACTUALS (Y)'!A1"/><Relationship Id="rId23" Type="http://schemas.openxmlformats.org/officeDocument/2006/relationships/hyperlink" Target="#PEERS!A1"/><Relationship Id="rId28" Type="http://schemas.openxmlformats.org/officeDocument/2006/relationships/image" Target="../media/image26.png"/><Relationship Id="rId36" Type="http://schemas.openxmlformats.org/officeDocument/2006/relationships/image" Target="../media/image30.png"/><Relationship Id="rId10" Type="http://schemas.openxmlformats.org/officeDocument/2006/relationships/hyperlink" Target="#DEBT!A1"/><Relationship Id="rId19" Type="http://schemas.openxmlformats.org/officeDocument/2006/relationships/hyperlink" Target="#REPAIRS!A1"/><Relationship Id="rId31" Type="http://schemas.openxmlformats.org/officeDocument/2006/relationships/hyperlink" Target="#'Balance Sheet Summary'!A1"/><Relationship Id="rId44" Type="http://schemas.openxmlformats.org/officeDocument/2006/relationships/hyperlink" Target="#TravelSandbox"/><Relationship Id="rId4" Type="http://schemas.openxmlformats.org/officeDocument/2006/relationships/hyperlink" Target="#DASHBOARD!A1"/><Relationship Id="rId9" Type="http://schemas.openxmlformats.org/officeDocument/2006/relationships/image" Target="../media/image17.png"/><Relationship Id="rId14" Type="http://schemas.openxmlformats.org/officeDocument/2006/relationships/image" Target="../media/image19.png"/><Relationship Id="rId22" Type="http://schemas.openxmlformats.org/officeDocument/2006/relationships/image" Target="../media/image23.png"/><Relationship Id="rId27" Type="http://schemas.openxmlformats.org/officeDocument/2006/relationships/hyperlink" Target="#SCENARIOS!A1"/><Relationship Id="rId30" Type="http://schemas.openxmlformats.org/officeDocument/2006/relationships/image" Target="../media/image27.png"/><Relationship Id="rId35" Type="http://schemas.openxmlformats.org/officeDocument/2006/relationships/hyperlink" Target="#Liabilities!A1"/><Relationship Id="rId43" Type="http://schemas.openxmlformats.org/officeDocument/2006/relationships/image" Target="../media/image33.jpeg"/><Relationship Id="rId8" Type="http://schemas.openxmlformats.org/officeDocument/2006/relationships/hyperlink" Target="#MORTGAGE!A1"/><Relationship Id="rId3" Type="http://schemas.openxmlformats.org/officeDocument/2006/relationships/image" Target="../media/image14.png"/><Relationship Id="rId12" Type="http://schemas.openxmlformats.org/officeDocument/2006/relationships/hyperlink" Target="#F_Client"/><Relationship Id="rId17" Type="http://schemas.openxmlformats.org/officeDocument/2006/relationships/hyperlink" Target="#'VERSUS (R)'!A1"/><Relationship Id="rId25" Type="http://schemas.openxmlformats.org/officeDocument/2006/relationships/hyperlink" Target="#'MAX PRICE'!A1"/><Relationship Id="rId33" Type="http://schemas.openxmlformats.org/officeDocument/2006/relationships/hyperlink" Target="#Assets!A1"/><Relationship Id="rId38" Type="http://schemas.openxmlformats.org/officeDocument/2006/relationships/image" Target="../media/image31.png"/><Relationship Id="rId46" Type="http://schemas.openxmlformats.org/officeDocument/2006/relationships/image" Target="../media/image35.png"/><Relationship Id="rId20" Type="http://schemas.openxmlformats.org/officeDocument/2006/relationships/image" Target="../media/image22.png"/><Relationship Id="rId41" Type="http://schemas.openxmlformats.org/officeDocument/2006/relationships/image" Target="../media/image32.png"/></Relationships>
</file>

<file path=xl/drawings/_rels/drawing17.xml.rels><?xml version="1.0" encoding="UTF-8" standalone="yes"?>
<Relationships xmlns="http://schemas.openxmlformats.org/package/2006/relationships"><Relationship Id="rId13" Type="http://schemas.openxmlformats.org/officeDocument/2006/relationships/hyperlink" Target="#'ACTUALS (M)'!A1"/><Relationship Id="rId18" Type="http://schemas.openxmlformats.org/officeDocument/2006/relationships/image" Target="../media/image21.png"/><Relationship Id="rId26" Type="http://schemas.openxmlformats.org/officeDocument/2006/relationships/image" Target="../media/image25.png"/><Relationship Id="rId39" Type="http://schemas.openxmlformats.org/officeDocument/2006/relationships/hyperlink" Target="#GAME_APPS_TAB"/><Relationship Id="rId21" Type="http://schemas.openxmlformats.org/officeDocument/2006/relationships/hyperlink" Target="#FURNITURE!A1"/><Relationship Id="rId34" Type="http://schemas.openxmlformats.org/officeDocument/2006/relationships/image" Target="../media/image29.png"/><Relationship Id="rId42" Type="http://schemas.openxmlformats.org/officeDocument/2006/relationships/hyperlink" Target="#BOOK_KEEPING_LEDGER"/><Relationship Id="rId7" Type="http://schemas.openxmlformats.org/officeDocument/2006/relationships/image" Target="../media/image16.emf"/><Relationship Id="rId2" Type="http://schemas.openxmlformats.org/officeDocument/2006/relationships/image" Target="../media/image4.png"/><Relationship Id="rId16" Type="http://schemas.openxmlformats.org/officeDocument/2006/relationships/image" Target="../media/image20.png"/><Relationship Id="rId29" Type="http://schemas.openxmlformats.org/officeDocument/2006/relationships/hyperlink" Target="#'Market Research'!A1"/><Relationship Id="rId1" Type="http://schemas.openxmlformats.org/officeDocument/2006/relationships/hyperlink" Target="https://winswithmike.com/airbnb" TargetMode="External"/><Relationship Id="rId6" Type="http://schemas.openxmlformats.org/officeDocument/2006/relationships/hyperlink" Target="#'SUMMARY (R)'!A1"/><Relationship Id="rId11" Type="http://schemas.openxmlformats.org/officeDocument/2006/relationships/image" Target="../media/image18.png"/><Relationship Id="rId24" Type="http://schemas.openxmlformats.org/officeDocument/2006/relationships/image" Target="../media/image24.png"/><Relationship Id="rId32" Type="http://schemas.openxmlformats.org/officeDocument/2006/relationships/image" Target="../media/image28.png"/><Relationship Id="rId37" Type="http://schemas.openxmlformats.org/officeDocument/2006/relationships/hyperlink" Target="#'Categories'!A1"/><Relationship Id="rId40" Type="http://schemas.openxmlformats.org/officeDocument/2006/relationships/hyperlink" Target="#'$ Game Apps'!A1"/><Relationship Id="rId45" Type="http://schemas.openxmlformats.org/officeDocument/2006/relationships/image" Target="../media/image34.jpeg"/><Relationship Id="rId5" Type="http://schemas.openxmlformats.org/officeDocument/2006/relationships/image" Target="../media/image15.emf"/><Relationship Id="rId15" Type="http://schemas.openxmlformats.org/officeDocument/2006/relationships/hyperlink" Target="#'ACTUALS (Y)'!A1"/><Relationship Id="rId23" Type="http://schemas.openxmlformats.org/officeDocument/2006/relationships/hyperlink" Target="#PEERS!A1"/><Relationship Id="rId28" Type="http://schemas.openxmlformats.org/officeDocument/2006/relationships/image" Target="../media/image26.png"/><Relationship Id="rId36" Type="http://schemas.openxmlformats.org/officeDocument/2006/relationships/image" Target="../media/image30.png"/><Relationship Id="rId10" Type="http://schemas.openxmlformats.org/officeDocument/2006/relationships/hyperlink" Target="#DEBT!A1"/><Relationship Id="rId19" Type="http://schemas.openxmlformats.org/officeDocument/2006/relationships/hyperlink" Target="#REPAIRS!A1"/><Relationship Id="rId31" Type="http://schemas.openxmlformats.org/officeDocument/2006/relationships/hyperlink" Target="#'Balance Sheet Summary'!A1"/><Relationship Id="rId44" Type="http://schemas.openxmlformats.org/officeDocument/2006/relationships/hyperlink" Target="#TravelSandbox"/><Relationship Id="rId4" Type="http://schemas.openxmlformats.org/officeDocument/2006/relationships/hyperlink" Target="#DASHBOARD!A1"/><Relationship Id="rId9" Type="http://schemas.openxmlformats.org/officeDocument/2006/relationships/image" Target="../media/image17.png"/><Relationship Id="rId14" Type="http://schemas.openxmlformats.org/officeDocument/2006/relationships/image" Target="../media/image19.png"/><Relationship Id="rId22" Type="http://schemas.openxmlformats.org/officeDocument/2006/relationships/image" Target="../media/image23.png"/><Relationship Id="rId27" Type="http://schemas.openxmlformats.org/officeDocument/2006/relationships/hyperlink" Target="#SCENARIOS!A1"/><Relationship Id="rId30" Type="http://schemas.openxmlformats.org/officeDocument/2006/relationships/image" Target="../media/image27.png"/><Relationship Id="rId35" Type="http://schemas.openxmlformats.org/officeDocument/2006/relationships/hyperlink" Target="#Liabilities!A1"/><Relationship Id="rId43" Type="http://schemas.openxmlformats.org/officeDocument/2006/relationships/image" Target="../media/image33.jpeg"/><Relationship Id="rId8" Type="http://schemas.openxmlformats.org/officeDocument/2006/relationships/hyperlink" Target="#MORTGAGE!A1"/><Relationship Id="rId3" Type="http://schemas.openxmlformats.org/officeDocument/2006/relationships/image" Target="../media/image14.png"/><Relationship Id="rId12" Type="http://schemas.openxmlformats.org/officeDocument/2006/relationships/hyperlink" Target="#F_Client"/><Relationship Id="rId17" Type="http://schemas.openxmlformats.org/officeDocument/2006/relationships/hyperlink" Target="#'VERSUS (R)'!A1"/><Relationship Id="rId25" Type="http://schemas.openxmlformats.org/officeDocument/2006/relationships/hyperlink" Target="#'MAX PRICE'!A1"/><Relationship Id="rId33" Type="http://schemas.openxmlformats.org/officeDocument/2006/relationships/hyperlink" Target="#Assets!A1"/><Relationship Id="rId38" Type="http://schemas.openxmlformats.org/officeDocument/2006/relationships/image" Target="../media/image31.png"/><Relationship Id="rId46" Type="http://schemas.openxmlformats.org/officeDocument/2006/relationships/image" Target="../media/image35.png"/><Relationship Id="rId20" Type="http://schemas.openxmlformats.org/officeDocument/2006/relationships/image" Target="../media/image22.png"/><Relationship Id="rId41" Type="http://schemas.openxmlformats.org/officeDocument/2006/relationships/image" Target="../media/image32.png"/></Relationships>
</file>

<file path=xl/drawings/_rels/drawing18.xml.rels><?xml version="1.0" encoding="UTF-8" standalone="yes"?>
<Relationships xmlns="http://schemas.openxmlformats.org/package/2006/relationships"><Relationship Id="rId13" Type="http://schemas.openxmlformats.org/officeDocument/2006/relationships/hyperlink" Target="#'ACTUALS (M)'!A1"/><Relationship Id="rId18" Type="http://schemas.openxmlformats.org/officeDocument/2006/relationships/image" Target="../media/image21.png"/><Relationship Id="rId26" Type="http://schemas.openxmlformats.org/officeDocument/2006/relationships/image" Target="../media/image25.png"/><Relationship Id="rId39" Type="http://schemas.openxmlformats.org/officeDocument/2006/relationships/hyperlink" Target="#GAME_APPS_TAB"/><Relationship Id="rId21" Type="http://schemas.openxmlformats.org/officeDocument/2006/relationships/hyperlink" Target="#FURNITURE!A1"/><Relationship Id="rId34" Type="http://schemas.openxmlformats.org/officeDocument/2006/relationships/image" Target="../media/image29.png"/><Relationship Id="rId42" Type="http://schemas.openxmlformats.org/officeDocument/2006/relationships/hyperlink" Target="#BOOK_KEEPING_LEDGER"/><Relationship Id="rId7" Type="http://schemas.openxmlformats.org/officeDocument/2006/relationships/image" Target="../media/image16.emf"/><Relationship Id="rId2" Type="http://schemas.openxmlformats.org/officeDocument/2006/relationships/image" Target="../media/image4.png"/><Relationship Id="rId16" Type="http://schemas.openxmlformats.org/officeDocument/2006/relationships/image" Target="../media/image20.png"/><Relationship Id="rId29" Type="http://schemas.openxmlformats.org/officeDocument/2006/relationships/hyperlink" Target="#'Market Research'!A1"/><Relationship Id="rId1" Type="http://schemas.openxmlformats.org/officeDocument/2006/relationships/hyperlink" Target="https://winswithmike.com/airbnb" TargetMode="External"/><Relationship Id="rId6" Type="http://schemas.openxmlformats.org/officeDocument/2006/relationships/hyperlink" Target="#'SUMMARY (R)'!A1"/><Relationship Id="rId11" Type="http://schemas.openxmlformats.org/officeDocument/2006/relationships/image" Target="../media/image18.png"/><Relationship Id="rId24" Type="http://schemas.openxmlformats.org/officeDocument/2006/relationships/image" Target="../media/image24.png"/><Relationship Id="rId32" Type="http://schemas.openxmlformats.org/officeDocument/2006/relationships/image" Target="../media/image28.png"/><Relationship Id="rId37" Type="http://schemas.openxmlformats.org/officeDocument/2006/relationships/hyperlink" Target="#'Categories'!A1"/><Relationship Id="rId40" Type="http://schemas.openxmlformats.org/officeDocument/2006/relationships/hyperlink" Target="#'$ Game Apps'!A1"/><Relationship Id="rId45" Type="http://schemas.openxmlformats.org/officeDocument/2006/relationships/image" Target="../media/image34.jpeg"/><Relationship Id="rId5" Type="http://schemas.openxmlformats.org/officeDocument/2006/relationships/image" Target="../media/image15.emf"/><Relationship Id="rId15" Type="http://schemas.openxmlformats.org/officeDocument/2006/relationships/hyperlink" Target="#'ACTUALS (Y)'!A1"/><Relationship Id="rId23" Type="http://schemas.openxmlformats.org/officeDocument/2006/relationships/hyperlink" Target="#PEERS!A1"/><Relationship Id="rId28" Type="http://schemas.openxmlformats.org/officeDocument/2006/relationships/image" Target="../media/image26.png"/><Relationship Id="rId36" Type="http://schemas.openxmlformats.org/officeDocument/2006/relationships/image" Target="../media/image30.png"/><Relationship Id="rId10" Type="http://schemas.openxmlformats.org/officeDocument/2006/relationships/hyperlink" Target="#DEBT!A1"/><Relationship Id="rId19" Type="http://schemas.openxmlformats.org/officeDocument/2006/relationships/hyperlink" Target="#REPAIRS!A1"/><Relationship Id="rId31" Type="http://schemas.openxmlformats.org/officeDocument/2006/relationships/hyperlink" Target="#'Balance Sheet Summary'!A1"/><Relationship Id="rId44" Type="http://schemas.openxmlformats.org/officeDocument/2006/relationships/hyperlink" Target="#TravelSandbox"/><Relationship Id="rId4" Type="http://schemas.openxmlformats.org/officeDocument/2006/relationships/hyperlink" Target="#DASHBOARD!A1"/><Relationship Id="rId9" Type="http://schemas.openxmlformats.org/officeDocument/2006/relationships/image" Target="../media/image17.png"/><Relationship Id="rId14" Type="http://schemas.openxmlformats.org/officeDocument/2006/relationships/image" Target="../media/image19.png"/><Relationship Id="rId22" Type="http://schemas.openxmlformats.org/officeDocument/2006/relationships/image" Target="../media/image23.png"/><Relationship Id="rId27" Type="http://schemas.openxmlformats.org/officeDocument/2006/relationships/hyperlink" Target="#SCENARIOS!A1"/><Relationship Id="rId30" Type="http://schemas.openxmlformats.org/officeDocument/2006/relationships/image" Target="../media/image27.png"/><Relationship Id="rId35" Type="http://schemas.openxmlformats.org/officeDocument/2006/relationships/hyperlink" Target="#Liabilities!A1"/><Relationship Id="rId43" Type="http://schemas.openxmlformats.org/officeDocument/2006/relationships/image" Target="../media/image33.jpeg"/><Relationship Id="rId8" Type="http://schemas.openxmlformats.org/officeDocument/2006/relationships/hyperlink" Target="#MORTGAGE!A1"/><Relationship Id="rId3" Type="http://schemas.openxmlformats.org/officeDocument/2006/relationships/image" Target="../media/image14.png"/><Relationship Id="rId12" Type="http://schemas.openxmlformats.org/officeDocument/2006/relationships/hyperlink" Target="#F_Client"/><Relationship Id="rId17" Type="http://schemas.openxmlformats.org/officeDocument/2006/relationships/hyperlink" Target="#'VERSUS (R)'!A1"/><Relationship Id="rId25" Type="http://schemas.openxmlformats.org/officeDocument/2006/relationships/hyperlink" Target="#'MAX PRICE'!A1"/><Relationship Id="rId33" Type="http://schemas.openxmlformats.org/officeDocument/2006/relationships/hyperlink" Target="#Assets!A1"/><Relationship Id="rId38" Type="http://schemas.openxmlformats.org/officeDocument/2006/relationships/image" Target="../media/image31.png"/><Relationship Id="rId46" Type="http://schemas.openxmlformats.org/officeDocument/2006/relationships/image" Target="../media/image35.png"/><Relationship Id="rId20" Type="http://schemas.openxmlformats.org/officeDocument/2006/relationships/image" Target="../media/image22.png"/><Relationship Id="rId41" Type="http://schemas.openxmlformats.org/officeDocument/2006/relationships/image" Target="../media/image32.png"/></Relationships>
</file>

<file path=xl/drawings/_rels/drawing19.xml.rels><?xml version="1.0" encoding="UTF-8" standalone="yes"?>
<Relationships xmlns="http://schemas.openxmlformats.org/package/2006/relationships"><Relationship Id="rId13" Type="http://schemas.openxmlformats.org/officeDocument/2006/relationships/hyperlink" Target="#'ACTUALS (M)'!A1"/><Relationship Id="rId18" Type="http://schemas.openxmlformats.org/officeDocument/2006/relationships/image" Target="../media/image21.png"/><Relationship Id="rId26" Type="http://schemas.openxmlformats.org/officeDocument/2006/relationships/image" Target="../media/image25.png"/><Relationship Id="rId39" Type="http://schemas.openxmlformats.org/officeDocument/2006/relationships/hyperlink" Target="#GAME_APPS_TAB"/><Relationship Id="rId21" Type="http://schemas.openxmlformats.org/officeDocument/2006/relationships/hyperlink" Target="#FURNITURE!A1"/><Relationship Id="rId34" Type="http://schemas.openxmlformats.org/officeDocument/2006/relationships/image" Target="../media/image29.png"/><Relationship Id="rId42" Type="http://schemas.openxmlformats.org/officeDocument/2006/relationships/hyperlink" Target="#BOOK_KEEPING_LEDGER"/><Relationship Id="rId7" Type="http://schemas.openxmlformats.org/officeDocument/2006/relationships/image" Target="../media/image16.emf"/><Relationship Id="rId2" Type="http://schemas.openxmlformats.org/officeDocument/2006/relationships/image" Target="../media/image4.png"/><Relationship Id="rId16" Type="http://schemas.openxmlformats.org/officeDocument/2006/relationships/image" Target="../media/image20.png"/><Relationship Id="rId29" Type="http://schemas.openxmlformats.org/officeDocument/2006/relationships/hyperlink" Target="#'Market Research'!A1"/><Relationship Id="rId1" Type="http://schemas.openxmlformats.org/officeDocument/2006/relationships/hyperlink" Target="https://winswithmike.com/airbnb" TargetMode="External"/><Relationship Id="rId6" Type="http://schemas.openxmlformats.org/officeDocument/2006/relationships/hyperlink" Target="#'SUMMARY (R)'!A1"/><Relationship Id="rId11" Type="http://schemas.openxmlformats.org/officeDocument/2006/relationships/image" Target="../media/image18.png"/><Relationship Id="rId24" Type="http://schemas.openxmlformats.org/officeDocument/2006/relationships/image" Target="../media/image24.png"/><Relationship Id="rId32" Type="http://schemas.openxmlformats.org/officeDocument/2006/relationships/image" Target="../media/image28.png"/><Relationship Id="rId37" Type="http://schemas.openxmlformats.org/officeDocument/2006/relationships/hyperlink" Target="#'Categories'!A1"/><Relationship Id="rId40" Type="http://schemas.openxmlformats.org/officeDocument/2006/relationships/hyperlink" Target="#'$ Game Apps'!A1"/><Relationship Id="rId45" Type="http://schemas.openxmlformats.org/officeDocument/2006/relationships/image" Target="../media/image34.jpeg"/><Relationship Id="rId5" Type="http://schemas.openxmlformats.org/officeDocument/2006/relationships/image" Target="../media/image15.emf"/><Relationship Id="rId15" Type="http://schemas.openxmlformats.org/officeDocument/2006/relationships/hyperlink" Target="#'ACTUALS (Y)'!A1"/><Relationship Id="rId23" Type="http://schemas.openxmlformats.org/officeDocument/2006/relationships/hyperlink" Target="#PEERS!A1"/><Relationship Id="rId28" Type="http://schemas.openxmlformats.org/officeDocument/2006/relationships/image" Target="../media/image26.png"/><Relationship Id="rId36" Type="http://schemas.openxmlformats.org/officeDocument/2006/relationships/image" Target="../media/image30.png"/><Relationship Id="rId10" Type="http://schemas.openxmlformats.org/officeDocument/2006/relationships/hyperlink" Target="#DEBT!A1"/><Relationship Id="rId19" Type="http://schemas.openxmlformats.org/officeDocument/2006/relationships/hyperlink" Target="#REPAIRS!A1"/><Relationship Id="rId31" Type="http://schemas.openxmlformats.org/officeDocument/2006/relationships/hyperlink" Target="#'Balance Sheet Summary'!A1"/><Relationship Id="rId44" Type="http://schemas.openxmlformats.org/officeDocument/2006/relationships/hyperlink" Target="#TravelSandbox"/><Relationship Id="rId4" Type="http://schemas.openxmlformats.org/officeDocument/2006/relationships/hyperlink" Target="#DASHBOARD!A1"/><Relationship Id="rId9" Type="http://schemas.openxmlformats.org/officeDocument/2006/relationships/image" Target="../media/image17.png"/><Relationship Id="rId14" Type="http://schemas.openxmlformats.org/officeDocument/2006/relationships/image" Target="../media/image19.png"/><Relationship Id="rId22" Type="http://schemas.openxmlformats.org/officeDocument/2006/relationships/image" Target="../media/image23.png"/><Relationship Id="rId27" Type="http://schemas.openxmlformats.org/officeDocument/2006/relationships/hyperlink" Target="#SCENARIOS!A1"/><Relationship Id="rId30" Type="http://schemas.openxmlformats.org/officeDocument/2006/relationships/image" Target="../media/image27.png"/><Relationship Id="rId35" Type="http://schemas.openxmlformats.org/officeDocument/2006/relationships/hyperlink" Target="#Liabilities!A1"/><Relationship Id="rId43" Type="http://schemas.openxmlformats.org/officeDocument/2006/relationships/image" Target="../media/image33.jpeg"/><Relationship Id="rId8" Type="http://schemas.openxmlformats.org/officeDocument/2006/relationships/hyperlink" Target="#MORTGAGE!A1"/><Relationship Id="rId3" Type="http://schemas.openxmlformats.org/officeDocument/2006/relationships/image" Target="../media/image14.png"/><Relationship Id="rId12" Type="http://schemas.openxmlformats.org/officeDocument/2006/relationships/hyperlink" Target="#F_Client"/><Relationship Id="rId17" Type="http://schemas.openxmlformats.org/officeDocument/2006/relationships/hyperlink" Target="#'VERSUS (R)'!A1"/><Relationship Id="rId25" Type="http://schemas.openxmlformats.org/officeDocument/2006/relationships/hyperlink" Target="#'MAX PRICE'!A1"/><Relationship Id="rId33" Type="http://schemas.openxmlformats.org/officeDocument/2006/relationships/hyperlink" Target="#Assets!A1"/><Relationship Id="rId38" Type="http://schemas.openxmlformats.org/officeDocument/2006/relationships/image" Target="../media/image31.png"/><Relationship Id="rId46" Type="http://schemas.openxmlformats.org/officeDocument/2006/relationships/image" Target="../media/image35.png"/><Relationship Id="rId20" Type="http://schemas.openxmlformats.org/officeDocument/2006/relationships/image" Target="../media/image22.png"/><Relationship Id="rId41" Type="http://schemas.openxmlformats.org/officeDocument/2006/relationships/image" Target="../media/image3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3" Type="http://schemas.openxmlformats.org/officeDocument/2006/relationships/hyperlink" Target="#'ACTUALS (M)'!A1"/><Relationship Id="rId18" Type="http://schemas.openxmlformats.org/officeDocument/2006/relationships/image" Target="../media/image21.png"/><Relationship Id="rId26" Type="http://schemas.openxmlformats.org/officeDocument/2006/relationships/image" Target="../media/image25.png"/><Relationship Id="rId39" Type="http://schemas.openxmlformats.org/officeDocument/2006/relationships/hyperlink" Target="#GAME_APPS_TAB"/><Relationship Id="rId21" Type="http://schemas.openxmlformats.org/officeDocument/2006/relationships/hyperlink" Target="#FURNITURE!A1"/><Relationship Id="rId34" Type="http://schemas.openxmlformats.org/officeDocument/2006/relationships/image" Target="../media/image29.png"/><Relationship Id="rId42" Type="http://schemas.openxmlformats.org/officeDocument/2006/relationships/hyperlink" Target="#BOOK_KEEPING_LEDGER"/><Relationship Id="rId7" Type="http://schemas.openxmlformats.org/officeDocument/2006/relationships/image" Target="../media/image16.emf"/><Relationship Id="rId2" Type="http://schemas.openxmlformats.org/officeDocument/2006/relationships/image" Target="../media/image37.png"/><Relationship Id="rId16" Type="http://schemas.openxmlformats.org/officeDocument/2006/relationships/image" Target="../media/image20.png"/><Relationship Id="rId29" Type="http://schemas.openxmlformats.org/officeDocument/2006/relationships/hyperlink" Target="#'Market Research'!A1"/><Relationship Id="rId1" Type="http://schemas.openxmlformats.org/officeDocument/2006/relationships/hyperlink" Target="https://winswithmike.com/airbnb" TargetMode="External"/><Relationship Id="rId6" Type="http://schemas.openxmlformats.org/officeDocument/2006/relationships/hyperlink" Target="#'SUMMARY (R)'!A1"/><Relationship Id="rId11" Type="http://schemas.openxmlformats.org/officeDocument/2006/relationships/image" Target="../media/image18.png"/><Relationship Id="rId24" Type="http://schemas.openxmlformats.org/officeDocument/2006/relationships/image" Target="../media/image24.png"/><Relationship Id="rId32" Type="http://schemas.openxmlformats.org/officeDocument/2006/relationships/image" Target="../media/image28.png"/><Relationship Id="rId37" Type="http://schemas.openxmlformats.org/officeDocument/2006/relationships/hyperlink" Target="#'Categories'!A1"/><Relationship Id="rId40" Type="http://schemas.openxmlformats.org/officeDocument/2006/relationships/hyperlink" Target="#'$ Game Apps'!A1"/><Relationship Id="rId45" Type="http://schemas.openxmlformats.org/officeDocument/2006/relationships/image" Target="../media/image34.jpeg"/><Relationship Id="rId5" Type="http://schemas.openxmlformats.org/officeDocument/2006/relationships/image" Target="../media/image15.emf"/><Relationship Id="rId15" Type="http://schemas.openxmlformats.org/officeDocument/2006/relationships/hyperlink" Target="#'ACTUALS (Y)'!A1"/><Relationship Id="rId23" Type="http://schemas.openxmlformats.org/officeDocument/2006/relationships/hyperlink" Target="#PEERS!A1"/><Relationship Id="rId28" Type="http://schemas.openxmlformats.org/officeDocument/2006/relationships/image" Target="../media/image26.png"/><Relationship Id="rId36" Type="http://schemas.openxmlformats.org/officeDocument/2006/relationships/image" Target="../media/image30.png"/><Relationship Id="rId10" Type="http://schemas.openxmlformats.org/officeDocument/2006/relationships/hyperlink" Target="#DEBT!A1"/><Relationship Id="rId19" Type="http://schemas.openxmlformats.org/officeDocument/2006/relationships/hyperlink" Target="#REPAIRS!A1"/><Relationship Id="rId31" Type="http://schemas.openxmlformats.org/officeDocument/2006/relationships/hyperlink" Target="#'Balance Sheet Summary'!A1"/><Relationship Id="rId44" Type="http://schemas.openxmlformats.org/officeDocument/2006/relationships/hyperlink" Target="#TravelSandbox"/><Relationship Id="rId4" Type="http://schemas.openxmlformats.org/officeDocument/2006/relationships/hyperlink" Target="#DASHBOARD!A1"/><Relationship Id="rId9" Type="http://schemas.openxmlformats.org/officeDocument/2006/relationships/image" Target="../media/image17.png"/><Relationship Id="rId14" Type="http://schemas.openxmlformats.org/officeDocument/2006/relationships/image" Target="../media/image19.png"/><Relationship Id="rId22" Type="http://schemas.openxmlformats.org/officeDocument/2006/relationships/image" Target="../media/image23.png"/><Relationship Id="rId27" Type="http://schemas.openxmlformats.org/officeDocument/2006/relationships/hyperlink" Target="#SCENARIOS!A1"/><Relationship Id="rId30" Type="http://schemas.openxmlformats.org/officeDocument/2006/relationships/image" Target="../media/image27.png"/><Relationship Id="rId35" Type="http://schemas.openxmlformats.org/officeDocument/2006/relationships/hyperlink" Target="#Liabilities!A1"/><Relationship Id="rId43" Type="http://schemas.openxmlformats.org/officeDocument/2006/relationships/image" Target="../media/image33.jpeg"/><Relationship Id="rId8" Type="http://schemas.openxmlformats.org/officeDocument/2006/relationships/hyperlink" Target="#MORTGAGE!A1"/><Relationship Id="rId3" Type="http://schemas.openxmlformats.org/officeDocument/2006/relationships/image" Target="../media/image14.png"/><Relationship Id="rId12" Type="http://schemas.openxmlformats.org/officeDocument/2006/relationships/hyperlink" Target="#F_Client"/><Relationship Id="rId17" Type="http://schemas.openxmlformats.org/officeDocument/2006/relationships/hyperlink" Target="#'VERSUS (R)'!A1"/><Relationship Id="rId25" Type="http://schemas.openxmlformats.org/officeDocument/2006/relationships/hyperlink" Target="#'MAX PRICE'!A1"/><Relationship Id="rId33" Type="http://schemas.openxmlformats.org/officeDocument/2006/relationships/hyperlink" Target="#Assets!A1"/><Relationship Id="rId38" Type="http://schemas.openxmlformats.org/officeDocument/2006/relationships/image" Target="../media/image31.png"/><Relationship Id="rId46" Type="http://schemas.openxmlformats.org/officeDocument/2006/relationships/image" Target="../media/image35.png"/><Relationship Id="rId20" Type="http://schemas.openxmlformats.org/officeDocument/2006/relationships/image" Target="../media/image22.png"/><Relationship Id="rId41" Type="http://schemas.openxmlformats.org/officeDocument/2006/relationships/image" Target="../media/image32.png"/></Relationships>
</file>

<file path=xl/drawings/_rels/drawing21.xml.rels><?xml version="1.0" encoding="UTF-8" standalone="yes"?>
<Relationships xmlns="http://schemas.openxmlformats.org/package/2006/relationships"><Relationship Id="rId13" Type="http://schemas.openxmlformats.org/officeDocument/2006/relationships/image" Target="../media/image19.png"/><Relationship Id="rId18" Type="http://schemas.openxmlformats.org/officeDocument/2006/relationships/hyperlink" Target="#REPAIRS!A1"/><Relationship Id="rId26" Type="http://schemas.openxmlformats.org/officeDocument/2006/relationships/hyperlink" Target="#SCENARIOS!A1"/><Relationship Id="rId39" Type="http://schemas.openxmlformats.org/officeDocument/2006/relationships/hyperlink" Target="#'$ Game Apps'!A1"/><Relationship Id="rId21" Type="http://schemas.openxmlformats.org/officeDocument/2006/relationships/image" Target="../media/image23.png"/><Relationship Id="rId34" Type="http://schemas.openxmlformats.org/officeDocument/2006/relationships/hyperlink" Target="#Liabilities!A1"/><Relationship Id="rId42" Type="http://schemas.openxmlformats.org/officeDocument/2006/relationships/image" Target="../media/image33.jpeg"/><Relationship Id="rId7" Type="http://schemas.openxmlformats.org/officeDocument/2006/relationships/hyperlink" Target="#MORTGAGE!A1"/><Relationship Id="rId2" Type="http://schemas.openxmlformats.org/officeDocument/2006/relationships/image" Target="../media/image14.png"/><Relationship Id="rId16" Type="http://schemas.openxmlformats.org/officeDocument/2006/relationships/hyperlink" Target="#'VERSUS (R)'!A1"/><Relationship Id="rId29" Type="http://schemas.openxmlformats.org/officeDocument/2006/relationships/image" Target="../media/image27.png"/><Relationship Id="rId1" Type="http://schemas.openxmlformats.org/officeDocument/2006/relationships/hyperlink" Target="https://winswithmike.com/airbnb" TargetMode="External"/><Relationship Id="rId6" Type="http://schemas.openxmlformats.org/officeDocument/2006/relationships/image" Target="../media/image16.emf"/><Relationship Id="rId11" Type="http://schemas.openxmlformats.org/officeDocument/2006/relationships/hyperlink" Target="#F_Client"/><Relationship Id="rId24" Type="http://schemas.openxmlformats.org/officeDocument/2006/relationships/hyperlink" Target="#'MAX PRICE'!A1"/><Relationship Id="rId32" Type="http://schemas.openxmlformats.org/officeDocument/2006/relationships/hyperlink" Target="#Assets!A1"/><Relationship Id="rId37" Type="http://schemas.openxmlformats.org/officeDocument/2006/relationships/image" Target="../media/image31.png"/><Relationship Id="rId40" Type="http://schemas.openxmlformats.org/officeDocument/2006/relationships/image" Target="../media/image32.png"/><Relationship Id="rId45" Type="http://schemas.openxmlformats.org/officeDocument/2006/relationships/image" Target="../media/image35.png"/><Relationship Id="rId5" Type="http://schemas.openxmlformats.org/officeDocument/2006/relationships/hyperlink" Target="#'SUMMARY (R)'!A1"/><Relationship Id="rId15" Type="http://schemas.openxmlformats.org/officeDocument/2006/relationships/image" Target="../media/image20.png"/><Relationship Id="rId23" Type="http://schemas.openxmlformats.org/officeDocument/2006/relationships/image" Target="../media/image24.png"/><Relationship Id="rId28" Type="http://schemas.openxmlformats.org/officeDocument/2006/relationships/hyperlink" Target="#'Market Research'!A1"/><Relationship Id="rId36" Type="http://schemas.openxmlformats.org/officeDocument/2006/relationships/hyperlink" Target="#'Categories'!A1"/><Relationship Id="rId10" Type="http://schemas.openxmlformats.org/officeDocument/2006/relationships/image" Target="../media/image18.png"/><Relationship Id="rId19" Type="http://schemas.openxmlformats.org/officeDocument/2006/relationships/image" Target="../media/image22.png"/><Relationship Id="rId31" Type="http://schemas.openxmlformats.org/officeDocument/2006/relationships/image" Target="../media/image28.png"/><Relationship Id="rId44" Type="http://schemas.openxmlformats.org/officeDocument/2006/relationships/image" Target="../media/image34.jpeg"/><Relationship Id="rId4" Type="http://schemas.openxmlformats.org/officeDocument/2006/relationships/image" Target="../media/image15.emf"/><Relationship Id="rId9" Type="http://schemas.openxmlformats.org/officeDocument/2006/relationships/hyperlink" Target="#DEBT!A1"/><Relationship Id="rId14" Type="http://schemas.openxmlformats.org/officeDocument/2006/relationships/hyperlink" Target="#'ACTUALS (Y)'!A1"/><Relationship Id="rId22" Type="http://schemas.openxmlformats.org/officeDocument/2006/relationships/hyperlink" Target="#PEERS!A1"/><Relationship Id="rId27" Type="http://schemas.openxmlformats.org/officeDocument/2006/relationships/image" Target="../media/image26.png"/><Relationship Id="rId30" Type="http://schemas.openxmlformats.org/officeDocument/2006/relationships/hyperlink" Target="#'Balance Sheet Summary'!A1"/><Relationship Id="rId35" Type="http://schemas.openxmlformats.org/officeDocument/2006/relationships/image" Target="../media/image30.png"/><Relationship Id="rId43" Type="http://schemas.openxmlformats.org/officeDocument/2006/relationships/hyperlink" Target="#TravelSandbox"/><Relationship Id="rId8" Type="http://schemas.openxmlformats.org/officeDocument/2006/relationships/image" Target="../media/image17.png"/><Relationship Id="rId3" Type="http://schemas.openxmlformats.org/officeDocument/2006/relationships/hyperlink" Target="#DASHBOARD!A1"/><Relationship Id="rId12" Type="http://schemas.openxmlformats.org/officeDocument/2006/relationships/hyperlink" Target="#'ACTUALS (M)'!A1"/><Relationship Id="rId17" Type="http://schemas.openxmlformats.org/officeDocument/2006/relationships/image" Target="../media/image21.png"/><Relationship Id="rId25" Type="http://schemas.openxmlformats.org/officeDocument/2006/relationships/image" Target="../media/image25.png"/><Relationship Id="rId33" Type="http://schemas.openxmlformats.org/officeDocument/2006/relationships/image" Target="../media/image29.png"/><Relationship Id="rId38" Type="http://schemas.openxmlformats.org/officeDocument/2006/relationships/hyperlink" Target="#GAME_APPS_TAB"/><Relationship Id="rId20" Type="http://schemas.openxmlformats.org/officeDocument/2006/relationships/hyperlink" Target="#FURNITURE!A1"/><Relationship Id="rId41" Type="http://schemas.openxmlformats.org/officeDocument/2006/relationships/hyperlink" Target="#BOOK_KEEPING_LEDGER"/></Relationships>
</file>

<file path=xl/drawings/_rels/drawing22.xml.rels><?xml version="1.0" encoding="UTF-8" standalone="yes"?>
<Relationships xmlns="http://schemas.openxmlformats.org/package/2006/relationships"><Relationship Id="rId13" Type="http://schemas.openxmlformats.org/officeDocument/2006/relationships/image" Target="../media/image19.png"/><Relationship Id="rId18" Type="http://schemas.openxmlformats.org/officeDocument/2006/relationships/hyperlink" Target="#REPAIRS!A1"/><Relationship Id="rId26" Type="http://schemas.openxmlformats.org/officeDocument/2006/relationships/hyperlink" Target="#SCENARIOS!A1"/><Relationship Id="rId39" Type="http://schemas.openxmlformats.org/officeDocument/2006/relationships/hyperlink" Target="#'$ Game Apps'!A1"/><Relationship Id="rId21" Type="http://schemas.openxmlformats.org/officeDocument/2006/relationships/image" Target="../media/image23.png"/><Relationship Id="rId34" Type="http://schemas.openxmlformats.org/officeDocument/2006/relationships/hyperlink" Target="#Liabilities!A1"/><Relationship Id="rId42" Type="http://schemas.openxmlformats.org/officeDocument/2006/relationships/image" Target="../media/image33.jpeg"/><Relationship Id="rId7" Type="http://schemas.openxmlformats.org/officeDocument/2006/relationships/hyperlink" Target="#MORTGAGE!A1"/><Relationship Id="rId2" Type="http://schemas.openxmlformats.org/officeDocument/2006/relationships/image" Target="../media/image14.png"/><Relationship Id="rId16" Type="http://schemas.openxmlformats.org/officeDocument/2006/relationships/hyperlink" Target="#'VERSUS (R)'!A1"/><Relationship Id="rId29" Type="http://schemas.openxmlformats.org/officeDocument/2006/relationships/image" Target="../media/image27.png"/><Relationship Id="rId1" Type="http://schemas.openxmlformats.org/officeDocument/2006/relationships/hyperlink" Target="https://winswithmike.com/airbnb" TargetMode="External"/><Relationship Id="rId6" Type="http://schemas.openxmlformats.org/officeDocument/2006/relationships/image" Target="../media/image16.emf"/><Relationship Id="rId11" Type="http://schemas.openxmlformats.org/officeDocument/2006/relationships/hyperlink" Target="#F_Client"/><Relationship Id="rId24" Type="http://schemas.openxmlformats.org/officeDocument/2006/relationships/hyperlink" Target="#'MAX PRICE'!A1"/><Relationship Id="rId32" Type="http://schemas.openxmlformats.org/officeDocument/2006/relationships/hyperlink" Target="#Assets!A1"/><Relationship Id="rId37" Type="http://schemas.openxmlformats.org/officeDocument/2006/relationships/image" Target="../media/image31.png"/><Relationship Id="rId40" Type="http://schemas.openxmlformats.org/officeDocument/2006/relationships/image" Target="../media/image32.png"/><Relationship Id="rId45" Type="http://schemas.openxmlformats.org/officeDocument/2006/relationships/image" Target="../media/image35.png"/><Relationship Id="rId5" Type="http://schemas.openxmlformats.org/officeDocument/2006/relationships/hyperlink" Target="#'SUMMARY (R)'!A1"/><Relationship Id="rId15" Type="http://schemas.openxmlformats.org/officeDocument/2006/relationships/image" Target="../media/image20.png"/><Relationship Id="rId23" Type="http://schemas.openxmlformats.org/officeDocument/2006/relationships/image" Target="../media/image24.png"/><Relationship Id="rId28" Type="http://schemas.openxmlformats.org/officeDocument/2006/relationships/hyperlink" Target="#'Market Research'!A1"/><Relationship Id="rId36" Type="http://schemas.openxmlformats.org/officeDocument/2006/relationships/hyperlink" Target="#'Categories'!A1"/><Relationship Id="rId10" Type="http://schemas.openxmlformats.org/officeDocument/2006/relationships/image" Target="../media/image18.png"/><Relationship Id="rId19" Type="http://schemas.openxmlformats.org/officeDocument/2006/relationships/image" Target="../media/image22.png"/><Relationship Id="rId31" Type="http://schemas.openxmlformats.org/officeDocument/2006/relationships/image" Target="../media/image28.png"/><Relationship Id="rId44" Type="http://schemas.openxmlformats.org/officeDocument/2006/relationships/image" Target="../media/image34.jpeg"/><Relationship Id="rId4" Type="http://schemas.openxmlformats.org/officeDocument/2006/relationships/image" Target="../media/image15.emf"/><Relationship Id="rId9" Type="http://schemas.openxmlformats.org/officeDocument/2006/relationships/hyperlink" Target="#DEBT!A1"/><Relationship Id="rId14" Type="http://schemas.openxmlformats.org/officeDocument/2006/relationships/hyperlink" Target="#'ACTUALS (Y)'!A1"/><Relationship Id="rId22" Type="http://schemas.openxmlformats.org/officeDocument/2006/relationships/hyperlink" Target="#PEERS!A1"/><Relationship Id="rId27" Type="http://schemas.openxmlformats.org/officeDocument/2006/relationships/image" Target="../media/image26.png"/><Relationship Id="rId30" Type="http://schemas.openxmlformats.org/officeDocument/2006/relationships/hyperlink" Target="#'Balance Sheet Summary'!A1"/><Relationship Id="rId35" Type="http://schemas.openxmlformats.org/officeDocument/2006/relationships/image" Target="../media/image30.png"/><Relationship Id="rId43" Type="http://schemas.openxmlformats.org/officeDocument/2006/relationships/hyperlink" Target="#TravelSandbox"/><Relationship Id="rId8" Type="http://schemas.openxmlformats.org/officeDocument/2006/relationships/image" Target="../media/image17.png"/><Relationship Id="rId3" Type="http://schemas.openxmlformats.org/officeDocument/2006/relationships/hyperlink" Target="#DASHBOARD!A1"/><Relationship Id="rId12" Type="http://schemas.openxmlformats.org/officeDocument/2006/relationships/hyperlink" Target="#'ACTUALS (M)'!A1"/><Relationship Id="rId17" Type="http://schemas.openxmlformats.org/officeDocument/2006/relationships/image" Target="../media/image21.png"/><Relationship Id="rId25" Type="http://schemas.openxmlformats.org/officeDocument/2006/relationships/image" Target="../media/image25.png"/><Relationship Id="rId33" Type="http://schemas.openxmlformats.org/officeDocument/2006/relationships/image" Target="../media/image29.png"/><Relationship Id="rId38" Type="http://schemas.openxmlformats.org/officeDocument/2006/relationships/hyperlink" Target="#GAME_APPS_TAB"/><Relationship Id="rId20" Type="http://schemas.openxmlformats.org/officeDocument/2006/relationships/hyperlink" Target="#FURNITURE!A1"/><Relationship Id="rId41" Type="http://schemas.openxmlformats.org/officeDocument/2006/relationships/hyperlink" Target="#BOOK_KEEPING_LEDGER"/></Relationships>
</file>

<file path=xl/drawings/_rels/drawing23.xml.rels><?xml version="1.0" encoding="UTF-8" standalone="yes"?>
<Relationships xmlns="http://schemas.openxmlformats.org/package/2006/relationships"><Relationship Id="rId13" Type="http://schemas.openxmlformats.org/officeDocument/2006/relationships/image" Target="../media/image19.png"/><Relationship Id="rId18" Type="http://schemas.openxmlformats.org/officeDocument/2006/relationships/hyperlink" Target="#REPAIRS!A1"/><Relationship Id="rId26" Type="http://schemas.openxmlformats.org/officeDocument/2006/relationships/hyperlink" Target="#SCENARIOS!A1"/><Relationship Id="rId39" Type="http://schemas.openxmlformats.org/officeDocument/2006/relationships/hyperlink" Target="#'$ Game Apps'!A1"/><Relationship Id="rId21" Type="http://schemas.openxmlformats.org/officeDocument/2006/relationships/image" Target="../media/image23.png"/><Relationship Id="rId34" Type="http://schemas.openxmlformats.org/officeDocument/2006/relationships/hyperlink" Target="#Liabilities!A1"/><Relationship Id="rId42" Type="http://schemas.openxmlformats.org/officeDocument/2006/relationships/image" Target="../media/image33.jpeg"/><Relationship Id="rId7" Type="http://schemas.openxmlformats.org/officeDocument/2006/relationships/hyperlink" Target="#MORTGAGE!A1"/><Relationship Id="rId2" Type="http://schemas.openxmlformats.org/officeDocument/2006/relationships/image" Target="../media/image14.png"/><Relationship Id="rId16" Type="http://schemas.openxmlformats.org/officeDocument/2006/relationships/hyperlink" Target="#'VERSUS (R)'!A1"/><Relationship Id="rId29" Type="http://schemas.openxmlformats.org/officeDocument/2006/relationships/image" Target="../media/image27.png"/><Relationship Id="rId1" Type="http://schemas.openxmlformats.org/officeDocument/2006/relationships/hyperlink" Target="https://winswithmike.com/airbnb" TargetMode="External"/><Relationship Id="rId6" Type="http://schemas.openxmlformats.org/officeDocument/2006/relationships/image" Target="../media/image16.emf"/><Relationship Id="rId11" Type="http://schemas.openxmlformats.org/officeDocument/2006/relationships/hyperlink" Target="#F_Client"/><Relationship Id="rId24" Type="http://schemas.openxmlformats.org/officeDocument/2006/relationships/hyperlink" Target="#'MAX PRICE'!A1"/><Relationship Id="rId32" Type="http://schemas.openxmlformats.org/officeDocument/2006/relationships/hyperlink" Target="#Assets!A1"/><Relationship Id="rId37" Type="http://schemas.openxmlformats.org/officeDocument/2006/relationships/image" Target="../media/image31.png"/><Relationship Id="rId40" Type="http://schemas.openxmlformats.org/officeDocument/2006/relationships/image" Target="../media/image32.png"/><Relationship Id="rId45" Type="http://schemas.openxmlformats.org/officeDocument/2006/relationships/image" Target="../media/image35.png"/><Relationship Id="rId5" Type="http://schemas.openxmlformats.org/officeDocument/2006/relationships/hyperlink" Target="#'SUMMARY (R)'!A1"/><Relationship Id="rId15" Type="http://schemas.openxmlformats.org/officeDocument/2006/relationships/image" Target="../media/image20.png"/><Relationship Id="rId23" Type="http://schemas.openxmlformats.org/officeDocument/2006/relationships/image" Target="../media/image24.png"/><Relationship Id="rId28" Type="http://schemas.openxmlformats.org/officeDocument/2006/relationships/hyperlink" Target="#'Market Research'!A1"/><Relationship Id="rId36" Type="http://schemas.openxmlformats.org/officeDocument/2006/relationships/hyperlink" Target="#'Categories'!A1"/><Relationship Id="rId10" Type="http://schemas.openxmlformats.org/officeDocument/2006/relationships/image" Target="../media/image18.png"/><Relationship Id="rId19" Type="http://schemas.openxmlformats.org/officeDocument/2006/relationships/image" Target="../media/image22.png"/><Relationship Id="rId31" Type="http://schemas.openxmlformats.org/officeDocument/2006/relationships/image" Target="../media/image28.png"/><Relationship Id="rId44" Type="http://schemas.openxmlformats.org/officeDocument/2006/relationships/image" Target="../media/image34.jpeg"/><Relationship Id="rId4" Type="http://schemas.openxmlformats.org/officeDocument/2006/relationships/image" Target="../media/image15.emf"/><Relationship Id="rId9" Type="http://schemas.openxmlformats.org/officeDocument/2006/relationships/hyperlink" Target="#DEBT!A1"/><Relationship Id="rId14" Type="http://schemas.openxmlformats.org/officeDocument/2006/relationships/hyperlink" Target="#'ACTUALS (Y)'!A1"/><Relationship Id="rId22" Type="http://schemas.openxmlformats.org/officeDocument/2006/relationships/hyperlink" Target="#PEERS!A1"/><Relationship Id="rId27" Type="http://schemas.openxmlformats.org/officeDocument/2006/relationships/image" Target="../media/image26.png"/><Relationship Id="rId30" Type="http://schemas.openxmlformats.org/officeDocument/2006/relationships/hyperlink" Target="#'Balance Sheet Summary'!A1"/><Relationship Id="rId35" Type="http://schemas.openxmlformats.org/officeDocument/2006/relationships/image" Target="../media/image30.png"/><Relationship Id="rId43" Type="http://schemas.openxmlformats.org/officeDocument/2006/relationships/hyperlink" Target="#TravelSandbox"/><Relationship Id="rId8" Type="http://schemas.openxmlformats.org/officeDocument/2006/relationships/image" Target="../media/image17.png"/><Relationship Id="rId3" Type="http://schemas.openxmlformats.org/officeDocument/2006/relationships/hyperlink" Target="#DASHBOARD!A1"/><Relationship Id="rId12" Type="http://schemas.openxmlformats.org/officeDocument/2006/relationships/hyperlink" Target="#'ACTUALS (M)'!A1"/><Relationship Id="rId17" Type="http://schemas.openxmlformats.org/officeDocument/2006/relationships/image" Target="../media/image21.png"/><Relationship Id="rId25" Type="http://schemas.openxmlformats.org/officeDocument/2006/relationships/image" Target="../media/image25.png"/><Relationship Id="rId33" Type="http://schemas.openxmlformats.org/officeDocument/2006/relationships/image" Target="../media/image29.png"/><Relationship Id="rId38" Type="http://schemas.openxmlformats.org/officeDocument/2006/relationships/hyperlink" Target="#GAME_APPS_TAB"/><Relationship Id="rId20" Type="http://schemas.openxmlformats.org/officeDocument/2006/relationships/hyperlink" Target="#FURNITURE!A1"/><Relationship Id="rId41" Type="http://schemas.openxmlformats.org/officeDocument/2006/relationships/hyperlink" Target="#BOOK_KEEPING_LEDGER"/></Relationships>
</file>

<file path=xl/drawings/_rels/drawing24.xml.rels><?xml version="1.0" encoding="UTF-8" standalone="yes"?>
<Relationships xmlns="http://schemas.openxmlformats.org/package/2006/relationships"><Relationship Id="rId13" Type="http://schemas.openxmlformats.org/officeDocument/2006/relationships/image" Target="../media/image19.png"/><Relationship Id="rId18" Type="http://schemas.openxmlformats.org/officeDocument/2006/relationships/hyperlink" Target="#REPAIRS!A1"/><Relationship Id="rId26" Type="http://schemas.openxmlformats.org/officeDocument/2006/relationships/hyperlink" Target="#SCENARIOS!A1"/><Relationship Id="rId39" Type="http://schemas.openxmlformats.org/officeDocument/2006/relationships/hyperlink" Target="#'$ Game Apps'!A1"/><Relationship Id="rId21" Type="http://schemas.openxmlformats.org/officeDocument/2006/relationships/image" Target="../media/image23.png"/><Relationship Id="rId34" Type="http://schemas.openxmlformats.org/officeDocument/2006/relationships/hyperlink" Target="#Liabilities!A1"/><Relationship Id="rId42" Type="http://schemas.openxmlformats.org/officeDocument/2006/relationships/image" Target="../media/image33.jpeg"/><Relationship Id="rId7" Type="http://schemas.openxmlformats.org/officeDocument/2006/relationships/hyperlink" Target="#MORTGAGE!A1"/><Relationship Id="rId2" Type="http://schemas.openxmlformats.org/officeDocument/2006/relationships/image" Target="../media/image14.png"/><Relationship Id="rId16" Type="http://schemas.openxmlformats.org/officeDocument/2006/relationships/hyperlink" Target="#'VERSUS (R)'!A1"/><Relationship Id="rId29" Type="http://schemas.openxmlformats.org/officeDocument/2006/relationships/image" Target="../media/image27.png"/><Relationship Id="rId1" Type="http://schemas.openxmlformats.org/officeDocument/2006/relationships/hyperlink" Target="https://winswithmike.com/airbnb" TargetMode="External"/><Relationship Id="rId6" Type="http://schemas.openxmlformats.org/officeDocument/2006/relationships/image" Target="../media/image16.emf"/><Relationship Id="rId11" Type="http://schemas.openxmlformats.org/officeDocument/2006/relationships/hyperlink" Target="#F_Client"/><Relationship Id="rId24" Type="http://schemas.openxmlformats.org/officeDocument/2006/relationships/hyperlink" Target="#'MAX PRICE'!A1"/><Relationship Id="rId32" Type="http://schemas.openxmlformats.org/officeDocument/2006/relationships/hyperlink" Target="#Assets!A1"/><Relationship Id="rId37" Type="http://schemas.openxmlformats.org/officeDocument/2006/relationships/image" Target="../media/image31.png"/><Relationship Id="rId40" Type="http://schemas.openxmlformats.org/officeDocument/2006/relationships/image" Target="../media/image32.png"/><Relationship Id="rId45" Type="http://schemas.openxmlformats.org/officeDocument/2006/relationships/image" Target="../media/image35.png"/><Relationship Id="rId5" Type="http://schemas.openxmlformats.org/officeDocument/2006/relationships/hyperlink" Target="#'SUMMARY (R)'!A1"/><Relationship Id="rId15" Type="http://schemas.openxmlformats.org/officeDocument/2006/relationships/image" Target="../media/image20.png"/><Relationship Id="rId23" Type="http://schemas.openxmlformats.org/officeDocument/2006/relationships/image" Target="../media/image24.png"/><Relationship Id="rId28" Type="http://schemas.openxmlformats.org/officeDocument/2006/relationships/hyperlink" Target="#'Market Research'!A1"/><Relationship Id="rId36" Type="http://schemas.openxmlformats.org/officeDocument/2006/relationships/hyperlink" Target="#'Categories'!A1"/><Relationship Id="rId10" Type="http://schemas.openxmlformats.org/officeDocument/2006/relationships/image" Target="../media/image18.png"/><Relationship Id="rId19" Type="http://schemas.openxmlformats.org/officeDocument/2006/relationships/image" Target="../media/image22.png"/><Relationship Id="rId31" Type="http://schemas.openxmlformats.org/officeDocument/2006/relationships/image" Target="../media/image28.png"/><Relationship Id="rId44" Type="http://schemas.openxmlformats.org/officeDocument/2006/relationships/image" Target="../media/image34.jpeg"/><Relationship Id="rId4" Type="http://schemas.openxmlformats.org/officeDocument/2006/relationships/image" Target="../media/image15.emf"/><Relationship Id="rId9" Type="http://schemas.openxmlformats.org/officeDocument/2006/relationships/hyperlink" Target="#DEBT!A1"/><Relationship Id="rId14" Type="http://schemas.openxmlformats.org/officeDocument/2006/relationships/hyperlink" Target="#'ACTUALS (Y)'!A1"/><Relationship Id="rId22" Type="http://schemas.openxmlformats.org/officeDocument/2006/relationships/hyperlink" Target="#PEERS!A1"/><Relationship Id="rId27" Type="http://schemas.openxmlformats.org/officeDocument/2006/relationships/image" Target="../media/image26.png"/><Relationship Id="rId30" Type="http://schemas.openxmlformats.org/officeDocument/2006/relationships/hyperlink" Target="#'Balance Sheet Summary'!A1"/><Relationship Id="rId35" Type="http://schemas.openxmlformats.org/officeDocument/2006/relationships/image" Target="../media/image30.png"/><Relationship Id="rId43" Type="http://schemas.openxmlformats.org/officeDocument/2006/relationships/hyperlink" Target="#TravelSandbox"/><Relationship Id="rId8" Type="http://schemas.openxmlformats.org/officeDocument/2006/relationships/image" Target="../media/image17.png"/><Relationship Id="rId3" Type="http://schemas.openxmlformats.org/officeDocument/2006/relationships/hyperlink" Target="#DASHBOARD!A1"/><Relationship Id="rId12" Type="http://schemas.openxmlformats.org/officeDocument/2006/relationships/hyperlink" Target="#'ACTUALS (M)'!A1"/><Relationship Id="rId17" Type="http://schemas.openxmlformats.org/officeDocument/2006/relationships/image" Target="../media/image21.png"/><Relationship Id="rId25" Type="http://schemas.openxmlformats.org/officeDocument/2006/relationships/image" Target="../media/image25.png"/><Relationship Id="rId33" Type="http://schemas.openxmlformats.org/officeDocument/2006/relationships/image" Target="../media/image29.png"/><Relationship Id="rId38" Type="http://schemas.openxmlformats.org/officeDocument/2006/relationships/hyperlink" Target="#GAME_APPS_TAB"/><Relationship Id="rId20" Type="http://schemas.openxmlformats.org/officeDocument/2006/relationships/hyperlink" Target="#FURNITURE!A1"/><Relationship Id="rId41" Type="http://schemas.openxmlformats.org/officeDocument/2006/relationships/hyperlink" Target="#BOOK_KEEPING_LEDGER"/></Relationships>
</file>

<file path=xl/drawings/_rels/drawing25.xml.rels><?xml version="1.0" encoding="UTF-8" standalone="yes"?>
<Relationships xmlns="http://schemas.openxmlformats.org/package/2006/relationships"><Relationship Id="rId13" Type="http://schemas.openxmlformats.org/officeDocument/2006/relationships/image" Target="../media/image18.png"/><Relationship Id="rId18" Type="http://schemas.openxmlformats.org/officeDocument/2006/relationships/image" Target="../media/image20.png"/><Relationship Id="rId26" Type="http://schemas.openxmlformats.org/officeDocument/2006/relationships/image" Target="../media/image24.png"/><Relationship Id="rId39" Type="http://schemas.openxmlformats.org/officeDocument/2006/relationships/hyperlink" Target="#'Categories'!A1"/><Relationship Id="rId21" Type="http://schemas.openxmlformats.org/officeDocument/2006/relationships/hyperlink" Target="#REPAIRS!A1"/><Relationship Id="rId34" Type="http://schemas.openxmlformats.org/officeDocument/2006/relationships/image" Target="../media/image28.png"/><Relationship Id="rId42" Type="http://schemas.openxmlformats.org/officeDocument/2006/relationships/hyperlink" Target="#'$ Game Apps'!A1"/><Relationship Id="rId47" Type="http://schemas.openxmlformats.org/officeDocument/2006/relationships/image" Target="../media/image34.jpeg"/><Relationship Id="rId7" Type="http://schemas.openxmlformats.org/officeDocument/2006/relationships/image" Target="../media/image15.emf"/><Relationship Id="rId2" Type="http://schemas.openxmlformats.org/officeDocument/2006/relationships/chart" Target="../charts/chart8.xml"/><Relationship Id="rId16" Type="http://schemas.openxmlformats.org/officeDocument/2006/relationships/image" Target="../media/image19.png"/><Relationship Id="rId29" Type="http://schemas.openxmlformats.org/officeDocument/2006/relationships/hyperlink" Target="#SCENARIOS!A1"/><Relationship Id="rId1" Type="http://schemas.openxmlformats.org/officeDocument/2006/relationships/chart" Target="../charts/chart7.xml"/><Relationship Id="rId6" Type="http://schemas.openxmlformats.org/officeDocument/2006/relationships/hyperlink" Target="#DASHBOARD!A1"/><Relationship Id="rId11" Type="http://schemas.openxmlformats.org/officeDocument/2006/relationships/image" Target="../media/image17.png"/><Relationship Id="rId24" Type="http://schemas.openxmlformats.org/officeDocument/2006/relationships/image" Target="../media/image23.png"/><Relationship Id="rId32" Type="http://schemas.openxmlformats.org/officeDocument/2006/relationships/image" Target="../media/image27.png"/><Relationship Id="rId37" Type="http://schemas.openxmlformats.org/officeDocument/2006/relationships/hyperlink" Target="#Liabilities!A1"/><Relationship Id="rId40" Type="http://schemas.openxmlformats.org/officeDocument/2006/relationships/image" Target="../media/image31.png"/><Relationship Id="rId45" Type="http://schemas.openxmlformats.org/officeDocument/2006/relationships/image" Target="../media/image33.jpeg"/><Relationship Id="rId5" Type="http://schemas.openxmlformats.org/officeDocument/2006/relationships/image" Target="../media/image14.png"/><Relationship Id="rId15" Type="http://schemas.openxmlformats.org/officeDocument/2006/relationships/hyperlink" Target="#'ACTUALS (M)'!A1"/><Relationship Id="rId23" Type="http://schemas.openxmlformats.org/officeDocument/2006/relationships/hyperlink" Target="#FURNITURE!A1"/><Relationship Id="rId28" Type="http://schemas.openxmlformats.org/officeDocument/2006/relationships/image" Target="../media/image25.png"/><Relationship Id="rId36" Type="http://schemas.openxmlformats.org/officeDocument/2006/relationships/image" Target="../media/image29.png"/><Relationship Id="rId10" Type="http://schemas.openxmlformats.org/officeDocument/2006/relationships/hyperlink" Target="#MORTGAGE!A1"/><Relationship Id="rId19" Type="http://schemas.openxmlformats.org/officeDocument/2006/relationships/hyperlink" Target="#'VERSUS (R)'!A1"/><Relationship Id="rId31" Type="http://schemas.openxmlformats.org/officeDocument/2006/relationships/hyperlink" Target="#'Market Research'!A1"/><Relationship Id="rId44" Type="http://schemas.openxmlformats.org/officeDocument/2006/relationships/hyperlink" Target="#BOOK_KEEPING_LEDGER"/><Relationship Id="rId4" Type="http://schemas.openxmlformats.org/officeDocument/2006/relationships/hyperlink" Target="https://winswithmike.com/airbnb" TargetMode="External"/><Relationship Id="rId9" Type="http://schemas.openxmlformats.org/officeDocument/2006/relationships/image" Target="../media/image16.emf"/><Relationship Id="rId14" Type="http://schemas.openxmlformats.org/officeDocument/2006/relationships/hyperlink" Target="#F_Client"/><Relationship Id="rId22" Type="http://schemas.openxmlformats.org/officeDocument/2006/relationships/image" Target="../media/image22.png"/><Relationship Id="rId27" Type="http://schemas.openxmlformats.org/officeDocument/2006/relationships/hyperlink" Target="#'MAX PRICE'!A1"/><Relationship Id="rId30" Type="http://schemas.openxmlformats.org/officeDocument/2006/relationships/image" Target="../media/image26.png"/><Relationship Id="rId35" Type="http://schemas.openxmlformats.org/officeDocument/2006/relationships/hyperlink" Target="#Assets!A1"/><Relationship Id="rId43" Type="http://schemas.openxmlformats.org/officeDocument/2006/relationships/image" Target="../media/image32.png"/><Relationship Id="rId48" Type="http://schemas.openxmlformats.org/officeDocument/2006/relationships/image" Target="../media/image35.png"/><Relationship Id="rId8" Type="http://schemas.openxmlformats.org/officeDocument/2006/relationships/hyperlink" Target="#'SUMMARY (R)'!A1"/><Relationship Id="rId3" Type="http://schemas.openxmlformats.org/officeDocument/2006/relationships/image" Target="../media/image1.emf"/><Relationship Id="rId12" Type="http://schemas.openxmlformats.org/officeDocument/2006/relationships/hyperlink" Target="#DEBT!A1"/><Relationship Id="rId17" Type="http://schemas.openxmlformats.org/officeDocument/2006/relationships/hyperlink" Target="#'ACTUALS (Y)'!A1"/><Relationship Id="rId25" Type="http://schemas.openxmlformats.org/officeDocument/2006/relationships/hyperlink" Target="#PEERS!A1"/><Relationship Id="rId33" Type="http://schemas.openxmlformats.org/officeDocument/2006/relationships/hyperlink" Target="#'Balance Sheet Summary'!A1"/><Relationship Id="rId38" Type="http://schemas.openxmlformats.org/officeDocument/2006/relationships/image" Target="../media/image30.png"/><Relationship Id="rId46" Type="http://schemas.openxmlformats.org/officeDocument/2006/relationships/hyperlink" Target="#TravelSandbox"/><Relationship Id="rId20" Type="http://schemas.openxmlformats.org/officeDocument/2006/relationships/image" Target="../media/image21.png"/><Relationship Id="rId41" Type="http://schemas.openxmlformats.org/officeDocument/2006/relationships/hyperlink" Target="#GAME_APPS_TAB"/></Relationships>
</file>

<file path=xl/drawings/_rels/drawing27.xml.rels><?xml version="1.0" encoding="UTF-8" standalone="yes"?>
<Relationships xmlns="http://schemas.openxmlformats.org/package/2006/relationships"><Relationship Id="rId13" Type="http://schemas.openxmlformats.org/officeDocument/2006/relationships/hyperlink" Target="#DEBT!A1"/><Relationship Id="rId18" Type="http://schemas.openxmlformats.org/officeDocument/2006/relationships/hyperlink" Target="#'ACTUALS (Y)'!A1"/><Relationship Id="rId26" Type="http://schemas.openxmlformats.org/officeDocument/2006/relationships/hyperlink" Target="#PEERS!A1"/><Relationship Id="rId39" Type="http://schemas.openxmlformats.org/officeDocument/2006/relationships/image" Target="../media/image30.png"/><Relationship Id="rId21" Type="http://schemas.openxmlformats.org/officeDocument/2006/relationships/image" Target="../media/image21.png"/><Relationship Id="rId34" Type="http://schemas.openxmlformats.org/officeDocument/2006/relationships/hyperlink" Target="#'Balance Sheet Summary'!A1"/><Relationship Id="rId42" Type="http://schemas.openxmlformats.org/officeDocument/2006/relationships/hyperlink" Target="#GAME_APPS_TAB"/><Relationship Id="rId47" Type="http://schemas.openxmlformats.org/officeDocument/2006/relationships/hyperlink" Target="#TravelSandbox"/><Relationship Id="rId7" Type="http://schemas.openxmlformats.org/officeDocument/2006/relationships/hyperlink" Target="#DASHBOARD!A1"/><Relationship Id="rId2" Type="http://schemas.openxmlformats.org/officeDocument/2006/relationships/chart" Target="../charts/chart10.xml"/><Relationship Id="rId16" Type="http://schemas.openxmlformats.org/officeDocument/2006/relationships/hyperlink" Target="#'ACTUALS (M)'!A1"/><Relationship Id="rId29" Type="http://schemas.openxmlformats.org/officeDocument/2006/relationships/image" Target="../media/image25.png"/><Relationship Id="rId11" Type="http://schemas.openxmlformats.org/officeDocument/2006/relationships/hyperlink" Target="#MORTGAGE!A1"/><Relationship Id="rId24" Type="http://schemas.openxmlformats.org/officeDocument/2006/relationships/hyperlink" Target="#FURNITURE!A1"/><Relationship Id="rId32" Type="http://schemas.openxmlformats.org/officeDocument/2006/relationships/hyperlink" Target="#'Market Research'!A1"/><Relationship Id="rId37" Type="http://schemas.openxmlformats.org/officeDocument/2006/relationships/image" Target="../media/image29.png"/><Relationship Id="rId40" Type="http://schemas.openxmlformats.org/officeDocument/2006/relationships/hyperlink" Target="#'Categories'!A1"/><Relationship Id="rId45" Type="http://schemas.openxmlformats.org/officeDocument/2006/relationships/hyperlink" Target="#BOOK_KEEPING_LEDGER"/><Relationship Id="rId5" Type="http://schemas.openxmlformats.org/officeDocument/2006/relationships/hyperlink" Target="https://winswithmike.com/airbnb" TargetMode="External"/><Relationship Id="rId15" Type="http://schemas.openxmlformats.org/officeDocument/2006/relationships/hyperlink" Target="#F_Client"/><Relationship Id="rId23" Type="http://schemas.openxmlformats.org/officeDocument/2006/relationships/image" Target="../media/image22.png"/><Relationship Id="rId28" Type="http://schemas.openxmlformats.org/officeDocument/2006/relationships/hyperlink" Target="#'MAX PRICE'!A1"/><Relationship Id="rId36" Type="http://schemas.openxmlformats.org/officeDocument/2006/relationships/hyperlink" Target="#Assets!A1"/><Relationship Id="rId49" Type="http://schemas.openxmlformats.org/officeDocument/2006/relationships/image" Target="../media/image35.png"/><Relationship Id="rId10" Type="http://schemas.openxmlformats.org/officeDocument/2006/relationships/image" Target="../media/image16.emf"/><Relationship Id="rId19" Type="http://schemas.openxmlformats.org/officeDocument/2006/relationships/image" Target="../media/image20.png"/><Relationship Id="rId31" Type="http://schemas.openxmlformats.org/officeDocument/2006/relationships/image" Target="../media/image26.png"/><Relationship Id="rId44" Type="http://schemas.openxmlformats.org/officeDocument/2006/relationships/image" Target="../media/image32.png"/><Relationship Id="rId4" Type="http://schemas.openxmlformats.org/officeDocument/2006/relationships/chart" Target="../charts/chart12.xml"/><Relationship Id="rId9" Type="http://schemas.openxmlformats.org/officeDocument/2006/relationships/hyperlink" Target="#'SUMMARY (R)'!A1"/><Relationship Id="rId14" Type="http://schemas.openxmlformats.org/officeDocument/2006/relationships/image" Target="../media/image18.png"/><Relationship Id="rId22" Type="http://schemas.openxmlformats.org/officeDocument/2006/relationships/hyperlink" Target="#REPAIRS!A1"/><Relationship Id="rId27" Type="http://schemas.openxmlformats.org/officeDocument/2006/relationships/image" Target="../media/image24.png"/><Relationship Id="rId30" Type="http://schemas.openxmlformats.org/officeDocument/2006/relationships/hyperlink" Target="#SCENARIOS!A1"/><Relationship Id="rId35" Type="http://schemas.openxmlformats.org/officeDocument/2006/relationships/image" Target="../media/image28.png"/><Relationship Id="rId43" Type="http://schemas.openxmlformats.org/officeDocument/2006/relationships/hyperlink" Target="#'$ Game Apps'!A1"/><Relationship Id="rId48" Type="http://schemas.openxmlformats.org/officeDocument/2006/relationships/image" Target="../media/image34.jpeg"/><Relationship Id="rId8" Type="http://schemas.openxmlformats.org/officeDocument/2006/relationships/image" Target="../media/image15.emf"/><Relationship Id="rId3" Type="http://schemas.openxmlformats.org/officeDocument/2006/relationships/chart" Target="../charts/chart11.xml"/><Relationship Id="rId12" Type="http://schemas.openxmlformats.org/officeDocument/2006/relationships/image" Target="../media/image17.png"/><Relationship Id="rId17" Type="http://schemas.openxmlformats.org/officeDocument/2006/relationships/image" Target="../media/image19.png"/><Relationship Id="rId25" Type="http://schemas.openxmlformats.org/officeDocument/2006/relationships/image" Target="../media/image23.png"/><Relationship Id="rId33" Type="http://schemas.openxmlformats.org/officeDocument/2006/relationships/image" Target="../media/image27.png"/><Relationship Id="rId38" Type="http://schemas.openxmlformats.org/officeDocument/2006/relationships/hyperlink" Target="#Liabilities!A1"/><Relationship Id="rId46" Type="http://schemas.openxmlformats.org/officeDocument/2006/relationships/image" Target="../media/image33.jpeg"/><Relationship Id="rId20" Type="http://schemas.openxmlformats.org/officeDocument/2006/relationships/hyperlink" Target="#'VERSUS (R)'!A1"/><Relationship Id="rId41" Type="http://schemas.openxmlformats.org/officeDocument/2006/relationships/image" Target="../media/image31.png"/><Relationship Id="rId1" Type="http://schemas.openxmlformats.org/officeDocument/2006/relationships/chart" Target="../charts/chart9.xml"/><Relationship Id="rId6"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13" Type="http://schemas.openxmlformats.org/officeDocument/2006/relationships/hyperlink" Target="#DEBT!A1"/><Relationship Id="rId18" Type="http://schemas.openxmlformats.org/officeDocument/2006/relationships/hyperlink" Target="#'ACTUALS (Y)'!A1"/><Relationship Id="rId26" Type="http://schemas.openxmlformats.org/officeDocument/2006/relationships/hyperlink" Target="#PEERS!A1"/><Relationship Id="rId39" Type="http://schemas.openxmlformats.org/officeDocument/2006/relationships/image" Target="../media/image30.png"/><Relationship Id="rId21" Type="http://schemas.openxmlformats.org/officeDocument/2006/relationships/image" Target="../media/image21.png"/><Relationship Id="rId34" Type="http://schemas.openxmlformats.org/officeDocument/2006/relationships/hyperlink" Target="#'Balance Sheet Summary'!A1"/><Relationship Id="rId42" Type="http://schemas.openxmlformats.org/officeDocument/2006/relationships/hyperlink" Target="#GAME_APPS_TAB"/><Relationship Id="rId47" Type="http://schemas.openxmlformats.org/officeDocument/2006/relationships/hyperlink" Target="#TravelSandbox"/><Relationship Id="rId7" Type="http://schemas.openxmlformats.org/officeDocument/2006/relationships/hyperlink" Target="#DASHBOARD!A1"/><Relationship Id="rId2" Type="http://schemas.openxmlformats.org/officeDocument/2006/relationships/chart" Target="../charts/chart14.xml"/><Relationship Id="rId16" Type="http://schemas.openxmlformats.org/officeDocument/2006/relationships/hyperlink" Target="#'ACTUALS (M)'!A1"/><Relationship Id="rId29" Type="http://schemas.openxmlformats.org/officeDocument/2006/relationships/image" Target="../media/image25.png"/><Relationship Id="rId11" Type="http://schemas.openxmlformats.org/officeDocument/2006/relationships/hyperlink" Target="#MORTGAGE!A1"/><Relationship Id="rId24" Type="http://schemas.openxmlformats.org/officeDocument/2006/relationships/hyperlink" Target="#FURNITURE!A1"/><Relationship Id="rId32" Type="http://schemas.openxmlformats.org/officeDocument/2006/relationships/hyperlink" Target="#'Market Research'!A1"/><Relationship Id="rId37" Type="http://schemas.openxmlformats.org/officeDocument/2006/relationships/image" Target="../media/image29.png"/><Relationship Id="rId40" Type="http://schemas.openxmlformats.org/officeDocument/2006/relationships/hyperlink" Target="#'Categories'!A1"/><Relationship Id="rId45" Type="http://schemas.openxmlformats.org/officeDocument/2006/relationships/hyperlink" Target="#BOOK_KEEPING_LEDGER"/><Relationship Id="rId5" Type="http://schemas.openxmlformats.org/officeDocument/2006/relationships/hyperlink" Target="https://winswithmike.com/airbnb" TargetMode="External"/><Relationship Id="rId15" Type="http://schemas.openxmlformats.org/officeDocument/2006/relationships/hyperlink" Target="#F_Client"/><Relationship Id="rId23" Type="http://schemas.openxmlformats.org/officeDocument/2006/relationships/image" Target="../media/image22.png"/><Relationship Id="rId28" Type="http://schemas.openxmlformats.org/officeDocument/2006/relationships/hyperlink" Target="#'MAX PRICE'!A1"/><Relationship Id="rId36" Type="http://schemas.openxmlformats.org/officeDocument/2006/relationships/hyperlink" Target="#Assets!A1"/><Relationship Id="rId49" Type="http://schemas.openxmlformats.org/officeDocument/2006/relationships/image" Target="../media/image35.png"/><Relationship Id="rId10" Type="http://schemas.openxmlformats.org/officeDocument/2006/relationships/image" Target="../media/image16.emf"/><Relationship Id="rId19" Type="http://schemas.openxmlformats.org/officeDocument/2006/relationships/image" Target="../media/image20.png"/><Relationship Id="rId31" Type="http://schemas.openxmlformats.org/officeDocument/2006/relationships/image" Target="../media/image26.png"/><Relationship Id="rId44" Type="http://schemas.openxmlformats.org/officeDocument/2006/relationships/image" Target="../media/image32.png"/><Relationship Id="rId4" Type="http://schemas.openxmlformats.org/officeDocument/2006/relationships/chart" Target="../charts/chart16.xml"/><Relationship Id="rId9" Type="http://schemas.openxmlformats.org/officeDocument/2006/relationships/hyperlink" Target="#'SUMMARY (R)'!A1"/><Relationship Id="rId14" Type="http://schemas.openxmlformats.org/officeDocument/2006/relationships/image" Target="../media/image18.png"/><Relationship Id="rId22" Type="http://schemas.openxmlformats.org/officeDocument/2006/relationships/hyperlink" Target="#REPAIRS!A1"/><Relationship Id="rId27" Type="http://schemas.openxmlformats.org/officeDocument/2006/relationships/image" Target="../media/image24.png"/><Relationship Id="rId30" Type="http://schemas.openxmlformats.org/officeDocument/2006/relationships/hyperlink" Target="#SCENARIOS!A1"/><Relationship Id="rId35" Type="http://schemas.openxmlformats.org/officeDocument/2006/relationships/image" Target="../media/image28.png"/><Relationship Id="rId43" Type="http://schemas.openxmlformats.org/officeDocument/2006/relationships/hyperlink" Target="#'$ Game Apps'!A1"/><Relationship Id="rId48" Type="http://schemas.openxmlformats.org/officeDocument/2006/relationships/image" Target="../media/image34.jpeg"/><Relationship Id="rId8" Type="http://schemas.openxmlformats.org/officeDocument/2006/relationships/image" Target="../media/image15.emf"/><Relationship Id="rId3" Type="http://schemas.openxmlformats.org/officeDocument/2006/relationships/chart" Target="../charts/chart15.xml"/><Relationship Id="rId12" Type="http://schemas.openxmlformats.org/officeDocument/2006/relationships/image" Target="../media/image17.png"/><Relationship Id="rId17" Type="http://schemas.openxmlformats.org/officeDocument/2006/relationships/image" Target="../media/image19.png"/><Relationship Id="rId25" Type="http://schemas.openxmlformats.org/officeDocument/2006/relationships/image" Target="../media/image23.png"/><Relationship Id="rId33" Type="http://schemas.openxmlformats.org/officeDocument/2006/relationships/image" Target="../media/image27.png"/><Relationship Id="rId38" Type="http://schemas.openxmlformats.org/officeDocument/2006/relationships/hyperlink" Target="#Liabilities!A1"/><Relationship Id="rId46" Type="http://schemas.openxmlformats.org/officeDocument/2006/relationships/image" Target="../media/image33.jpeg"/><Relationship Id="rId20" Type="http://schemas.openxmlformats.org/officeDocument/2006/relationships/hyperlink" Target="#'VERSUS (R)'!A1"/><Relationship Id="rId41" Type="http://schemas.openxmlformats.org/officeDocument/2006/relationships/image" Target="../media/image31.png"/><Relationship Id="rId1" Type="http://schemas.openxmlformats.org/officeDocument/2006/relationships/chart" Target="../charts/chart13.xml"/><Relationship Id="rId6" Type="http://schemas.openxmlformats.org/officeDocument/2006/relationships/image" Target="../media/image14.png"/></Relationships>
</file>

<file path=xl/drawings/_rels/drawing29.xml.rels><?xml version="1.0" encoding="UTF-8" standalone="yes"?>
<Relationships xmlns="http://schemas.openxmlformats.org/package/2006/relationships"><Relationship Id="rId13" Type="http://schemas.openxmlformats.org/officeDocument/2006/relationships/hyperlink" Target="#DEBT!A1"/><Relationship Id="rId18" Type="http://schemas.openxmlformats.org/officeDocument/2006/relationships/hyperlink" Target="#'ACTUALS (Y)'!A1"/><Relationship Id="rId26" Type="http://schemas.openxmlformats.org/officeDocument/2006/relationships/hyperlink" Target="#PEERS!A1"/><Relationship Id="rId39" Type="http://schemas.openxmlformats.org/officeDocument/2006/relationships/image" Target="../media/image30.png"/><Relationship Id="rId21" Type="http://schemas.openxmlformats.org/officeDocument/2006/relationships/image" Target="../media/image21.png"/><Relationship Id="rId34" Type="http://schemas.openxmlformats.org/officeDocument/2006/relationships/hyperlink" Target="#'Balance Sheet Summary'!A1"/><Relationship Id="rId42" Type="http://schemas.openxmlformats.org/officeDocument/2006/relationships/hyperlink" Target="#GAME_APPS_TAB"/><Relationship Id="rId47" Type="http://schemas.openxmlformats.org/officeDocument/2006/relationships/hyperlink" Target="#TravelSandbox"/><Relationship Id="rId7" Type="http://schemas.openxmlformats.org/officeDocument/2006/relationships/hyperlink" Target="#DASHBOARD!A1"/><Relationship Id="rId2" Type="http://schemas.openxmlformats.org/officeDocument/2006/relationships/chart" Target="../charts/chart18.xml"/><Relationship Id="rId16" Type="http://schemas.openxmlformats.org/officeDocument/2006/relationships/hyperlink" Target="#'ACTUALS (M)'!A1"/><Relationship Id="rId29" Type="http://schemas.openxmlformats.org/officeDocument/2006/relationships/image" Target="../media/image25.png"/><Relationship Id="rId11" Type="http://schemas.openxmlformats.org/officeDocument/2006/relationships/hyperlink" Target="#MORTGAGE!A1"/><Relationship Id="rId24" Type="http://schemas.openxmlformats.org/officeDocument/2006/relationships/hyperlink" Target="#FURNITURE!A1"/><Relationship Id="rId32" Type="http://schemas.openxmlformats.org/officeDocument/2006/relationships/hyperlink" Target="#'Market Research'!A1"/><Relationship Id="rId37" Type="http://schemas.openxmlformats.org/officeDocument/2006/relationships/image" Target="../media/image29.png"/><Relationship Id="rId40" Type="http://schemas.openxmlformats.org/officeDocument/2006/relationships/hyperlink" Target="#'Categories'!A1"/><Relationship Id="rId45" Type="http://schemas.openxmlformats.org/officeDocument/2006/relationships/hyperlink" Target="#BOOK_KEEPING_LEDGER"/><Relationship Id="rId5" Type="http://schemas.openxmlformats.org/officeDocument/2006/relationships/hyperlink" Target="https://winswithmike.com/airbnb" TargetMode="External"/><Relationship Id="rId15" Type="http://schemas.openxmlformats.org/officeDocument/2006/relationships/hyperlink" Target="#F_Client"/><Relationship Id="rId23" Type="http://schemas.openxmlformats.org/officeDocument/2006/relationships/image" Target="../media/image22.png"/><Relationship Id="rId28" Type="http://schemas.openxmlformats.org/officeDocument/2006/relationships/hyperlink" Target="#'MAX PRICE'!A1"/><Relationship Id="rId36" Type="http://schemas.openxmlformats.org/officeDocument/2006/relationships/hyperlink" Target="#Assets!A1"/><Relationship Id="rId49" Type="http://schemas.openxmlformats.org/officeDocument/2006/relationships/image" Target="../media/image35.png"/><Relationship Id="rId10" Type="http://schemas.openxmlformats.org/officeDocument/2006/relationships/image" Target="../media/image16.emf"/><Relationship Id="rId19" Type="http://schemas.openxmlformats.org/officeDocument/2006/relationships/image" Target="../media/image20.png"/><Relationship Id="rId31" Type="http://schemas.openxmlformats.org/officeDocument/2006/relationships/image" Target="../media/image26.png"/><Relationship Id="rId44" Type="http://schemas.openxmlformats.org/officeDocument/2006/relationships/image" Target="../media/image32.png"/><Relationship Id="rId4" Type="http://schemas.openxmlformats.org/officeDocument/2006/relationships/chart" Target="../charts/chart20.xml"/><Relationship Id="rId9" Type="http://schemas.openxmlformats.org/officeDocument/2006/relationships/hyperlink" Target="#'SUMMARY (R)'!A1"/><Relationship Id="rId14" Type="http://schemas.openxmlformats.org/officeDocument/2006/relationships/image" Target="../media/image18.png"/><Relationship Id="rId22" Type="http://schemas.openxmlformats.org/officeDocument/2006/relationships/hyperlink" Target="#REPAIRS!A1"/><Relationship Id="rId27" Type="http://schemas.openxmlformats.org/officeDocument/2006/relationships/image" Target="../media/image24.png"/><Relationship Id="rId30" Type="http://schemas.openxmlformats.org/officeDocument/2006/relationships/hyperlink" Target="#SCENARIOS!A1"/><Relationship Id="rId35" Type="http://schemas.openxmlformats.org/officeDocument/2006/relationships/image" Target="../media/image28.png"/><Relationship Id="rId43" Type="http://schemas.openxmlformats.org/officeDocument/2006/relationships/hyperlink" Target="#'$ Game Apps'!A1"/><Relationship Id="rId48" Type="http://schemas.openxmlformats.org/officeDocument/2006/relationships/image" Target="../media/image34.jpeg"/><Relationship Id="rId8" Type="http://schemas.openxmlformats.org/officeDocument/2006/relationships/image" Target="../media/image15.emf"/><Relationship Id="rId3" Type="http://schemas.openxmlformats.org/officeDocument/2006/relationships/chart" Target="../charts/chart19.xml"/><Relationship Id="rId12" Type="http://schemas.openxmlformats.org/officeDocument/2006/relationships/image" Target="../media/image17.png"/><Relationship Id="rId17" Type="http://schemas.openxmlformats.org/officeDocument/2006/relationships/image" Target="../media/image19.png"/><Relationship Id="rId25" Type="http://schemas.openxmlformats.org/officeDocument/2006/relationships/image" Target="../media/image23.png"/><Relationship Id="rId33" Type="http://schemas.openxmlformats.org/officeDocument/2006/relationships/image" Target="../media/image27.png"/><Relationship Id="rId38" Type="http://schemas.openxmlformats.org/officeDocument/2006/relationships/hyperlink" Target="#Liabilities!A1"/><Relationship Id="rId46" Type="http://schemas.openxmlformats.org/officeDocument/2006/relationships/image" Target="../media/image33.jpeg"/><Relationship Id="rId20" Type="http://schemas.openxmlformats.org/officeDocument/2006/relationships/hyperlink" Target="#'VERSUS (R)'!A1"/><Relationship Id="rId41" Type="http://schemas.openxmlformats.org/officeDocument/2006/relationships/image" Target="../media/image31.png"/><Relationship Id="rId1" Type="http://schemas.openxmlformats.org/officeDocument/2006/relationships/chart" Target="../charts/chart17.xml"/><Relationship Id="rId6"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https://winswithmike.com/airbnb" TargetMode="External"/></Relationships>
</file>

<file path=xl/drawings/_rels/drawing30.xml.rels><?xml version="1.0" encoding="UTF-8" standalone="yes"?>
<Relationships xmlns="http://schemas.openxmlformats.org/package/2006/relationships"><Relationship Id="rId13" Type="http://schemas.openxmlformats.org/officeDocument/2006/relationships/hyperlink" Target="#'ACTUALS (M)'!A1"/><Relationship Id="rId18" Type="http://schemas.openxmlformats.org/officeDocument/2006/relationships/image" Target="../media/image21.png"/><Relationship Id="rId26" Type="http://schemas.openxmlformats.org/officeDocument/2006/relationships/image" Target="../media/image25.png"/><Relationship Id="rId39" Type="http://schemas.openxmlformats.org/officeDocument/2006/relationships/hyperlink" Target="#GAME_APPS_TAB"/><Relationship Id="rId21" Type="http://schemas.openxmlformats.org/officeDocument/2006/relationships/hyperlink" Target="#FURNITURE!A1"/><Relationship Id="rId34" Type="http://schemas.openxmlformats.org/officeDocument/2006/relationships/image" Target="../media/image29.png"/><Relationship Id="rId42" Type="http://schemas.openxmlformats.org/officeDocument/2006/relationships/hyperlink" Target="#BOOK_KEEPING_LEDGER"/><Relationship Id="rId7" Type="http://schemas.openxmlformats.org/officeDocument/2006/relationships/image" Target="../media/image16.emf"/><Relationship Id="rId2" Type="http://schemas.openxmlformats.org/officeDocument/2006/relationships/hyperlink" Target="https://winswithmike.com/airbnb" TargetMode="External"/><Relationship Id="rId16" Type="http://schemas.openxmlformats.org/officeDocument/2006/relationships/image" Target="../media/image20.png"/><Relationship Id="rId29" Type="http://schemas.openxmlformats.org/officeDocument/2006/relationships/hyperlink" Target="#'Market Research'!A1"/><Relationship Id="rId1" Type="http://schemas.openxmlformats.org/officeDocument/2006/relationships/chart" Target="../charts/chart21.xml"/><Relationship Id="rId6" Type="http://schemas.openxmlformats.org/officeDocument/2006/relationships/hyperlink" Target="#'SUMMARY (R)'!A1"/><Relationship Id="rId11" Type="http://schemas.openxmlformats.org/officeDocument/2006/relationships/image" Target="../media/image18.png"/><Relationship Id="rId24" Type="http://schemas.openxmlformats.org/officeDocument/2006/relationships/image" Target="../media/image24.png"/><Relationship Id="rId32" Type="http://schemas.openxmlformats.org/officeDocument/2006/relationships/image" Target="../media/image28.png"/><Relationship Id="rId37" Type="http://schemas.openxmlformats.org/officeDocument/2006/relationships/hyperlink" Target="#'Categories'!A1"/><Relationship Id="rId40" Type="http://schemas.openxmlformats.org/officeDocument/2006/relationships/hyperlink" Target="#'$ Game Apps'!A1"/><Relationship Id="rId45" Type="http://schemas.openxmlformats.org/officeDocument/2006/relationships/image" Target="../media/image34.jpeg"/><Relationship Id="rId5" Type="http://schemas.openxmlformats.org/officeDocument/2006/relationships/image" Target="../media/image15.emf"/><Relationship Id="rId15" Type="http://schemas.openxmlformats.org/officeDocument/2006/relationships/hyperlink" Target="#'ACTUALS (Y)'!A1"/><Relationship Id="rId23" Type="http://schemas.openxmlformats.org/officeDocument/2006/relationships/hyperlink" Target="#PEERS!A1"/><Relationship Id="rId28" Type="http://schemas.openxmlformats.org/officeDocument/2006/relationships/image" Target="../media/image26.png"/><Relationship Id="rId36" Type="http://schemas.openxmlformats.org/officeDocument/2006/relationships/image" Target="../media/image30.png"/><Relationship Id="rId10" Type="http://schemas.openxmlformats.org/officeDocument/2006/relationships/hyperlink" Target="#DEBT!A1"/><Relationship Id="rId19" Type="http://schemas.openxmlformats.org/officeDocument/2006/relationships/hyperlink" Target="#REPAIRS!A1"/><Relationship Id="rId31" Type="http://schemas.openxmlformats.org/officeDocument/2006/relationships/hyperlink" Target="#'Balance Sheet Summary'!A1"/><Relationship Id="rId44" Type="http://schemas.openxmlformats.org/officeDocument/2006/relationships/hyperlink" Target="#TravelSandbox"/><Relationship Id="rId4" Type="http://schemas.openxmlformats.org/officeDocument/2006/relationships/hyperlink" Target="#DASHBOARD!A1"/><Relationship Id="rId9" Type="http://schemas.openxmlformats.org/officeDocument/2006/relationships/image" Target="../media/image17.png"/><Relationship Id="rId14" Type="http://schemas.openxmlformats.org/officeDocument/2006/relationships/image" Target="../media/image19.png"/><Relationship Id="rId22" Type="http://schemas.openxmlformats.org/officeDocument/2006/relationships/image" Target="../media/image23.png"/><Relationship Id="rId27" Type="http://schemas.openxmlformats.org/officeDocument/2006/relationships/hyperlink" Target="#SCENARIOS!A1"/><Relationship Id="rId30" Type="http://schemas.openxmlformats.org/officeDocument/2006/relationships/image" Target="../media/image27.png"/><Relationship Id="rId35" Type="http://schemas.openxmlformats.org/officeDocument/2006/relationships/hyperlink" Target="#Liabilities!A1"/><Relationship Id="rId43" Type="http://schemas.openxmlformats.org/officeDocument/2006/relationships/image" Target="../media/image33.jpeg"/><Relationship Id="rId8" Type="http://schemas.openxmlformats.org/officeDocument/2006/relationships/hyperlink" Target="#MORTGAGE!A1"/><Relationship Id="rId3" Type="http://schemas.openxmlformats.org/officeDocument/2006/relationships/image" Target="../media/image14.png"/><Relationship Id="rId12" Type="http://schemas.openxmlformats.org/officeDocument/2006/relationships/hyperlink" Target="#F_Client"/><Relationship Id="rId17" Type="http://schemas.openxmlformats.org/officeDocument/2006/relationships/hyperlink" Target="#'VERSUS (R)'!A1"/><Relationship Id="rId25" Type="http://schemas.openxmlformats.org/officeDocument/2006/relationships/hyperlink" Target="#'MAX PRICE'!A1"/><Relationship Id="rId33" Type="http://schemas.openxmlformats.org/officeDocument/2006/relationships/hyperlink" Target="#Assets!A1"/><Relationship Id="rId38" Type="http://schemas.openxmlformats.org/officeDocument/2006/relationships/image" Target="../media/image31.png"/><Relationship Id="rId46" Type="http://schemas.openxmlformats.org/officeDocument/2006/relationships/image" Target="../media/image35.png"/><Relationship Id="rId20" Type="http://schemas.openxmlformats.org/officeDocument/2006/relationships/image" Target="../media/image22.png"/><Relationship Id="rId41" Type="http://schemas.openxmlformats.org/officeDocument/2006/relationships/image" Target="../media/image32.png"/></Relationships>
</file>

<file path=xl/drawings/_rels/drawing32.xml.rels><?xml version="1.0" encoding="UTF-8" standalone="yes"?>
<Relationships xmlns="http://schemas.openxmlformats.org/package/2006/relationships"><Relationship Id="rId13" Type="http://schemas.openxmlformats.org/officeDocument/2006/relationships/image" Target="../media/image19.png"/><Relationship Id="rId18" Type="http://schemas.openxmlformats.org/officeDocument/2006/relationships/hyperlink" Target="#REPAIRS!A1"/><Relationship Id="rId26" Type="http://schemas.openxmlformats.org/officeDocument/2006/relationships/hyperlink" Target="#SCENARIOS!A1"/><Relationship Id="rId39" Type="http://schemas.openxmlformats.org/officeDocument/2006/relationships/hyperlink" Target="#'$ Game Apps'!A1"/><Relationship Id="rId21" Type="http://schemas.openxmlformats.org/officeDocument/2006/relationships/image" Target="../media/image23.png"/><Relationship Id="rId34" Type="http://schemas.openxmlformats.org/officeDocument/2006/relationships/hyperlink" Target="#Liabilities!A1"/><Relationship Id="rId42" Type="http://schemas.openxmlformats.org/officeDocument/2006/relationships/image" Target="../media/image33.jpeg"/><Relationship Id="rId7" Type="http://schemas.openxmlformats.org/officeDocument/2006/relationships/hyperlink" Target="#MORTGAGE!A1"/><Relationship Id="rId2" Type="http://schemas.openxmlformats.org/officeDocument/2006/relationships/image" Target="../media/image14.png"/><Relationship Id="rId16" Type="http://schemas.openxmlformats.org/officeDocument/2006/relationships/hyperlink" Target="#'VERSUS (R)'!A1"/><Relationship Id="rId29" Type="http://schemas.openxmlformats.org/officeDocument/2006/relationships/image" Target="../media/image27.png"/><Relationship Id="rId1" Type="http://schemas.openxmlformats.org/officeDocument/2006/relationships/hyperlink" Target="https://winswithmike.com/airbnb" TargetMode="External"/><Relationship Id="rId6" Type="http://schemas.openxmlformats.org/officeDocument/2006/relationships/image" Target="../media/image16.emf"/><Relationship Id="rId11" Type="http://schemas.openxmlformats.org/officeDocument/2006/relationships/hyperlink" Target="#F_Client"/><Relationship Id="rId24" Type="http://schemas.openxmlformats.org/officeDocument/2006/relationships/hyperlink" Target="#'MAX PRICE'!A1"/><Relationship Id="rId32" Type="http://schemas.openxmlformats.org/officeDocument/2006/relationships/hyperlink" Target="#Assets!A1"/><Relationship Id="rId37" Type="http://schemas.openxmlformats.org/officeDocument/2006/relationships/image" Target="../media/image31.png"/><Relationship Id="rId40" Type="http://schemas.openxmlformats.org/officeDocument/2006/relationships/image" Target="../media/image32.png"/><Relationship Id="rId45" Type="http://schemas.openxmlformats.org/officeDocument/2006/relationships/image" Target="../media/image35.png"/><Relationship Id="rId5" Type="http://schemas.openxmlformats.org/officeDocument/2006/relationships/hyperlink" Target="#'SUMMARY (R)'!A1"/><Relationship Id="rId15" Type="http://schemas.openxmlformats.org/officeDocument/2006/relationships/image" Target="../media/image20.png"/><Relationship Id="rId23" Type="http://schemas.openxmlformats.org/officeDocument/2006/relationships/image" Target="../media/image24.png"/><Relationship Id="rId28" Type="http://schemas.openxmlformats.org/officeDocument/2006/relationships/hyperlink" Target="#'Market Research'!A1"/><Relationship Id="rId36" Type="http://schemas.openxmlformats.org/officeDocument/2006/relationships/hyperlink" Target="#'Categories'!A1"/><Relationship Id="rId10" Type="http://schemas.openxmlformats.org/officeDocument/2006/relationships/image" Target="../media/image18.png"/><Relationship Id="rId19" Type="http://schemas.openxmlformats.org/officeDocument/2006/relationships/image" Target="../media/image22.png"/><Relationship Id="rId31" Type="http://schemas.openxmlformats.org/officeDocument/2006/relationships/image" Target="../media/image28.png"/><Relationship Id="rId44" Type="http://schemas.openxmlformats.org/officeDocument/2006/relationships/image" Target="../media/image34.jpeg"/><Relationship Id="rId4" Type="http://schemas.openxmlformats.org/officeDocument/2006/relationships/image" Target="../media/image15.emf"/><Relationship Id="rId9" Type="http://schemas.openxmlformats.org/officeDocument/2006/relationships/hyperlink" Target="#DEBT!A1"/><Relationship Id="rId14" Type="http://schemas.openxmlformats.org/officeDocument/2006/relationships/hyperlink" Target="#'ACTUALS (Y)'!A1"/><Relationship Id="rId22" Type="http://schemas.openxmlformats.org/officeDocument/2006/relationships/hyperlink" Target="#PEERS!A1"/><Relationship Id="rId27" Type="http://schemas.openxmlformats.org/officeDocument/2006/relationships/image" Target="../media/image26.png"/><Relationship Id="rId30" Type="http://schemas.openxmlformats.org/officeDocument/2006/relationships/hyperlink" Target="#'Balance Sheet Summary'!A1"/><Relationship Id="rId35" Type="http://schemas.openxmlformats.org/officeDocument/2006/relationships/image" Target="../media/image30.png"/><Relationship Id="rId43" Type="http://schemas.openxmlformats.org/officeDocument/2006/relationships/hyperlink" Target="#TravelSandbox"/><Relationship Id="rId8" Type="http://schemas.openxmlformats.org/officeDocument/2006/relationships/image" Target="../media/image17.png"/><Relationship Id="rId3" Type="http://schemas.openxmlformats.org/officeDocument/2006/relationships/hyperlink" Target="#DASHBOARD!A1"/><Relationship Id="rId12" Type="http://schemas.openxmlformats.org/officeDocument/2006/relationships/hyperlink" Target="#'ACTUALS (M)'!A1"/><Relationship Id="rId17" Type="http://schemas.openxmlformats.org/officeDocument/2006/relationships/image" Target="../media/image21.png"/><Relationship Id="rId25" Type="http://schemas.openxmlformats.org/officeDocument/2006/relationships/image" Target="../media/image25.png"/><Relationship Id="rId33" Type="http://schemas.openxmlformats.org/officeDocument/2006/relationships/image" Target="../media/image29.png"/><Relationship Id="rId38" Type="http://schemas.openxmlformats.org/officeDocument/2006/relationships/hyperlink" Target="#GAME_APPS_TAB"/><Relationship Id="rId20" Type="http://schemas.openxmlformats.org/officeDocument/2006/relationships/hyperlink" Target="#FURNITURE!A1"/><Relationship Id="rId41" Type="http://schemas.openxmlformats.org/officeDocument/2006/relationships/hyperlink" Target="#BOOK_KEEPING_LEDGER"/></Relationships>
</file>

<file path=xl/drawings/_rels/drawing33.xml.rels><?xml version="1.0" encoding="UTF-8" standalone="yes"?>
<Relationships xmlns="http://schemas.openxmlformats.org/package/2006/relationships"><Relationship Id="rId13" Type="http://schemas.openxmlformats.org/officeDocument/2006/relationships/hyperlink" Target="#'ACTUALS (M)'!A1"/><Relationship Id="rId18" Type="http://schemas.openxmlformats.org/officeDocument/2006/relationships/image" Target="../media/image21.png"/><Relationship Id="rId26" Type="http://schemas.openxmlformats.org/officeDocument/2006/relationships/image" Target="../media/image25.png"/><Relationship Id="rId39" Type="http://schemas.openxmlformats.org/officeDocument/2006/relationships/hyperlink" Target="#GAME_APPS_TAB"/><Relationship Id="rId21" Type="http://schemas.openxmlformats.org/officeDocument/2006/relationships/hyperlink" Target="#FURNITURE!A1"/><Relationship Id="rId34" Type="http://schemas.openxmlformats.org/officeDocument/2006/relationships/image" Target="../media/image29.png"/><Relationship Id="rId42" Type="http://schemas.openxmlformats.org/officeDocument/2006/relationships/hyperlink" Target="#BOOK_KEEPING_LEDGER"/><Relationship Id="rId7" Type="http://schemas.openxmlformats.org/officeDocument/2006/relationships/image" Target="../media/image16.emf"/><Relationship Id="rId2" Type="http://schemas.openxmlformats.org/officeDocument/2006/relationships/hyperlink" Target="https://winswithmike.com/airbnb" TargetMode="External"/><Relationship Id="rId16" Type="http://schemas.openxmlformats.org/officeDocument/2006/relationships/image" Target="../media/image20.png"/><Relationship Id="rId29" Type="http://schemas.openxmlformats.org/officeDocument/2006/relationships/hyperlink" Target="#'Market Research'!A1"/><Relationship Id="rId1" Type="http://schemas.openxmlformats.org/officeDocument/2006/relationships/chart" Target="../charts/chart22.xml"/><Relationship Id="rId6" Type="http://schemas.openxmlformats.org/officeDocument/2006/relationships/hyperlink" Target="#'SUMMARY (R)'!A1"/><Relationship Id="rId11" Type="http://schemas.openxmlformats.org/officeDocument/2006/relationships/image" Target="../media/image18.png"/><Relationship Id="rId24" Type="http://schemas.openxmlformats.org/officeDocument/2006/relationships/image" Target="../media/image24.png"/><Relationship Id="rId32" Type="http://schemas.openxmlformats.org/officeDocument/2006/relationships/image" Target="../media/image28.png"/><Relationship Id="rId37" Type="http://schemas.openxmlformats.org/officeDocument/2006/relationships/hyperlink" Target="#'Categories'!A1"/><Relationship Id="rId40" Type="http://schemas.openxmlformats.org/officeDocument/2006/relationships/hyperlink" Target="#'$ Game Apps'!A1"/><Relationship Id="rId45" Type="http://schemas.openxmlformats.org/officeDocument/2006/relationships/image" Target="../media/image34.jpeg"/><Relationship Id="rId5" Type="http://schemas.openxmlformats.org/officeDocument/2006/relationships/image" Target="../media/image15.emf"/><Relationship Id="rId15" Type="http://schemas.openxmlformats.org/officeDocument/2006/relationships/hyperlink" Target="#'ACTUALS (Y)'!A1"/><Relationship Id="rId23" Type="http://schemas.openxmlformats.org/officeDocument/2006/relationships/hyperlink" Target="#PEERS!A1"/><Relationship Id="rId28" Type="http://schemas.openxmlformats.org/officeDocument/2006/relationships/image" Target="../media/image26.png"/><Relationship Id="rId36" Type="http://schemas.openxmlformats.org/officeDocument/2006/relationships/image" Target="../media/image30.png"/><Relationship Id="rId10" Type="http://schemas.openxmlformats.org/officeDocument/2006/relationships/hyperlink" Target="#DEBT!A1"/><Relationship Id="rId19" Type="http://schemas.openxmlformats.org/officeDocument/2006/relationships/hyperlink" Target="#REPAIRS!A1"/><Relationship Id="rId31" Type="http://schemas.openxmlformats.org/officeDocument/2006/relationships/hyperlink" Target="#'Balance Sheet Summary'!A1"/><Relationship Id="rId44" Type="http://schemas.openxmlformats.org/officeDocument/2006/relationships/hyperlink" Target="#TravelSandbox"/><Relationship Id="rId4" Type="http://schemas.openxmlformats.org/officeDocument/2006/relationships/hyperlink" Target="#DASHBOARD!A1"/><Relationship Id="rId9" Type="http://schemas.openxmlformats.org/officeDocument/2006/relationships/image" Target="../media/image17.png"/><Relationship Id="rId14" Type="http://schemas.openxmlformats.org/officeDocument/2006/relationships/image" Target="../media/image19.png"/><Relationship Id="rId22" Type="http://schemas.openxmlformats.org/officeDocument/2006/relationships/image" Target="../media/image23.png"/><Relationship Id="rId27" Type="http://schemas.openxmlformats.org/officeDocument/2006/relationships/hyperlink" Target="#SCENARIOS!A1"/><Relationship Id="rId30" Type="http://schemas.openxmlformats.org/officeDocument/2006/relationships/image" Target="../media/image27.png"/><Relationship Id="rId35" Type="http://schemas.openxmlformats.org/officeDocument/2006/relationships/hyperlink" Target="#Liabilities!A1"/><Relationship Id="rId43" Type="http://schemas.openxmlformats.org/officeDocument/2006/relationships/image" Target="../media/image33.jpeg"/><Relationship Id="rId8" Type="http://schemas.openxmlformats.org/officeDocument/2006/relationships/hyperlink" Target="#MORTGAGE!A1"/><Relationship Id="rId3" Type="http://schemas.openxmlformats.org/officeDocument/2006/relationships/image" Target="../media/image14.png"/><Relationship Id="rId12" Type="http://schemas.openxmlformats.org/officeDocument/2006/relationships/hyperlink" Target="#F_Client"/><Relationship Id="rId17" Type="http://schemas.openxmlformats.org/officeDocument/2006/relationships/hyperlink" Target="#'VERSUS (R)'!A1"/><Relationship Id="rId25" Type="http://schemas.openxmlformats.org/officeDocument/2006/relationships/hyperlink" Target="#'MAX PRICE'!A1"/><Relationship Id="rId33" Type="http://schemas.openxmlformats.org/officeDocument/2006/relationships/hyperlink" Target="#Assets!A1"/><Relationship Id="rId38" Type="http://schemas.openxmlformats.org/officeDocument/2006/relationships/image" Target="../media/image31.png"/><Relationship Id="rId46" Type="http://schemas.openxmlformats.org/officeDocument/2006/relationships/image" Target="../media/image35.png"/><Relationship Id="rId20" Type="http://schemas.openxmlformats.org/officeDocument/2006/relationships/image" Target="../media/image22.png"/><Relationship Id="rId41" Type="http://schemas.openxmlformats.org/officeDocument/2006/relationships/image" Target="../media/image32.png"/></Relationships>
</file>

<file path=xl/drawings/_rels/drawing34.xml.rels><?xml version="1.0" encoding="UTF-8" standalone="yes"?>
<Relationships xmlns="http://schemas.openxmlformats.org/package/2006/relationships"><Relationship Id="rId13" Type="http://schemas.openxmlformats.org/officeDocument/2006/relationships/image" Target="../media/image18.png"/><Relationship Id="rId18" Type="http://schemas.openxmlformats.org/officeDocument/2006/relationships/image" Target="../media/image20.png"/><Relationship Id="rId26" Type="http://schemas.openxmlformats.org/officeDocument/2006/relationships/image" Target="../media/image24.png"/><Relationship Id="rId39" Type="http://schemas.openxmlformats.org/officeDocument/2006/relationships/hyperlink" Target="#'Categories'!A1"/><Relationship Id="rId21" Type="http://schemas.openxmlformats.org/officeDocument/2006/relationships/hyperlink" Target="#REPAIRS!A1"/><Relationship Id="rId34" Type="http://schemas.openxmlformats.org/officeDocument/2006/relationships/image" Target="../media/image28.png"/><Relationship Id="rId42" Type="http://schemas.openxmlformats.org/officeDocument/2006/relationships/hyperlink" Target="#'$ Game Apps'!A1"/><Relationship Id="rId47" Type="http://schemas.openxmlformats.org/officeDocument/2006/relationships/image" Target="../media/image34.jpeg"/><Relationship Id="rId7" Type="http://schemas.openxmlformats.org/officeDocument/2006/relationships/image" Target="../media/image15.emf"/><Relationship Id="rId2" Type="http://schemas.openxmlformats.org/officeDocument/2006/relationships/chart" Target="../charts/chart24.xml"/><Relationship Id="rId16" Type="http://schemas.openxmlformats.org/officeDocument/2006/relationships/image" Target="../media/image19.png"/><Relationship Id="rId29" Type="http://schemas.openxmlformats.org/officeDocument/2006/relationships/hyperlink" Target="#SCENARIOS!A1"/><Relationship Id="rId1" Type="http://schemas.openxmlformats.org/officeDocument/2006/relationships/chart" Target="../charts/chart23.xml"/><Relationship Id="rId6" Type="http://schemas.openxmlformats.org/officeDocument/2006/relationships/hyperlink" Target="#DASHBOARD!A1"/><Relationship Id="rId11" Type="http://schemas.openxmlformats.org/officeDocument/2006/relationships/image" Target="../media/image17.png"/><Relationship Id="rId24" Type="http://schemas.openxmlformats.org/officeDocument/2006/relationships/image" Target="../media/image23.png"/><Relationship Id="rId32" Type="http://schemas.openxmlformats.org/officeDocument/2006/relationships/image" Target="../media/image27.png"/><Relationship Id="rId37" Type="http://schemas.openxmlformats.org/officeDocument/2006/relationships/hyperlink" Target="#Liabilities!A1"/><Relationship Id="rId40" Type="http://schemas.openxmlformats.org/officeDocument/2006/relationships/image" Target="../media/image31.png"/><Relationship Id="rId45" Type="http://schemas.openxmlformats.org/officeDocument/2006/relationships/image" Target="../media/image33.jpeg"/><Relationship Id="rId5" Type="http://schemas.openxmlformats.org/officeDocument/2006/relationships/image" Target="../media/image14.png"/><Relationship Id="rId15" Type="http://schemas.openxmlformats.org/officeDocument/2006/relationships/hyperlink" Target="#'ACTUALS (M)'!A1"/><Relationship Id="rId23" Type="http://schemas.openxmlformats.org/officeDocument/2006/relationships/hyperlink" Target="#FURNITURE!A1"/><Relationship Id="rId28" Type="http://schemas.openxmlformats.org/officeDocument/2006/relationships/image" Target="../media/image25.png"/><Relationship Id="rId36" Type="http://schemas.openxmlformats.org/officeDocument/2006/relationships/image" Target="../media/image29.png"/><Relationship Id="rId10" Type="http://schemas.openxmlformats.org/officeDocument/2006/relationships/hyperlink" Target="#MORTGAGE!A1"/><Relationship Id="rId19" Type="http://schemas.openxmlformats.org/officeDocument/2006/relationships/hyperlink" Target="#'VERSUS (R)'!A1"/><Relationship Id="rId31" Type="http://schemas.openxmlformats.org/officeDocument/2006/relationships/hyperlink" Target="#'Market Research'!A1"/><Relationship Id="rId44" Type="http://schemas.openxmlformats.org/officeDocument/2006/relationships/hyperlink" Target="#BOOK_KEEPING_LEDGER"/><Relationship Id="rId4" Type="http://schemas.openxmlformats.org/officeDocument/2006/relationships/hyperlink" Target="https://winswithmike.com/airbnb" TargetMode="External"/><Relationship Id="rId9" Type="http://schemas.openxmlformats.org/officeDocument/2006/relationships/image" Target="../media/image16.emf"/><Relationship Id="rId14" Type="http://schemas.openxmlformats.org/officeDocument/2006/relationships/hyperlink" Target="#F_Client"/><Relationship Id="rId22" Type="http://schemas.openxmlformats.org/officeDocument/2006/relationships/image" Target="../media/image22.png"/><Relationship Id="rId27" Type="http://schemas.openxmlformats.org/officeDocument/2006/relationships/hyperlink" Target="#'MAX PRICE'!A1"/><Relationship Id="rId30" Type="http://schemas.openxmlformats.org/officeDocument/2006/relationships/image" Target="../media/image26.png"/><Relationship Id="rId35" Type="http://schemas.openxmlformats.org/officeDocument/2006/relationships/hyperlink" Target="#Assets!A1"/><Relationship Id="rId43" Type="http://schemas.openxmlformats.org/officeDocument/2006/relationships/image" Target="../media/image32.png"/><Relationship Id="rId48" Type="http://schemas.openxmlformats.org/officeDocument/2006/relationships/image" Target="../media/image35.png"/><Relationship Id="rId8" Type="http://schemas.openxmlformats.org/officeDocument/2006/relationships/hyperlink" Target="#'SUMMARY (R)'!A1"/><Relationship Id="rId3" Type="http://schemas.openxmlformats.org/officeDocument/2006/relationships/chart" Target="../charts/chart25.xml"/><Relationship Id="rId12" Type="http://schemas.openxmlformats.org/officeDocument/2006/relationships/hyperlink" Target="#DEBT!A1"/><Relationship Id="rId17" Type="http://schemas.openxmlformats.org/officeDocument/2006/relationships/hyperlink" Target="#'ACTUALS (Y)'!A1"/><Relationship Id="rId25" Type="http://schemas.openxmlformats.org/officeDocument/2006/relationships/hyperlink" Target="#PEERS!A1"/><Relationship Id="rId33" Type="http://schemas.openxmlformats.org/officeDocument/2006/relationships/hyperlink" Target="#'Balance Sheet Summary'!A1"/><Relationship Id="rId38" Type="http://schemas.openxmlformats.org/officeDocument/2006/relationships/image" Target="../media/image30.png"/><Relationship Id="rId46" Type="http://schemas.openxmlformats.org/officeDocument/2006/relationships/hyperlink" Target="#TravelSandbox"/><Relationship Id="rId20" Type="http://schemas.openxmlformats.org/officeDocument/2006/relationships/image" Target="../media/image21.png"/><Relationship Id="rId41" Type="http://schemas.openxmlformats.org/officeDocument/2006/relationships/hyperlink" Target="#GAME_APPS_TAB"/></Relationships>
</file>

<file path=xl/drawings/_rels/drawing37.xml.rels><?xml version="1.0" encoding="UTF-8" standalone="yes"?>
<Relationships xmlns="http://schemas.openxmlformats.org/package/2006/relationships"><Relationship Id="rId13" Type="http://schemas.openxmlformats.org/officeDocument/2006/relationships/image" Target="../media/image19.png"/><Relationship Id="rId18" Type="http://schemas.openxmlformats.org/officeDocument/2006/relationships/hyperlink" Target="#REPAIRS!A1"/><Relationship Id="rId26" Type="http://schemas.openxmlformats.org/officeDocument/2006/relationships/hyperlink" Target="#SCENARIOS!A1"/><Relationship Id="rId39" Type="http://schemas.openxmlformats.org/officeDocument/2006/relationships/hyperlink" Target="#'$ Game Apps'!A1"/><Relationship Id="rId21" Type="http://schemas.openxmlformats.org/officeDocument/2006/relationships/image" Target="../media/image23.png"/><Relationship Id="rId34" Type="http://schemas.openxmlformats.org/officeDocument/2006/relationships/hyperlink" Target="#Liabilities!A1"/><Relationship Id="rId42" Type="http://schemas.openxmlformats.org/officeDocument/2006/relationships/image" Target="../media/image33.jpeg"/><Relationship Id="rId7" Type="http://schemas.openxmlformats.org/officeDocument/2006/relationships/hyperlink" Target="#MORTGAGE!A1"/><Relationship Id="rId2" Type="http://schemas.openxmlformats.org/officeDocument/2006/relationships/image" Target="../media/image14.png"/><Relationship Id="rId16" Type="http://schemas.openxmlformats.org/officeDocument/2006/relationships/hyperlink" Target="#'VERSUS (R)'!A1"/><Relationship Id="rId29" Type="http://schemas.openxmlformats.org/officeDocument/2006/relationships/image" Target="../media/image27.png"/><Relationship Id="rId1" Type="http://schemas.openxmlformats.org/officeDocument/2006/relationships/hyperlink" Target="https://winswithmike.com/airbnb" TargetMode="External"/><Relationship Id="rId6" Type="http://schemas.openxmlformats.org/officeDocument/2006/relationships/image" Target="../media/image16.emf"/><Relationship Id="rId11" Type="http://schemas.openxmlformats.org/officeDocument/2006/relationships/hyperlink" Target="#F_Client"/><Relationship Id="rId24" Type="http://schemas.openxmlformats.org/officeDocument/2006/relationships/hyperlink" Target="#'MAX PRICE'!A1"/><Relationship Id="rId32" Type="http://schemas.openxmlformats.org/officeDocument/2006/relationships/hyperlink" Target="#Assets!A1"/><Relationship Id="rId37" Type="http://schemas.openxmlformats.org/officeDocument/2006/relationships/image" Target="../media/image31.png"/><Relationship Id="rId40" Type="http://schemas.openxmlformats.org/officeDocument/2006/relationships/image" Target="../media/image32.png"/><Relationship Id="rId45" Type="http://schemas.openxmlformats.org/officeDocument/2006/relationships/image" Target="../media/image35.png"/><Relationship Id="rId5" Type="http://schemas.openxmlformats.org/officeDocument/2006/relationships/hyperlink" Target="#'SUMMARY (R)'!A1"/><Relationship Id="rId15" Type="http://schemas.openxmlformats.org/officeDocument/2006/relationships/image" Target="../media/image20.png"/><Relationship Id="rId23" Type="http://schemas.openxmlformats.org/officeDocument/2006/relationships/image" Target="../media/image24.png"/><Relationship Id="rId28" Type="http://schemas.openxmlformats.org/officeDocument/2006/relationships/hyperlink" Target="#'Market Research'!A1"/><Relationship Id="rId36" Type="http://schemas.openxmlformats.org/officeDocument/2006/relationships/hyperlink" Target="#'Categories'!A1"/><Relationship Id="rId10" Type="http://schemas.openxmlformats.org/officeDocument/2006/relationships/image" Target="../media/image18.png"/><Relationship Id="rId19" Type="http://schemas.openxmlformats.org/officeDocument/2006/relationships/image" Target="../media/image22.png"/><Relationship Id="rId31" Type="http://schemas.openxmlformats.org/officeDocument/2006/relationships/image" Target="../media/image28.png"/><Relationship Id="rId44" Type="http://schemas.openxmlformats.org/officeDocument/2006/relationships/image" Target="../media/image34.jpeg"/><Relationship Id="rId4" Type="http://schemas.openxmlformats.org/officeDocument/2006/relationships/image" Target="../media/image15.emf"/><Relationship Id="rId9" Type="http://schemas.openxmlformats.org/officeDocument/2006/relationships/hyperlink" Target="#DEBT!A1"/><Relationship Id="rId14" Type="http://schemas.openxmlformats.org/officeDocument/2006/relationships/hyperlink" Target="#'ACTUALS (Y)'!A1"/><Relationship Id="rId22" Type="http://schemas.openxmlformats.org/officeDocument/2006/relationships/hyperlink" Target="#PEERS!A1"/><Relationship Id="rId27" Type="http://schemas.openxmlformats.org/officeDocument/2006/relationships/image" Target="../media/image26.png"/><Relationship Id="rId30" Type="http://schemas.openxmlformats.org/officeDocument/2006/relationships/hyperlink" Target="#'Balance Sheet Summary'!A1"/><Relationship Id="rId35" Type="http://schemas.openxmlformats.org/officeDocument/2006/relationships/image" Target="../media/image30.png"/><Relationship Id="rId43" Type="http://schemas.openxmlformats.org/officeDocument/2006/relationships/hyperlink" Target="#TravelSandbox"/><Relationship Id="rId8" Type="http://schemas.openxmlformats.org/officeDocument/2006/relationships/image" Target="../media/image17.png"/><Relationship Id="rId3" Type="http://schemas.openxmlformats.org/officeDocument/2006/relationships/hyperlink" Target="#DASHBOARD!A1"/><Relationship Id="rId12" Type="http://schemas.openxmlformats.org/officeDocument/2006/relationships/hyperlink" Target="#'ACTUALS (M)'!A1"/><Relationship Id="rId17" Type="http://schemas.openxmlformats.org/officeDocument/2006/relationships/image" Target="../media/image21.png"/><Relationship Id="rId25" Type="http://schemas.openxmlformats.org/officeDocument/2006/relationships/image" Target="../media/image25.png"/><Relationship Id="rId33" Type="http://schemas.openxmlformats.org/officeDocument/2006/relationships/image" Target="../media/image29.png"/><Relationship Id="rId38" Type="http://schemas.openxmlformats.org/officeDocument/2006/relationships/hyperlink" Target="#GAME_APPS_TAB"/><Relationship Id="rId20" Type="http://schemas.openxmlformats.org/officeDocument/2006/relationships/hyperlink" Target="#FURNITURE!A1"/><Relationship Id="rId41" Type="http://schemas.openxmlformats.org/officeDocument/2006/relationships/hyperlink" Target="#BOOK_KEEPING_LEDGER"/></Relationships>
</file>

<file path=xl/drawings/_rels/drawing38.xml.rels><?xml version="1.0" encoding="UTF-8" standalone="yes"?>
<Relationships xmlns="http://schemas.openxmlformats.org/package/2006/relationships"><Relationship Id="rId13" Type="http://schemas.openxmlformats.org/officeDocument/2006/relationships/hyperlink" Target="#'ACTUALS (M)'!A1"/><Relationship Id="rId18" Type="http://schemas.openxmlformats.org/officeDocument/2006/relationships/image" Target="../media/image21.png"/><Relationship Id="rId26" Type="http://schemas.openxmlformats.org/officeDocument/2006/relationships/image" Target="../media/image25.png"/><Relationship Id="rId39" Type="http://schemas.openxmlformats.org/officeDocument/2006/relationships/hyperlink" Target="#GAME_APPS_TAB"/><Relationship Id="rId21" Type="http://schemas.openxmlformats.org/officeDocument/2006/relationships/hyperlink" Target="#FURNITURE!A1"/><Relationship Id="rId34" Type="http://schemas.openxmlformats.org/officeDocument/2006/relationships/image" Target="../media/image29.png"/><Relationship Id="rId42" Type="http://schemas.openxmlformats.org/officeDocument/2006/relationships/hyperlink" Target="#BOOK_KEEPING_LEDGER"/><Relationship Id="rId7" Type="http://schemas.openxmlformats.org/officeDocument/2006/relationships/image" Target="../media/image16.emf"/><Relationship Id="rId2" Type="http://schemas.openxmlformats.org/officeDocument/2006/relationships/hyperlink" Target="https://winswithmike.com/airbnb" TargetMode="External"/><Relationship Id="rId16" Type="http://schemas.openxmlformats.org/officeDocument/2006/relationships/image" Target="../media/image20.png"/><Relationship Id="rId29" Type="http://schemas.openxmlformats.org/officeDocument/2006/relationships/hyperlink" Target="#'Market Research'!A1"/><Relationship Id="rId1" Type="http://schemas.openxmlformats.org/officeDocument/2006/relationships/chart" Target="../charts/chart26.xml"/><Relationship Id="rId6" Type="http://schemas.openxmlformats.org/officeDocument/2006/relationships/hyperlink" Target="#'SUMMARY (R)'!A1"/><Relationship Id="rId11" Type="http://schemas.openxmlformats.org/officeDocument/2006/relationships/image" Target="../media/image18.png"/><Relationship Id="rId24" Type="http://schemas.openxmlformats.org/officeDocument/2006/relationships/image" Target="../media/image24.png"/><Relationship Id="rId32" Type="http://schemas.openxmlformats.org/officeDocument/2006/relationships/image" Target="../media/image28.png"/><Relationship Id="rId37" Type="http://schemas.openxmlformats.org/officeDocument/2006/relationships/hyperlink" Target="#'Categories'!A1"/><Relationship Id="rId40" Type="http://schemas.openxmlformats.org/officeDocument/2006/relationships/hyperlink" Target="#'$ Game Apps'!A1"/><Relationship Id="rId45" Type="http://schemas.openxmlformats.org/officeDocument/2006/relationships/image" Target="../media/image34.jpeg"/><Relationship Id="rId5" Type="http://schemas.openxmlformats.org/officeDocument/2006/relationships/image" Target="../media/image15.emf"/><Relationship Id="rId15" Type="http://schemas.openxmlformats.org/officeDocument/2006/relationships/hyperlink" Target="#'ACTUALS (Y)'!A1"/><Relationship Id="rId23" Type="http://schemas.openxmlformats.org/officeDocument/2006/relationships/hyperlink" Target="#PEERS!A1"/><Relationship Id="rId28" Type="http://schemas.openxmlformats.org/officeDocument/2006/relationships/image" Target="../media/image26.png"/><Relationship Id="rId36" Type="http://schemas.openxmlformats.org/officeDocument/2006/relationships/image" Target="../media/image30.png"/><Relationship Id="rId10" Type="http://schemas.openxmlformats.org/officeDocument/2006/relationships/hyperlink" Target="#DEBT!A1"/><Relationship Id="rId19" Type="http://schemas.openxmlformats.org/officeDocument/2006/relationships/hyperlink" Target="#REPAIRS!A1"/><Relationship Id="rId31" Type="http://schemas.openxmlformats.org/officeDocument/2006/relationships/hyperlink" Target="#'Balance Sheet Summary'!A1"/><Relationship Id="rId44" Type="http://schemas.openxmlformats.org/officeDocument/2006/relationships/hyperlink" Target="#TravelSandbox"/><Relationship Id="rId4" Type="http://schemas.openxmlformats.org/officeDocument/2006/relationships/hyperlink" Target="#DASHBOARD!A1"/><Relationship Id="rId9" Type="http://schemas.openxmlformats.org/officeDocument/2006/relationships/image" Target="../media/image17.png"/><Relationship Id="rId14" Type="http://schemas.openxmlformats.org/officeDocument/2006/relationships/image" Target="../media/image19.png"/><Relationship Id="rId22" Type="http://schemas.openxmlformats.org/officeDocument/2006/relationships/image" Target="../media/image23.png"/><Relationship Id="rId27" Type="http://schemas.openxmlformats.org/officeDocument/2006/relationships/hyperlink" Target="#SCENARIOS!A1"/><Relationship Id="rId30" Type="http://schemas.openxmlformats.org/officeDocument/2006/relationships/image" Target="../media/image27.png"/><Relationship Id="rId35" Type="http://schemas.openxmlformats.org/officeDocument/2006/relationships/hyperlink" Target="#Liabilities!A1"/><Relationship Id="rId43" Type="http://schemas.openxmlformats.org/officeDocument/2006/relationships/image" Target="../media/image33.jpeg"/><Relationship Id="rId8" Type="http://schemas.openxmlformats.org/officeDocument/2006/relationships/hyperlink" Target="#MORTGAGE!A1"/><Relationship Id="rId3" Type="http://schemas.openxmlformats.org/officeDocument/2006/relationships/image" Target="../media/image14.png"/><Relationship Id="rId12" Type="http://schemas.openxmlformats.org/officeDocument/2006/relationships/hyperlink" Target="#F_Client"/><Relationship Id="rId17" Type="http://schemas.openxmlformats.org/officeDocument/2006/relationships/hyperlink" Target="#'VERSUS (R)'!A1"/><Relationship Id="rId25" Type="http://schemas.openxmlformats.org/officeDocument/2006/relationships/hyperlink" Target="#'MAX PRICE'!A1"/><Relationship Id="rId33" Type="http://schemas.openxmlformats.org/officeDocument/2006/relationships/hyperlink" Target="#Assets!A1"/><Relationship Id="rId38" Type="http://schemas.openxmlformats.org/officeDocument/2006/relationships/image" Target="../media/image31.png"/><Relationship Id="rId46" Type="http://schemas.openxmlformats.org/officeDocument/2006/relationships/image" Target="../media/image35.png"/><Relationship Id="rId20" Type="http://schemas.openxmlformats.org/officeDocument/2006/relationships/image" Target="../media/image22.png"/><Relationship Id="rId41" Type="http://schemas.openxmlformats.org/officeDocument/2006/relationships/image" Target="../media/image32.png"/></Relationships>
</file>

<file path=xl/drawings/_rels/drawing39.xml.rels><?xml version="1.0" encoding="UTF-8" standalone="yes"?>
<Relationships xmlns="http://schemas.openxmlformats.org/package/2006/relationships"><Relationship Id="rId13" Type="http://schemas.openxmlformats.org/officeDocument/2006/relationships/image" Target="../media/image19.png"/><Relationship Id="rId18" Type="http://schemas.openxmlformats.org/officeDocument/2006/relationships/hyperlink" Target="#REPAIRS!A1"/><Relationship Id="rId26" Type="http://schemas.openxmlformats.org/officeDocument/2006/relationships/hyperlink" Target="#SCENARIOS!A1"/><Relationship Id="rId39" Type="http://schemas.openxmlformats.org/officeDocument/2006/relationships/hyperlink" Target="#'$ Game Apps'!A1"/><Relationship Id="rId21" Type="http://schemas.openxmlformats.org/officeDocument/2006/relationships/image" Target="../media/image23.png"/><Relationship Id="rId34" Type="http://schemas.openxmlformats.org/officeDocument/2006/relationships/hyperlink" Target="#Liabilities!A1"/><Relationship Id="rId42" Type="http://schemas.openxmlformats.org/officeDocument/2006/relationships/image" Target="../media/image33.jpeg"/><Relationship Id="rId7" Type="http://schemas.openxmlformats.org/officeDocument/2006/relationships/hyperlink" Target="#MORTGAGE!A1"/><Relationship Id="rId2" Type="http://schemas.openxmlformats.org/officeDocument/2006/relationships/image" Target="../media/image14.png"/><Relationship Id="rId16" Type="http://schemas.openxmlformats.org/officeDocument/2006/relationships/hyperlink" Target="#'VERSUS (R)'!A1"/><Relationship Id="rId29" Type="http://schemas.openxmlformats.org/officeDocument/2006/relationships/image" Target="../media/image27.png"/><Relationship Id="rId1" Type="http://schemas.openxmlformats.org/officeDocument/2006/relationships/hyperlink" Target="https://winswithmike.com/airbnb" TargetMode="External"/><Relationship Id="rId6" Type="http://schemas.openxmlformats.org/officeDocument/2006/relationships/image" Target="../media/image16.emf"/><Relationship Id="rId11" Type="http://schemas.openxmlformats.org/officeDocument/2006/relationships/hyperlink" Target="#F_Client"/><Relationship Id="rId24" Type="http://schemas.openxmlformats.org/officeDocument/2006/relationships/hyperlink" Target="#'MAX PRICE'!A1"/><Relationship Id="rId32" Type="http://schemas.openxmlformats.org/officeDocument/2006/relationships/hyperlink" Target="#Assets!A1"/><Relationship Id="rId37" Type="http://schemas.openxmlformats.org/officeDocument/2006/relationships/image" Target="../media/image31.png"/><Relationship Id="rId40" Type="http://schemas.openxmlformats.org/officeDocument/2006/relationships/image" Target="../media/image32.png"/><Relationship Id="rId45" Type="http://schemas.openxmlformats.org/officeDocument/2006/relationships/image" Target="../media/image35.png"/><Relationship Id="rId5" Type="http://schemas.openxmlformats.org/officeDocument/2006/relationships/hyperlink" Target="#'SUMMARY (R)'!A1"/><Relationship Id="rId15" Type="http://schemas.openxmlformats.org/officeDocument/2006/relationships/image" Target="../media/image20.png"/><Relationship Id="rId23" Type="http://schemas.openxmlformats.org/officeDocument/2006/relationships/image" Target="../media/image24.png"/><Relationship Id="rId28" Type="http://schemas.openxmlformats.org/officeDocument/2006/relationships/hyperlink" Target="#'Market Research'!A1"/><Relationship Id="rId36" Type="http://schemas.openxmlformats.org/officeDocument/2006/relationships/hyperlink" Target="#'Categories'!A1"/><Relationship Id="rId10" Type="http://schemas.openxmlformats.org/officeDocument/2006/relationships/image" Target="../media/image18.png"/><Relationship Id="rId19" Type="http://schemas.openxmlformats.org/officeDocument/2006/relationships/image" Target="../media/image22.png"/><Relationship Id="rId31" Type="http://schemas.openxmlformats.org/officeDocument/2006/relationships/image" Target="../media/image28.png"/><Relationship Id="rId44" Type="http://schemas.openxmlformats.org/officeDocument/2006/relationships/image" Target="../media/image34.jpeg"/><Relationship Id="rId4" Type="http://schemas.openxmlformats.org/officeDocument/2006/relationships/image" Target="../media/image15.emf"/><Relationship Id="rId9" Type="http://schemas.openxmlformats.org/officeDocument/2006/relationships/hyperlink" Target="#DEBT!A1"/><Relationship Id="rId14" Type="http://schemas.openxmlformats.org/officeDocument/2006/relationships/hyperlink" Target="#'ACTUALS (Y)'!A1"/><Relationship Id="rId22" Type="http://schemas.openxmlformats.org/officeDocument/2006/relationships/hyperlink" Target="#PEERS!A1"/><Relationship Id="rId27" Type="http://schemas.openxmlformats.org/officeDocument/2006/relationships/image" Target="../media/image26.png"/><Relationship Id="rId30" Type="http://schemas.openxmlformats.org/officeDocument/2006/relationships/hyperlink" Target="#'Balance Sheet Summary'!A1"/><Relationship Id="rId35" Type="http://schemas.openxmlformats.org/officeDocument/2006/relationships/image" Target="../media/image30.png"/><Relationship Id="rId43" Type="http://schemas.openxmlformats.org/officeDocument/2006/relationships/hyperlink" Target="#TravelSandbox"/><Relationship Id="rId8" Type="http://schemas.openxmlformats.org/officeDocument/2006/relationships/image" Target="../media/image17.png"/><Relationship Id="rId3" Type="http://schemas.openxmlformats.org/officeDocument/2006/relationships/hyperlink" Target="#DASHBOARD!A1"/><Relationship Id="rId12" Type="http://schemas.openxmlformats.org/officeDocument/2006/relationships/hyperlink" Target="#'ACTUALS (M)'!A1"/><Relationship Id="rId17" Type="http://schemas.openxmlformats.org/officeDocument/2006/relationships/image" Target="../media/image21.png"/><Relationship Id="rId25" Type="http://schemas.openxmlformats.org/officeDocument/2006/relationships/image" Target="../media/image25.png"/><Relationship Id="rId33" Type="http://schemas.openxmlformats.org/officeDocument/2006/relationships/image" Target="../media/image29.png"/><Relationship Id="rId38" Type="http://schemas.openxmlformats.org/officeDocument/2006/relationships/hyperlink" Target="#GAME_APPS_TAB"/><Relationship Id="rId20" Type="http://schemas.openxmlformats.org/officeDocument/2006/relationships/hyperlink" Target="#FURNITURE!A1"/><Relationship Id="rId41" Type="http://schemas.openxmlformats.org/officeDocument/2006/relationships/hyperlink" Target="#BOOK_KEEPING_LEDGER"/></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inswithmike.com/airbnb" TargetMode="External"/></Relationships>
</file>

<file path=xl/drawings/_rels/drawing40.xml.rels><?xml version="1.0" encoding="UTF-8" standalone="yes"?>
<Relationships xmlns="http://schemas.openxmlformats.org/package/2006/relationships"><Relationship Id="rId13" Type="http://schemas.openxmlformats.org/officeDocument/2006/relationships/image" Target="../media/image19.png"/><Relationship Id="rId18" Type="http://schemas.openxmlformats.org/officeDocument/2006/relationships/hyperlink" Target="#REPAIRS!A1"/><Relationship Id="rId26" Type="http://schemas.openxmlformats.org/officeDocument/2006/relationships/hyperlink" Target="#SCENARIOS!A1"/><Relationship Id="rId39" Type="http://schemas.openxmlformats.org/officeDocument/2006/relationships/hyperlink" Target="#'$ Game Apps'!A1"/><Relationship Id="rId21" Type="http://schemas.openxmlformats.org/officeDocument/2006/relationships/image" Target="../media/image23.png"/><Relationship Id="rId34" Type="http://schemas.openxmlformats.org/officeDocument/2006/relationships/hyperlink" Target="#Liabilities!A1"/><Relationship Id="rId42" Type="http://schemas.openxmlformats.org/officeDocument/2006/relationships/image" Target="../media/image33.jpeg"/><Relationship Id="rId7" Type="http://schemas.openxmlformats.org/officeDocument/2006/relationships/hyperlink" Target="#MORTGAGE!A1"/><Relationship Id="rId2" Type="http://schemas.openxmlformats.org/officeDocument/2006/relationships/image" Target="../media/image14.png"/><Relationship Id="rId16" Type="http://schemas.openxmlformats.org/officeDocument/2006/relationships/hyperlink" Target="#'VERSUS (R)'!A1"/><Relationship Id="rId29" Type="http://schemas.openxmlformats.org/officeDocument/2006/relationships/image" Target="../media/image27.png"/><Relationship Id="rId1" Type="http://schemas.openxmlformats.org/officeDocument/2006/relationships/hyperlink" Target="https://winswithmike.com/airbnb" TargetMode="External"/><Relationship Id="rId6" Type="http://schemas.openxmlformats.org/officeDocument/2006/relationships/image" Target="../media/image16.emf"/><Relationship Id="rId11" Type="http://schemas.openxmlformats.org/officeDocument/2006/relationships/hyperlink" Target="#F_Client"/><Relationship Id="rId24" Type="http://schemas.openxmlformats.org/officeDocument/2006/relationships/hyperlink" Target="#'MAX PRICE'!A1"/><Relationship Id="rId32" Type="http://schemas.openxmlformats.org/officeDocument/2006/relationships/hyperlink" Target="#Assets!A1"/><Relationship Id="rId37" Type="http://schemas.openxmlformats.org/officeDocument/2006/relationships/image" Target="../media/image31.png"/><Relationship Id="rId40" Type="http://schemas.openxmlformats.org/officeDocument/2006/relationships/image" Target="../media/image32.png"/><Relationship Id="rId45" Type="http://schemas.openxmlformats.org/officeDocument/2006/relationships/image" Target="../media/image35.png"/><Relationship Id="rId5" Type="http://schemas.openxmlformats.org/officeDocument/2006/relationships/hyperlink" Target="#'SUMMARY (R)'!A1"/><Relationship Id="rId15" Type="http://schemas.openxmlformats.org/officeDocument/2006/relationships/image" Target="../media/image20.png"/><Relationship Id="rId23" Type="http://schemas.openxmlformats.org/officeDocument/2006/relationships/image" Target="../media/image24.png"/><Relationship Id="rId28" Type="http://schemas.openxmlformats.org/officeDocument/2006/relationships/hyperlink" Target="#'Market Research'!A1"/><Relationship Id="rId36" Type="http://schemas.openxmlformats.org/officeDocument/2006/relationships/hyperlink" Target="#'Categories'!A1"/><Relationship Id="rId10" Type="http://schemas.openxmlformats.org/officeDocument/2006/relationships/image" Target="../media/image18.png"/><Relationship Id="rId19" Type="http://schemas.openxmlformats.org/officeDocument/2006/relationships/image" Target="../media/image22.png"/><Relationship Id="rId31" Type="http://schemas.openxmlformats.org/officeDocument/2006/relationships/image" Target="../media/image28.png"/><Relationship Id="rId44" Type="http://schemas.openxmlformats.org/officeDocument/2006/relationships/image" Target="../media/image34.jpeg"/><Relationship Id="rId4" Type="http://schemas.openxmlformats.org/officeDocument/2006/relationships/image" Target="../media/image15.emf"/><Relationship Id="rId9" Type="http://schemas.openxmlformats.org/officeDocument/2006/relationships/hyperlink" Target="#DEBT!A1"/><Relationship Id="rId14" Type="http://schemas.openxmlformats.org/officeDocument/2006/relationships/hyperlink" Target="#'ACTUALS (Y)'!A1"/><Relationship Id="rId22" Type="http://schemas.openxmlformats.org/officeDocument/2006/relationships/hyperlink" Target="#PEERS!A1"/><Relationship Id="rId27" Type="http://schemas.openxmlformats.org/officeDocument/2006/relationships/image" Target="../media/image26.png"/><Relationship Id="rId30" Type="http://schemas.openxmlformats.org/officeDocument/2006/relationships/hyperlink" Target="#'Balance Sheet Summary'!A1"/><Relationship Id="rId35" Type="http://schemas.openxmlformats.org/officeDocument/2006/relationships/image" Target="../media/image30.png"/><Relationship Id="rId43" Type="http://schemas.openxmlformats.org/officeDocument/2006/relationships/hyperlink" Target="#TravelSandbox"/><Relationship Id="rId8" Type="http://schemas.openxmlformats.org/officeDocument/2006/relationships/image" Target="../media/image17.png"/><Relationship Id="rId3" Type="http://schemas.openxmlformats.org/officeDocument/2006/relationships/hyperlink" Target="#DASHBOARD!A1"/><Relationship Id="rId12" Type="http://schemas.openxmlformats.org/officeDocument/2006/relationships/hyperlink" Target="#'ACTUALS (M)'!A1"/><Relationship Id="rId17" Type="http://schemas.openxmlformats.org/officeDocument/2006/relationships/image" Target="../media/image21.png"/><Relationship Id="rId25" Type="http://schemas.openxmlformats.org/officeDocument/2006/relationships/image" Target="../media/image25.png"/><Relationship Id="rId33" Type="http://schemas.openxmlformats.org/officeDocument/2006/relationships/image" Target="../media/image29.png"/><Relationship Id="rId38" Type="http://schemas.openxmlformats.org/officeDocument/2006/relationships/hyperlink" Target="#GAME_APPS_TAB"/><Relationship Id="rId20" Type="http://schemas.openxmlformats.org/officeDocument/2006/relationships/hyperlink" Target="#FURNITURE!A1"/><Relationship Id="rId41" Type="http://schemas.openxmlformats.org/officeDocument/2006/relationships/hyperlink" Target="#BOOK_KEEPING_LEDGER"/></Relationships>
</file>

<file path=xl/drawings/_rels/drawing5.xml.rels><?xml version="1.0" encoding="UTF-8" standalone="yes"?>
<Relationships xmlns="http://schemas.openxmlformats.org/package/2006/relationships"><Relationship Id="rId13" Type="http://schemas.openxmlformats.org/officeDocument/2006/relationships/hyperlink" Target="https://thealexjonesstore.com/products/ultra-methylene-blue-capsules?sca_ref=9074582.uu0yT1hU06w5a" TargetMode="External"/><Relationship Id="rId18" Type="http://schemas.openxmlformats.org/officeDocument/2006/relationships/image" Target="../media/image13.jpeg"/><Relationship Id="rId26" Type="http://schemas.openxmlformats.org/officeDocument/2006/relationships/hyperlink" Target="#DEBT!A1"/><Relationship Id="rId39" Type="http://schemas.openxmlformats.org/officeDocument/2006/relationships/hyperlink" Target="#PEERS!A1"/><Relationship Id="rId21" Type="http://schemas.openxmlformats.org/officeDocument/2006/relationships/image" Target="../media/image15.emf"/><Relationship Id="rId34" Type="http://schemas.openxmlformats.org/officeDocument/2006/relationships/image" Target="../media/image21.png"/><Relationship Id="rId42" Type="http://schemas.openxmlformats.org/officeDocument/2006/relationships/image" Target="../media/image25.png"/><Relationship Id="rId47" Type="http://schemas.openxmlformats.org/officeDocument/2006/relationships/hyperlink" Target="#'Balance Sheet Summary'!A1"/><Relationship Id="rId50" Type="http://schemas.openxmlformats.org/officeDocument/2006/relationships/image" Target="../media/image29.png"/><Relationship Id="rId55" Type="http://schemas.openxmlformats.org/officeDocument/2006/relationships/hyperlink" Target="#GAME_APPS_TAB"/><Relationship Id="rId7" Type="http://schemas.openxmlformats.org/officeDocument/2006/relationships/hyperlink" Target="https://partners.livechat.com/?a=uUyAF75Hg" TargetMode="External"/><Relationship Id="rId2" Type="http://schemas.openxmlformats.org/officeDocument/2006/relationships/image" Target="../media/image5.png"/><Relationship Id="rId16" Type="http://schemas.openxmlformats.org/officeDocument/2006/relationships/image" Target="../media/image12.jpg"/><Relationship Id="rId29" Type="http://schemas.openxmlformats.org/officeDocument/2006/relationships/hyperlink" Target="#'ACTUALS (M)'!A1"/><Relationship Id="rId11" Type="http://schemas.openxmlformats.org/officeDocument/2006/relationships/hyperlink" Target="https://sovrn.co/1is6fce" TargetMode="External"/><Relationship Id="rId24" Type="http://schemas.openxmlformats.org/officeDocument/2006/relationships/hyperlink" Target="#MORTGAGE!A1"/><Relationship Id="rId32" Type="http://schemas.openxmlformats.org/officeDocument/2006/relationships/image" Target="../media/image20.png"/><Relationship Id="rId37" Type="http://schemas.openxmlformats.org/officeDocument/2006/relationships/hyperlink" Target="#FURNITURE!A1"/><Relationship Id="rId40" Type="http://schemas.openxmlformats.org/officeDocument/2006/relationships/image" Target="../media/image24.png"/><Relationship Id="rId45" Type="http://schemas.openxmlformats.org/officeDocument/2006/relationships/hyperlink" Target="#'Market Research'!A1"/><Relationship Id="rId53" Type="http://schemas.openxmlformats.org/officeDocument/2006/relationships/hyperlink" Target="#'Categories'!A1"/><Relationship Id="rId58" Type="http://schemas.openxmlformats.org/officeDocument/2006/relationships/hyperlink" Target="#BOOK_KEEPING_LEDGER"/><Relationship Id="rId5" Type="http://schemas.openxmlformats.org/officeDocument/2006/relationships/hyperlink" Target="https://www.paypal.com/donate/?hosted_button_id=95K5LFHZEZKUG" TargetMode="External"/><Relationship Id="rId61" Type="http://schemas.openxmlformats.org/officeDocument/2006/relationships/image" Target="../media/image34.jpeg"/><Relationship Id="rId19" Type="http://schemas.openxmlformats.org/officeDocument/2006/relationships/image" Target="../media/image14.png"/><Relationship Id="rId14" Type="http://schemas.openxmlformats.org/officeDocument/2006/relationships/image" Target="../media/image11.png"/><Relationship Id="rId22" Type="http://schemas.openxmlformats.org/officeDocument/2006/relationships/hyperlink" Target="#'SUMMARY (R)'!A1"/><Relationship Id="rId27" Type="http://schemas.openxmlformats.org/officeDocument/2006/relationships/image" Target="../media/image18.png"/><Relationship Id="rId30" Type="http://schemas.openxmlformats.org/officeDocument/2006/relationships/image" Target="../media/image19.png"/><Relationship Id="rId35" Type="http://schemas.openxmlformats.org/officeDocument/2006/relationships/hyperlink" Target="#REPAIRS!A1"/><Relationship Id="rId43" Type="http://schemas.openxmlformats.org/officeDocument/2006/relationships/hyperlink" Target="#SCENARIOS!A1"/><Relationship Id="rId48" Type="http://schemas.openxmlformats.org/officeDocument/2006/relationships/image" Target="../media/image28.png"/><Relationship Id="rId56" Type="http://schemas.openxmlformats.org/officeDocument/2006/relationships/hyperlink" Target="#'$ Game Apps'!A1"/><Relationship Id="rId8" Type="http://schemas.openxmlformats.org/officeDocument/2006/relationships/image" Target="../media/image8.png"/><Relationship Id="rId51" Type="http://schemas.openxmlformats.org/officeDocument/2006/relationships/hyperlink" Target="#Liabilities!A1"/><Relationship Id="rId3" Type="http://schemas.openxmlformats.org/officeDocument/2006/relationships/hyperlink" Target="https://r.honeygain.me/MLFOR9D359" TargetMode="External"/><Relationship Id="rId12" Type="http://schemas.openxmlformats.org/officeDocument/2006/relationships/image" Target="../media/image10.png"/><Relationship Id="rId17" Type="http://schemas.openxmlformats.org/officeDocument/2006/relationships/hyperlink" Target="https://goo.gl/rsa4jD" TargetMode="External"/><Relationship Id="rId25" Type="http://schemas.openxmlformats.org/officeDocument/2006/relationships/image" Target="../media/image17.png"/><Relationship Id="rId33" Type="http://schemas.openxmlformats.org/officeDocument/2006/relationships/hyperlink" Target="#'VERSUS (R)'!A1"/><Relationship Id="rId38" Type="http://schemas.openxmlformats.org/officeDocument/2006/relationships/image" Target="../media/image23.png"/><Relationship Id="rId46" Type="http://schemas.openxmlformats.org/officeDocument/2006/relationships/image" Target="../media/image27.png"/><Relationship Id="rId59" Type="http://schemas.openxmlformats.org/officeDocument/2006/relationships/image" Target="../media/image33.jpeg"/><Relationship Id="rId20" Type="http://schemas.openxmlformats.org/officeDocument/2006/relationships/hyperlink" Target="#DASHBOARD!A1"/><Relationship Id="rId41" Type="http://schemas.openxmlformats.org/officeDocument/2006/relationships/hyperlink" Target="#'MAX PRICE'!A1"/><Relationship Id="rId54" Type="http://schemas.openxmlformats.org/officeDocument/2006/relationships/image" Target="../media/image31.png"/><Relationship Id="rId62" Type="http://schemas.openxmlformats.org/officeDocument/2006/relationships/image" Target="../media/image35.png"/><Relationship Id="rId1" Type="http://schemas.openxmlformats.org/officeDocument/2006/relationships/hyperlink" Target="https://winswithmike.com/airbnb" TargetMode="External"/><Relationship Id="rId6" Type="http://schemas.openxmlformats.org/officeDocument/2006/relationships/image" Target="../media/image7.jpg"/><Relationship Id="rId15" Type="http://schemas.openxmlformats.org/officeDocument/2006/relationships/hyperlink" Target="https://www.casinoworld.com/fx/refer?user=19509731" TargetMode="External"/><Relationship Id="rId23" Type="http://schemas.openxmlformats.org/officeDocument/2006/relationships/image" Target="../media/image16.emf"/><Relationship Id="rId28" Type="http://schemas.openxmlformats.org/officeDocument/2006/relationships/hyperlink" Target="#F_Client"/><Relationship Id="rId36" Type="http://schemas.openxmlformats.org/officeDocument/2006/relationships/image" Target="../media/image22.png"/><Relationship Id="rId49" Type="http://schemas.openxmlformats.org/officeDocument/2006/relationships/hyperlink" Target="#Assets!A1"/><Relationship Id="rId57" Type="http://schemas.openxmlformats.org/officeDocument/2006/relationships/image" Target="../media/image32.png"/><Relationship Id="rId10" Type="http://schemas.openxmlformats.org/officeDocument/2006/relationships/image" Target="../media/image9.jpg"/><Relationship Id="rId31" Type="http://schemas.openxmlformats.org/officeDocument/2006/relationships/hyperlink" Target="#'ACTUALS (Y)'!A1"/><Relationship Id="rId44" Type="http://schemas.openxmlformats.org/officeDocument/2006/relationships/image" Target="../media/image26.png"/><Relationship Id="rId52" Type="http://schemas.openxmlformats.org/officeDocument/2006/relationships/image" Target="../media/image30.png"/><Relationship Id="rId60" Type="http://schemas.openxmlformats.org/officeDocument/2006/relationships/hyperlink" Target="#TravelSandbox"/><Relationship Id="rId4" Type="http://schemas.openxmlformats.org/officeDocument/2006/relationships/image" Target="../media/image6.jpg"/><Relationship Id="rId9" Type="http://schemas.openxmlformats.org/officeDocument/2006/relationships/hyperlink" Target="https://www.empshield.com/?coupon=winswithmike" TargetMode="External"/></Relationships>
</file>

<file path=xl/drawings/_rels/drawing6.xml.rels><?xml version="1.0" encoding="UTF-8" standalone="yes"?>
<Relationships xmlns="http://schemas.openxmlformats.org/package/2006/relationships"><Relationship Id="rId13" Type="http://schemas.openxmlformats.org/officeDocument/2006/relationships/image" Target="../media/image19.png"/><Relationship Id="rId18" Type="http://schemas.openxmlformats.org/officeDocument/2006/relationships/hyperlink" Target="#REPAIRS!A1"/><Relationship Id="rId26" Type="http://schemas.openxmlformats.org/officeDocument/2006/relationships/hyperlink" Target="#SCENARIOS!A1"/><Relationship Id="rId39" Type="http://schemas.openxmlformats.org/officeDocument/2006/relationships/hyperlink" Target="#'$ Game Apps'!A1"/><Relationship Id="rId21" Type="http://schemas.openxmlformats.org/officeDocument/2006/relationships/image" Target="../media/image23.png"/><Relationship Id="rId34" Type="http://schemas.openxmlformats.org/officeDocument/2006/relationships/hyperlink" Target="#Liabilities!A1"/><Relationship Id="rId42" Type="http://schemas.openxmlformats.org/officeDocument/2006/relationships/image" Target="../media/image33.jpeg"/><Relationship Id="rId7" Type="http://schemas.openxmlformats.org/officeDocument/2006/relationships/hyperlink" Target="#MORTGAGE!A1"/><Relationship Id="rId2" Type="http://schemas.openxmlformats.org/officeDocument/2006/relationships/image" Target="../media/image14.png"/><Relationship Id="rId16" Type="http://schemas.openxmlformats.org/officeDocument/2006/relationships/hyperlink" Target="#'VERSUS (R)'!A1"/><Relationship Id="rId29" Type="http://schemas.openxmlformats.org/officeDocument/2006/relationships/image" Target="../media/image27.png"/><Relationship Id="rId1" Type="http://schemas.openxmlformats.org/officeDocument/2006/relationships/hyperlink" Target="https://winswithmike.com/airbnb" TargetMode="External"/><Relationship Id="rId6" Type="http://schemas.openxmlformats.org/officeDocument/2006/relationships/image" Target="../media/image16.emf"/><Relationship Id="rId11" Type="http://schemas.openxmlformats.org/officeDocument/2006/relationships/hyperlink" Target="#F_Client"/><Relationship Id="rId24" Type="http://schemas.openxmlformats.org/officeDocument/2006/relationships/hyperlink" Target="#'MAX PRICE'!A1"/><Relationship Id="rId32" Type="http://schemas.openxmlformats.org/officeDocument/2006/relationships/hyperlink" Target="#Assets!A1"/><Relationship Id="rId37" Type="http://schemas.openxmlformats.org/officeDocument/2006/relationships/image" Target="../media/image31.png"/><Relationship Id="rId40" Type="http://schemas.openxmlformats.org/officeDocument/2006/relationships/image" Target="../media/image32.png"/><Relationship Id="rId45" Type="http://schemas.openxmlformats.org/officeDocument/2006/relationships/image" Target="../media/image35.png"/><Relationship Id="rId5" Type="http://schemas.openxmlformats.org/officeDocument/2006/relationships/hyperlink" Target="#'SUMMARY (R)'!A1"/><Relationship Id="rId15" Type="http://schemas.openxmlformats.org/officeDocument/2006/relationships/image" Target="../media/image20.png"/><Relationship Id="rId23" Type="http://schemas.openxmlformats.org/officeDocument/2006/relationships/image" Target="../media/image24.png"/><Relationship Id="rId28" Type="http://schemas.openxmlformats.org/officeDocument/2006/relationships/hyperlink" Target="#'Market Research'!A1"/><Relationship Id="rId36" Type="http://schemas.openxmlformats.org/officeDocument/2006/relationships/hyperlink" Target="#'Categories'!A1"/><Relationship Id="rId10" Type="http://schemas.openxmlformats.org/officeDocument/2006/relationships/image" Target="../media/image18.png"/><Relationship Id="rId19" Type="http://schemas.openxmlformats.org/officeDocument/2006/relationships/image" Target="../media/image22.png"/><Relationship Id="rId31" Type="http://schemas.openxmlformats.org/officeDocument/2006/relationships/image" Target="../media/image28.png"/><Relationship Id="rId44" Type="http://schemas.openxmlformats.org/officeDocument/2006/relationships/image" Target="../media/image34.jpeg"/><Relationship Id="rId4" Type="http://schemas.openxmlformats.org/officeDocument/2006/relationships/image" Target="../media/image15.emf"/><Relationship Id="rId9" Type="http://schemas.openxmlformats.org/officeDocument/2006/relationships/hyperlink" Target="#DEBT!A1"/><Relationship Id="rId14" Type="http://schemas.openxmlformats.org/officeDocument/2006/relationships/hyperlink" Target="#'ACTUALS (Y)'!A1"/><Relationship Id="rId22" Type="http://schemas.openxmlformats.org/officeDocument/2006/relationships/hyperlink" Target="#PEERS!A1"/><Relationship Id="rId27" Type="http://schemas.openxmlformats.org/officeDocument/2006/relationships/image" Target="../media/image26.png"/><Relationship Id="rId30" Type="http://schemas.openxmlformats.org/officeDocument/2006/relationships/hyperlink" Target="#'Balance Sheet Summary'!A1"/><Relationship Id="rId35" Type="http://schemas.openxmlformats.org/officeDocument/2006/relationships/image" Target="../media/image30.png"/><Relationship Id="rId43" Type="http://schemas.openxmlformats.org/officeDocument/2006/relationships/hyperlink" Target="#TravelSandbox"/><Relationship Id="rId8" Type="http://schemas.openxmlformats.org/officeDocument/2006/relationships/image" Target="../media/image17.png"/><Relationship Id="rId3" Type="http://schemas.openxmlformats.org/officeDocument/2006/relationships/hyperlink" Target="#DASHBOARD!A1"/><Relationship Id="rId12" Type="http://schemas.openxmlformats.org/officeDocument/2006/relationships/hyperlink" Target="#'ACTUALS (M)'!A1"/><Relationship Id="rId17" Type="http://schemas.openxmlformats.org/officeDocument/2006/relationships/image" Target="../media/image21.png"/><Relationship Id="rId25" Type="http://schemas.openxmlformats.org/officeDocument/2006/relationships/image" Target="../media/image25.png"/><Relationship Id="rId33" Type="http://schemas.openxmlformats.org/officeDocument/2006/relationships/image" Target="../media/image29.png"/><Relationship Id="rId38" Type="http://schemas.openxmlformats.org/officeDocument/2006/relationships/hyperlink" Target="#GAME_APPS_TAB"/><Relationship Id="rId20" Type="http://schemas.openxmlformats.org/officeDocument/2006/relationships/hyperlink" Target="#FURNITURE!A1"/><Relationship Id="rId41" Type="http://schemas.openxmlformats.org/officeDocument/2006/relationships/hyperlink" Target="#BOOK_KEEPING_LEDGER"/></Relationships>
</file>

<file path=xl/drawings/_rels/drawing7.xml.rels><?xml version="1.0" encoding="UTF-8" standalone="yes"?>
<Relationships xmlns="http://schemas.openxmlformats.org/package/2006/relationships"><Relationship Id="rId13" Type="http://schemas.openxmlformats.org/officeDocument/2006/relationships/image" Target="../media/image19.png"/><Relationship Id="rId18" Type="http://schemas.openxmlformats.org/officeDocument/2006/relationships/hyperlink" Target="#REPAIRS!A1"/><Relationship Id="rId26" Type="http://schemas.openxmlformats.org/officeDocument/2006/relationships/hyperlink" Target="#SCENARIOS!A1"/><Relationship Id="rId39" Type="http://schemas.openxmlformats.org/officeDocument/2006/relationships/hyperlink" Target="#'$ Game Apps'!A1"/><Relationship Id="rId21" Type="http://schemas.openxmlformats.org/officeDocument/2006/relationships/image" Target="../media/image23.png"/><Relationship Id="rId34" Type="http://schemas.openxmlformats.org/officeDocument/2006/relationships/hyperlink" Target="#Liabilities!A1"/><Relationship Id="rId42" Type="http://schemas.openxmlformats.org/officeDocument/2006/relationships/image" Target="../media/image33.jpeg"/><Relationship Id="rId7" Type="http://schemas.openxmlformats.org/officeDocument/2006/relationships/hyperlink" Target="#MORTGAGE!A1"/><Relationship Id="rId2" Type="http://schemas.openxmlformats.org/officeDocument/2006/relationships/image" Target="../media/image14.png"/><Relationship Id="rId16" Type="http://schemas.openxmlformats.org/officeDocument/2006/relationships/hyperlink" Target="#'VERSUS (R)'!A1"/><Relationship Id="rId29" Type="http://schemas.openxmlformats.org/officeDocument/2006/relationships/image" Target="../media/image27.png"/><Relationship Id="rId1" Type="http://schemas.openxmlformats.org/officeDocument/2006/relationships/hyperlink" Target="https://winswithmike.com/airbnb" TargetMode="External"/><Relationship Id="rId6" Type="http://schemas.openxmlformats.org/officeDocument/2006/relationships/image" Target="../media/image16.emf"/><Relationship Id="rId11" Type="http://schemas.openxmlformats.org/officeDocument/2006/relationships/hyperlink" Target="#F_Client"/><Relationship Id="rId24" Type="http://schemas.openxmlformats.org/officeDocument/2006/relationships/hyperlink" Target="#'MAX PRICE'!A1"/><Relationship Id="rId32" Type="http://schemas.openxmlformats.org/officeDocument/2006/relationships/hyperlink" Target="#Assets!A1"/><Relationship Id="rId37" Type="http://schemas.openxmlformats.org/officeDocument/2006/relationships/image" Target="../media/image31.png"/><Relationship Id="rId40" Type="http://schemas.openxmlformats.org/officeDocument/2006/relationships/image" Target="../media/image32.png"/><Relationship Id="rId45" Type="http://schemas.openxmlformats.org/officeDocument/2006/relationships/image" Target="../media/image35.png"/><Relationship Id="rId5" Type="http://schemas.openxmlformats.org/officeDocument/2006/relationships/hyperlink" Target="#'SUMMARY (R)'!A1"/><Relationship Id="rId15" Type="http://schemas.openxmlformats.org/officeDocument/2006/relationships/image" Target="../media/image20.png"/><Relationship Id="rId23" Type="http://schemas.openxmlformats.org/officeDocument/2006/relationships/image" Target="../media/image24.png"/><Relationship Id="rId28" Type="http://schemas.openxmlformats.org/officeDocument/2006/relationships/hyperlink" Target="#'Market Research'!A1"/><Relationship Id="rId36" Type="http://schemas.openxmlformats.org/officeDocument/2006/relationships/hyperlink" Target="#'Categories'!A1"/><Relationship Id="rId10" Type="http://schemas.openxmlformats.org/officeDocument/2006/relationships/image" Target="../media/image18.png"/><Relationship Id="rId19" Type="http://schemas.openxmlformats.org/officeDocument/2006/relationships/image" Target="../media/image22.png"/><Relationship Id="rId31" Type="http://schemas.openxmlformats.org/officeDocument/2006/relationships/image" Target="../media/image28.png"/><Relationship Id="rId44" Type="http://schemas.openxmlformats.org/officeDocument/2006/relationships/image" Target="../media/image34.jpeg"/><Relationship Id="rId4" Type="http://schemas.openxmlformats.org/officeDocument/2006/relationships/image" Target="../media/image15.emf"/><Relationship Id="rId9" Type="http://schemas.openxmlformats.org/officeDocument/2006/relationships/hyperlink" Target="#DEBT!A1"/><Relationship Id="rId14" Type="http://schemas.openxmlformats.org/officeDocument/2006/relationships/hyperlink" Target="#'ACTUALS (Y)'!A1"/><Relationship Id="rId22" Type="http://schemas.openxmlformats.org/officeDocument/2006/relationships/hyperlink" Target="#PEERS!A1"/><Relationship Id="rId27" Type="http://schemas.openxmlformats.org/officeDocument/2006/relationships/image" Target="../media/image26.png"/><Relationship Id="rId30" Type="http://schemas.openxmlformats.org/officeDocument/2006/relationships/hyperlink" Target="#'Balance Sheet Summary'!A1"/><Relationship Id="rId35" Type="http://schemas.openxmlformats.org/officeDocument/2006/relationships/image" Target="../media/image30.png"/><Relationship Id="rId43" Type="http://schemas.openxmlformats.org/officeDocument/2006/relationships/hyperlink" Target="#TravelSandbox"/><Relationship Id="rId8" Type="http://schemas.openxmlformats.org/officeDocument/2006/relationships/image" Target="../media/image17.png"/><Relationship Id="rId3" Type="http://schemas.openxmlformats.org/officeDocument/2006/relationships/hyperlink" Target="#DASHBOARD!A1"/><Relationship Id="rId12" Type="http://schemas.openxmlformats.org/officeDocument/2006/relationships/hyperlink" Target="#'ACTUALS (M)'!A1"/><Relationship Id="rId17" Type="http://schemas.openxmlformats.org/officeDocument/2006/relationships/image" Target="../media/image21.png"/><Relationship Id="rId25" Type="http://schemas.openxmlformats.org/officeDocument/2006/relationships/image" Target="../media/image25.png"/><Relationship Id="rId33" Type="http://schemas.openxmlformats.org/officeDocument/2006/relationships/image" Target="../media/image29.png"/><Relationship Id="rId38" Type="http://schemas.openxmlformats.org/officeDocument/2006/relationships/hyperlink" Target="#GAME_APPS_TAB"/><Relationship Id="rId20" Type="http://schemas.openxmlformats.org/officeDocument/2006/relationships/hyperlink" Target="#FURNITURE!A1"/><Relationship Id="rId41" Type="http://schemas.openxmlformats.org/officeDocument/2006/relationships/hyperlink" Target="#BOOK_KEEPING_LEDGER"/></Relationships>
</file>

<file path=xl/drawings/_rels/drawing8.xml.rels><?xml version="1.0" encoding="UTF-8" standalone="yes"?>
<Relationships xmlns="http://schemas.openxmlformats.org/package/2006/relationships"><Relationship Id="rId13" Type="http://schemas.openxmlformats.org/officeDocument/2006/relationships/image" Target="../media/image19.png"/><Relationship Id="rId18" Type="http://schemas.openxmlformats.org/officeDocument/2006/relationships/hyperlink" Target="#REPAIRS!A1"/><Relationship Id="rId26" Type="http://schemas.openxmlformats.org/officeDocument/2006/relationships/hyperlink" Target="#SCENARIOS!A1"/><Relationship Id="rId39" Type="http://schemas.openxmlformats.org/officeDocument/2006/relationships/hyperlink" Target="#'$ Game Apps'!A1"/><Relationship Id="rId21" Type="http://schemas.openxmlformats.org/officeDocument/2006/relationships/image" Target="../media/image23.png"/><Relationship Id="rId34" Type="http://schemas.openxmlformats.org/officeDocument/2006/relationships/hyperlink" Target="#Liabilities!A1"/><Relationship Id="rId42" Type="http://schemas.openxmlformats.org/officeDocument/2006/relationships/image" Target="../media/image33.jpeg"/><Relationship Id="rId7" Type="http://schemas.openxmlformats.org/officeDocument/2006/relationships/hyperlink" Target="#MORTGAGE!A1"/><Relationship Id="rId2" Type="http://schemas.openxmlformats.org/officeDocument/2006/relationships/image" Target="../media/image14.png"/><Relationship Id="rId16" Type="http://schemas.openxmlformats.org/officeDocument/2006/relationships/hyperlink" Target="#'VERSUS (R)'!A1"/><Relationship Id="rId29" Type="http://schemas.openxmlformats.org/officeDocument/2006/relationships/image" Target="../media/image27.png"/><Relationship Id="rId1" Type="http://schemas.openxmlformats.org/officeDocument/2006/relationships/hyperlink" Target="https://winswithmike.com/airbnb" TargetMode="External"/><Relationship Id="rId6" Type="http://schemas.openxmlformats.org/officeDocument/2006/relationships/image" Target="../media/image16.emf"/><Relationship Id="rId11" Type="http://schemas.openxmlformats.org/officeDocument/2006/relationships/hyperlink" Target="#F_Client"/><Relationship Id="rId24" Type="http://schemas.openxmlformats.org/officeDocument/2006/relationships/hyperlink" Target="#'MAX PRICE'!A1"/><Relationship Id="rId32" Type="http://schemas.openxmlformats.org/officeDocument/2006/relationships/hyperlink" Target="#Assets!A1"/><Relationship Id="rId37" Type="http://schemas.openxmlformats.org/officeDocument/2006/relationships/image" Target="../media/image31.png"/><Relationship Id="rId40" Type="http://schemas.openxmlformats.org/officeDocument/2006/relationships/image" Target="../media/image32.png"/><Relationship Id="rId45" Type="http://schemas.openxmlformats.org/officeDocument/2006/relationships/image" Target="../media/image35.png"/><Relationship Id="rId5" Type="http://schemas.openxmlformats.org/officeDocument/2006/relationships/hyperlink" Target="#'SUMMARY (R)'!A1"/><Relationship Id="rId15" Type="http://schemas.openxmlformats.org/officeDocument/2006/relationships/image" Target="../media/image20.png"/><Relationship Id="rId23" Type="http://schemas.openxmlformats.org/officeDocument/2006/relationships/image" Target="../media/image24.png"/><Relationship Id="rId28" Type="http://schemas.openxmlformats.org/officeDocument/2006/relationships/hyperlink" Target="#'Market Research'!A1"/><Relationship Id="rId36" Type="http://schemas.openxmlformats.org/officeDocument/2006/relationships/hyperlink" Target="#'Categories'!A1"/><Relationship Id="rId10" Type="http://schemas.openxmlformats.org/officeDocument/2006/relationships/image" Target="../media/image18.png"/><Relationship Id="rId19" Type="http://schemas.openxmlformats.org/officeDocument/2006/relationships/image" Target="../media/image22.png"/><Relationship Id="rId31" Type="http://schemas.openxmlformats.org/officeDocument/2006/relationships/image" Target="../media/image28.png"/><Relationship Id="rId44" Type="http://schemas.openxmlformats.org/officeDocument/2006/relationships/image" Target="../media/image34.jpeg"/><Relationship Id="rId4" Type="http://schemas.openxmlformats.org/officeDocument/2006/relationships/image" Target="../media/image15.emf"/><Relationship Id="rId9" Type="http://schemas.openxmlformats.org/officeDocument/2006/relationships/hyperlink" Target="#DEBT!A1"/><Relationship Id="rId14" Type="http://schemas.openxmlformats.org/officeDocument/2006/relationships/hyperlink" Target="#'ACTUALS (Y)'!A1"/><Relationship Id="rId22" Type="http://schemas.openxmlformats.org/officeDocument/2006/relationships/hyperlink" Target="#PEERS!A1"/><Relationship Id="rId27" Type="http://schemas.openxmlformats.org/officeDocument/2006/relationships/image" Target="../media/image26.png"/><Relationship Id="rId30" Type="http://schemas.openxmlformats.org/officeDocument/2006/relationships/hyperlink" Target="#'Balance Sheet Summary'!A1"/><Relationship Id="rId35" Type="http://schemas.openxmlformats.org/officeDocument/2006/relationships/image" Target="../media/image30.png"/><Relationship Id="rId43" Type="http://schemas.openxmlformats.org/officeDocument/2006/relationships/hyperlink" Target="#TravelSandbox"/><Relationship Id="rId8" Type="http://schemas.openxmlformats.org/officeDocument/2006/relationships/image" Target="../media/image17.png"/><Relationship Id="rId3" Type="http://schemas.openxmlformats.org/officeDocument/2006/relationships/hyperlink" Target="#DASHBOARD!A1"/><Relationship Id="rId12" Type="http://schemas.openxmlformats.org/officeDocument/2006/relationships/hyperlink" Target="#'ACTUALS (M)'!A1"/><Relationship Id="rId17" Type="http://schemas.openxmlformats.org/officeDocument/2006/relationships/image" Target="../media/image21.png"/><Relationship Id="rId25" Type="http://schemas.openxmlformats.org/officeDocument/2006/relationships/image" Target="../media/image25.png"/><Relationship Id="rId33" Type="http://schemas.openxmlformats.org/officeDocument/2006/relationships/image" Target="../media/image29.png"/><Relationship Id="rId38" Type="http://schemas.openxmlformats.org/officeDocument/2006/relationships/hyperlink" Target="#GAME_APPS_TAB"/><Relationship Id="rId20" Type="http://schemas.openxmlformats.org/officeDocument/2006/relationships/hyperlink" Target="#FURNITURE!A1"/><Relationship Id="rId41" Type="http://schemas.openxmlformats.org/officeDocument/2006/relationships/hyperlink" Target="#BOOK_KEEPING_LEDGER"/></Relationships>
</file>

<file path=xl/drawings/_rels/drawing9.xml.rels><?xml version="1.0" encoding="UTF-8" standalone="yes"?>
<Relationships xmlns="http://schemas.openxmlformats.org/package/2006/relationships"><Relationship Id="rId13" Type="http://schemas.openxmlformats.org/officeDocument/2006/relationships/image" Target="../media/image19.png"/><Relationship Id="rId18" Type="http://schemas.openxmlformats.org/officeDocument/2006/relationships/hyperlink" Target="#REPAIRS!A1"/><Relationship Id="rId26" Type="http://schemas.openxmlformats.org/officeDocument/2006/relationships/hyperlink" Target="#SCENARIOS!A1"/><Relationship Id="rId39" Type="http://schemas.openxmlformats.org/officeDocument/2006/relationships/hyperlink" Target="#'$ Game Apps'!A1"/><Relationship Id="rId21" Type="http://schemas.openxmlformats.org/officeDocument/2006/relationships/image" Target="../media/image23.png"/><Relationship Id="rId34" Type="http://schemas.openxmlformats.org/officeDocument/2006/relationships/hyperlink" Target="#Liabilities!A1"/><Relationship Id="rId42" Type="http://schemas.openxmlformats.org/officeDocument/2006/relationships/image" Target="../media/image33.jpeg"/><Relationship Id="rId7" Type="http://schemas.openxmlformats.org/officeDocument/2006/relationships/hyperlink" Target="#MORTGAGE!A1"/><Relationship Id="rId2" Type="http://schemas.openxmlformats.org/officeDocument/2006/relationships/image" Target="../media/image14.png"/><Relationship Id="rId16" Type="http://schemas.openxmlformats.org/officeDocument/2006/relationships/hyperlink" Target="#'VERSUS (R)'!A1"/><Relationship Id="rId29" Type="http://schemas.openxmlformats.org/officeDocument/2006/relationships/image" Target="../media/image27.png"/><Relationship Id="rId1" Type="http://schemas.openxmlformats.org/officeDocument/2006/relationships/hyperlink" Target="https://winswithmike.com/airbnb" TargetMode="External"/><Relationship Id="rId6" Type="http://schemas.openxmlformats.org/officeDocument/2006/relationships/image" Target="../media/image16.emf"/><Relationship Id="rId11" Type="http://schemas.openxmlformats.org/officeDocument/2006/relationships/hyperlink" Target="#F_Client"/><Relationship Id="rId24" Type="http://schemas.openxmlformats.org/officeDocument/2006/relationships/hyperlink" Target="#'MAX PRICE'!A1"/><Relationship Id="rId32" Type="http://schemas.openxmlformats.org/officeDocument/2006/relationships/hyperlink" Target="#Assets!A1"/><Relationship Id="rId37" Type="http://schemas.openxmlformats.org/officeDocument/2006/relationships/image" Target="../media/image31.png"/><Relationship Id="rId40" Type="http://schemas.openxmlformats.org/officeDocument/2006/relationships/image" Target="../media/image32.png"/><Relationship Id="rId45" Type="http://schemas.openxmlformats.org/officeDocument/2006/relationships/image" Target="../media/image35.png"/><Relationship Id="rId5" Type="http://schemas.openxmlformats.org/officeDocument/2006/relationships/hyperlink" Target="#'SUMMARY (R)'!A1"/><Relationship Id="rId15" Type="http://schemas.openxmlformats.org/officeDocument/2006/relationships/image" Target="../media/image20.png"/><Relationship Id="rId23" Type="http://schemas.openxmlformats.org/officeDocument/2006/relationships/image" Target="../media/image24.png"/><Relationship Id="rId28" Type="http://schemas.openxmlformats.org/officeDocument/2006/relationships/hyperlink" Target="#'Market Research'!A1"/><Relationship Id="rId36" Type="http://schemas.openxmlformats.org/officeDocument/2006/relationships/hyperlink" Target="#'Categories'!A1"/><Relationship Id="rId10" Type="http://schemas.openxmlformats.org/officeDocument/2006/relationships/image" Target="../media/image18.png"/><Relationship Id="rId19" Type="http://schemas.openxmlformats.org/officeDocument/2006/relationships/image" Target="../media/image22.png"/><Relationship Id="rId31" Type="http://schemas.openxmlformats.org/officeDocument/2006/relationships/image" Target="../media/image28.png"/><Relationship Id="rId44" Type="http://schemas.openxmlformats.org/officeDocument/2006/relationships/image" Target="../media/image34.jpeg"/><Relationship Id="rId4" Type="http://schemas.openxmlformats.org/officeDocument/2006/relationships/image" Target="../media/image15.emf"/><Relationship Id="rId9" Type="http://schemas.openxmlformats.org/officeDocument/2006/relationships/hyperlink" Target="#DEBT!A1"/><Relationship Id="rId14" Type="http://schemas.openxmlformats.org/officeDocument/2006/relationships/hyperlink" Target="#'ACTUALS (Y)'!A1"/><Relationship Id="rId22" Type="http://schemas.openxmlformats.org/officeDocument/2006/relationships/hyperlink" Target="#PEERS!A1"/><Relationship Id="rId27" Type="http://schemas.openxmlformats.org/officeDocument/2006/relationships/image" Target="../media/image26.png"/><Relationship Id="rId30" Type="http://schemas.openxmlformats.org/officeDocument/2006/relationships/hyperlink" Target="#'Balance Sheet Summary'!A1"/><Relationship Id="rId35" Type="http://schemas.openxmlformats.org/officeDocument/2006/relationships/image" Target="../media/image30.png"/><Relationship Id="rId43" Type="http://schemas.openxmlformats.org/officeDocument/2006/relationships/hyperlink" Target="#TravelSandbox"/><Relationship Id="rId8" Type="http://schemas.openxmlformats.org/officeDocument/2006/relationships/image" Target="../media/image17.png"/><Relationship Id="rId3" Type="http://schemas.openxmlformats.org/officeDocument/2006/relationships/hyperlink" Target="#DASHBOARD!A1"/><Relationship Id="rId12" Type="http://schemas.openxmlformats.org/officeDocument/2006/relationships/hyperlink" Target="#'ACTUALS (M)'!A1"/><Relationship Id="rId17" Type="http://schemas.openxmlformats.org/officeDocument/2006/relationships/image" Target="../media/image21.png"/><Relationship Id="rId25" Type="http://schemas.openxmlformats.org/officeDocument/2006/relationships/image" Target="../media/image25.png"/><Relationship Id="rId33" Type="http://schemas.openxmlformats.org/officeDocument/2006/relationships/image" Target="../media/image29.png"/><Relationship Id="rId38" Type="http://schemas.openxmlformats.org/officeDocument/2006/relationships/hyperlink" Target="#GAME_APPS_TAB"/><Relationship Id="rId20" Type="http://schemas.openxmlformats.org/officeDocument/2006/relationships/hyperlink" Target="#FURNITURE!A1"/><Relationship Id="rId41" Type="http://schemas.openxmlformats.org/officeDocument/2006/relationships/hyperlink" Target="#BOOK_KEEPING_LEDGER"/></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312420</xdr:colOff>
          <xdr:row>12</xdr:row>
          <xdr:rowOff>68580</xdr:rowOff>
        </xdr:from>
        <xdr:to>
          <xdr:col>22</xdr:col>
          <xdr:colOff>340995</xdr:colOff>
          <xdr:row>30</xdr:row>
          <xdr:rowOff>68580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a:extLst>
                <a:ext uri="{84589F7E-364E-4C9E-8A38-B11213B215E9}">
                  <a14:cameraTool cellRange="HIDE1!$C$4:$L$23" spid="_x0000_s179449"/>
                </a:ext>
              </a:extLst>
            </xdr:cNvPicPr>
          </xdr:nvPicPr>
          <xdr:blipFill>
            <a:blip xmlns:r="http://schemas.openxmlformats.org/officeDocument/2006/relationships" r:embed="rId1"/>
            <a:srcRect/>
            <a:stretch>
              <a:fillRect/>
            </a:stretch>
          </xdr:blipFill>
          <xdr:spPr bwMode="auto">
            <a:xfrm>
              <a:off x="8208645" y="2354580"/>
              <a:ext cx="7343775" cy="3429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xdr:col>
      <xdr:colOff>1059180</xdr:colOff>
      <xdr:row>0</xdr:row>
      <xdr:rowOff>0</xdr:rowOff>
    </xdr:from>
    <xdr:to>
      <xdr:col>18</xdr:col>
      <xdr:colOff>22617</xdr:colOff>
      <xdr:row>2</xdr:row>
      <xdr:rowOff>53340</xdr:rowOff>
    </xdr:to>
    <xdr:grpSp>
      <xdr:nvGrpSpPr>
        <xdr:cNvPr id="50" name="Group 49">
          <a:extLst>
            <a:ext uri="{FF2B5EF4-FFF2-40B4-BE49-F238E27FC236}">
              <a16:creationId xmlns:a16="http://schemas.microsoft.com/office/drawing/2014/main" id="{C317A7E2-28B9-45F6-BD1B-0B133C08B4DE}"/>
            </a:ext>
          </a:extLst>
        </xdr:cNvPr>
        <xdr:cNvGrpSpPr/>
      </xdr:nvGrpSpPr>
      <xdr:grpSpPr>
        <a:xfrm>
          <a:off x="1257300" y="0"/>
          <a:ext cx="11894577" cy="815340"/>
          <a:chOff x="2194560" y="0"/>
          <a:chExt cx="11894577" cy="815340"/>
        </a:xfrm>
      </xdr:grpSpPr>
      <xdr:grpSp>
        <xdr:nvGrpSpPr>
          <xdr:cNvPr id="51" name="Group 50">
            <a:extLst>
              <a:ext uri="{FF2B5EF4-FFF2-40B4-BE49-F238E27FC236}">
                <a16:creationId xmlns:a16="http://schemas.microsoft.com/office/drawing/2014/main" id="{B90D5035-CDBB-C736-4A9C-7A245EDE5D41}"/>
              </a:ext>
            </a:extLst>
          </xdr:cNvPr>
          <xdr:cNvGrpSpPr/>
        </xdr:nvGrpSpPr>
        <xdr:grpSpPr>
          <a:xfrm>
            <a:off x="2194560" y="0"/>
            <a:ext cx="11894577" cy="815340"/>
            <a:chOff x="2194560" y="0"/>
            <a:chExt cx="11894577" cy="815340"/>
          </a:xfrm>
        </xdr:grpSpPr>
        <xdr:grpSp>
          <xdr:nvGrpSpPr>
            <xdr:cNvPr id="53" name="Group 52">
              <a:extLst>
                <a:ext uri="{FF2B5EF4-FFF2-40B4-BE49-F238E27FC236}">
                  <a16:creationId xmlns:a16="http://schemas.microsoft.com/office/drawing/2014/main" id="{8CE22958-9576-BCA1-01FF-9210719333A6}"/>
                </a:ext>
              </a:extLst>
            </xdr:cNvPr>
            <xdr:cNvGrpSpPr/>
          </xdr:nvGrpSpPr>
          <xdr:grpSpPr>
            <a:xfrm>
              <a:off x="2194560" y="0"/>
              <a:ext cx="11894577" cy="773812"/>
              <a:chOff x="2160046" y="0"/>
              <a:chExt cx="11894577" cy="773812"/>
            </a:xfrm>
          </xdr:grpSpPr>
          <xdr:grpSp>
            <xdr:nvGrpSpPr>
              <xdr:cNvPr id="57" name="Group 56">
                <a:extLst>
                  <a:ext uri="{FF2B5EF4-FFF2-40B4-BE49-F238E27FC236}">
                    <a16:creationId xmlns:a16="http://schemas.microsoft.com/office/drawing/2014/main" id="{E012120B-8A46-DB09-78BA-5178C57BAD7B}"/>
                  </a:ext>
                </a:extLst>
              </xdr:cNvPr>
              <xdr:cNvGrpSpPr/>
            </xdr:nvGrpSpPr>
            <xdr:grpSpPr>
              <a:xfrm>
                <a:off x="2160046" y="0"/>
                <a:ext cx="11894577" cy="773812"/>
                <a:chOff x="1310640" y="0"/>
                <a:chExt cx="11549013" cy="764847"/>
              </a:xfrm>
            </xdr:grpSpPr>
            <xdr:pic>
              <xdr:nvPicPr>
                <xdr:cNvPr id="61" name="Picture 60">
                  <a:hlinkClick xmlns:r="http://schemas.openxmlformats.org/officeDocument/2006/relationships" r:id="rId1"/>
                  <a:extLst>
                    <a:ext uri="{FF2B5EF4-FFF2-40B4-BE49-F238E27FC236}">
                      <a16:creationId xmlns:a16="http://schemas.microsoft.com/office/drawing/2014/main" id="{57BEAEA6-C525-4D80-B3EC-427F6A903B30}"/>
                    </a:ext>
                  </a:extLst>
                </xdr:cNvPr>
                <xdr:cNvPicPr>
                  <a:picLocks/>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rcRect/>
                <a:stretch/>
              </xdr:blipFill>
              <xdr:spPr>
                <a:xfrm>
                  <a:off x="1310640" y="46180"/>
                  <a:ext cx="499211" cy="554546"/>
                </a:xfrm>
                <a:prstGeom prst="rect">
                  <a:avLst/>
                </a:prstGeom>
              </xdr:spPr>
            </xdr:pic>
            <xdr:pic>
              <xdr:nvPicPr>
                <xdr:cNvPr id="62" name="Picture 61">
                  <a:hlinkClick xmlns:r="http://schemas.openxmlformats.org/officeDocument/2006/relationships" r:id="rId3"/>
                  <a:extLst>
                    <a:ext uri="{FF2B5EF4-FFF2-40B4-BE49-F238E27FC236}">
                      <a16:creationId xmlns:a16="http://schemas.microsoft.com/office/drawing/2014/main" id="{16D8D754-1F70-222A-654E-33450D24154F}"/>
                    </a:ext>
                  </a:extLst>
                </xdr:cNvPr>
                <xdr:cNvPicPr>
                  <a:picLocks noChangeAspect="1" noChangeArrowheads="1"/>
                </xdr:cNvPicPr>
              </xdr:nvPicPr>
              <xdr:blipFill>
                <a:blip xmlns:r="http://schemas.openxmlformats.org/officeDocument/2006/relationships" r:embed="rId4" cstate="print">
                  <a:alphaModFix/>
                  <a:extLst>
                    <a:ext uri="{28A0092B-C50C-407E-A947-70E740481C1C}">
                      <a14:useLocalDpi xmlns:a14="http://schemas.microsoft.com/office/drawing/2010/main" val="0"/>
                    </a:ext>
                  </a:extLst>
                </a:blip>
                <a:srcRect/>
                <a:stretch>
                  <a:fillRect/>
                </a:stretch>
              </xdr:blipFill>
              <xdr:spPr bwMode="auto">
                <a:xfrm>
                  <a:off x="2163693" y="30823"/>
                  <a:ext cx="214188" cy="2260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3" name="TextBox 62">
                  <a:hlinkClick xmlns:r="http://schemas.openxmlformats.org/officeDocument/2006/relationships" r:id="rId3"/>
                  <a:extLst>
                    <a:ext uri="{FF2B5EF4-FFF2-40B4-BE49-F238E27FC236}">
                      <a16:creationId xmlns:a16="http://schemas.microsoft.com/office/drawing/2014/main" id="{B381C4D9-21D5-A592-B6A3-804F65C6C629}"/>
                    </a:ext>
                  </a:extLst>
                </xdr:cNvPr>
                <xdr:cNvSpPr txBox="1"/>
              </xdr:nvSpPr>
              <xdr:spPr>
                <a:xfrm>
                  <a:off x="2369194" y="17046"/>
                  <a:ext cx="846446" cy="25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US" sz="900" b="1">
                      <a:solidFill>
                        <a:schemeClr val="bg1"/>
                      </a:solidFill>
                    </a:rPr>
                    <a:t>DASHBOARD</a:t>
                  </a:r>
                </a:p>
              </xdr:txBody>
            </xdr:sp>
            <xdr:pic>
              <xdr:nvPicPr>
                <xdr:cNvPr id="64" name="Picture 63">
                  <a:hlinkClick xmlns:r="http://schemas.openxmlformats.org/officeDocument/2006/relationships" r:id="rId5"/>
                  <a:extLst>
                    <a:ext uri="{FF2B5EF4-FFF2-40B4-BE49-F238E27FC236}">
                      <a16:creationId xmlns:a16="http://schemas.microsoft.com/office/drawing/2014/main" id="{5FD5093C-B7F1-DFF8-06F9-961C461FFA6D}"/>
                    </a:ext>
                  </a:extLst>
                </xdr:cNvPr>
                <xdr:cNvPicPr>
                  <a:picLocks noChangeAspect="1" noChangeArrowheads="1"/>
                </xdr:cNvPicPr>
              </xdr:nvPicPr>
              <xdr:blipFill>
                <a:blip xmlns:r="http://schemas.openxmlformats.org/officeDocument/2006/relationships" r:embed="rId6" cstate="print">
                  <a:alphaModFix/>
                  <a:extLst>
                    <a:ext uri="{28A0092B-C50C-407E-A947-70E740481C1C}">
                      <a14:useLocalDpi xmlns:a14="http://schemas.microsoft.com/office/drawing/2010/main" val="0"/>
                    </a:ext>
                  </a:extLst>
                </a:blip>
                <a:srcRect/>
                <a:stretch>
                  <a:fillRect/>
                </a:stretch>
              </xdr:blipFill>
              <xdr:spPr bwMode="auto">
                <a:xfrm>
                  <a:off x="8461655" y="433462"/>
                  <a:ext cx="214188" cy="20819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5" name="TextBox 64">
                  <a:hlinkClick xmlns:r="http://schemas.openxmlformats.org/officeDocument/2006/relationships" r:id="rId5"/>
                  <a:extLst>
                    <a:ext uri="{FF2B5EF4-FFF2-40B4-BE49-F238E27FC236}">
                      <a16:creationId xmlns:a16="http://schemas.microsoft.com/office/drawing/2014/main" id="{980A46CA-F641-0231-B34A-095350F51033}"/>
                    </a:ext>
                  </a:extLst>
                </xdr:cNvPr>
                <xdr:cNvSpPr txBox="1"/>
              </xdr:nvSpPr>
              <xdr:spPr>
                <a:xfrm>
                  <a:off x="8647283" y="413913"/>
                  <a:ext cx="56836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REPORTS</a:t>
                  </a:r>
                </a:p>
              </xdr:txBody>
            </xdr:sp>
            <xdr:pic>
              <xdr:nvPicPr>
                <xdr:cNvPr id="66" name="Picture 65">
                  <a:hlinkClick xmlns:r="http://schemas.openxmlformats.org/officeDocument/2006/relationships" r:id="rId7"/>
                  <a:extLst>
                    <a:ext uri="{FF2B5EF4-FFF2-40B4-BE49-F238E27FC236}">
                      <a16:creationId xmlns:a16="http://schemas.microsoft.com/office/drawing/2014/main" id="{CDF97D8E-4BF8-5C93-82AF-8ADC2C9FD4B0}"/>
                    </a:ext>
                  </a:extLst>
                </xdr:cNvPr>
                <xdr:cNvPicPr>
                  <a:picLocks noChangeAspect="1"/>
                </xdr:cNvPicPr>
              </xdr:nvPicPr>
              <xdr:blipFill>
                <a:blip xmlns:r="http://schemas.openxmlformats.org/officeDocument/2006/relationships" r:embed="rId8" cstate="print">
                  <a:alphaModFix/>
                  <a:extLst>
                    <a:ext uri="{28A0092B-C50C-407E-A947-70E740481C1C}">
                      <a14:useLocalDpi xmlns:a14="http://schemas.microsoft.com/office/drawing/2010/main" val="0"/>
                    </a:ext>
                  </a:extLst>
                </a:blip>
                <a:stretch>
                  <a:fillRect/>
                </a:stretch>
              </xdr:blipFill>
              <xdr:spPr>
                <a:xfrm>
                  <a:off x="6903860" y="19549"/>
                  <a:ext cx="214187" cy="248554"/>
                </a:xfrm>
                <a:prstGeom prst="rect">
                  <a:avLst/>
                </a:prstGeom>
              </xdr:spPr>
            </xdr:pic>
            <xdr:sp macro="" textlink="">
              <xdr:nvSpPr>
                <xdr:cNvPr id="67" name="TextBox 66">
                  <a:hlinkClick xmlns:r="http://schemas.openxmlformats.org/officeDocument/2006/relationships" r:id="rId7"/>
                  <a:extLst>
                    <a:ext uri="{FF2B5EF4-FFF2-40B4-BE49-F238E27FC236}">
                      <a16:creationId xmlns:a16="http://schemas.microsoft.com/office/drawing/2014/main" id="{B8B73193-67B8-226B-8545-486A6F021165}"/>
                    </a:ext>
                  </a:extLst>
                </xdr:cNvPr>
                <xdr:cNvSpPr txBox="1"/>
              </xdr:nvSpPr>
              <xdr:spPr>
                <a:xfrm>
                  <a:off x="7099062" y="0"/>
                  <a:ext cx="67589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MORTGAGE</a:t>
                  </a:r>
                </a:p>
              </xdr:txBody>
            </xdr:sp>
            <xdr:sp macro="" textlink="">
              <xdr:nvSpPr>
                <xdr:cNvPr id="68" name="TextBox 67">
                  <a:hlinkClick xmlns:r="http://schemas.openxmlformats.org/officeDocument/2006/relationships" r:id="rId9"/>
                  <a:extLst>
                    <a:ext uri="{FF2B5EF4-FFF2-40B4-BE49-F238E27FC236}">
                      <a16:creationId xmlns:a16="http://schemas.microsoft.com/office/drawing/2014/main" id="{BE48D3C1-A97A-06D7-A0E2-A9730865AF6F}"/>
                    </a:ext>
                  </a:extLst>
                </xdr:cNvPr>
                <xdr:cNvSpPr txBox="1"/>
              </xdr:nvSpPr>
              <xdr:spPr>
                <a:xfrm>
                  <a:off x="6375474" y="0"/>
                  <a:ext cx="381400"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DEBT</a:t>
                  </a:r>
                </a:p>
              </xdr:txBody>
            </xdr:sp>
            <xdr:pic>
              <xdr:nvPicPr>
                <xdr:cNvPr id="69" name="Picture 68">
                  <a:hlinkClick xmlns:r="http://schemas.openxmlformats.org/officeDocument/2006/relationships" r:id="rId9"/>
                  <a:extLst>
                    <a:ext uri="{FF2B5EF4-FFF2-40B4-BE49-F238E27FC236}">
                      <a16:creationId xmlns:a16="http://schemas.microsoft.com/office/drawing/2014/main" id="{AF9E69F4-3590-C8A4-5412-719EF18579C2}"/>
                    </a:ext>
                  </a:extLst>
                </xdr:cNvPr>
                <xdr:cNvPicPr>
                  <a:picLocks noChangeAspect="1"/>
                </xdr:cNvPicPr>
              </xdr:nvPicPr>
              <xdr:blipFill>
                <a:blip xmlns:r="http://schemas.openxmlformats.org/officeDocument/2006/relationships" r:embed="rId10" cstate="print">
                  <a:alphaModFix/>
                  <a:extLst>
                    <a:ext uri="{28A0092B-C50C-407E-A947-70E740481C1C}">
                      <a14:useLocalDpi xmlns:a14="http://schemas.microsoft.com/office/drawing/2010/main" val="0"/>
                    </a:ext>
                  </a:extLst>
                </a:blip>
                <a:stretch>
                  <a:fillRect/>
                </a:stretch>
              </xdr:blipFill>
              <xdr:spPr>
                <a:xfrm>
                  <a:off x="6158378" y="19549"/>
                  <a:ext cx="214188" cy="248554"/>
                </a:xfrm>
                <a:prstGeom prst="rect">
                  <a:avLst/>
                </a:prstGeom>
              </xdr:spPr>
            </xdr:pic>
            <xdr:sp macro="" textlink="">
              <xdr:nvSpPr>
                <xdr:cNvPr id="70" name="TextBox 69">
                  <a:hlinkClick xmlns:r="http://schemas.openxmlformats.org/officeDocument/2006/relationships" r:id="rId11"/>
                  <a:extLst>
                    <a:ext uri="{FF2B5EF4-FFF2-40B4-BE49-F238E27FC236}">
                      <a16:creationId xmlns:a16="http://schemas.microsoft.com/office/drawing/2014/main" id="{DE98E833-0018-FC0A-6DC6-5C1509070448}"/>
                    </a:ext>
                  </a:extLst>
                </xdr:cNvPr>
                <xdr:cNvSpPr txBox="1"/>
              </xdr:nvSpPr>
              <xdr:spPr>
                <a:xfrm>
                  <a:off x="5370816" y="37659"/>
                  <a:ext cx="64057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FORECASTS</a:t>
                  </a:r>
                </a:p>
              </xdr:txBody>
            </xdr:sp>
            <xdr:sp macro="" textlink="">
              <xdr:nvSpPr>
                <xdr:cNvPr id="71" name="TextBox 70">
                  <a:hlinkClick xmlns:r="http://schemas.openxmlformats.org/officeDocument/2006/relationships" r:id="rId12"/>
                  <a:extLst>
                    <a:ext uri="{FF2B5EF4-FFF2-40B4-BE49-F238E27FC236}">
                      <a16:creationId xmlns:a16="http://schemas.microsoft.com/office/drawing/2014/main" id="{E3273186-7BC2-5986-1F43-2D16AFCFC1A5}"/>
                    </a:ext>
                  </a:extLst>
                </xdr:cNvPr>
                <xdr:cNvSpPr txBox="1"/>
              </xdr:nvSpPr>
              <xdr:spPr>
                <a:xfrm>
                  <a:off x="8104032" y="0"/>
                  <a:ext cx="7732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a:t>
                  </a:r>
                  <a:r>
                    <a:rPr lang="en-US" sz="900" b="1" baseline="0">
                      <a:solidFill>
                        <a:schemeClr val="bg1"/>
                      </a:solidFill>
                    </a:rPr>
                    <a:t> (M)</a:t>
                  </a:r>
                  <a:endParaRPr lang="en-US" sz="900" b="1">
                    <a:solidFill>
                      <a:schemeClr val="bg1"/>
                    </a:solidFill>
                  </a:endParaRPr>
                </a:p>
              </xdr:txBody>
            </xdr:sp>
            <xdr:pic>
              <xdr:nvPicPr>
                <xdr:cNvPr id="72" name="Picture 71">
                  <a:hlinkClick xmlns:r="http://schemas.openxmlformats.org/officeDocument/2006/relationships" r:id="rId12"/>
                  <a:extLst>
                    <a:ext uri="{FF2B5EF4-FFF2-40B4-BE49-F238E27FC236}">
                      <a16:creationId xmlns:a16="http://schemas.microsoft.com/office/drawing/2014/main" id="{2FB87A7B-E094-85ED-BF57-D8B0369E350F}"/>
                    </a:ext>
                  </a:extLst>
                </xdr:cNvPr>
                <xdr:cNvPicPr>
                  <a:picLocks noChangeAspect="1"/>
                </xdr:cNvPicPr>
              </xdr:nvPicPr>
              <xdr:blipFill>
                <a:blip xmlns:r="http://schemas.openxmlformats.org/officeDocument/2006/relationships" r:embed="rId13" cstate="print">
                  <a:alphaModFix/>
                  <a:extLst>
                    <a:ext uri="{28A0092B-C50C-407E-A947-70E740481C1C}">
                      <a14:useLocalDpi xmlns:a14="http://schemas.microsoft.com/office/drawing/2010/main" val="0"/>
                    </a:ext>
                  </a:extLst>
                </a:blip>
                <a:stretch>
                  <a:fillRect/>
                </a:stretch>
              </xdr:blipFill>
              <xdr:spPr>
                <a:xfrm>
                  <a:off x="7921943" y="19549"/>
                  <a:ext cx="214188" cy="248554"/>
                </a:xfrm>
                <a:prstGeom prst="rect">
                  <a:avLst/>
                </a:prstGeom>
              </xdr:spPr>
            </xdr:pic>
            <xdr:sp macro="" textlink="">
              <xdr:nvSpPr>
                <xdr:cNvPr id="73" name="TextBox 72">
                  <a:hlinkClick xmlns:r="http://schemas.openxmlformats.org/officeDocument/2006/relationships" r:id="rId14"/>
                  <a:extLst>
                    <a:ext uri="{FF2B5EF4-FFF2-40B4-BE49-F238E27FC236}">
                      <a16:creationId xmlns:a16="http://schemas.microsoft.com/office/drawing/2014/main" id="{9E49FEA6-B4AA-739C-1FFC-1BB34CD09480}"/>
                    </a:ext>
                  </a:extLst>
                </xdr:cNvPr>
                <xdr:cNvSpPr txBox="1"/>
              </xdr:nvSpPr>
              <xdr:spPr>
                <a:xfrm>
                  <a:off x="9978309" y="0"/>
                  <a:ext cx="687187"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 (Y)</a:t>
                  </a:r>
                </a:p>
              </xdr:txBody>
            </xdr:sp>
            <xdr:pic>
              <xdr:nvPicPr>
                <xdr:cNvPr id="74" name="Picture 73">
                  <a:hlinkClick xmlns:r="http://schemas.openxmlformats.org/officeDocument/2006/relationships" r:id="rId14"/>
                  <a:extLst>
                    <a:ext uri="{FF2B5EF4-FFF2-40B4-BE49-F238E27FC236}">
                      <a16:creationId xmlns:a16="http://schemas.microsoft.com/office/drawing/2014/main" id="{84F370BC-058B-E36B-7C7C-F70C4404DBB1}"/>
                    </a:ext>
                  </a:extLst>
                </xdr:cNvPr>
                <xdr:cNvPicPr>
                  <a:picLocks noChangeAspect="1"/>
                </xdr:cNvPicPr>
              </xdr:nvPicPr>
              <xdr:blipFill>
                <a:blip xmlns:r="http://schemas.openxmlformats.org/officeDocument/2006/relationships" r:embed="rId15" cstate="print">
                  <a:alphaModFix/>
                  <a:extLst>
                    <a:ext uri="{28A0092B-C50C-407E-A947-70E740481C1C}">
                      <a14:useLocalDpi xmlns:a14="http://schemas.microsoft.com/office/drawing/2010/main" val="0"/>
                    </a:ext>
                  </a:extLst>
                </a:blip>
                <a:stretch>
                  <a:fillRect/>
                </a:stretch>
              </xdr:blipFill>
              <xdr:spPr>
                <a:xfrm>
                  <a:off x="9777770" y="19549"/>
                  <a:ext cx="214188" cy="248554"/>
                </a:xfrm>
                <a:prstGeom prst="rect">
                  <a:avLst/>
                </a:prstGeom>
              </xdr:spPr>
            </xdr:pic>
            <xdr:sp macro="" textlink="">
              <xdr:nvSpPr>
                <xdr:cNvPr id="75" name="TextBox 74">
                  <a:hlinkClick xmlns:r="http://schemas.openxmlformats.org/officeDocument/2006/relationships" r:id="rId16"/>
                  <a:extLst>
                    <a:ext uri="{FF2B5EF4-FFF2-40B4-BE49-F238E27FC236}">
                      <a16:creationId xmlns:a16="http://schemas.microsoft.com/office/drawing/2014/main" id="{50166415-8116-7992-62FF-050DCB21C14D}"/>
                    </a:ext>
                  </a:extLst>
                </xdr:cNvPr>
                <xdr:cNvSpPr txBox="1"/>
              </xdr:nvSpPr>
              <xdr:spPr>
                <a:xfrm>
                  <a:off x="9133984" y="0"/>
                  <a:ext cx="49680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VERSUS</a:t>
                  </a:r>
                </a:p>
              </xdr:txBody>
            </xdr:sp>
            <xdr:pic>
              <xdr:nvPicPr>
                <xdr:cNvPr id="76" name="Picture 75">
                  <a:hlinkClick xmlns:r="http://schemas.openxmlformats.org/officeDocument/2006/relationships" r:id="rId16"/>
                  <a:extLst>
                    <a:ext uri="{FF2B5EF4-FFF2-40B4-BE49-F238E27FC236}">
                      <a16:creationId xmlns:a16="http://schemas.microsoft.com/office/drawing/2014/main" id="{1F563179-989B-F3FB-1D51-AC33E7BE0903}"/>
                    </a:ext>
                  </a:extLst>
                </xdr:cNvPr>
                <xdr:cNvPicPr>
                  <a:picLocks noChangeAspect="1"/>
                </xdr:cNvPicPr>
              </xdr:nvPicPr>
              <xdr:blipFill>
                <a:blip xmlns:r="http://schemas.openxmlformats.org/officeDocument/2006/relationships" r:embed="rId17" cstate="print">
                  <a:alphaModFix/>
                  <a:extLst>
                    <a:ext uri="{28A0092B-C50C-407E-A947-70E740481C1C}">
                      <a14:useLocalDpi xmlns:a14="http://schemas.microsoft.com/office/drawing/2010/main" val="0"/>
                    </a:ext>
                  </a:extLst>
                </a:blip>
                <a:stretch>
                  <a:fillRect/>
                </a:stretch>
              </xdr:blipFill>
              <xdr:spPr>
                <a:xfrm>
                  <a:off x="8938203" y="19549"/>
                  <a:ext cx="214187" cy="248554"/>
                </a:xfrm>
                <a:prstGeom prst="rect">
                  <a:avLst/>
                </a:prstGeom>
              </xdr:spPr>
            </xdr:pic>
            <xdr:sp macro="" textlink="">
              <xdr:nvSpPr>
                <xdr:cNvPr id="77" name="TextBox 76">
                  <a:hlinkClick xmlns:r="http://schemas.openxmlformats.org/officeDocument/2006/relationships" r:id="rId18"/>
                  <a:extLst>
                    <a:ext uri="{FF2B5EF4-FFF2-40B4-BE49-F238E27FC236}">
                      <a16:creationId xmlns:a16="http://schemas.microsoft.com/office/drawing/2014/main" id="{4435C6B7-10B4-3C70-F218-2728B4EE1418}"/>
                    </a:ext>
                  </a:extLst>
                </xdr:cNvPr>
                <xdr:cNvSpPr txBox="1"/>
              </xdr:nvSpPr>
              <xdr:spPr>
                <a:xfrm>
                  <a:off x="3510385" y="0"/>
                  <a:ext cx="52312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REPAIRS</a:t>
                  </a:r>
                </a:p>
              </xdr:txBody>
            </xdr:sp>
            <xdr:pic>
              <xdr:nvPicPr>
                <xdr:cNvPr id="78" name="Picture 77">
                  <a:hlinkClick xmlns:r="http://schemas.openxmlformats.org/officeDocument/2006/relationships" r:id="rId18"/>
                  <a:extLst>
                    <a:ext uri="{FF2B5EF4-FFF2-40B4-BE49-F238E27FC236}">
                      <a16:creationId xmlns:a16="http://schemas.microsoft.com/office/drawing/2014/main" id="{0CF65F2F-17FA-652D-1780-DE1184CB8F2C}"/>
                    </a:ext>
                  </a:extLst>
                </xdr:cNvPr>
                <xdr:cNvPicPr>
                  <a:picLocks noChangeAspect="1"/>
                </xdr:cNvPicPr>
              </xdr:nvPicPr>
              <xdr:blipFill>
                <a:blip xmlns:r="http://schemas.openxmlformats.org/officeDocument/2006/relationships" r:embed="rId19" cstate="print">
                  <a:alphaModFix/>
                  <a:extLst>
                    <a:ext uri="{28A0092B-C50C-407E-A947-70E740481C1C}">
                      <a14:useLocalDpi xmlns:a14="http://schemas.microsoft.com/office/drawing/2010/main" val="0"/>
                    </a:ext>
                  </a:extLst>
                </a:blip>
                <a:stretch>
                  <a:fillRect/>
                </a:stretch>
              </xdr:blipFill>
              <xdr:spPr>
                <a:xfrm>
                  <a:off x="3296296" y="28376"/>
                  <a:ext cx="214435" cy="230900"/>
                </a:xfrm>
                <a:prstGeom prst="rect">
                  <a:avLst/>
                </a:prstGeom>
              </xdr:spPr>
            </xdr:pic>
            <xdr:sp macro="" textlink="">
              <xdr:nvSpPr>
                <xdr:cNvPr id="79" name="TextBox 78">
                  <a:hlinkClick xmlns:r="http://schemas.openxmlformats.org/officeDocument/2006/relationships" r:id="rId20"/>
                  <a:extLst>
                    <a:ext uri="{FF2B5EF4-FFF2-40B4-BE49-F238E27FC236}">
                      <a16:creationId xmlns:a16="http://schemas.microsoft.com/office/drawing/2014/main" id="{46BBC4B5-8A6A-F55C-A600-E0C109E01EF7}"/>
                    </a:ext>
                  </a:extLst>
                </xdr:cNvPr>
                <xdr:cNvSpPr txBox="1"/>
              </xdr:nvSpPr>
              <xdr:spPr>
                <a:xfrm>
                  <a:off x="4388587" y="0"/>
                  <a:ext cx="63170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FURNITURE</a:t>
                  </a:r>
                </a:p>
              </xdr:txBody>
            </xdr:sp>
            <xdr:pic>
              <xdr:nvPicPr>
                <xdr:cNvPr id="80" name="Picture 79">
                  <a:hlinkClick xmlns:r="http://schemas.openxmlformats.org/officeDocument/2006/relationships" r:id="rId20"/>
                  <a:extLst>
                    <a:ext uri="{FF2B5EF4-FFF2-40B4-BE49-F238E27FC236}">
                      <a16:creationId xmlns:a16="http://schemas.microsoft.com/office/drawing/2014/main" id="{27E6EF89-3C3F-4600-2073-8FFAD7DD29FD}"/>
                    </a:ext>
                  </a:extLst>
                </xdr:cNvPr>
                <xdr:cNvPicPr>
                  <a:picLocks noChangeAspect="1"/>
                </xdr:cNvPicPr>
              </xdr:nvPicPr>
              <xdr:blipFill>
                <a:blip xmlns:r="http://schemas.openxmlformats.org/officeDocument/2006/relationships" r:embed="rId21" cstate="print">
                  <a:alphaModFix/>
                  <a:extLst>
                    <a:ext uri="{28A0092B-C50C-407E-A947-70E740481C1C}">
                      <a14:useLocalDpi xmlns:a14="http://schemas.microsoft.com/office/drawing/2010/main" val="0"/>
                    </a:ext>
                  </a:extLst>
                </a:blip>
                <a:stretch>
                  <a:fillRect/>
                </a:stretch>
              </xdr:blipFill>
              <xdr:spPr>
                <a:xfrm>
                  <a:off x="4180491" y="28376"/>
                  <a:ext cx="214435" cy="230900"/>
                </a:xfrm>
                <a:prstGeom prst="rect">
                  <a:avLst/>
                </a:prstGeom>
              </xdr:spPr>
            </xdr:pic>
            <xdr:pic>
              <xdr:nvPicPr>
                <xdr:cNvPr id="81" name="Picture 80">
                  <a:hlinkClick xmlns:r="http://schemas.openxmlformats.org/officeDocument/2006/relationships" r:id="rId22"/>
                  <a:extLst>
                    <a:ext uri="{FF2B5EF4-FFF2-40B4-BE49-F238E27FC236}">
                      <a16:creationId xmlns:a16="http://schemas.microsoft.com/office/drawing/2014/main" id="{A3FD94E1-7021-A83D-5AD6-43E046706777}"/>
                    </a:ext>
                  </a:extLst>
                </xdr:cNvPr>
                <xdr:cNvPicPr>
                  <a:picLocks noChangeAspect="1"/>
                </xdr:cNvPicPr>
              </xdr:nvPicPr>
              <xdr:blipFill>
                <a:blip xmlns:r="http://schemas.openxmlformats.org/officeDocument/2006/relationships" r:embed="rId23" cstate="print">
                  <a:alphaModFix/>
                  <a:extLst>
                    <a:ext uri="{28A0092B-C50C-407E-A947-70E740481C1C}">
                      <a14:useLocalDpi xmlns:a14="http://schemas.microsoft.com/office/drawing/2010/main" val="0"/>
                    </a:ext>
                  </a:extLst>
                </a:blip>
                <a:stretch>
                  <a:fillRect/>
                </a:stretch>
              </xdr:blipFill>
              <xdr:spPr>
                <a:xfrm>
                  <a:off x="10812480" y="19549"/>
                  <a:ext cx="214188" cy="248554"/>
                </a:xfrm>
                <a:prstGeom prst="rect">
                  <a:avLst/>
                </a:prstGeom>
              </xdr:spPr>
            </xdr:pic>
            <xdr:sp macro="" textlink="">
              <xdr:nvSpPr>
                <xdr:cNvPr id="82" name="TextBox 81">
                  <a:hlinkClick xmlns:r="http://schemas.openxmlformats.org/officeDocument/2006/relationships" r:id="rId22"/>
                  <a:extLst>
                    <a:ext uri="{FF2B5EF4-FFF2-40B4-BE49-F238E27FC236}">
                      <a16:creationId xmlns:a16="http://schemas.microsoft.com/office/drawing/2014/main" id="{EABE7C54-AD1E-82D9-E506-16EEDB68BD09}"/>
                    </a:ext>
                  </a:extLst>
                </xdr:cNvPr>
                <xdr:cNvSpPr txBox="1"/>
              </xdr:nvSpPr>
              <xdr:spPr>
                <a:xfrm>
                  <a:off x="11008843" y="0"/>
                  <a:ext cx="40705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PEERS</a:t>
                  </a:r>
                </a:p>
              </xdr:txBody>
            </xdr:sp>
            <xdr:sp macro="" textlink="">
              <xdr:nvSpPr>
                <xdr:cNvPr id="83" name="TextBox 82">
                  <a:hlinkClick xmlns:r="http://schemas.openxmlformats.org/officeDocument/2006/relationships" r:id="rId24"/>
                  <a:extLst>
                    <a:ext uri="{FF2B5EF4-FFF2-40B4-BE49-F238E27FC236}">
                      <a16:creationId xmlns:a16="http://schemas.microsoft.com/office/drawing/2014/main" id="{AF67A40C-3716-66F6-EC0E-02CA39E59BB7}"/>
                    </a:ext>
                  </a:extLst>
                </xdr:cNvPr>
                <xdr:cNvSpPr txBox="1"/>
              </xdr:nvSpPr>
              <xdr:spPr>
                <a:xfrm>
                  <a:off x="9581756" y="397481"/>
                  <a:ext cx="656781"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MAX PRICE</a:t>
                  </a:r>
                </a:p>
              </xdr:txBody>
            </xdr:sp>
            <xdr:pic>
              <xdr:nvPicPr>
                <xdr:cNvPr id="84" name="Picture 83">
                  <a:hlinkClick xmlns:r="http://schemas.openxmlformats.org/officeDocument/2006/relationships" r:id="rId24"/>
                  <a:extLst>
                    <a:ext uri="{FF2B5EF4-FFF2-40B4-BE49-F238E27FC236}">
                      <a16:creationId xmlns:a16="http://schemas.microsoft.com/office/drawing/2014/main" id="{AD58EA1B-AACA-1B15-A1F8-69CB4644DC86}"/>
                    </a:ext>
                  </a:extLst>
                </xdr:cNvPr>
                <xdr:cNvPicPr>
                  <a:picLocks noChangeAspect="1"/>
                </xdr:cNvPicPr>
              </xdr:nvPicPr>
              <xdr:blipFill>
                <a:blip xmlns:r="http://schemas.openxmlformats.org/officeDocument/2006/relationships" r:embed="rId25" cstate="print">
                  <a:alphaModFix/>
                  <a:extLst>
                    <a:ext uri="{28A0092B-C50C-407E-A947-70E740481C1C}">
                      <a14:useLocalDpi xmlns:a14="http://schemas.microsoft.com/office/drawing/2010/main" val="0"/>
                    </a:ext>
                  </a:extLst>
                </a:blip>
                <a:stretch>
                  <a:fillRect/>
                </a:stretch>
              </xdr:blipFill>
              <xdr:spPr>
                <a:xfrm>
                  <a:off x="9433997" y="425857"/>
                  <a:ext cx="214435" cy="230900"/>
                </a:xfrm>
                <a:prstGeom prst="rect">
                  <a:avLst/>
                </a:prstGeom>
              </xdr:spPr>
            </xdr:pic>
            <xdr:sp macro="" textlink="">
              <xdr:nvSpPr>
                <xdr:cNvPr id="85" name="TextBox 84">
                  <a:hlinkClick xmlns:r="http://schemas.openxmlformats.org/officeDocument/2006/relationships" r:id="rId26"/>
                  <a:extLst>
                    <a:ext uri="{FF2B5EF4-FFF2-40B4-BE49-F238E27FC236}">
                      <a16:creationId xmlns:a16="http://schemas.microsoft.com/office/drawing/2014/main" id="{6D8F5D3A-05E6-C550-B6C8-A8FCF5DEFF73}"/>
                    </a:ext>
                  </a:extLst>
                </xdr:cNvPr>
                <xdr:cNvSpPr txBox="1"/>
              </xdr:nvSpPr>
              <xdr:spPr>
                <a:xfrm>
                  <a:off x="7733272" y="389861"/>
                  <a:ext cx="6384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SCENARIOS</a:t>
                  </a:r>
                </a:p>
              </xdr:txBody>
            </xdr:sp>
            <xdr:pic>
              <xdr:nvPicPr>
                <xdr:cNvPr id="86" name="Picture 85">
                  <a:hlinkClick xmlns:r="http://schemas.openxmlformats.org/officeDocument/2006/relationships" r:id="rId26"/>
                  <a:extLst>
                    <a:ext uri="{FF2B5EF4-FFF2-40B4-BE49-F238E27FC236}">
                      <a16:creationId xmlns:a16="http://schemas.microsoft.com/office/drawing/2014/main" id="{04B6FE5B-05D8-65AA-2959-F29DF5E02FB5}"/>
                    </a:ext>
                  </a:extLst>
                </xdr:cNvPr>
                <xdr:cNvPicPr>
                  <a:picLocks noChangeAspect="1"/>
                </xdr:cNvPicPr>
              </xdr:nvPicPr>
              <xdr:blipFill>
                <a:blip xmlns:r="http://schemas.openxmlformats.org/officeDocument/2006/relationships" r:embed="rId27" cstate="print">
                  <a:alphaModFix/>
                  <a:extLst>
                    <a:ext uri="{28A0092B-C50C-407E-A947-70E740481C1C}">
                      <a14:useLocalDpi xmlns:a14="http://schemas.microsoft.com/office/drawing/2010/main" val="0"/>
                    </a:ext>
                  </a:extLst>
                </a:blip>
                <a:stretch>
                  <a:fillRect/>
                </a:stretch>
              </xdr:blipFill>
              <xdr:spPr>
                <a:xfrm>
                  <a:off x="7536090" y="418237"/>
                  <a:ext cx="214435" cy="230900"/>
                </a:xfrm>
                <a:prstGeom prst="rect">
                  <a:avLst/>
                </a:prstGeom>
              </xdr:spPr>
            </xdr:pic>
            <xdr:sp macro="" textlink="">
              <xdr:nvSpPr>
                <xdr:cNvPr id="87" name="TextBox 86">
                  <a:hlinkClick xmlns:r="http://schemas.openxmlformats.org/officeDocument/2006/relationships" r:id="rId28"/>
                  <a:extLst>
                    <a:ext uri="{FF2B5EF4-FFF2-40B4-BE49-F238E27FC236}">
                      <a16:creationId xmlns:a16="http://schemas.microsoft.com/office/drawing/2014/main" id="{1C3A5CB4-E5CA-BE11-F0F0-2D681970EC0A}"/>
                    </a:ext>
                  </a:extLst>
                </xdr:cNvPr>
                <xdr:cNvSpPr txBox="1"/>
              </xdr:nvSpPr>
              <xdr:spPr>
                <a:xfrm>
                  <a:off x="11757467" y="49286"/>
                  <a:ext cx="110218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MARKET RESEARCH</a:t>
                  </a:r>
                </a:p>
              </xdr:txBody>
            </xdr:sp>
            <xdr:pic>
              <xdr:nvPicPr>
                <xdr:cNvPr id="88" name="Picture 87" descr="A white and brown hourglass&#10;&#10;AI-generated content may be incorrect.">
                  <a:hlinkClick xmlns:r="http://schemas.openxmlformats.org/officeDocument/2006/relationships" r:id="rId28"/>
                  <a:extLst>
                    <a:ext uri="{FF2B5EF4-FFF2-40B4-BE49-F238E27FC236}">
                      <a16:creationId xmlns:a16="http://schemas.microsoft.com/office/drawing/2014/main" id="{F7069D5C-D880-4BB8-8D06-E706F7037793}"/>
                    </a:ext>
                  </a:extLst>
                </xdr:cNvPr>
                <xdr:cNvPicPr>
                  <a:picLocks noChangeAspect="1"/>
                </xdr:cNvPicPr>
              </xdr:nvPicPr>
              <xdr:blipFill>
                <a:blip xmlns:r="http://schemas.openxmlformats.org/officeDocument/2006/relationships" r:embed="rId29" cstate="print">
                  <a:alphaModFix/>
                  <a:extLst>
                    <a:ext uri="{28A0092B-C50C-407E-A947-70E740481C1C}">
                      <a14:useLocalDpi xmlns:a14="http://schemas.microsoft.com/office/drawing/2010/main" val="0"/>
                    </a:ext>
                  </a:extLst>
                </a:blip>
                <a:stretch>
                  <a:fillRect/>
                </a:stretch>
              </xdr:blipFill>
              <xdr:spPr>
                <a:xfrm>
                  <a:off x="11563464" y="33893"/>
                  <a:ext cx="235575" cy="261687"/>
                </a:xfrm>
                <a:prstGeom prst="rect">
                  <a:avLst/>
                </a:prstGeom>
              </xdr:spPr>
            </xdr:pic>
            <xdr:pic>
              <xdr:nvPicPr>
                <xdr:cNvPr id="89" name="Picture 88">
                  <a:hlinkClick xmlns:r="http://schemas.openxmlformats.org/officeDocument/2006/relationships" r:id="rId30"/>
                  <a:extLst>
                    <a:ext uri="{FF2B5EF4-FFF2-40B4-BE49-F238E27FC236}">
                      <a16:creationId xmlns:a16="http://schemas.microsoft.com/office/drawing/2014/main" id="{072A483F-D8D4-1BB9-D08A-9503F090DBF9}"/>
                    </a:ext>
                  </a:extLst>
                </xdr:cNvPr>
                <xdr:cNvPicPr>
                  <a:picLocks noChangeAspect="1" noChangeArrowheads="1"/>
                </xdr:cNvPicPr>
              </xdr:nvPicPr>
              <xdr:blipFill>
                <a:blip xmlns:r="http://schemas.openxmlformats.org/officeDocument/2006/relationships" r:embed="rId3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33032" y="384834"/>
                  <a:ext cx="261600" cy="33288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0" name="TextBox 89">
                  <a:hlinkClick xmlns:r="http://schemas.openxmlformats.org/officeDocument/2006/relationships" r:id="rId30"/>
                  <a:extLst>
                    <a:ext uri="{FF2B5EF4-FFF2-40B4-BE49-F238E27FC236}">
                      <a16:creationId xmlns:a16="http://schemas.microsoft.com/office/drawing/2014/main" id="{E9900A1F-163C-FE45-FF73-1933B6EDD7E8}"/>
                    </a:ext>
                  </a:extLst>
                </xdr:cNvPr>
                <xdr:cNvSpPr txBox="1"/>
              </xdr:nvSpPr>
              <xdr:spPr>
                <a:xfrm>
                  <a:off x="3637195" y="315564"/>
                  <a:ext cx="914586" cy="433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BALANCE SHEET</a:t>
                  </a:r>
                </a:p>
                <a:p>
                  <a:pPr algn="ctr"/>
                  <a:r>
                    <a:rPr lang="en-US" sz="900" b="1">
                      <a:solidFill>
                        <a:schemeClr val="bg1"/>
                      </a:solidFill>
                    </a:rPr>
                    <a:t>SUMMARY</a:t>
                  </a:r>
                </a:p>
              </xdr:txBody>
            </xdr:sp>
            <xdr:pic>
              <xdr:nvPicPr>
                <xdr:cNvPr id="91" name="Picture 90">
                  <a:hlinkClick xmlns:r="http://schemas.openxmlformats.org/officeDocument/2006/relationships" r:id="rId32"/>
                  <a:extLst>
                    <a:ext uri="{FF2B5EF4-FFF2-40B4-BE49-F238E27FC236}">
                      <a16:creationId xmlns:a16="http://schemas.microsoft.com/office/drawing/2014/main" id="{EF939EEA-F804-9E4F-5688-CB159FB2E3CB}"/>
                    </a:ext>
                  </a:extLst>
                </xdr:cNvPr>
                <xdr:cNvPicPr>
                  <a:picLocks noChangeAspect="1" noChangeArrowheads="1"/>
                </xdr:cNvPicPr>
              </xdr:nvPicPr>
              <xdr:blipFill>
                <a:blip xmlns:r="http://schemas.openxmlformats.org/officeDocument/2006/relationships" r:embed="rId33" cstate="print">
                  <a:clrChange>
                    <a:clrFrom>
                      <a:srgbClr val="F8F8F8"/>
                    </a:clrFrom>
                    <a:clrTo>
                      <a:srgbClr val="F8F8F8">
                        <a:alpha val="0"/>
                      </a:srgbClr>
                    </a:clrTo>
                  </a:clrChange>
                  <a:extLst>
                    <a:ext uri="{28A0092B-C50C-407E-A947-70E740481C1C}">
                      <a14:useLocalDpi xmlns:a14="http://schemas.microsoft.com/office/drawing/2010/main" val="0"/>
                    </a:ext>
                  </a:extLst>
                </a:blip>
                <a:srcRect/>
                <a:stretch>
                  <a:fillRect/>
                </a:stretch>
              </xdr:blipFill>
              <xdr:spPr bwMode="auto">
                <a:xfrm>
                  <a:off x="4602713" y="384834"/>
                  <a:ext cx="326621" cy="3113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2" name="TextBox 91">
                  <a:hlinkClick xmlns:r="http://schemas.openxmlformats.org/officeDocument/2006/relationships" r:id="rId32"/>
                  <a:extLst>
                    <a:ext uri="{FF2B5EF4-FFF2-40B4-BE49-F238E27FC236}">
                      <a16:creationId xmlns:a16="http://schemas.microsoft.com/office/drawing/2014/main" id="{449B7844-5D7F-CAF1-F4E7-56F16E5A53FA}"/>
                    </a:ext>
                  </a:extLst>
                </xdr:cNvPr>
                <xdr:cNvSpPr txBox="1"/>
              </xdr:nvSpPr>
              <xdr:spPr>
                <a:xfrm>
                  <a:off x="4880678" y="423317"/>
                  <a:ext cx="56334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ASSETS</a:t>
                  </a:r>
                </a:p>
              </xdr:txBody>
            </xdr:sp>
            <xdr:pic>
              <xdr:nvPicPr>
                <xdr:cNvPr id="93" name="Picture 92">
                  <a:hlinkClick xmlns:r="http://schemas.openxmlformats.org/officeDocument/2006/relationships" r:id="rId34"/>
                  <a:extLst>
                    <a:ext uri="{FF2B5EF4-FFF2-40B4-BE49-F238E27FC236}">
                      <a16:creationId xmlns:a16="http://schemas.microsoft.com/office/drawing/2014/main" id="{08A27D1D-23ED-21EE-E693-54681DE1B864}"/>
                    </a:ext>
                  </a:extLst>
                </xdr:cNvPr>
                <xdr:cNvPicPr>
                  <a:picLocks noChangeAspect="1" noChangeArrowheads="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35903" y="354046"/>
                  <a:ext cx="278234" cy="3540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4" name="TextBox 93">
                  <a:hlinkClick xmlns:r="http://schemas.openxmlformats.org/officeDocument/2006/relationships" r:id="rId34"/>
                  <a:extLst>
                    <a:ext uri="{FF2B5EF4-FFF2-40B4-BE49-F238E27FC236}">
                      <a16:creationId xmlns:a16="http://schemas.microsoft.com/office/drawing/2014/main" id="{82C86E1D-0CFA-CC75-B38F-7555EB7758BB}"/>
                    </a:ext>
                  </a:extLst>
                </xdr:cNvPr>
                <xdr:cNvSpPr txBox="1"/>
              </xdr:nvSpPr>
              <xdr:spPr>
                <a:xfrm>
                  <a:off x="5717678" y="431014"/>
                  <a:ext cx="750091"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LIABILITIES</a:t>
                  </a:r>
                </a:p>
              </xdr:txBody>
            </xdr:sp>
            <xdr:pic>
              <xdr:nvPicPr>
                <xdr:cNvPr id="95" name="Picture 94">
                  <a:hlinkClick xmlns:r="http://schemas.openxmlformats.org/officeDocument/2006/relationships" r:id="rId36"/>
                  <a:extLst>
                    <a:ext uri="{FF2B5EF4-FFF2-40B4-BE49-F238E27FC236}">
                      <a16:creationId xmlns:a16="http://schemas.microsoft.com/office/drawing/2014/main" id="{90F01091-E870-A7F1-C996-15E58154D93D}"/>
                    </a:ext>
                  </a:extLst>
                </xdr:cNvPr>
                <xdr:cNvPicPr>
                  <a:picLocks noChangeAspect="1"/>
                </xdr:cNvPicPr>
              </xdr:nvPicPr>
              <xdr:blipFill>
                <a:blip xmlns:r="http://schemas.openxmlformats.org/officeDocument/2006/relationships" r:embed="rId37">
                  <a:clrChange>
                    <a:clrFrom>
                      <a:srgbClr val="FFFFFF"/>
                    </a:clrFrom>
                    <a:clrTo>
                      <a:srgbClr val="FFFFFF">
                        <a:alpha val="0"/>
                      </a:srgbClr>
                    </a:clrTo>
                  </a:clrChange>
                </a:blip>
                <a:stretch>
                  <a:fillRect/>
                </a:stretch>
              </xdr:blipFill>
              <xdr:spPr>
                <a:xfrm>
                  <a:off x="6454424" y="361268"/>
                  <a:ext cx="368693" cy="354523"/>
                </a:xfrm>
                <a:prstGeom prst="rect">
                  <a:avLst/>
                </a:prstGeom>
              </xdr:spPr>
            </xdr:pic>
            <xdr:sp macro="" textlink="">
              <xdr:nvSpPr>
                <xdr:cNvPr id="96" name="TextBox 95">
                  <a:hlinkClick xmlns:r="http://schemas.openxmlformats.org/officeDocument/2006/relationships" r:id="rId36"/>
                  <a:extLst>
                    <a:ext uri="{FF2B5EF4-FFF2-40B4-BE49-F238E27FC236}">
                      <a16:creationId xmlns:a16="http://schemas.microsoft.com/office/drawing/2014/main" id="{B9422EEF-6FA3-2B85-7662-BBA2BA39C2B0}"/>
                    </a:ext>
                  </a:extLst>
                </xdr:cNvPr>
                <xdr:cNvSpPr txBox="1"/>
              </xdr:nvSpPr>
              <xdr:spPr>
                <a:xfrm>
                  <a:off x="6742924" y="369440"/>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EDIT</a:t>
                  </a:r>
                </a:p>
                <a:p>
                  <a:r>
                    <a:rPr lang="en-US" sz="900" b="1">
                      <a:solidFill>
                        <a:schemeClr val="bg1"/>
                      </a:solidFill>
                    </a:rPr>
                    <a:t>CATEGORIES</a:t>
                  </a:r>
                </a:p>
              </xdr:txBody>
            </xdr:sp>
            <xdr:grpSp>
              <xdr:nvGrpSpPr>
                <xdr:cNvPr id="97" name="Group 96">
                  <a:hlinkClick xmlns:r="http://schemas.openxmlformats.org/officeDocument/2006/relationships" r:id="rId38"/>
                  <a:extLst>
                    <a:ext uri="{FF2B5EF4-FFF2-40B4-BE49-F238E27FC236}">
                      <a16:creationId xmlns:a16="http://schemas.microsoft.com/office/drawing/2014/main" id="{FC232979-C5CA-2351-BAAE-5740B27468F6}"/>
                    </a:ext>
                  </a:extLst>
                </xdr:cNvPr>
                <xdr:cNvGrpSpPr/>
              </xdr:nvGrpSpPr>
              <xdr:grpSpPr>
                <a:xfrm>
                  <a:off x="10231249" y="237461"/>
                  <a:ext cx="1281586" cy="502920"/>
                  <a:chOff x="11732389" y="237461"/>
                  <a:chExt cx="1281586" cy="502920"/>
                </a:xfrm>
              </xdr:grpSpPr>
              <xdr:pic>
                <xdr:nvPicPr>
                  <xdr:cNvPr id="98" name="Picture 97">
                    <a:hlinkClick xmlns:r="http://schemas.openxmlformats.org/officeDocument/2006/relationships" r:id="rId39"/>
                    <a:extLst>
                      <a:ext uri="{FF2B5EF4-FFF2-40B4-BE49-F238E27FC236}">
                        <a16:creationId xmlns:a16="http://schemas.microsoft.com/office/drawing/2014/main" id="{0AF498DA-7816-DB4C-9CC6-51A59C3E510A}"/>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1732389" y="237461"/>
                    <a:ext cx="502920" cy="502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9" name="TextBox 98">
                    <a:hlinkClick xmlns:r="http://schemas.openxmlformats.org/officeDocument/2006/relationships" r:id="rId39"/>
                    <a:extLst>
                      <a:ext uri="{FF2B5EF4-FFF2-40B4-BE49-F238E27FC236}">
                        <a16:creationId xmlns:a16="http://schemas.microsoft.com/office/drawing/2014/main" id="{B92995B8-7569-847D-0B6B-A9CA50A81255}"/>
                      </a:ext>
                    </a:extLst>
                  </xdr:cNvPr>
                  <xdr:cNvSpPr txBox="1"/>
                </xdr:nvSpPr>
                <xdr:spPr>
                  <a:xfrm>
                    <a:off x="12197209" y="344142"/>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 GAME APPS</a:t>
                    </a:r>
                  </a:p>
                </xdr:txBody>
              </xdr:sp>
            </xdr:grpSp>
          </xdr:grpSp>
          <xdr:grpSp>
            <xdr:nvGrpSpPr>
              <xdr:cNvPr id="58" name="Group 57">
                <a:extLst>
                  <a:ext uri="{FF2B5EF4-FFF2-40B4-BE49-F238E27FC236}">
                    <a16:creationId xmlns:a16="http://schemas.microsoft.com/office/drawing/2014/main" id="{066BEA10-B6B4-0879-05C2-BECBE91EFD45}"/>
                  </a:ext>
                </a:extLst>
              </xdr:cNvPr>
              <xdr:cNvGrpSpPr/>
            </xdr:nvGrpSpPr>
            <xdr:grpSpPr>
              <a:xfrm>
                <a:off x="3030070" y="313765"/>
                <a:ext cx="1219410" cy="438976"/>
                <a:chOff x="3030070" y="313765"/>
                <a:chExt cx="1219410" cy="438976"/>
              </a:xfrm>
            </xdr:grpSpPr>
            <xdr:sp macro="" textlink="">
              <xdr:nvSpPr>
                <xdr:cNvPr id="59" name="TextBox 58">
                  <a:hlinkClick xmlns:r="http://schemas.openxmlformats.org/officeDocument/2006/relationships" r:id="rId41"/>
                  <a:extLst>
                    <a:ext uri="{FF2B5EF4-FFF2-40B4-BE49-F238E27FC236}">
                      <a16:creationId xmlns:a16="http://schemas.microsoft.com/office/drawing/2014/main" id="{980D3F5E-613C-54DD-16BA-11CF0C43809E}"/>
                    </a:ext>
                  </a:extLst>
                </xdr:cNvPr>
                <xdr:cNvSpPr txBox="1"/>
              </xdr:nvSpPr>
              <xdr:spPr>
                <a:xfrm>
                  <a:off x="3307528" y="313765"/>
                  <a:ext cx="941952" cy="43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BOOK KEEPING</a:t>
                  </a:r>
                </a:p>
                <a:p>
                  <a:pPr algn="ctr"/>
                  <a:r>
                    <a:rPr lang="en-US" sz="900" b="1">
                      <a:solidFill>
                        <a:schemeClr val="bg1"/>
                      </a:solidFill>
                    </a:rPr>
                    <a:t>LEDGER</a:t>
                  </a:r>
                </a:p>
              </xdr:txBody>
            </xdr:sp>
            <xdr:pic>
              <xdr:nvPicPr>
                <xdr:cNvPr id="60" name="Picture 59">
                  <a:hlinkClick xmlns:r="http://schemas.openxmlformats.org/officeDocument/2006/relationships" r:id="rId41"/>
                  <a:extLst>
                    <a:ext uri="{FF2B5EF4-FFF2-40B4-BE49-F238E27FC236}">
                      <a16:creationId xmlns:a16="http://schemas.microsoft.com/office/drawing/2014/main" id="{9F17D580-DF90-E1AC-4F7F-07E048CF4B30}"/>
                    </a:ext>
                  </a:extLst>
                </xdr:cNvPr>
                <xdr:cNvPicPr>
                  <a:picLocks noChangeAspect="1"/>
                </xdr:cNvPicPr>
              </xdr:nvPicPr>
              <xdr:blipFill>
                <a:blip xmlns:r="http://schemas.openxmlformats.org/officeDocument/2006/relationships" r:embed="rId4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0070" y="367554"/>
                  <a:ext cx="327770" cy="349622"/>
                </a:xfrm>
                <a:prstGeom prst="rect">
                  <a:avLst/>
                </a:prstGeom>
              </xdr:spPr>
            </xdr:pic>
          </xdr:grpSp>
        </xdr:grpSp>
        <xdr:grpSp>
          <xdr:nvGrpSpPr>
            <xdr:cNvPr id="54" name="Group 53">
              <a:extLst>
                <a:ext uri="{FF2B5EF4-FFF2-40B4-BE49-F238E27FC236}">
                  <a16:creationId xmlns:a16="http://schemas.microsoft.com/office/drawing/2014/main" id="{A9DD1901-39D1-CAF5-C9D3-A9A475DCA7C2}"/>
                </a:ext>
              </a:extLst>
            </xdr:cNvPr>
            <xdr:cNvGrpSpPr/>
          </xdr:nvGrpSpPr>
          <xdr:grpSpPr>
            <a:xfrm>
              <a:off x="12626340" y="243840"/>
              <a:ext cx="1344125" cy="571500"/>
              <a:chOff x="12626340" y="243840"/>
              <a:chExt cx="1344125" cy="571500"/>
            </a:xfrm>
          </xdr:grpSpPr>
          <xdr:pic>
            <xdr:nvPicPr>
              <xdr:cNvPr id="55" name="Picture 54">
                <a:hlinkClick xmlns:r="http://schemas.openxmlformats.org/officeDocument/2006/relationships" r:id="rId43"/>
                <a:extLst>
                  <a:ext uri="{FF2B5EF4-FFF2-40B4-BE49-F238E27FC236}">
                    <a16:creationId xmlns:a16="http://schemas.microsoft.com/office/drawing/2014/main" id="{281D0933-5155-84BC-EAF2-BE523809FAD1}"/>
                  </a:ext>
                </a:extLst>
              </xdr:cNvPr>
              <xdr:cNvPicPr>
                <a:picLocks noChangeAspect="1" noChangeArrowheads="1"/>
              </xdr:cNvPicPr>
            </xdr:nvPicPr>
            <xdr:blipFill>
              <a:blip xmlns:r="http://schemas.openxmlformats.org/officeDocument/2006/relationships" r:embed="rId4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26340" y="243840"/>
                <a:ext cx="571500" cy="571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6" name="TextBox 55">
                <a:hlinkClick xmlns:r="http://schemas.openxmlformats.org/officeDocument/2006/relationships" r:id="rId43"/>
                <a:extLst>
                  <a:ext uri="{FF2B5EF4-FFF2-40B4-BE49-F238E27FC236}">
                    <a16:creationId xmlns:a16="http://schemas.microsoft.com/office/drawing/2014/main" id="{F3150C9B-6CA1-680E-8BFA-9684BDF9510D}"/>
                  </a:ext>
                </a:extLst>
              </xdr:cNvPr>
              <xdr:cNvSpPr txBox="1"/>
            </xdr:nvSpPr>
            <xdr:spPr>
              <a:xfrm>
                <a:off x="13129260" y="327660"/>
                <a:ext cx="841205" cy="4000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TRAVEL</a:t>
                </a:r>
              </a:p>
              <a:p>
                <a:pPr algn="ctr"/>
                <a:r>
                  <a:rPr lang="en-US" sz="900" b="1">
                    <a:solidFill>
                      <a:schemeClr val="bg1"/>
                    </a:solidFill>
                  </a:rPr>
                  <a:t>SANDBOX</a:t>
                </a:r>
              </a:p>
            </xdr:txBody>
          </xdr:sp>
        </xdr:grpSp>
      </xdr:grpSp>
      <xdr:pic>
        <xdr:nvPicPr>
          <xdr:cNvPr id="52" name="Picture 51">
            <a:hlinkClick xmlns:r="http://schemas.openxmlformats.org/officeDocument/2006/relationships" r:id="rId11"/>
            <a:extLst>
              <a:ext uri="{FF2B5EF4-FFF2-40B4-BE49-F238E27FC236}">
                <a16:creationId xmlns:a16="http://schemas.microsoft.com/office/drawing/2014/main" id="{EF731C04-41DD-E184-4B3F-427D5EFC4E29}"/>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34100" y="30480"/>
            <a:ext cx="234698" cy="246078"/>
          </a:xfrm>
          <a:prstGeom prst="rect">
            <a:avLst/>
          </a:prstGeom>
          <a:solidFill>
            <a:srgbClr val="7FA6C7"/>
          </a:solidFill>
        </xdr:spPr>
      </xdr:pic>
    </xdr:grp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133348</xdr:colOff>
      <xdr:row>27</xdr:row>
      <xdr:rowOff>125730</xdr:rowOff>
    </xdr:from>
    <xdr:to>
      <xdr:col>10</xdr:col>
      <xdr:colOff>514350</xdr:colOff>
      <xdr:row>40</xdr:row>
      <xdr:rowOff>11431</xdr:rowOff>
    </xdr:to>
    <xdr:graphicFrame macro="">
      <xdr:nvGraphicFramePr>
        <xdr:cNvPr id="26" name="Chart 25">
          <a:extLst>
            <a:ext uri="{FF2B5EF4-FFF2-40B4-BE49-F238E27FC236}">
              <a16:creationId xmlns:a16="http://schemas.microsoft.com/office/drawing/2014/main" id="{00000000-0008-0000-04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114299</xdr:colOff>
      <xdr:row>27</xdr:row>
      <xdr:rowOff>125730</xdr:rowOff>
    </xdr:from>
    <xdr:to>
      <xdr:col>24</xdr:col>
      <xdr:colOff>419099</xdr:colOff>
      <xdr:row>40</xdr:row>
      <xdr:rowOff>11431</xdr:rowOff>
    </xdr:to>
    <xdr:graphicFrame macro="">
      <xdr:nvGraphicFramePr>
        <xdr:cNvPr id="28" name="Chart 27">
          <a:extLst>
            <a:ext uri="{FF2B5EF4-FFF2-40B4-BE49-F238E27FC236}">
              <a16:creationId xmlns:a16="http://schemas.microsoft.com/office/drawing/2014/main" id="{00000000-0008-0000-04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594360</xdr:colOff>
      <xdr:row>0</xdr:row>
      <xdr:rowOff>0</xdr:rowOff>
    </xdr:from>
    <xdr:to>
      <xdr:col>18</xdr:col>
      <xdr:colOff>601737</xdr:colOff>
      <xdr:row>3</xdr:row>
      <xdr:rowOff>7620</xdr:rowOff>
    </xdr:to>
    <xdr:grpSp>
      <xdr:nvGrpSpPr>
        <xdr:cNvPr id="52" name="Group 51">
          <a:extLst>
            <a:ext uri="{FF2B5EF4-FFF2-40B4-BE49-F238E27FC236}">
              <a16:creationId xmlns:a16="http://schemas.microsoft.com/office/drawing/2014/main" id="{3B8A23C3-AF76-44FF-96B7-80607BFF7821}"/>
            </a:ext>
          </a:extLst>
        </xdr:cNvPr>
        <xdr:cNvGrpSpPr/>
      </xdr:nvGrpSpPr>
      <xdr:grpSpPr>
        <a:xfrm>
          <a:off x="792480" y="0"/>
          <a:ext cx="11894577" cy="815340"/>
          <a:chOff x="2194560" y="0"/>
          <a:chExt cx="11894577" cy="815340"/>
        </a:xfrm>
      </xdr:grpSpPr>
      <xdr:grpSp>
        <xdr:nvGrpSpPr>
          <xdr:cNvPr id="53" name="Group 52">
            <a:extLst>
              <a:ext uri="{FF2B5EF4-FFF2-40B4-BE49-F238E27FC236}">
                <a16:creationId xmlns:a16="http://schemas.microsoft.com/office/drawing/2014/main" id="{D4EBB0C3-4240-2CB6-BA5D-A1B79A4B3C54}"/>
              </a:ext>
            </a:extLst>
          </xdr:cNvPr>
          <xdr:cNvGrpSpPr/>
        </xdr:nvGrpSpPr>
        <xdr:grpSpPr>
          <a:xfrm>
            <a:off x="2194560" y="0"/>
            <a:ext cx="11894577" cy="815340"/>
            <a:chOff x="2194560" y="0"/>
            <a:chExt cx="11894577" cy="815340"/>
          </a:xfrm>
        </xdr:grpSpPr>
        <xdr:grpSp>
          <xdr:nvGrpSpPr>
            <xdr:cNvPr id="55" name="Group 54">
              <a:extLst>
                <a:ext uri="{FF2B5EF4-FFF2-40B4-BE49-F238E27FC236}">
                  <a16:creationId xmlns:a16="http://schemas.microsoft.com/office/drawing/2014/main" id="{6516A7D3-7754-5E32-B0BE-A2F9BB3E3689}"/>
                </a:ext>
              </a:extLst>
            </xdr:cNvPr>
            <xdr:cNvGrpSpPr/>
          </xdr:nvGrpSpPr>
          <xdr:grpSpPr>
            <a:xfrm>
              <a:off x="2194560" y="0"/>
              <a:ext cx="11894577" cy="773812"/>
              <a:chOff x="2160046" y="0"/>
              <a:chExt cx="11894577" cy="773812"/>
            </a:xfrm>
          </xdr:grpSpPr>
          <xdr:grpSp>
            <xdr:nvGrpSpPr>
              <xdr:cNvPr id="59" name="Group 58">
                <a:extLst>
                  <a:ext uri="{FF2B5EF4-FFF2-40B4-BE49-F238E27FC236}">
                    <a16:creationId xmlns:a16="http://schemas.microsoft.com/office/drawing/2014/main" id="{244F29AD-8B26-5447-D711-DD72E216F1D1}"/>
                  </a:ext>
                </a:extLst>
              </xdr:cNvPr>
              <xdr:cNvGrpSpPr/>
            </xdr:nvGrpSpPr>
            <xdr:grpSpPr>
              <a:xfrm>
                <a:off x="2160046" y="0"/>
                <a:ext cx="11894577" cy="773812"/>
                <a:chOff x="1310640" y="0"/>
                <a:chExt cx="11549013" cy="764847"/>
              </a:xfrm>
            </xdr:grpSpPr>
            <xdr:pic>
              <xdr:nvPicPr>
                <xdr:cNvPr id="63" name="Picture 62">
                  <a:hlinkClick xmlns:r="http://schemas.openxmlformats.org/officeDocument/2006/relationships" r:id="rId3"/>
                  <a:extLst>
                    <a:ext uri="{FF2B5EF4-FFF2-40B4-BE49-F238E27FC236}">
                      <a16:creationId xmlns:a16="http://schemas.microsoft.com/office/drawing/2014/main" id="{808507E2-668D-5AA3-BDFD-365EE57C5C9A}"/>
                    </a:ext>
                  </a:extLst>
                </xdr:cNvPr>
                <xdr:cNvPicPr>
                  <a:picLocks/>
                </xdr:cNvPicPr>
              </xdr:nvPicPr>
              <xdr:blipFill>
                <a:blip xmlns:r="http://schemas.openxmlformats.org/officeDocument/2006/relationships" r:embed="rId4" cstate="print">
                  <a:alphaModFix/>
                  <a:extLst>
                    <a:ext uri="{28A0092B-C50C-407E-A947-70E740481C1C}">
                      <a14:useLocalDpi xmlns:a14="http://schemas.microsoft.com/office/drawing/2010/main" val="0"/>
                    </a:ext>
                  </a:extLst>
                </a:blip>
                <a:srcRect/>
                <a:stretch/>
              </xdr:blipFill>
              <xdr:spPr>
                <a:xfrm>
                  <a:off x="1310640" y="46180"/>
                  <a:ext cx="499211" cy="554546"/>
                </a:xfrm>
                <a:prstGeom prst="rect">
                  <a:avLst/>
                </a:prstGeom>
              </xdr:spPr>
            </xdr:pic>
            <xdr:pic>
              <xdr:nvPicPr>
                <xdr:cNvPr id="64" name="Picture 63">
                  <a:hlinkClick xmlns:r="http://schemas.openxmlformats.org/officeDocument/2006/relationships" r:id="rId5"/>
                  <a:extLst>
                    <a:ext uri="{FF2B5EF4-FFF2-40B4-BE49-F238E27FC236}">
                      <a16:creationId xmlns:a16="http://schemas.microsoft.com/office/drawing/2014/main" id="{6B8D5F8C-DE85-2D04-0516-298074382B41}"/>
                    </a:ext>
                  </a:extLst>
                </xdr:cNvPr>
                <xdr:cNvPicPr>
                  <a:picLocks noChangeAspect="1" noChangeArrowheads="1"/>
                </xdr:cNvPicPr>
              </xdr:nvPicPr>
              <xdr:blipFill>
                <a:blip xmlns:r="http://schemas.openxmlformats.org/officeDocument/2006/relationships" r:embed="rId6" cstate="print">
                  <a:alphaModFix/>
                  <a:extLst>
                    <a:ext uri="{28A0092B-C50C-407E-A947-70E740481C1C}">
                      <a14:useLocalDpi xmlns:a14="http://schemas.microsoft.com/office/drawing/2010/main" val="0"/>
                    </a:ext>
                  </a:extLst>
                </a:blip>
                <a:srcRect/>
                <a:stretch>
                  <a:fillRect/>
                </a:stretch>
              </xdr:blipFill>
              <xdr:spPr bwMode="auto">
                <a:xfrm>
                  <a:off x="2163693" y="30823"/>
                  <a:ext cx="214188" cy="2260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5" name="TextBox 64">
                  <a:hlinkClick xmlns:r="http://schemas.openxmlformats.org/officeDocument/2006/relationships" r:id="rId5"/>
                  <a:extLst>
                    <a:ext uri="{FF2B5EF4-FFF2-40B4-BE49-F238E27FC236}">
                      <a16:creationId xmlns:a16="http://schemas.microsoft.com/office/drawing/2014/main" id="{05335A25-79FD-6FBD-A407-89CA340D4C71}"/>
                    </a:ext>
                  </a:extLst>
                </xdr:cNvPr>
                <xdr:cNvSpPr txBox="1"/>
              </xdr:nvSpPr>
              <xdr:spPr>
                <a:xfrm>
                  <a:off x="2369194" y="17046"/>
                  <a:ext cx="846446" cy="25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US" sz="900" b="1">
                      <a:solidFill>
                        <a:schemeClr val="bg1"/>
                      </a:solidFill>
                    </a:rPr>
                    <a:t>DASHBOARD</a:t>
                  </a:r>
                </a:p>
              </xdr:txBody>
            </xdr:sp>
            <xdr:pic>
              <xdr:nvPicPr>
                <xdr:cNvPr id="66" name="Picture 65">
                  <a:hlinkClick xmlns:r="http://schemas.openxmlformats.org/officeDocument/2006/relationships" r:id="rId7"/>
                  <a:extLst>
                    <a:ext uri="{FF2B5EF4-FFF2-40B4-BE49-F238E27FC236}">
                      <a16:creationId xmlns:a16="http://schemas.microsoft.com/office/drawing/2014/main" id="{0889249C-9984-3E9E-7E81-5E8D64558E1E}"/>
                    </a:ext>
                  </a:extLst>
                </xdr:cNvPr>
                <xdr:cNvPicPr>
                  <a:picLocks noChangeAspect="1" noChangeArrowheads="1"/>
                </xdr:cNvPicPr>
              </xdr:nvPicPr>
              <xdr:blipFill>
                <a:blip xmlns:r="http://schemas.openxmlformats.org/officeDocument/2006/relationships" r:embed="rId8" cstate="print">
                  <a:alphaModFix/>
                  <a:extLst>
                    <a:ext uri="{28A0092B-C50C-407E-A947-70E740481C1C}">
                      <a14:useLocalDpi xmlns:a14="http://schemas.microsoft.com/office/drawing/2010/main" val="0"/>
                    </a:ext>
                  </a:extLst>
                </a:blip>
                <a:srcRect/>
                <a:stretch>
                  <a:fillRect/>
                </a:stretch>
              </xdr:blipFill>
              <xdr:spPr bwMode="auto">
                <a:xfrm>
                  <a:off x="8461655" y="433462"/>
                  <a:ext cx="214188" cy="20819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7" name="TextBox 66">
                  <a:hlinkClick xmlns:r="http://schemas.openxmlformats.org/officeDocument/2006/relationships" r:id="rId7"/>
                  <a:extLst>
                    <a:ext uri="{FF2B5EF4-FFF2-40B4-BE49-F238E27FC236}">
                      <a16:creationId xmlns:a16="http://schemas.microsoft.com/office/drawing/2014/main" id="{1EECBE03-7583-6698-840A-B9553F1ACE7D}"/>
                    </a:ext>
                  </a:extLst>
                </xdr:cNvPr>
                <xdr:cNvSpPr txBox="1"/>
              </xdr:nvSpPr>
              <xdr:spPr>
                <a:xfrm>
                  <a:off x="8647283" y="413913"/>
                  <a:ext cx="56836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REPORTS</a:t>
                  </a:r>
                </a:p>
              </xdr:txBody>
            </xdr:sp>
            <xdr:pic>
              <xdr:nvPicPr>
                <xdr:cNvPr id="68" name="Picture 67">
                  <a:hlinkClick xmlns:r="http://schemas.openxmlformats.org/officeDocument/2006/relationships" r:id="rId9"/>
                  <a:extLst>
                    <a:ext uri="{FF2B5EF4-FFF2-40B4-BE49-F238E27FC236}">
                      <a16:creationId xmlns:a16="http://schemas.microsoft.com/office/drawing/2014/main" id="{7825FA7A-3DB0-2B96-38F4-3692BB39B02F}"/>
                    </a:ext>
                  </a:extLst>
                </xdr:cNvPr>
                <xdr:cNvPicPr>
                  <a:picLocks noChangeAspect="1"/>
                </xdr:cNvPicPr>
              </xdr:nvPicPr>
              <xdr:blipFill>
                <a:blip xmlns:r="http://schemas.openxmlformats.org/officeDocument/2006/relationships" r:embed="rId10" cstate="print">
                  <a:alphaModFix/>
                  <a:extLst>
                    <a:ext uri="{28A0092B-C50C-407E-A947-70E740481C1C}">
                      <a14:useLocalDpi xmlns:a14="http://schemas.microsoft.com/office/drawing/2010/main" val="0"/>
                    </a:ext>
                  </a:extLst>
                </a:blip>
                <a:stretch>
                  <a:fillRect/>
                </a:stretch>
              </xdr:blipFill>
              <xdr:spPr>
                <a:xfrm>
                  <a:off x="6903860" y="19549"/>
                  <a:ext cx="214187" cy="248554"/>
                </a:xfrm>
                <a:prstGeom prst="rect">
                  <a:avLst/>
                </a:prstGeom>
              </xdr:spPr>
            </xdr:pic>
            <xdr:sp macro="" textlink="">
              <xdr:nvSpPr>
                <xdr:cNvPr id="69" name="TextBox 68">
                  <a:hlinkClick xmlns:r="http://schemas.openxmlformats.org/officeDocument/2006/relationships" r:id="rId9"/>
                  <a:extLst>
                    <a:ext uri="{FF2B5EF4-FFF2-40B4-BE49-F238E27FC236}">
                      <a16:creationId xmlns:a16="http://schemas.microsoft.com/office/drawing/2014/main" id="{2D893582-4DB8-38C7-DDAA-64ED2D07892F}"/>
                    </a:ext>
                  </a:extLst>
                </xdr:cNvPr>
                <xdr:cNvSpPr txBox="1"/>
              </xdr:nvSpPr>
              <xdr:spPr>
                <a:xfrm>
                  <a:off x="7099062" y="0"/>
                  <a:ext cx="67589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MORTGAGE</a:t>
                  </a:r>
                </a:p>
              </xdr:txBody>
            </xdr:sp>
            <xdr:sp macro="" textlink="">
              <xdr:nvSpPr>
                <xdr:cNvPr id="70" name="TextBox 69">
                  <a:hlinkClick xmlns:r="http://schemas.openxmlformats.org/officeDocument/2006/relationships" r:id="rId11"/>
                  <a:extLst>
                    <a:ext uri="{FF2B5EF4-FFF2-40B4-BE49-F238E27FC236}">
                      <a16:creationId xmlns:a16="http://schemas.microsoft.com/office/drawing/2014/main" id="{707757C4-F89F-308D-0B99-EC39A9F71910}"/>
                    </a:ext>
                  </a:extLst>
                </xdr:cNvPr>
                <xdr:cNvSpPr txBox="1"/>
              </xdr:nvSpPr>
              <xdr:spPr>
                <a:xfrm>
                  <a:off x="6375474" y="0"/>
                  <a:ext cx="381400"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DEBT</a:t>
                  </a:r>
                </a:p>
              </xdr:txBody>
            </xdr:sp>
            <xdr:pic>
              <xdr:nvPicPr>
                <xdr:cNvPr id="71" name="Picture 70">
                  <a:hlinkClick xmlns:r="http://schemas.openxmlformats.org/officeDocument/2006/relationships" r:id="rId11"/>
                  <a:extLst>
                    <a:ext uri="{FF2B5EF4-FFF2-40B4-BE49-F238E27FC236}">
                      <a16:creationId xmlns:a16="http://schemas.microsoft.com/office/drawing/2014/main" id="{B77AC99B-D67B-19C5-3D09-B6131CF6B359}"/>
                    </a:ext>
                  </a:extLst>
                </xdr:cNvPr>
                <xdr:cNvPicPr>
                  <a:picLocks noChangeAspect="1"/>
                </xdr:cNvPicPr>
              </xdr:nvPicPr>
              <xdr:blipFill>
                <a:blip xmlns:r="http://schemas.openxmlformats.org/officeDocument/2006/relationships" r:embed="rId12" cstate="print">
                  <a:alphaModFix/>
                  <a:extLst>
                    <a:ext uri="{28A0092B-C50C-407E-A947-70E740481C1C}">
                      <a14:useLocalDpi xmlns:a14="http://schemas.microsoft.com/office/drawing/2010/main" val="0"/>
                    </a:ext>
                  </a:extLst>
                </a:blip>
                <a:stretch>
                  <a:fillRect/>
                </a:stretch>
              </xdr:blipFill>
              <xdr:spPr>
                <a:xfrm>
                  <a:off x="6158378" y="19549"/>
                  <a:ext cx="214188" cy="248554"/>
                </a:xfrm>
                <a:prstGeom prst="rect">
                  <a:avLst/>
                </a:prstGeom>
              </xdr:spPr>
            </xdr:pic>
            <xdr:sp macro="" textlink="">
              <xdr:nvSpPr>
                <xdr:cNvPr id="72" name="TextBox 71">
                  <a:hlinkClick xmlns:r="http://schemas.openxmlformats.org/officeDocument/2006/relationships" r:id="rId13"/>
                  <a:extLst>
                    <a:ext uri="{FF2B5EF4-FFF2-40B4-BE49-F238E27FC236}">
                      <a16:creationId xmlns:a16="http://schemas.microsoft.com/office/drawing/2014/main" id="{34EEDA62-E341-20DD-2E5D-9DF899E9E910}"/>
                    </a:ext>
                  </a:extLst>
                </xdr:cNvPr>
                <xdr:cNvSpPr txBox="1"/>
              </xdr:nvSpPr>
              <xdr:spPr>
                <a:xfrm>
                  <a:off x="5370816" y="37659"/>
                  <a:ext cx="64057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FORECASTS</a:t>
                  </a:r>
                </a:p>
              </xdr:txBody>
            </xdr:sp>
            <xdr:sp macro="" textlink="">
              <xdr:nvSpPr>
                <xdr:cNvPr id="73" name="TextBox 72">
                  <a:hlinkClick xmlns:r="http://schemas.openxmlformats.org/officeDocument/2006/relationships" r:id="rId14"/>
                  <a:extLst>
                    <a:ext uri="{FF2B5EF4-FFF2-40B4-BE49-F238E27FC236}">
                      <a16:creationId xmlns:a16="http://schemas.microsoft.com/office/drawing/2014/main" id="{236FB213-8F22-D664-F7DB-FFD9564150A7}"/>
                    </a:ext>
                  </a:extLst>
                </xdr:cNvPr>
                <xdr:cNvSpPr txBox="1"/>
              </xdr:nvSpPr>
              <xdr:spPr>
                <a:xfrm>
                  <a:off x="8104032" y="0"/>
                  <a:ext cx="7732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a:t>
                  </a:r>
                  <a:r>
                    <a:rPr lang="en-US" sz="900" b="1" baseline="0">
                      <a:solidFill>
                        <a:schemeClr val="bg1"/>
                      </a:solidFill>
                    </a:rPr>
                    <a:t> (M)</a:t>
                  </a:r>
                  <a:endParaRPr lang="en-US" sz="900" b="1">
                    <a:solidFill>
                      <a:schemeClr val="bg1"/>
                    </a:solidFill>
                  </a:endParaRPr>
                </a:p>
              </xdr:txBody>
            </xdr:sp>
            <xdr:pic>
              <xdr:nvPicPr>
                <xdr:cNvPr id="74" name="Picture 73">
                  <a:hlinkClick xmlns:r="http://schemas.openxmlformats.org/officeDocument/2006/relationships" r:id="rId14"/>
                  <a:extLst>
                    <a:ext uri="{FF2B5EF4-FFF2-40B4-BE49-F238E27FC236}">
                      <a16:creationId xmlns:a16="http://schemas.microsoft.com/office/drawing/2014/main" id="{52941C3D-DC03-EDE8-A853-0787C2569C5B}"/>
                    </a:ext>
                  </a:extLst>
                </xdr:cNvPr>
                <xdr:cNvPicPr>
                  <a:picLocks noChangeAspect="1"/>
                </xdr:cNvPicPr>
              </xdr:nvPicPr>
              <xdr:blipFill>
                <a:blip xmlns:r="http://schemas.openxmlformats.org/officeDocument/2006/relationships" r:embed="rId15" cstate="print">
                  <a:alphaModFix/>
                  <a:extLst>
                    <a:ext uri="{28A0092B-C50C-407E-A947-70E740481C1C}">
                      <a14:useLocalDpi xmlns:a14="http://schemas.microsoft.com/office/drawing/2010/main" val="0"/>
                    </a:ext>
                  </a:extLst>
                </a:blip>
                <a:stretch>
                  <a:fillRect/>
                </a:stretch>
              </xdr:blipFill>
              <xdr:spPr>
                <a:xfrm>
                  <a:off x="7921943" y="19549"/>
                  <a:ext cx="214188" cy="248554"/>
                </a:xfrm>
                <a:prstGeom prst="rect">
                  <a:avLst/>
                </a:prstGeom>
              </xdr:spPr>
            </xdr:pic>
            <xdr:sp macro="" textlink="">
              <xdr:nvSpPr>
                <xdr:cNvPr id="75" name="TextBox 74">
                  <a:hlinkClick xmlns:r="http://schemas.openxmlformats.org/officeDocument/2006/relationships" r:id="rId16"/>
                  <a:extLst>
                    <a:ext uri="{FF2B5EF4-FFF2-40B4-BE49-F238E27FC236}">
                      <a16:creationId xmlns:a16="http://schemas.microsoft.com/office/drawing/2014/main" id="{D87CA253-C952-A8F2-A3F3-851AE913337C}"/>
                    </a:ext>
                  </a:extLst>
                </xdr:cNvPr>
                <xdr:cNvSpPr txBox="1"/>
              </xdr:nvSpPr>
              <xdr:spPr>
                <a:xfrm>
                  <a:off x="9978309" y="0"/>
                  <a:ext cx="687187"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 (Y)</a:t>
                  </a:r>
                </a:p>
              </xdr:txBody>
            </xdr:sp>
            <xdr:pic>
              <xdr:nvPicPr>
                <xdr:cNvPr id="76" name="Picture 75">
                  <a:hlinkClick xmlns:r="http://schemas.openxmlformats.org/officeDocument/2006/relationships" r:id="rId16"/>
                  <a:extLst>
                    <a:ext uri="{FF2B5EF4-FFF2-40B4-BE49-F238E27FC236}">
                      <a16:creationId xmlns:a16="http://schemas.microsoft.com/office/drawing/2014/main" id="{D81039F4-F87A-8946-AC49-5122F6E4F0A4}"/>
                    </a:ext>
                  </a:extLst>
                </xdr:cNvPr>
                <xdr:cNvPicPr>
                  <a:picLocks noChangeAspect="1"/>
                </xdr:cNvPicPr>
              </xdr:nvPicPr>
              <xdr:blipFill>
                <a:blip xmlns:r="http://schemas.openxmlformats.org/officeDocument/2006/relationships" r:embed="rId17" cstate="print">
                  <a:alphaModFix/>
                  <a:extLst>
                    <a:ext uri="{28A0092B-C50C-407E-A947-70E740481C1C}">
                      <a14:useLocalDpi xmlns:a14="http://schemas.microsoft.com/office/drawing/2010/main" val="0"/>
                    </a:ext>
                  </a:extLst>
                </a:blip>
                <a:stretch>
                  <a:fillRect/>
                </a:stretch>
              </xdr:blipFill>
              <xdr:spPr>
                <a:xfrm>
                  <a:off x="9777770" y="19549"/>
                  <a:ext cx="214188" cy="248554"/>
                </a:xfrm>
                <a:prstGeom prst="rect">
                  <a:avLst/>
                </a:prstGeom>
              </xdr:spPr>
            </xdr:pic>
            <xdr:sp macro="" textlink="">
              <xdr:nvSpPr>
                <xdr:cNvPr id="77" name="TextBox 76">
                  <a:hlinkClick xmlns:r="http://schemas.openxmlformats.org/officeDocument/2006/relationships" r:id="rId18"/>
                  <a:extLst>
                    <a:ext uri="{FF2B5EF4-FFF2-40B4-BE49-F238E27FC236}">
                      <a16:creationId xmlns:a16="http://schemas.microsoft.com/office/drawing/2014/main" id="{95BD9452-AA59-0700-1055-1990F0F5F916}"/>
                    </a:ext>
                  </a:extLst>
                </xdr:cNvPr>
                <xdr:cNvSpPr txBox="1"/>
              </xdr:nvSpPr>
              <xdr:spPr>
                <a:xfrm>
                  <a:off x="9133984" y="0"/>
                  <a:ext cx="49680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VERSUS</a:t>
                  </a:r>
                </a:p>
              </xdr:txBody>
            </xdr:sp>
            <xdr:pic>
              <xdr:nvPicPr>
                <xdr:cNvPr id="78" name="Picture 77">
                  <a:hlinkClick xmlns:r="http://schemas.openxmlformats.org/officeDocument/2006/relationships" r:id="rId18"/>
                  <a:extLst>
                    <a:ext uri="{FF2B5EF4-FFF2-40B4-BE49-F238E27FC236}">
                      <a16:creationId xmlns:a16="http://schemas.microsoft.com/office/drawing/2014/main" id="{73C18757-4834-FC92-44FB-2BD135673981}"/>
                    </a:ext>
                  </a:extLst>
                </xdr:cNvPr>
                <xdr:cNvPicPr>
                  <a:picLocks noChangeAspect="1"/>
                </xdr:cNvPicPr>
              </xdr:nvPicPr>
              <xdr:blipFill>
                <a:blip xmlns:r="http://schemas.openxmlformats.org/officeDocument/2006/relationships" r:embed="rId19" cstate="print">
                  <a:alphaModFix/>
                  <a:extLst>
                    <a:ext uri="{28A0092B-C50C-407E-A947-70E740481C1C}">
                      <a14:useLocalDpi xmlns:a14="http://schemas.microsoft.com/office/drawing/2010/main" val="0"/>
                    </a:ext>
                  </a:extLst>
                </a:blip>
                <a:stretch>
                  <a:fillRect/>
                </a:stretch>
              </xdr:blipFill>
              <xdr:spPr>
                <a:xfrm>
                  <a:off x="8938203" y="19549"/>
                  <a:ext cx="214187" cy="248554"/>
                </a:xfrm>
                <a:prstGeom prst="rect">
                  <a:avLst/>
                </a:prstGeom>
              </xdr:spPr>
            </xdr:pic>
            <xdr:sp macro="" textlink="">
              <xdr:nvSpPr>
                <xdr:cNvPr id="79" name="TextBox 78">
                  <a:hlinkClick xmlns:r="http://schemas.openxmlformats.org/officeDocument/2006/relationships" r:id="rId20"/>
                  <a:extLst>
                    <a:ext uri="{FF2B5EF4-FFF2-40B4-BE49-F238E27FC236}">
                      <a16:creationId xmlns:a16="http://schemas.microsoft.com/office/drawing/2014/main" id="{FEBBF854-4E51-7197-DDC4-CABB2DACDC8D}"/>
                    </a:ext>
                  </a:extLst>
                </xdr:cNvPr>
                <xdr:cNvSpPr txBox="1"/>
              </xdr:nvSpPr>
              <xdr:spPr>
                <a:xfrm>
                  <a:off x="3510385" y="0"/>
                  <a:ext cx="52312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REPAIRS</a:t>
                  </a:r>
                </a:p>
              </xdr:txBody>
            </xdr:sp>
            <xdr:pic>
              <xdr:nvPicPr>
                <xdr:cNvPr id="80" name="Picture 79">
                  <a:hlinkClick xmlns:r="http://schemas.openxmlformats.org/officeDocument/2006/relationships" r:id="rId20"/>
                  <a:extLst>
                    <a:ext uri="{FF2B5EF4-FFF2-40B4-BE49-F238E27FC236}">
                      <a16:creationId xmlns:a16="http://schemas.microsoft.com/office/drawing/2014/main" id="{396BF470-6DC6-06E5-BADE-5614F75DD92E}"/>
                    </a:ext>
                  </a:extLst>
                </xdr:cNvPr>
                <xdr:cNvPicPr>
                  <a:picLocks noChangeAspect="1"/>
                </xdr:cNvPicPr>
              </xdr:nvPicPr>
              <xdr:blipFill>
                <a:blip xmlns:r="http://schemas.openxmlformats.org/officeDocument/2006/relationships" r:embed="rId21" cstate="print">
                  <a:alphaModFix/>
                  <a:extLst>
                    <a:ext uri="{28A0092B-C50C-407E-A947-70E740481C1C}">
                      <a14:useLocalDpi xmlns:a14="http://schemas.microsoft.com/office/drawing/2010/main" val="0"/>
                    </a:ext>
                  </a:extLst>
                </a:blip>
                <a:stretch>
                  <a:fillRect/>
                </a:stretch>
              </xdr:blipFill>
              <xdr:spPr>
                <a:xfrm>
                  <a:off x="3296296" y="28376"/>
                  <a:ext cx="214435" cy="230900"/>
                </a:xfrm>
                <a:prstGeom prst="rect">
                  <a:avLst/>
                </a:prstGeom>
              </xdr:spPr>
            </xdr:pic>
            <xdr:sp macro="" textlink="">
              <xdr:nvSpPr>
                <xdr:cNvPr id="81" name="TextBox 80">
                  <a:hlinkClick xmlns:r="http://schemas.openxmlformats.org/officeDocument/2006/relationships" r:id="rId22"/>
                  <a:extLst>
                    <a:ext uri="{FF2B5EF4-FFF2-40B4-BE49-F238E27FC236}">
                      <a16:creationId xmlns:a16="http://schemas.microsoft.com/office/drawing/2014/main" id="{CBF5FC78-87F5-853E-42C5-7152B3E26385}"/>
                    </a:ext>
                  </a:extLst>
                </xdr:cNvPr>
                <xdr:cNvSpPr txBox="1"/>
              </xdr:nvSpPr>
              <xdr:spPr>
                <a:xfrm>
                  <a:off x="4388587" y="0"/>
                  <a:ext cx="63170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FURNITURE</a:t>
                  </a:r>
                </a:p>
              </xdr:txBody>
            </xdr:sp>
            <xdr:pic>
              <xdr:nvPicPr>
                <xdr:cNvPr id="82" name="Picture 81">
                  <a:hlinkClick xmlns:r="http://schemas.openxmlformats.org/officeDocument/2006/relationships" r:id="rId22"/>
                  <a:extLst>
                    <a:ext uri="{FF2B5EF4-FFF2-40B4-BE49-F238E27FC236}">
                      <a16:creationId xmlns:a16="http://schemas.microsoft.com/office/drawing/2014/main" id="{256A8D86-E3DF-3A31-D544-109F0FB7828B}"/>
                    </a:ext>
                  </a:extLst>
                </xdr:cNvPr>
                <xdr:cNvPicPr>
                  <a:picLocks noChangeAspect="1"/>
                </xdr:cNvPicPr>
              </xdr:nvPicPr>
              <xdr:blipFill>
                <a:blip xmlns:r="http://schemas.openxmlformats.org/officeDocument/2006/relationships" r:embed="rId23" cstate="print">
                  <a:alphaModFix/>
                  <a:extLst>
                    <a:ext uri="{28A0092B-C50C-407E-A947-70E740481C1C}">
                      <a14:useLocalDpi xmlns:a14="http://schemas.microsoft.com/office/drawing/2010/main" val="0"/>
                    </a:ext>
                  </a:extLst>
                </a:blip>
                <a:stretch>
                  <a:fillRect/>
                </a:stretch>
              </xdr:blipFill>
              <xdr:spPr>
                <a:xfrm>
                  <a:off x="4180491" y="28376"/>
                  <a:ext cx="214435" cy="230900"/>
                </a:xfrm>
                <a:prstGeom prst="rect">
                  <a:avLst/>
                </a:prstGeom>
              </xdr:spPr>
            </xdr:pic>
            <xdr:pic>
              <xdr:nvPicPr>
                <xdr:cNvPr id="83" name="Picture 82">
                  <a:hlinkClick xmlns:r="http://schemas.openxmlformats.org/officeDocument/2006/relationships" r:id="rId24"/>
                  <a:extLst>
                    <a:ext uri="{FF2B5EF4-FFF2-40B4-BE49-F238E27FC236}">
                      <a16:creationId xmlns:a16="http://schemas.microsoft.com/office/drawing/2014/main" id="{BF72B435-4EC7-05A5-D47F-946459F2660C}"/>
                    </a:ext>
                  </a:extLst>
                </xdr:cNvPr>
                <xdr:cNvPicPr>
                  <a:picLocks noChangeAspect="1"/>
                </xdr:cNvPicPr>
              </xdr:nvPicPr>
              <xdr:blipFill>
                <a:blip xmlns:r="http://schemas.openxmlformats.org/officeDocument/2006/relationships" r:embed="rId25" cstate="print">
                  <a:alphaModFix/>
                  <a:extLst>
                    <a:ext uri="{28A0092B-C50C-407E-A947-70E740481C1C}">
                      <a14:useLocalDpi xmlns:a14="http://schemas.microsoft.com/office/drawing/2010/main" val="0"/>
                    </a:ext>
                  </a:extLst>
                </a:blip>
                <a:stretch>
                  <a:fillRect/>
                </a:stretch>
              </xdr:blipFill>
              <xdr:spPr>
                <a:xfrm>
                  <a:off x="10812480" y="19549"/>
                  <a:ext cx="214188" cy="248554"/>
                </a:xfrm>
                <a:prstGeom prst="rect">
                  <a:avLst/>
                </a:prstGeom>
              </xdr:spPr>
            </xdr:pic>
            <xdr:sp macro="" textlink="">
              <xdr:nvSpPr>
                <xdr:cNvPr id="84" name="TextBox 83">
                  <a:hlinkClick xmlns:r="http://schemas.openxmlformats.org/officeDocument/2006/relationships" r:id="rId24"/>
                  <a:extLst>
                    <a:ext uri="{FF2B5EF4-FFF2-40B4-BE49-F238E27FC236}">
                      <a16:creationId xmlns:a16="http://schemas.microsoft.com/office/drawing/2014/main" id="{4FC5DFB2-BA7B-11CF-3861-0373E2B4CBD8}"/>
                    </a:ext>
                  </a:extLst>
                </xdr:cNvPr>
                <xdr:cNvSpPr txBox="1"/>
              </xdr:nvSpPr>
              <xdr:spPr>
                <a:xfrm>
                  <a:off x="11008843" y="0"/>
                  <a:ext cx="40705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PEERS</a:t>
                  </a:r>
                </a:p>
              </xdr:txBody>
            </xdr:sp>
            <xdr:sp macro="" textlink="">
              <xdr:nvSpPr>
                <xdr:cNvPr id="85" name="TextBox 84">
                  <a:hlinkClick xmlns:r="http://schemas.openxmlformats.org/officeDocument/2006/relationships" r:id="rId26"/>
                  <a:extLst>
                    <a:ext uri="{FF2B5EF4-FFF2-40B4-BE49-F238E27FC236}">
                      <a16:creationId xmlns:a16="http://schemas.microsoft.com/office/drawing/2014/main" id="{35251B90-5397-D710-C394-5B63D8E06BF6}"/>
                    </a:ext>
                  </a:extLst>
                </xdr:cNvPr>
                <xdr:cNvSpPr txBox="1"/>
              </xdr:nvSpPr>
              <xdr:spPr>
                <a:xfrm>
                  <a:off x="9581756" y="397481"/>
                  <a:ext cx="656781"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MAX PRICE</a:t>
                  </a:r>
                </a:p>
              </xdr:txBody>
            </xdr:sp>
            <xdr:pic>
              <xdr:nvPicPr>
                <xdr:cNvPr id="86" name="Picture 85">
                  <a:hlinkClick xmlns:r="http://schemas.openxmlformats.org/officeDocument/2006/relationships" r:id="rId26"/>
                  <a:extLst>
                    <a:ext uri="{FF2B5EF4-FFF2-40B4-BE49-F238E27FC236}">
                      <a16:creationId xmlns:a16="http://schemas.microsoft.com/office/drawing/2014/main" id="{1281110E-317C-7267-BEB8-791CBB2ACB01}"/>
                    </a:ext>
                  </a:extLst>
                </xdr:cNvPr>
                <xdr:cNvPicPr>
                  <a:picLocks noChangeAspect="1"/>
                </xdr:cNvPicPr>
              </xdr:nvPicPr>
              <xdr:blipFill>
                <a:blip xmlns:r="http://schemas.openxmlformats.org/officeDocument/2006/relationships" r:embed="rId27" cstate="print">
                  <a:alphaModFix/>
                  <a:extLst>
                    <a:ext uri="{28A0092B-C50C-407E-A947-70E740481C1C}">
                      <a14:useLocalDpi xmlns:a14="http://schemas.microsoft.com/office/drawing/2010/main" val="0"/>
                    </a:ext>
                  </a:extLst>
                </a:blip>
                <a:stretch>
                  <a:fillRect/>
                </a:stretch>
              </xdr:blipFill>
              <xdr:spPr>
                <a:xfrm>
                  <a:off x="9433997" y="425857"/>
                  <a:ext cx="214435" cy="230900"/>
                </a:xfrm>
                <a:prstGeom prst="rect">
                  <a:avLst/>
                </a:prstGeom>
              </xdr:spPr>
            </xdr:pic>
            <xdr:sp macro="" textlink="">
              <xdr:nvSpPr>
                <xdr:cNvPr id="87" name="TextBox 86">
                  <a:hlinkClick xmlns:r="http://schemas.openxmlformats.org/officeDocument/2006/relationships" r:id="rId28"/>
                  <a:extLst>
                    <a:ext uri="{FF2B5EF4-FFF2-40B4-BE49-F238E27FC236}">
                      <a16:creationId xmlns:a16="http://schemas.microsoft.com/office/drawing/2014/main" id="{9EB59361-955C-D3C4-9AEE-211203D5CCAB}"/>
                    </a:ext>
                  </a:extLst>
                </xdr:cNvPr>
                <xdr:cNvSpPr txBox="1"/>
              </xdr:nvSpPr>
              <xdr:spPr>
                <a:xfrm>
                  <a:off x="7733272" y="389861"/>
                  <a:ext cx="6384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SCENARIOS</a:t>
                  </a:r>
                </a:p>
              </xdr:txBody>
            </xdr:sp>
            <xdr:pic>
              <xdr:nvPicPr>
                <xdr:cNvPr id="88" name="Picture 87">
                  <a:hlinkClick xmlns:r="http://schemas.openxmlformats.org/officeDocument/2006/relationships" r:id="rId28"/>
                  <a:extLst>
                    <a:ext uri="{FF2B5EF4-FFF2-40B4-BE49-F238E27FC236}">
                      <a16:creationId xmlns:a16="http://schemas.microsoft.com/office/drawing/2014/main" id="{0CEA2E11-8692-F348-E8F6-CD9BD86DC892}"/>
                    </a:ext>
                  </a:extLst>
                </xdr:cNvPr>
                <xdr:cNvPicPr>
                  <a:picLocks noChangeAspect="1"/>
                </xdr:cNvPicPr>
              </xdr:nvPicPr>
              <xdr:blipFill>
                <a:blip xmlns:r="http://schemas.openxmlformats.org/officeDocument/2006/relationships" r:embed="rId29" cstate="print">
                  <a:alphaModFix/>
                  <a:extLst>
                    <a:ext uri="{28A0092B-C50C-407E-A947-70E740481C1C}">
                      <a14:useLocalDpi xmlns:a14="http://schemas.microsoft.com/office/drawing/2010/main" val="0"/>
                    </a:ext>
                  </a:extLst>
                </a:blip>
                <a:stretch>
                  <a:fillRect/>
                </a:stretch>
              </xdr:blipFill>
              <xdr:spPr>
                <a:xfrm>
                  <a:off x="7536090" y="418237"/>
                  <a:ext cx="214435" cy="230900"/>
                </a:xfrm>
                <a:prstGeom prst="rect">
                  <a:avLst/>
                </a:prstGeom>
              </xdr:spPr>
            </xdr:pic>
            <xdr:sp macro="" textlink="">
              <xdr:nvSpPr>
                <xdr:cNvPr id="89" name="TextBox 88">
                  <a:hlinkClick xmlns:r="http://schemas.openxmlformats.org/officeDocument/2006/relationships" r:id="rId30"/>
                  <a:extLst>
                    <a:ext uri="{FF2B5EF4-FFF2-40B4-BE49-F238E27FC236}">
                      <a16:creationId xmlns:a16="http://schemas.microsoft.com/office/drawing/2014/main" id="{EE4A69A5-11A3-5E64-8BDA-262004EB38A5}"/>
                    </a:ext>
                  </a:extLst>
                </xdr:cNvPr>
                <xdr:cNvSpPr txBox="1"/>
              </xdr:nvSpPr>
              <xdr:spPr>
                <a:xfrm>
                  <a:off x="11757467" y="49286"/>
                  <a:ext cx="110218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MARKET RESEARCH</a:t>
                  </a:r>
                </a:p>
              </xdr:txBody>
            </xdr:sp>
            <xdr:pic>
              <xdr:nvPicPr>
                <xdr:cNvPr id="90" name="Picture 89" descr="A white and brown hourglass&#10;&#10;AI-generated content may be incorrect.">
                  <a:hlinkClick xmlns:r="http://schemas.openxmlformats.org/officeDocument/2006/relationships" r:id="rId30"/>
                  <a:extLst>
                    <a:ext uri="{FF2B5EF4-FFF2-40B4-BE49-F238E27FC236}">
                      <a16:creationId xmlns:a16="http://schemas.microsoft.com/office/drawing/2014/main" id="{D10D6B15-6D94-FC09-0D16-DEEA691D0551}"/>
                    </a:ext>
                  </a:extLst>
                </xdr:cNvPr>
                <xdr:cNvPicPr>
                  <a:picLocks noChangeAspect="1"/>
                </xdr:cNvPicPr>
              </xdr:nvPicPr>
              <xdr:blipFill>
                <a:blip xmlns:r="http://schemas.openxmlformats.org/officeDocument/2006/relationships" r:embed="rId31" cstate="print">
                  <a:alphaModFix/>
                  <a:extLst>
                    <a:ext uri="{28A0092B-C50C-407E-A947-70E740481C1C}">
                      <a14:useLocalDpi xmlns:a14="http://schemas.microsoft.com/office/drawing/2010/main" val="0"/>
                    </a:ext>
                  </a:extLst>
                </a:blip>
                <a:stretch>
                  <a:fillRect/>
                </a:stretch>
              </xdr:blipFill>
              <xdr:spPr>
                <a:xfrm>
                  <a:off x="11563464" y="33893"/>
                  <a:ext cx="235575" cy="261687"/>
                </a:xfrm>
                <a:prstGeom prst="rect">
                  <a:avLst/>
                </a:prstGeom>
              </xdr:spPr>
            </xdr:pic>
            <xdr:pic>
              <xdr:nvPicPr>
                <xdr:cNvPr id="91" name="Picture 90">
                  <a:hlinkClick xmlns:r="http://schemas.openxmlformats.org/officeDocument/2006/relationships" r:id="rId32"/>
                  <a:extLst>
                    <a:ext uri="{FF2B5EF4-FFF2-40B4-BE49-F238E27FC236}">
                      <a16:creationId xmlns:a16="http://schemas.microsoft.com/office/drawing/2014/main" id="{8264EEAC-3A11-3646-A0AD-307B8DDE428C}"/>
                    </a:ext>
                  </a:extLst>
                </xdr:cNvPr>
                <xdr:cNvPicPr>
                  <a:picLocks noChangeAspect="1" noChangeArrowheads="1"/>
                </xdr:cNvPicPr>
              </xdr:nvPicPr>
              <xdr:blipFill>
                <a:blip xmlns:r="http://schemas.openxmlformats.org/officeDocument/2006/relationships" r:embed="rId3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33032" y="384834"/>
                  <a:ext cx="261600" cy="33288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2" name="TextBox 91">
                  <a:hlinkClick xmlns:r="http://schemas.openxmlformats.org/officeDocument/2006/relationships" r:id="rId32"/>
                  <a:extLst>
                    <a:ext uri="{FF2B5EF4-FFF2-40B4-BE49-F238E27FC236}">
                      <a16:creationId xmlns:a16="http://schemas.microsoft.com/office/drawing/2014/main" id="{B365D8A9-B8D2-869B-E0B7-40A9B624E106}"/>
                    </a:ext>
                  </a:extLst>
                </xdr:cNvPr>
                <xdr:cNvSpPr txBox="1"/>
              </xdr:nvSpPr>
              <xdr:spPr>
                <a:xfrm>
                  <a:off x="3637195" y="315564"/>
                  <a:ext cx="914586" cy="433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BALANCE SHEET</a:t>
                  </a:r>
                </a:p>
                <a:p>
                  <a:pPr algn="ctr"/>
                  <a:r>
                    <a:rPr lang="en-US" sz="900" b="1">
                      <a:solidFill>
                        <a:schemeClr val="bg1"/>
                      </a:solidFill>
                    </a:rPr>
                    <a:t>SUMMARY</a:t>
                  </a:r>
                </a:p>
              </xdr:txBody>
            </xdr:sp>
            <xdr:pic>
              <xdr:nvPicPr>
                <xdr:cNvPr id="93" name="Picture 92">
                  <a:hlinkClick xmlns:r="http://schemas.openxmlformats.org/officeDocument/2006/relationships" r:id="rId34"/>
                  <a:extLst>
                    <a:ext uri="{FF2B5EF4-FFF2-40B4-BE49-F238E27FC236}">
                      <a16:creationId xmlns:a16="http://schemas.microsoft.com/office/drawing/2014/main" id="{DA7545B9-E6A2-A37E-30DC-E2A4D0E1C768}"/>
                    </a:ext>
                  </a:extLst>
                </xdr:cNvPr>
                <xdr:cNvPicPr>
                  <a:picLocks noChangeAspect="1" noChangeArrowheads="1"/>
                </xdr:cNvPicPr>
              </xdr:nvPicPr>
              <xdr:blipFill>
                <a:blip xmlns:r="http://schemas.openxmlformats.org/officeDocument/2006/relationships" r:embed="rId35" cstate="print">
                  <a:clrChange>
                    <a:clrFrom>
                      <a:srgbClr val="F8F8F8"/>
                    </a:clrFrom>
                    <a:clrTo>
                      <a:srgbClr val="F8F8F8">
                        <a:alpha val="0"/>
                      </a:srgbClr>
                    </a:clrTo>
                  </a:clrChange>
                  <a:extLst>
                    <a:ext uri="{28A0092B-C50C-407E-A947-70E740481C1C}">
                      <a14:useLocalDpi xmlns:a14="http://schemas.microsoft.com/office/drawing/2010/main" val="0"/>
                    </a:ext>
                  </a:extLst>
                </a:blip>
                <a:srcRect/>
                <a:stretch>
                  <a:fillRect/>
                </a:stretch>
              </xdr:blipFill>
              <xdr:spPr bwMode="auto">
                <a:xfrm>
                  <a:off x="4602713" y="384834"/>
                  <a:ext cx="326621" cy="3113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4" name="TextBox 93">
                  <a:hlinkClick xmlns:r="http://schemas.openxmlformats.org/officeDocument/2006/relationships" r:id="rId34"/>
                  <a:extLst>
                    <a:ext uri="{FF2B5EF4-FFF2-40B4-BE49-F238E27FC236}">
                      <a16:creationId xmlns:a16="http://schemas.microsoft.com/office/drawing/2014/main" id="{54AA7E82-5E70-43AA-2E64-67E5901E943B}"/>
                    </a:ext>
                  </a:extLst>
                </xdr:cNvPr>
                <xdr:cNvSpPr txBox="1"/>
              </xdr:nvSpPr>
              <xdr:spPr>
                <a:xfrm>
                  <a:off x="4880678" y="423317"/>
                  <a:ext cx="56334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ASSETS</a:t>
                  </a:r>
                </a:p>
              </xdr:txBody>
            </xdr:sp>
            <xdr:pic>
              <xdr:nvPicPr>
                <xdr:cNvPr id="95" name="Picture 94">
                  <a:hlinkClick xmlns:r="http://schemas.openxmlformats.org/officeDocument/2006/relationships" r:id="rId36"/>
                  <a:extLst>
                    <a:ext uri="{FF2B5EF4-FFF2-40B4-BE49-F238E27FC236}">
                      <a16:creationId xmlns:a16="http://schemas.microsoft.com/office/drawing/2014/main" id="{24836710-4EF4-FA5B-F098-BDE99A895BCE}"/>
                    </a:ext>
                  </a:extLst>
                </xdr:cNvPr>
                <xdr:cNvPicPr>
                  <a:picLocks noChangeAspect="1" noChangeArrowheads="1"/>
                </xdr:cNvPicPr>
              </xdr:nvPicPr>
              <xdr:blipFill>
                <a:blip xmlns:r="http://schemas.openxmlformats.org/officeDocument/2006/relationships" r:embed="rId37"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35903" y="354046"/>
                  <a:ext cx="278234" cy="3540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6" name="TextBox 95">
                  <a:hlinkClick xmlns:r="http://schemas.openxmlformats.org/officeDocument/2006/relationships" r:id="rId36"/>
                  <a:extLst>
                    <a:ext uri="{FF2B5EF4-FFF2-40B4-BE49-F238E27FC236}">
                      <a16:creationId xmlns:a16="http://schemas.microsoft.com/office/drawing/2014/main" id="{3FAFC95A-C027-BA22-EAE3-AE54ECE7DABC}"/>
                    </a:ext>
                  </a:extLst>
                </xdr:cNvPr>
                <xdr:cNvSpPr txBox="1"/>
              </xdr:nvSpPr>
              <xdr:spPr>
                <a:xfrm>
                  <a:off x="5717678" y="431014"/>
                  <a:ext cx="750091"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LIABILITIES</a:t>
                  </a:r>
                </a:p>
              </xdr:txBody>
            </xdr:sp>
            <xdr:pic>
              <xdr:nvPicPr>
                <xdr:cNvPr id="97" name="Picture 96">
                  <a:hlinkClick xmlns:r="http://schemas.openxmlformats.org/officeDocument/2006/relationships" r:id="rId38"/>
                  <a:extLst>
                    <a:ext uri="{FF2B5EF4-FFF2-40B4-BE49-F238E27FC236}">
                      <a16:creationId xmlns:a16="http://schemas.microsoft.com/office/drawing/2014/main" id="{D9D9CC61-ADED-9525-B3CD-8981797D1368}"/>
                    </a:ext>
                  </a:extLst>
                </xdr:cNvPr>
                <xdr:cNvPicPr>
                  <a:picLocks noChangeAspect="1"/>
                </xdr:cNvPicPr>
              </xdr:nvPicPr>
              <xdr:blipFill>
                <a:blip xmlns:r="http://schemas.openxmlformats.org/officeDocument/2006/relationships" r:embed="rId39">
                  <a:clrChange>
                    <a:clrFrom>
                      <a:srgbClr val="FFFFFF"/>
                    </a:clrFrom>
                    <a:clrTo>
                      <a:srgbClr val="FFFFFF">
                        <a:alpha val="0"/>
                      </a:srgbClr>
                    </a:clrTo>
                  </a:clrChange>
                </a:blip>
                <a:stretch>
                  <a:fillRect/>
                </a:stretch>
              </xdr:blipFill>
              <xdr:spPr>
                <a:xfrm>
                  <a:off x="6454424" y="361268"/>
                  <a:ext cx="368693" cy="354523"/>
                </a:xfrm>
                <a:prstGeom prst="rect">
                  <a:avLst/>
                </a:prstGeom>
              </xdr:spPr>
            </xdr:pic>
            <xdr:sp macro="" textlink="">
              <xdr:nvSpPr>
                <xdr:cNvPr id="98" name="TextBox 97">
                  <a:hlinkClick xmlns:r="http://schemas.openxmlformats.org/officeDocument/2006/relationships" r:id="rId38"/>
                  <a:extLst>
                    <a:ext uri="{FF2B5EF4-FFF2-40B4-BE49-F238E27FC236}">
                      <a16:creationId xmlns:a16="http://schemas.microsoft.com/office/drawing/2014/main" id="{8065DF9B-8A31-79B7-2B2E-C18A6783BEDA}"/>
                    </a:ext>
                  </a:extLst>
                </xdr:cNvPr>
                <xdr:cNvSpPr txBox="1"/>
              </xdr:nvSpPr>
              <xdr:spPr>
                <a:xfrm>
                  <a:off x="6742924" y="369440"/>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EDIT</a:t>
                  </a:r>
                </a:p>
                <a:p>
                  <a:r>
                    <a:rPr lang="en-US" sz="900" b="1">
                      <a:solidFill>
                        <a:schemeClr val="bg1"/>
                      </a:solidFill>
                    </a:rPr>
                    <a:t>CATEGORIES</a:t>
                  </a:r>
                </a:p>
              </xdr:txBody>
            </xdr:sp>
            <xdr:grpSp>
              <xdr:nvGrpSpPr>
                <xdr:cNvPr id="99" name="Group 98">
                  <a:hlinkClick xmlns:r="http://schemas.openxmlformats.org/officeDocument/2006/relationships" r:id="rId40"/>
                  <a:extLst>
                    <a:ext uri="{FF2B5EF4-FFF2-40B4-BE49-F238E27FC236}">
                      <a16:creationId xmlns:a16="http://schemas.microsoft.com/office/drawing/2014/main" id="{03F68E54-AA68-F486-83C6-A156AAA20F1B}"/>
                    </a:ext>
                  </a:extLst>
                </xdr:cNvPr>
                <xdr:cNvGrpSpPr/>
              </xdr:nvGrpSpPr>
              <xdr:grpSpPr>
                <a:xfrm>
                  <a:off x="10231249" y="237461"/>
                  <a:ext cx="1281586" cy="502920"/>
                  <a:chOff x="11732389" y="237461"/>
                  <a:chExt cx="1281586" cy="502920"/>
                </a:xfrm>
              </xdr:grpSpPr>
              <xdr:pic>
                <xdr:nvPicPr>
                  <xdr:cNvPr id="100" name="Picture 99">
                    <a:hlinkClick xmlns:r="http://schemas.openxmlformats.org/officeDocument/2006/relationships" r:id="rId41"/>
                    <a:extLst>
                      <a:ext uri="{FF2B5EF4-FFF2-40B4-BE49-F238E27FC236}">
                        <a16:creationId xmlns:a16="http://schemas.microsoft.com/office/drawing/2014/main" id="{54752966-60A6-6C39-BF9A-AF8512F48AE5}"/>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1732389" y="237461"/>
                    <a:ext cx="502920" cy="502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1" name="TextBox 100">
                    <a:hlinkClick xmlns:r="http://schemas.openxmlformats.org/officeDocument/2006/relationships" r:id="rId41"/>
                    <a:extLst>
                      <a:ext uri="{FF2B5EF4-FFF2-40B4-BE49-F238E27FC236}">
                        <a16:creationId xmlns:a16="http://schemas.microsoft.com/office/drawing/2014/main" id="{D74D6263-DF2F-7F06-D7DF-D1657EA33C96}"/>
                      </a:ext>
                    </a:extLst>
                  </xdr:cNvPr>
                  <xdr:cNvSpPr txBox="1"/>
                </xdr:nvSpPr>
                <xdr:spPr>
                  <a:xfrm>
                    <a:off x="12197209" y="344142"/>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 GAME APPS</a:t>
                    </a:r>
                  </a:p>
                </xdr:txBody>
              </xdr:sp>
            </xdr:grpSp>
          </xdr:grpSp>
          <xdr:grpSp>
            <xdr:nvGrpSpPr>
              <xdr:cNvPr id="60" name="Group 59">
                <a:extLst>
                  <a:ext uri="{FF2B5EF4-FFF2-40B4-BE49-F238E27FC236}">
                    <a16:creationId xmlns:a16="http://schemas.microsoft.com/office/drawing/2014/main" id="{3491CBE2-CFAF-EC00-F3A7-589393CFE0F1}"/>
                  </a:ext>
                </a:extLst>
              </xdr:cNvPr>
              <xdr:cNvGrpSpPr/>
            </xdr:nvGrpSpPr>
            <xdr:grpSpPr>
              <a:xfrm>
                <a:off x="3030070" y="313765"/>
                <a:ext cx="1219410" cy="438976"/>
                <a:chOff x="3030070" y="313765"/>
                <a:chExt cx="1219410" cy="438976"/>
              </a:xfrm>
            </xdr:grpSpPr>
            <xdr:sp macro="" textlink="">
              <xdr:nvSpPr>
                <xdr:cNvPr id="61" name="TextBox 60">
                  <a:hlinkClick xmlns:r="http://schemas.openxmlformats.org/officeDocument/2006/relationships" r:id="rId43"/>
                  <a:extLst>
                    <a:ext uri="{FF2B5EF4-FFF2-40B4-BE49-F238E27FC236}">
                      <a16:creationId xmlns:a16="http://schemas.microsoft.com/office/drawing/2014/main" id="{BC49092E-4788-A832-A4C0-6500274B42CC}"/>
                    </a:ext>
                  </a:extLst>
                </xdr:cNvPr>
                <xdr:cNvSpPr txBox="1"/>
              </xdr:nvSpPr>
              <xdr:spPr>
                <a:xfrm>
                  <a:off x="3307528" y="313765"/>
                  <a:ext cx="941952" cy="43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BOOK KEEPING</a:t>
                  </a:r>
                </a:p>
                <a:p>
                  <a:pPr algn="ctr"/>
                  <a:r>
                    <a:rPr lang="en-US" sz="900" b="1">
                      <a:solidFill>
                        <a:schemeClr val="bg1"/>
                      </a:solidFill>
                    </a:rPr>
                    <a:t>LEDGER</a:t>
                  </a:r>
                </a:p>
              </xdr:txBody>
            </xdr:sp>
            <xdr:pic>
              <xdr:nvPicPr>
                <xdr:cNvPr id="62" name="Picture 61">
                  <a:hlinkClick xmlns:r="http://schemas.openxmlformats.org/officeDocument/2006/relationships" r:id="rId43"/>
                  <a:extLst>
                    <a:ext uri="{FF2B5EF4-FFF2-40B4-BE49-F238E27FC236}">
                      <a16:creationId xmlns:a16="http://schemas.microsoft.com/office/drawing/2014/main" id="{F8294131-0EF7-7EC8-62CD-69143A33FFED}"/>
                    </a:ext>
                  </a:extLst>
                </xdr:cNvPr>
                <xdr:cNvPicPr>
                  <a:picLocks noChangeAspect="1"/>
                </xdr:cNvPicPr>
              </xdr:nvPicPr>
              <xdr:blipFill>
                <a:blip xmlns:r="http://schemas.openxmlformats.org/officeDocument/2006/relationships" r:embed="rId4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0070" y="367554"/>
                  <a:ext cx="327770" cy="349622"/>
                </a:xfrm>
                <a:prstGeom prst="rect">
                  <a:avLst/>
                </a:prstGeom>
              </xdr:spPr>
            </xdr:pic>
          </xdr:grpSp>
        </xdr:grpSp>
        <xdr:grpSp>
          <xdr:nvGrpSpPr>
            <xdr:cNvPr id="56" name="Group 55">
              <a:extLst>
                <a:ext uri="{FF2B5EF4-FFF2-40B4-BE49-F238E27FC236}">
                  <a16:creationId xmlns:a16="http://schemas.microsoft.com/office/drawing/2014/main" id="{F5A49D2E-5EE7-1F0B-F4E8-11CB3E83F744}"/>
                </a:ext>
              </a:extLst>
            </xdr:cNvPr>
            <xdr:cNvGrpSpPr/>
          </xdr:nvGrpSpPr>
          <xdr:grpSpPr>
            <a:xfrm>
              <a:off x="12626340" y="243840"/>
              <a:ext cx="1344125" cy="571500"/>
              <a:chOff x="12626340" y="243840"/>
              <a:chExt cx="1344125" cy="571500"/>
            </a:xfrm>
          </xdr:grpSpPr>
          <xdr:pic>
            <xdr:nvPicPr>
              <xdr:cNvPr id="57" name="Picture 56">
                <a:hlinkClick xmlns:r="http://schemas.openxmlformats.org/officeDocument/2006/relationships" r:id="rId45"/>
                <a:extLst>
                  <a:ext uri="{FF2B5EF4-FFF2-40B4-BE49-F238E27FC236}">
                    <a16:creationId xmlns:a16="http://schemas.microsoft.com/office/drawing/2014/main" id="{C8D58247-66A4-70F6-B786-344FEA3DC433}"/>
                  </a:ext>
                </a:extLst>
              </xdr:cNvPr>
              <xdr:cNvPicPr>
                <a:picLocks noChangeAspect="1" noChangeArrowheads="1"/>
              </xdr:cNvPicPr>
            </xdr:nvPicPr>
            <xdr:blipFill>
              <a:blip xmlns:r="http://schemas.openxmlformats.org/officeDocument/2006/relationships" r:embed="rId4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26340" y="243840"/>
                <a:ext cx="571500" cy="571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8" name="TextBox 57">
                <a:hlinkClick xmlns:r="http://schemas.openxmlformats.org/officeDocument/2006/relationships" r:id="rId45"/>
                <a:extLst>
                  <a:ext uri="{FF2B5EF4-FFF2-40B4-BE49-F238E27FC236}">
                    <a16:creationId xmlns:a16="http://schemas.microsoft.com/office/drawing/2014/main" id="{D4EACE3C-3263-3E2F-0F2F-CD9F12FC0243}"/>
                  </a:ext>
                </a:extLst>
              </xdr:cNvPr>
              <xdr:cNvSpPr txBox="1"/>
            </xdr:nvSpPr>
            <xdr:spPr>
              <a:xfrm>
                <a:off x="13129260" y="327660"/>
                <a:ext cx="841205" cy="4000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TRAVEL</a:t>
                </a:r>
              </a:p>
              <a:p>
                <a:pPr algn="ctr"/>
                <a:r>
                  <a:rPr lang="en-US" sz="900" b="1">
                    <a:solidFill>
                      <a:schemeClr val="bg1"/>
                    </a:solidFill>
                  </a:rPr>
                  <a:t>SANDBOX</a:t>
                </a:r>
              </a:p>
            </xdr:txBody>
          </xdr:sp>
        </xdr:grpSp>
      </xdr:grpSp>
      <xdr:pic>
        <xdr:nvPicPr>
          <xdr:cNvPr id="54" name="Picture 53">
            <a:hlinkClick xmlns:r="http://schemas.openxmlformats.org/officeDocument/2006/relationships" r:id="rId13"/>
            <a:extLst>
              <a:ext uri="{FF2B5EF4-FFF2-40B4-BE49-F238E27FC236}">
                <a16:creationId xmlns:a16="http://schemas.microsoft.com/office/drawing/2014/main" id="{3400476D-1438-94B0-8734-8F5EB8F515BD}"/>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6134100" y="30480"/>
            <a:ext cx="234698" cy="246078"/>
          </a:xfrm>
          <a:prstGeom prst="rect">
            <a:avLst/>
          </a:prstGeom>
          <a:solidFill>
            <a:srgbClr val="7FA6C7"/>
          </a:solidFill>
        </xdr:spPr>
      </xdr:pic>
    </xdr:grpSp>
    <xdr:clientData/>
  </xdr:twoCellAnchor>
</xdr:wsDr>
</file>

<file path=xl/drawings/drawing12.xml><?xml version="1.0" encoding="utf-8"?>
<c:userShapes xmlns:c="http://schemas.openxmlformats.org/drawingml/2006/chart">
  <cdr:relSizeAnchor xmlns:cdr="http://schemas.openxmlformats.org/drawingml/2006/chartDrawing">
    <cdr:from>
      <cdr:x>0.01483</cdr:x>
      <cdr:y>0.88306</cdr:y>
    </cdr:from>
    <cdr:to>
      <cdr:x>0.11496</cdr:x>
      <cdr:y>0.97984</cdr:y>
    </cdr:to>
    <cdr:sp macro="" textlink="">
      <cdr:nvSpPr>
        <cdr:cNvPr id="3" name="TextBox 2">
          <a:extLst xmlns:a="http://schemas.openxmlformats.org/drawingml/2006/main">
            <a:ext uri="{FF2B5EF4-FFF2-40B4-BE49-F238E27FC236}">
              <a16:creationId xmlns:a16="http://schemas.microsoft.com/office/drawing/2014/main" id="{24D17290-5F16-47BD-9823-609972427883}"/>
            </a:ext>
          </a:extLst>
        </cdr:cNvPr>
        <cdr:cNvSpPr txBox="1"/>
      </cdr:nvSpPr>
      <cdr:spPr>
        <a:xfrm xmlns:a="http://schemas.openxmlformats.org/drawingml/2006/main">
          <a:off x="114301" y="2085975"/>
          <a:ext cx="7715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solidFill>
                <a:schemeClr val="tx1">
                  <a:lumMod val="50000"/>
                  <a:lumOff val="50000"/>
                </a:schemeClr>
              </a:solidFill>
              <a:latin typeface="Segoe UI" panose="020B0502040204020203" pitchFamily="34" charset="0"/>
              <a:cs typeface="Segoe UI" panose="020B0502040204020203" pitchFamily="34" charset="0"/>
            </a:rPr>
            <a:t>Year:</a:t>
          </a:r>
        </a:p>
      </cdr:txBody>
    </cdr:sp>
  </cdr:relSizeAnchor>
</c:userShapes>
</file>

<file path=xl/drawings/drawing13.xml><?xml version="1.0" encoding="utf-8"?>
<c:userShapes xmlns:c="http://schemas.openxmlformats.org/drawingml/2006/chart">
  <cdr:relSizeAnchor xmlns:cdr="http://schemas.openxmlformats.org/drawingml/2006/chartDrawing">
    <cdr:from>
      <cdr:x>0.01483</cdr:x>
      <cdr:y>0.88306</cdr:y>
    </cdr:from>
    <cdr:to>
      <cdr:x>0.11496</cdr:x>
      <cdr:y>0.97984</cdr:y>
    </cdr:to>
    <cdr:sp macro="" textlink="">
      <cdr:nvSpPr>
        <cdr:cNvPr id="3" name="TextBox 2">
          <a:extLst xmlns:a="http://schemas.openxmlformats.org/drawingml/2006/main">
            <a:ext uri="{FF2B5EF4-FFF2-40B4-BE49-F238E27FC236}">
              <a16:creationId xmlns:a16="http://schemas.microsoft.com/office/drawing/2014/main" id="{24D17290-5F16-47BD-9823-609972427883}"/>
            </a:ext>
          </a:extLst>
        </cdr:cNvPr>
        <cdr:cNvSpPr txBox="1"/>
      </cdr:nvSpPr>
      <cdr:spPr>
        <a:xfrm xmlns:a="http://schemas.openxmlformats.org/drawingml/2006/main">
          <a:off x="114301" y="2085975"/>
          <a:ext cx="7715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solidFill>
                <a:schemeClr val="tx1">
                  <a:lumMod val="50000"/>
                  <a:lumOff val="50000"/>
                </a:schemeClr>
              </a:solidFill>
              <a:latin typeface="Segoe UI" panose="020B0502040204020203" pitchFamily="34" charset="0"/>
              <a:cs typeface="Segoe UI" panose="020B0502040204020203" pitchFamily="34" charset="0"/>
            </a:rPr>
            <a:t>Year:</a:t>
          </a:r>
        </a:p>
      </cdr:txBody>
    </cdr:sp>
  </cdr:relSizeAnchor>
</c:userShapes>
</file>

<file path=xl/drawings/drawing14.xml><?xml version="1.0" encoding="utf-8"?>
<xdr:wsDr xmlns:xdr="http://schemas.openxmlformats.org/drawingml/2006/spreadsheetDrawing" xmlns:a="http://schemas.openxmlformats.org/drawingml/2006/main">
  <xdr:twoCellAnchor>
    <xdr:from>
      <xdr:col>2</xdr:col>
      <xdr:colOff>0</xdr:colOff>
      <xdr:row>0</xdr:row>
      <xdr:rowOff>0</xdr:rowOff>
    </xdr:from>
    <xdr:to>
      <xdr:col>13</xdr:col>
      <xdr:colOff>327417</xdr:colOff>
      <xdr:row>3</xdr:row>
      <xdr:rowOff>7620</xdr:rowOff>
    </xdr:to>
    <xdr:grpSp>
      <xdr:nvGrpSpPr>
        <xdr:cNvPr id="50" name="Group 49">
          <a:extLst>
            <a:ext uri="{FF2B5EF4-FFF2-40B4-BE49-F238E27FC236}">
              <a16:creationId xmlns:a16="http://schemas.microsoft.com/office/drawing/2014/main" id="{701C8A2D-CC33-420B-845A-E8F0C52D6695}"/>
            </a:ext>
          </a:extLst>
        </xdr:cNvPr>
        <xdr:cNvGrpSpPr/>
      </xdr:nvGrpSpPr>
      <xdr:grpSpPr>
        <a:xfrm>
          <a:off x="1249680" y="0"/>
          <a:ext cx="11894577" cy="815340"/>
          <a:chOff x="2194560" y="0"/>
          <a:chExt cx="11894577" cy="815340"/>
        </a:xfrm>
      </xdr:grpSpPr>
      <xdr:grpSp>
        <xdr:nvGrpSpPr>
          <xdr:cNvPr id="51" name="Group 50">
            <a:extLst>
              <a:ext uri="{FF2B5EF4-FFF2-40B4-BE49-F238E27FC236}">
                <a16:creationId xmlns:a16="http://schemas.microsoft.com/office/drawing/2014/main" id="{837A9975-AF0E-57DF-C876-90C63303FA70}"/>
              </a:ext>
            </a:extLst>
          </xdr:cNvPr>
          <xdr:cNvGrpSpPr/>
        </xdr:nvGrpSpPr>
        <xdr:grpSpPr>
          <a:xfrm>
            <a:off x="2194560" y="0"/>
            <a:ext cx="11894577" cy="815340"/>
            <a:chOff x="2194560" y="0"/>
            <a:chExt cx="11894577" cy="815340"/>
          </a:xfrm>
        </xdr:grpSpPr>
        <xdr:grpSp>
          <xdr:nvGrpSpPr>
            <xdr:cNvPr id="53" name="Group 52">
              <a:extLst>
                <a:ext uri="{FF2B5EF4-FFF2-40B4-BE49-F238E27FC236}">
                  <a16:creationId xmlns:a16="http://schemas.microsoft.com/office/drawing/2014/main" id="{EF37B9A0-12F1-CF20-70CD-722CE5604EC6}"/>
                </a:ext>
              </a:extLst>
            </xdr:cNvPr>
            <xdr:cNvGrpSpPr/>
          </xdr:nvGrpSpPr>
          <xdr:grpSpPr>
            <a:xfrm>
              <a:off x="2194560" y="0"/>
              <a:ext cx="11894577" cy="773812"/>
              <a:chOff x="2160046" y="0"/>
              <a:chExt cx="11894577" cy="773812"/>
            </a:xfrm>
          </xdr:grpSpPr>
          <xdr:grpSp>
            <xdr:nvGrpSpPr>
              <xdr:cNvPr id="57" name="Group 56">
                <a:extLst>
                  <a:ext uri="{FF2B5EF4-FFF2-40B4-BE49-F238E27FC236}">
                    <a16:creationId xmlns:a16="http://schemas.microsoft.com/office/drawing/2014/main" id="{D1A84C5E-9FB6-41CA-E1CE-D99C48343420}"/>
                  </a:ext>
                </a:extLst>
              </xdr:cNvPr>
              <xdr:cNvGrpSpPr/>
            </xdr:nvGrpSpPr>
            <xdr:grpSpPr>
              <a:xfrm>
                <a:off x="2160046" y="0"/>
                <a:ext cx="11894577" cy="773812"/>
                <a:chOff x="1310640" y="0"/>
                <a:chExt cx="11549013" cy="764847"/>
              </a:xfrm>
            </xdr:grpSpPr>
            <xdr:pic>
              <xdr:nvPicPr>
                <xdr:cNvPr id="61" name="Picture 60">
                  <a:hlinkClick xmlns:r="http://schemas.openxmlformats.org/officeDocument/2006/relationships" r:id="rId1"/>
                  <a:extLst>
                    <a:ext uri="{FF2B5EF4-FFF2-40B4-BE49-F238E27FC236}">
                      <a16:creationId xmlns:a16="http://schemas.microsoft.com/office/drawing/2014/main" id="{0C9D24FB-E5FD-E322-AD1B-EDE2BD81FA26}"/>
                    </a:ext>
                  </a:extLst>
                </xdr:cNvPr>
                <xdr:cNvPicPr>
                  <a:picLocks/>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rcRect/>
                <a:stretch/>
              </xdr:blipFill>
              <xdr:spPr>
                <a:xfrm>
                  <a:off x="1310640" y="46180"/>
                  <a:ext cx="499211" cy="554546"/>
                </a:xfrm>
                <a:prstGeom prst="rect">
                  <a:avLst/>
                </a:prstGeom>
              </xdr:spPr>
            </xdr:pic>
            <xdr:pic>
              <xdr:nvPicPr>
                <xdr:cNvPr id="62" name="Picture 61">
                  <a:hlinkClick xmlns:r="http://schemas.openxmlformats.org/officeDocument/2006/relationships" r:id="rId3"/>
                  <a:extLst>
                    <a:ext uri="{FF2B5EF4-FFF2-40B4-BE49-F238E27FC236}">
                      <a16:creationId xmlns:a16="http://schemas.microsoft.com/office/drawing/2014/main" id="{9F209D4E-5295-4C97-C4BC-DF40083A16E5}"/>
                    </a:ext>
                  </a:extLst>
                </xdr:cNvPr>
                <xdr:cNvPicPr>
                  <a:picLocks noChangeAspect="1" noChangeArrowheads="1"/>
                </xdr:cNvPicPr>
              </xdr:nvPicPr>
              <xdr:blipFill>
                <a:blip xmlns:r="http://schemas.openxmlformats.org/officeDocument/2006/relationships" r:embed="rId4" cstate="print">
                  <a:alphaModFix/>
                  <a:extLst>
                    <a:ext uri="{28A0092B-C50C-407E-A947-70E740481C1C}">
                      <a14:useLocalDpi xmlns:a14="http://schemas.microsoft.com/office/drawing/2010/main" val="0"/>
                    </a:ext>
                  </a:extLst>
                </a:blip>
                <a:srcRect/>
                <a:stretch>
                  <a:fillRect/>
                </a:stretch>
              </xdr:blipFill>
              <xdr:spPr bwMode="auto">
                <a:xfrm>
                  <a:off x="2163693" y="30823"/>
                  <a:ext cx="214188" cy="2260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3" name="TextBox 62">
                  <a:hlinkClick xmlns:r="http://schemas.openxmlformats.org/officeDocument/2006/relationships" r:id="rId3"/>
                  <a:extLst>
                    <a:ext uri="{FF2B5EF4-FFF2-40B4-BE49-F238E27FC236}">
                      <a16:creationId xmlns:a16="http://schemas.microsoft.com/office/drawing/2014/main" id="{0806F047-EA7F-CE0C-6EDD-421339C89473}"/>
                    </a:ext>
                  </a:extLst>
                </xdr:cNvPr>
                <xdr:cNvSpPr txBox="1"/>
              </xdr:nvSpPr>
              <xdr:spPr>
                <a:xfrm>
                  <a:off x="2369194" y="17046"/>
                  <a:ext cx="846446" cy="25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US" sz="900" b="1">
                      <a:solidFill>
                        <a:schemeClr val="bg1"/>
                      </a:solidFill>
                    </a:rPr>
                    <a:t>DASHBOARD</a:t>
                  </a:r>
                </a:p>
              </xdr:txBody>
            </xdr:sp>
            <xdr:pic>
              <xdr:nvPicPr>
                <xdr:cNvPr id="64" name="Picture 63">
                  <a:hlinkClick xmlns:r="http://schemas.openxmlformats.org/officeDocument/2006/relationships" r:id="rId5"/>
                  <a:extLst>
                    <a:ext uri="{FF2B5EF4-FFF2-40B4-BE49-F238E27FC236}">
                      <a16:creationId xmlns:a16="http://schemas.microsoft.com/office/drawing/2014/main" id="{9ECD4A98-CA10-8272-4965-4A1820ADFD4E}"/>
                    </a:ext>
                  </a:extLst>
                </xdr:cNvPr>
                <xdr:cNvPicPr>
                  <a:picLocks noChangeAspect="1" noChangeArrowheads="1"/>
                </xdr:cNvPicPr>
              </xdr:nvPicPr>
              <xdr:blipFill>
                <a:blip xmlns:r="http://schemas.openxmlformats.org/officeDocument/2006/relationships" r:embed="rId6" cstate="print">
                  <a:alphaModFix/>
                  <a:extLst>
                    <a:ext uri="{28A0092B-C50C-407E-A947-70E740481C1C}">
                      <a14:useLocalDpi xmlns:a14="http://schemas.microsoft.com/office/drawing/2010/main" val="0"/>
                    </a:ext>
                  </a:extLst>
                </a:blip>
                <a:srcRect/>
                <a:stretch>
                  <a:fillRect/>
                </a:stretch>
              </xdr:blipFill>
              <xdr:spPr bwMode="auto">
                <a:xfrm>
                  <a:off x="8461655" y="433462"/>
                  <a:ext cx="214188" cy="20819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5" name="TextBox 64">
                  <a:hlinkClick xmlns:r="http://schemas.openxmlformats.org/officeDocument/2006/relationships" r:id="rId5"/>
                  <a:extLst>
                    <a:ext uri="{FF2B5EF4-FFF2-40B4-BE49-F238E27FC236}">
                      <a16:creationId xmlns:a16="http://schemas.microsoft.com/office/drawing/2014/main" id="{71207A60-FD26-73AA-5345-BEA5C8CDA9C3}"/>
                    </a:ext>
                  </a:extLst>
                </xdr:cNvPr>
                <xdr:cNvSpPr txBox="1"/>
              </xdr:nvSpPr>
              <xdr:spPr>
                <a:xfrm>
                  <a:off x="8647283" y="413913"/>
                  <a:ext cx="56836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REPORTS</a:t>
                  </a:r>
                </a:p>
              </xdr:txBody>
            </xdr:sp>
            <xdr:pic>
              <xdr:nvPicPr>
                <xdr:cNvPr id="66" name="Picture 65">
                  <a:hlinkClick xmlns:r="http://schemas.openxmlformats.org/officeDocument/2006/relationships" r:id="rId7"/>
                  <a:extLst>
                    <a:ext uri="{FF2B5EF4-FFF2-40B4-BE49-F238E27FC236}">
                      <a16:creationId xmlns:a16="http://schemas.microsoft.com/office/drawing/2014/main" id="{83F86318-4289-2339-C43A-DAB282D46851}"/>
                    </a:ext>
                  </a:extLst>
                </xdr:cNvPr>
                <xdr:cNvPicPr>
                  <a:picLocks noChangeAspect="1"/>
                </xdr:cNvPicPr>
              </xdr:nvPicPr>
              <xdr:blipFill>
                <a:blip xmlns:r="http://schemas.openxmlformats.org/officeDocument/2006/relationships" r:embed="rId8" cstate="print">
                  <a:alphaModFix/>
                  <a:extLst>
                    <a:ext uri="{28A0092B-C50C-407E-A947-70E740481C1C}">
                      <a14:useLocalDpi xmlns:a14="http://schemas.microsoft.com/office/drawing/2010/main" val="0"/>
                    </a:ext>
                  </a:extLst>
                </a:blip>
                <a:stretch>
                  <a:fillRect/>
                </a:stretch>
              </xdr:blipFill>
              <xdr:spPr>
                <a:xfrm>
                  <a:off x="6903860" y="19549"/>
                  <a:ext cx="214187" cy="248554"/>
                </a:xfrm>
                <a:prstGeom prst="rect">
                  <a:avLst/>
                </a:prstGeom>
              </xdr:spPr>
            </xdr:pic>
            <xdr:sp macro="" textlink="">
              <xdr:nvSpPr>
                <xdr:cNvPr id="67" name="TextBox 66">
                  <a:hlinkClick xmlns:r="http://schemas.openxmlformats.org/officeDocument/2006/relationships" r:id="rId7"/>
                  <a:extLst>
                    <a:ext uri="{FF2B5EF4-FFF2-40B4-BE49-F238E27FC236}">
                      <a16:creationId xmlns:a16="http://schemas.microsoft.com/office/drawing/2014/main" id="{01B896E8-8E84-F57C-B0F5-42F3C54A3D69}"/>
                    </a:ext>
                  </a:extLst>
                </xdr:cNvPr>
                <xdr:cNvSpPr txBox="1"/>
              </xdr:nvSpPr>
              <xdr:spPr>
                <a:xfrm>
                  <a:off x="7099062" y="0"/>
                  <a:ext cx="67589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MORTGAGE</a:t>
                  </a:r>
                </a:p>
              </xdr:txBody>
            </xdr:sp>
            <xdr:sp macro="" textlink="">
              <xdr:nvSpPr>
                <xdr:cNvPr id="68" name="TextBox 67">
                  <a:hlinkClick xmlns:r="http://schemas.openxmlformats.org/officeDocument/2006/relationships" r:id="rId9"/>
                  <a:extLst>
                    <a:ext uri="{FF2B5EF4-FFF2-40B4-BE49-F238E27FC236}">
                      <a16:creationId xmlns:a16="http://schemas.microsoft.com/office/drawing/2014/main" id="{AF43A5B1-E31A-DBC4-B703-3D028676B1A9}"/>
                    </a:ext>
                  </a:extLst>
                </xdr:cNvPr>
                <xdr:cNvSpPr txBox="1"/>
              </xdr:nvSpPr>
              <xdr:spPr>
                <a:xfrm>
                  <a:off x="6375474" y="0"/>
                  <a:ext cx="381400"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DEBT</a:t>
                  </a:r>
                </a:p>
              </xdr:txBody>
            </xdr:sp>
            <xdr:pic>
              <xdr:nvPicPr>
                <xdr:cNvPr id="69" name="Picture 68">
                  <a:hlinkClick xmlns:r="http://schemas.openxmlformats.org/officeDocument/2006/relationships" r:id="rId9"/>
                  <a:extLst>
                    <a:ext uri="{FF2B5EF4-FFF2-40B4-BE49-F238E27FC236}">
                      <a16:creationId xmlns:a16="http://schemas.microsoft.com/office/drawing/2014/main" id="{6B6E0110-9F2E-029D-325B-3901E20EC570}"/>
                    </a:ext>
                  </a:extLst>
                </xdr:cNvPr>
                <xdr:cNvPicPr>
                  <a:picLocks noChangeAspect="1"/>
                </xdr:cNvPicPr>
              </xdr:nvPicPr>
              <xdr:blipFill>
                <a:blip xmlns:r="http://schemas.openxmlformats.org/officeDocument/2006/relationships" r:embed="rId10" cstate="print">
                  <a:alphaModFix/>
                  <a:extLst>
                    <a:ext uri="{28A0092B-C50C-407E-A947-70E740481C1C}">
                      <a14:useLocalDpi xmlns:a14="http://schemas.microsoft.com/office/drawing/2010/main" val="0"/>
                    </a:ext>
                  </a:extLst>
                </a:blip>
                <a:stretch>
                  <a:fillRect/>
                </a:stretch>
              </xdr:blipFill>
              <xdr:spPr>
                <a:xfrm>
                  <a:off x="6158378" y="19549"/>
                  <a:ext cx="214188" cy="248554"/>
                </a:xfrm>
                <a:prstGeom prst="rect">
                  <a:avLst/>
                </a:prstGeom>
              </xdr:spPr>
            </xdr:pic>
            <xdr:sp macro="" textlink="">
              <xdr:nvSpPr>
                <xdr:cNvPr id="70" name="TextBox 69">
                  <a:hlinkClick xmlns:r="http://schemas.openxmlformats.org/officeDocument/2006/relationships" r:id="rId11"/>
                  <a:extLst>
                    <a:ext uri="{FF2B5EF4-FFF2-40B4-BE49-F238E27FC236}">
                      <a16:creationId xmlns:a16="http://schemas.microsoft.com/office/drawing/2014/main" id="{F7E5A664-1B70-AA35-44CB-1C92FA3C5318}"/>
                    </a:ext>
                  </a:extLst>
                </xdr:cNvPr>
                <xdr:cNvSpPr txBox="1"/>
              </xdr:nvSpPr>
              <xdr:spPr>
                <a:xfrm>
                  <a:off x="5370816" y="37659"/>
                  <a:ext cx="64057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FORECASTS</a:t>
                  </a:r>
                </a:p>
              </xdr:txBody>
            </xdr:sp>
            <xdr:sp macro="" textlink="">
              <xdr:nvSpPr>
                <xdr:cNvPr id="71" name="TextBox 70">
                  <a:hlinkClick xmlns:r="http://schemas.openxmlformats.org/officeDocument/2006/relationships" r:id="rId12"/>
                  <a:extLst>
                    <a:ext uri="{FF2B5EF4-FFF2-40B4-BE49-F238E27FC236}">
                      <a16:creationId xmlns:a16="http://schemas.microsoft.com/office/drawing/2014/main" id="{91A01766-504F-D13D-74A9-50C62E0ADFED}"/>
                    </a:ext>
                  </a:extLst>
                </xdr:cNvPr>
                <xdr:cNvSpPr txBox="1"/>
              </xdr:nvSpPr>
              <xdr:spPr>
                <a:xfrm>
                  <a:off x="8104032" y="0"/>
                  <a:ext cx="7732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a:t>
                  </a:r>
                  <a:r>
                    <a:rPr lang="en-US" sz="900" b="1" baseline="0">
                      <a:solidFill>
                        <a:schemeClr val="bg1"/>
                      </a:solidFill>
                    </a:rPr>
                    <a:t> (M)</a:t>
                  </a:r>
                  <a:endParaRPr lang="en-US" sz="900" b="1">
                    <a:solidFill>
                      <a:schemeClr val="bg1"/>
                    </a:solidFill>
                  </a:endParaRPr>
                </a:p>
              </xdr:txBody>
            </xdr:sp>
            <xdr:pic>
              <xdr:nvPicPr>
                <xdr:cNvPr id="72" name="Picture 71">
                  <a:hlinkClick xmlns:r="http://schemas.openxmlformats.org/officeDocument/2006/relationships" r:id="rId12"/>
                  <a:extLst>
                    <a:ext uri="{FF2B5EF4-FFF2-40B4-BE49-F238E27FC236}">
                      <a16:creationId xmlns:a16="http://schemas.microsoft.com/office/drawing/2014/main" id="{83A11084-7F83-20FF-CD83-180B6024A0D3}"/>
                    </a:ext>
                  </a:extLst>
                </xdr:cNvPr>
                <xdr:cNvPicPr>
                  <a:picLocks noChangeAspect="1"/>
                </xdr:cNvPicPr>
              </xdr:nvPicPr>
              <xdr:blipFill>
                <a:blip xmlns:r="http://schemas.openxmlformats.org/officeDocument/2006/relationships" r:embed="rId13" cstate="print">
                  <a:alphaModFix/>
                  <a:extLst>
                    <a:ext uri="{28A0092B-C50C-407E-A947-70E740481C1C}">
                      <a14:useLocalDpi xmlns:a14="http://schemas.microsoft.com/office/drawing/2010/main" val="0"/>
                    </a:ext>
                  </a:extLst>
                </a:blip>
                <a:stretch>
                  <a:fillRect/>
                </a:stretch>
              </xdr:blipFill>
              <xdr:spPr>
                <a:xfrm>
                  <a:off x="7921943" y="19549"/>
                  <a:ext cx="214188" cy="248554"/>
                </a:xfrm>
                <a:prstGeom prst="rect">
                  <a:avLst/>
                </a:prstGeom>
              </xdr:spPr>
            </xdr:pic>
            <xdr:sp macro="" textlink="">
              <xdr:nvSpPr>
                <xdr:cNvPr id="73" name="TextBox 72">
                  <a:hlinkClick xmlns:r="http://schemas.openxmlformats.org/officeDocument/2006/relationships" r:id="rId14"/>
                  <a:extLst>
                    <a:ext uri="{FF2B5EF4-FFF2-40B4-BE49-F238E27FC236}">
                      <a16:creationId xmlns:a16="http://schemas.microsoft.com/office/drawing/2014/main" id="{BAFAA04A-4A77-2DC6-A690-DE3545072C95}"/>
                    </a:ext>
                  </a:extLst>
                </xdr:cNvPr>
                <xdr:cNvSpPr txBox="1"/>
              </xdr:nvSpPr>
              <xdr:spPr>
                <a:xfrm>
                  <a:off x="9978309" y="0"/>
                  <a:ext cx="687187"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 (Y)</a:t>
                  </a:r>
                </a:p>
              </xdr:txBody>
            </xdr:sp>
            <xdr:pic>
              <xdr:nvPicPr>
                <xdr:cNvPr id="74" name="Picture 73">
                  <a:hlinkClick xmlns:r="http://schemas.openxmlformats.org/officeDocument/2006/relationships" r:id="rId14"/>
                  <a:extLst>
                    <a:ext uri="{FF2B5EF4-FFF2-40B4-BE49-F238E27FC236}">
                      <a16:creationId xmlns:a16="http://schemas.microsoft.com/office/drawing/2014/main" id="{B0BC412C-D517-49DC-2486-AF4E28A05D10}"/>
                    </a:ext>
                  </a:extLst>
                </xdr:cNvPr>
                <xdr:cNvPicPr>
                  <a:picLocks noChangeAspect="1"/>
                </xdr:cNvPicPr>
              </xdr:nvPicPr>
              <xdr:blipFill>
                <a:blip xmlns:r="http://schemas.openxmlformats.org/officeDocument/2006/relationships" r:embed="rId15" cstate="print">
                  <a:alphaModFix/>
                  <a:extLst>
                    <a:ext uri="{28A0092B-C50C-407E-A947-70E740481C1C}">
                      <a14:useLocalDpi xmlns:a14="http://schemas.microsoft.com/office/drawing/2010/main" val="0"/>
                    </a:ext>
                  </a:extLst>
                </a:blip>
                <a:stretch>
                  <a:fillRect/>
                </a:stretch>
              </xdr:blipFill>
              <xdr:spPr>
                <a:xfrm>
                  <a:off x="9777770" y="19549"/>
                  <a:ext cx="214188" cy="248554"/>
                </a:xfrm>
                <a:prstGeom prst="rect">
                  <a:avLst/>
                </a:prstGeom>
              </xdr:spPr>
            </xdr:pic>
            <xdr:sp macro="" textlink="">
              <xdr:nvSpPr>
                <xdr:cNvPr id="75" name="TextBox 74">
                  <a:hlinkClick xmlns:r="http://schemas.openxmlformats.org/officeDocument/2006/relationships" r:id="rId16"/>
                  <a:extLst>
                    <a:ext uri="{FF2B5EF4-FFF2-40B4-BE49-F238E27FC236}">
                      <a16:creationId xmlns:a16="http://schemas.microsoft.com/office/drawing/2014/main" id="{E640F692-958C-12DC-9138-D9BEFD388EE0}"/>
                    </a:ext>
                  </a:extLst>
                </xdr:cNvPr>
                <xdr:cNvSpPr txBox="1"/>
              </xdr:nvSpPr>
              <xdr:spPr>
                <a:xfrm>
                  <a:off x="9133984" y="0"/>
                  <a:ext cx="49680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VERSUS</a:t>
                  </a:r>
                </a:p>
              </xdr:txBody>
            </xdr:sp>
            <xdr:pic>
              <xdr:nvPicPr>
                <xdr:cNvPr id="76" name="Picture 75">
                  <a:hlinkClick xmlns:r="http://schemas.openxmlformats.org/officeDocument/2006/relationships" r:id="rId16"/>
                  <a:extLst>
                    <a:ext uri="{FF2B5EF4-FFF2-40B4-BE49-F238E27FC236}">
                      <a16:creationId xmlns:a16="http://schemas.microsoft.com/office/drawing/2014/main" id="{740ADC44-4EFF-9558-6A1E-0FC19C4251EF}"/>
                    </a:ext>
                  </a:extLst>
                </xdr:cNvPr>
                <xdr:cNvPicPr>
                  <a:picLocks noChangeAspect="1"/>
                </xdr:cNvPicPr>
              </xdr:nvPicPr>
              <xdr:blipFill>
                <a:blip xmlns:r="http://schemas.openxmlformats.org/officeDocument/2006/relationships" r:embed="rId17" cstate="print">
                  <a:alphaModFix/>
                  <a:extLst>
                    <a:ext uri="{28A0092B-C50C-407E-A947-70E740481C1C}">
                      <a14:useLocalDpi xmlns:a14="http://schemas.microsoft.com/office/drawing/2010/main" val="0"/>
                    </a:ext>
                  </a:extLst>
                </a:blip>
                <a:stretch>
                  <a:fillRect/>
                </a:stretch>
              </xdr:blipFill>
              <xdr:spPr>
                <a:xfrm>
                  <a:off x="8938203" y="19549"/>
                  <a:ext cx="214187" cy="248554"/>
                </a:xfrm>
                <a:prstGeom prst="rect">
                  <a:avLst/>
                </a:prstGeom>
              </xdr:spPr>
            </xdr:pic>
            <xdr:sp macro="" textlink="">
              <xdr:nvSpPr>
                <xdr:cNvPr id="77" name="TextBox 76">
                  <a:hlinkClick xmlns:r="http://schemas.openxmlformats.org/officeDocument/2006/relationships" r:id="rId18"/>
                  <a:extLst>
                    <a:ext uri="{FF2B5EF4-FFF2-40B4-BE49-F238E27FC236}">
                      <a16:creationId xmlns:a16="http://schemas.microsoft.com/office/drawing/2014/main" id="{554DF67E-E34D-E4DC-FD21-B4E88AD06D6E}"/>
                    </a:ext>
                  </a:extLst>
                </xdr:cNvPr>
                <xdr:cNvSpPr txBox="1"/>
              </xdr:nvSpPr>
              <xdr:spPr>
                <a:xfrm>
                  <a:off x="3510385" y="0"/>
                  <a:ext cx="52312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REPAIRS</a:t>
                  </a:r>
                </a:p>
              </xdr:txBody>
            </xdr:sp>
            <xdr:pic>
              <xdr:nvPicPr>
                <xdr:cNvPr id="78" name="Picture 77">
                  <a:hlinkClick xmlns:r="http://schemas.openxmlformats.org/officeDocument/2006/relationships" r:id="rId18"/>
                  <a:extLst>
                    <a:ext uri="{FF2B5EF4-FFF2-40B4-BE49-F238E27FC236}">
                      <a16:creationId xmlns:a16="http://schemas.microsoft.com/office/drawing/2014/main" id="{149624A6-8815-025B-4CA4-78EFA2901EF9}"/>
                    </a:ext>
                  </a:extLst>
                </xdr:cNvPr>
                <xdr:cNvPicPr>
                  <a:picLocks noChangeAspect="1"/>
                </xdr:cNvPicPr>
              </xdr:nvPicPr>
              <xdr:blipFill>
                <a:blip xmlns:r="http://schemas.openxmlformats.org/officeDocument/2006/relationships" r:embed="rId19" cstate="print">
                  <a:alphaModFix/>
                  <a:extLst>
                    <a:ext uri="{28A0092B-C50C-407E-A947-70E740481C1C}">
                      <a14:useLocalDpi xmlns:a14="http://schemas.microsoft.com/office/drawing/2010/main" val="0"/>
                    </a:ext>
                  </a:extLst>
                </a:blip>
                <a:stretch>
                  <a:fillRect/>
                </a:stretch>
              </xdr:blipFill>
              <xdr:spPr>
                <a:xfrm>
                  <a:off x="3296296" y="28376"/>
                  <a:ext cx="214435" cy="230900"/>
                </a:xfrm>
                <a:prstGeom prst="rect">
                  <a:avLst/>
                </a:prstGeom>
              </xdr:spPr>
            </xdr:pic>
            <xdr:sp macro="" textlink="">
              <xdr:nvSpPr>
                <xdr:cNvPr id="79" name="TextBox 78">
                  <a:hlinkClick xmlns:r="http://schemas.openxmlformats.org/officeDocument/2006/relationships" r:id="rId20"/>
                  <a:extLst>
                    <a:ext uri="{FF2B5EF4-FFF2-40B4-BE49-F238E27FC236}">
                      <a16:creationId xmlns:a16="http://schemas.microsoft.com/office/drawing/2014/main" id="{24166710-7E40-923C-A203-B85474FA8AAD}"/>
                    </a:ext>
                  </a:extLst>
                </xdr:cNvPr>
                <xdr:cNvSpPr txBox="1"/>
              </xdr:nvSpPr>
              <xdr:spPr>
                <a:xfrm>
                  <a:off x="4388587" y="0"/>
                  <a:ext cx="63170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FURNITURE</a:t>
                  </a:r>
                </a:p>
              </xdr:txBody>
            </xdr:sp>
            <xdr:pic>
              <xdr:nvPicPr>
                <xdr:cNvPr id="80" name="Picture 79">
                  <a:hlinkClick xmlns:r="http://schemas.openxmlformats.org/officeDocument/2006/relationships" r:id="rId20"/>
                  <a:extLst>
                    <a:ext uri="{FF2B5EF4-FFF2-40B4-BE49-F238E27FC236}">
                      <a16:creationId xmlns:a16="http://schemas.microsoft.com/office/drawing/2014/main" id="{EC009A56-409A-1822-F579-92331166DEB2}"/>
                    </a:ext>
                  </a:extLst>
                </xdr:cNvPr>
                <xdr:cNvPicPr>
                  <a:picLocks noChangeAspect="1"/>
                </xdr:cNvPicPr>
              </xdr:nvPicPr>
              <xdr:blipFill>
                <a:blip xmlns:r="http://schemas.openxmlformats.org/officeDocument/2006/relationships" r:embed="rId21" cstate="print">
                  <a:alphaModFix/>
                  <a:extLst>
                    <a:ext uri="{28A0092B-C50C-407E-A947-70E740481C1C}">
                      <a14:useLocalDpi xmlns:a14="http://schemas.microsoft.com/office/drawing/2010/main" val="0"/>
                    </a:ext>
                  </a:extLst>
                </a:blip>
                <a:stretch>
                  <a:fillRect/>
                </a:stretch>
              </xdr:blipFill>
              <xdr:spPr>
                <a:xfrm>
                  <a:off x="4180491" y="28376"/>
                  <a:ext cx="214435" cy="230900"/>
                </a:xfrm>
                <a:prstGeom prst="rect">
                  <a:avLst/>
                </a:prstGeom>
              </xdr:spPr>
            </xdr:pic>
            <xdr:pic>
              <xdr:nvPicPr>
                <xdr:cNvPr id="81" name="Picture 80">
                  <a:hlinkClick xmlns:r="http://schemas.openxmlformats.org/officeDocument/2006/relationships" r:id="rId22"/>
                  <a:extLst>
                    <a:ext uri="{FF2B5EF4-FFF2-40B4-BE49-F238E27FC236}">
                      <a16:creationId xmlns:a16="http://schemas.microsoft.com/office/drawing/2014/main" id="{74EA1C1F-1A59-CF47-DC7A-7311D2461645}"/>
                    </a:ext>
                  </a:extLst>
                </xdr:cNvPr>
                <xdr:cNvPicPr>
                  <a:picLocks noChangeAspect="1"/>
                </xdr:cNvPicPr>
              </xdr:nvPicPr>
              <xdr:blipFill>
                <a:blip xmlns:r="http://schemas.openxmlformats.org/officeDocument/2006/relationships" r:embed="rId23" cstate="print">
                  <a:alphaModFix/>
                  <a:extLst>
                    <a:ext uri="{28A0092B-C50C-407E-A947-70E740481C1C}">
                      <a14:useLocalDpi xmlns:a14="http://schemas.microsoft.com/office/drawing/2010/main" val="0"/>
                    </a:ext>
                  </a:extLst>
                </a:blip>
                <a:stretch>
                  <a:fillRect/>
                </a:stretch>
              </xdr:blipFill>
              <xdr:spPr>
                <a:xfrm>
                  <a:off x="10812480" y="19549"/>
                  <a:ext cx="214188" cy="248554"/>
                </a:xfrm>
                <a:prstGeom prst="rect">
                  <a:avLst/>
                </a:prstGeom>
              </xdr:spPr>
            </xdr:pic>
            <xdr:sp macro="" textlink="">
              <xdr:nvSpPr>
                <xdr:cNvPr id="82" name="TextBox 81">
                  <a:hlinkClick xmlns:r="http://schemas.openxmlformats.org/officeDocument/2006/relationships" r:id="rId22"/>
                  <a:extLst>
                    <a:ext uri="{FF2B5EF4-FFF2-40B4-BE49-F238E27FC236}">
                      <a16:creationId xmlns:a16="http://schemas.microsoft.com/office/drawing/2014/main" id="{5AA779FE-8286-09C4-F2F5-A1C7E1859024}"/>
                    </a:ext>
                  </a:extLst>
                </xdr:cNvPr>
                <xdr:cNvSpPr txBox="1"/>
              </xdr:nvSpPr>
              <xdr:spPr>
                <a:xfrm>
                  <a:off x="11008843" y="0"/>
                  <a:ext cx="40705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PEERS</a:t>
                  </a:r>
                </a:p>
              </xdr:txBody>
            </xdr:sp>
            <xdr:sp macro="" textlink="">
              <xdr:nvSpPr>
                <xdr:cNvPr id="83" name="TextBox 82">
                  <a:hlinkClick xmlns:r="http://schemas.openxmlformats.org/officeDocument/2006/relationships" r:id="rId24"/>
                  <a:extLst>
                    <a:ext uri="{FF2B5EF4-FFF2-40B4-BE49-F238E27FC236}">
                      <a16:creationId xmlns:a16="http://schemas.microsoft.com/office/drawing/2014/main" id="{2E790A4A-F573-CEAC-1D22-65F5820B9392}"/>
                    </a:ext>
                  </a:extLst>
                </xdr:cNvPr>
                <xdr:cNvSpPr txBox="1"/>
              </xdr:nvSpPr>
              <xdr:spPr>
                <a:xfrm>
                  <a:off x="9581756" y="397481"/>
                  <a:ext cx="656781"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MAX PRICE</a:t>
                  </a:r>
                </a:p>
              </xdr:txBody>
            </xdr:sp>
            <xdr:pic>
              <xdr:nvPicPr>
                <xdr:cNvPr id="84" name="Picture 83">
                  <a:hlinkClick xmlns:r="http://schemas.openxmlformats.org/officeDocument/2006/relationships" r:id="rId24"/>
                  <a:extLst>
                    <a:ext uri="{FF2B5EF4-FFF2-40B4-BE49-F238E27FC236}">
                      <a16:creationId xmlns:a16="http://schemas.microsoft.com/office/drawing/2014/main" id="{C71FDC2B-BEBE-928B-5DB8-6B48F958325B}"/>
                    </a:ext>
                  </a:extLst>
                </xdr:cNvPr>
                <xdr:cNvPicPr>
                  <a:picLocks noChangeAspect="1"/>
                </xdr:cNvPicPr>
              </xdr:nvPicPr>
              <xdr:blipFill>
                <a:blip xmlns:r="http://schemas.openxmlformats.org/officeDocument/2006/relationships" r:embed="rId25" cstate="print">
                  <a:alphaModFix/>
                  <a:extLst>
                    <a:ext uri="{28A0092B-C50C-407E-A947-70E740481C1C}">
                      <a14:useLocalDpi xmlns:a14="http://schemas.microsoft.com/office/drawing/2010/main" val="0"/>
                    </a:ext>
                  </a:extLst>
                </a:blip>
                <a:stretch>
                  <a:fillRect/>
                </a:stretch>
              </xdr:blipFill>
              <xdr:spPr>
                <a:xfrm>
                  <a:off x="9433997" y="425857"/>
                  <a:ext cx="214435" cy="230900"/>
                </a:xfrm>
                <a:prstGeom prst="rect">
                  <a:avLst/>
                </a:prstGeom>
              </xdr:spPr>
            </xdr:pic>
            <xdr:sp macro="" textlink="">
              <xdr:nvSpPr>
                <xdr:cNvPr id="85" name="TextBox 84">
                  <a:hlinkClick xmlns:r="http://schemas.openxmlformats.org/officeDocument/2006/relationships" r:id="rId26"/>
                  <a:extLst>
                    <a:ext uri="{FF2B5EF4-FFF2-40B4-BE49-F238E27FC236}">
                      <a16:creationId xmlns:a16="http://schemas.microsoft.com/office/drawing/2014/main" id="{7E6733DA-8EC3-63D7-75BB-1952718C8A6C}"/>
                    </a:ext>
                  </a:extLst>
                </xdr:cNvPr>
                <xdr:cNvSpPr txBox="1"/>
              </xdr:nvSpPr>
              <xdr:spPr>
                <a:xfrm>
                  <a:off x="7733272" y="389861"/>
                  <a:ext cx="6384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SCENARIOS</a:t>
                  </a:r>
                </a:p>
              </xdr:txBody>
            </xdr:sp>
            <xdr:pic>
              <xdr:nvPicPr>
                <xdr:cNvPr id="86" name="Picture 85">
                  <a:hlinkClick xmlns:r="http://schemas.openxmlformats.org/officeDocument/2006/relationships" r:id="rId26"/>
                  <a:extLst>
                    <a:ext uri="{FF2B5EF4-FFF2-40B4-BE49-F238E27FC236}">
                      <a16:creationId xmlns:a16="http://schemas.microsoft.com/office/drawing/2014/main" id="{24F271A5-37A2-886A-1109-AD4C919825A2}"/>
                    </a:ext>
                  </a:extLst>
                </xdr:cNvPr>
                <xdr:cNvPicPr>
                  <a:picLocks noChangeAspect="1"/>
                </xdr:cNvPicPr>
              </xdr:nvPicPr>
              <xdr:blipFill>
                <a:blip xmlns:r="http://schemas.openxmlformats.org/officeDocument/2006/relationships" r:embed="rId27" cstate="print">
                  <a:alphaModFix/>
                  <a:extLst>
                    <a:ext uri="{28A0092B-C50C-407E-A947-70E740481C1C}">
                      <a14:useLocalDpi xmlns:a14="http://schemas.microsoft.com/office/drawing/2010/main" val="0"/>
                    </a:ext>
                  </a:extLst>
                </a:blip>
                <a:stretch>
                  <a:fillRect/>
                </a:stretch>
              </xdr:blipFill>
              <xdr:spPr>
                <a:xfrm>
                  <a:off x="7536090" y="418237"/>
                  <a:ext cx="214435" cy="230900"/>
                </a:xfrm>
                <a:prstGeom prst="rect">
                  <a:avLst/>
                </a:prstGeom>
              </xdr:spPr>
            </xdr:pic>
            <xdr:sp macro="" textlink="">
              <xdr:nvSpPr>
                <xdr:cNvPr id="87" name="TextBox 86">
                  <a:hlinkClick xmlns:r="http://schemas.openxmlformats.org/officeDocument/2006/relationships" r:id="rId28"/>
                  <a:extLst>
                    <a:ext uri="{FF2B5EF4-FFF2-40B4-BE49-F238E27FC236}">
                      <a16:creationId xmlns:a16="http://schemas.microsoft.com/office/drawing/2014/main" id="{5B77B1A5-FECA-2C97-0E41-46BF4793DEEF}"/>
                    </a:ext>
                  </a:extLst>
                </xdr:cNvPr>
                <xdr:cNvSpPr txBox="1"/>
              </xdr:nvSpPr>
              <xdr:spPr>
                <a:xfrm>
                  <a:off x="11757467" y="49286"/>
                  <a:ext cx="110218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MARKET RESEARCH</a:t>
                  </a:r>
                </a:p>
              </xdr:txBody>
            </xdr:sp>
            <xdr:pic>
              <xdr:nvPicPr>
                <xdr:cNvPr id="88" name="Picture 87" descr="A white and brown hourglass&#10;&#10;AI-generated content may be incorrect.">
                  <a:hlinkClick xmlns:r="http://schemas.openxmlformats.org/officeDocument/2006/relationships" r:id="rId28"/>
                  <a:extLst>
                    <a:ext uri="{FF2B5EF4-FFF2-40B4-BE49-F238E27FC236}">
                      <a16:creationId xmlns:a16="http://schemas.microsoft.com/office/drawing/2014/main" id="{7D44EBE1-FA34-9235-9B08-E7B2A2878355}"/>
                    </a:ext>
                  </a:extLst>
                </xdr:cNvPr>
                <xdr:cNvPicPr>
                  <a:picLocks noChangeAspect="1"/>
                </xdr:cNvPicPr>
              </xdr:nvPicPr>
              <xdr:blipFill>
                <a:blip xmlns:r="http://schemas.openxmlformats.org/officeDocument/2006/relationships" r:embed="rId29" cstate="print">
                  <a:alphaModFix/>
                  <a:extLst>
                    <a:ext uri="{28A0092B-C50C-407E-A947-70E740481C1C}">
                      <a14:useLocalDpi xmlns:a14="http://schemas.microsoft.com/office/drawing/2010/main" val="0"/>
                    </a:ext>
                  </a:extLst>
                </a:blip>
                <a:stretch>
                  <a:fillRect/>
                </a:stretch>
              </xdr:blipFill>
              <xdr:spPr>
                <a:xfrm>
                  <a:off x="11563464" y="33893"/>
                  <a:ext cx="235575" cy="261687"/>
                </a:xfrm>
                <a:prstGeom prst="rect">
                  <a:avLst/>
                </a:prstGeom>
              </xdr:spPr>
            </xdr:pic>
            <xdr:pic>
              <xdr:nvPicPr>
                <xdr:cNvPr id="89" name="Picture 88">
                  <a:hlinkClick xmlns:r="http://schemas.openxmlformats.org/officeDocument/2006/relationships" r:id="rId30"/>
                  <a:extLst>
                    <a:ext uri="{FF2B5EF4-FFF2-40B4-BE49-F238E27FC236}">
                      <a16:creationId xmlns:a16="http://schemas.microsoft.com/office/drawing/2014/main" id="{3EB6C2CC-C5F1-0042-3D53-5F1D853F9B04}"/>
                    </a:ext>
                  </a:extLst>
                </xdr:cNvPr>
                <xdr:cNvPicPr>
                  <a:picLocks noChangeAspect="1" noChangeArrowheads="1"/>
                </xdr:cNvPicPr>
              </xdr:nvPicPr>
              <xdr:blipFill>
                <a:blip xmlns:r="http://schemas.openxmlformats.org/officeDocument/2006/relationships" r:embed="rId3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33032" y="384834"/>
                  <a:ext cx="261600" cy="33288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0" name="TextBox 89">
                  <a:hlinkClick xmlns:r="http://schemas.openxmlformats.org/officeDocument/2006/relationships" r:id="rId30"/>
                  <a:extLst>
                    <a:ext uri="{FF2B5EF4-FFF2-40B4-BE49-F238E27FC236}">
                      <a16:creationId xmlns:a16="http://schemas.microsoft.com/office/drawing/2014/main" id="{A64A4013-7017-D5EC-BC08-7671095AC009}"/>
                    </a:ext>
                  </a:extLst>
                </xdr:cNvPr>
                <xdr:cNvSpPr txBox="1"/>
              </xdr:nvSpPr>
              <xdr:spPr>
                <a:xfrm>
                  <a:off x="3637195" y="315564"/>
                  <a:ext cx="914586" cy="433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BALANCE SHEET</a:t>
                  </a:r>
                </a:p>
                <a:p>
                  <a:pPr algn="ctr"/>
                  <a:r>
                    <a:rPr lang="en-US" sz="900" b="1">
                      <a:solidFill>
                        <a:schemeClr val="bg1"/>
                      </a:solidFill>
                    </a:rPr>
                    <a:t>SUMMARY</a:t>
                  </a:r>
                </a:p>
              </xdr:txBody>
            </xdr:sp>
            <xdr:pic>
              <xdr:nvPicPr>
                <xdr:cNvPr id="91" name="Picture 90">
                  <a:hlinkClick xmlns:r="http://schemas.openxmlformats.org/officeDocument/2006/relationships" r:id="rId32"/>
                  <a:extLst>
                    <a:ext uri="{FF2B5EF4-FFF2-40B4-BE49-F238E27FC236}">
                      <a16:creationId xmlns:a16="http://schemas.microsoft.com/office/drawing/2014/main" id="{8C26058B-7326-9834-2ADD-8CFC1F62BE30}"/>
                    </a:ext>
                  </a:extLst>
                </xdr:cNvPr>
                <xdr:cNvPicPr>
                  <a:picLocks noChangeAspect="1" noChangeArrowheads="1"/>
                </xdr:cNvPicPr>
              </xdr:nvPicPr>
              <xdr:blipFill>
                <a:blip xmlns:r="http://schemas.openxmlformats.org/officeDocument/2006/relationships" r:embed="rId33" cstate="print">
                  <a:clrChange>
                    <a:clrFrom>
                      <a:srgbClr val="F8F8F8"/>
                    </a:clrFrom>
                    <a:clrTo>
                      <a:srgbClr val="F8F8F8">
                        <a:alpha val="0"/>
                      </a:srgbClr>
                    </a:clrTo>
                  </a:clrChange>
                  <a:extLst>
                    <a:ext uri="{28A0092B-C50C-407E-A947-70E740481C1C}">
                      <a14:useLocalDpi xmlns:a14="http://schemas.microsoft.com/office/drawing/2010/main" val="0"/>
                    </a:ext>
                  </a:extLst>
                </a:blip>
                <a:srcRect/>
                <a:stretch>
                  <a:fillRect/>
                </a:stretch>
              </xdr:blipFill>
              <xdr:spPr bwMode="auto">
                <a:xfrm>
                  <a:off x="4602713" y="384834"/>
                  <a:ext cx="326621" cy="3113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2" name="TextBox 91">
                  <a:hlinkClick xmlns:r="http://schemas.openxmlformats.org/officeDocument/2006/relationships" r:id="rId32"/>
                  <a:extLst>
                    <a:ext uri="{FF2B5EF4-FFF2-40B4-BE49-F238E27FC236}">
                      <a16:creationId xmlns:a16="http://schemas.microsoft.com/office/drawing/2014/main" id="{40AAF2BA-A6EE-B065-FD86-3A6AE0081294}"/>
                    </a:ext>
                  </a:extLst>
                </xdr:cNvPr>
                <xdr:cNvSpPr txBox="1"/>
              </xdr:nvSpPr>
              <xdr:spPr>
                <a:xfrm>
                  <a:off x="4880678" y="423317"/>
                  <a:ext cx="56334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ASSETS</a:t>
                  </a:r>
                </a:p>
              </xdr:txBody>
            </xdr:sp>
            <xdr:pic>
              <xdr:nvPicPr>
                <xdr:cNvPr id="93" name="Picture 92">
                  <a:hlinkClick xmlns:r="http://schemas.openxmlformats.org/officeDocument/2006/relationships" r:id="rId34"/>
                  <a:extLst>
                    <a:ext uri="{FF2B5EF4-FFF2-40B4-BE49-F238E27FC236}">
                      <a16:creationId xmlns:a16="http://schemas.microsoft.com/office/drawing/2014/main" id="{5D5382D5-91C8-9F75-0BCB-78D8984D0292}"/>
                    </a:ext>
                  </a:extLst>
                </xdr:cNvPr>
                <xdr:cNvPicPr>
                  <a:picLocks noChangeAspect="1" noChangeArrowheads="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35903" y="354046"/>
                  <a:ext cx="278234" cy="3540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4" name="TextBox 93">
                  <a:hlinkClick xmlns:r="http://schemas.openxmlformats.org/officeDocument/2006/relationships" r:id="rId34"/>
                  <a:extLst>
                    <a:ext uri="{FF2B5EF4-FFF2-40B4-BE49-F238E27FC236}">
                      <a16:creationId xmlns:a16="http://schemas.microsoft.com/office/drawing/2014/main" id="{39169B7D-8B4C-8B7F-7A0A-A2A973873587}"/>
                    </a:ext>
                  </a:extLst>
                </xdr:cNvPr>
                <xdr:cNvSpPr txBox="1"/>
              </xdr:nvSpPr>
              <xdr:spPr>
                <a:xfrm>
                  <a:off x="5717678" y="431014"/>
                  <a:ext cx="750091"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LIABILITIES</a:t>
                  </a:r>
                </a:p>
              </xdr:txBody>
            </xdr:sp>
            <xdr:pic>
              <xdr:nvPicPr>
                <xdr:cNvPr id="95" name="Picture 94">
                  <a:hlinkClick xmlns:r="http://schemas.openxmlformats.org/officeDocument/2006/relationships" r:id="rId36"/>
                  <a:extLst>
                    <a:ext uri="{FF2B5EF4-FFF2-40B4-BE49-F238E27FC236}">
                      <a16:creationId xmlns:a16="http://schemas.microsoft.com/office/drawing/2014/main" id="{D9772EBD-AC3E-E685-E688-B7CA150DA034}"/>
                    </a:ext>
                  </a:extLst>
                </xdr:cNvPr>
                <xdr:cNvPicPr>
                  <a:picLocks noChangeAspect="1"/>
                </xdr:cNvPicPr>
              </xdr:nvPicPr>
              <xdr:blipFill>
                <a:blip xmlns:r="http://schemas.openxmlformats.org/officeDocument/2006/relationships" r:embed="rId37">
                  <a:clrChange>
                    <a:clrFrom>
                      <a:srgbClr val="FFFFFF"/>
                    </a:clrFrom>
                    <a:clrTo>
                      <a:srgbClr val="FFFFFF">
                        <a:alpha val="0"/>
                      </a:srgbClr>
                    </a:clrTo>
                  </a:clrChange>
                </a:blip>
                <a:stretch>
                  <a:fillRect/>
                </a:stretch>
              </xdr:blipFill>
              <xdr:spPr>
                <a:xfrm>
                  <a:off x="6454424" y="361268"/>
                  <a:ext cx="368693" cy="354523"/>
                </a:xfrm>
                <a:prstGeom prst="rect">
                  <a:avLst/>
                </a:prstGeom>
              </xdr:spPr>
            </xdr:pic>
            <xdr:sp macro="" textlink="">
              <xdr:nvSpPr>
                <xdr:cNvPr id="96" name="TextBox 95">
                  <a:hlinkClick xmlns:r="http://schemas.openxmlformats.org/officeDocument/2006/relationships" r:id="rId36"/>
                  <a:extLst>
                    <a:ext uri="{FF2B5EF4-FFF2-40B4-BE49-F238E27FC236}">
                      <a16:creationId xmlns:a16="http://schemas.microsoft.com/office/drawing/2014/main" id="{F2272673-34F7-529B-38FA-BC0EE113EAEF}"/>
                    </a:ext>
                  </a:extLst>
                </xdr:cNvPr>
                <xdr:cNvSpPr txBox="1"/>
              </xdr:nvSpPr>
              <xdr:spPr>
                <a:xfrm>
                  <a:off x="6742924" y="369440"/>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EDIT</a:t>
                  </a:r>
                </a:p>
                <a:p>
                  <a:r>
                    <a:rPr lang="en-US" sz="900" b="1">
                      <a:solidFill>
                        <a:schemeClr val="bg1"/>
                      </a:solidFill>
                    </a:rPr>
                    <a:t>CATEGORIES</a:t>
                  </a:r>
                </a:p>
              </xdr:txBody>
            </xdr:sp>
            <xdr:grpSp>
              <xdr:nvGrpSpPr>
                <xdr:cNvPr id="97" name="Group 96">
                  <a:hlinkClick xmlns:r="http://schemas.openxmlformats.org/officeDocument/2006/relationships" r:id="rId38"/>
                  <a:extLst>
                    <a:ext uri="{FF2B5EF4-FFF2-40B4-BE49-F238E27FC236}">
                      <a16:creationId xmlns:a16="http://schemas.microsoft.com/office/drawing/2014/main" id="{4CBA7326-87C6-EF5E-EF18-81D9A66F7E2E}"/>
                    </a:ext>
                  </a:extLst>
                </xdr:cNvPr>
                <xdr:cNvGrpSpPr/>
              </xdr:nvGrpSpPr>
              <xdr:grpSpPr>
                <a:xfrm>
                  <a:off x="10231249" y="237461"/>
                  <a:ext cx="1281586" cy="502920"/>
                  <a:chOff x="11732389" y="237461"/>
                  <a:chExt cx="1281586" cy="502920"/>
                </a:xfrm>
              </xdr:grpSpPr>
              <xdr:pic>
                <xdr:nvPicPr>
                  <xdr:cNvPr id="98" name="Picture 97">
                    <a:hlinkClick xmlns:r="http://schemas.openxmlformats.org/officeDocument/2006/relationships" r:id="rId39"/>
                    <a:extLst>
                      <a:ext uri="{FF2B5EF4-FFF2-40B4-BE49-F238E27FC236}">
                        <a16:creationId xmlns:a16="http://schemas.microsoft.com/office/drawing/2014/main" id="{B873FBDE-7C6C-CFC2-377F-2FBC378988E7}"/>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1732389" y="237461"/>
                    <a:ext cx="502920" cy="502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9" name="TextBox 98">
                    <a:hlinkClick xmlns:r="http://schemas.openxmlformats.org/officeDocument/2006/relationships" r:id="rId39"/>
                    <a:extLst>
                      <a:ext uri="{FF2B5EF4-FFF2-40B4-BE49-F238E27FC236}">
                        <a16:creationId xmlns:a16="http://schemas.microsoft.com/office/drawing/2014/main" id="{A8978A20-3A5E-5565-70B3-25337C29B3F4}"/>
                      </a:ext>
                    </a:extLst>
                  </xdr:cNvPr>
                  <xdr:cNvSpPr txBox="1"/>
                </xdr:nvSpPr>
                <xdr:spPr>
                  <a:xfrm>
                    <a:off x="12197209" y="344142"/>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 GAME APPS</a:t>
                    </a:r>
                  </a:p>
                </xdr:txBody>
              </xdr:sp>
            </xdr:grpSp>
          </xdr:grpSp>
          <xdr:grpSp>
            <xdr:nvGrpSpPr>
              <xdr:cNvPr id="58" name="Group 57">
                <a:extLst>
                  <a:ext uri="{FF2B5EF4-FFF2-40B4-BE49-F238E27FC236}">
                    <a16:creationId xmlns:a16="http://schemas.microsoft.com/office/drawing/2014/main" id="{E2147AFE-5A50-346F-9F0D-1F2B9D9ECB65}"/>
                  </a:ext>
                </a:extLst>
              </xdr:cNvPr>
              <xdr:cNvGrpSpPr/>
            </xdr:nvGrpSpPr>
            <xdr:grpSpPr>
              <a:xfrm>
                <a:off x="3030070" y="313765"/>
                <a:ext cx="1219410" cy="438976"/>
                <a:chOff x="3030070" y="313765"/>
                <a:chExt cx="1219410" cy="438976"/>
              </a:xfrm>
            </xdr:grpSpPr>
            <xdr:sp macro="" textlink="">
              <xdr:nvSpPr>
                <xdr:cNvPr id="59" name="TextBox 58">
                  <a:hlinkClick xmlns:r="http://schemas.openxmlformats.org/officeDocument/2006/relationships" r:id="rId41"/>
                  <a:extLst>
                    <a:ext uri="{FF2B5EF4-FFF2-40B4-BE49-F238E27FC236}">
                      <a16:creationId xmlns:a16="http://schemas.microsoft.com/office/drawing/2014/main" id="{269426D1-604C-CE18-F966-F448971DD05A}"/>
                    </a:ext>
                  </a:extLst>
                </xdr:cNvPr>
                <xdr:cNvSpPr txBox="1"/>
              </xdr:nvSpPr>
              <xdr:spPr>
                <a:xfrm>
                  <a:off x="3307528" y="313765"/>
                  <a:ext cx="941952" cy="43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BOOK KEEPING</a:t>
                  </a:r>
                </a:p>
                <a:p>
                  <a:pPr algn="ctr"/>
                  <a:r>
                    <a:rPr lang="en-US" sz="900" b="1">
                      <a:solidFill>
                        <a:schemeClr val="bg1"/>
                      </a:solidFill>
                    </a:rPr>
                    <a:t>LEDGER</a:t>
                  </a:r>
                </a:p>
              </xdr:txBody>
            </xdr:sp>
            <xdr:pic>
              <xdr:nvPicPr>
                <xdr:cNvPr id="60" name="Picture 59">
                  <a:hlinkClick xmlns:r="http://schemas.openxmlformats.org/officeDocument/2006/relationships" r:id="rId41"/>
                  <a:extLst>
                    <a:ext uri="{FF2B5EF4-FFF2-40B4-BE49-F238E27FC236}">
                      <a16:creationId xmlns:a16="http://schemas.microsoft.com/office/drawing/2014/main" id="{EB38A94E-0BE3-F182-DA27-684D658A958A}"/>
                    </a:ext>
                  </a:extLst>
                </xdr:cNvPr>
                <xdr:cNvPicPr>
                  <a:picLocks noChangeAspect="1"/>
                </xdr:cNvPicPr>
              </xdr:nvPicPr>
              <xdr:blipFill>
                <a:blip xmlns:r="http://schemas.openxmlformats.org/officeDocument/2006/relationships" r:embed="rId4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0070" y="367554"/>
                  <a:ext cx="327770" cy="349622"/>
                </a:xfrm>
                <a:prstGeom prst="rect">
                  <a:avLst/>
                </a:prstGeom>
              </xdr:spPr>
            </xdr:pic>
          </xdr:grpSp>
        </xdr:grpSp>
        <xdr:grpSp>
          <xdr:nvGrpSpPr>
            <xdr:cNvPr id="54" name="Group 53">
              <a:extLst>
                <a:ext uri="{FF2B5EF4-FFF2-40B4-BE49-F238E27FC236}">
                  <a16:creationId xmlns:a16="http://schemas.microsoft.com/office/drawing/2014/main" id="{F016209F-7B80-A3A0-F837-7322E32FE719}"/>
                </a:ext>
              </a:extLst>
            </xdr:cNvPr>
            <xdr:cNvGrpSpPr/>
          </xdr:nvGrpSpPr>
          <xdr:grpSpPr>
            <a:xfrm>
              <a:off x="12626340" y="243840"/>
              <a:ext cx="1344125" cy="571500"/>
              <a:chOff x="12626340" y="243840"/>
              <a:chExt cx="1344125" cy="571500"/>
            </a:xfrm>
          </xdr:grpSpPr>
          <xdr:pic>
            <xdr:nvPicPr>
              <xdr:cNvPr id="55" name="Picture 54">
                <a:hlinkClick xmlns:r="http://schemas.openxmlformats.org/officeDocument/2006/relationships" r:id="rId43"/>
                <a:extLst>
                  <a:ext uri="{FF2B5EF4-FFF2-40B4-BE49-F238E27FC236}">
                    <a16:creationId xmlns:a16="http://schemas.microsoft.com/office/drawing/2014/main" id="{06E528B4-3D9E-6A5E-80E2-F4BB3AC2634B}"/>
                  </a:ext>
                </a:extLst>
              </xdr:cNvPr>
              <xdr:cNvPicPr>
                <a:picLocks noChangeAspect="1" noChangeArrowheads="1"/>
              </xdr:cNvPicPr>
            </xdr:nvPicPr>
            <xdr:blipFill>
              <a:blip xmlns:r="http://schemas.openxmlformats.org/officeDocument/2006/relationships" r:embed="rId4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26340" y="243840"/>
                <a:ext cx="571500" cy="571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6" name="TextBox 55">
                <a:hlinkClick xmlns:r="http://schemas.openxmlformats.org/officeDocument/2006/relationships" r:id="rId43"/>
                <a:extLst>
                  <a:ext uri="{FF2B5EF4-FFF2-40B4-BE49-F238E27FC236}">
                    <a16:creationId xmlns:a16="http://schemas.microsoft.com/office/drawing/2014/main" id="{DCE606BA-0561-99F7-1DEB-6B872B5E1153}"/>
                  </a:ext>
                </a:extLst>
              </xdr:cNvPr>
              <xdr:cNvSpPr txBox="1"/>
            </xdr:nvSpPr>
            <xdr:spPr>
              <a:xfrm>
                <a:off x="13129260" y="327660"/>
                <a:ext cx="841205" cy="4000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TRAVEL</a:t>
                </a:r>
              </a:p>
              <a:p>
                <a:pPr algn="ctr"/>
                <a:r>
                  <a:rPr lang="en-US" sz="900" b="1">
                    <a:solidFill>
                      <a:schemeClr val="bg1"/>
                    </a:solidFill>
                  </a:rPr>
                  <a:t>SANDBOX</a:t>
                </a:r>
              </a:p>
            </xdr:txBody>
          </xdr:sp>
        </xdr:grpSp>
      </xdr:grpSp>
      <xdr:pic>
        <xdr:nvPicPr>
          <xdr:cNvPr id="52" name="Picture 51">
            <a:hlinkClick xmlns:r="http://schemas.openxmlformats.org/officeDocument/2006/relationships" r:id="rId11"/>
            <a:extLst>
              <a:ext uri="{FF2B5EF4-FFF2-40B4-BE49-F238E27FC236}">
                <a16:creationId xmlns:a16="http://schemas.microsoft.com/office/drawing/2014/main" id="{BB24C18D-04BD-9E3B-CF37-01A996177F0C}"/>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34100" y="30480"/>
            <a:ext cx="234698" cy="246078"/>
          </a:xfrm>
          <a:prstGeom prst="rect">
            <a:avLst/>
          </a:prstGeom>
          <a:solidFill>
            <a:srgbClr val="7FA6C7"/>
          </a:solidFill>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236220</xdr:colOff>
      <xdr:row>0</xdr:row>
      <xdr:rowOff>19242</xdr:rowOff>
    </xdr:from>
    <xdr:to>
      <xdr:col>0</xdr:col>
      <xdr:colOff>244345</xdr:colOff>
      <xdr:row>0</xdr:row>
      <xdr:rowOff>28478</xdr:rowOff>
    </xdr:to>
    <xdr:sp macro="" textlink="">
      <xdr:nvSpPr>
        <xdr:cNvPr id="24" name="TextBox 23">
          <a:extLst>
            <a:ext uri="{FF2B5EF4-FFF2-40B4-BE49-F238E27FC236}">
              <a16:creationId xmlns:a16="http://schemas.microsoft.com/office/drawing/2014/main" id="{4B1EF2BE-AB52-8BB9-AB0F-EA1A1F6A84CD}"/>
            </a:ext>
          </a:extLst>
        </xdr:cNvPr>
        <xdr:cNvSpPr txBox="1"/>
      </xdr:nvSpPr>
      <xdr:spPr>
        <a:xfrm>
          <a:off x="3048000" y="19242"/>
          <a:ext cx="8125" cy="92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endParaRPr lang="en-US" sz="900" b="1">
            <a:solidFill>
              <a:schemeClr val="bg1"/>
            </a:solidFill>
          </a:endParaRPr>
        </a:p>
      </xdr:txBody>
    </xdr:sp>
    <xdr:clientData/>
  </xdr:twoCellAnchor>
  <xdr:twoCellAnchor>
    <xdr:from>
      <xdr:col>1</xdr:col>
      <xdr:colOff>685800</xdr:colOff>
      <xdr:row>0</xdr:row>
      <xdr:rowOff>0</xdr:rowOff>
    </xdr:from>
    <xdr:to>
      <xdr:col>15</xdr:col>
      <xdr:colOff>98817</xdr:colOff>
      <xdr:row>2</xdr:row>
      <xdr:rowOff>53340</xdr:rowOff>
    </xdr:to>
    <xdr:grpSp>
      <xdr:nvGrpSpPr>
        <xdr:cNvPr id="2" name="Group 1">
          <a:extLst>
            <a:ext uri="{FF2B5EF4-FFF2-40B4-BE49-F238E27FC236}">
              <a16:creationId xmlns:a16="http://schemas.microsoft.com/office/drawing/2014/main" id="{DA2EFC09-B8A9-4C84-AC3C-A851BEFBE999}"/>
            </a:ext>
          </a:extLst>
        </xdr:cNvPr>
        <xdr:cNvGrpSpPr/>
      </xdr:nvGrpSpPr>
      <xdr:grpSpPr>
        <a:xfrm>
          <a:off x="3497580" y="0"/>
          <a:ext cx="13388097" cy="815340"/>
          <a:chOff x="2194560" y="0"/>
          <a:chExt cx="11894577" cy="815340"/>
        </a:xfrm>
      </xdr:grpSpPr>
      <xdr:grpSp>
        <xdr:nvGrpSpPr>
          <xdr:cNvPr id="3" name="Group 2">
            <a:extLst>
              <a:ext uri="{FF2B5EF4-FFF2-40B4-BE49-F238E27FC236}">
                <a16:creationId xmlns:a16="http://schemas.microsoft.com/office/drawing/2014/main" id="{F7E97F8A-327E-A7A5-2EAF-0B7DC32771F7}"/>
              </a:ext>
            </a:extLst>
          </xdr:cNvPr>
          <xdr:cNvGrpSpPr/>
        </xdr:nvGrpSpPr>
        <xdr:grpSpPr>
          <a:xfrm>
            <a:off x="2194560" y="0"/>
            <a:ext cx="11894577" cy="815340"/>
            <a:chOff x="2194560" y="0"/>
            <a:chExt cx="11894577" cy="815340"/>
          </a:xfrm>
        </xdr:grpSpPr>
        <xdr:grpSp>
          <xdr:nvGrpSpPr>
            <xdr:cNvPr id="5" name="Group 4">
              <a:extLst>
                <a:ext uri="{FF2B5EF4-FFF2-40B4-BE49-F238E27FC236}">
                  <a16:creationId xmlns:a16="http://schemas.microsoft.com/office/drawing/2014/main" id="{8477ECD0-ECA0-E39B-4E41-D22335B39C94}"/>
                </a:ext>
              </a:extLst>
            </xdr:cNvPr>
            <xdr:cNvGrpSpPr/>
          </xdr:nvGrpSpPr>
          <xdr:grpSpPr>
            <a:xfrm>
              <a:off x="2194560" y="0"/>
              <a:ext cx="11894577" cy="773812"/>
              <a:chOff x="2160046" y="0"/>
              <a:chExt cx="11894577" cy="773812"/>
            </a:xfrm>
          </xdr:grpSpPr>
          <xdr:grpSp>
            <xdr:nvGrpSpPr>
              <xdr:cNvPr id="9" name="Group 8">
                <a:extLst>
                  <a:ext uri="{FF2B5EF4-FFF2-40B4-BE49-F238E27FC236}">
                    <a16:creationId xmlns:a16="http://schemas.microsoft.com/office/drawing/2014/main" id="{15750E94-884F-FE5C-544D-A992ED3905CC}"/>
                  </a:ext>
                </a:extLst>
              </xdr:cNvPr>
              <xdr:cNvGrpSpPr/>
            </xdr:nvGrpSpPr>
            <xdr:grpSpPr>
              <a:xfrm>
                <a:off x="2160046" y="0"/>
                <a:ext cx="11894577" cy="773812"/>
                <a:chOff x="1310640" y="0"/>
                <a:chExt cx="11549013" cy="764847"/>
              </a:xfrm>
            </xdr:grpSpPr>
            <xdr:pic>
              <xdr:nvPicPr>
                <xdr:cNvPr id="13" name="Picture 12">
                  <a:hlinkClick xmlns:r="http://schemas.openxmlformats.org/officeDocument/2006/relationships" r:id="rId1"/>
                  <a:extLst>
                    <a:ext uri="{FF2B5EF4-FFF2-40B4-BE49-F238E27FC236}">
                      <a16:creationId xmlns:a16="http://schemas.microsoft.com/office/drawing/2014/main" id="{F70BF138-C14D-4A99-A82F-20B7E752BA90}"/>
                    </a:ext>
                  </a:extLst>
                </xdr:cNvPr>
                <xdr:cNvPicPr>
                  <a:picLocks/>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rcRect/>
                <a:stretch/>
              </xdr:blipFill>
              <xdr:spPr>
                <a:xfrm>
                  <a:off x="1310640" y="46180"/>
                  <a:ext cx="499211" cy="554546"/>
                </a:xfrm>
                <a:prstGeom prst="rect">
                  <a:avLst/>
                </a:prstGeom>
              </xdr:spPr>
            </xdr:pic>
            <xdr:pic>
              <xdr:nvPicPr>
                <xdr:cNvPr id="14" name="Picture 13">
                  <a:hlinkClick xmlns:r="http://schemas.openxmlformats.org/officeDocument/2006/relationships" r:id="rId3"/>
                  <a:extLst>
                    <a:ext uri="{FF2B5EF4-FFF2-40B4-BE49-F238E27FC236}">
                      <a16:creationId xmlns:a16="http://schemas.microsoft.com/office/drawing/2014/main" id="{765F9DFE-65AB-BF8F-4E6E-39089CCB0246}"/>
                    </a:ext>
                  </a:extLst>
                </xdr:cNvPr>
                <xdr:cNvPicPr>
                  <a:picLocks noChangeAspect="1" noChangeArrowheads="1"/>
                </xdr:cNvPicPr>
              </xdr:nvPicPr>
              <xdr:blipFill>
                <a:blip xmlns:r="http://schemas.openxmlformats.org/officeDocument/2006/relationships" r:embed="rId4" cstate="print">
                  <a:alphaModFix/>
                  <a:extLst>
                    <a:ext uri="{28A0092B-C50C-407E-A947-70E740481C1C}">
                      <a14:useLocalDpi xmlns:a14="http://schemas.microsoft.com/office/drawing/2010/main" val="0"/>
                    </a:ext>
                  </a:extLst>
                </a:blip>
                <a:srcRect/>
                <a:stretch>
                  <a:fillRect/>
                </a:stretch>
              </xdr:blipFill>
              <xdr:spPr bwMode="auto">
                <a:xfrm>
                  <a:off x="2163693" y="30823"/>
                  <a:ext cx="214188" cy="2260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 name="TextBox 14">
                  <a:hlinkClick xmlns:r="http://schemas.openxmlformats.org/officeDocument/2006/relationships" r:id="rId3"/>
                  <a:extLst>
                    <a:ext uri="{FF2B5EF4-FFF2-40B4-BE49-F238E27FC236}">
                      <a16:creationId xmlns:a16="http://schemas.microsoft.com/office/drawing/2014/main" id="{392207B0-51A9-D8F6-A595-89201D4B315E}"/>
                    </a:ext>
                  </a:extLst>
                </xdr:cNvPr>
                <xdr:cNvSpPr txBox="1"/>
              </xdr:nvSpPr>
              <xdr:spPr>
                <a:xfrm>
                  <a:off x="2369194" y="17046"/>
                  <a:ext cx="846446" cy="25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US" sz="900" b="1">
                      <a:solidFill>
                        <a:schemeClr val="bg1"/>
                      </a:solidFill>
                    </a:rPr>
                    <a:t>DASHBOARD</a:t>
                  </a:r>
                </a:p>
              </xdr:txBody>
            </xdr:sp>
            <xdr:pic>
              <xdr:nvPicPr>
                <xdr:cNvPr id="16" name="Picture 15">
                  <a:hlinkClick xmlns:r="http://schemas.openxmlformats.org/officeDocument/2006/relationships" r:id="rId5"/>
                  <a:extLst>
                    <a:ext uri="{FF2B5EF4-FFF2-40B4-BE49-F238E27FC236}">
                      <a16:creationId xmlns:a16="http://schemas.microsoft.com/office/drawing/2014/main" id="{8E12B796-0795-10C3-72BA-EF407105E70A}"/>
                    </a:ext>
                  </a:extLst>
                </xdr:cNvPr>
                <xdr:cNvPicPr>
                  <a:picLocks noChangeAspect="1" noChangeArrowheads="1"/>
                </xdr:cNvPicPr>
              </xdr:nvPicPr>
              <xdr:blipFill>
                <a:blip xmlns:r="http://schemas.openxmlformats.org/officeDocument/2006/relationships" r:embed="rId6" cstate="print">
                  <a:alphaModFix/>
                  <a:extLst>
                    <a:ext uri="{28A0092B-C50C-407E-A947-70E740481C1C}">
                      <a14:useLocalDpi xmlns:a14="http://schemas.microsoft.com/office/drawing/2010/main" val="0"/>
                    </a:ext>
                  </a:extLst>
                </a:blip>
                <a:srcRect/>
                <a:stretch>
                  <a:fillRect/>
                </a:stretch>
              </xdr:blipFill>
              <xdr:spPr bwMode="auto">
                <a:xfrm>
                  <a:off x="8461655" y="433462"/>
                  <a:ext cx="214188" cy="20819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7" name="TextBox 16">
                  <a:hlinkClick xmlns:r="http://schemas.openxmlformats.org/officeDocument/2006/relationships" r:id="rId5"/>
                  <a:extLst>
                    <a:ext uri="{FF2B5EF4-FFF2-40B4-BE49-F238E27FC236}">
                      <a16:creationId xmlns:a16="http://schemas.microsoft.com/office/drawing/2014/main" id="{761C3DED-9ACF-33E6-6919-2F7A0879C6D1}"/>
                    </a:ext>
                  </a:extLst>
                </xdr:cNvPr>
                <xdr:cNvSpPr txBox="1"/>
              </xdr:nvSpPr>
              <xdr:spPr>
                <a:xfrm>
                  <a:off x="8647283" y="413913"/>
                  <a:ext cx="56836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REPORTS</a:t>
                  </a:r>
                </a:p>
              </xdr:txBody>
            </xdr:sp>
            <xdr:pic>
              <xdr:nvPicPr>
                <xdr:cNvPr id="18" name="Picture 17">
                  <a:hlinkClick xmlns:r="http://schemas.openxmlformats.org/officeDocument/2006/relationships" r:id="rId7"/>
                  <a:extLst>
                    <a:ext uri="{FF2B5EF4-FFF2-40B4-BE49-F238E27FC236}">
                      <a16:creationId xmlns:a16="http://schemas.microsoft.com/office/drawing/2014/main" id="{9CBC05D7-DA85-E7BA-1A09-12A86CE3C9B3}"/>
                    </a:ext>
                  </a:extLst>
                </xdr:cNvPr>
                <xdr:cNvPicPr>
                  <a:picLocks noChangeAspect="1"/>
                </xdr:cNvPicPr>
              </xdr:nvPicPr>
              <xdr:blipFill>
                <a:blip xmlns:r="http://schemas.openxmlformats.org/officeDocument/2006/relationships" r:embed="rId8" cstate="print">
                  <a:alphaModFix/>
                  <a:extLst>
                    <a:ext uri="{28A0092B-C50C-407E-A947-70E740481C1C}">
                      <a14:useLocalDpi xmlns:a14="http://schemas.microsoft.com/office/drawing/2010/main" val="0"/>
                    </a:ext>
                  </a:extLst>
                </a:blip>
                <a:stretch>
                  <a:fillRect/>
                </a:stretch>
              </xdr:blipFill>
              <xdr:spPr>
                <a:xfrm>
                  <a:off x="6903860" y="19549"/>
                  <a:ext cx="214187" cy="248554"/>
                </a:xfrm>
                <a:prstGeom prst="rect">
                  <a:avLst/>
                </a:prstGeom>
              </xdr:spPr>
            </xdr:pic>
            <xdr:sp macro="" textlink="">
              <xdr:nvSpPr>
                <xdr:cNvPr id="19" name="TextBox 18">
                  <a:hlinkClick xmlns:r="http://schemas.openxmlformats.org/officeDocument/2006/relationships" r:id="rId7"/>
                  <a:extLst>
                    <a:ext uri="{FF2B5EF4-FFF2-40B4-BE49-F238E27FC236}">
                      <a16:creationId xmlns:a16="http://schemas.microsoft.com/office/drawing/2014/main" id="{72C6B180-F34D-ADA0-833A-89139756BDC9}"/>
                    </a:ext>
                  </a:extLst>
                </xdr:cNvPr>
                <xdr:cNvSpPr txBox="1"/>
              </xdr:nvSpPr>
              <xdr:spPr>
                <a:xfrm>
                  <a:off x="7099062" y="0"/>
                  <a:ext cx="67589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MORTGAGE</a:t>
                  </a:r>
                </a:p>
              </xdr:txBody>
            </xdr:sp>
            <xdr:sp macro="" textlink="">
              <xdr:nvSpPr>
                <xdr:cNvPr id="20" name="TextBox 19">
                  <a:hlinkClick xmlns:r="http://schemas.openxmlformats.org/officeDocument/2006/relationships" r:id="rId9"/>
                  <a:extLst>
                    <a:ext uri="{FF2B5EF4-FFF2-40B4-BE49-F238E27FC236}">
                      <a16:creationId xmlns:a16="http://schemas.microsoft.com/office/drawing/2014/main" id="{07BE712F-6C17-1A81-632C-1D79B5D4FD28}"/>
                    </a:ext>
                  </a:extLst>
                </xdr:cNvPr>
                <xdr:cNvSpPr txBox="1"/>
              </xdr:nvSpPr>
              <xdr:spPr>
                <a:xfrm>
                  <a:off x="6375474" y="0"/>
                  <a:ext cx="381400"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DEBT</a:t>
                  </a:r>
                </a:p>
              </xdr:txBody>
            </xdr:sp>
            <xdr:pic>
              <xdr:nvPicPr>
                <xdr:cNvPr id="21" name="Picture 20">
                  <a:hlinkClick xmlns:r="http://schemas.openxmlformats.org/officeDocument/2006/relationships" r:id="rId9"/>
                  <a:extLst>
                    <a:ext uri="{FF2B5EF4-FFF2-40B4-BE49-F238E27FC236}">
                      <a16:creationId xmlns:a16="http://schemas.microsoft.com/office/drawing/2014/main" id="{0B7A6BD7-7002-EB5B-6C2F-FA70D94275EC}"/>
                    </a:ext>
                  </a:extLst>
                </xdr:cNvPr>
                <xdr:cNvPicPr>
                  <a:picLocks noChangeAspect="1"/>
                </xdr:cNvPicPr>
              </xdr:nvPicPr>
              <xdr:blipFill>
                <a:blip xmlns:r="http://schemas.openxmlformats.org/officeDocument/2006/relationships" r:embed="rId10" cstate="print">
                  <a:alphaModFix/>
                  <a:extLst>
                    <a:ext uri="{28A0092B-C50C-407E-A947-70E740481C1C}">
                      <a14:useLocalDpi xmlns:a14="http://schemas.microsoft.com/office/drawing/2010/main" val="0"/>
                    </a:ext>
                  </a:extLst>
                </a:blip>
                <a:stretch>
                  <a:fillRect/>
                </a:stretch>
              </xdr:blipFill>
              <xdr:spPr>
                <a:xfrm>
                  <a:off x="6158378" y="19549"/>
                  <a:ext cx="214188" cy="248554"/>
                </a:xfrm>
                <a:prstGeom prst="rect">
                  <a:avLst/>
                </a:prstGeom>
              </xdr:spPr>
            </xdr:pic>
            <xdr:sp macro="" textlink="">
              <xdr:nvSpPr>
                <xdr:cNvPr id="22" name="TextBox 21">
                  <a:hlinkClick xmlns:r="http://schemas.openxmlformats.org/officeDocument/2006/relationships" r:id="rId11"/>
                  <a:extLst>
                    <a:ext uri="{FF2B5EF4-FFF2-40B4-BE49-F238E27FC236}">
                      <a16:creationId xmlns:a16="http://schemas.microsoft.com/office/drawing/2014/main" id="{80E9AA97-55F3-281D-1556-952AD36BD203}"/>
                    </a:ext>
                  </a:extLst>
                </xdr:cNvPr>
                <xdr:cNvSpPr txBox="1"/>
              </xdr:nvSpPr>
              <xdr:spPr>
                <a:xfrm>
                  <a:off x="5370816" y="37659"/>
                  <a:ext cx="64057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FORECASTS</a:t>
                  </a:r>
                </a:p>
              </xdr:txBody>
            </xdr:sp>
            <xdr:sp macro="" textlink="">
              <xdr:nvSpPr>
                <xdr:cNvPr id="23" name="TextBox 22">
                  <a:hlinkClick xmlns:r="http://schemas.openxmlformats.org/officeDocument/2006/relationships" r:id="rId12"/>
                  <a:extLst>
                    <a:ext uri="{FF2B5EF4-FFF2-40B4-BE49-F238E27FC236}">
                      <a16:creationId xmlns:a16="http://schemas.microsoft.com/office/drawing/2014/main" id="{D2DDE54E-479D-52AE-0CC5-B7FBF0E2A30B}"/>
                    </a:ext>
                  </a:extLst>
                </xdr:cNvPr>
                <xdr:cNvSpPr txBox="1"/>
              </xdr:nvSpPr>
              <xdr:spPr>
                <a:xfrm>
                  <a:off x="8104032" y="0"/>
                  <a:ext cx="7732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a:t>
                  </a:r>
                  <a:r>
                    <a:rPr lang="en-US" sz="900" b="1" baseline="0">
                      <a:solidFill>
                        <a:schemeClr val="bg1"/>
                      </a:solidFill>
                    </a:rPr>
                    <a:t> (M)</a:t>
                  </a:r>
                  <a:endParaRPr lang="en-US" sz="900" b="1">
                    <a:solidFill>
                      <a:schemeClr val="bg1"/>
                    </a:solidFill>
                  </a:endParaRPr>
                </a:p>
              </xdr:txBody>
            </xdr:sp>
            <xdr:pic>
              <xdr:nvPicPr>
                <xdr:cNvPr id="25" name="Picture 24">
                  <a:hlinkClick xmlns:r="http://schemas.openxmlformats.org/officeDocument/2006/relationships" r:id="rId12"/>
                  <a:extLst>
                    <a:ext uri="{FF2B5EF4-FFF2-40B4-BE49-F238E27FC236}">
                      <a16:creationId xmlns:a16="http://schemas.microsoft.com/office/drawing/2014/main" id="{0A086DD9-A0AC-E1DE-592F-08FDE4997434}"/>
                    </a:ext>
                  </a:extLst>
                </xdr:cNvPr>
                <xdr:cNvPicPr>
                  <a:picLocks noChangeAspect="1"/>
                </xdr:cNvPicPr>
              </xdr:nvPicPr>
              <xdr:blipFill>
                <a:blip xmlns:r="http://schemas.openxmlformats.org/officeDocument/2006/relationships" r:embed="rId13" cstate="print">
                  <a:alphaModFix/>
                  <a:extLst>
                    <a:ext uri="{28A0092B-C50C-407E-A947-70E740481C1C}">
                      <a14:useLocalDpi xmlns:a14="http://schemas.microsoft.com/office/drawing/2010/main" val="0"/>
                    </a:ext>
                  </a:extLst>
                </a:blip>
                <a:stretch>
                  <a:fillRect/>
                </a:stretch>
              </xdr:blipFill>
              <xdr:spPr>
                <a:xfrm>
                  <a:off x="7921943" y="19549"/>
                  <a:ext cx="214188" cy="248554"/>
                </a:xfrm>
                <a:prstGeom prst="rect">
                  <a:avLst/>
                </a:prstGeom>
              </xdr:spPr>
            </xdr:pic>
            <xdr:sp macro="" textlink="">
              <xdr:nvSpPr>
                <xdr:cNvPr id="26" name="TextBox 25">
                  <a:hlinkClick xmlns:r="http://schemas.openxmlformats.org/officeDocument/2006/relationships" r:id="rId14"/>
                  <a:extLst>
                    <a:ext uri="{FF2B5EF4-FFF2-40B4-BE49-F238E27FC236}">
                      <a16:creationId xmlns:a16="http://schemas.microsoft.com/office/drawing/2014/main" id="{E11A97FC-9FE6-78A5-94B1-5310F9A69593}"/>
                    </a:ext>
                  </a:extLst>
                </xdr:cNvPr>
                <xdr:cNvSpPr txBox="1"/>
              </xdr:nvSpPr>
              <xdr:spPr>
                <a:xfrm>
                  <a:off x="9978309" y="0"/>
                  <a:ext cx="687187"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 (Y)</a:t>
                  </a:r>
                </a:p>
              </xdr:txBody>
            </xdr:sp>
            <xdr:pic>
              <xdr:nvPicPr>
                <xdr:cNvPr id="27" name="Picture 26">
                  <a:hlinkClick xmlns:r="http://schemas.openxmlformats.org/officeDocument/2006/relationships" r:id="rId14"/>
                  <a:extLst>
                    <a:ext uri="{FF2B5EF4-FFF2-40B4-BE49-F238E27FC236}">
                      <a16:creationId xmlns:a16="http://schemas.microsoft.com/office/drawing/2014/main" id="{3D448E48-0A74-272D-5200-F1837C20FBC0}"/>
                    </a:ext>
                  </a:extLst>
                </xdr:cNvPr>
                <xdr:cNvPicPr>
                  <a:picLocks noChangeAspect="1"/>
                </xdr:cNvPicPr>
              </xdr:nvPicPr>
              <xdr:blipFill>
                <a:blip xmlns:r="http://schemas.openxmlformats.org/officeDocument/2006/relationships" r:embed="rId15" cstate="print">
                  <a:alphaModFix/>
                  <a:extLst>
                    <a:ext uri="{28A0092B-C50C-407E-A947-70E740481C1C}">
                      <a14:useLocalDpi xmlns:a14="http://schemas.microsoft.com/office/drawing/2010/main" val="0"/>
                    </a:ext>
                  </a:extLst>
                </a:blip>
                <a:stretch>
                  <a:fillRect/>
                </a:stretch>
              </xdr:blipFill>
              <xdr:spPr>
                <a:xfrm>
                  <a:off x="9777770" y="19549"/>
                  <a:ext cx="214188" cy="248554"/>
                </a:xfrm>
                <a:prstGeom prst="rect">
                  <a:avLst/>
                </a:prstGeom>
              </xdr:spPr>
            </xdr:pic>
            <xdr:sp macro="" textlink="">
              <xdr:nvSpPr>
                <xdr:cNvPr id="28" name="TextBox 27">
                  <a:hlinkClick xmlns:r="http://schemas.openxmlformats.org/officeDocument/2006/relationships" r:id="rId16"/>
                  <a:extLst>
                    <a:ext uri="{FF2B5EF4-FFF2-40B4-BE49-F238E27FC236}">
                      <a16:creationId xmlns:a16="http://schemas.microsoft.com/office/drawing/2014/main" id="{BBD99926-CED6-D9CA-B194-049BB013FC10}"/>
                    </a:ext>
                  </a:extLst>
                </xdr:cNvPr>
                <xdr:cNvSpPr txBox="1"/>
              </xdr:nvSpPr>
              <xdr:spPr>
                <a:xfrm>
                  <a:off x="9133984" y="0"/>
                  <a:ext cx="49680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VERSUS</a:t>
                  </a:r>
                </a:p>
              </xdr:txBody>
            </xdr:sp>
            <xdr:pic>
              <xdr:nvPicPr>
                <xdr:cNvPr id="29" name="Picture 28">
                  <a:hlinkClick xmlns:r="http://schemas.openxmlformats.org/officeDocument/2006/relationships" r:id="rId16"/>
                  <a:extLst>
                    <a:ext uri="{FF2B5EF4-FFF2-40B4-BE49-F238E27FC236}">
                      <a16:creationId xmlns:a16="http://schemas.microsoft.com/office/drawing/2014/main" id="{F71107EF-1B4B-5A5B-3646-ED9E62E9C151}"/>
                    </a:ext>
                  </a:extLst>
                </xdr:cNvPr>
                <xdr:cNvPicPr>
                  <a:picLocks noChangeAspect="1"/>
                </xdr:cNvPicPr>
              </xdr:nvPicPr>
              <xdr:blipFill>
                <a:blip xmlns:r="http://schemas.openxmlformats.org/officeDocument/2006/relationships" r:embed="rId17" cstate="print">
                  <a:alphaModFix/>
                  <a:extLst>
                    <a:ext uri="{28A0092B-C50C-407E-A947-70E740481C1C}">
                      <a14:useLocalDpi xmlns:a14="http://schemas.microsoft.com/office/drawing/2010/main" val="0"/>
                    </a:ext>
                  </a:extLst>
                </a:blip>
                <a:stretch>
                  <a:fillRect/>
                </a:stretch>
              </xdr:blipFill>
              <xdr:spPr>
                <a:xfrm>
                  <a:off x="8938203" y="19549"/>
                  <a:ext cx="214187" cy="248554"/>
                </a:xfrm>
                <a:prstGeom prst="rect">
                  <a:avLst/>
                </a:prstGeom>
              </xdr:spPr>
            </xdr:pic>
            <xdr:sp macro="" textlink="">
              <xdr:nvSpPr>
                <xdr:cNvPr id="31" name="TextBox 30">
                  <a:hlinkClick xmlns:r="http://schemas.openxmlformats.org/officeDocument/2006/relationships" r:id="rId18"/>
                  <a:extLst>
                    <a:ext uri="{FF2B5EF4-FFF2-40B4-BE49-F238E27FC236}">
                      <a16:creationId xmlns:a16="http://schemas.microsoft.com/office/drawing/2014/main" id="{3FAF3D8E-E1E5-16FE-DDC3-CBA7E08B983F}"/>
                    </a:ext>
                  </a:extLst>
                </xdr:cNvPr>
                <xdr:cNvSpPr txBox="1"/>
              </xdr:nvSpPr>
              <xdr:spPr>
                <a:xfrm>
                  <a:off x="3510385" y="0"/>
                  <a:ext cx="52312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REPAIRS</a:t>
                  </a:r>
                </a:p>
              </xdr:txBody>
            </xdr:sp>
            <xdr:pic>
              <xdr:nvPicPr>
                <xdr:cNvPr id="32" name="Picture 31">
                  <a:hlinkClick xmlns:r="http://schemas.openxmlformats.org/officeDocument/2006/relationships" r:id="rId18"/>
                  <a:extLst>
                    <a:ext uri="{FF2B5EF4-FFF2-40B4-BE49-F238E27FC236}">
                      <a16:creationId xmlns:a16="http://schemas.microsoft.com/office/drawing/2014/main" id="{E9FC511C-6749-F50F-ED76-10FFEA87FAAA}"/>
                    </a:ext>
                  </a:extLst>
                </xdr:cNvPr>
                <xdr:cNvPicPr>
                  <a:picLocks noChangeAspect="1"/>
                </xdr:cNvPicPr>
              </xdr:nvPicPr>
              <xdr:blipFill>
                <a:blip xmlns:r="http://schemas.openxmlformats.org/officeDocument/2006/relationships" r:embed="rId19" cstate="print">
                  <a:alphaModFix/>
                  <a:extLst>
                    <a:ext uri="{28A0092B-C50C-407E-A947-70E740481C1C}">
                      <a14:useLocalDpi xmlns:a14="http://schemas.microsoft.com/office/drawing/2010/main" val="0"/>
                    </a:ext>
                  </a:extLst>
                </a:blip>
                <a:stretch>
                  <a:fillRect/>
                </a:stretch>
              </xdr:blipFill>
              <xdr:spPr>
                <a:xfrm>
                  <a:off x="3296296" y="28376"/>
                  <a:ext cx="214435" cy="230900"/>
                </a:xfrm>
                <a:prstGeom prst="rect">
                  <a:avLst/>
                </a:prstGeom>
              </xdr:spPr>
            </xdr:pic>
            <xdr:sp macro="" textlink="">
              <xdr:nvSpPr>
                <xdr:cNvPr id="33" name="TextBox 32">
                  <a:hlinkClick xmlns:r="http://schemas.openxmlformats.org/officeDocument/2006/relationships" r:id="rId20"/>
                  <a:extLst>
                    <a:ext uri="{FF2B5EF4-FFF2-40B4-BE49-F238E27FC236}">
                      <a16:creationId xmlns:a16="http://schemas.microsoft.com/office/drawing/2014/main" id="{4D33F1BB-E2F3-5B27-E118-F29CC3B11D0F}"/>
                    </a:ext>
                  </a:extLst>
                </xdr:cNvPr>
                <xdr:cNvSpPr txBox="1"/>
              </xdr:nvSpPr>
              <xdr:spPr>
                <a:xfrm>
                  <a:off x="4388587" y="0"/>
                  <a:ext cx="63170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FURNITURE</a:t>
                  </a:r>
                </a:p>
              </xdr:txBody>
            </xdr:sp>
            <xdr:pic>
              <xdr:nvPicPr>
                <xdr:cNvPr id="34" name="Picture 33">
                  <a:hlinkClick xmlns:r="http://schemas.openxmlformats.org/officeDocument/2006/relationships" r:id="rId20"/>
                  <a:extLst>
                    <a:ext uri="{FF2B5EF4-FFF2-40B4-BE49-F238E27FC236}">
                      <a16:creationId xmlns:a16="http://schemas.microsoft.com/office/drawing/2014/main" id="{6296F55F-D42E-EE4A-E4C8-A806377E3413}"/>
                    </a:ext>
                  </a:extLst>
                </xdr:cNvPr>
                <xdr:cNvPicPr>
                  <a:picLocks noChangeAspect="1"/>
                </xdr:cNvPicPr>
              </xdr:nvPicPr>
              <xdr:blipFill>
                <a:blip xmlns:r="http://schemas.openxmlformats.org/officeDocument/2006/relationships" r:embed="rId21" cstate="print">
                  <a:alphaModFix/>
                  <a:extLst>
                    <a:ext uri="{28A0092B-C50C-407E-A947-70E740481C1C}">
                      <a14:useLocalDpi xmlns:a14="http://schemas.microsoft.com/office/drawing/2010/main" val="0"/>
                    </a:ext>
                  </a:extLst>
                </a:blip>
                <a:stretch>
                  <a:fillRect/>
                </a:stretch>
              </xdr:blipFill>
              <xdr:spPr>
                <a:xfrm>
                  <a:off x="4180491" y="28376"/>
                  <a:ext cx="214435" cy="230900"/>
                </a:xfrm>
                <a:prstGeom prst="rect">
                  <a:avLst/>
                </a:prstGeom>
              </xdr:spPr>
            </xdr:pic>
            <xdr:pic>
              <xdr:nvPicPr>
                <xdr:cNvPr id="35" name="Picture 34">
                  <a:hlinkClick xmlns:r="http://schemas.openxmlformats.org/officeDocument/2006/relationships" r:id="rId22"/>
                  <a:extLst>
                    <a:ext uri="{FF2B5EF4-FFF2-40B4-BE49-F238E27FC236}">
                      <a16:creationId xmlns:a16="http://schemas.microsoft.com/office/drawing/2014/main" id="{F8ACC3D7-5BFB-5942-AF52-56ECFFD15DF3}"/>
                    </a:ext>
                  </a:extLst>
                </xdr:cNvPr>
                <xdr:cNvPicPr>
                  <a:picLocks noChangeAspect="1"/>
                </xdr:cNvPicPr>
              </xdr:nvPicPr>
              <xdr:blipFill>
                <a:blip xmlns:r="http://schemas.openxmlformats.org/officeDocument/2006/relationships" r:embed="rId23" cstate="print">
                  <a:alphaModFix/>
                  <a:extLst>
                    <a:ext uri="{28A0092B-C50C-407E-A947-70E740481C1C}">
                      <a14:useLocalDpi xmlns:a14="http://schemas.microsoft.com/office/drawing/2010/main" val="0"/>
                    </a:ext>
                  </a:extLst>
                </a:blip>
                <a:stretch>
                  <a:fillRect/>
                </a:stretch>
              </xdr:blipFill>
              <xdr:spPr>
                <a:xfrm>
                  <a:off x="10812480" y="19549"/>
                  <a:ext cx="214188" cy="248554"/>
                </a:xfrm>
                <a:prstGeom prst="rect">
                  <a:avLst/>
                </a:prstGeom>
              </xdr:spPr>
            </xdr:pic>
            <xdr:sp macro="" textlink="">
              <xdr:nvSpPr>
                <xdr:cNvPr id="36" name="TextBox 35">
                  <a:hlinkClick xmlns:r="http://schemas.openxmlformats.org/officeDocument/2006/relationships" r:id="rId22"/>
                  <a:extLst>
                    <a:ext uri="{FF2B5EF4-FFF2-40B4-BE49-F238E27FC236}">
                      <a16:creationId xmlns:a16="http://schemas.microsoft.com/office/drawing/2014/main" id="{15290A5B-975C-7605-01E7-58EA2A9D96D7}"/>
                    </a:ext>
                  </a:extLst>
                </xdr:cNvPr>
                <xdr:cNvSpPr txBox="1"/>
              </xdr:nvSpPr>
              <xdr:spPr>
                <a:xfrm>
                  <a:off x="11008843" y="0"/>
                  <a:ext cx="40705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PEERS</a:t>
                  </a:r>
                </a:p>
              </xdr:txBody>
            </xdr:sp>
            <xdr:sp macro="" textlink="">
              <xdr:nvSpPr>
                <xdr:cNvPr id="37" name="TextBox 36">
                  <a:hlinkClick xmlns:r="http://schemas.openxmlformats.org/officeDocument/2006/relationships" r:id="rId24"/>
                  <a:extLst>
                    <a:ext uri="{FF2B5EF4-FFF2-40B4-BE49-F238E27FC236}">
                      <a16:creationId xmlns:a16="http://schemas.microsoft.com/office/drawing/2014/main" id="{C49533F4-B81A-A3A4-2246-7ACAD450F2B1}"/>
                    </a:ext>
                  </a:extLst>
                </xdr:cNvPr>
                <xdr:cNvSpPr txBox="1"/>
              </xdr:nvSpPr>
              <xdr:spPr>
                <a:xfrm>
                  <a:off x="9581756" y="397481"/>
                  <a:ext cx="656781"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MAX PRICE</a:t>
                  </a:r>
                </a:p>
              </xdr:txBody>
            </xdr:sp>
            <xdr:pic>
              <xdr:nvPicPr>
                <xdr:cNvPr id="38" name="Picture 37">
                  <a:hlinkClick xmlns:r="http://schemas.openxmlformats.org/officeDocument/2006/relationships" r:id="rId24"/>
                  <a:extLst>
                    <a:ext uri="{FF2B5EF4-FFF2-40B4-BE49-F238E27FC236}">
                      <a16:creationId xmlns:a16="http://schemas.microsoft.com/office/drawing/2014/main" id="{BB6A1145-C9F3-9965-226B-DF9C35F47548}"/>
                    </a:ext>
                  </a:extLst>
                </xdr:cNvPr>
                <xdr:cNvPicPr>
                  <a:picLocks noChangeAspect="1"/>
                </xdr:cNvPicPr>
              </xdr:nvPicPr>
              <xdr:blipFill>
                <a:blip xmlns:r="http://schemas.openxmlformats.org/officeDocument/2006/relationships" r:embed="rId25" cstate="print">
                  <a:alphaModFix/>
                  <a:extLst>
                    <a:ext uri="{28A0092B-C50C-407E-A947-70E740481C1C}">
                      <a14:useLocalDpi xmlns:a14="http://schemas.microsoft.com/office/drawing/2010/main" val="0"/>
                    </a:ext>
                  </a:extLst>
                </a:blip>
                <a:stretch>
                  <a:fillRect/>
                </a:stretch>
              </xdr:blipFill>
              <xdr:spPr>
                <a:xfrm>
                  <a:off x="9433997" y="425857"/>
                  <a:ext cx="214435" cy="230900"/>
                </a:xfrm>
                <a:prstGeom prst="rect">
                  <a:avLst/>
                </a:prstGeom>
              </xdr:spPr>
            </xdr:pic>
            <xdr:sp macro="" textlink="">
              <xdr:nvSpPr>
                <xdr:cNvPr id="39" name="TextBox 38">
                  <a:hlinkClick xmlns:r="http://schemas.openxmlformats.org/officeDocument/2006/relationships" r:id="rId26"/>
                  <a:extLst>
                    <a:ext uri="{FF2B5EF4-FFF2-40B4-BE49-F238E27FC236}">
                      <a16:creationId xmlns:a16="http://schemas.microsoft.com/office/drawing/2014/main" id="{3EFE0115-8D72-F1B7-18D8-4C52384A89D4}"/>
                    </a:ext>
                  </a:extLst>
                </xdr:cNvPr>
                <xdr:cNvSpPr txBox="1"/>
              </xdr:nvSpPr>
              <xdr:spPr>
                <a:xfrm>
                  <a:off x="7733272" y="389861"/>
                  <a:ext cx="6384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SCENARIOS</a:t>
                  </a:r>
                </a:p>
              </xdr:txBody>
            </xdr:sp>
            <xdr:pic>
              <xdr:nvPicPr>
                <xdr:cNvPr id="40" name="Picture 39">
                  <a:hlinkClick xmlns:r="http://schemas.openxmlformats.org/officeDocument/2006/relationships" r:id="rId26"/>
                  <a:extLst>
                    <a:ext uri="{FF2B5EF4-FFF2-40B4-BE49-F238E27FC236}">
                      <a16:creationId xmlns:a16="http://schemas.microsoft.com/office/drawing/2014/main" id="{9CAB2F70-49C0-1D13-B463-A58AE873A20F}"/>
                    </a:ext>
                  </a:extLst>
                </xdr:cNvPr>
                <xdr:cNvPicPr>
                  <a:picLocks noChangeAspect="1"/>
                </xdr:cNvPicPr>
              </xdr:nvPicPr>
              <xdr:blipFill>
                <a:blip xmlns:r="http://schemas.openxmlformats.org/officeDocument/2006/relationships" r:embed="rId27" cstate="print">
                  <a:alphaModFix/>
                  <a:extLst>
                    <a:ext uri="{28A0092B-C50C-407E-A947-70E740481C1C}">
                      <a14:useLocalDpi xmlns:a14="http://schemas.microsoft.com/office/drawing/2010/main" val="0"/>
                    </a:ext>
                  </a:extLst>
                </a:blip>
                <a:stretch>
                  <a:fillRect/>
                </a:stretch>
              </xdr:blipFill>
              <xdr:spPr>
                <a:xfrm>
                  <a:off x="7536090" y="418237"/>
                  <a:ext cx="214435" cy="230900"/>
                </a:xfrm>
                <a:prstGeom prst="rect">
                  <a:avLst/>
                </a:prstGeom>
              </xdr:spPr>
            </xdr:pic>
            <xdr:sp macro="" textlink="">
              <xdr:nvSpPr>
                <xdr:cNvPr id="41" name="TextBox 40">
                  <a:hlinkClick xmlns:r="http://schemas.openxmlformats.org/officeDocument/2006/relationships" r:id="rId28"/>
                  <a:extLst>
                    <a:ext uri="{FF2B5EF4-FFF2-40B4-BE49-F238E27FC236}">
                      <a16:creationId xmlns:a16="http://schemas.microsoft.com/office/drawing/2014/main" id="{40EF36B1-47BB-874E-7CCA-D5FE99252DB8}"/>
                    </a:ext>
                  </a:extLst>
                </xdr:cNvPr>
                <xdr:cNvSpPr txBox="1"/>
              </xdr:nvSpPr>
              <xdr:spPr>
                <a:xfrm>
                  <a:off x="11757467" y="49286"/>
                  <a:ext cx="110218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MARKET RESEARCH</a:t>
                  </a:r>
                </a:p>
              </xdr:txBody>
            </xdr:sp>
            <xdr:pic>
              <xdr:nvPicPr>
                <xdr:cNvPr id="42" name="Picture 41" descr="A white and brown hourglass&#10;&#10;AI-generated content may be incorrect.">
                  <a:hlinkClick xmlns:r="http://schemas.openxmlformats.org/officeDocument/2006/relationships" r:id="rId28"/>
                  <a:extLst>
                    <a:ext uri="{FF2B5EF4-FFF2-40B4-BE49-F238E27FC236}">
                      <a16:creationId xmlns:a16="http://schemas.microsoft.com/office/drawing/2014/main" id="{6D5A1537-B887-A77A-8E99-92044C4197F0}"/>
                    </a:ext>
                  </a:extLst>
                </xdr:cNvPr>
                <xdr:cNvPicPr>
                  <a:picLocks noChangeAspect="1"/>
                </xdr:cNvPicPr>
              </xdr:nvPicPr>
              <xdr:blipFill>
                <a:blip xmlns:r="http://schemas.openxmlformats.org/officeDocument/2006/relationships" r:embed="rId29" cstate="print">
                  <a:alphaModFix/>
                  <a:extLst>
                    <a:ext uri="{28A0092B-C50C-407E-A947-70E740481C1C}">
                      <a14:useLocalDpi xmlns:a14="http://schemas.microsoft.com/office/drawing/2010/main" val="0"/>
                    </a:ext>
                  </a:extLst>
                </a:blip>
                <a:stretch>
                  <a:fillRect/>
                </a:stretch>
              </xdr:blipFill>
              <xdr:spPr>
                <a:xfrm>
                  <a:off x="11563464" y="33893"/>
                  <a:ext cx="235575" cy="261687"/>
                </a:xfrm>
                <a:prstGeom prst="rect">
                  <a:avLst/>
                </a:prstGeom>
              </xdr:spPr>
            </xdr:pic>
            <xdr:pic>
              <xdr:nvPicPr>
                <xdr:cNvPr id="43" name="Picture 42">
                  <a:hlinkClick xmlns:r="http://schemas.openxmlformats.org/officeDocument/2006/relationships" r:id="rId30"/>
                  <a:extLst>
                    <a:ext uri="{FF2B5EF4-FFF2-40B4-BE49-F238E27FC236}">
                      <a16:creationId xmlns:a16="http://schemas.microsoft.com/office/drawing/2014/main" id="{FB952FF1-EC49-B4C7-E881-7F1C08BB0BD4}"/>
                    </a:ext>
                  </a:extLst>
                </xdr:cNvPr>
                <xdr:cNvPicPr>
                  <a:picLocks noChangeAspect="1" noChangeArrowheads="1"/>
                </xdr:cNvPicPr>
              </xdr:nvPicPr>
              <xdr:blipFill>
                <a:blip xmlns:r="http://schemas.openxmlformats.org/officeDocument/2006/relationships" r:embed="rId3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33032" y="384834"/>
                  <a:ext cx="261600" cy="33288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4" name="TextBox 43">
                  <a:hlinkClick xmlns:r="http://schemas.openxmlformats.org/officeDocument/2006/relationships" r:id="rId30"/>
                  <a:extLst>
                    <a:ext uri="{FF2B5EF4-FFF2-40B4-BE49-F238E27FC236}">
                      <a16:creationId xmlns:a16="http://schemas.microsoft.com/office/drawing/2014/main" id="{3AD397E9-CD2D-431D-CBD6-FCDC4A3A7A18}"/>
                    </a:ext>
                  </a:extLst>
                </xdr:cNvPr>
                <xdr:cNvSpPr txBox="1"/>
              </xdr:nvSpPr>
              <xdr:spPr>
                <a:xfrm>
                  <a:off x="3637195" y="315564"/>
                  <a:ext cx="914586" cy="433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BALANCE SHEET</a:t>
                  </a:r>
                </a:p>
                <a:p>
                  <a:pPr algn="ctr"/>
                  <a:r>
                    <a:rPr lang="en-US" sz="900" b="1">
                      <a:solidFill>
                        <a:schemeClr val="bg1"/>
                      </a:solidFill>
                    </a:rPr>
                    <a:t>SUMMARY</a:t>
                  </a:r>
                </a:p>
              </xdr:txBody>
            </xdr:sp>
            <xdr:pic>
              <xdr:nvPicPr>
                <xdr:cNvPr id="45" name="Picture 44">
                  <a:hlinkClick xmlns:r="http://schemas.openxmlformats.org/officeDocument/2006/relationships" r:id="rId32"/>
                  <a:extLst>
                    <a:ext uri="{FF2B5EF4-FFF2-40B4-BE49-F238E27FC236}">
                      <a16:creationId xmlns:a16="http://schemas.microsoft.com/office/drawing/2014/main" id="{174CF8CC-0E9D-B618-E62F-BCDDC27F2C05}"/>
                    </a:ext>
                  </a:extLst>
                </xdr:cNvPr>
                <xdr:cNvPicPr>
                  <a:picLocks noChangeAspect="1" noChangeArrowheads="1"/>
                </xdr:cNvPicPr>
              </xdr:nvPicPr>
              <xdr:blipFill>
                <a:blip xmlns:r="http://schemas.openxmlformats.org/officeDocument/2006/relationships" r:embed="rId33" cstate="print">
                  <a:clrChange>
                    <a:clrFrom>
                      <a:srgbClr val="F8F8F8"/>
                    </a:clrFrom>
                    <a:clrTo>
                      <a:srgbClr val="F8F8F8">
                        <a:alpha val="0"/>
                      </a:srgbClr>
                    </a:clrTo>
                  </a:clrChange>
                  <a:extLst>
                    <a:ext uri="{28A0092B-C50C-407E-A947-70E740481C1C}">
                      <a14:useLocalDpi xmlns:a14="http://schemas.microsoft.com/office/drawing/2010/main" val="0"/>
                    </a:ext>
                  </a:extLst>
                </a:blip>
                <a:srcRect/>
                <a:stretch>
                  <a:fillRect/>
                </a:stretch>
              </xdr:blipFill>
              <xdr:spPr bwMode="auto">
                <a:xfrm>
                  <a:off x="4602713" y="384834"/>
                  <a:ext cx="326621" cy="3113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6" name="TextBox 45">
                  <a:hlinkClick xmlns:r="http://schemas.openxmlformats.org/officeDocument/2006/relationships" r:id="rId32"/>
                  <a:extLst>
                    <a:ext uri="{FF2B5EF4-FFF2-40B4-BE49-F238E27FC236}">
                      <a16:creationId xmlns:a16="http://schemas.microsoft.com/office/drawing/2014/main" id="{6EA755C3-2DC9-8D5D-7B73-EFAB5D584032}"/>
                    </a:ext>
                  </a:extLst>
                </xdr:cNvPr>
                <xdr:cNvSpPr txBox="1"/>
              </xdr:nvSpPr>
              <xdr:spPr>
                <a:xfrm>
                  <a:off x="4880678" y="423317"/>
                  <a:ext cx="56334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ASSETS</a:t>
                  </a:r>
                </a:p>
              </xdr:txBody>
            </xdr:sp>
            <xdr:pic>
              <xdr:nvPicPr>
                <xdr:cNvPr id="47" name="Picture 46">
                  <a:hlinkClick xmlns:r="http://schemas.openxmlformats.org/officeDocument/2006/relationships" r:id="rId34"/>
                  <a:extLst>
                    <a:ext uri="{FF2B5EF4-FFF2-40B4-BE49-F238E27FC236}">
                      <a16:creationId xmlns:a16="http://schemas.microsoft.com/office/drawing/2014/main" id="{27736F3D-4BDC-B3BF-25BC-0280A2EE7BB5}"/>
                    </a:ext>
                  </a:extLst>
                </xdr:cNvPr>
                <xdr:cNvPicPr>
                  <a:picLocks noChangeAspect="1" noChangeArrowheads="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35903" y="354046"/>
                  <a:ext cx="278234" cy="3540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8" name="TextBox 47">
                  <a:hlinkClick xmlns:r="http://schemas.openxmlformats.org/officeDocument/2006/relationships" r:id="rId34"/>
                  <a:extLst>
                    <a:ext uri="{FF2B5EF4-FFF2-40B4-BE49-F238E27FC236}">
                      <a16:creationId xmlns:a16="http://schemas.microsoft.com/office/drawing/2014/main" id="{915BF2E6-24AD-0FC4-AE4B-E6BC2226501A}"/>
                    </a:ext>
                  </a:extLst>
                </xdr:cNvPr>
                <xdr:cNvSpPr txBox="1"/>
              </xdr:nvSpPr>
              <xdr:spPr>
                <a:xfrm>
                  <a:off x="5717678" y="431014"/>
                  <a:ext cx="750091"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LIABILITIES</a:t>
                  </a:r>
                </a:p>
              </xdr:txBody>
            </xdr:sp>
            <xdr:pic>
              <xdr:nvPicPr>
                <xdr:cNvPr id="49" name="Picture 48">
                  <a:hlinkClick xmlns:r="http://schemas.openxmlformats.org/officeDocument/2006/relationships" r:id="rId36"/>
                  <a:extLst>
                    <a:ext uri="{FF2B5EF4-FFF2-40B4-BE49-F238E27FC236}">
                      <a16:creationId xmlns:a16="http://schemas.microsoft.com/office/drawing/2014/main" id="{9E989A77-02EF-3A5B-76E7-FE528BEE9738}"/>
                    </a:ext>
                  </a:extLst>
                </xdr:cNvPr>
                <xdr:cNvPicPr>
                  <a:picLocks noChangeAspect="1"/>
                </xdr:cNvPicPr>
              </xdr:nvPicPr>
              <xdr:blipFill>
                <a:blip xmlns:r="http://schemas.openxmlformats.org/officeDocument/2006/relationships" r:embed="rId37">
                  <a:clrChange>
                    <a:clrFrom>
                      <a:srgbClr val="FFFFFF"/>
                    </a:clrFrom>
                    <a:clrTo>
                      <a:srgbClr val="FFFFFF">
                        <a:alpha val="0"/>
                      </a:srgbClr>
                    </a:clrTo>
                  </a:clrChange>
                </a:blip>
                <a:stretch>
                  <a:fillRect/>
                </a:stretch>
              </xdr:blipFill>
              <xdr:spPr>
                <a:xfrm>
                  <a:off x="6454424" y="361268"/>
                  <a:ext cx="368693" cy="354523"/>
                </a:xfrm>
                <a:prstGeom prst="rect">
                  <a:avLst/>
                </a:prstGeom>
              </xdr:spPr>
            </xdr:pic>
            <xdr:sp macro="" textlink="">
              <xdr:nvSpPr>
                <xdr:cNvPr id="50" name="TextBox 49">
                  <a:hlinkClick xmlns:r="http://schemas.openxmlformats.org/officeDocument/2006/relationships" r:id="rId36"/>
                  <a:extLst>
                    <a:ext uri="{FF2B5EF4-FFF2-40B4-BE49-F238E27FC236}">
                      <a16:creationId xmlns:a16="http://schemas.microsoft.com/office/drawing/2014/main" id="{C301B9DD-1D65-FCF4-8251-6CC952A410E9}"/>
                    </a:ext>
                  </a:extLst>
                </xdr:cNvPr>
                <xdr:cNvSpPr txBox="1"/>
              </xdr:nvSpPr>
              <xdr:spPr>
                <a:xfrm>
                  <a:off x="6742924" y="369440"/>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EDIT</a:t>
                  </a:r>
                </a:p>
                <a:p>
                  <a:r>
                    <a:rPr lang="en-US" sz="900" b="1">
                      <a:solidFill>
                        <a:schemeClr val="bg1"/>
                      </a:solidFill>
                    </a:rPr>
                    <a:t>CATEGORIES</a:t>
                  </a:r>
                </a:p>
              </xdr:txBody>
            </xdr:sp>
            <xdr:grpSp>
              <xdr:nvGrpSpPr>
                <xdr:cNvPr id="51" name="Group 50">
                  <a:hlinkClick xmlns:r="http://schemas.openxmlformats.org/officeDocument/2006/relationships" r:id="rId38"/>
                  <a:extLst>
                    <a:ext uri="{FF2B5EF4-FFF2-40B4-BE49-F238E27FC236}">
                      <a16:creationId xmlns:a16="http://schemas.microsoft.com/office/drawing/2014/main" id="{E4FD4596-ECF2-9C2B-7734-DCC4CB7C3728}"/>
                    </a:ext>
                  </a:extLst>
                </xdr:cNvPr>
                <xdr:cNvGrpSpPr/>
              </xdr:nvGrpSpPr>
              <xdr:grpSpPr>
                <a:xfrm>
                  <a:off x="10231249" y="237461"/>
                  <a:ext cx="1281586" cy="502920"/>
                  <a:chOff x="11732389" y="237461"/>
                  <a:chExt cx="1281586" cy="502920"/>
                </a:xfrm>
              </xdr:grpSpPr>
              <xdr:pic>
                <xdr:nvPicPr>
                  <xdr:cNvPr id="52" name="Picture 51">
                    <a:hlinkClick xmlns:r="http://schemas.openxmlformats.org/officeDocument/2006/relationships" r:id="rId39"/>
                    <a:extLst>
                      <a:ext uri="{FF2B5EF4-FFF2-40B4-BE49-F238E27FC236}">
                        <a16:creationId xmlns:a16="http://schemas.microsoft.com/office/drawing/2014/main" id="{F82BBD9E-D8E7-C3B0-C095-AA9458C84D84}"/>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1732389" y="237461"/>
                    <a:ext cx="502920" cy="502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3" name="TextBox 52">
                    <a:hlinkClick xmlns:r="http://schemas.openxmlformats.org/officeDocument/2006/relationships" r:id="rId39"/>
                    <a:extLst>
                      <a:ext uri="{FF2B5EF4-FFF2-40B4-BE49-F238E27FC236}">
                        <a16:creationId xmlns:a16="http://schemas.microsoft.com/office/drawing/2014/main" id="{79AC3FF4-D4DA-E842-4FA0-A2CD0D47862F}"/>
                      </a:ext>
                    </a:extLst>
                  </xdr:cNvPr>
                  <xdr:cNvSpPr txBox="1"/>
                </xdr:nvSpPr>
                <xdr:spPr>
                  <a:xfrm>
                    <a:off x="12197209" y="344142"/>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 GAME APPS</a:t>
                    </a:r>
                  </a:p>
                </xdr:txBody>
              </xdr:sp>
            </xdr:grpSp>
          </xdr:grpSp>
          <xdr:grpSp>
            <xdr:nvGrpSpPr>
              <xdr:cNvPr id="10" name="Group 9">
                <a:extLst>
                  <a:ext uri="{FF2B5EF4-FFF2-40B4-BE49-F238E27FC236}">
                    <a16:creationId xmlns:a16="http://schemas.microsoft.com/office/drawing/2014/main" id="{FCD5C02A-29B3-DB6A-EDCE-EAF9509264AD}"/>
                  </a:ext>
                </a:extLst>
              </xdr:cNvPr>
              <xdr:cNvGrpSpPr/>
            </xdr:nvGrpSpPr>
            <xdr:grpSpPr>
              <a:xfrm>
                <a:off x="3030070" y="313765"/>
                <a:ext cx="1219410" cy="438976"/>
                <a:chOff x="3030070" y="313765"/>
                <a:chExt cx="1219410" cy="438976"/>
              </a:xfrm>
            </xdr:grpSpPr>
            <xdr:sp macro="" textlink="">
              <xdr:nvSpPr>
                <xdr:cNvPr id="11" name="TextBox 10">
                  <a:hlinkClick xmlns:r="http://schemas.openxmlformats.org/officeDocument/2006/relationships" r:id="rId41"/>
                  <a:extLst>
                    <a:ext uri="{FF2B5EF4-FFF2-40B4-BE49-F238E27FC236}">
                      <a16:creationId xmlns:a16="http://schemas.microsoft.com/office/drawing/2014/main" id="{AB37DCE5-5834-EC15-A505-2ACEC2F63FEC}"/>
                    </a:ext>
                  </a:extLst>
                </xdr:cNvPr>
                <xdr:cNvSpPr txBox="1"/>
              </xdr:nvSpPr>
              <xdr:spPr>
                <a:xfrm>
                  <a:off x="3307528" y="313765"/>
                  <a:ext cx="941952" cy="43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BOOK KEEPING</a:t>
                  </a:r>
                </a:p>
                <a:p>
                  <a:pPr algn="ctr"/>
                  <a:r>
                    <a:rPr lang="en-US" sz="900" b="1">
                      <a:solidFill>
                        <a:schemeClr val="bg1"/>
                      </a:solidFill>
                    </a:rPr>
                    <a:t>LEDGER</a:t>
                  </a:r>
                </a:p>
              </xdr:txBody>
            </xdr:sp>
            <xdr:pic>
              <xdr:nvPicPr>
                <xdr:cNvPr id="12" name="Picture 11">
                  <a:hlinkClick xmlns:r="http://schemas.openxmlformats.org/officeDocument/2006/relationships" r:id="rId41"/>
                  <a:extLst>
                    <a:ext uri="{FF2B5EF4-FFF2-40B4-BE49-F238E27FC236}">
                      <a16:creationId xmlns:a16="http://schemas.microsoft.com/office/drawing/2014/main" id="{63B039CE-48EF-2598-3FBD-BDE0D6678A5B}"/>
                    </a:ext>
                  </a:extLst>
                </xdr:cNvPr>
                <xdr:cNvPicPr>
                  <a:picLocks noChangeAspect="1"/>
                </xdr:cNvPicPr>
              </xdr:nvPicPr>
              <xdr:blipFill>
                <a:blip xmlns:r="http://schemas.openxmlformats.org/officeDocument/2006/relationships" r:embed="rId4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0070" y="367554"/>
                  <a:ext cx="327770" cy="349622"/>
                </a:xfrm>
                <a:prstGeom prst="rect">
                  <a:avLst/>
                </a:prstGeom>
              </xdr:spPr>
            </xdr:pic>
          </xdr:grpSp>
        </xdr:grpSp>
        <xdr:grpSp>
          <xdr:nvGrpSpPr>
            <xdr:cNvPr id="6" name="Group 5">
              <a:extLst>
                <a:ext uri="{FF2B5EF4-FFF2-40B4-BE49-F238E27FC236}">
                  <a16:creationId xmlns:a16="http://schemas.microsoft.com/office/drawing/2014/main" id="{52EF5FFC-40C9-1D17-91F6-7ED360F0C730}"/>
                </a:ext>
              </a:extLst>
            </xdr:cNvPr>
            <xdr:cNvGrpSpPr/>
          </xdr:nvGrpSpPr>
          <xdr:grpSpPr>
            <a:xfrm>
              <a:off x="12626340" y="243840"/>
              <a:ext cx="1344125" cy="571500"/>
              <a:chOff x="12626340" y="243840"/>
              <a:chExt cx="1344125" cy="571500"/>
            </a:xfrm>
          </xdr:grpSpPr>
          <xdr:pic>
            <xdr:nvPicPr>
              <xdr:cNvPr id="7" name="Picture 6">
                <a:hlinkClick xmlns:r="http://schemas.openxmlformats.org/officeDocument/2006/relationships" r:id="rId43"/>
                <a:extLst>
                  <a:ext uri="{FF2B5EF4-FFF2-40B4-BE49-F238E27FC236}">
                    <a16:creationId xmlns:a16="http://schemas.microsoft.com/office/drawing/2014/main" id="{477A55BA-A31F-001A-8E0F-CB456A32C976}"/>
                  </a:ext>
                </a:extLst>
              </xdr:cNvPr>
              <xdr:cNvPicPr>
                <a:picLocks noChangeAspect="1" noChangeArrowheads="1"/>
              </xdr:cNvPicPr>
            </xdr:nvPicPr>
            <xdr:blipFill>
              <a:blip xmlns:r="http://schemas.openxmlformats.org/officeDocument/2006/relationships" r:embed="rId4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26340" y="243840"/>
                <a:ext cx="571500" cy="571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 name="TextBox 7">
                <a:hlinkClick xmlns:r="http://schemas.openxmlformats.org/officeDocument/2006/relationships" r:id="rId43"/>
                <a:extLst>
                  <a:ext uri="{FF2B5EF4-FFF2-40B4-BE49-F238E27FC236}">
                    <a16:creationId xmlns:a16="http://schemas.microsoft.com/office/drawing/2014/main" id="{00DD7745-C871-6D64-9538-B8FE17F9AC10}"/>
                  </a:ext>
                </a:extLst>
              </xdr:cNvPr>
              <xdr:cNvSpPr txBox="1"/>
            </xdr:nvSpPr>
            <xdr:spPr>
              <a:xfrm>
                <a:off x="13129260" y="327660"/>
                <a:ext cx="841205" cy="4000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TRAVEL</a:t>
                </a:r>
              </a:p>
              <a:p>
                <a:pPr algn="ctr"/>
                <a:r>
                  <a:rPr lang="en-US" sz="900" b="1">
                    <a:solidFill>
                      <a:schemeClr val="bg1"/>
                    </a:solidFill>
                  </a:rPr>
                  <a:t>SANDBOX</a:t>
                </a:r>
              </a:p>
            </xdr:txBody>
          </xdr:sp>
        </xdr:grpSp>
      </xdr:grpSp>
      <xdr:pic>
        <xdr:nvPicPr>
          <xdr:cNvPr id="4" name="Picture 3">
            <a:hlinkClick xmlns:r="http://schemas.openxmlformats.org/officeDocument/2006/relationships" r:id="rId11"/>
            <a:extLst>
              <a:ext uri="{FF2B5EF4-FFF2-40B4-BE49-F238E27FC236}">
                <a16:creationId xmlns:a16="http://schemas.microsoft.com/office/drawing/2014/main" id="{61630E8C-7BD6-2F90-1012-75C75D3820C1}"/>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34100" y="30480"/>
            <a:ext cx="234698" cy="246078"/>
          </a:xfrm>
          <a:prstGeom prst="rect">
            <a:avLst/>
          </a:prstGeom>
          <a:solidFill>
            <a:srgbClr val="7FA6C7"/>
          </a:solidFill>
        </xdr:spPr>
      </xdr:pic>
    </xdr:grpSp>
    <xdr:clientData/>
  </xdr:twoCellAnchor>
  <xdr:twoCellAnchor>
    <xdr:from>
      <xdr:col>0</xdr:col>
      <xdr:colOff>236220</xdr:colOff>
      <xdr:row>0</xdr:row>
      <xdr:rowOff>19242</xdr:rowOff>
    </xdr:from>
    <xdr:to>
      <xdr:col>0</xdr:col>
      <xdr:colOff>244345</xdr:colOff>
      <xdr:row>0</xdr:row>
      <xdr:rowOff>28478</xdr:rowOff>
    </xdr:to>
    <xdr:sp macro="" textlink="">
      <xdr:nvSpPr>
        <xdr:cNvPr id="30" name="TextBox 29">
          <a:extLst>
            <a:ext uri="{FF2B5EF4-FFF2-40B4-BE49-F238E27FC236}">
              <a16:creationId xmlns:a16="http://schemas.microsoft.com/office/drawing/2014/main" id="{63C24C4A-C9F4-4D3E-9F1C-C7187A5A20D9}"/>
            </a:ext>
          </a:extLst>
        </xdr:cNvPr>
        <xdr:cNvSpPr txBox="1"/>
      </xdr:nvSpPr>
      <xdr:spPr>
        <a:xfrm>
          <a:off x="236220" y="19242"/>
          <a:ext cx="8125" cy="92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endParaRPr lang="en-US" sz="900" b="1">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15</xdr:col>
      <xdr:colOff>0</xdr:colOff>
      <xdr:row>4</xdr:row>
      <xdr:rowOff>0</xdr:rowOff>
    </xdr:from>
    <xdr:to>
      <xdr:col>24</xdr:col>
      <xdr:colOff>38579</xdr:colOff>
      <xdr:row>26</xdr:row>
      <xdr:rowOff>349</xdr:rowOff>
    </xdr:to>
    <xdr:pic>
      <xdr:nvPicPr>
        <xdr:cNvPr id="2" name="Picture 1">
          <a:extLst>
            <a:ext uri="{FF2B5EF4-FFF2-40B4-BE49-F238E27FC236}">
              <a16:creationId xmlns:a16="http://schemas.microsoft.com/office/drawing/2014/main" id="{8B549931-2990-4DF6-A834-E66817CC1B7E}"/>
            </a:ext>
          </a:extLst>
        </xdr:cNvPr>
        <xdr:cNvPicPr>
          <a:picLocks noChangeAspect="1"/>
        </xdr:cNvPicPr>
      </xdr:nvPicPr>
      <xdr:blipFill>
        <a:blip xmlns:r="http://schemas.openxmlformats.org/officeDocument/2006/relationships" r:embed="rId1"/>
        <a:stretch>
          <a:fillRect/>
        </a:stretch>
      </xdr:blipFill>
      <xdr:spPr>
        <a:xfrm>
          <a:off x="10393680" y="0"/>
          <a:ext cx="5524979" cy="4023709"/>
        </a:xfrm>
        <a:prstGeom prst="rect">
          <a:avLst/>
        </a:prstGeom>
      </xdr:spPr>
    </xdr:pic>
    <xdr:clientData/>
  </xdr:twoCellAnchor>
  <xdr:twoCellAnchor>
    <xdr:from>
      <xdr:col>1</xdr:col>
      <xdr:colOff>0</xdr:colOff>
      <xdr:row>0</xdr:row>
      <xdr:rowOff>0</xdr:rowOff>
    </xdr:from>
    <xdr:to>
      <xdr:col>20</xdr:col>
      <xdr:colOff>312177</xdr:colOff>
      <xdr:row>2</xdr:row>
      <xdr:rowOff>30480</xdr:rowOff>
    </xdr:to>
    <xdr:grpSp>
      <xdr:nvGrpSpPr>
        <xdr:cNvPr id="3" name="Group 2">
          <a:extLst>
            <a:ext uri="{FF2B5EF4-FFF2-40B4-BE49-F238E27FC236}">
              <a16:creationId xmlns:a16="http://schemas.microsoft.com/office/drawing/2014/main" id="{4CD973AD-C311-4461-B907-DAD33AE54D9F}"/>
            </a:ext>
          </a:extLst>
        </xdr:cNvPr>
        <xdr:cNvGrpSpPr/>
      </xdr:nvGrpSpPr>
      <xdr:grpSpPr>
        <a:xfrm>
          <a:off x="1859280" y="0"/>
          <a:ext cx="11894577" cy="815340"/>
          <a:chOff x="2194560" y="0"/>
          <a:chExt cx="11894577" cy="815340"/>
        </a:xfrm>
      </xdr:grpSpPr>
      <xdr:grpSp>
        <xdr:nvGrpSpPr>
          <xdr:cNvPr id="4" name="Group 3">
            <a:extLst>
              <a:ext uri="{FF2B5EF4-FFF2-40B4-BE49-F238E27FC236}">
                <a16:creationId xmlns:a16="http://schemas.microsoft.com/office/drawing/2014/main" id="{AF880FB9-75E7-A150-1DE7-4BF325C15DBE}"/>
              </a:ext>
            </a:extLst>
          </xdr:cNvPr>
          <xdr:cNvGrpSpPr/>
        </xdr:nvGrpSpPr>
        <xdr:grpSpPr>
          <a:xfrm>
            <a:off x="2194560" y="0"/>
            <a:ext cx="11894577" cy="815340"/>
            <a:chOff x="2194560" y="0"/>
            <a:chExt cx="11894577" cy="815340"/>
          </a:xfrm>
        </xdr:grpSpPr>
        <xdr:grpSp>
          <xdr:nvGrpSpPr>
            <xdr:cNvPr id="6" name="Group 5">
              <a:extLst>
                <a:ext uri="{FF2B5EF4-FFF2-40B4-BE49-F238E27FC236}">
                  <a16:creationId xmlns:a16="http://schemas.microsoft.com/office/drawing/2014/main" id="{642C03A8-FE67-9C12-9CF9-87E7FF3B8B9A}"/>
                </a:ext>
              </a:extLst>
            </xdr:cNvPr>
            <xdr:cNvGrpSpPr/>
          </xdr:nvGrpSpPr>
          <xdr:grpSpPr>
            <a:xfrm>
              <a:off x="2194560" y="0"/>
              <a:ext cx="11894577" cy="773812"/>
              <a:chOff x="2160046" y="0"/>
              <a:chExt cx="11894577" cy="773812"/>
            </a:xfrm>
          </xdr:grpSpPr>
          <xdr:grpSp>
            <xdr:nvGrpSpPr>
              <xdr:cNvPr id="10" name="Group 9">
                <a:extLst>
                  <a:ext uri="{FF2B5EF4-FFF2-40B4-BE49-F238E27FC236}">
                    <a16:creationId xmlns:a16="http://schemas.microsoft.com/office/drawing/2014/main" id="{DD536C2D-53B8-6A7A-CD4D-223BE76E3C10}"/>
                  </a:ext>
                </a:extLst>
              </xdr:cNvPr>
              <xdr:cNvGrpSpPr/>
            </xdr:nvGrpSpPr>
            <xdr:grpSpPr>
              <a:xfrm>
                <a:off x="2160046" y="0"/>
                <a:ext cx="11894577" cy="773812"/>
                <a:chOff x="1310640" y="0"/>
                <a:chExt cx="11549013" cy="764847"/>
              </a:xfrm>
            </xdr:grpSpPr>
            <xdr:pic>
              <xdr:nvPicPr>
                <xdr:cNvPr id="14" name="Picture 13">
                  <a:hlinkClick xmlns:r="http://schemas.openxmlformats.org/officeDocument/2006/relationships" r:id="rId2"/>
                  <a:extLst>
                    <a:ext uri="{FF2B5EF4-FFF2-40B4-BE49-F238E27FC236}">
                      <a16:creationId xmlns:a16="http://schemas.microsoft.com/office/drawing/2014/main" id="{289ECD7E-E8B6-4359-D8D1-70A8B796F831}"/>
                    </a:ext>
                  </a:extLst>
                </xdr:cNvPr>
                <xdr:cNvPicPr>
                  <a:picLocks/>
                </xdr:cNvPicPr>
              </xdr:nvPicPr>
              <xdr:blipFill>
                <a:blip xmlns:r="http://schemas.openxmlformats.org/officeDocument/2006/relationships" r:embed="rId3" cstate="print">
                  <a:alphaModFix/>
                  <a:extLst>
                    <a:ext uri="{28A0092B-C50C-407E-A947-70E740481C1C}">
                      <a14:useLocalDpi xmlns:a14="http://schemas.microsoft.com/office/drawing/2010/main" val="0"/>
                    </a:ext>
                  </a:extLst>
                </a:blip>
                <a:srcRect/>
                <a:stretch/>
              </xdr:blipFill>
              <xdr:spPr>
                <a:xfrm>
                  <a:off x="1310640" y="46180"/>
                  <a:ext cx="499211" cy="554546"/>
                </a:xfrm>
                <a:prstGeom prst="rect">
                  <a:avLst/>
                </a:prstGeom>
              </xdr:spPr>
            </xdr:pic>
            <xdr:pic>
              <xdr:nvPicPr>
                <xdr:cNvPr id="15" name="Picture 14">
                  <a:hlinkClick xmlns:r="http://schemas.openxmlformats.org/officeDocument/2006/relationships" r:id="rId4"/>
                  <a:extLst>
                    <a:ext uri="{FF2B5EF4-FFF2-40B4-BE49-F238E27FC236}">
                      <a16:creationId xmlns:a16="http://schemas.microsoft.com/office/drawing/2014/main" id="{3536F6DE-DD3E-1C85-9CDA-0FF0B3F13371}"/>
                    </a:ext>
                  </a:extLst>
                </xdr:cNvPr>
                <xdr:cNvPicPr>
                  <a:picLocks noChangeAspect="1" noChangeArrowheads="1"/>
                </xdr:cNvPicPr>
              </xdr:nvPicPr>
              <xdr:blipFill>
                <a:blip xmlns:r="http://schemas.openxmlformats.org/officeDocument/2006/relationships" r:embed="rId5" cstate="print">
                  <a:alphaModFix/>
                  <a:extLst>
                    <a:ext uri="{28A0092B-C50C-407E-A947-70E740481C1C}">
                      <a14:useLocalDpi xmlns:a14="http://schemas.microsoft.com/office/drawing/2010/main" val="0"/>
                    </a:ext>
                  </a:extLst>
                </a:blip>
                <a:srcRect/>
                <a:stretch>
                  <a:fillRect/>
                </a:stretch>
              </xdr:blipFill>
              <xdr:spPr bwMode="auto">
                <a:xfrm>
                  <a:off x="2163693" y="30823"/>
                  <a:ext cx="214188" cy="2260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 name="TextBox 15">
                  <a:hlinkClick xmlns:r="http://schemas.openxmlformats.org/officeDocument/2006/relationships" r:id="rId4"/>
                  <a:extLst>
                    <a:ext uri="{FF2B5EF4-FFF2-40B4-BE49-F238E27FC236}">
                      <a16:creationId xmlns:a16="http://schemas.microsoft.com/office/drawing/2014/main" id="{03238736-77D0-B19D-BE20-3B5F6A4630AE}"/>
                    </a:ext>
                  </a:extLst>
                </xdr:cNvPr>
                <xdr:cNvSpPr txBox="1"/>
              </xdr:nvSpPr>
              <xdr:spPr>
                <a:xfrm>
                  <a:off x="2369194" y="17046"/>
                  <a:ext cx="846446" cy="25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US" sz="900" b="1">
                      <a:solidFill>
                        <a:schemeClr val="bg1"/>
                      </a:solidFill>
                    </a:rPr>
                    <a:t>DASHBOARD</a:t>
                  </a:r>
                </a:p>
              </xdr:txBody>
            </xdr:sp>
            <xdr:pic>
              <xdr:nvPicPr>
                <xdr:cNvPr id="17" name="Picture 16">
                  <a:hlinkClick xmlns:r="http://schemas.openxmlformats.org/officeDocument/2006/relationships" r:id="rId6"/>
                  <a:extLst>
                    <a:ext uri="{FF2B5EF4-FFF2-40B4-BE49-F238E27FC236}">
                      <a16:creationId xmlns:a16="http://schemas.microsoft.com/office/drawing/2014/main" id="{3B59EE9E-58A2-AE0E-6A65-C650437015CA}"/>
                    </a:ext>
                  </a:extLst>
                </xdr:cNvPr>
                <xdr:cNvPicPr>
                  <a:picLocks noChangeAspect="1" noChangeArrowheads="1"/>
                </xdr:cNvPicPr>
              </xdr:nvPicPr>
              <xdr:blipFill>
                <a:blip xmlns:r="http://schemas.openxmlformats.org/officeDocument/2006/relationships" r:embed="rId7" cstate="print">
                  <a:alphaModFix/>
                  <a:extLst>
                    <a:ext uri="{28A0092B-C50C-407E-A947-70E740481C1C}">
                      <a14:useLocalDpi xmlns:a14="http://schemas.microsoft.com/office/drawing/2010/main" val="0"/>
                    </a:ext>
                  </a:extLst>
                </a:blip>
                <a:srcRect/>
                <a:stretch>
                  <a:fillRect/>
                </a:stretch>
              </xdr:blipFill>
              <xdr:spPr bwMode="auto">
                <a:xfrm>
                  <a:off x="8461655" y="433462"/>
                  <a:ext cx="214188" cy="20819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TextBox 17">
                  <a:hlinkClick xmlns:r="http://schemas.openxmlformats.org/officeDocument/2006/relationships" r:id="rId6"/>
                  <a:extLst>
                    <a:ext uri="{FF2B5EF4-FFF2-40B4-BE49-F238E27FC236}">
                      <a16:creationId xmlns:a16="http://schemas.microsoft.com/office/drawing/2014/main" id="{E915933D-51A2-9A32-BADE-F8DE80DF1520}"/>
                    </a:ext>
                  </a:extLst>
                </xdr:cNvPr>
                <xdr:cNvSpPr txBox="1"/>
              </xdr:nvSpPr>
              <xdr:spPr>
                <a:xfrm>
                  <a:off x="8647283" y="413913"/>
                  <a:ext cx="56836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REPORTS</a:t>
                  </a:r>
                </a:p>
              </xdr:txBody>
            </xdr:sp>
            <xdr:pic>
              <xdr:nvPicPr>
                <xdr:cNvPr id="19" name="Picture 18">
                  <a:hlinkClick xmlns:r="http://schemas.openxmlformats.org/officeDocument/2006/relationships" r:id="rId8"/>
                  <a:extLst>
                    <a:ext uri="{FF2B5EF4-FFF2-40B4-BE49-F238E27FC236}">
                      <a16:creationId xmlns:a16="http://schemas.microsoft.com/office/drawing/2014/main" id="{060E81D5-BC2E-785D-4C76-4B3662B4AE8F}"/>
                    </a:ext>
                  </a:extLst>
                </xdr:cNvPr>
                <xdr:cNvPicPr>
                  <a:picLocks noChangeAspect="1"/>
                </xdr:cNvPicPr>
              </xdr:nvPicPr>
              <xdr:blipFill>
                <a:blip xmlns:r="http://schemas.openxmlformats.org/officeDocument/2006/relationships" r:embed="rId9" cstate="print">
                  <a:alphaModFix/>
                  <a:extLst>
                    <a:ext uri="{28A0092B-C50C-407E-A947-70E740481C1C}">
                      <a14:useLocalDpi xmlns:a14="http://schemas.microsoft.com/office/drawing/2010/main" val="0"/>
                    </a:ext>
                  </a:extLst>
                </a:blip>
                <a:stretch>
                  <a:fillRect/>
                </a:stretch>
              </xdr:blipFill>
              <xdr:spPr>
                <a:xfrm>
                  <a:off x="6903860" y="19549"/>
                  <a:ext cx="214187" cy="248554"/>
                </a:xfrm>
                <a:prstGeom prst="rect">
                  <a:avLst/>
                </a:prstGeom>
              </xdr:spPr>
            </xdr:pic>
            <xdr:sp macro="" textlink="">
              <xdr:nvSpPr>
                <xdr:cNvPr id="20" name="TextBox 19">
                  <a:hlinkClick xmlns:r="http://schemas.openxmlformats.org/officeDocument/2006/relationships" r:id="rId8"/>
                  <a:extLst>
                    <a:ext uri="{FF2B5EF4-FFF2-40B4-BE49-F238E27FC236}">
                      <a16:creationId xmlns:a16="http://schemas.microsoft.com/office/drawing/2014/main" id="{C99A15BE-1B7B-D5ED-C3D0-4A14051A1A66}"/>
                    </a:ext>
                  </a:extLst>
                </xdr:cNvPr>
                <xdr:cNvSpPr txBox="1"/>
              </xdr:nvSpPr>
              <xdr:spPr>
                <a:xfrm>
                  <a:off x="7099062" y="0"/>
                  <a:ext cx="67589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MORTGAGE</a:t>
                  </a:r>
                </a:p>
              </xdr:txBody>
            </xdr:sp>
            <xdr:sp macro="" textlink="">
              <xdr:nvSpPr>
                <xdr:cNvPr id="21" name="TextBox 20">
                  <a:hlinkClick xmlns:r="http://schemas.openxmlformats.org/officeDocument/2006/relationships" r:id="rId10"/>
                  <a:extLst>
                    <a:ext uri="{FF2B5EF4-FFF2-40B4-BE49-F238E27FC236}">
                      <a16:creationId xmlns:a16="http://schemas.microsoft.com/office/drawing/2014/main" id="{10325851-D4F1-5D04-9CF5-05BBE57B2E7A}"/>
                    </a:ext>
                  </a:extLst>
                </xdr:cNvPr>
                <xdr:cNvSpPr txBox="1"/>
              </xdr:nvSpPr>
              <xdr:spPr>
                <a:xfrm>
                  <a:off x="6375474" y="0"/>
                  <a:ext cx="381400"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DEBT</a:t>
                  </a:r>
                </a:p>
              </xdr:txBody>
            </xdr:sp>
            <xdr:pic>
              <xdr:nvPicPr>
                <xdr:cNvPr id="22" name="Picture 21">
                  <a:hlinkClick xmlns:r="http://schemas.openxmlformats.org/officeDocument/2006/relationships" r:id="rId10"/>
                  <a:extLst>
                    <a:ext uri="{FF2B5EF4-FFF2-40B4-BE49-F238E27FC236}">
                      <a16:creationId xmlns:a16="http://schemas.microsoft.com/office/drawing/2014/main" id="{694C0CB4-8158-7559-EA80-8FF5CC913DC4}"/>
                    </a:ext>
                  </a:extLst>
                </xdr:cNvPr>
                <xdr:cNvPicPr>
                  <a:picLocks noChangeAspect="1"/>
                </xdr:cNvPicPr>
              </xdr:nvPicPr>
              <xdr:blipFill>
                <a:blip xmlns:r="http://schemas.openxmlformats.org/officeDocument/2006/relationships" r:embed="rId11" cstate="print">
                  <a:alphaModFix/>
                  <a:extLst>
                    <a:ext uri="{28A0092B-C50C-407E-A947-70E740481C1C}">
                      <a14:useLocalDpi xmlns:a14="http://schemas.microsoft.com/office/drawing/2010/main" val="0"/>
                    </a:ext>
                  </a:extLst>
                </a:blip>
                <a:stretch>
                  <a:fillRect/>
                </a:stretch>
              </xdr:blipFill>
              <xdr:spPr>
                <a:xfrm>
                  <a:off x="6158378" y="19549"/>
                  <a:ext cx="214188" cy="248554"/>
                </a:xfrm>
                <a:prstGeom prst="rect">
                  <a:avLst/>
                </a:prstGeom>
              </xdr:spPr>
            </xdr:pic>
            <xdr:sp macro="" textlink="">
              <xdr:nvSpPr>
                <xdr:cNvPr id="23" name="TextBox 22">
                  <a:hlinkClick xmlns:r="http://schemas.openxmlformats.org/officeDocument/2006/relationships" r:id="rId12"/>
                  <a:extLst>
                    <a:ext uri="{FF2B5EF4-FFF2-40B4-BE49-F238E27FC236}">
                      <a16:creationId xmlns:a16="http://schemas.microsoft.com/office/drawing/2014/main" id="{B5DA2F5F-1E3A-95F9-26C6-02CB39947404}"/>
                    </a:ext>
                  </a:extLst>
                </xdr:cNvPr>
                <xdr:cNvSpPr txBox="1"/>
              </xdr:nvSpPr>
              <xdr:spPr>
                <a:xfrm>
                  <a:off x="5370816" y="37659"/>
                  <a:ext cx="64057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FORECASTS</a:t>
                  </a:r>
                </a:p>
              </xdr:txBody>
            </xdr:sp>
            <xdr:sp macro="" textlink="">
              <xdr:nvSpPr>
                <xdr:cNvPr id="24" name="TextBox 23">
                  <a:hlinkClick xmlns:r="http://schemas.openxmlformats.org/officeDocument/2006/relationships" r:id="rId13"/>
                  <a:extLst>
                    <a:ext uri="{FF2B5EF4-FFF2-40B4-BE49-F238E27FC236}">
                      <a16:creationId xmlns:a16="http://schemas.microsoft.com/office/drawing/2014/main" id="{4E1D369B-594A-7844-3F22-06D714161D0B}"/>
                    </a:ext>
                  </a:extLst>
                </xdr:cNvPr>
                <xdr:cNvSpPr txBox="1"/>
              </xdr:nvSpPr>
              <xdr:spPr>
                <a:xfrm>
                  <a:off x="8104032" y="0"/>
                  <a:ext cx="7732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a:t>
                  </a:r>
                  <a:r>
                    <a:rPr lang="en-US" sz="900" b="1" baseline="0">
                      <a:solidFill>
                        <a:schemeClr val="bg1"/>
                      </a:solidFill>
                    </a:rPr>
                    <a:t> (M)</a:t>
                  </a:r>
                  <a:endParaRPr lang="en-US" sz="900" b="1">
                    <a:solidFill>
                      <a:schemeClr val="bg1"/>
                    </a:solidFill>
                  </a:endParaRPr>
                </a:p>
              </xdr:txBody>
            </xdr:sp>
            <xdr:pic>
              <xdr:nvPicPr>
                <xdr:cNvPr id="25" name="Picture 24">
                  <a:hlinkClick xmlns:r="http://schemas.openxmlformats.org/officeDocument/2006/relationships" r:id="rId13"/>
                  <a:extLst>
                    <a:ext uri="{FF2B5EF4-FFF2-40B4-BE49-F238E27FC236}">
                      <a16:creationId xmlns:a16="http://schemas.microsoft.com/office/drawing/2014/main" id="{5A21824E-65B5-C5E0-9965-250A516A29EE}"/>
                    </a:ext>
                  </a:extLst>
                </xdr:cNvPr>
                <xdr:cNvPicPr>
                  <a:picLocks noChangeAspect="1"/>
                </xdr:cNvPicPr>
              </xdr:nvPicPr>
              <xdr:blipFill>
                <a:blip xmlns:r="http://schemas.openxmlformats.org/officeDocument/2006/relationships" r:embed="rId14" cstate="print">
                  <a:alphaModFix/>
                  <a:extLst>
                    <a:ext uri="{28A0092B-C50C-407E-A947-70E740481C1C}">
                      <a14:useLocalDpi xmlns:a14="http://schemas.microsoft.com/office/drawing/2010/main" val="0"/>
                    </a:ext>
                  </a:extLst>
                </a:blip>
                <a:stretch>
                  <a:fillRect/>
                </a:stretch>
              </xdr:blipFill>
              <xdr:spPr>
                <a:xfrm>
                  <a:off x="7921943" y="19549"/>
                  <a:ext cx="214188" cy="248554"/>
                </a:xfrm>
                <a:prstGeom prst="rect">
                  <a:avLst/>
                </a:prstGeom>
              </xdr:spPr>
            </xdr:pic>
            <xdr:sp macro="" textlink="">
              <xdr:nvSpPr>
                <xdr:cNvPr id="26" name="TextBox 25">
                  <a:hlinkClick xmlns:r="http://schemas.openxmlformats.org/officeDocument/2006/relationships" r:id="rId15"/>
                  <a:extLst>
                    <a:ext uri="{FF2B5EF4-FFF2-40B4-BE49-F238E27FC236}">
                      <a16:creationId xmlns:a16="http://schemas.microsoft.com/office/drawing/2014/main" id="{B3E718A0-786A-DDFF-EF21-7F594640663B}"/>
                    </a:ext>
                  </a:extLst>
                </xdr:cNvPr>
                <xdr:cNvSpPr txBox="1"/>
              </xdr:nvSpPr>
              <xdr:spPr>
                <a:xfrm>
                  <a:off x="9978309" y="0"/>
                  <a:ext cx="687187"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 (Y)</a:t>
                  </a:r>
                </a:p>
              </xdr:txBody>
            </xdr:sp>
            <xdr:pic>
              <xdr:nvPicPr>
                <xdr:cNvPr id="27" name="Picture 26">
                  <a:hlinkClick xmlns:r="http://schemas.openxmlformats.org/officeDocument/2006/relationships" r:id="rId15"/>
                  <a:extLst>
                    <a:ext uri="{FF2B5EF4-FFF2-40B4-BE49-F238E27FC236}">
                      <a16:creationId xmlns:a16="http://schemas.microsoft.com/office/drawing/2014/main" id="{E17800EF-CCE7-E67A-5298-5CDBB091BF5F}"/>
                    </a:ext>
                  </a:extLst>
                </xdr:cNvPr>
                <xdr:cNvPicPr>
                  <a:picLocks noChangeAspect="1"/>
                </xdr:cNvPicPr>
              </xdr:nvPicPr>
              <xdr:blipFill>
                <a:blip xmlns:r="http://schemas.openxmlformats.org/officeDocument/2006/relationships" r:embed="rId16" cstate="print">
                  <a:alphaModFix/>
                  <a:extLst>
                    <a:ext uri="{28A0092B-C50C-407E-A947-70E740481C1C}">
                      <a14:useLocalDpi xmlns:a14="http://schemas.microsoft.com/office/drawing/2010/main" val="0"/>
                    </a:ext>
                  </a:extLst>
                </a:blip>
                <a:stretch>
                  <a:fillRect/>
                </a:stretch>
              </xdr:blipFill>
              <xdr:spPr>
                <a:xfrm>
                  <a:off x="9777770" y="19549"/>
                  <a:ext cx="214188" cy="248554"/>
                </a:xfrm>
                <a:prstGeom prst="rect">
                  <a:avLst/>
                </a:prstGeom>
              </xdr:spPr>
            </xdr:pic>
            <xdr:sp macro="" textlink="">
              <xdr:nvSpPr>
                <xdr:cNvPr id="28" name="TextBox 27">
                  <a:hlinkClick xmlns:r="http://schemas.openxmlformats.org/officeDocument/2006/relationships" r:id="rId17"/>
                  <a:extLst>
                    <a:ext uri="{FF2B5EF4-FFF2-40B4-BE49-F238E27FC236}">
                      <a16:creationId xmlns:a16="http://schemas.microsoft.com/office/drawing/2014/main" id="{29DA907F-F8EE-9FCB-3406-1BC29F1CC3EE}"/>
                    </a:ext>
                  </a:extLst>
                </xdr:cNvPr>
                <xdr:cNvSpPr txBox="1"/>
              </xdr:nvSpPr>
              <xdr:spPr>
                <a:xfrm>
                  <a:off x="9133984" y="0"/>
                  <a:ext cx="49680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VERSUS</a:t>
                  </a:r>
                </a:p>
              </xdr:txBody>
            </xdr:sp>
            <xdr:pic>
              <xdr:nvPicPr>
                <xdr:cNvPr id="29" name="Picture 28">
                  <a:hlinkClick xmlns:r="http://schemas.openxmlformats.org/officeDocument/2006/relationships" r:id="rId17"/>
                  <a:extLst>
                    <a:ext uri="{FF2B5EF4-FFF2-40B4-BE49-F238E27FC236}">
                      <a16:creationId xmlns:a16="http://schemas.microsoft.com/office/drawing/2014/main" id="{D5754DA9-F07D-F52E-BEFC-6C259A7A3D70}"/>
                    </a:ext>
                  </a:extLst>
                </xdr:cNvPr>
                <xdr:cNvPicPr>
                  <a:picLocks noChangeAspect="1"/>
                </xdr:cNvPicPr>
              </xdr:nvPicPr>
              <xdr:blipFill>
                <a:blip xmlns:r="http://schemas.openxmlformats.org/officeDocument/2006/relationships" r:embed="rId18" cstate="print">
                  <a:alphaModFix/>
                  <a:extLst>
                    <a:ext uri="{28A0092B-C50C-407E-A947-70E740481C1C}">
                      <a14:useLocalDpi xmlns:a14="http://schemas.microsoft.com/office/drawing/2010/main" val="0"/>
                    </a:ext>
                  </a:extLst>
                </a:blip>
                <a:stretch>
                  <a:fillRect/>
                </a:stretch>
              </xdr:blipFill>
              <xdr:spPr>
                <a:xfrm>
                  <a:off x="8938203" y="19549"/>
                  <a:ext cx="214187" cy="248554"/>
                </a:xfrm>
                <a:prstGeom prst="rect">
                  <a:avLst/>
                </a:prstGeom>
              </xdr:spPr>
            </xdr:pic>
            <xdr:sp macro="" textlink="">
              <xdr:nvSpPr>
                <xdr:cNvPr id="30" name="TextBox 29">
                  <a:hlinkClick xmlns:r="http://schemas.openxmlformats.org/officeDocument/2006/relationships" r:id="rId19"/>
                  <a:extLst>
                    <a:ext uri="{FF2B5EF4-FFF2-40B4-BE49-F238E27FC236}">
                      <a16:creationId xmlns:a16="http://schemas.microsoft.com/office/drawing/2014/main" id="{4E913D87-D742-233C-738F-79AA3AC32487}"/>
                    </a:ext>
                  </a:extLst>
                </xdr:cNvPr>
                <xdr:cNvSpPr txBox="1"/>
              </xdr:nvSpPr>
              <xdr:spPr>
                <a:xfrm>
                  <a:off x="3510385" y="0"/>
                  <a:ext cx="52312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REPAIRS</a:t>
                  </a:r>
                </a:p>
              </xdr:txBody>
            </xdr:sp>
            <xdr:pic>
              <xdr:nvPicPr>
                <xdr:cNvPr id="31" name="Picture 30">
                  <a:hlinkClick xmlns:r="http://schemas.openxmlformats.org/officeDocument/2006/relationships" r:id="rId19"/>
                  <a:extLst>
                    <a:ext uri="{FF2B5EF4-FFF2-40B4-BE49-F238E27FC236}">
                      <a16:creationId xmlns:a16="http://schemas.microsoft.com/office/drawing/2014/main" id="{FB005ADA-D20E-F3F5-DC71-8605111E0428}"/>
                    </a:ext>
                  </a:extLst>
                </xdr:cNvPr>
                <xdr:cNvPicPr>
                  <a:picLocks noChangeAspect="1"/>
                </xdr:cNvPicPr>
              </xdr:nvPicPr>
              <xdr:blipFill>
                <a:blip xmlns:r="http://schemas.openxmlformats.org/officeDocument/2006/relationships" r:embed="rId20" cstate="print">
                  <a:alphaModFix/>
                  <a:extLst>
                    <a:ext uri="{28A0092B-C50C-407E-A947-70E740481C1C}">
                      <a14:useLocalDpi xmlns:a14="http://schemas.microsoft.com/office/drawing/2010/main" val="0"/>
                    </a:ext>
                  </a:extLst>
                </a:blip>
                <a:stretch>
                  <a:fillRect/>
                </a:stretch>
              </xdr:blipFill>
              <xdr:spPr>
                <a:xfrm>
                  <a:off x="3296296" y="28376"/>
                  <a:ext cx="214435" cy="230900"/>
                </a:xfrm>
                <a:prstGeom prst="rect">
                  <a:avLst/>
                </a:prstGeom>
              </xdr:spPr>
            </xdr:pic>
            <xdr:sp macro="" textlink="">
              <xdr:nvSpPr>
                <xdr:cNvPr id="32" name="TextBox 31">
                  <a:hlinkClick xmlns:r="http://schemas.openxmlformats.org/officeDocument/2006/relationships" r:id="rId21"/>
                  <a:extLst>
                    <a:ext uri="{FF2B5EF4-FFF2-40B4-BE49-F238E27FC236}">
                      <a16:creationId xmlns:a16="http://schemas.microsoft.com/office/drawing/2014/main" id="{BB458DC9-BCD3-DC6C-CECE-F58794792A42}"/>
                    </a:ext>
                  </a:extLst>
                </xdr:cNvPr>
                <xdr:cNvSpPr txBox="1"/>
              </xdr:nvSpPr>
              <xdr:spPr>
                <a:xfrm>
                  <a:off x="4388587" y="0"/>
                  <a:ext cx="63170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FURNITURE</a:t>
                  </a:r>
                </a:p>
              </xdr:txBody>
            </xdr:sp>
            <xdr:pic>
              <xdr:nvPicPr>
                <xdr:cNvPr id="33" name="Picture 32">
                  <a:hlinkClick xmlns:r="http://schemas.openxmlformats.org/officeDocument/2006/relationships" r:id="rId21"/>
                  <a:extLst>
                    <a:ext uri="{FF2B5EF4-FFF2-40B4-BE49-F238E27FC236}">
                      <a16:creationId xmlns:a16="http://schemas.microsoft.com/office/drawing/2014/main" id="{C794F446-0D8B-DF59-ED43-475CA8D40A14}"/>
                    </a:ext>
                  </a:extLst>
                </xdr:cNvPr>
                <xdr:cNvPicPr>
                  <a:picLocks noChangeAspect="1"/>
                </xdr:cNvPicPr>
              </xdr:nvPicPr>
              <xdr:blipFill>
                <a:blip xmlns:r="http://schemas.openxmlformats.org/officeDocument/2006/relationships" r:embed="rId22" cstate="print">
                  <a:alphaModFix/>
                  <a:extLst>
                    <a:ext uri="{28A0092B-C50C-407E-A947-70E740481C1C}">
                      <a14:useLocalDpi xmlns:a14="http://schemas.microsoft.com/office/drawing/2010/main" val="0"/>
                    </a:ext>
                  </a:extLst>
                </a:blip>
                <a:stretch>
                  <a:fillRect/>
                </a:stretch>
              </xdr:blipFill>
              <xdr:spPr>
                <a:xfrm>
                  <a:off x="4180491" y="28376"/>
                  <a:ext cx="214435" cy="230900"/>
                </a:xfrm>
                <a:prstGeom prst="rect">
                  <a:avLst/>
                </a:prstGeom>
              </xdr:spPr>
            </xdr:pic>
            <xdr:pic>
              <xdr:nvPicPr>
                <xdr:cNvPr id="34" name="Picture 33">
                  <a:hlinkClick xmlns:r="http://schemas.openxmlformats.org/officeDocument/2006/relationships" r:id="rId23"/>
                  <a:extLst>
                    <a:ext uri="{FF2B5EF4-FFF2-40B4-BE49-F238E27FC236}">
                      <a16:creationId xmlns:a16="http://schemas.microsoft.com/office/drawing/2014/main" id="{D67D3C25-2FA0-D2DB-3A8E-4047CED0F83A}"/>
                    </a:ext>
                  </a:extLst>
                </xdr:cNvPr>
                <xdr:cNvPicPr>
                  <a:picLocks noChangeAspect="1"/>
                </xdr:cNvPicPr>
              </xdr:nvPicPr>
              <xdr:blipFill>
                <a:blip xmlns:r="http://schemas.openxmlformats.org/officeDocument/2006/relationships" r:embed="rId24" cstate="print">
                  <a:alphaModFix/>
                  <a:extLst>
                    <a:ext uri="{28A0092B-C50C-407E-A947-70E740481C1C}">
                      <a14:useLocalDpi xmlns:a14="http://schemas.microsoft.com/office/drawing/2010/main" val="0"/>
                    </a:ext>
                  </a:extLst>
                </a:blip>
                <a:stretch>
                  <a:fillRect/>
                </a:stretch>
              </xdr:blipFill>
              <xdr:spPr>
                <a:xfrm>
                  <a:off x="10812480" y="19549"/>
                  <a:ext cx="214188" cy="248554"/>
                </a:xfrm>
                <a:prstGeom prst="rect">
                  <a:avLst/>
                </a:prstGeom>
              </xdr:spPr>
            </xdr:pic>
            <xdr:sp macro="" textlink="">
              <xdr:nvSpPr>
                <xdr:cNvPr id="35" name="TextBox 34">
                  <a:hlinkClick xmlns:r="http://schemas.openxmlformats.org/officeDocument/2006/relationships" r:id="rId23"/>
                  <a:extLst>
                    <a:ext uri="{FF2B5EF4-FFF2-40B4-BE49-F238E27FC236}">
                      <a16:creationId xmlns:a16="http://schemas.microsoft.com/office/drawing/2014/main" id="{F8A6B575-4B06-E204-F934-B5E0A023911E}"/>
                    </a:ext>
                  </a:extLst>
                </xdr:cNvPr>
                <xdr:cNvSpPr txBox="1"/>
              </xdr:nvSpPr>
              <xdr:spPr>
                <a:xfrm>
                  <a:off x="11008843" y="0"/>
                  <a:ext cx="40705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PEERS</a:t>
                  </a:r>
                </a:p>
              </xdr:txBody>
            </xdr:sp>
            <xdr:sp macro="" textlink="">
              <xdr:nvSpPr>
                <xdr:cNvPr id="36" name="TextBox 35">
                  <a:hlinkClick xmlns:r="http://schemas.openxmlformats.org/officeDocument/2006/relationships" r:id="rId25"/>
                  <a:extLst>
                    <a:ext uri="{FF2B5EF4-FFF2-40B4-BE49-F238E27FC236}">
                      <a16:creationId xmlns:a16="http://schemas.microsoft.com/office/drawing/2014/main" id="{B1C4F8F5-52F2-A0A3-AAE7-E1B2EACA676A}"/>
                    </a:ext>
                  </a:extLst>
                </xdr:cNvPr>
                <xdr:cNvSpPr txBox="1"/>
              </xdr:nvSpPr>
              <xdr:spPr>
                <a:xfrm>
                  <a:off x="9581756" y="397481"/>
                  <a:ext cx="656781"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MAX PRICE</a:t>
                  </a:r>
                </a:p>
              </xdr:txBody>
            </xdr:sp>
            <xdr:pic>
              <xdr:nvPicPr>
                <xdr:cNvPr id="37" name="Picture 36">
                  <a:hlinkClick xmlns:r="http://schemas.openxmlformats.org/officeDocument/2006/relationships" r:id="rId25"/>
                  <a:extLst>
                    <a:ext uri="{FF2B5EF4-FFF2-40B4-BE49-F238E27FC236}">
                      <a16:creationId xmlns:a16="http://schemas.microsoft.com/office/drawing/2014/main" id="{E8B40C2E-4291-2B66-6228-39142364A191}"/>
                    </a:ext>
                  </a:extLst>
                </xdr:cNvPr>
                <xdr:cNvPicPr>
                  <a:picLocks noChangeAspect="1"/>
                </xdr:cNvPicPr>
              </xdr:nvPicPr>
              <xdr:blipFill>
                <a:blip xmlns:r="http://schemas.openxmlformats.org/officeDocument/2006/relationships" r:embed="rId26" cstate="print">
                  <a:alphaModFix/>
                  <a:extLst>
                    <a:ext uri="{28A0092B-C50C-407E-A947-70E740481C1C}">
                      <a14:useLocalDpi xmlns:a14="http://schemas.microsoft.com/office/drawing/2010/main" val="0"/>
                    </a:ext>
                  </a:extLst>
                </a:blip>
                <a:stretch>
                  <a:fillRect/>
                </a:stretch>
              </xdr:blipFill>
              <xdr:spPr>
                <a:xfrm>
                  <a:off x="9433997" y="425857"/>
                  <a:ext cx="214435" cy="230900"/>
                </a:xfrm>
                <a:prstGeom prst="rect">
                  <a:avLst/>
                </a:prstGeom>
              </xdr:spPr>
            </xdr:pic>
            <xdr:sp macro="" textlink="">
              <xdr:nvSpPr>
                <xdr:cNvPr id="38" name="TextBox 37">
                  <a:hlinkClick xmlns:r="http://schemas.openxmlformats.org/officeDocument/2006/relationships" r:id="rId27"/>
                  <a:extLst>
                    <a:ext uri="{FF2B5EF4-FFF2-40B4-BE49-F238E27FC236}">
                      <a16:creationId xmlns:a16="http://schemas.microsoft.com/office/drawing/2014/main" id="{94A71117-80EA-1D70-4952-727EC88D758A}"/>
                    </a:ext>
                  </a:extLst>
                </xdr:cNvPr>
                <xdr:cNvSpPr txBox="1"/>
              </xdr:nvSpPr>
              <xdr:spPr>
                <a:xfrm>
                  <a:off x="7733272" y="389861"/>
                  <a:ext cx="6384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SCENARIOS</a:t>
                  </a:r>
                </a:p>
              </xdr:txBody>
            </xdr:sp>
            <xdr:pic>
              <xdr:nvPicPr>
                <xdr:cNvPr id="39" name="Picture 38">
                  <a:hlinkClick xmlns:r="http://schemas.openxmlformats.org/officeDocument/2006/relationships" r:id="rId27"/>
                  <a:extLst>
                    <a:ext uri="{FF2B5EF4-FFF2-40B4-BE49-F238E27FC236}">
                      <a16:creationId xmlns:a16="http://schemas.microsoft.com/office/drawing/2014/main" id="{ECEC4151-4C11-4DC8-5ACF-28D34B0F6453}"/>
                    </a:ext>
                  </a:extLst>
                </xdr:cNvPr>
                <xdr:cNvPicPr>
                  <a:picLocks noChangeAspect="1"/>
                </xdr:cNvPicPr>
              </xdr:nvPicPr>
              <xdr:blipFill>
                <a:blip xmlns:r="http://schemas.openxmlformats.org/officeDocument/2006/relationships" r:embed="rId28" cstate="print">
                  <a:alphaModFix/>
                  <a:extLst>
                    <a:ext uri="{28A0092B-C50C-407E-A947-70E740481C1C}">
                      <a14:useLocalDpi xmlns:a14="http://schemas.microsoft.com/office/drawing/2010/main" val="0"/>
                    </a:ext>
                  </a:extLst>
                </a:blip>
                <a:stretch>
                  <a:fillRect/>
                </a:stretch>
              </xdr:blipFill>
              <xdr:spPr>
                <a:xfrm>
                  <a:off x="7536090" y="418237"/>
                  <a:ext cx="214435" cy="230900"/>
                </a:xfrm>
                <a:prstGeom prst="rect">
                  <a:avLst/>
                </a:prstGeom>
              </xdr:spPr>
            </xdr:pic>
            <xdr:sp macro="" textlink="">
              <xdr:nvSpPr>
                <xdr:cNvPr id="40" name="TextBox 39">
                  <a:hlinkClick xmlns:r="http://schemas.openxmlformats.org/officeDocument/2006/relationships" r:id="rId29"/>
                  <a:extLst>
                    <a:ext uri="{FF2B5EF4-FFF2-40B4-BE49-F238E27FC236}">
                      <a16:creationId xmlns:a16="http://schemas.microsoft.com/office/drawing/2014/main" id="{3BADF2E9-EDC6-3D6C-66D1-12B29CB69258}"/>
                    </a:ext>
                  </a:extLst>
                </xdr:cNvPr>
                <xdr:cNvSpPr txBox="1"/>
              </xdr:nvSpPr>
              <xdr:spPr>
                <a:xfrm>
                  <a:off x="11757467" y="49286"/>
                  <a:ext cx="110218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MARKET RESEARCH</a:t>
                  </a:r>
                </a:p>
              </xdr:txBody>
            </xdr:sp>
            <xdr:pic>
              <xdr:nvPicPr>
                <xdr:cNvPr id="41" name="Picture 40" descr="A white and brown hourglass&#10;&#10;AI-generated content may be incorrect.">
                  <a:hlinkClick xmlns:r="http://schemas.openxmlformats.org/officeDocument/2006/relationships" r:id="rId29"/>
                  <a:extLst>
                    <a:ext uri="{FF2B5EF4-FFF2-40B4-BE49-F238E27FC236}">
                      <a16:creationId xmlns:a16="http://schemas.microsoft.com/office/drawing/2014/main" id="{5F94BAFD-18D3-C6EF-3401-2678A671B9B8}"/>
                    </a:ext>
                  </a:extLst>
                </xdr:cNvPr>
                <xdr:cNvPicPr>
                  <a:picLocks noChangeAspect="1"/>
                </xdr:cNvPicPr>
              </xdr:nvPicPr>
              <xdr:blipFill>
                <a:blip xmlns:r="http://schemas.openxmlformats.org/officeDocument/2006/relationships" r:embed="rId30" cstate="print">
                  <a:alphaModFix/>
                  <a:extLst>
                    <a:ext uri="{28A0092B-C50C-407E-A947-70E740481C1C}">
                      <a14:useLocalDpi xmlns:a14="http://schemas.microsoft.com/office/drawing/2010/main" val="0"/>
                    </a:ext>
                  </a:extLst>
                </a:blip>
                <a:stretch>
                  <a:fillRect/>
                </a:stretch>
              </xdr:blipFill>
              <xdr:spPr>
                <a:xfrm>
                  <a:off x="11563464" y="33893"/>
                  <a:ext cx="235575" cy="261687"/>
                </a:xfrm>
                <a:prstGeom prst="rect">
                  <a:avLst/>
                </a:prstGeom>
              </xdr:spPr>
            </xdr:pic>
            <xdr:pic>
              <xdr:nvPicPr>
                <xdr:cNvPr id="42" name="Picture 41">
                  <a:hlinkClick xmlns:r="http://schemas.openxmlformats.org/officeDocument/2006/relationships" r:id="rId31"/>
                  <a:extLst>
                    <a:ext uri="{FF2B5EF4-FFF2-40B4-BE49-F238E27FC236}">
                      <a16:creationId xmlns:a16="http://schemas.microsoft.com/office/drawing/2014/main" id="{42F17BC4-9C38-7A6A-EFCD-D9DF20B782D9}"/>
                    </a:ext>
                  </a:extLst>
                </xdr:cNvPr>
                <xdr:cNvPicPr>
                  <a:picLocks noChangeAspect="1" noChangeArrowheads="1"/>
                </xdr:cNvPicPr>
              </xdr:nvPicPr>
              <xdr:blipFill>
                <a:blip xmlns:r="http://schemas.openxmlformats.org/officeDocument/2006/relationships" r:embed="rId3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33032" y="384834"/>
                  <a:ext cx="261600" cy="33288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TextBox 42">
                  <a:hlinkClick xmlns:r="http://schemas.openxmlformats.org/officeDocument/2006/relationships" r:id="rId31"/>
                  <a:extLst>
                    <a:ext uri="{FF2B5EF4-FFF2-40B4-BE49-F238E27FC236}">
                      <a16:creationId xmlns:a16="http://schemas.microsoft.com/office/drawing/2014/main" id="{541AF018-CCB2-CC7A-7C3B-8BEF8E35D2D0}"/>
                    </a:ext>
                  </a:extLst>
                </xdr:cNvPr>
                <xdr:cNvSpPr txBox="1"/>
              </xdr:nvSpPr>
              <xdr:spPr>
                <a:xfrm>
                  <a:off x="3637195" y="315564"/>
                  <a:ext cx="914586" cy="433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BALANCE SHEET</a:t>
                  </a:r>
                </a:p>
                <a:p>
                  <a:pPr algn="ctr"/>
                  <a:r>
                    <a:rPr lang="en-US" sz="900" b="1">
                      <a:solidFill>
                        <a:schemeClr val="bg1"/>
                      </a:solidFill>
                    </a:rPr>
                    <a:t>SUMMARY</a:t>
                  </a:r>
                </a:p>
              </xdr:txBody>
            </xdr:sp>
            <xdr:pic>
              <xdr:nvPicPr>
                <xdr:cNvPr id="44" name="Picture 43">
                  <a:hlinkClick xmlns:r="http://schemas.openxmlformats.org/officeDocument/2006/relationships" r:id="rId33"/>
                  <a:extLst>
                    <a:ext uri="{FF2B5EF4-FFF2-40B4-BE49-F238E27FC236}">
                      <a16:creationId xmlns:a16="http://schemas.microsoft.com/office/drawing/2014/main" id="{D6E079B7-A325-6557-9395-769BC5472A45}"/>
                    </a:ext>
                  </a:extLst>
                </xdr:cNvPr>
                <xdr:cNvPicPr>
                  <a:picLocks noChangeAspect="1" noChangeArrowheads="1"/>
                </xdr:cNvPicPr>
              </xdr:nvPicPr>
              <xdr:blipFill>
                <a:blip xmlns:r="http://schemas.openxmlformats.org/officeDocument/2006/relationships" r:embed="rId34" cstate="print">
                  <a:clrChange>
                    <a:clrFrom>
                      <a:srgbClr val="F8F8F8"/>
                    </a:clrFrom>
                    <a:clrTo>
                      <a:srgbClr val="F8F8F8">
                        <a:alpha val="0"/>
                      </a:srgbClr>
                    </a:clrTo>
                  </a:clrChange>
                  <a:extLst>
                    <a:ext uri="{28A0092B-C50C-407E-A947-70E740481C1C}">
                      <a14:useLocalDpi xmlns:a14="http://schemas.microsoft.com/office/drawing/2010/main" val="0"/>
                    </a:ext>
                  </a:extLst>
                </a:blip>
                <a:srcRect/>
                <a:stretch>
                  <a:fillRect/>
                </a:stretch>
              </xdr:blipFill>
              <xdr:spPr bwMode="auto">
                <a:xfrm>
                  <a:off x="4602713" y="384834"/>
                  <a:ext cx="326621" cy="3113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5" name="TextBox 44">
                  <a:hlinkClick xmlns:r="http://schemas.openxmlformats.org/officeDocument/2006/relationships" r:id="rId33"/>
                  <a:extLst>
                    <a:ext uri="{FF2B5EF4-FFF2-40B4-BE49-F238E27FC236}">
                      <a16:creationId xmlns:a16="http://schemas.microsoft.com/office/drawing/2014/main" id="{0F827D44-DB3E-F201-197A-C61404DB232A}"/>
                    </a:ext>
                  </a:extLst>
                </xdr:cNvPr>
                <xdr:cNvSpPr txBox="1"/>
              </xdr:nvSpPr>
              <xdr:spPr>
                <a:xfrm>
                  <a:off x="4880678" y="423317"/>
                  <a:ext cx="56334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ASSETS</a:t>
                  </a:r>
                </a:p>
              </xdr:txBody>
            </xdr:sp>
            <xdr:pic>
              <xdr:nvPicPr>
                <xdr:cNvPr id="46" name="Picture 45">
                  <a:hlinkClick xmlns:r="http://schemas.openxmlformats.org/officeDocument/2006/relationships" r:id="rId35"/>
                  <a:extLst>
                    <a:ext uri="{FF2B5EF4-FFF2-40B4-BE49-F238E27FC236}">
                      <a16:creationId xmlns:a16="http://schemas.microsoft.com/office/drawing/2014/main" id="{8F08B387-19ED-1819-87F5-A3E59BCF3A51}"/>
                    </a:ext>
                  </a:extLst>
                </xdr:cNvPr>
                <xdr:cNvPicPr>
                  <a:picLocks noChangeAspect="1" noChangeArrowheads="1"/>
                </xdr:cNvPicPr>
              </xdr:nvPicPr>
              <xdr:blipFill>
                <a:blip xmlns:r="http://schemas.openxmlformats.org/officeDocument/2006/relationships" r:embed="rId3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35903" y="354046"/>
                  <a:ext cx="278234" cy="3540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5" name="TextBox 94">
                  <a:hlinkClick xmlns:r="http://schemas.openxmlformats.org/officeDocument/2006/relationships" r:id="rId35"/>
                  <a:extLst>
                    <a:ext uri="{FF2B5EF4-FFF2-40B4-BE49-F238E27FC236}">
                      <a16:creationId xmlns:a16="http://schemas.microsoft.com/office/drawing/2014/main" id="{83FC9BBF-C074-735B-EE4F-AABEAFB40488}"/>
                    </a:ext>
                  </a:extLst>
                </xdr:cNvPr>
                <xdr:cNvSpPr txBox="1"/>
              </xdr:nvSpPr>
              <xdr:spPr>
                <a:xfrm>
                  <a:off x="5717678" y="431014"/>
                  <a:ext cx="750091"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LIABILITIES</a:t>
                  </a:r>
                </a:p>
              </xdr:txBody>
            </xdr:sp>
            <xdr:pic>
              <xdr:nvPicPr>
                <xdr:cNvPr id="96" name="Picture 95">
                  <a:hlinkClick xmlns:r="http://schemas.openxmlformats.org/officeDocument/2006/relationships" r:id="rId37"/>
                  <a:extLst>
                    <a:ext uri="{FF2B5EF4-FFF2-40B4-BE49-F238E27FC236}">
                      <a16:creationId xmlns:a16="http://schemas.microsoft.com/office/drawing/2014/main" id="{8685B16F-A3BB-F95B-7B7C-06B078134E5B}"/>
                    </a:ext>
                  </a:extLst>
                </xdr:cNvPr>
                <xdr:cNvPicPr>
                  <a:picLocks noChangeAspect="1"/>
                </xdr:cNvPicPr>
              </xdr:nvPicPr>
              <xdr:blipFill>
                <a:blip xmlns:r="http://schemas.openxmlformats.org/officeDocument/2006/relationships" r:embed="rId38">
                  <a:clrChange>
                    <a:clrFrom>
                      <a:srgbClr val="FFFFFF"/>
                    </a:clrFrom>
                    <a:clrTo>
                      <a:srgbClr val="FFFFFF">
                        <a:alpha val="0"/>
                      </a:srgbClr>
                    </a:clrTo>
                  </a:clrChange>
                </a:blip>
                <a:stretch>
                  <a:fillRect/>
                </a:stretch>
              </xdr:blipFill>
              <xdr:spPr>
                <a:xfrm>
                  <a:off x="6454424" y="361268"/>
                  <a:ext cx="368693" cy="354523"/>
                </a:xfrm>
                <a:prstGeom prst="rect">
                  <a:avLst/>
                </a:prstGeom>
              </xdr:spPr>
            </xdr:pic>
            <xdr:sp macro="" textlink="">
              <xdr:nvSpPr>
                <xdr:cNvPr id="97" name="TextBox 96">
                  <a:hlinkClick xmlns:r="http://schemas.openxmlformats.org/officeDocument/2006/relationships" r:id="rId37"/>
                  <a:extLst>
                    <a:ext uri="{FF2B5EF4-FFF2-40B4-BE49-F238E27FC236}">
                      <a16:creationId xmlns:a16="http://schemas.microsoft.com/office/drawing/2014/main" id="{1C503A14-BED0-14C5-C729-FF92A857FB9E}"/>
                    </a:ext>
                  </a:extLst>
                </xdr:cNvPr>
                <xdr:cNvSpPr txBox="1"/>
              </xdr:nvSpPr>
              <xdr:spPr>
                <a:xfrm>
                  <a:off x="6742924" y="369440"/>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EDIT</a:t>
                  </a:r>
                </a:p>
                <a:p>
                  <a:r>
                    <a:rPr lang="en-US" sz="900" b="1">
                      <a:solidFill>
                        <a:schemeClr val="bg1"/>
                      </a:solidFill>
                    </a:rPr>
                    <a:t>CATEGORIES</a:t>
                  </a:r>
                </a:p>
              </xdr:txBody>
            </xdr:sp>
            <xdr:grpSp>
              <xdr:nvGrpSpPr>
                <xdr:cNvPr id="98" name="Group 97">
                  <a:hlinkClick xmlns:r="http://schemas.openxmlformats.org/officeDocument/2006/relationships" r:id="rId39"/>
                  <a:extLst>
                    <a:ext uri="{FF2B5EF4-FFF2-40B4-BE49-F238E27FC236}">
                      <a16:creationId xmlns:a16="http://schemas.microsoft.com/office/drawing/2014/main" id="{8CECB988-68A0-D7BA-3F47-44FF67B4E9AF}"/>
                    </a:ext>
                  </a:extLst>
                </xdr:cNvPr>
                <xdr:cNvGrpSpPr/>
              </xdr:nvGrpSpPr>
              <xdr:grpSpPr>
                <a:xfrm>
                  <a:off x="10231249" y="237461"/>
                  <a:ext cx="1281586" cy="502920"/>
                  <a:chOff x="11732389" y="237461"/>
                  <a:chExt cx="1281586" cy="502920"/>
                </a:xfrm>
              </xdr:grpSpPr>
              <xdr:pic>
                <xdr:nvPicPr>
                  <xdr:cNvPr id="99" name="Picture 98">
                    <a:hlinkClick xmlns:r="http://schemas.openxmlformats.org/officeDocument/2006/relationships" r:id="rId40"/>
                    <a:extLst>
                      <a:ext uri="{FF2B5EF4-FFF2-40B4-BE49-F238E27FC236}">
                        <a16:creationId xmlns:a16="http://schemas.microsoft.com/office/drawing/2014/main" id="{DB07E916-DF37-4082-6D2F-3D50960B1E1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1732389" y="237461"/>
                    <a:ext cx="502920" cy="502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0" name="TextBox 99">
                    <a:hlinkClick xmlns:r="http://schemas.openxmlformats.org/officeDocument/2006/relationships" r:id="rId40"/>
                    <a:extLst>
                      <a:ext uri="{FF2B5EF4-FFF2-40B4-BE49-F238E27FC236}">
                        <a16:creationId xmlns:a16="http://schemas.microsoft.com/office/drawing/2014/main" id="{654AB794-95B4-2041-9184-21A0A6CF1DCF}"/>
                      </a:ext>
                    </a:extLst>
                  </xdr:cNvPr>
                  <xdr:cNvSpPr txBox="1"/>
                </xdr:nvSpPr>
                <xdr:spPr>
                  <a:xfrm>
                    <a:off x="12197209" y="344142"/>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 GAME APPS</a:t>
                    </a:r>
                  </a:p>
                </xdr:txBody>
              </xdr:sp>
            </xdr:grpSp>
          </xdr:grpSp>
          <xdr:grpSp>
            <xdr:nvGrpSpPr>
              <xdr:cNvPr id="11" name="Group 10">
                <a:extLst>
                  <a:ext uri="{FF2B5EF4-FFF2-40B4-BE49-F238E27FC236}">
                    <a16:creationId xmlns:a16="http://schemas.microsoft.com/office/drawing/2014/main" id="{F7B16EEB-BF91-81F8-E1BD-ECF380A6AD73}"/>
                  </a:ext>
                </a:extLst>
              </xdr:cNvPr>
              <xdr:cNvGrpSpPr/>
            </xdr:nvGrpSpPr>
            <xdr:grpSpPr>
              <a:xfrm>
                <a:off x="3030070" y="313765"/>
                <a:ext cx="1219410" cy="438976"/>
                <a:chOff x="3030070" y="313765"/>
                <a:chExt cx="1219410" cy="438976"/>
              </a:xfrm>
            </xdr:grpSpPr>
            <xdr:sp macro="" textlink="">
              <xdr:nvSpPr>
                <xdr:cNvPr id="12" name="TextBox 11">
                  <a:hlinkClick xmlns:r="http://schemas.openxmlformats.org/officeDocument/2006/relationships" r:id="rId42"/>
                  <a:extLst>
                    <a:ext uri="{FF2B5EF4-FFF2-40B4-BE49-F238E27FC236}">
                      <a16:creationId xmlns:a16="http://schemas.microsoft.com/office/drawing/2014/main" id="{E14CCC92-6EEA-564E-4DCF-1BD876BCC698}"/>
                    </a:ext>
                  </a:extLst>
                </xdr:cNvPr>
                <xdr:cNvSpPr txBox="1"/>
              </xdr:nvSpPr>
              <xdr:spPr>
                <a:xfrm>
                  <a:off x="3307528" y="313765"/>
                  <a:ext cx="941952" cy="43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BOOK KEEPING</a:t>
                  </a:r>
                </a:p>
                <a:p>
                  <a:pPr algn="ctr"/>
                  <a:r>
                    <a:rPr lang="en-US" sz="900" b="1">
                      <a:solidFill>
                        <a:schemeClr val="bg1"/>
                      </a:solidFill>
                    </a:rPr>
                    <a:t>LEDGER</a:t>
                  </a:r>
                </a:p>
              </xdr:txBody>
            </xdr:sp>
            <xdr:pic>
              <xdr:nvPicPr>
                <xdr:cNvPr id="13" name="Picture 12">
                  <a:hlinkClick xmlns:r="http://schemas.openxmlformats.org/officeDocument/2006/relationships" r:id="rId42"/>
                  <a:extLst>
                    <a:ext uri="{FF2B5EF4-FFF2-40B4-BE49-F238E27FC236}">
                      <a16:creationId xmlns:a16="http://schemas.microsoft.com/office/drawing/2014/main" id="{72F12C88-860B-7945-A3CA-FE4877855392}"/>
                    </a:ext>
                  </a:extLst>
                </xdr:cNvPr>
                <xdr:cNvPicPr>
                  <a:picLocks noChangeAspect="1"/>
                </xdr:cNvPicPr>
              </xdr:nvPicPr>
              <xdr:blipFill>
                <a:blip xmlns:r="http://schemas.openxmlformats.org/officeDocument/2006/relationships" r:embed="rId4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0070" y="367554"/>
                  <a:ext cx="327770" cy="349622"/>
                </a:xfrm>
                <a:prstGeom prst="rect">
                  <a:avLst/>
                </a:prstGeom>
              </xdr:spPr>
            </xdr:pic>
          </xdr:grpSp>
        </xdr:grpSp>
        <xdr:grpSp>
          <xdr:nvGrpSpPr>
            <xdr:cNvPr id="7" name="Group 6">
              <a:extLst>
                <a:ext uri="{FF2B5EF4-FFF2-40B4-BE49-F238E27FC236}">
                  <a16:creationId xmlns:a16="http://schemas.microsoft.com/office/drawing/2014/main" id="{ADA935CC-A4B2-BA72-3E24-A2AD1681C9B4}"/>
                </a:ext>
              </a:extLst>
            </xdr:cNvPr>
            <xdr:cNvGrpSpPr/>
          </xdr:nvGrpSpPr>
          <xdr:grpSpPr>
            <a:xfrm>
              <a:off x="12626340" y="243840"/>
              <a:ext cx="1344125" cy="571500"/>
              <a:chOff x="12626340" y="243840"/>
              <a:chExt cx="1344125" cy="571500"/>
            </a:xfrm>
          </xdr:grpSpPr>
          <xdr:pic>
            <xdr:nvPicPr>
              <xdr:cNvPr id="8" name="Picture 7">
                <a:hlinkClick xmlns:r="http://schemas.openxmlformats.org/officeDocument/2006/relationships" r:id="rId44"/>
                <a:extLst>
                  <a:ext uri="{FF2B5EF4-FFF2-40B4-BE49-F238E27FC236}">
                    <a16:creationId xmlns:a16="http://schemas.microsoft.com/office/drawing/2014/main" id="{B20015A3-85AA-61AF-6DFB-FE09F6AF7DEE}"/>
                  </a:ext>
                </a:extLst>
              </xdr:cNvPr>
              <xdr:cNvPicPr>
                <a:picLocks noChangeAspect="1" noChangeArrowheads="1"/>
              </xdr:cNvPicPr>
            </xdr:nvPicPr>
            <xdr:blipFill>
              <a:blip xmlns:r="http://schemas.openxmlformats.org/officeDocument/2006/relationships" r:embed="rId4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26340" y="243840"/>
                <a:ext cx="571500" cy="571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 name="TextBox 8">
                <a:hlinkClick xmlns:r="http://schemas.openxmlformats.org/officeDocument/2006/relationships" r:id="rId44"/>
                <a:extLst>
                  <a:ext uri="{FF2B5EF4-FFF2-40B4-BE49-F238E27FC236}">
                    <a16:creationId xmlns:a16="http://schemas.microsoft.com/office/drawing/2014/main" id="{6E13D762-ACE6-B1D2-CC81-2E04C0EC91D6}"/>
                  </a:ext>
                </a:extLst>
              </xdr:cNvPr>
              <xdr:cNvSpPr txBox="1"/>
            </xdr:nvSpPr>
            <xdr:spPr>
              <a:xfrm>
                <a:off x="13129260" y="327660"/>
                <a:ext cx="841205" cy="4000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TRAVEL</a:t>
                </a:r>
              </a:p>
              <a:p>
                <a:pPr algn="ctr"/>
                <a:r>
                  <a:rPr lang="en-US" sz="900" b="1">
                    <a:solidFill>
                      <a:schemeClr val="bg1"/>
                    </a:solidFill>
                  </a:rPr>
                  <a:t>SANDBOX</a:t>
                </a:r>
              </a:p>
            </xdr:txBody>
          </xdr:sp>
        </xdr:grpSp>
      </xdr:grpSp>
      <xdr:pic>
        <xdr:nvPicPr>
          <xdr:cNvPr id="5" name="Picture 4">
            <a:hlinkClick xmlns:r="http://schemas.openxmlformats.org/officeDocument/2006/relationships" r:id="rId12"/>
            <a:extLst>
              <a:ext uri="{FF2B5EF4-FFF2-40B4-BE49-F238E27FC236}">
                <a16:creationId xmlns:a16="http://schemas.microsoft.com/office/drawing/2014/main" id="{01541FAA-897A-FA5A-917A-3B6DE5062C28}"/>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6134100" y="30480"/>
            <a:ext cx="234698" cy="246078"/>
          </a:xfrm>
          <a:prstGeom prst="rect">
            <a:avLst/>
          </a:prstGeom>
          <a:solidFill>
            <a:srgbClr val="7FA6C7"/>
          </a:solidFill>
        </xdr:spPr>
      </xdr:pic>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783232</xdr:colOff>
      <xdr:row>10</xdr:row>
      <xdr:rowOff>11430</xdr:rowOff>
    </xdr:from>
    <xdr:to>
      <xdr:col>7</xdr:col>
      <xdr:colOff>480631</xdr:colOff>
      <xdr:row>10</xdr:row>
      <xdr:rowOff>337163</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3F1E79C2-B473-4F03-86A9-0BFC1A090BAD}"/>
            </a:ext>
          </a:extLst>
        </xdr:cNvPr>
        <xdr:cNvSpPr/>
      </xdr:nvSpPr>
      <xdr:spPr>
        <a:xfrm>
          <a:off x="7953652" y="2952750"/>
          <a:ext cx="1488099" cy="325733"/>
        </a:xfrm>
        <a:prstGeom prst="roundRect">
          <a:avLst/>
        </a:prstGeom>
        <a:solidFill>
          <a:srgbClr val="A2BED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latin typeface="+mn-lt"/>
              <a:cs typeface="Arial" panose="020B0604020202020204" pitchFamily="34" charset="0"/>
            </a:rPr>
            <a:t>Check Update</a:t>
          </a:r>
        </a:p>
      </xdr:txBody>
    </xdr:sp>
    <xdr:clientData/>
  </xdr:twoCellAnchor>
  <xdr:twoCellAnchor editAs="oneCell">
    <xdr:from>
      <xdr:col>9</xdr:col>
      <xdr:colOff>396240</xdr:colOff>
      <xdr:row>10</xdr:row>
      <xdr:rowOff>22860</xdr:rowOff>
    </xdr:from>
    <xdr:to>
      <xdr:col>11</xdr:col>
      <xdr:colOff>324041</xdr:colOff>
      <xdr:row>10</xdr:row>
      <xdr:rowOff>350520</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B4508005-E10B-4C1C-8F5D-0BF5DCE1F40A}"/>
            </a:ext>
          </a:extLst>
        </xdr:cNvPr>
        <xdr:cNvSpPr/>
      </xdr:nvSpPr>
      <xdr:spPr>
        <a:xfrm>
          <a:off x="10706100" y="2964180"/>
          <a:ext cx="1497521" cy="327660"/>
        </a:xfrm>
        <a:prstGeom prst="roundRect">
          <a:avLst/>
        </a:prstGeom>
        <a:solidFill>
          <a:srgbClr val="A2BED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latin typeface="+mn-lt"/>
              <a:cs typeface="Arial" panose="020B0604020202020204" pitchFamily="34" charset="0"/>
            </a:rPr>
            <a:t>Book</a:t>
          </a:r>
          <a:r>
            <a:rPr lang="en-US" sz="1050" b="1" baseline="0">
              <a:solidFill>
                <a:schemeClr val="bg1"/>
              </a:solidFill>
              <a:latin typeface="+mn-lt"/>
              <a:cs typeface="Arial" panose="020B0604020202020204" pitchFamily="34" charset="0"/>
            </a:rPr>
            <a:t> My AirBnb</a:t>
          </a:r>
          <a:endParaRPr lang="en-US" sz="1050" b="1">
            <a:solidFill>
              <a:schemeClr val="bg1"/>
            </a:solidFill>
            <a:latin typeface="+mn-lt"/>
            <a:cs typeface="Arial" panose="020B0604020202020204" pitchFamily="34" charset="0"/>
          </a:endParaRPr>
        </a:p>
      </xdr:txBody>
    </xdr:sp>
    <xdr:clientData/>
  </xdr:twoCellAnchor>
  <xdr:twoCellAnchor>
    <xdr:from>
      <xdr:col>5</xdr:col>
      <xdr:colOff>0</xdr:colOff>
      <xdr:row>12</xdr:row>
      <xdr:rowOff>94</xdr:rowOff>
    </xdr:from>
    <xdr:to>
      <xdr:col>10</xdr:col>
      <xdr:colOff>633032</xdr:colOff>
      <xdr:row>18</xdr:row>
      <xdr:rowOff>30479</xdr:rowOff>
    </xdr:to>
    <xdr:pic>
      <xdr:nvPicPr>
        <xdr:cNvPr id="5" name="Picture 4">
          <a:hlinkClick xmlns:r="http://schemas.openxmlformats.org/officeDocument/2006/relationships" r:id="rId1"/>
          <a:extLst>
            <a:ext uri="{FF2B5EF4-FFF2-40B4-BE49-F238E27FC236}">
              <a16:creationId xmlns:a16="http://schemas.microsoft.com/office/drawing/2014/main" id="{C76FF077-2302-4B28-90B1-87A7EF22537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170420" y="3703414"/>
          <a:ext cx="4557332" cy="2316385"/>
        </a:xfrm>
        <a:prstGeom prst="rect">
          <a:avLst/>
        </a:prstGeom>
      </xdr:spPr>
    </xdr:pic>
    <xdr:clientData/>
  </xdr:twoCellAnchor>
  <xdr:twoCellAnchor>
    <xdr:from>
      <xdr:col>1</xdr:col>
      <xdr:colOff>2148840</xdr:colOff>
      <xdr:row>0</xdr:row>
      <xdr:rowOff>0</xdr:rowOff>
    </xdr:from>
    <xdr:to>
      <xdr:col>13</xdr:col>
      <xdr:colOff>609357</xdr:colOff>
      <xdr:row>2</xdr:row>
      <xdr:rowOff>53340</xdr:rowOff>
    </xdr:to>
    <xdr:grpSp>
      <xdr:nvGrpSpPr>
        <xdr:cNvPr id="53" name="Group 52">
          <a:extLst>
            <a:ext uri="{FF2B5EF4-FFF2-40B4-BE49-F238E27FC236}">
              <a16:creationId xmlns:a16="http://schemas.microsoft.com/office/drawing/2014/main" id="{43E127EA-6E79-4520-9916-A5DBD972E06E}"/>
            </a:ext>
          </a:extLst>
        </xdr:cNvPr>
        <xdr:cNvGrpSpPr/>
      </xdr:nvGrpSpPr>
      <xdr:grpSpPr>
        <a:xfrm>
          <a:off x="2385060" y="0"/>
          <a:ext cx="11894577" cy="815340"/>
          <a:chOff x="2194560" y="0"/>
          <a:chExt cx="11894577" cy="815340"/>
        </a:xfrm>
      </xdr:grpSpPr>
      <xdr:grpSp>
        <xdr:nvGrpSpPr>
          <xdr:cNvPr id="54" name="Group 53">
            <a:extLst>
              <a:ext uri="{FF2B5EF4-FFF2-40B4-BE49-F238E27FC236}">
                <a16:creationId xmlns:a16="http://schemas.microsoft.com/office/drawing/2014/main" id="{18EF8988-F90B-C915-BDF0-C75DAB9991BB}"/>
              </a:ext>
            </a:extLst>
          </xdr:cNvPr>
          <xdr:cNvGrpSpPr/>
        </xdr:nvGrpSpPr>
        <xdr:grpSpPr>
          <a:xfrm>
            <a:off x="2194560" y="0"/>
            <a:ext cx="11894577" cy="815340"/>
            <a:chOff x="2194560" y="0"/>
            <a:chExt cx="11894577" cy="815340"/>
          </a:xfrm>
        </xdr:grpSpPr>
        <xdr:grpSp>
          <xdr:nvGrpSpPr>
            <xdr:cNvPr id="56" name="Group 55">
              <a:extLst>
                <a:ext uri="{FF2B5EF4-FFF2-40B4-BE49-F238E27FC236}">
                  <a16:creationId xmlns:a16="http://schemas.microsoft.com/office/drawing/2014/main" id="{E663EE6C-EFBC-C12B-1154-9AE5653CBBB2}"/>
                </a:ext>
              </a:extLst>
            </xdr:cNvPr>
            <xdr:cNvGrpSpPr/>
          </xdr:nvGrpSpPr>
          <xdr:grpSpPr>
            <a:xfrm>
              <a:off x="2194560" y="0"/>
              <a:ext cx="11894577" cy="773812"/>
              <a:chOff x="2160046" y="0"/>
              <a:chExt cx="11894577" cy="773812"/>
            </a:xfrm>
          </xdr:grpSpPr>
          <xdr:grpSp>
            <xdr:nvGrpSpPr>
              <xdr:cNvPr id="60" name="Group 59">
                <a:extLst>
                  <a:ext uri="{FF2B5EF4-FFF2-40B4-BE49-F238E27FC236}">
                    <a16:creationId xmlns:a16="http://schemas.microsoft.com/office/drawing/2014/main" id="{3ED923AA-8D26-2636-4C65-5699F3EAE314}"/>
                  </a:ext>
                </a:extLst>
              </xdr:cNvPr>
              <xdr:cNvGrpSpPr/>
            </xdr:nvGrpSpPr>
            <xdr:grpSpPr>
              <a:xfrm>
                <a:off x="2160046" y="0"/>
                <a:ext cx="11894577" cy="773812"/>
                <a:chOff x="1310640" y="0"/>
                <a:chExt cx="11549013" cy="764847"/>
              </a:xfrm>
            </xdr:grpSpPr>
            <xdr:pic>
              <xdr:nvPicPr>
                <xdr:cNvPr id="64" name="Picture 63">
                  <a:hlinkClick xmlns:r="http://schemas.openxmlformats.org/officeDocument/2006/relationships" r:id="rId1"/>
                  <a:extLst>
                    <a:ext uri="{FF2B5EF4-FFF2-40B4-BE49-F238E27FC236}">
                      <a16:creationId xmlns:a16="http://schemas.microsoft.com/office/drawing/2014/main" id="{E1C5E2F9-4D88-7A7B-BEF9-C8D77B4CD604}"/>
                    </a:ext>
                  </a:extLst>
                </xdr:cNvPr>
                <xdr:cNvPicPr>
                  <a:picLocks/>
                </xdr:cNvPicPr>
              </xdr:nvPicPr>
              <xdr:blipFill>
                <a:blip xmlns:r="http://schemas.openxmlformats.org/officeDocument/2006/relationships" r:embed="rId3" cstate="print">
                  <a:alphaModFix/>
                  <a:extLst>
                    <a:ext uri="{28A0092B-C50C-407E-A947-70E740481C1C}">
                      <a14:useLocalDpi xmlns:a14="http://schemas.microsoft.com/office/drawing/2010/main" val="0"/>
                    </a:ext>
                  </a:extLst>
                </a:blip>
                <a:srcRect/>
                <a:stretch/>
              </xdr:blipFill>
              <xdr:spPr>
                <a:xfrm>
                  <a:off x="1310640" y="46180"/>
                  <a:ext cx="499211" cy="554546"/>
                </a:xfrm>
                <a:prstGeom prst="rect">
                  <a:avLst/>
                </a:prstGeom>
              </xdr:spPr>
            </xdr:pic>
            <xdr:pic>
              <xdr:nvPicPr>
                <xdr:cNvPr id="65" name="Picture 64">
                  <a:hlinkClick xmlns:r="http://schemas.openxmlformats.org/officeDocument/2006/relationships" r:id="rId4"/>
                  <a:extLst>
                    <a:ext uri="{FF2B5EF4-FFF2-40B4-BE49-F238E27FC236}">
                      <a16:creationId xmlns:a16="http://schemas.microsoft.com/office/drawing/2014/main" id="{8858A01A-F836-17C3-7AE5-19B41B740D91}"/>
                    </a:ext>
                  </a:extLst>
                </xdr:cNvPr>
                <xdr:cNvPicPr>
                  <a:picLocks noChangeAspect="1" noChangeArrowheads="1"/>
                </xdr:cNvPicPr>
              </xdr:nvPicPr>
              <xdr:blipFill>
                <a:blip xmlns:r="http://schemas.openxmlformats.org/officeDocument/2006/relationships" r:embed="rId5" cstate="print">
                  <a:alphaModFix/>
                  <a:extLst>
                    <a:ext uri="{28A0092B-C50C-407E-A947-70E740481C1C}">
                      <a14:useLocalDpi xmlns:a14="http://schemas.microsoft.com/office/drawing/2010/main" val="0"/>
                    </a:ext>
                  </a:extLst>
                </a:blip>
                <a:srcRect/>
                <a:stretch>
                  <a:fillRect/>
                </a:stretch>
              </xdr:blipFill>
              <xdr:spPr bwMode="auto">
                <a:xfrm>
                  <a:off x="2163693" y="30823"/>
                  <a:ext cx="214188" cy="2260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6" name="TextBox 65">
                  <a:hlinkClick xmlns:r="http://schemas.openxmlformats.org/officeDocument/2006/relationships" r:id="rId4"/>
                  <a:extLst>
                    <a:ext uri="{FF2B5EF4-FFF2-40B4-BE49-F238E27FC236}">
                      <a16:creationId xmlns:a16="http://schemas.microsoft.com/office/drawing/2014/main" id="{8F165E1E-6AFB-AB34-1FF2-7EAB41604637}"/>
                    </a:ext>
                  </a:extLst>
                </xdr:cNvPr>
                <xdr:cNvSpPr txBox="1"/>
              </xdr:nvSpPr>
              <xdr:spPr>
                <a:xfrm>
                  <a:off x="2369194" y="17046"/>
                  <a:ext cx="846446" cy="25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US" sz="900" b="1">
                      <a:solidFill>
                        <a:schemeClr val="bg1"/>
                      </a:solidFill>
                    </a:rPr>
                    <a:t>DASHBOARD</a:t>
                  </a:r>
                </a:p>
              </xdr:txBody>
            </xdr:sp>
            <xdr:pic>
              <xdr:nvPicPr>
                <xdr:cNvPr id="67" name="Picture 66">
                  <a:hlinkClick xmlns:r="http://schemas.openxmlformats.org/officeDocument/2006/relationships" r:id="rId6"/>
                  <a:extLst>
                    <a:ext uri="{FF2B5EF4-FFF2-40B4-BE49-F238E27FC236}">
                      <a16:creationId xmlns:a16="http://schemas.microsoft.com/office/drawing/2014/main" id="{08455900-7619-98EB-2E86-602271FD79E4}"/>
                    </a:ext>
                  </a:extLst>
                </xdr:cNvPr>
                <xdr:cNvPicPr>
                  <a:picLocks noChangeAspect="1" noChangeArrowheads="1"/>
                </xdr:cNvPicPr>
              </xdr:nvPicPr>
              <xdr:blipFill>
                <a:blip xmlns:r="http://schemas.openxmlformats.org/officeDocument/2006/relationships" r:embed="rId7" cstate="print">
                  <a:alphaModFix/>
                  <a:extLst>
                    <a:ext uri="{28A0092B-C50C-407E-A947-70E740481C1C}">
                      <a14:useLocalDpi xmlns:a14="http://schemas.microsoft.com/office/drawing/2010/main" val="0"/>
                    </a:ext>
                  </a:extLst>
                </a:blip>
                <a:srcRect/>
                <a:stretch>
                  <a:fillRect/>
                </a:stretch>
              </xdr:blipFill>
              <xdr:spPr bwMode="auto">
                <a:xfrm>
                  <a:off x="8461655" y="433462"/>
                  <a:ext cx="214188" cy="20819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8" name="TextBox 67">
                  <a:hlinkClick xmlns:r="http://schemas.openxmlformats.org/officeDocument/2006/relationships" r:id="rId6"/>
                  <a:extLst>
                    <a:ext uri="{FF2B5EF4-FFF2-40B4-BE49-F238E27FC236}">
                      <a16:creationId xmlns:a16="http://schemas.microsoft.com/office/drawing/2014/main" id="{D7B0E739-7382-AE58-ED86-8DE755759E62}"/>
                    </a:ext>
                  </a:extLst>
                </xdr:cNvPr>
                <xdr:cNvSpPr txBox="1"/>
              </xdr:nvSpPr>
              <xdr:spPr>
                <a:xfrm>
                  <a:off x="8647283" y="413913"/>
                  <a:ext cx="56836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REPORTS</a:t>
                  </a:r>
                </a:p>
              </xdr:txBody>
            </xdr:sp>
            <xdr:pic>
              <xdr:nvPicPr>
                <xdr:cNvPr id="69" name="Picture 68">
                  <a:hlinkClick xmlns:r="http://schemas.openxmlformats.org/officeDocument/2006/relationships" r:id="rId8"/>
                  <a:extLst>
                    <a:ext uri="{FF2B5EF4-FFF2-40B4-BE49-F238E27FC236}">
                      <a16:creationId xmlns:a16="http://schemas.microsoft.com/office/drawing/2014/main" id="{A5EB8143-41F7-728E-3CCC-B537DD0A2E1A}"/>
                    </a:ext>
                  </a:extLst>
                </xdr:cNvPr>
                <xdr:cNvPicPr>
                  <a:picLocks noChangeAspect="1"/>
                </xdr:cNvPicPr>
              </xdr:nvPicPr>
              <xdr:blipFill>
                <a:blip xmlns:r="http://schemas.openxmlformats.org/officeDocument/2006/relationships" r:embed="rId9" cstate="print">
                  <a:alphaModFix/>
                  <a:extLst>
                    <a:ext uri="{28A0092B-C50C-407E-A947-70E740481C1C}">
                      <a14:useLocalDpi xmlns:a14="http://schemas.microsoft.com/office/drawing/2010/main" val="0"/>
                    </a:ext>
                  </a:extLst>
                </a:blip>
                <a:stretch>
                  <a:fillRect/>
                </a:stretch>
              </xdr:blipFill>
              <xdr:spPr>
                <a:xfrm>
                  <a:off x="6903860" y="19549"/>
                  <a:ext cx="214187" cy="248554"/>
                </a:xfrm>
                <a:prstGeom prst="rect">
                  <a:avLst/>
                </a:prstGeom>
              </xdr:spPr>
            </xdr:pic>
            <xdr:sp macro="" textlink="">
              <xdr:nvSpPr>
                <xdr:cNvPr id="70" name="TextBox 69">
                  <a:hlinkClick xmlns:r="http://schemas.openxmlformats.org/officeDocument/2006/relationships" r:id="rId8"/>
                  <a:extLst>
                    <a:ext uri="{FF2B5EF4-FFF2-40B4-BE49-F238E27FC236}">
                      <a16:creationId xmlns:a16="http://schemas.microsoft.com/office/drawing/2014/main" id="{D186AC33-B57C-3543-B1B4-232F67129987}"/>
                    </a:ext>
                  </a:extLst>
                </xdr:cNvPr>
                <xdr:cNvSpPr txBox="1"/>
              </xdr:nvSpPr>
              <xdr:spPr>
                <a:xfrm>
                  <a:off x="7099062" y="0"/>
                  <a:ext cx="67589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MORTGAGE</a:t>
                  </a:r>
                </a:p>
              </xdr:txBody>
            </xdr:sp>
            <xdr:sp macro="" textlink="">
              <xdr:nvSpPr>
                <xdr:cNvPr id="71" name="TextBox 70">
                  <a:hlinkClick xmlns:r="http://schemas.openxmlformats.org/officeDocument/2006/relationships" r:id="rId10"/>
                  <a:extLst>
                    <a:ext uri="{FF2B5EF4-FFF2-40B4-BE49-F238E27FC236}">
                      <a16:creationId xmlns:a16="http://schemas.microsoft.com/office/drawing/2014/main" id="{F15C7405-4FC0-5921-C861-CB94714936ED}"/>
                    </a:ext>
                  </a:extLst>
                </xdr:cNvPr>
                <xdr:cNvSpPr txBox="1"/>
              </xdr:nvSpPr>
              <xdr:spPr>
                <a:xfrm>
                  <a:off x="6375474" y="0"/>
                  <a:ext cx="381400"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DEBT</a:t>
                  </a:r>
                </a:p>
              </xdr:txBody>
            </xdr:sp>
            <xdr:pic>
              <xdr:nvPicPr>
                <xdr:cNvPr id="72" name="Picture 71">
                  <a:hlinkClick xmlns:r="http://schemas.openxmlformats.org/officeDocument/2006/relationships" r:id="rId10"/>
                  <a:extLst>
                    <a:ext uri="{FF2B5EF4-FFF2-40B4-BE49-F238E27FC236}">
                      <a16:creationId xmlns:a16="http://schemas.microsoft.com/office/drawing/2014/main" id="{7B65E9AF-E240-4263-E6AF-A3B89DBC4532}"/>
                    </a:ext>
                  </a:extLst>
                </xdr:cNvPr>
                <xdr:cNvPicPr>
                  <a:picLocks noChangeAspect="1"/>
                </xdr:cNvPicPr>
              </xdr:nvPicPr>
              <xdr:blipFill>
                <a:blip xmlns:r="http://schemas.openxmlformats.org/officeDocument/2006/relationships" r:embed="rId11" cstate="print">
                  <a:alphaModFix/>
                  <a:extLst>
                    <a:ext uri="{28A0092B-C50C-407E-A947-70E740481C1C}">
                      <a14:useLocalDpi xmlns:a14="http://schemas.microsoft.com/office/drawing/2010/main" val="0"/>
                    </a:ext>
                  </a:extLst>
                </a:blip>
                <a:stretch>
                  <a:fillRect/>
                </a:stretch>
              </xdr:blipFill>
              <xdr:spPr>
                <a:xfrm>
                  <a:off x="6158378" y="19549"/>
                  <a:ext cx="214188" cy="248554"/>
                </a:xfrm>
                <a:prstGeom prst="rect">
                  <a:avLst/>
                </a:prstGeom>
              </xdr:spPr>
            </xdr:pic>
            <xdr:sp macro="" textlink="">
              <xdr:nvSpPr>
                <xdr:cNvPr id="73" name="TextBox 72">
                  <a:hlinkClick xmlns:r="http://schemas.openxmlformats.org/officeDocument/2006/relationships" r:id="rId12"/>
                  <a:extLst>
                    <a:ext uri="{FF2B5EF4-FFF2-40B4-BE49-F238E27FC236}">
                      <a16:creationId xmlns:a16="http://schemas.microsoft.com/office/drawing/2014/main" id="{922FF553-CF93-AB5C-3D29-C4824F44BE67}"/>
                    </a:ext>
                  </a:extLst>
                </xdr:cNvPr>
                <xdr:cNvSpPr txBox="1"/>
              </xdr:nvSpPr>
              <xdr:spPr>
                <a:xfrm>
                  <a:off x="5370816" y="37659"/>
                  <a:ext cx="64057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FORECASTS</a:t>
                  </a:r>
                </a:p>
              </xdr:txBody>
            </xdr:sp>
            <xdr:sp macro="" textlink="">
              <xdr:nvSpPr>
                <xdr:cNvPr id="74" name="TextBox 73">
                  <a:hlinkClick xmlns:r="http://schemas.openxmlformats.org/officeDocument/2006/relationships" r:id="rId13"/>
                  <a:extLst>
                    <a:ext uri="{FF2B5EF4-FFF2-40B4-BE49-F238E27FC236}">
                      <a16:creationId xmlns:a16="http://schemas.microsoft.com/office/drawing/2014/main" id="{BE8BB03A-6D7D-926A-1549-5AC2C380F273}"/>
                    </a:ext>
                  </a:extLst>
                </xdr:cNvPr>
                <xdr:cNvSpPr txBox="1"/>
              </xdr:nvSpPr>
              <xdr:spPr>
                <a:xfrm>
                  <a:off x="8104032" y="0"/>
                  <a:ext cx="7732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a:t>
                  </a:r>
                  <a:r>
                    <a:rPr lang="en-US" sz="900" b="1" baseline="0">
                      <a:solidFill>
                        <a:schemeClr val="bg1"/>
                      </a:solidFill>
                    </a:rPr>
                    <a:t> (M)</a:t>
                  </a:r>
                  <a:endParaRPr lang="en-US" sz="900" b="1">
                    <a:solidFill>
                      <a:schemeClr val="bg1"/>
                    </a:solidFill>
                  </a:endParaRPr>
                </a:p>
              </xdr:txBody>
            </xdr:sp>
            <xdr:pic>
              <xdr:nvPicPr>
                <xdr:cNvPr id="75" name="Picture 74">
                  <a:hlinkClick xmlns:r="http://schemas.openxmlformats.org/officeDocument/2006/relationships" r:id="rId13"/>
                  <a:extLst>
                    <a:ext uri="{FF2B5EF4-FFF2-40B4-BE49-F238E27FC236}">
                      <a16:creationId xmlns:a16="http://schemas.microsoft.com/office/drawing/2014/main" id="{946A8637-8B1C-F88B-3CA7-6AFD71863031}"/>
                    </a:ext>
                  </a:extLst>
                </xdr:cNvPr>
                <xdr:cNvPicPr>
                  <a:picLocks noChangeAspect="1"/>
                </xdr:cNvPicPr>
              </xdr:nvPicPr>
              <xdr:blipFill>
                <a:blip xmlns:r="http://schemas.openxmlformats.org/officeDocument/2006/relationships" r:embed="rId14" cstate="print">
                  <a:alphaModFix/>
                  <a:extLst>
                    <a:ext uri="{28A0092B-C50C-407E-A947-70E740481C1C}">
                      <a14:useLocalDpi xmlns:a14="http://schemas.microsoft.com/office/drawing/2010/main" val="0"/>
                    </a:ext>
                  </a:extLst>
                </a:blip>
                <a:stretch>
                  <a:fillRect/>
                </a:stretch>
              </xdr:blipFill>
              <xdr:spPr>
                <a:xfrm>
                  <a:off x="7921943" y="19549"/>
                  <a:ext cx="214188" cy="248554"/>
                </a:xfrm>
                <a:prstGeom prst="rect">
                  <a:avLst/>
                </a:prstGeom>
              </xdr:spPr>
            </xdr:pic>
            <xdr:sp macro="" textlink="">
              <xdr:nvSpPr>
                <xdr:cNvPr id="76" name="TextBox 75">
                  <a:hlinkClick xmlns:r="http://schemas.openxmlformats.org/officeDocument/2006/relationships" r:id="rId15"/>
                  <a:extLst>
                    <a:ext uri="{FF2B5EF4-FFF2-40B4-BE49-F238E27FC236}">
                      <a16:creationId xmlns:a16="http://schemas.microsoft.com/office/drawing/2014/main" id="{F7955EDB-C978-2EA8-614E-E094AA769978}"/>
                    </a:ext>
                  </a:extLst>
                </xdr:cNvPr>
                <xdr:cNvSpPr txBox="1"/>
              </xdr:nvSpPr>
              <xdr:spPr>
                <a:xfrm>
                  <a:off x="9978309" y="0"/>
                  <a:ext cx="687187"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 (Y)</a:t>
                  </a:r>
                </a:p>
              </xdr:txBody>
            </xdr:sp>
            <xdr:pic>
              <xdr:nvPicPr>
                <xdr:cNvPr id="77" name="Picture 76">
                  <a:hlinkClick xmlns:r="http://schemas.openxmlformats.org/officeDocument/2006/relationships" r:id="rId15"/>
                  <a:extLst>
                    <a:ext uri="{FF2B5EF4-FFF2-40B4-BE49-F238E27FC236}">
                      <a16:creationId xmlns:a16="http://schemas.microsoft.com/office/drawing/2014/main" id="{D7756C7A-3C81-2D69-E6B8-098C8E65BADE}"/>
                    </a:ext>
                  </a:extLst>
                </xdr:cNvPr>
                <xdr:cNvPicPr>
                  <a:picLocks noChangeAspect="1"/>
                </xdr:cNvPicPr>
              </xdr:nvPicPr>
              <xdr:blipFill>
                <a:blip xmlns:r="http://schemas.openxmlformats.org/officeDocument/2006/relationships" r:embed="rId16" cstate="print">
                  <a:alphaModFix/>
                  <a:extLst>
                    <a:ext uri="{28A0092B-C50C-407E-A947-70E740481C1C}">
                      <a14:useLocalDpi xmlns:a14="http://schemas.microsoft.com/office/drawing/2010/main" val="0"/>
                    </a:ext>
                  </a:extLst>
                </a:blip>
                <a:stretch>
                  <a:fillRect/>
                </a:stretch>
              </xdr:blipFill>
              <xdr:spPr>
                <a:xfrm>
                  <a:off x="9777770" y="19549"/>
                  <a:ext cx="214188" cy="248554"/>
                </a:xfrm>
                <a:prstGeom prst="rect">
                  <a:avLst/>
                </a:prstGeom>
              </xdr:spPr>
            </xdr:pic>
            <xdr:sp macro="" textlink="">
              <xdr:nvSpPr>
                <xdr:cNvPr id="78" name="TextBox 77">
                  <a:hlinkClick xmlns:r="http://schemas.openxmlformats.org/officeDocument/2006/relationships" r:id="rId17"/>
                  <a:extLst>
                    <a:ext uri="{FF2B5EF4-FFF2-40B4-BE49-F238E27FC236}">
                      <a16:creationId xmlns:a16="http://schemas.microsoft.com/office/drawing/2014/main" id="{08F9D0F3-A654-4EF7-0E24-5FE372CE8829}"/>
                    </a:ext>
                  </a:extLst>
                </xdr:cNvPr>
                <xdr:cNvSpPr txBox="1"/>
              </xdr:nvSpPr>
              <xdr:spPr>
                <a:xfrm>
                  <a:off x="9133984" y="0"/>
                  <a:ext cx="49680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VERSUS</a:t>
                  </a:r>
                </a:p>
              </xdr:txBody>
            </xdr:sp>
            <xdr:pic>
              <xdr:nvPicPr>
                <xdr:cNvPr id="79" name="Picture 78">
                  <a:hlinkClick xmlns:r="http://schemas.openxmlformats.org/officeDocument/2006/relationships" r:id="rId17"/>
                  <a:extLst>
                    <a:ext uri="{FF2B5EF4-FFF2-40B4-BE49-F238E27FC236}">
                      <a16:creationId xmlns:a16="http://schemas.microsoft.com/office/drawing/2014/main" id="{9B2E12E8-F7B2-3A51-4562-44AC2C4586BE}"/>
                    </a:ext>
                  </a:extLst>
                </xdr:cNvPr>
                <xdr:cNvPicPr>
                  <a:picLocks noChangeAspect="1"/>
                </xdr:cNvPicPr>
              </xdr:nvPicPr>
              <xdr:blipFill>
                <a:blip xmlns:r="http://schemas.openxmlformats.org/officeDocument/2006/relationships" r:embed="rId18" cstate="print">
                  <a:alphaModFix/>
                  <a:extLst>
                    <a:ext uri="{28A0092B-C50C-407E-A947-70E740481C1C}">
                      <a14:useLocalDpi xmlns:a14="http://schemas.microsoft.com/office/drawing/2010/main" val="0"/>
                    </a:ext>
                  </a:extLst>
                </a:blip>
                <a:stretch>
                  <a:fillRect/>
                </a:stretch>
              </xdr:blipFill>
              <xdr:spPr>
                <a:xfrm>
                  <a:off x="8938203" y="19549"/>
                  <a:ext cx="214187" cy="248554"/>
                </a:xfrm>
                <a:prstGeom prst="rect">
                  <a:avLst/>
                </a:prstGeom>
              </xdr:spPr>
            </xdr:pic>
            <xdr:sp macro="" textlink="">
              <xdr:nvSpPr>
                <xdr:cNvPr id="80" name="TextBox 79">
                  <a:hlinkClick xmlns:r="http://schemas.openxmlformats.org/officeDocument/2006/relationships" r:id="rId19"/>
                  <a:extLst>
                    <a:ext uri="{FF2B5EF4-FFF2-40B4-BE49-F238E27FC236}">
                      <a16:creationId xmlns:a16="http://schemas.microsoft.com/office/drawing/2014/main" id="{C0AF215D-DEFD-8C90-41F4-044D780F466D}"/>
                    </a:ext>
                  </a:extLst>
                </xdr:cNvPr>
                <xdr:cNvSpPr txBox="1"/>
              </xdr:nvSpPr>
              <xdr:spPr>
                <a:xfrm>
                  <a:off x="3510385" y="0"/>
                  <a:ext cx="52312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REPAIRS</a:t>
                  </a:r>
                </a:p>
              </xdr:txBody>
            </xdr:sp>
            <xdr:pic>
              <xdr:nvPicPr>
                <xdr:cNvPr id="81" name="Picture 80">
                  <a:hlinkClick xmlns:r="http://schemas.openxmlformats.org/officeDocument/2006/relationships" r:id="rId19"/>
                  <a:extLst>
                    <a:ext uri="{FF2B5EF4-FFF2-40B4-BE49-F238E27FC236}">
                      <a16:creationId xmlns:a16="http://schemas.microsoft.com/office/drawing/2014/main" id="{CA76248D-B99F-F5E4-5920-95A53D8E50F5}"/>
                    </a:ext>
                  </a:extLst>
                </xdr:cNvPr>
                <xdr:cNvPicPr>
                  <a:picLocks noChangeAspect="1"/>
                </xdr:cNvPicPr>
              </xdr:nvPicPr>
              <xdr:blipFill>
                <a:blip xmlns:r="http://schemas.openxmlformats.org/officeDocument/2006/relationships" r:embed="rId20" cstate="print">
                  <a:alphaModFix/>
                  <a:extLst>
                    <a:ext uri="{28A0092B-C50C-407E-A947-70E740481C1C}">
                      <a14:useLocalDpi xmlns:a14="http://schemas.microsoft.com/office/drawing/2010/main" val="0"/>
                    </a:ext>
                  </a:extLst>
                </a:blip>
                <a:stretch>
                  <a:fillRect/>
                </a:stretch>
              </xdr:blipFill>
              <xdr:spPr>
                <a:xfrm>
                  <a:off x="3296296" y="28376"/>
                  <a:ext cx="214435" cy="230900"/>
                </a:xfrm>
                <a:prstGeom prst="rect">
                  <a:avLst/>
                </a:prstGeom>
              </xdr:spPr>
            </xdr:pic>
            <xdr:sp macro="" textlink="">
              <xdr:nvSpPr>
                <xdr:cNvPr id="82" name="TextBox 81">
                  <a:hlinkClick xmlns:r="http://schemas.openxmlformats.org/officeDocument/2006/relationships" r:id="rId21"/>
                  <a:extLst>
                    <a:ext uri="{FF2B5EF4-FFF2-40B4-BE49-F238E27FC236}">
                      <a16:creationId xmlns:a16="http://schemas.microsoft.com/office/drawing/2014/main" id="{9B7443D9-E2F3-4E44-CD35-C4DDB4CAFC3F}"/>
                    </a:ext>
                  </a:extLst>
                </xdr:cNvPr>
                <xdr:cNvSpPr txBox="1"/>
              </xdr:nvSpPr>
              <xdr:spPr>
                <a:xfrm>
                  <a:off x="4388587" y="0"/>
                  <a:ext cx="63170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FURNITURE</a:t>
                  </a:r>
                </a:p>
              </xdr:txBody>
            </xdr:sp>
            <xdr:pic>
              <xdr:nvPicPr>
                <xdr:cNvPr id="83" name="Picture 82">
                  <a:hlinkClick xmlns:r="http://schemas.openxmlformats.org/officeDocument/2006/relationships" r:id="rId21"/>
                  <a:extLst>
                    <a:ext uri="{FF2B5EF4-FFF2-40B4-BE49-F238E27FC236}">
                      <a16:creationId xmlns:a16="http://schemas.microsoft.com/office/drawing/2014/main" id="{E7E3CA25-49DE-C2F8-275B-1D3D10EA4DDA}"/>
                    </a:ext>
                  </a:extLst>
                </xdr:cNvPr>
                <xdr:cNvPicPr>
                  <a:picLocks noChangeAspect="1"/>
                </xdr:cNvPicPr>
              </xdr:nvPicPr>
              <xdr:blipFill>
                <a:blip xmlns:r="http://schemas.openxmlformats.org/officeDocument/2006/relationships" r:embed="rId22" cstate="print">
                  <a:alphaModFix/>
                  <a:extLst>
                    <a:ext uri="{28A0092B-C50C-407E-A947-70E740481C1C}">
                      <a14:useLocalDpi xmlns:a14="http://schemas.microsoft.com/office/drawing/2010/main" val="0"/>
                    </a:ext>
                  </a:extLst>
                </a:blip>
                <a:stretch>
                  <a:fillRect/>
                </a:stretch>
              </xdr:blipFill>
              <xdr:spPr>
                <a:xfrm>
                  <a:off x="4180491" y="28376"/>
                  <a:ext cx="214435" cy="230900"/>
                </a:xfrm>
                <a:prstGeom prst="rect">
                  <a:avLst/>
                </a:prstGeom>
              </xdr:spPr>
            </xdr:pic>
            <xdr:pic>
              <xdr:nvPicPr>
                <xdr:cNvPr id="84" name="Picture 83">
                  <a:hlinkClick xmlns:r="http://schemas.openxmlformats.org/officeDocument/2006/relationships" r:id="rId23"/>
                  <a:extLst>
                    <a:ext uri="{FF2B5EF4-FFF2-40B4-BE49-F238E27FC236}">
                      <a16:creationId xmlns:a16="http://schemas.microsoft.com/office/drawing/2014/main" id="{18ACA7B4-02BC-4E91-8B7F-88824AA05FB6}"/>
                    </a:ext>
                  </a:extLst>
                </xdr:cNvPr>
                <xdr:cNvPicPr>
                  <a:picLocks noChangeAspect="1"/>
                </xdr:cNvPicPr>
              </xdr:nvPicPr>
              <xdr:blipFill>
                <a:blip xmlns:r="http://schemas.openxmlformats.org/officeDocument/2006/relationships" r:embed="rId24" cstate="print">
                  <a:alphaModFix/>
                  <a:extLst>
                    <a:ext uri="{28A0092B-C50C-407E-A947-70E740481C1C}">
                      <a14:useLocalDpi xmlns:a14="http://schemas.microsoft.com/office/drawing/2010/main" val="0"/>
                    </a:ext>
                  </a:extLst>
                </a:blip>
                <a:stretch>
                  <a:fillRect/>
                </a:stretch>
              </xdr:blipFill>
              <xdr:spPr>
                <a:xfrm>
                  <a:off x="10812480" y="19549"/>
                  <a:ext cx="214188" cy="248554"/>
                </a:xfrm>
                <a:prstGeom prst="rect">
                  <a:avLst/>
                </a:prstGeom>
              </xdr:spPr>
            </xdr:pic>
            <xdr:sp macro="" textlink="">
              <xdr:nvSpPr>
                <xdr:cNvPr id="85" name="TextBox 84">
                  <a:hlinkClick xmlns:r="http://schemas.openxmlformats.org/officeDocument/2006/relationships" r:id="rId23"/>
                  <a:extLst>
                    <a:ext uri="{FF2B5EF4-FFF2-40B4-BE49-F238E27FC236}">
                      <a16:creationId xmlns:a16="http://schemas.microsoft.com/office/drawing/2014/main" id="{CD7F3D84-136A-CB5F-6FF9-8FDE5B474381}"/>
                    </a:ext>
                  </a:extLst>
                </xdr:cNvPr>
                <xdr:cNvSpPr txBox="1"/>
              </xdr:nvSpPr>
              <xdr:spPr>
                <a:xfrm>
                  <a:off x="11008843" y="0"/>
                  <a:ext cx="40705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PEERS</a:t>
                  </a:r>
                </a:p>
              </xdr:txBody>
            </xdr:sp>
            <xdr:sp macro="" textlink="">
              <xdr:nvSpPr>
                <xdr:cNvPr id="86" name="TextBox 85">
                  <a:hlinkClick xmlns:r="http://schemas.openxmlformats.org/officeDocument/2006/relationships" r:id="rId25"/>
                  <a:extLst>
                    <a:ext uri="{FF2B5EF4-FFF2-40B4-BE49-F238E27FC236}">
                      <a16:creationId xmlns:a16="http://schemas.microsoft.com/office/drawing/2014/main" id="{2D36C1E7-6C00-DC2D-975E-B7720A78D6B7}"/>
                    </a:ext>
                  </a:extLst>
                </xdr:cNvPr>
                <xdr:cNvSpPr txBox="1"/>
              </xdr:nvSpPr>
              <xdr:spPr>
                <a:xfrm>
                  <a:off x="9581756" y="397481"/>
                  <a:ext cx="656781"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MAX PRICE</a:t>
                  </a:r>
                </a:p>
              </xdr:txBody>
            </xdr:sp>
            <xdr:pic>
              <xdr:nvPicPr>
                <xdr:cNvPr id="87" name="Picture 86">
                  <a:hlinkClick xmlns:r="http://schemas.openxmlformats.org/officeDocument/2006/relationships" r:id="rId25"/>
                  <a:extLst>
                    <a:ext uri="{FF2B5EF4-FFF2-40B4-BE49-F238E27FC236}">
                      <a16:creationId xmlns:a16="http://schemas.microsoft.com/office/drawing/2014/main" id="{BE6499F2-7DEE-0256-0B6B-23466F16A5C8}"/>
                    </a:ext>
                  </a:extLst>
                </xdr:cNvPr>
                <xdr:cNvPicPr>
                  <a:picLocks noChangeAspect="1"/>
                </xdr:cNvPicPr>
              </xdr:nvPicPr>
              <xdr:blipFill>
                <a:blip xmlns:r="http://schemas.openxmlformats.org/officeDocument/2006/relationships" r:embed="rId26" cstate="print">
                  <a:alphaModFix/>
                  <a:extLst>
                    <a:ext uri="{28A0092B-C50C-407E-A947-70E740481C1C}">
                      <a14:useLocalDpi xmlns:a14="http://schemas.microsoft.com/office/drawing/2010/main" val="0"/>
                    </a:ext>
                  </a:extLst>
                </a:blip>
                <a:stretch>
                  <a:fillRect/>
                </a:stretch>
              </xdr:blipFill>
              <xdr:spPr>
                <a:xfrm>
                  <a:off x="9433997" y="425857"/>
                  <a:ext cx="214435" cy="230900"/>
                </a:xfrm>
                <a:prstGeom prst="rect">
                  <a:avLst/>
                </a:prstGeom>
              </xdr:spPr>
            </xdr:pic>
            <xdr:sp macro="" textlink="">
              <xdr:nvSpPr>
                <xdr:cNvPr id="88" name="TextBox 87">
                  <a:hlinkClick xmlns:r="http://schemas.openxmlformats.org/officeDocument/2006/relationships" r:id="rId27"/>
                  <a:extLst>
                    <a:ext uri="{FF2B5EF4-FFF2-40B4-BE49-F238E27FC236}">
                      <a16:creationId xmlns:a16="http://schemas.microsoft.com/office/drawing/2014/main" id="{7C8D24BD-7C23-5594-1142-9E71C18B2744}"/>
                    </a:ext>
                  </a:extLst>
                </xdr:cNvPr>
                <xdr:cNvSpPr txBox="1"/>
              </xdr:nvSpPr>
              <xdr:spPr>
                <a:xfrm>
                  <a:off x="7733272" y="389861"/>
                  <a:ext cx="6384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SCENARIOS</a:t>
                  </a:r>
                </a:p>
              </xdr:txBody>
            </xdr:sp>
            <xdr:pic>
              <xdr:nvPicPr>
                <xdr:cNvPr id="89" name="Picture 88">
                  <a:hlinkClick xmlns:r="http://schemas.openxmlformats.org/officeDocument/2006/relationships" r:id="rId27"/>
                  <a:extLst>
                    <a:ext uri="{FF2B5EF4-FFF2-40B4-BE49-F238E27FC236}">
                      <a16:creationId xmlns:a16="http://schemas.microsoft.com/office/drawing/2014/main" id="{F2E4D287-B99D-2268-FD97-E6DE9EA3B1F7}"/>
                    </a:ext>
                  </a:extLst>
                </xdr:cNvPr>
                <xdr:cNvPicPr>
                  <a:picLocks noChangeAspect="1"/>
                </xdr:cNvPicPr>
              </xdr:nvPicPr>
              <xdr:blipFill>
                <a:blip xmlns:r="http://schemas.openxmlformats.org/officeDocument/2006/relationships" r:embed="rId28" cstate="print">
                  <a:alphaModFix/>
                  <a:extLst>
                    <a:ext uri="{28A0092B-C50C-407E-A947-70E740481C1C}">
                      <a14:useLocalDpi xmlns:a14="http://schemas.microsoft.com/office/drawing/2010/main" val="0"/>
                    </a:ext>
                  </a:extLst>
                </a:blip>
                <a:stretch>
                  <a:fillRect/>
                </a:stretch>
              </xdr:blipFill>
              <xdr:spPr>
                <a:xfrm>
                  <a:off x="7536090" y="418237"/>
                  <a:ext cx="214435" cy="230900"/>
                </a:xfrm>
                <a:prstGeom prst="rect">
                  <a:avLst/>
                </a:prstGeom>
              </xdr:spPr>
            </xdr:pic>
            <xdr:sp macro="" textlink="">
              <xdr:nvSpPr>
                <xdr:cNvPr id="90" name="TextBox 89">
                  <a:hlinkClick xmlns:r="http://schemas.openxmlformats.org/officeDocument/2006/relationships" r:id="rId29"/>
                  <a:extLst>
                    <a:ext uri="{FF2B5EF4-FFF2-40B4-BE49-F238E27FC236}">
                      <a16:creationId xmlns:a16="http://schemas.microsoft.com/office/drawing/2014/main" id="{A0ADDF14-6C37-1695-5F79-82A72B2939F3}"/>
                    </a:ext>
                  </a:extLst>
                </xdr:cNvPr>
                <xdr:cNvSpPr txBox="1"/>
              </xdr:nvSpPr>
              <xdr:spPr>
                <a:xfrm>
                  <a:off x="11757467" y="49286"/>
                  <a:ext cx="110218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MARKET RESEARCH</a:t>
                  </a:r>
                </a:p>
              </xdr:txBody>
            </xdr:sp>
            <xdr:pic>
              <xdr:nvPicPr>
                <xdr:cNvPr id="91" name="Picture 90" descr="A white and brown hourglass&#10;&#10;AI-generated content may be incorrect.">
                  <a:hlinkClick xmlns:r="http://schemas.openxmlformats.org/officeDocument/2006/relationships" r:id="rId29"/>
                  <a:extLst>
                    <a:ext uri="{FF2B5EF4-FFF2-40B4-BE49-F238E27FC236}">
                      <a16:creationId xmlns:a16="http://schemas.microsoft.com/office/drawing/2014/main" id="{5615956D-A7AA-F4F9-76B5-6BEE8F0612AF}"/>
                    </a:ext>
                  </a:extLst>
                </xdr:cNvPr>
                <xdr:cNvPicPr>
                  <a:picLocks noChangeAspect="1"/>
                </xdr:cNvPicPr>
              </xdr:nvPicPr>
              <xdr:blipFill>
                <a:blip xmlns:r="http://schemas.openxmlformats.org/officeDocument/2006/relationships" r:embed="rId30" cstate="print">
                  <a:alphaModFix/>
                  <a:extLst>
                    <a:ext uri="{28A0092B-C50C-407E-A947-70E740481C1C}">
                      <a14:useLocalDpi xmlns:a14="http://schemas.microsoft.com/office/drawing/2010/main" val="0"/>
                    </a:ext>
                  </a:extLst>
                </a:blip>
                <a:stretch>
                  <a:fillRect/>
                </a:stretch>
              </xdr:blipFill>
              <xdr:spPr>
                <a:xfrm>
                  <a:off x="11563464" y="33893"/>
                  <a:ext cx="235575" cy="261687"/>
                </a:xfrm>
                <a:prstGeom prst="rect">
                  <a:avLst/>
                </a:prstGeom>
              </xdr:spPr>
            </xdr:pic>
            <xdr:pic>
              <xdr:nvPicPr>
                <xdr:cNvPr id="92" name="Picture 91">
                  <a:hlinkClick xmlns:r="http://schemas.openxmlformats.org/officeDocument/2006/relationships" r:id="rId31"/>
                  <a:extLst>
                    <a:ext uri="{FF2B5EF4-FFF2-40B4-BE49-F238E27FC236}">
                      <a16:creationId xmlns:a16="http://schemas.microsoft.com/office/drawing/2014/main" id="{76AC8648-4164-2B8E-E583-C92CD75799EF}"/>
                    </a:ext>
                  </a:extLst>
                </xdr:cNvPr>
                <xdr:cNvPicPr>
                  <a:picLocks noChangeAspect="1" noChangeArrowheads="1"/>
                </xdr:cNvPicPr>
              </xdr:nvPicPr>
              <xdr:blipFill>
                <a:blip xmlns:r="http://schemas.openxmlformats.org/officeDocument/2006/relationships" r:embed="rId3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33032" y="384834"/>
                  <a:ext cx="261600" cy="33288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3" name="TextBox 92">
                  <a:hlinkClick xmlns:r="http://schemas.openxmlformats.org/officeDocument/2006/relationships" r:id="rId31"/>
                  <a:extLst>
                    <a:ext uri="{FF2B5EF4-FFF2-40B4-BE49-F238E27FC236}">
                      <a16:creationId xmlns:a16="http://schemas.microsoft.com/office/drawing/2014/main" id="{2E83449C-00D4-4789-D3FC-AD8F79CCBEAC}"/>
                    </a:ext>
                  </a:extLst>
                </xdr:cNvPr>
                <xdr:cNvSpPr txBox="1"/>
              </xdr:nvSpPr>
              <xdr:spPr>
                <a:xfrm>
                  <a:off x="3637195" y="315564"/>
                  <a:ext cx="914586" cy="433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BALANCE SHEET</a:t>
                  </a:r>
                </a:p>
                <a:p>
                  <a:pPr algn="ctr"/>
                  <a:r>
                    <a:rPr lang="en-US" sz="900" b="1">
                      <a:solidFill>
                        <a:schemeClr val="bg1"/>
                      </a:solidFill>
                    </a:rPr>
                    <a:t>SUMMARY</a:t>
                  </a:r>
                </a:p>
              </xdr:txBody>
            </xdr:sp>
            <xdr:pic>
              <xdr:nvPicPr>
                <xdr:cNvPr id="94" name="Picture 93">
                  <a:hlinkClick xmlns:r="http://schemas.openxmlformats.org/officeDocument/2006/relationships" r:id="rId33"/>
                  <a:extLst>
                    <a:ext uri="{FF2B5EF4-FFF2-40B4-BE49-F238E27FC236}">
                      <a16:creationId xmlns:a16="http://schemas.microsoft.com/office/drawing/2014/main" id="{A76EFA09-2054-04D4-4B94-8BBE883F51DA}"/>
                    </a:ext>
                  </a:extLst>
                </xdr:cNvPr>
                <xdr:cNvPicPr>
                  <a:picLocks noChangeAspect="1" noChangeArrowheads="1"/>
                </xdr:cNvPicPr>
              </xdr:nvPicPr>
              <xdr:blipFill>
                <a:blip xmlns:r="http://schemas.openxmlformats.org/officeDocument/2006/relationships" r:embed="rId34" cstate="print">
                  <a:clrChange>
                    <a:clrFrom>
                      <a:srgbClr val="F8F8F8"/>
                    </a:clrFrom>
                    <a:clrTo>
                      <a:srgbClr val="F8F8F8">
                        <a:alpha val="0"/>
                      </a:srgbClr>
                    </a:clrTo>
                  </a:clrChange>
                  <a:extLst>
                    <a:ext uri="{28A0092B-C50C-407E-A947-70E740481C1C}">
                      <a14:useLocalDpi xmlns:a14="http://schemas.microsoft.com/office/drawing/2010/main" val="0"/>
                    </a:ext>
                  </a:extLst>
                </a:blip>
                <a:srcRect/>
                <a:stretch>
                  <a:fillRect/>
                </a:stretch>
              </xdr:blipFill>
              <xdr:spPr bwMode="auto">
                <a:xfrm>
                  <a:off x="4602713" y="384834"/>
                  <a:ext cx="326621" cy="3113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5" name="TextBox 94">
                  <a:hlinkClick xmlns:r="http://schemas.openxmlformats.org/officeDocument/2006/relationships" r:id="rId33"/>
                  <a:extLst>
                    <a:ext uri="{FF2B5EF4-FFF2-40B4-BE49-F238E27FC236}">
                      <a16:creationId xmlns:a16="http://schemas.microsoft.com/office/drawing/2014/main" id="{82A35760-81C7-0415-6414-BE500265D5F5}"/>
                    </a:ext>
                  </a:extLst>
                </xdr:cNvPr>
                <xdr:cNvSpPr txBox="1"/>
              </xdr:nvSpPr>
              <xdr:spPr>
                <a:xfrm>
                  <a:off x="4880678" y="423317"/>
                  <a:ext cx="56334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ASSETS</a:t>
                  </a:r>
                </a:p>
              </xdr:txBody>
            </xdr:sp>
            <xdr:pic>
              <xdr:nvPicPr>
                <xdr:cNvPr id="96" name="Picture 95">
                  <a:hlinkClick xmlns:r="http://schemas.openxmlformats.org/officeDocument/2006/relationships" r:id="rId35"/>
                  <a:extLst>
                    <a:ext uri="{FF2B5EF4-FFF2-40B4-BE49-F238E27FC236}">
                      <a16:creationId xmlns:a16="http://schemas.microsoft.com/office/drawing/2014/main" id="{B0B79FB4-9475-E15C-11B3-956C3A683438}"/>
                    </a:ext>
                  </a:extLst>
                </xdr:cNvPr>
                <xdr:cNvPicPr>
                  <a:picLocks noChangeAspect="1" noChangeArrowheads="1"/>
                </xdr:cNvPicPr>
              </xdr:nvPicPr>
              <xdr:blipFill>
                <a:blip xmlns:r="http://schemas.openxmlformats.org/officeDocument/2006/relationships" r:embed="rId3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35903" y="354046"/>
                  <a:ext cx="278234" cy="3540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7" name="TextBox 96">
                  <a:hlinkClick xmlns:r="http://schemas.openxmlformats.org/officeDocument/2006/relationships" r:id="rId35"/>
                  <a:extLst>
                    <a:ext uri="{FF2B5EF4-FFF2-40B4-BE49-F238E27FC236}">
                      <a16:creationId xmlns:a16="http://schemas.microsoft.com/office/drawing/2014/main" id="{7E0C735B-2D63-D7AB-DB34-3C5A4312CCCA}"/>
                    </a:ext>
                  </a:extLst>
                </xdr:cNvPr>
                <xdr:cNvSpPr txBox="1"/>
              </xdr:nvSpPr>
              <xdr:spPr>
                <a:xfrm>
                  <a:off x="5717678" y="431014"/>
                  <a:ext cx="750091"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LIABILITIES</a:t>
                  </a:r>
                </a:p>
              </xdr:txBody>
            </xdr:sp>
            <xdr:pic>
              <xdr:nvPicPr>
                <xdr:cNvPr id="98" name="Picture 97">
                  <a:hlinkClick xmlns:r="http://schemas.openxmlformats.org/officeDocument/2006/relationships" r:id="rId37"/>
                  <a:extLst>
                    <a:ext uri="{FF2B5EF4-FFF2-40B4-BE49-F238E27FC236}">
                      <a16:creationId xmlns:a16="http://schemas.microsoft.com/office/drawing/2014/main" id="{19BC54FD-478F-3AAF-DE1E-CB72D6F8D59E}"/>
                    </a:ext>
                  </a:extLst>
                </xdr:cNvPr>
                <xdr:cNvPicPr>
                  <a:picLocks noChangeAspect="1"/>
                </xdr:cNvPicPr>
              </xdr:nvPicPr>
              <xdr:blipFill>
                <a:blip xmlns:r="http://schemas.openxmlformats.org/officeDocument/2006/relationships" r:embed="rId38">
                  <a:clrChange>
                    <a:clrFrom>
                      <a:srgbClr val="FFFFFF"/>
                    </a:clrFrom>
                    <a:clrTo>
                      <a:srgbClr val="FFFFFF">
                        <a:alpha val="0"/>
                      </a:srgbClr>
                    </a:clrTo>
                  </a:clrChange>
                </a:blip>
                <a:stretch>
                  <a:fillRect/>
                </a:stretch>
              </xdr:blipFill>
              <xdr:spPr>
                <a:xfrm>
                  <a:off x="6454424" y="361268"/>
                  <a:ext cx="368693" cy="354523"/>
                </a:xfrm>
                <a:prstGeom prst="rect">
                  <a:avLst/>
                </a:prstGeom>
              </xdr:spPr>
            </xdr:pic>
            <xdr:sp macro="" textlink="">
              <xdr:nvSpPr>
                <xdr:cNvPr id="99" name="TextBox 98">
                  <a:hlinkClick xmlns:r="http://schemas.openxmlformats.org/officeDocument/2006/relationships" r:id="rId37"/>
                  <a:extLst>
                    <a:ext uri="{FF2B5EF4-FFF2-40B4-BE49-F238E27FC236}">
                      <a16:creationId xmlns:a16="http://schemas.microsoft.com/office/drawing/2014/main" id="{3B528976-8BD0-5871-6903-8C40118DD5FE}"/>
                    </a:ext>
                  </a:extLst>
                </xdr:cNvPr>
                <xdr:cNvSpPr txBox="1"/>
              </xdr:nvSpPr>
              <xdr:spPr>
                <a:xfrm>
                  <a:off x="6742924" y="369440"/>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EDIT</a:t>
                  </a:r>
                </a:p>
                <a:p>
                  <a:r>
                    <a:rPr lang="en-US" sz="900" b="1">
                      <a:solidFill>
                        <a:schemeClr val="bg1"/>
                      </a:solidFill>
                    </a:rPr>
                    <a:t>CATEGORIES</a:t>
                  </a:r>
                </a:p>
              </xdr:txBody>
            </xdr:sp>
            <xdr:grpSp>
              <xdr:nvGrpSpPr>
                <xdr:cNvPr id="100" name="Group 99">
                  <a:hlinkClick xmlns:r="http://schemas.openxmlformats.org/officeDocument/2006/relationships" r:id="rId39"/>
                  <a:extLst>
                    <a:ext uri="{FF2B5EF4-FFF2-40B4-BE49-F238E27FC236}">
                      <a16:creationId xmlns:a16="http://schemas.microsoft.com/office/drawing/2014/main" id="{79496DC8-6B88-2CD0-7A9D-04886219C253}"/>
                    </a:ext>
                  </a:extLst>
                </xdr:cNvPr>
                <xdr:cNvGrpSpPr/>
              </xdr:nvGrpSpPr>
              <xdr:grpSpPr>
                <a:xfrm>
                  <a:off x="10231249" y="237461"/>
                  <a:ext cx="1281586" cy="502920"/>
                  <a:chOff x="11732389" y="237461"/>
                  <a:chExt cx="1281586" cy="502920"/>
                </a:xfrm>
              </xdr:grpSpPr>
              <xdr:pic>
                <xdr:nvPicPr>
                  <xdr:cNvPr id="101" name="Picture 100">
                    <a:hlinkClick xmlns:r="http://schemas.openxmlformats.org/officeDocument/2006/relationships" r:id="rId40"/>
                    <a:extLst>
                      <a:ext uri="{FF2B5EF4-FFF2-40B4-BE49-F238E27FC236}">
                        <a16:creationId xmlns:a16="http://schemas.microsoft.com/office/drawing/2014/main" id="{ED3BC4C8-738C-A265-E643-A20255023ABB}"/>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1732389" y="237461"/>
                    <a:ext cx="502920" cy="502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2" name="TextBox 101">
                    <a:hlinkClick xmlns:r="http://schemas.openxmlformats.org/officeDocument/2006/relationships" r:id="rId40"/>
                    <a:extLst>
                      <a:ext uri="{FF2B5EF4-FFF2-40B4-BE49-F238E27FC236}">
                        <a16:creationId xmlns:a16="http://schemas.microsoft.com/office/drawing/2014/main" id="{F2BF4FE6-55ED-5EAD-4F4C-F9EA4A26B4D1}"/>
                      </a:ext>
                    </a:extLst>
                  </xdr:cNvPr>
                  <xdr:cNvSpPr txBox="1"/>
                </xdr:nvSpPr>
                <xdr:spPr>
                  <a:xfrm>
                    <a:off x="12197209" y="344142"/>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 GAME APPS</a:t>
                    </a:r>
                  </a:p>
                </xdr:txBody>
              </xdr:sp>
            </xdr:grpSp>
          </xdr:grpSp>
          <xdr:grpSp>
            <xdr:nvGrpSpPr>
              <xdr:cNvPr id="61" name="Group 60">
                <a:extLst>
                  <a:ext uri="{FF2B5EF4-FFF2-40B4-BE49-F238E27FC236}">
                    <a16:creationId xmlns:a16="http://schemas.microsoft.com/office/drawing/2014/main" id="{6C8B9E62-5527-1121-B4A5-8D9E7A368C5C}"/>
                  </a:ext>
                </a:extLst>
              </xdr:cNvPr>
              <xdr:cNvGrpSpPr/>
            </xdr:nvGrpSpPr>
            <xdr:grpSpPr>
              <a:xfrm>
                <a:off x="3030070" y="313765"/>
                <a:ext cx="1219410" cy="438976"/>
                <a:chOff x="3030070" y="313765"/>
                <a:chExt cx="1219410" cy="438976"/>
              </a:xfrm>
            </xdr:grpSpPr>
            <xdr:sp macro="" textlink="">
              <xdr:nvSpPr>
                <xdr:cNvPr id="62" name="TextBox 61">
                  <a:hlinkClick xmlns:r="http://schemas.openxmlformats.org/officeDocument/2006/relationships" r:id="rId42"/>
                  <a:extLst>
                    <a:ext uri="{FF2B5EF4-FFF2-40B4-BE49-F238E27FC236}">
                      <a16:creationId xmlns:a16="http://schemas.microsoft.com/office/drawing/2014/main" id="{D968CBD6-7E11-14E2-B177-28F8845EF782}"/>
                    </a:ext>
                  </a:extLst>
                </xdr:cNvPr>
                <xdr:cNvSpPr txBox="1"/>
              </xdr:nvSpPr>
              <xdr:spPr>
                <a:xfrm>
                  <a:off x="3307528" y="313765"/>
                  <a:ext cx="941952" cy="43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BOOK KEEPING</a:t>
                  </a:r>
                </a:p>
                <a:p>
                  <a:pPr algn="ctr"/>
                  <a:r>
                    <a:rPr lang="en-US" sz="900" b="1">
                      <a:solidFill>
                        <a:schemeClr val="bg1"/>
                      </a:solidFill>
                    </a:rPr>
                    <a:t>LEDGER</a:t>
                  </a:r>
                </a:p>
              </xdr:txBody>
            </xdr:sp>
            <xdr:pic>
              <xdr:nvPicPr>
                <xdr:cNvPr id="63" name="Picture 62">
                  <a:hlinkClick xmlns:r="http://schemas.openxmlformats.org/officeDocument/2006/relationships" r:id="rId42"/>
                  <a:extLst>
                    <a:ext uri="{FF2B5EF4-FFF2-40B4-BE49-F238E27FC236}">
                      <a16:creationId xmlns:a16="http://schemas.microsoft.com/office/drawing/2014/main" id="{66600C09-6806-A847-FF78-9BB9194A5B17}"/>
                    </a:ext>
                  </a:extLst>
                </xdr:cNvPr>
                <xdr:cNvPicPr>
                  <a:picLocks noChangeAspect="1"/>
                </xdr:cNvPicPr>
              </xdr:nvPicPr>
              <xdr:blipFill>
                <a:blip xmlns:r="http://schemas.openxmlformats.org/officeDocument/2006/relationships" r:embed="rId4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0070" y="367554"/>
                  <a:ext cx="327770" cy="349622"/>
                </a:xfrm>
                <a:prstGeom prst="rect">
                  <a:avLst/>
                </a:prstGeom>
              </xdr:spPr>
            </xdr:pic>
          </xdr:grpSp>
        </xdr:grpSp>
        <xdr:grpSp>
          <xdr:nvGrpSpPr>
            <xdr:cNvPr id="57" name="Group 56">
              <a:extLst>
                <a:ext uri="{FF2B5EF4-FFF2-40B4-BE49-F238E27FC236}">
                  <a16:creationId xmlns:a16="http://schemas.microsoft.com/office/drawing/2014/main" id="{5E617485-2BC6-5E02-0F5F-8FBC3E504BA8}"/>
                </a:ext>
              </a:extLst>
            </xdr:cNvPr>
            <xdr:cNvGrpSpPr/>
          </xdr:nvGrpSpPr>
          <xdr:grpSpPr>
            <a:xfrm>
              <a:off x="12626340" y="243840"/>
              <a:ext cx="1344125" cy="571500"/>
              <a:chOff x="12626340" y="243840"/>
              <a:chExt cx="1344125" cy="571500"/>
            </a:xfrm>
          </xdr:grpSpPr>
          <xdr:pic>
            <xdr:nvPicPr>
              <xdr:cNvPr id="58" name="Picture 57">
                <a:hlinkClick xmlns:r="http://schemas.openxmlformats.org/officeDocument/2006/relationships" r:id="rId44"/>
                <a:extLst>
                  <a:ext uri="{FF2B5EF4-FFF2-40B4-BE49-F238E27FC236}">
                    <a16:creationId xmlns:a16="http://schemas.microsoft.com/office/drawing/2014/main" id="{4611E286-194D-510D-C079-292E9B92C88D}"/>
                  </a:ext>
                </a:extLst>
              </xdr:cNvPr>
              <xdr:cNvPicPr>
                <a:picLocks noChangeAspect="1" noChangeArrowheads="1"/>
              </xdr:cNvPicPr>
            </xdr:nvPicPr>
            <xdr:blipFill>
              <a:blip xmlns:r="http://schemas.openxmlformats.org/officeDocument/2006/relationships" r:embed="rId4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26340" y="243840"/>
                <a:ext cx="571500" cy="571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9" name="TextBox 58">
                <a:hlinkClick xmlns:r="http://schemas.openxmlformats.org/officeDocument/2006/relationships" r:id="rId44"/>
                <a:extLst>
                  <a:ext uri="{FF2B5EF4-FFF2-40B4-BE49-F238E27FC236}">
                    <a16:creationId xmlns:a16="http://schemas.microsoft.com/office/drawing/2014/main" id="{E810E3D7-F606-EA78-355A-EBD4283040CE}"/>
                  </a:ext>
                </a:extLst>
              </xdr:cNvPr>
              <xdr:cNvSpPr txBox="1"/>
            </xdr:nvSpPr>
            <xdr:spPr>
              <a:xfrm>
                <a:off x="13129260" y="327660"/>
                <a:ext cx="841205" cy="4000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TRAVEL</a:t>
                </a:r>
              </a:p>
              <a:p>
                <a:pPr algn="ctr"/>
                <a:r>
                  <a:rPr lang="en-US" sz="900" b="1">
                    <a:solidFill>
                      <a:schemeClr val="bg1"/>
                    </a:solidFill>
                  </a:rPr>
                  <a:t>SANDBOX</a:t>
                </a:r>
              </a:p>
            </xdr:txBody>
          </xdr:sp>
        </xdr:grpSp>
      </xdr:grpSp>
      <xdr:pic>
        <xdr:nvPicPr>
          <xdr:cNvPr id="55" name="Picture 54">
            <a:hlinkClick xmlns:r="http://schemas.openxmlformats.org/officeDocument/2006/relationships" r:id="rId12"/>
            <a:extLst>
              <a:ext uri="{FF2B5EF4-FFF2-40B4-BE49-F238E27FC236}">
                <a16:creationId xmlns:a16="http://schemas.microsoft.com/office/drawing/2014/main" id="{1EC843F1-5859-B326-429C-E2B71F1DD648}"/>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6134100" y="30480"/>
            <a:ext cx="234698" cy="246078"/>
          </a:xfrm>
          <a:prstGeom prst="rect">
            <a:avLst/>
          </a:prstGeom>
          <a:solidFill>
            <a:srgbClr val="7FA6C7"/>
          </a:solidFill>
        </xdr:spPr>
      </xdr:pic>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783232</xdr:colOff>
      <xdr:row>10</xdr:row>
      <xdr:rowOff>11430</xdr:rowOff>
    </xdr:from>
    <xdr:to>
      <xdr:col>8</xdr:col>
      <xdr:colOff>480631</xdr:colOff>
      <xdr:row>10</xdr:row>
      <xdr:rowOff>337163</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F5FC7686-80B9-415D-93BD-950DF6179427}"/>
            </a:ext>
          </a:extLst>
        </xdr:cNvPr>
        <xdr:cNvSpPr/>
      </xdr:nvSpPr>
      <xdr:spPr>
        <a:xfrm>
          <a:off x="7953652" y="2952750"/>
          <a:ext cx="1488099" cy="325733"/>
        </a:xfrm>
        <a:prstGeom prst="roundRect">
          <a:avLst/>
        </a:prstGeom>
        <a:solidFill>
          <a:srgbClr val="A2BED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latin typeface="+mn-lt"/>
              <a:cs typeface="Arial" panose="020B0604020202020204" pitchFamily="34" charset="0"/>
            </a:rPr>
            <a:t>Check Update</a:t>
          </a:r>
        </a:p>
      </xdr:txBody>
    </xdr:sp>
    <xdr:clientData/>
  </xdr:twoCellAnchor>
  <xdr:twoCellAnchor editAs="oneCell">
    <xdr:from>
      <xdr:col>10</xdr:col>
      <xdr:colOff>396240</xdr:colOff>
      <xdr:row>10</xdr:row>
      <xdr:rowOff>22860</xdr:rowOff>
    </xdr:from>
    <xdr:to>
      <xdr:col>12</xdr:col>
      <xdr:colOff>324041</xdr:colOff>
      <xdr:row>10</xdr:row>
      <xdr:rowOff>350520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466B317A-733D-49F6-9059-DE56A9912340}"/>
            </a:ext>
          </a:extLst>
        </xdr:cNvPr>
        <xdr:cNvSpPr/>
      </xdr:nvSpPr>
      <xdr:spPr>
        <a:xfrm>
          <a:off x="10706100" y="2964180"/>
          <a:ext cx="1497521" cy="327660"/>
        </a:xfrm>
        <a:prstGeom prst="roundRect">
          <a:avLst/>
        </a:prstGeom>
        <a:solidFill>
          <a:srgbClr val="A2BED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latin typeface="+mn-lt"/>
              <a:cs typeface="Arial" panose="020B0604020202020204" pitchFamily="34" charset="0"/>
            </a:rPr>
            <a:t>Book</a:t>
          </a:r>
          <a:r>
            <a:rPr lang="en-US" sz="1050" b="1" baseline="0">
              <a:solidFill>
                <a:schemeClr val="bg1"/>
              </a:solidFill>
              <a:latin typeface="+mn-lt"/>
              <a:cs typeface="Arial" panose="020B0604020202020204" pitchFamily="34" charset="0"/>
            </a:rPr>
            <a:t> My AirBnb</a:t>
          </a:r>
          <a:endParaRPr lang="en-US" sz="1050" b="1">
            <a:solidFill>
              <a:schemeClr val="bg1"/>
            </a:solidFill>
            <a:latin typeface="+mn-lt"/>
            <a:cs typeface="Arial" panose="020B0604020202020204" pitchFamily="34" charset="0"/>
          </a:endParaRPr>
        </a:p>
      </xdr:txBody>
    </xdr:sp>
    <xdr:clientData/>
  </xdr:twoCellAnchor>
  <xdr:twoCellAnchor>
    <xdr:from>
      <xdr:col>6</xdr:col>
      <xdr:colOff>0</xdr:colOff>
      <xdr:row>11</xdr:row>
      <xdr:rowOff>365854</xdr:rowOff>
    </xdr:from>
    <xdr:to>
      <xdr:col>11</xdr:col>
      <xdr:colOff>633032</xdr:colOff>
      <xdr:row>18</xdr:row>
      <xdr:rowOff>15239</xdr:rowOff>
    </xdr:to>
    <xdr:pic>
      <xdr:nvPicPr>
        <xdr:cNvPr id="7" name="Picture 6">
          <a:hlinkClick xmlns:r="http://schemas.openxmlformats.org/officeDocument/2006/relationships" r:id="rId1"/>
          <a:extLst>
            <a:ext uri="{FF2B5EF4-FFF2-40B4-BE49-F238E27FC236}">
              <a16:creationId xmlns:a16="http://schemas.microsoft.com/office/drawing/2014/main" id="{9EE6A782-E68A-AC96-D024-D4AFB68320E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00160" y="3871054"/>
          <a:ext cx="4557332" cy="2316385"/>
        </a:xfrm>
        <a:prstGeom prst="rect">
          <a:avLst/>
        </a:prstGeom>
      </xdr:spPr>
    </xdr:pic>
    <xdr:clientData/>
  </xdr:twoCellAnchor>
  <xdr:twoCellAnchor>
    <xdr:from>
      <xdr:col>1</xdr:col>
      <xdr:colOff>662940</xdr:colOff>
      <xdr:row>0</xdr:row>
      <xdr:rowOff>0</xdr:rowOff>
    </xdr:from>
    <xdr:to>
      <xdr:col>10</xdr:col>
      <xdr:colOff>533157</xdr:colOff>
      <xdr:row>2</xdr:row>
      <xdr:rowOff>53340</xdr:rowOff>
    </xdr:to>
    <xdr:grpSp>
      <xdr:nvGrpSpPr>
        <xdr:cNvPr id="53" name="Group 52">
          <a:extLst>
            <a:ext uri="{FF2B5EF4-FFF2-40B4-BE49-F238E27FC236}">
              <a16:creationId xmlns:a16="http://schemas.microsoft.com/office/drawing/2014/main" id="{0DD2767D-B605-49AA-8A6B-1B29F90FFBB7}"/>
            </a:ext>
          </a:extLst>
        </xdr:cNvPr>
        <xdr:cNvGrpSpPr/>
      </xdr:nvGrpSpPr>
      <xdr:grpSpPr>
        <a:xfrm>
          <a:off x="899160" y="0"/>
          <a:ext cx="11894577" cy="815340"/>
          <a:chOff x="2194560" y="0"/>
          <a:chExt cx="11894577" cy="815340"/>
        </a:xfrm>
      </xdr:grpSpPr>
      <xdr:grpSp>
        <xdr:nvGrpSpPr>
          <xdr:cNvPr id="54" name="Group 53">
            <a:extLst>
              <a:ext uri="{FF2B5EF4-FFF2-40B4-BE49-F238E27FC236}">
                <a16:creationId xmlns:a16="http://schemas.microsoft.com/office/drawing/2014/main" id="{B655346D-22F1-3FE3-AA8E-29DA43C062DC}"/>
              </a:ext>
            </a:extLst>
          </xdr:cNvPr>
          <xdr:cNvGrpSpPr/>
        </xdr:nvGrpSpPr>
        <xdr:grpSpPr>
          <a:xfrm>
            <a:off x="2194560" y="0"/>
            <a:ext cx="11894577" cy="815340"/>
            <a:chOff x="2194560" y="0"/>
            <a:chExt cx="11894577" cy="815340"/>
          </a:xfrm>
        </xdr:grpSpPr>
        <xdr:grpSp>
          <xdr:nvGrpSpPr>
            <xdr:cNvPr id="56" name="Group 55">
              <a:extLst>
                <a:ext uri="{FF2B5EF4-FFF2-40B4-BE49-F238E27FC236}">
                  <a16:creationId xmlns:a16="http://schemas.microsoft.com/office/drawing/2014/main" id="{EFA13304-801F-8644-1658-5D34D543369E}"/>
                </a:ext>
              </a:extLst>
            </xdr:cNvPr>
            <xdr:cNvGrpSpPr/>
          </xdr:nvGrpSpPr>
          <xdr:grpSpPr>
            <a:xfrm>
              <a:off x="2194560" y="0"/>
              <a:ext cx="11894577" cy="773812"/>
              <a:chOff x="2160046" y="0"/>
              <a:chExt cx="11894577" cy="773812"/>
            </a:xfrm>
          </xdr:grpSpPr>
          <xdr:grpSp>
            <xdr:nvGrpSpPr>
              <xdr:cNvPr id="60" name="Group 59">
                <a:extLst>
                  <a:ext uri="{FF2B5EF4-FFF2-40B4-BE49-F238E27FC236}">
                    <a16:creationId xmlns:a16="http://schemas.microsoft.com/office/drawing/2014/main" id="{CCCAE30F-0BF7-2587-4FED-56F302F4E557}"/>
                  </a:ext>
                </a:extLst>
              </xdr:cNvPr>
              <xdr:cNvGrpSpPr/>
            </xdr:nvGrpSpPr>
            <xdr:grpSpPr>
              <a:xfrm>
                <a:off x="2160046" y="0"/>
                <a:ext cx="11894577" cy="773812"/>
                <a:chOff x="1310640" y="0"/>
                <a:chExt cx="11549013" cy="764847"/>
              </a:xfrm>
            </xdr:grpSpPr>
            <xdr:pic>
              <xdr:nvPicPr>
                <xdr:cNvPr id="64" name="Picture 63">
                  <a:hlinkClick xmlns:r="http://schemas.openxmlformats.org/officeDocument/2006/relationships" r:id="rId1"/>
                  <a:extLst>
                    <a:ext uri="{FF2B5EF4-FFF2-40B4-BE49-F238E27FC236}">
                      <a16:creationId xmlns:a16="http://schemas.microsoft.com/office/drawing/2014/main" id="{35EC4095-6E5A-FF22-D919-4AE9DB1EB7FB}"/>
                    </a:ext>
                  </a:extLst>
                </xdr:cNvPr>
                <xdr:cNvPicPr>
                  <a:picLocks/>
                </xdr:cNvPicPr>
              </xdr:nvPicPr>
              <xdr:blipFill>
                <a:blip xmlns:r="http://schemas.openxmlformats.org/officeDocument/2006/relationships" r:embed="rId3" cstate="print">
                  <a:alphaModFix/>
                  <a:extLst>
                    <a:ext uri="{28A0092B-C50C-407E-A947-70E740481C1C}">
                      <a14:useLocalDpi xmlns:a14="http://schemas.microsoft.com/office/drawing/2010/main" val="0"/>
                    </a:ext>
                  </a:extLst>
                </a:blip>
                <a:srcRect/>
                <a:stretch/>
              </xdr:blipFill>
              <xdr:spPr>
                <a:xfrm>
                  <a:off x="1310640" y="46180"/>
                  <a:ext cx="499211" cy="554546"/>
                </a:xfrm>
                <a:prstGeom prst="rect">
                  <a:avLst/>
                </a:prstGeom>
              </xdr:spPr>
            </xdr:pic>
            <xdr:pic>
              <xdr:nvPicPr>
                <xdr:cNvPr id="65" name="Picture 64">
                  <a:hlinkClick xmlns:r="http://schemas.openxmlformats.org/officeDocument/2006/relationships" r:id="rId4"/>
                  <a:extLst>
                    <a:ext uri="{FF2B5EF4-FFF2-40B4-BE49-F238E27FC236}">
                      <a16:creationId xmlns:a16="http://schemas.microsoft.com/office/drawing/2014/main" id="{885E9AD9-6F46-449C-A1B3-709249898AFA}"/>
                    </a:ext>
                  </a:extLst>
                </xdr:cNvPr>
                <xdr:cNvPicPr>
                  <a:picLocks noChangeAspect="1" noChangeArrowheads="1"/>
                </xdr:cNvPicPr>
              </xdr:nvPicPr>
              <xdr:blipFill>
                <a:blip xmlns:r="http://schemas.openxmlformats.org/officeDocument/2006/relationships" r:embed="rId5" cstate="print">
                  <a:alphaModFix/>
                  <a:extLst>
                    <a:ext uri="{28A0092B-C50C-407E-A947-70E740481C1C}">
                      <a14:useLocalDpi xmlns:a14="http://schemas.microsoft.com/office/drawing/2010/main" val="0"/>
                    </a:ext>
                  </a:extLst>
                </a:blip>
                <a:srcRect/>
                <a:stretch>
                  <a:fillRect/>
                </a:stretch>
              </xdr:blipFill>
              <xdr:spPr bwMode="auto">
                <a:xfrm>
                  <a:off x="2163693" y="30823"/>
                  <a:ext cx="214188" cy="2260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6" name="TextBox 65">
                  <a:hlinkClick xmlns:r="http://schemas.openxmlformats.org/officeDocument/2006/relationships" r:id="rId4"/>
                  <a:extLst>
                    <a:ext uri="{FF2B5EF4-FFF2-40B4-BE49-F238E27FC236}">
                      <a16:creationId xmlns:a16="http://schemas.microsoft.com/office/drawing/2014/main" id="{0F2EDCE9-D063-A393-44BF-91F3E55D4A37}"/>
                    </a:ext>
                  </a:extLst>
                </xdr:cNvPr>
                <xdr:cNvSpPr txBox="1"/>
              </xdr:nvSpPr>
              <xdr:spPr>
                <a:xfrm>
                  <a:off x="2369194" y="17046"/>
                  <a:ext cx="846446" cy="25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US" sz="900" b="1">
                      <a:solidFill>
                        <a:schemeClr val="bg1"/>
                      </a:solidFill>
                    </a:rPr>
                    <a:t>DASHBOARD</a:t>
                  </a:r>
                </a:p>
              </xdr:txBody>
            </xdr:sp>
            <xdr:pic>
              <xdr:nvPicPr>
                <xdr:cNvPr id="67" name="Picture 66">
                  <a:hlinkClick xmlns:r="http://schemas.openxmlformats.org/officeDocument/2006/relationships" r:id="rId6"/>
                  <a:extLst>
                    <a:ext uri="{FF2B5EF4-FFF2-40B4-BE49-F238E27FC236}">
                      <a16:creationId xmlns:a16="http://schemas.microsoft.com/office/drawing/2014/main" id="{C6394B1D-DDD1-B1CE-B863-7D6CD888D45B}"/>
                    </a:ext>
                  </a:extLst>
                </xdr:cNvPr>
                <xdr:cNvPicPr>
                  <a:picLocks noChangeAspect="1" noChangeArrowheads="1"/>
                </xdr:cNvPicPr>
              </xdr:nvPicPr>
              <xdr:blipFill>
                <a:blip xmlns:r="http://schemas.openxmlformats.org/officeDocument/2006/relationships" r:embed="rId7" cstate="print">
                  <a:alphaModFix/>
                  <a:extLst>
                    <a:ext uri="{28A0092B-C50C-407E-A947-70E740481C1C}">
                      <a14:useLocalDpi xmlns:a14="http://schemas.microsoft.com/office/drawing/2010/main" val="0"/>
                    </a:ext>
                  </a:extLst>
                </a:blip>
                <a:srcRect/>
                <a:stretch>
                  <a:fillRect/>
                </a:stretch>
              </xdr:blipFill>
              <xdr:spPr bwMode="auto">
                <a:xfrm>
                  <a:off x="8461655" y="433462"/>
                  <a:ext cx="214188" cy="20819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8" name="TextBox 67">
                  <a:hlinkClick xmlns:r="http://schemas.openxmlformats.org/officeDocument/2006/relationships" r:id="rId6"/>
                  <a:extLst>
                    <a:ext uri="{FF2B5EF4-FFF2-40B4-BE49-F238E27FC236}">
                      <a16:creationId xmlns:a16="http://schemas.microsoft.com/office/drawing/2014/main" id="{BA7CE1F3-8369-A8C7-DB0A-1F4EF6CA93FE}"/>
                    </a:ext>
                  </a:extLst>
                </xdr:cNvPr>
                <xdr:cNvSpPr txBox="1"/>
              </xdr:nvSpPr>
              <xdr:spPr>
                <a:xfrm>
                  <a:off x="8647283" y="413913"/>
                  <a:ext cx="56836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REPORTS</a:t>
                  </a:r>
                </a:p>
              </xdr:txBody>
            </xdr:sp>
            <xdr:pic>
              <xdr:nvPicPr>
                <xdr:cNvPr id="69" name="Picture 68">
                  <a:hlinkClick xmlns:r="http://schemas.openxmlformats.org/officeDocument/2006/relationships" r:id="rId8"/>
                  <a:extLst>
                    <a:ext uri="{FF2B5EF4-FFF2-40B4-BE49-F238E27FC236}">
                      <a16:creationId xmlns:a16="http://schemas.microsoft.com/office/drawing/2014/main" id="{EE4543FE-3A74-6400-BDCD-82EFCB180DDC}"/>
                    </a:ext>
                  </a:extLst>
                </xdr:cNvPr>
                <xdr:cNvPicPr>
                  <a:picLocks noChangeAspect="1"/>
                </xdr:cNvPicPr>
              </xdr:nvPicPr>
              <xdr:blipFill>
                <a:blip xmlns:r="http://schemas.openxmlformats.org/officeDocument/2006/relationships" r:embed="rId9" cstate="print">
                  <a:alphaModFix/>
                  <a:extLst>
                    <a:ext uri="{28A0092B-C50C-407E-A947-70E740481C1C}">
                      <a14:useLocalDpi xmlns:a14="http://schemas.microsoft.com/office/drawing/2010/main" val="0"/>
                    </a:ext>
                  </a:extLst>
                </a:blip>
                <a:stretch>
                  <a:fillRect/>
                </a:stretch>
              </xdr:blipFill>
              <xdr:spPr>
                <a:xfrm>
                  <a:off x="6903860" y="19549"/>
                  <a:ext cx="214187" cy="248554"/>
                </a:xfrm>
                <a:prstGeom prst="rect">
                  <a:avLst/>
                </a:prstGeom>
              </xdr:spPr>
            </xdr:pic>
            <xdr:sp macro="" textlink="">
              <xdr:nvSpPr>
                <xdr:cNvPr id="70" name="TextBox 69">
                  <a:hlinkClick xmlns:r="http://schemas.openxmlformats.org/officeDocument/2006/relationships" r:id="rId8"/>
                  <a:extLst>
                    <a:ext uri="{FF2B5EF4-FFF2-40B4-BE49-F238E27FC236}">
                      <a16:creationId xmlns:a16="http://schemas.microsoft.com/office/drawing/2014/main" id="{59B175D4-1AB6-BFCB-22E7-F3EB96C4B491}"/>
                    </a:ext>
                  </a:extLst>
                </xdr:cNvPr>
                <xdr:cNvSpPr txBox="1"/>
              </xdr:nvSpPr>
              <xdr:spPr>
                <a:xfrm>
                  <a:off x="7099062" y="0"/>
                  <a:ext cx="67589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MORTGAGE</a:t>
                  </a:r>
                </a:p>
              </xdr:txBody>
            </xdr:sp>
            <xdr:sp macro="" textlink="">
              <xdr:nvSpPr>
                <xdr:cNvPr id="71" name="TextBox 70">
                  <a:hlinkClick xmlns:r="http://schemas.openxmlformats.org/officeDocument/2006/relationships" r:id="rId10"/>
                  <a:extLst>
                    <a:ext uri="{FF2B5EF4-FFF2-40B4-BE49-F238E27FC236}">
                      <a16:creationId xmlns:a16="http://schemas.microsoft.com/office/drawing/2014/main" id="{C02E3B8F-68D6-4BFF-9524-F3382D950DA7}"/>
                    </a:ext>
                  </a:extLst>
                </xdr:cNvPr>
                <xdr:cNvSpPr txBox="1"/>
              </xdr:nvSpPr>
              <xdr:spPr>
                <a:xfrm>
                  <a:off x="6375474" y="0"/>
                  <a:ext cx="381400"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DEBT</a:t>
                  </a:r>
                </a:p>
              </xdr:txBody>
            </xdr:sp>
            <xdr:pic>
              <xdr:nvPicPr>
                <xdr:cNvPr id="72" name="Picture 71">
                  <a:hlinkClick xmlns:r="http://schemas.openxmlformats.org/officeDocument/2006/relationships" r:id="rId10"/>
                  <a:extLst>
                    <a:ext uri="{FF2B5EF4-FFF2-40B4-BE49-F238E27FC236}">
                      <a16:creationId xmlns:a16="http://schemas.microsoft.com/office/drawing/2014/main" id="{3B43F7E3-D1F8-1055-B0CE-CAAAB33F28C0}"/>
                    </a:ext>
                  </a:extLst>
                </xdr:cNvPr>
                <xdr:cNvPicPr>
                  <a:picLocks noChangeAspect="1"/>
                </xdr:cNvPicPr>
              </xdr:nvPicPr>
              <xdr:blipFill>
                <a:blip xmlns:r="http://schemas.openxmlformats.org/officeDocument/2006/relationships" r:embed="rId11" cstate="print">
                  <a:alphaModFix/>
                  <a:extLst>
                    <a:ext uri="{28A0092B-C50C-407E-A947-70E740481C1C}">
                      <a14:useLocalDpi xmlns:a14="http://schemas.microsoft.com/office/drawing/2010/main" val="0"/>
                    </a:ext>
                  </a:extLst>
                </a:blip>
                <a:stretch>
                  <a:fillRect/>
                </a:stretch>
              </xdr:blipFill>
              <xdr:spPr>
                <a:xfrm>
                  <a:off x="6158378" y="19549"/>
                  <a:ext cx="214188" cy="248554"/>
                </a:xfrm>
                <a:prstGeom prst="rect">
                  <a:avLst/>
                </a:prstGeom>
              </xdr:spPr>
            </xdr:pic>
            <xdr:sp macro="" textlink="">
              <xdr:nvSpPr>
                <xdr:cNvPr id="73" name="TextBox 72">
                  <a:hlinkClick xmlns:r="http://schemas.openxmlformats.org/officeDocument/2006/relationships" r:id="rId12"/>
                  <a:extLst>
                    <a:ext uri="{FF2B5EF4-FFF2-40B4-BE49-F238E27FC236}">
                      <a16:creationId xmlns:a16="http://schemas.microsoft.com/office/drawing/2014/main" id="{0CA8D055-0ADD-5FF9-1B7A-E2A0000280E0}"/>
                    </a:ext>
                  </a:extLst>
                </xdr:cNvPr>
                <xdr:cNvSpPr txBox="1"/>
              </xdr:nvSpPr>
              <xdr:spPr>
                <a:xfrm>
                  <a:off x="5370816" y="37659"/>
                  <a:ext cx="64057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FORECASTS</a:t>
                  </a:r>
                </a:p>
              </xdr:txBody>
            </xdr:sp>
            <xdr:sp macro="" textlink="">
              <xdr:nvSpPr>
                <xdr:cNvPr id="74" name="TextBox 73">
                  <a:hlinkClick xmlns:r="http://schemas.openxmlformats.org/officeDocument/2006/relationships" r:id="rId13"/>
                  <a:extLst>
                    <a:ext uri="{FF2B5EF4-FFF2-40B4-BE49-F238E27FC236}">
                      <a16:creationId xmlns:a16="http://schemas.microsoft.com/office/drawing/2014/main" id="{7CD9D499-681B-C21D-32C2-75DE197BA13E}"/>
                    </a:ext>
                  </a:extLst>
                </xdr:cNvPr>
                <xdr:cNvSpPr txBox="1"/>
              </xdr:nvSpPr>
              <xdr:spPr>
                <a:xfrm>
                  <a:off x="8104032" y="0"/>
                  <a:ext cx="7732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a:t>
                  </a:r>
                  <a:r>
                    <a:rPr lang="en-US" sz="900" b="1" baseline="0">
                      <a:solidFill>
                        <a:schemeClr val="bg1"/>
                      </a:solidFill>
                    </a:rPr>
                    <a:t> (M)</a:t>
                  </a:r>
                  <a:endParaRPr lang="en-US" sz="900" b="1">
                    <a:solidFill>
                      <a:schemeClr val="bg1"/>
                    </a:solidFill>
                  </a:endParaRPr>
                </a:p>
              </xdr:txBody>
            </xdr:sp>
            <xdr:pic>
              <xdr:nvPicPr>
                <xdr:cNvPr id="75" name="Picture 74">
                  <a:hlinkClick xmlns:r="http://schemas.openxmlformats.org/officeDocument/2006/relationships" r:id="rId13"/>
                  <a:extLst>
                    <a:ext uri="{FF2B5EF4-FFF2-40B4-BE49-F238E27FC236}">
                      <a16:creationId xmlns:a16="http://schemas.microsoft.com/office/drawing/2014/main" id="{5B63D27D-6833-9E61-073A-F2E955298879}"/>
                    </a:ext>
                  </a:extLst>
                </xdr:cNvPr>
                <xdr:cNvPicPr>
                  <a:picLocks noChangeAspect="1"/>
                </xdr:cNvPicPr>
              </xdr:nvPicPr>
              <xdr:blipFill>
                <a:blip xmlns:r="http://schemas.openxmlformats.org/officeDocument/2006/relationships" r:embed="rId14" cstate="print">
                  <a:alphaModFix/>
                  <a:extLst>
                    <a:ext uri="{28A0092B-C50C-407E-A947-70E740481C1C}">
                      <a14:useLocalDpi xmlns:a14="http://schemas.microsoft.com/office/drawing/2010/main" val="0"/>
                    </a:ext>
                  </a:extLst>
                </a:blip>
                <a:stretch>
                  <a:fillRect/>
                </a:stretch>
              </xdr:blipFill>
              <xdr:spPr>
                <a:xfrm>
                  <a:off x="7921943" y="19549"/>
                  <a:ext cx="214188" cy="248554"/>
                </a:xfrm>
                <a:prstGeom prst="rect">
                  <a:avLst/>
                </a:prstGeom>
              </xdr:spPr>
            </xdr:pic>
            <xdr:sp macro="" textlink="">
              <xdr:nvSpPr>
                <xdr:cNvPr id="76" name="TextBox 75">
                  <a:hlinkClick xmlns:r="http://schemas.openxmlformats.org/officeDocument/2006/relationships" r:id="rId15"/>
                  <a:extLst>
                    <a:ext uri="{FF2B5EF4-FFF2-40B4-BE49-F238E27FC236}">
                      <a16:creationId xmlns:a16="http://schemas.microsoft.com/office/drawing/2014/main" id="{486BAE04-E7DB-E298-02FA-099A6C669E23}"/>
                    </a:ext>
                  </a:extLst>
                </xdr:cNvPr>
                <xdr:cNvSpPr txBox="1"/>
              </xdr:nvSpPr>
              <xdr:spPr>
                <a:xfrm>
                  <a:off x="9978309" y="0"/>
                  <a:ext cx="687187"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 (Y)</a:t>
                  </a:r>
                </a:p>
              </xdr:txBody>
            </xdr:sp>
            <xdr:pic>
              <xdr:nvPicPr>
                <xdr:cNvPr id="77" name="Picture 76">
                  <a:hlinkClick xmlns:r="http://schemas.openxmlformats.org/officeDocument/2006/relationships" r:id="rId15"/>
                  <a:extLst>
                    <a:ext uri="{FF2B5EF4-FFF2-40B4-BE49-F238E27FC236}">
                      <a16:creationId xmlns:a16="http://schemas.microsoft.com/office/drawing/2014/main" id="{F691B8B6-4750-CF25-0FB7-869983C2A970}"/>
                    </a:ext>
                  </a:extLst>
                </xdr:cNvPr>
                <xdr:cNvPicPr>
                  <a:picLocks noChangeAspect="1"/>
                </xdr:cNvPicPr>
              </xdr:nvPicPr>
              <xdr:blipFill>
                <a:blip xmlns:r="http://schemas.openxmlformats.org/officeDocument/2006/relationships" r:embed="rId16" cstate="print">
                  <a:alphaModFix/>
                  <a:extLst>
                    <a:ext uri="{28A0092B-C50C-407E-A947-70E740481C1C}">
                      <a14:useLocalDpi xmlns:a14="http://schemas.microsoft.com/office/drawing/2010/main" val="0"/>
                    </a:ext>
                  </a:extLst>
                </a:blip>
                <a:stretch>
                  <a:fillRect/>
                </a:stretch>
              </xdr:blipFill>
              <xdr:spPr>
                <a:xfrm>
                  <a:off x="9777770" y="19549"/>
                  <a:ext cx="214188" cy="248554"/>
                </a:xfrm>
                <a:prstGeom prst="rect">
                  <a:avLst/>
                </a:prstGeom>
              </xdr:spPr>
            </xdr:pic>
            <xdr:sp macro="" textlink="">
              <xdr:nvSpPr>
                <xdr:cNvPr id="78" name="TextBox 77">
                  <a:hlinkClick xmlns:r="http://schemas.openxmlformats.org/officeDocument/2006/relationships" r:id="rId17"/>
                  <a:extLst>
                    <a:ext uri="{FF2B5EF4-FFF2-40B4-BE49-F238E27FC236}">
                      <a16:creationId xmlns:a16="http://schemas.microsoft.com/office/drawing/2014/main" id="{6BC43A7D-DCFC-D28B-F880-259C870081C1}"/>
                    </a:ext>
                  </a:extLst>
                </xdr:cNvPr>
                <xdr:cNvSpPr txBox="1"/>
              </xdr:nvSpPr>
              <xdr:spPr>
                <a:xfrm>
                  <a:off x="9133984" y="0"/>
                  <a:ext cx="49680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VERSUS</a:t>
                  </a:r>
                </a:p>
              </xdr:txBody>
            </xdr:sp>
            <xdr:pic>
              <xdr:nvPicPr>
                <xdr:cNvPr id="79" name="Picture 78">
                  <a:hlinkClick xmlns:r="http://schemas.openxmlformats.org/officeDocument/2006/relationships" r:id="rId17"/>
                  <a:extLst>
                    <a:ext uri="{FF2B5EF4-FFF2-40B4-BE49-F238E27FC236}">
                      <a16:creationId xmlns:a16="http://schemas.microsoft.com/office/drawing/2014/main" id="{2300F617-3B9D-614C-E4A0-6D6F9CCEACEE}"/>
                    </a:ext>
                  </a:extLst>
                </xdr:cNvPr>
                <xdr:cNvPicPr>
                  <a:picLocks noChangeAspect="1"/>
                </xdr:cNvPicPr>
              </xdr:nvPicPr>
              <xdr:blipFill>
                <a:blip xmlns:r="http://schemas.openxmlformats.org/officeDocument/2006/relationships" r:embed="rId18" cstate="print">
                  <a:alphaModFix/>
                  <a:extLst>
                    <a:ext uri="{28A0092B-C50C-407E-A947-70E740481C1C}">
                      <a14:useLocalDpi xmlns:a14="http://schemas.microsoft.com/office/drawing/2010/main" val="0"/>
                    </a:ext>
                  </a:extLst>
                </a:blip>
                <a:stretch>
                  <a:fillRect/>
                </a:stretch>
              </xdr:blipFill>
              <xdr:spPr>
                <a:xfrm>
                  <a:off x="8938203" y="19549"/>
                  <a:ext cx="214187" cy="248554"/>
                </a:xfrm>
                <a:prstGeom prst="rect">
                  <a:avLst/>
                </a:prstGeom>
              </xdr:spPr>
            </xdr:pic>
            <xdr:sp macro="" textlink="">
              <xdr:nvSpPr>
                <xdr:cNvPr id="80" name="TextBox 79">
                  <a:hlinkClick xmlns:r="http://schemas.openxmlformats.org/officeDocument/2006/relationships" r:id="rId19"/>
                  <a:extLst>
                    <a:ext uri="{FF2B5EF4-FFF2-40B4-BE49-F238E27FC236}">
                      <a16:creationId xmlns:a16="http://schemas.microsoft.com/office/drawing/2014/main" id="{F85BF1E2-3ED0-2118-E9BE-9935E510DA4E}"/>
                    </a:ext>
                  </a:extLst>
                </xdr:cNvPr>
                <xdr:cNvSpPr txBox="1"/>
              </xdr:nvSpPr>
              <xdr:spPr>
                <a:xfrm>
                  <a:off x="3510385" y="0"/>
                  <a:ext cx="52312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REPAIRS</a:t>
                  </a:r>
                </a:p>
              </xdr:txBody>
            </xdr:sp>
            <xdr:pic>
              <xdr:nvPicPr>
                <xdr:cNvPr id="81" name="Picture 80">
                  <a:hlinkClick xmlns:r="http://schemas.openxmlformats.org/officeDocument/2006/relationships" r:id="rId19"/>
                  <a:extLst>
                    <a:ext uri="{FF2B5EF4-FFF2-40B4-BE49-F238E27FC236}">
                      <a16:creationId xmlns:a16="http://schemas.microsoft.com/office/drawing/2014/main" id="{9AAB82C7-A320-52E6-0B39-83EE437B2092}"/>
                    </a:ext>
                  </a:extLst>
                </xdr:cNvPr>
                <xdr:cNvPicPr>
                  <a:picLocks noChangeAspect="1"/>
                </xdr:cNvPicPr>
              </xdr:nvPicPr>
              <xdr:blipFill>
                <a:blip xmlns:r="http://schemas.openxmlformats.org/officeDocument/2006/relationships" r:embed="rId20" cstate="print">
                  <a:alphaModFix/>
                  <a:extLst>
                    <a:ext uri="{28A0092B-C50C-407E-A947-70E740481C1C}">
                      <a14:useLocalDpi xmlns:a14="http://schemas.microsoft.com/office/drawing/2010/main" val="0"/>
                    </a:ext>
                  </a:extLst>
                </a:blip>
                <a:stretch>
                  <a:fillRect/>
                </a:stretch>
              </xdr:blipFill>
              <xdr:spPr>
                <a:xfrm>
                  <a:off x="3296296" y="28376"/>
                  <a:ext cx="214435" cy="230900"/>
                </a:xfrm>
                <a:prstGeom prst="rect">
                  <a:avLst/>
                </a:prstGeom>
              </xdr:spPr>
            </xdr:pic>
            <xdr:sp macro="" textlink="">
              <xdr:nvSpPr>
                <xdr:cNvPr id="82" name="TextBox 81">
                  <a:hlinkClick xmlns:r="http://schemas.openxmlformats.org/officeDocument/2006/relationships" r:id="rId21"/>
                  <a:extLst>
                    <a:ext uri="{FF2B5EF4-FFF2-40B4-BE49-F238E27FC236}">
                      <a16:creationId xmlns:a16="http://schemas.microsoft.com/office/drawing/2014/main" id="{9618B4EC-2603-662D-C0BA-10A6AC2C5ADF}"/>
                    </a:ext>
                  </a:extLst>
                </xdr:cNvPr>
                <xdr:cNvSpPr txBox="1"/>
              </xdr:nvSpPr>
              <xdr:spPr>
                <a:xfrm>
                  <a:off x="4388587" y="0"/>
                  <a:ext cx="63170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FURNITURE</a:t>
                  </a:r>
                </a:p>
              </xdr:txBody>
            </xdr:sp>
            <xdr:pic>
              <xdr:nvPicPr>
                <xdr:cNvPr id="83" name="Picture 82">
                  <a:hlinkClick xmlns:r="http://schemas.openxmlformats.org/officeDocument/2006/relationships" r:id="rId21"/>
                  <a:extLst>
                    <a:ext uri="{FF2B5EF4-FFF2-40B4-BE49-F238E27FC236}">
                      <a16:creationId xmlns:a16="http://schemas.microsoft.com/office/drawing/2014/main" id="{CC3A8123-6249-70E7-8E30-A50D9E5FA114}"/>
                    </a:ext>
                  </a:extLst>
                </xdr:cNvPr>
                <xdr:cNvPicPr>
                  <a:picLocks noChangeAspect="1"/>
                </xdr:cNvPicPr>
              </xdr:nvPicPr>
              <xdr:blipFill>
                <a:blip xmlns:r="http://schemas.openxmlformats.org/officeDocument/2006/relationships" r:embed="rId22" cstate="print">
                  <a:alphaModFix/>
                  <a:extLst>
                    <a:ext uri="{28A0092B-C50C-407E-A947-70E740481C1C}">
                      <a14:useLocalDpi xmlns:a14="http://schemas.microsoft.com/office/drawing/2010/main" val="0"/>
                    </a:ext>
                  </a:extLst>
                </a:blip>
                <a:stretch>
                  <a:fillRect/>
                </a:stretch>
              </xdr:blipFill>
              <xdr:spPr>
                <a:xfrm>
                  <a:off x="4180491" y="28376"/>
                  <a:ext cx="214435" cy="230900"/>
                </a:xfrm>
                <a:prstGeom prst="rect">
                  <a:avLst/>
                </a:prstGeom>
              </xdr:spPr>
            </xdr:pic>
            <xdr:pic>
              <xdr:nvPicPr>
                <xdr:cNvPr id="84" name="Picture 83">
                  <a:hlinkClick xmlns:r="http://schemas.openxmlformats.org/officeDocument/2006/relationships" r:id="rId23"/>
                  <a:extLst>
                    <a:ext uri="{FF2B5EF4-FFF2-40B4-BE49-F238E27FC236}">
                      <a16:creationId xmlns:a16="http://schemas.microsoft.com/office/drawing/2014/main" id="{5F1D64B3-00CD-8CE7-8501-4879835C4D28}"/>
                    </a:ext>
                  </a:extLst>
                </xdr:cNvPr>
                <xdr:cNvPicPr>
                  <a:picLocks noChangeAspect="1"/>
                </xdr:cNvPicPr>
              </xdr:nvPicPr>
              <xdr:blipFill>
                <a:blip xmlns:r="http://schemas.openxmlformats.org/officeDocument/2006/relationships" r:embed="rId24" cstate="print">
                  <a:alphaModFix/>
                  <a:extLst>
                    <a:ext uri="{28A0092B-C50C-407E-A947-70E740481C1C}">
                      <a14:useLocalDpi xmlns:a14="http://schemas.microsoft.com/office/drawing/2010/main" val="0"/>
                    </a:ext>
                  </a:extLst>
                </a:blip>
                <a:stretch>
                  <a:fillRect/>
                </a:stretch>
              </xdr:blipFill>
              <xdr:spPr>
                <a:xfrm>
                  <a:off x="10812480" y="19549"/>
                  <a:ext cx="214188" cy="248554"/>
                </a:xfrm>
                <a:prstGeom prst="rect">
                  <a:avLst/>
                </a:prstGeom>
              </xdr:spPr>
            </xdr:pic>
            <xdr:sp macro="" textlink="">
              <xdr:nvSpPr>
                <xdr:cNvPr id="85" name="TextBox 84">
                  <a:hlinkClick xmlns:r="http://schemas.openxmlformats.org/officeDocument/2006/relationships" r:id="rId23"/>
                  <a:extLst>
                    <a:ext uri="{FF2B5EF4-FFF2-40B4-BE49-F238E27FC236}">
                      <a16:creationId xmlns:a16="http://schemas.microsoft.com/office/drawing/2014/main" id="{E036DE69-4DC2-4021-901C-79920A7E6753}"/>
                    </a:ext>
                  </a:extLst>
                </xdr:cNvPr>
                <xdr:cNvSpPr txBox="1"/>
              </xdr:nvSpPr>
              <xdr:spPr>
                <a:xfrm>
                  <a:off x="11008843" y="0"/>
                  <a:ext cx="40705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PEERS</a:t>
                  </a:r>
                </a:p>
              </xdr:txBody>
            </xdr:sp>
            <xdr:sp macro="" textlink="">
              <xdr:nvSpPr>
                <xdr:cNvPr id="86" name="TextBox 85">
                  <a:hlinkClick xmlns:r="http://schemas.openxmlformats.org/officeDocument/2006/relationships" r:id="rId25"/>
                  <a:extLst>
                    <a:ext uri="{FF2B5EF4-FFF2-40B4-BE49-F238E27FC236}">
                      <a16:creationId xmlns:a16="http://schemas.microsoft.com/office/drawing/2014/main" id="{F55B59B3-957A-E5FE-CAC6-12D3B09B2364}"/>
                    </a:ext>
                  </a:extLst>
                </xdr:cNvPr>
                <xdr:cNvSpPr txBox="1"/>
              </xdr:nvSpPr>
              <xdr:spPr>
                <a:xfrm>
                  <a:off x="9581756" y="397481"/>
                  <a:ext cx="656781"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MAX PRICE</a:t>
                  </a:r>
                </a:p>
              </xdr:txBody>
            </xdr:sp>
            <xdr:pic>
              <xdr:nvPicPr>
                <xdr:cNvPr id="87" name="Picture 86">
                  <a:hlinkClick xmlns:r="http://schemas.openxmlformats.org/officeDocument/2006/relationships" r:id="rId25"/>
                  <a:extLst>
                    <a:ext uri="{FF2B5EF4-FFF2-40B4-BE49-F238E27FC236}">
                      <a16:creationId xmlns:a16="http://schemas.microsoft.com/office/drawing/2014/main" id="{2E1B51D2-9E46-46A8-69AE-D2D1EBF946F9}"/>
                    </a:ext>
                  </a:extLst>
                </xdr:cNvPr>
                <xdr:cNvPicPr>
                  <a:picLocks noChangeAspect="1"/>
                </xdr:cNvPicPr>
              </xdr:nvPicPr>
              <xdr:blipFill>
                <a:blip xmlns:r="http://schemas.openxmlformats.org/officeDocument/2006/relationships" r:embed="rId26" cstate="print">
                  <a:alphaModFix/>
                  <a:extLst>
                    <a:ext uri="{28A0092B-C50C-407E-A947-70E740481C1C}">
                      <a14:useLocalDpi xmlns:a14="http://schemas.microsoft.com/office/drawing/2010/main" val="0"/>
                    </a:ext>
                  </a:extLst>
                </a:blip>
                <a:stretch>
                  <a:fillRect/>
                </a:stretch>
              </xdr:blipFill>
              <xdr:spPr>
                <a:xfrm>
                  <a:off x="9433997" y="425857"/>
                  <a:ext cx="214435" cy="230900"/>
                </a:xfrm>
                <a:prstGeom prst="rect">
                  <a:avLst/>
                </a:prstGeom>
              </xdr:spPr>
            </xdr:pic>
            <xdr:sp macro="" textlink="">
              <xdr:nvSpPr>
                <xdr:cNvPr id="88" name="TextBox 87">
                  <a:hlinkClick xmlns:r="http://schemas.openxmlformats.org/officeDocument/2006/relationships" r:id="rId27"/>
                  <a:extLst>
                    <a:ext uri="{FF2B5EF4-FFF2-40B4-BE49-F238E27FC236}">
                      <a16:creationId xmlns:a16="http://schemas.microsoft.com/office/drawing/2014/main" id="{6E8D3F1C-F683-C255-468D-52C58DC31F06}"/>
                    </a:ext>
                  </a:extLst>
                </xdr:cNvPr>
                <xdr:cNvSpPr txBox="1"/>
              </xdr:nvSpPr>
              <xdr:spPr>
                <a:xfrm>
                  <a:off x="7733272" y="389861"/>
                  <a:ext cx="6384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SCENARIOS</a:t>
                  </a:r>
                </a:p>
              </xdr:txBody>
            </xdr:sp>
            <xdr:pic>
              <xdr:nvPicPr>
                <xdr:cNvPr id="89" name="Picture 88">
                  <a:hlinkClick xmlns:r="http://schemas.openxmlformats.org/officeDocument/2006/relationships" r:id="rId27"/>
                  <a:extLst>
                    <a:ext uri="{FF2B5EF4-FFF2-40B4-BE49-F238E27FC236}">
                      <a16:creationId xmlns:a16="http://schemas.microsoft.com/office/drawing/2014/main" id="{4C6567E6-3CA4-C4CB-9B60-8948A66BB558}"/>
                    </a:ext>
                  </a:extLst>
                </xdr:cNvPr>
                <xdr:cNvPicPr>
                  <a:picLocks noChangeAspect="1"/>
                </xdr:cNvPicPr>
              </xdr:nvPicPr>
              <xdr:blipFill>
                <a:blip xmlns:r="http://schemas.openxmlformats.org/officeDocument/2006/relationships" r:embed="rId28" cstate="print">
                  <a:alphaModFix/>
                  <a:extLst>
                    <a:ext uri="{28A0092B-C50C-407E-A947-70E740481C1C}">
                      <a14:useLocalDpi xmlns:a14="http://schemas.microsoft.com/office/drawing/2010/main" val="0"/>
                    </a:ext>
                  </a:extLst>
                </a:blip>
                <a:stretch>
                  <a:fillRect/>
                </a:stretch>
              </xdr:blipFill>
              <xdr:spPr>
                <a:xfrm>
                  <a:off x="7536090" y="418237"/>
                  <a:ext cx="214435" cy="230900"/>
                </a:xfrm>
                <a:prstGeom prst="rect">
                  <a:avLst/>
                </a:prstGeom>
              </xdr:spPr>
            </xdr:pic>
            <xdr:sp macro="" textlink="">
              <xdr:nvSpPr>
                <xdr:cNvPr id="90" name="TextBox 89">
                  <a:hlinkClick xmlns:r="http://schemas.openxmlformats.org/officeDocument/2006/relationships" r:id="rId29"/>
                  <a:extLst>
                    <a:ext uri="{FF2B5EF4-FFF2-40B4-BE49-F238E27FC236}">
                      <a16:creationId xmlns:a16="http://schemas.microsoft.com/office/drawing/2014/main" id="{5EA9577B-B3D2-939F-1094-954AF8C9712E}"/>
                    </a:ext>
                  </a:extLst>
                </xdr:cNvPr>
                <xdr:cNvSpPr txBox="1"/>
              </xdr:nvSpPr>
              <xdr:spPr>
                <a:xfrm>
                  <a:off x="11757467" y="49286"/>
                  <a:ext cx="110218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MARKET RESEARCH</a:t>
                  </a:r>
                </a:p>
              </xdr:txBody>
            </xdr:sp>
            <xdr:pic>
              <xdr:nvPicPr>
                <xdr:cNvPr id="91" name="Picture 90" descr="A white and brown hourglass&#10;&#10;AI-generated content may be incorrect.">
                  <a:hlinkClick xmlns:r="http://schemas.openxmlformats.org/officeDocument/2006/relationships" r:id="rId29"/>
                  <a:extLst>
                    <a:ext uri="{FF2B5EF4-FFF2-40B4-BE49-F238E27FC236}">
                      <a16:creationId xmlns:a16="http://schemas.microsoft.com/office/drawing/2014/main" id="{A9FE938D-7CA2-4460-66AB-066C1C277989}"/>
                    </a:ext>
                  </a:extLst>
                </xdr:cNvPr>
                <xdr:cNvPicPr>
                  <a:picLocks noChangeAspect="1"/>
                </xdr:cNvPicPr>
              </xdr:nvPicPr>
              <xdr:blipFill>
                <a:blip xmlns:r="http://schemas.openxmlformats.org/officeDocument/2006/relationships" r:embed="rId30" cstate="print">
                  <a:alphaModFix/>
                  <a:extLst>
                    <a:ext uri="{28A0092B-C50C-407E-A947-70E740481C1C}">
                      <a14:useLocalDpi xmlns:a14="http://schemas.microsoft.com/office/drawing/2010/main" val="0"/>
                    </a:ext>
                  </a:extLst>
                </a:blip>
                <a:stretch>
                  <a:fillRect/>
                </a:stretch>
              </xdr:blipFill>
              <xdr:spPr>
                <a:xfrm>
                  <a:off x="11563464" y="33893"/>
                  <a:ext cx="235575" cy="261687"/>
                </a:xfrm>
                <a:prstGeom prst="rect">
                  <a:avLst/>
                </a:prstGeom>
              </xdr:spPr>
            </xdr:pic>
            <xdr:pic>
              <xdr:nvPicPr>
                <xdr:cNvPr id="92" name="Picture 91">
                  <a:hlinkClick xmlns:r="http://schemas.openxmlformats.org/officeDocument/2006/relationships" r:id="rId31"/>
                  <a:extLst>
                    <a:ext uri="{FF2B5EF4-FFF2-40B4-BE49-F238E27FC236}">
                      <a16:creationId xmlns:a16="http://schemas.microsoft.com/office/drawing/2014/main" id="{718FA9F3-44BA-97D4-936F-F096D48A887B}"/>
                    </a:ext>
                  </a:extLst>
                </xdr:cNvPr>
                <xdr:cNvPicPr>
                  <a:picLocks noChangeAspect="1" noChangeArrowheads="1"/>
                </xdr:cNvPicPr>
              </xdr:nvPicPr>
              <xdr:blipFill>
                <a:blip xmlns:r="http://schemas.openxmlformats.org/officeDocument/2006/relationships" r:embed="rId3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33032" y="384834"/>
                  <a:ext cx="261600" cy="33288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3" name="TextBox 92">
                  <a:hlinkClick xmlns:r="http://schemas.openxmlformats.org/officeDocument/2006/relationships" r:id="rId31"/>
                  <a:extLst>
                    <a:ext uri="{FF2B5EF4-FFF2-40B4-BE49-F238E27FC236}">
                      <a16:creationId xmlns:a16="http://schemas.microsoft.com/office/drawing/2014/main" id="{FC54D704-8A0F-7482-0DFC-07C012DF7A03}"/>
                    </a:ext>
                  </a:extLst>
                </xdr:cNvPr>
                <xdr:cNvSpPr txBox="1"/>
              </xdr:nvSpPr>
              <xdr:spPr>
                <a:xfrm>
                  <a:off x="3637195" y="315564"/>
                  <a:ext cx="914586" cy="433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BALANCE SHEET</a:t>
                  </a:r>
                </a:p>
                <a:p>
                  <a:pPr algn="ctr"/>
                  <a:r>
                    <a:rPr lang="en-US" sz="900" b="1">
                      <a:solidFill>
                        <a:schemeClr val="bg1"/>
                      </a:solidFill>
                    </a:rPr>
                    <a:t>SUMMARY</a:t>
                  </a:r>
                </a:p>
              </xdr:txBody>
            </xdr:sp>
            <xdr:pic>
              <xdr:nvPicPr>
                <xdr:cNvPr id="94" name="Picture 93">
                  <a:hlinkClick xmlns:r="http://schemas.openxmlformats.org/officeDocument/2006/relationships" r:id="rId33"/>
                  <a:extLst>
                    <a:ext uri="{FF2B5EF4-FFF2-40B4-BE49-F238E27FC236}">
                      <a16:creationId xmlns:a16="http://schemas.microsoft.com/office/drawing/2014/main" id="{0C9F133A-A4DD-D2A0-9A72-23E5155DEC34}"/>
                    </a:ext>
                  </a:extLst>
                </xdr:cNvPr>
                <xdr:cNvPicPr>
                  <a:picLocks noChangeAspect="1" noChangeArrowheads="1"/>
                </xdr:cNvPicPr>
              </xdr:nvPicPr>
              <xdr:blipFill>
                <a:blip xmlns:r="http://schemas.openxmlformats.org/officeDocument/2006/relationships" r:embed="rId34" cstate="print">
                  <a:clrChange>
                    <a:clrFrom>
                      <a:srgbClr val="F8F8F8"/>
                    </a:clrFrom>
                    <a:clrTo>
                      <a:srgbClr val="F8F8F8">
                        <a:alpha val="0"/>
                      </a:srgbClr>
                    </a:clrTo>
                  </a:clrChange>
                  <a:extLst>
                    <a:ext uri="{28A0092B-C50C-407E-A947-70E740481C1C}">
                      <a14:useLocalDpi xmlns:a14="http://schemas.microsoft.com/office/drawing/2010/main" val="0"/>
                    </a:ext>
                  </a:extLst>
                </a:blip>
                <a:srcRect/>
                <a:stretch>
                  <a:fillRect/>
                </a:stretch>
              </xdr:blipFill>
              <xdr:spPr bwMode="auto">
                <a:xfrm>
                  <a:off x="4602713" y="384834"/>
                  <a:ext cx="326621" cy="3113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5" name="TextBox 94">
                  <a:hlinkClick xmlns:r="http://schemas.openxmlformats.org/officeDocument/2006/relationships" r:id="rId33"/>
                  <a:extLst>
                    <a:ext uri="{FF2B5EF4-FFF2-40B4-BE49-F238E27FC236}">
                      <a16:creationId xmlns:a16="http://schemas.microsoft.com/office/drawing/2014/main" id="{BD1C740A-5316-2256-479A-A3C7D187C28F}"/>
                    </a:ext>
                  </a:extLst>
                </xdr:cNvPr>
                <xdr:cNvSpPr txBox="1"/>
              </xdr:nvSpPr>
              <xdr:spPr>
                <a:xfrm>
                  <a:off x="4880678" y="423317"/>
                  <a:ext cx="56334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ASSETS</a:t>
                  </a:r>
                </a:p>
              </xdr:txBody>
            </xdr:sp>
            <xdr:pic>
              <xdr:nvPicPr>
                <xdr:cNvPr id="96" name="Picture 95">
                  <a:hlinkClick xmlns:r="http://schemas.openxmlformats.org/officeDocument/2006/relationships" r:id="rId35"/>
                  <a:extLst>
                    <a:ext uri="{FF2B5EF4-FFF2-40B4-BE49-F238E27FC236}">
                      <a16:creationId xmlns:a16="http://schemas.microsoft.com/office/drawing/2014/main" id="{AE73C356-62A9-7804-33D2-E652A7FAB62A}"/>
                    </a:ext>
                  </a:extLst>
                </xdr:cNvPr>
                <xdr:cNvPicPr>
                  <a:picLocks noChangeAspect="1" noChangeArrowheads="1"/>
                </xdr:cNvPicPr>
              </xdr:nvPicPr>
              <xdr:blipFill>
                <a:blip xmlns:r="http://schemas.openxmlformats.org/officeDocument/2006/relationships" r:embed="rId3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35903" y="354046"/>
                  <a:ext cx="278234" cy="3540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7" name="TextBox 96">
                  <a:hlinkClick xmlns:r="http://schemas.openxmlformats.org/officeDocument/2006/relationships" r:id="rId35"/>
                  <a:extLst>
                    <a:ext uri="{FF2B5EF4-FFF2-40B4-BE49-F238E27FC236}">
                      <a16:creationId xmlns:a16="http://schemas.microsoft.com/office/drawing/2014/main" id="{0B2515F5-CC84-A42A-2ECC-5F1DAD4519D8}"/>
                    </a:ext>
                  </a:extLst>
                </xdr:cNvPr>
                <xdr:cNvSpPr txBox="1"/>
              </xdr:nvSpPr>
              <xdr:spPr>
                <a:xfrm>
                  <a:off x="5717678" y="431014"/>
                  <a:ext cx="750091"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LIABILITIES</a:t>
                  </a:r>
                </a:p>
              </xdr:txBody>
            </xdr:sp>
            <xdr:pic>
              <xdr:nvPicPr>
                <xdr:cNvPr id="98" name="Picture 97">
                  <a:hlinkClick xmlns:r="http://schemas.openxmlformats.org/officeDocument/2006/relationships" r:id="rId37"/>
                  <a:extLst>
                    <a:ext uri="{FF2B5EF4-FFF2-40B4-BE49-F238E27FC236}">
                      <a16:creationId xmlns:a16="http://schemas.microsoft.com/office/drawing/2014/main" id="{4DD47BCF-1DF8-CF7F-40ED-671EB19A6059}"/>
                    </a:ext>
                  </a:extLst>
                </xdr:cNvPr>
                <xdr:cNvPicPr>
                  <a:picLocks noChangeAspect="1"/>
                </xdr:cNvPicPr>
              </xdr:nvPicPr>
              <xdr:blipFill>
                <a:blip xmlns:r="http://schemas.openxmlformats.org/officeDocument/2006/relationships" r:embed="rId38">
                  <a:clrChange>
                    <a:clrFrom>
                      <a:srgbClr val="FFFFFF"/>
                    </a:clrFrom>
                    <a:clrTo>
                      <a:srgbClr val="FFFFFF">
                        <a:alpha val="0"/>
                      </a:srgbClr>
                    </a:clrTo>
                  </a:clrChange>
                </a:blip>
                <a:stretch>
                  <a:fillRect/>
                </a:stretch>
              </xdr:blipFill>
              <xdr:spPr>
                <a:xfrm>
                  <a:off x="6454424" y="361268"/>
                  <a:ext cx="368693" cy="354523"/>
                </a:xfrm>
                <a:prstGeom prst="rect">
                  <a:avLst/>
                </a:prstGeom>
              </xdr:spPr>
            </xdr:pic>
            <xdr:sp macro="" textlink="">
              <xdr:nvSpPr>
                <xdr:cNvPr id="99" name="TextBox 98">
                  <a:hlinkClick xmlns:r="http://schemas.openxmlformats.org/officeDocument/2006/relationships" r:id="rId37"/>
                  <a:extLst>
                    <a:ext uri="{FF2B5EF4-FFF2-40B4-BE49-F238E27FC236}">
                      <a16:creationId xmlns:a16="http://schemas.microsoft.com/office/drawing/2014/main" id="{92AB48D0-025B-D750-6C42-F79CC6C89B65}"/>
                    </a:ext>
                  </a:extLst>
                </xdr:cNvPr>
                <xdr:cNvSpPr txBox="1"/>
              </xdr:nvSpPr>
              <xdr:spPr>
                <a:xfrm>
                  <a:off x="6742924" y="369440"/>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EDIT</a:t>
                  </a:r>
                </a:p>
                <a:p>
                  <a:r>
                    <a:rPr lang="en-US" sz="900" b="1">
                      <a:solidFill>
                        <a:schemeClr val="bg1"/>
                      </a:solidFill>
                    </a:rPr>
                    <a:t>CATEGORIES</a:t>
                  </a:r>
                </a:p>
              </xdr:txBody>
            </xdr:sp>
            <xdr:grpSp>
              <xdr:nvGrpSpPr>
                <xdr:cNvPr id="100" name="Group 99">
                  <a:hlinkClick xmlns:r="http://schemas.openxmlformats.org/officeDocument/2006/relationships" r:id="rId39"/>
                  <a:extLst>
                    <a:ext uri="{FF2B5EF4-FFF2-40B4-BE49-F238E27FC236}">
                      <a16:creationId xmlns:a16="http://schemas.microsoft.com/office/drawing/2014/main" id="{648FBE46-81E2-F602-AFF4-35C4781CACF5}"/>
                    </a:ext>
                  </a:extLst>
                </xdr:cNvPr>
                <xdr:cNvGrpSpPr/>
              </xdr:nvGrpSpPr>
              <xdr:grpSpPr>
                <a:xfrm>
                  <a:off x="10231249" y="237461"/>
                  <a:ext cx="1281586" cy="502920"/>
                  <a:chOff x="11732389" y="237461"/>
                  <a:chExt cx="1281586" cy="502920"/>
                </a:xfrm>
              </xdr:grpSpPr>
              <xdr:pic>
                <xdr:nvPicPr>
                  <xdr:cNvPr id="101" name="Picture 100">
                    <a:hlinkClick xmlns:r="http://schemas.openxmlformats.org/officeDocument/2006/relationships" r:id="rId40"/>
                    <a:extLst>
                      <a:ext uri="{FF2B5EF4-FFF2-40B4-BE49-F238E27FC236}">
                        <a16:creationId xmlns:a16="http://schemas.microsoft.com/office/drawing/2014/main" id="{FFF2326F-379B-114C-2027-00AF9A4D325C}"/>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1732389" y="237461"/>
                    <a:ext cx="502920" cy="502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2" name="TextBox 101">
                    <a:hlinkClick xmlns:r="http://schemas.openxmlformats.org/officeDocument/2006/relationships" r:id="rId40"/>
                    <a:extLst>
                      <a:ext uri="{FF2B5EF4-FFF2-40B4-BE49-F238E27FC236}">
                        <a16:creationId xmlns:a16="http://schemas.microsoft.com/office/drawing/2014/main" id="{5153633C-488F-3623-301C-C5D3F02A2FE1}"/>
                      </a:ext>
                    </a:extLst>
                  </xdr:cNvPr>
                  <xdr:cNvSpPr txBox="1"/>
                </xdr:nvSpPr>
                <xdr:spPr>
                  <a:xfrm>
                    <a:off x="12197209" y="344142"/>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 GAME APPS</a:t>
                    </a:r>
                  </a:p>
                </xdr:txBody>
              </xdr:sp>
            </xdr:grpSp>
          </xdr:grpSp>
          <xdr:grpSp>
            <xdr:nvGrpSpPr>
              <xdr:cNvPr id="61" name="Group 60">
                <a:extLst>
                  <a:ext uri="{FF2B5EF4-FFF2-40B4-BE49-F238E27FC236}">
                    <a16:creationId xmlns:a16="http://schemas.microsoft.com/office/drawing/2014/main" id="{B444E861-A71C-AFA3-E8AC-8BD0A2BB00DB}"/>
                  </a:ext>
                </a:extLst>
              </xdr:cNvPr>
              <xdr:cNvGrpSpPr/>
            </xdr:nvGrpSpPr>
            <xdr:grpSpPr>
              <a:xfrm>
                <a:off x="3030070" y="313765"/>
                <a:ext cx="1219410" cy="438976"/>
                <a:chOff x="3030070" y="313765"/>
                <a:chExt cx="1219410" cy="438976"/>
              </a:xfrm>
            </xdr:grpSpPr>
            <xdr:sp macro="" textlink="">
              <xdr:nvSpPr>
                <xdr:cNvPr id="62" name="TextBox 61">
                  <a:hlinkClick xmlns:r="http://schemas.openxmlformats.org/officeDocument/2006/relationships" r:id="rId42"/>
                  <a:extLst>
                    <a:ext uri="{FF2B5EF4-FFF2-40B4-BE49-F238E27FC236}">
                      <a16:creationId xmlns:a16="http://schemas.microsoft.com/office/drawing/2014/main" id="{92A63F50-83F9-38A5-76DA-A058DB73EDDC}"/>
                    </a:ext>
                  </a:extLst>
                </xdr:cNvPr>
                <xdr:cNvSpPr txBox="1"/>
              </xdr:nvSpPr>
              <xdr:spPr>
                <a:xfrm>
                  <a:off x="3307528" y="313765"/>
                  <a:ext cx="941952" cy="43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BOOK KEEPING</a:t>
                  </a:r>
                </a:p>
                <a:p>
                  <a:pPr algn="ctr"/>
                  <a:r>
                    <a:rPr lang="en-US" sz="900" b="1">
                      <a:solidFill>
                        <a:schemeClr val="bg1"/>
                      </a:solidFill>
                    </a:rPr>
                    <a:t>LEDGER</a:t>
                  </a:r>
                </a:p>
              </xdr:txBody>
            </xdr:sp>
            <xdr:pic>
              <xdr:nvPicPr>
                <xdr:cNvPr id="63" name="Picture 62">
                  <a:hlinkClick xmlns:r="http://schemas.openxmlformats.org/officeDocument/2006/relationships" r:id="rId42"/>
                  <a:extLst>
                    <a:ext uri="{FF2B5EF4-FFF2-40B4-BE49-F238E27FC236}">
                      <a16:creationId xmlns:a16="http://schemas.microsoft.com/office/drawing/2014/main" id="{1B3B460A-55B8-69A4-4528-004961289AB3}"/>
                    </a:ext>
                  </a:extLst>
                </xdr:cNvPr>
                <xdr:cNvPicPr>
                  <a:picLocks noChangeAspect="1"/>
                </xdr:cNvPicPr>
              </xdr:nvPicPr>
              <xdr:blipFill>
                <a:blip xmlns:r="http://schemas.openxmlformats.org/officeDocument/2006/relationships" r:embed="rId4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0070" y="367554"/>
                  <a:ext cx="327770" cy="349622"/>
                </a:xfrm>
                <a:prstGeom prst="rect">
                  <a:avLst/>
                </a:prstGeom>
              </xdr:spPr>
            </xdr:pic>
          </xdr:grpSp>
        </xdr:grpSp>
        <xdr:grpSp>
          <xdr:nvGrpSpPr>
            <xdr:cNvPr id="57" name="Group 56">
              <a:extLst>
                <a:ext uri="{FF2B5EF4-FFF2-40B4-BE49-F238E27FC236}">
                  <a16:creationId xmlns:a16="http://schemas.microsoft.com/office/drawing/2014/main" id="{1CC404E0-7CB2-7167-8469-D82E7BBFE38E}"/>
                </a:ext>
              </a:extLst>
            </xdr:cNvPr>
            <xdr:cNvGrpSpPr/>
          </xdr:nvGrpSpPr>
          <xdr:grpSpPr>
            <a:xfrm>
              <a:off x="12626340" y="243840"/>
              <a:ext cx="1344125" cy="571500"/>
              <a:chOff x="12626340" y="243840"/>
              <a:chExt cx="1344125" cy="571500"/>
            </a:xfrm>
          </xdr:grpSpPr>
          <xdr:pic>
            <xdr:nvPicPr>
              <xdr:cNvPr id="58" name="Picture 57">
                <a:hlinkClick xmlns:r="http://schemas.openxmlformats.org/officeDocument/2006/relationships" r:id="rId44"/>
                <a:extLst>
                  <a:ext uri="{FF2B5EF4-FFF2-40B4-BE49-F238E27FC236}">
                    <a16:creationId xmlns:a16="http://schemas.microsoft.com/office/drawing/2014/main" id="{98259259-A5F3-2E84-FCF6-B9D6294C64D0}"/>
                  </a:ext>
                </a:extLst>
              </xdr:cNvPr>
              <xdr:cNvPicPr>
                <a:picLocks noChangeAspect="1" noChangeArrowheads="1"/>
              </xdr:cNvPicPr>
            </xdr:nvPicPr>
            <xdr:blipFill>
              <a:blip xmlns:r="http://schemas.openxmlformats.org/officeDocument/2006/relationships" r:embed="rId4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26340" y="243840"/>
                <a:ext cx="571500" cy="571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9" name="TextBox 58">
                <a:hlinkClick xmlns:r="http://schemas.openxmlformats.org/officeDocument/2006/relationships" r:id="rId44"/>
                <a:extLst>
                  <a:ext uri="{FF2B5EF4-FFF2-40B4-BE49-F238E27FC236}">
                    <a16:creationId xmlns:a16="http://schemas.microsoft.com/office/drawing/2014/main" id="{0C5A1D13-6D47-20B2-5F85-0E593A16D4A2}"/>
                  </a:ext>
                </a:extLst>
              </xdr:cNvPr>
              <xdr:cNvSpPr txBox="1"/>
            </xdr:nvSpPr>
            <xdr:spPr>
              <a:xfrm>
                <a:off x="13129260" y="327660"/>
                <a:ext cx="841205" cy="4000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TRAVEL</a:t>
                </a:r>
              </a:p>
              <a:p>
                <a:pPr algn="ctr"/>
                <a:r>
                  <a:rPr lang="en-US" sz="900" b="1">
                    <a:solidFill>
                      <a:schemeClr val="bg1"/>
                    </a:solidFill>
                  </a:rPr>
                  <a:t>SANDBOX</a:t>
                </a:r>
              </a:p>
            </xdr:txBody>
          </xdr:sp>
        </xdr:grpSp>
      </xdr:grpSp>
      <xdr:pic>
        <xdr:nvPicPr>
          <xdr:cNvPr id="55" name="Picture 54">
            <a:hlinkClick xmlns:r="http://schemas.openxmlformats.org/officeDocument/2006/relationships" r:id="rId12"/>
            <a:extLst>
              <a:ext uri="{FF2B5EF4-FFF2-40B4-BE49-F238E27FC236}">
                <a16:creationId xmlns:a16="http://schemas.microsoft.com/office/drawing/2014/main" id="{ACD8A32F-B061-F5C3-836B-2E96CF32D413}"/>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6134100" y="30480"/>
            <a:ext cx="234698" cy="246078"/>
          </a:xfrm>
          <a:prstGeom prst="rect">
            <a:avLst/>
          </a:prstGeom>
          <a:solidFill>
            <a:srgbClr val="7FA6C7"/>
          </a:solidFill>
        </xdr:spPr>
      </xdr:pic>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783232</xdr:colOff>
      <xdr:row>10</xdr:row>
      <xdr:rowOff>11430</xdr:rowOff>
    </xdr:from>
    <xdr:to>
      <xdr:col>8</xdr:col>
      <xdr:colOff>480631</xdr:colOff>
      <xdr:row>10</xdr:row>
      <xdr:rowOff>337163</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39B0FC89-852D-4D6F-81A2-D20EFCA7CE92}"/>
            </a:ext>
          </a:extLst>
        </xdr:cNvPr>
        <xdr:cNvSpPr/>
      </xdr:nvSpPr>
      <xdr:spPr>
        <a:xfrm>
          <a:off x="9683392" y="3135630"/>
          <a:ext cx="1488099" cy="325733"/>
        </a:xfrm>
        <a:prstGeom prst="roundRect">
          <a:avLst/>
        </a:prstGeom>
        <a:solidFill>
          <a:srgbClr val="A2BED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latin typeface="+mn-lt"/>
              <a:cs typeface="Arial" panose="020B0604020202020204" pitchFamily="34" charset="0"/>
            </a:rPr>
            <a:t>Check Update</a:t>
          </a:r>
        </a:p>
      </xdr:txBody>
    </xdr:sp>
    <xdr:clientData/>
  </xdr:twoCellAnchor>
  <xdr:twoCellAnchor editAs="oneCell">
    <xdr:from>
      <xdr:col>10</xdr:col>
      <xdr:colOff>396240</xdr:colOff>
      <xdr:row>10</xdr:row>
      <xdr:rowOff>22860</xdr:rowOff>
    </xdr:from>
    <xdr:to>
      <xdr:col>12</xdr:col>
      <xdr:colOff>324041</xdr:colOff>
      <xdr:row>10</xdr:row>
      <xdr:rowOff>350520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5B66CAE1-46EC-46E7-9961-ABC22F44E849}"/>
            </a:ext>
          </a:extLst>
        </xdr:cNvPr>
        <xdr:cNvSpPr/>
      </xdr:nvSpPr>
      <xdr:spPr>
        <a:xfrm>
          <a:off x="12435840" y="3147060"/>
          <a:ext cx="1497521" cy="327660"/>
        </a:xfrm>
        <a:prstGeom prst="roundRect">
          <a:avLst/>
        </a:prstGeom>
        <a:solidFill>
          <a:srgbClr val="A2BED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latin typeface="+mn-lt"/>
              <a:cs typeface="Arial" panose="020B0604020202020204" pitchFamily="34" charset="0"/>
            </a:rPr>
            <a:t>Book</a:t>
          </a:r>
          <a:r>
            <a:rPr lang="en-US" sz="1050" b="1" baseline="0">
              <a:solidFill>
                <a:schemeClr val="bg1"/>
              </a:solidFill>
              <a:latin typeface="+mn-lt"/>
              <a:cs typeface="Arial" panose="020B0604020202020204" pitchFamily="34" charset="0"/>
            </a:rPr>
            <a:t> My AirBnb</a:t>
          </a:r>
          <a:endParaRPr lang="en-US" sz="1050" b="1">
            <a:solidFill>
              <a:schemeClr val="bg1"/>
            </a:solidFill>
            <a:latin typeface="+mn-lt"/>
            <a:cs typeface="Arial" panose="020B0604020202020204" pitchFamily="34" charset="0"/>
          </a:endParaRPr>
        </a:p>
      </xdr:txBody>
    </xdr:sp>
    <xdr:clientData/>
  </xdr:twoCellAnchor>
  <xdr:twoCellAnchor>
    <xdr:from>
      <xdr:col>6</xdr:col>
      <xdr:colOff>7620</xdr:colOff>
      <xdr:row>11</xdr:row>
      <xdr:rowOff>342994</xdr:rowOff>
    </xdr:from>
    <xdr:to>
      <xdr:col>11</xdr:col>
      <xdr:colOff>640652</xdr:colOff>
      <xdr:row>17</xdr:row>
      <xdr:rowOff>373379</xdr:rowOff>
    </xdr:to>
    <xdr:pic>
      <xdr:nvPicPr>
        <xdr:cNvPr id="6" name="Picture 5">
          <a:hlinkClick xmlns:r="http://schemas.openxmlformats.org/officeDocument/2006/relationships" r:id="rId1"/>
          <a:extLst>
            <a:ext uri="{FF2B5EF4-FFF2-40B4-BE49-F238E27FC236}">
              <a16:creationId xmlns:a16="http://schemas.microsoft.com/office/drawing/2014/main" id="{F7560D9D-DADA-5B78-A6DD-8112B1320E8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907780" y="3848194"/>
          <a:ext cx="4557332" cy="2316385"/>
        </a:xfrm>
        <a:prstGeom prst="rect">
          <a:avLst/>
        </a:prstGeom>
      </xdr:spPr>
    </xdr:pic>
    <xdr:clientData/>
  </xdr:twoCellAnchor>
  <xdr:twoCellAnchor>
    <xdr:from>
      <xdr:col>1</xdr:col>
      <xdr:colOff>899160</xdr:colOff>
      <xdr:row>0</xdr:row>
      <xdr:rowOff>0</xdr:rowOff>
    </xdr:from>
    <xdr:to>
      <xdr:col>10</xdr:col>
      <xdr:colOff>769377</xdr:colOff>
      <xdr:row>2</xdr:row>
      <xdr:rowOff>53340</xdr:rowOff>
    </xdr:to>
    <xdr:grpSp>
      <xdr:nvGrpSpPr>
        <xdr:cNvPr id="53" name="Group 52">
          <a:extLst>
            <a:ext uri="{FF2B5EF4-FFF2-40B4-BE49-F238E27FC236}">
              <a16:creationId xmlns:a16="http://schemas.microsoft.com/office/drawing/2014/main" id="{F09897BB-F0AA-47D8-B87A-5E7ABAA6B151}"/>
            </a:ext>
          </a:extLst>
        </xdr:cNvPr>
        <xdr:cNvGrpSpPr/>
      </xdr:nvGrpSpPr>
      <xdr:grpSpPr>
        <a:xfrm>
          <a:off x="1135380" y="0"/>
          <a:ext cx="11894577" cy="815340"/>
          <a:chOff x="2194560" y="0"/>
          <a:chExt cx="11894577" cy="815340"/>
        </a:xfrm>
      </xdr:grpSpPr>
      <xdr:grpSp>
        <xdr:nvGrpSpPr>
          <xdr:cNvPr id="54" name="Group 53">
            <a:extLst>
              <a:ext uri="{FF2B5EF4-FFF2-40B4-BE49-F238E27FC236}">
                <a16:creationId xmlns:a16="http://schemas.microsoft.com/office/drawing/2014/main" id="{9F50C06C-CB4B-2B3B-57FB-547DAB506111}"/>
              </a:ext>
            </a:extLst>
          </xdr:cNvPr>
          <xdr:cNvGrpSpPr/>
        </xdr:nvGrpSpPr>
        <xdr:grpSpPr>
          <a:xfrm>
            <a:off x="2194560" y="0"/>
            <a:ext cx="11894577" cy="815340"/>
            <a:chOff x="2194560" y="0"/>
            <a:chExt cx="11894577" cy="815340"/>
          </a:xfrm>
        </xdr:grpSpPr>
        <xdr:grpSp>
          <xdr:nvGrpSpPr>
            <xdr:cNvPr id="56" name="Group 55">
              <a:extLst>
                <a:ext uri="{FF2B5EF4-FFF2-40B4-BE49-F238E27FC236}">
                  <a16:creationId xmlns:a16="http://schemas.microsoft.com/office/drawing/2014/main" id="{71ECF2C5-8408-90A3-1ED7-5B530C46083B}"/>
                </a:ext>
              </a:extLst>
            </xdr:cNvPr>
            <xdr:cNvGrpSpPr/>
          </xdr:nvGrpSpPr>
          <xdr:grpSpPr>
            <a:xfrm>
              <a:off x="2194560" y="0"/>
              <a:ext cx="11894577" cy="773812"/>
              <a:chOff x="2160046" y="0"/>
              <a:chExt cx="11894577" cy="773812"/>
            </a:xfrm>
          </xdr:grpSpPr>
          <xdr:grpSp>
            <xdr:nvGrpSpPr>
              <xdr:cNvPr id="60" name="Group 59">
                <a:extLst>
                  <a:ext uri="{FF2B5EF4-FFF2-40B4-BE49-F238E27FC236}">
                    <a16:creationId xmlns:a16="http://schemas.microsoft.com/office/drawing/2014/main" id="{3159AB40-E30E-7E2E-3212-01D50006E352}"/>
                  </a:ext>
                </a:extLst>
              </xdr:cNvPr>
              <xdr:cNvGrpSpPr/>
            </xdr:nvGrpSpPr>
            <xdr:grpSpPr>
              <a:xfrm>
                <a:off x="2160046" y="0"/>
                <a:ext cx="11894577" cy="773812"/>
                <a:chOff x="1310640" y="0"/>
                <a:chExt cx="11549013" cy="764847"/>
              </a:xfrm>
            </xdr:grpSpPr>
            <xdr:pic>
              <xdr:nvPicPr>
                <xdr:cNvPr id="64" name="Picture 63">
                  <a:hlinkClick xmlns:r="http://schemas.openxmlformats.org/officeDocument/2006/relationships" r:id="rId1"/>
                  <a:extLst>
                    <a:ext uri="{FF2B5EF4-FFF2-40B4-BE49-F238E27FC236}">
                      <a16:creationId xmlns:a16="http://schemas.microsoft.com/office/drawing/2014/main" id="{721A925A-638A-85F5-5663-B3C66BEB1FD9}"/>
                    </a:ext>
                  </a:extLst>
                </xdr:cNvPr>
                <xdr:cNvPicPr>
                  <a:picLocks/>
                </xdr:cNvPicPr>
              </xdr:nvPicPr>
              <xdr:blipFill>
                <a:blip xmlns:r="http://schemas.openxmlformats.org/officeDocument/2006/relationships" r:embed="rId3" cstate="print">
                  <a:alphaModFix/>
                  <a:extLst>
                    <a:ext uri="{28A0092B-C50C-407E-A947-70E740481C1C}">
                      <a14:useLocalDpi xmlns:a14="http://schemas.microsoft.com/office/drawing/2010/main" val="0"/>
                    </a:ext>
                  </a:extLst>
                </a:blip>
                <a:srcRect/>
                <a:stretch/>
              </xdr:blipFill>
              <xdr:spPr>
                <a:xfrm>
                  <a:off x="1310640" y="46180"/>
                  <a:ext cx="499211" cy="554546"/>
                </a:xfrm>
                <a:prstGeom prst="rect">
                  <a:avLst/>
                </a:prstGeom>
              </xdr:spPr>
            </xdr:pic>
            <xdr:pic>
              <xdr:nvPicPr>
                <xdr:cNvPr id="65" name="Picture 64">
                  <a:hlinkClick xmlns:r="http://schemas.openxmlformats.org/officeDocument/2006/relationships" r:id="rId4"/>
                  <a:extLst>
                    <a:ext uri="{FF2B5EF4-FFF2-40B4-BE49-F238E27FC236}">
                      <a16:creationId xmlns:a16="http://schemas.microsoft.com/office/drawing/2014/main" id="{493DAF8F-A7C6-87A6-D059-08FA7CDEBE86}"/>
                    </a:ext>
                  </a:extLst>
                </xdr:cNvPr>
                <xdr:cNvPicPr>
                  <a:picLocks noChangeAspect="1" noChangeArrowheads="1"/>
                </xdr:cNvPicPr>
              </xdr:nvPicPr>
              <xdr:blipFill>
                <a:blip xmlns:r="http://schemas.openxmlformats.org/officeDocument/2006/relationships" r:embed="rId5" cstate="print">
                  <a:alphaModFix/>
                  <a:extLst>
                    <a:ext uri="{28A0092B-C50C-407E-A947-70E740481C1C}">
                      <a14:useLocalDpi xmlns:a14="http://schemas.microsoft.com/office/drawing/2010/main" val="0"/>
                    </a:ext>
                  </a:extLst>
                </a:blip>
                <a:srcRect/>
                <a:stretch>
                  <a:fillRect/>
                </a:stretch>
              </xdr:blipFill>
              <xdr:spPr bwMode="auto">
                <a:xfrm>
                  <a:off x="2163693" y="30823"/>
                  <a:ext cx="214188" cy="2260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6" name="TextBox 65">
                  <a:hlinkClick xmlns:r="http://schemas.openxmlformats.org/officeDocument/2006/relationships" r:id="rId4"/>
                  <a:extLst>
                    <a:ext uri="{FF2B5EF4-FFF2-40B4-BE49-F238E27FC236}">
                      <a16:creationId xmlns:a16="http://schemas.microsoft.com/office/drawing/2014/main" id="{27BCAAD3-AD1A-8475-5E81-AFAA575D7930}"/>
                    </a:ext>
                  </a:extLst>
                </xdr:cNvPr>
                <xdr:cNvSpPr txBox="1"/>
              </xdr:nvSpPr>
              <xdr:spPr>
                <a:xfrm>
                  <a:off x="2369194" y="17046"/>
                  <a:ext cx="846446" cy="25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US" sz="900" b="1">
                      <a:solidFill>
                        <a:schemeClr val="bg1"/>
                      </a:solidFill>
                    </a:rPr>
                    <a:t>DASHBOARD</a:t>
                  </a:r>
                </a:p>
              </xdr:txBody>
            </xdr:sp>
            <xdr:pic>
              <xdr:nvPicPr>
                <xdr:cNvPr id="67" name="Picture 66">
                  <a:hlinkClick xmlns:r="http://schemas.openxmlformats.org/officeDocument/2006/relationships" r:id="rId6"/>
                  <a:extLst>
                    <a:ext uri="{FF2B5EF4-FFF2-40B4-BE49-F238E27FC236}">
                      <a16:creationId xmlns:a16="http://schemas.microsoft.com/office/drawing/2014/main" id="{52B3D2EC-5FBC-BC36-208A-FACD036E7C57}"/>
                    </a:ext>
                  </a:extLst>
                </xdr:cNvPr>
                <xdr:cNvPicPr>
                  <a:picLocks noChangeAspect="1" noChangeArrowheads="1"/>
                </xdr:cNvPicPr>
              </xdr:nvPicPr>
              <xdr:blipFill>
                <a:blip xmlns:r="http://schemas.openxmlformats.org/officeDocument/2006/relationships" r:embed="rId7" cstate="print">
                  <a:alphaModFix/>
                  <a:extLst>
                    <a:ext uri="{28A0092B-C50C-407E-A947-70E740481C1C}">
                      <a14:useLocalDpi xmlns:a14="http://schemas.microsoft.com/office/drawing/2010/main" val="0"/>
                    </a:ext>
                  </a:extLst>
                </a:blip>
                <a:srcRect/>
                <a:stretch>
                  <a:fillRect/>
                </a:stretch>
              </xdr:blipFill>
              <xdr:spPr bwMode="auto">
                <a:xfrm>
                  <a:off x="8461655" y="433462"/>
                  <a:ext cx="214188" cy="20819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8" name="TextBox 67">
                  <a:hlinkClick xmlns:r="http://schemas.openxmlformats.org/officeDocument/2006/relationships" r:id="rId6"/>
                  <a:extLst>
                    <a:ext uri="{FF2B5EF4-FFF2-40B4-BE49-F238E27FC236}">
                      <a16:creationId xmlns:a16="http://schemas.microsoft.com/office/drawing/2014/main" id="{6687D309-F9A9-3095-410C-C7F24780BCF3}"/>
                    </a:ext>
                  </a:extLst>
                </xdr:cNvPr>
                <xdr:cNvSpPr txBox="1"/>
              </xdr:nvSpPr>
              <xdr:spPr>
                <a:xfrm>
                  <a:off x="8647283" y="413913"/>
                  <a:ext cx="56836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REPORTS</a:t>
                  </a:r>
                </a:p>
              </xdr:txBody>
            </xdr:sp>
            <xdr:pic>
              <xdr:nvPicPr>
                <xdr:cNvPr id="69" name="Picture 68">
                  <a:hlinkClick xmlns:r="http://schemas.openxmlformats.org/officeDocument/2006/relationships" r:id="rId8"/>
                  <a:extLst>
                    <a:ext uri="{FF2B5EF4-FFF2-40B4-BE49-F238E27FC236}">
                      <a16:creationId xmlns:a16="http://schemas.microsoft.com/office/drawing/2014/main" id="{4B4DF19E-D7EA-F24F-0B4A-37DAD22A74C5}"/>
                    </a:ext>
                  </a:extLst>
                </xdr:cNvPr>
                <xdr:cNvPicPr>
                  <a:picLocks noChangeAspect="1"/>
                </xdr:cNvPicPr>
              </xdr:nvPicPr>
              <xdr:blipFill>
                <a:blip xmlns:r="http://schemas.openxmlformats.org/officeDocument/2006/relationships" r:embed="rId9" cstate="print">
                  <a:alphaModFix/>
                  <a:extLst>
                    <a:ext uri="{28A0092B-C50C-407E-A947-70E740481C1C}">
                      <a14:useLocalDpi xmlns:a14="http://schemas.microsoft.com/office/drawing/2010/main" val="0"/>
                    </a:ext>
                  </a:extLst>
                </a:blip>
                <a:stretch>
                  <a:fillRect/>
                </a:stretch>
              </xdr:blipFill>
              <xdr:spPr>
                <a:xfrm>
                  <a:off x="6903860" y="19549"/>
                  <a:ext cx="214187" cy="248554"/>
                </a:xfrm>
                <a:prstGeom prst="rect">
                  <a:avLst/>
                </a:prstGeom>
              </xdr:spPr>
            </xdr:pic>
            <xdr:sp macro="" textlink="">
              <xdr:nvSpPr>
                <xdr:cNvPr id="70" name="TextBox 69">
                  <a:hlinkClick xmlns:r="http://schemas.openxmlformats.org/officeDocument/2006/relationships" r:id="rId8"/>
                  <a:extLst>
                    <a:ext uri="{FF2B5EF4-FFF2-40B4-BE49-F238E27FC236}">
                      <a16:creationId xmlns:a16="http://schemas.microsoft.com/office/drawing/2014/main" id="{77B88244-F2DF-4EF2-262A-DDFA0DBDE4E3}"/>
                    </a:ext>
                  </a:extLst>
                </xdr:cNvPr>
                <xdr:cNvSpPr txBox="1"/>
              </xdr:nvSpPr>
              <xdr:spPr>
                <a:xfrm>
                  <a:off x="7099062" y="0"/>
                  <a:ext cx="67589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MORTGAGE</a:t>
                  </a:r>
                </a:p>
              </xdr:txBody>
            </xdr:sp>
            <xdr:sp macro="" textlink="">
              <xdr:nvSpPr>
                <xdr:cNvPr id="71" name="TextBox 70">
                  <a:hlinkClick xmlns:r="http://schemas.openxmlformats.org/officeDocument/2006/relationships" r:id="rId10"/>
                  <a:extLst>
                    <a:ext uri="{FF2B5EF4-FFF2-40B4-BE49-F238E27FC236}">
                      <a16:creationId xmlns:a16="http://schemas.microsoft.com/office/drawing/2014/main" id="{3AF0CD2E-C33A-E7F8-60AB-F8624CD659FC}"/>
                    </a:ext>
                  </a:extLst>
                </xdr:cNvPr>
                <xdr:cNvSpPr txBox="1"/>
              </xdr:nvSpPr>
              <xdr:spPr>
                <a:xfrm>
                  <a:off x="6375474" y="0"/>
                  <a:ext cx="381400"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DEBT</a:t>
                  </a:r>
                </a:p>
              </xdr:txBody>
            </xdr:sp>
            <xdr:pic>
              <xdr:nvPicPr>
                <xdr:cNvPr id="72" name="Picture 71">
                  <a:hlinkClick xmlns:r="http://schemas.openxmlformats.org/officeDocument/2006/relationships" r:id="rId10"/>
                  <a:extLst>
                    <a:ext uri="{FF2B5EF4-FFF2-40B4-BE49-F238E27FC236}">
                      <a16:creationId xmlns:a16="http://schemas.microsoft.com/office/drawing/2014/main" id="{2547975E-3334-1C44-D1FB-1ABC31751775}"/>
                    </a:ext>
                  </a:extLst>
                </xdr:cNvPr>
                <xdr:cNvPicPr>
                  <a:picLocks noChangeAspect="1"/>
                </xdr:cNvPicPr>
              </xdr:nvPicPr>
              <xdr:blipFill>
                <a:blip xmlns:r="http://schemas.openxmlformats.org/officeDocument/2006/relationships" r:embed="rId11" cstate="print">
                  <a:alphaModFix/>
                  <a:extLst>
                    <a:ext uri="{28A0092B-C50C-407E-A947-70E740481C1C}">
                      <a14:useLocalDpi xmlns:a14="http://schemas.microsoft.com/office/drawing/2010/main" val="0"/>
                    </a:ext>
                  </a:extLst>
                </a:blip>
                <a:stretch>
                  <a:fillRect/>
                </a:stretch>
              </xdr:blipFill>
              <xdr:spPr>
                <a:xfrm>
                  <a:off x="6158378" y="19549"/>
                  <a:ext cx="214188" cy="248554"/>
                </a:xfrm>
                <a:prstGeom prst="rect">
                  <a:avLst/>
                </a:prstGeom>
              </xdr:spPr>
            </xdr:pic>
            <xdr:sp macro="" textlink="">
              <xdr:nvSpPr>
                <xdr:cNvPr id="73" name="TextBox 72">
                  <a:hlinkClick xmlns:r="http://schemas.openxmlformats.org/officeDocument/2006/relationships" r:id="rId12"/>
                  <a:extLst>
                    <a:ext uri="{FF2B5EF4-FFF2-40B4-BE49-F238E27FC236}">
                      <a16:creationId xmlns:a16="http://schemas.microsoft.com/office/drawing/2014/main" id="{F5F69798-2674-0DC9-3E4F-523C6DB77779}"/>
                    </a:ext>
                  </a:extLst>
                </xdr:cNvPr>
                <xdr:cNvSpPr txBox="1"/>
              </xdr:nvSpPr>
              <xdr:spPr>
                <a:xfrm>
                  <a:off x="5370816" y="37659"/>
                  <a:ext cx="64057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FORECASTS</a:t>
                  </a:r>
                </a:p>
              </xdr:txBody>
            </xdr:sp>
            <xdr:sp macro="" textlink="">
              <xdr:nvSpPr>
                <xdr:cNvPr id="74" name="TextBox 73">
                  <a:hlinkClick xmlns:r="http://schemas.openxmlformats.org/officeDocument/2006/relationships" r:id="rId13"/>
                  <a:extLst>
                    <a:ext uri="{FF2B5EF4-FFF2-40B4-BE49-F238E27FC236}">
                      <a16:creationId xmlns:a16="http://schemas.microsoft.com/office/drawing/2014/main" id="{7E15EDCA-27DE-C035-A8F7-6D5E16387FF8}"/>
                    </a:ext>
                  </a:extLst>
                </xdr:cNvPr>
                <xdr:cNvSpPr txBox="1"/>
              </xdr:nvSpPr>
              <xdr:spPr>
                <a:xfrm>
                  <a:off x="8104032" y="0"/>
                  <a:ext cx="7732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a:t>
                  </a:r>
                  <a:r>
                    <a:rPr lang="en-US" sz="900" b="1" baseline="0">
                      <a:solidFill>
                        <a:schemeClr val="bg1"/>
                      </a:solidFill>
                    </a:rPr>
                    <a:t> (M)</a:t>
                  </a:r>
                  <a:endParaRPr lang="en-US" sz="900" b="1">
                    <a:solidFill>
                      <a:schemeClr val="bg1"/>
                    </a:solidFill>
                  </a:endParaRPr>
                </a:p>
              </xdr:txBody>
            </xdr:sp>
            <xdr:pic>
              <xdr:nvPicPr>
                <xdr:cNvPr id="75" name="Picture 74">
                  <a:hlinkClick xmlns:r="http://schemas.openxmlformats.org/officeDocument/2006/relationships" r:id="rId13"/>
                  <a:extLst>
                    <a:ext uri="{FF2B5EF4-FFF2-40B4-BE49-F238E27FC236}">
                      <a16:creationId xmlns:a16="http://schemas.microsoft.com/office/drawing/2014/main" id="{24602170-8764-9849-465D-CA560813CFB0}"/>
                    </a:ext>
                  </a:extLst>
                </xdr:cNvPr>
                <xdr:cNvPicPr>
                  <a:picLocks noChangeAspect="1"/>
                </xdr:cNvPicPr>
              </xdr:nvPicPr>
              <xdr:blipFill>
                <a:blip xmlns:r="http://schemas.openxmlformats.org/officeDocument/2006/relationships" r:embed="rId14" cstate="print">
                  <a:alphaModFix/>
                  <a:extLst>
                    <a:ext uri="{28A0092B-C50C-407E-A947-70E740481C1C}">
                      <a14:useLocalDpi xmlns:a14="http://schemas.microsoft.com/office/drawing/2010/main" val="0"/>
                    </a:ext>
                  </a:extLst>
                </a:blip>
                <a:stretch>
                  <a:fillRect/>
                </a:stretch>
              </xdr:blipFill>
              <xdr:spPr>
                <a:xfrm>
                  <a:off x="7921943" y="19549"/>
                  <a:ext cx="214188" cy="248554"/>
                </a:xfrm>
                <a:prstGeom prst="rect">
                  <a:avLst/>
                </a:prstGeom>
              </xdr:spPr>
            </xdr:pic>
            <xdr:sp macro="" textlink="">
              <xdr:nvSpPr>
                <xdr:cNvPr id="76" name="TextBox 75">
                  <a:hlinkClick xmlns:r="http://schemas.openxmlformats.org/officeDocument/2006/relationships" r:id="rId15"/>
                  <a:extLst>
                    <a:ext uri="{FF2B5EF4-FFF2-40B4-BE49-F238E27FC236}">
                      <a16:creationId xmlns:a16="http://schemas.microsoft.com/office/drawing/2014/main" id="{A5FAEA52-F5C1-00A7-9E89-2E038FCBA7DF}"/>
                    </a:ext>
                  </a:extLst>
                </xdr:cNvPr>
                <xdr:cNvSpPr txBox="1"/>
              </xdr:nvSpPr>
              <xdr:spPr>
                <a:xfrm>
                  <a:off x="9978309" y="0"/>
                  <a:ext cx="687187"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 (Y)</a:t>
                  </a:r>
                </a:p>
              </xdr:txBody>
            </xdr:sp>
            <xdr:pic>
              <xdr:nvPicPr>
                <xdr:cNvPr id="77" name="Picture 76">
                  <a:hlinkClick xmlns:r="http://schemas.openxmlformats.org/officeDocument/2006/relationships" r:id="rId15"/>
                  <a:extLst>
                    <a:ext uri="{FF2B5EF4-FFF2-40B4-BE49-F238E27FC236}">
                      <a16:creationId xmlns:a16="http://schemas.microsoft.com/office/drawing/2014/main" id="{09603532-CE60-1279-EF59-C22E6DA35342}"/>
                    </a:ext>
                  </a:extLst>
                </xdr:cNvPr>
                <xdr:cNvPicPr>
                  <a:picLocks noChangeAspect="1"/>
                </xdr:cNvPicPr>
              </xdr:nvPicPr>
              <xdr:blipFill>
                <a:blip xmlns:r="http://schemas.openxmlformats.org/officeDocument/2006/relationships" r:embed="rId16" cstate="print">
                  <a:alphaModFix/>
                  <a:extLst>
                    <a:ext uri="{28A0092B-C50C-407E-A947-70E740481C1C}">
                      <a14:useLocalDpi xmlns:a14="http://schemas.microsoft.com/office/drawing/2010/main" val="0"/>
                    </a:ext>
                  </a:extLst>
                </a:blip>
                <a:stretch>
                  <a:fillRect/>
                </a:stretch>
              </xdr:blipFill>
              <xdr:spPr>
                <a:xfrm>
                  <a:off x="9777770" y="19549"/>
                  <a:ext cx="214188" cy="248554"/>
                </a:xfrm>
                <a:prstGeom prst="rect">
                  <a:avLst/>
                </a:prstGeom>
              </xdr:spPr>
            </xdr:pic>
            <xdr:sp macro="" textlink="">
              <xdr:nvSpPr>
                <xdr:cNvPr id="78" name="TextBox 77">
                  <a:hlinkClick xmlns:r="http://schemas.openxmlformats.org/officeDocument/2006/relationships" r:id="rId17"/>
                  <a:extLst>
                    <a:ext uri="{FF2B5EF4-FFF2-40B4-BE49-F238E27FC236}">
                      <a16:creationId xmlns:a16="http://schemas.microsoft.com/office/drawing/2014/main" id="{8CAE8EDE-C8E4-318C-0458-6F09C7DF30BD}"/>
                    </a:ext>
                  </a:extLst>
                </xdr:cNvPr>
                <xdr:cNvSpPr txBox="1"/>
              </xdr:nvSpPr>
              <xdr:spPr>
                <a:xfrm>
                  <a:off x="9133984" y="0"/>
                  <a:ext cx="49680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VERSUS</a:t>
                  </a:r>
                </a:p>
              </xdr:txBody>
            </xdr:sp>
            <xdr:pic>
              <xdr:nvPicPr>
                <xdr:cNvPr id="79" name="Picture 78">
                  <a:hlinkClick xmlns:r="http://schemas.openxmlformats.org/officeDocument/2006/relationships" r:id="rId17"/>
                  <a:extLst>
                    <a:ext uri="{FF2B5EF4-FFF2-40B4-BE49-F238E27FC236}">
                      <a16:creationId xmlns:a16="http://schemas.microsoft.com/office/drawing/2014/main" id="{FC95E8DD-0878-3336-1F2D-73FCCF36328C}"/>
                    </a:ext>
                  </a:extLst>
                </xdr:cNvPr>
                <xdr:cNvPicPr>
                  <a:picLocks noChangeAspect="1"/>
                </xdr:cNvPicPr>
              </xdr:nvPicPr>
              <xdr:blipFill>
                <a:blip xmlns:r="http://schemas.openxmlformats.org/officeDocument/2006/relationships" r:embed="rId18" cstate="print">
                  <a:alphaModFix/>
                  <a:extLst>
                    <a:ext uri="{28A0092B-C50C-407E-A947-70E740481C1C}">
                      <a14:useLocalDpi xmlns:a14="http://schemas.microsoft.com/office/drawing/2010/main" val="0"/>
                    </a:ext>
                  </a:extLst>
                </a:blip>
                <a:stretch>
                  <a:fillRect/>
                </a:stretch>
              </xdr:blipFill>
              <xdr:spPr>
                <a:xfrm>
                  <a:off x="8938203" y="19549"/>
                  <a:ext cx="214187" cy="248554"/>
                </a:xfrm>
                <a:prstGeom prst="rect">
                  <a:avLst/>
                </a:prstGeom>
              </xdr:spPr>
            </xdr:pic>
            <xdr:sp macro="" textlink="">
              <xdr:nvSpPr>
                <xdr:cNvPr id="80" name="TextBox 79">
                  <a:hlinkClick xmlns:r="http://schemas.openxmlformats.org/officeDocument/2006/relationships" r:id="rId19"/>
                  <a:extLst>
                    <a:ext uri="{FF2B5EF4-FFF2-40B4-BE49-F238E27FC236}">
                      <a16:creationId xmlns:a16="http://schemas.microsoft.com/office/drawing/2014/main" id="{65283DBF-48C2-B14A-3739-6041771BCE3A}"/>
                    </a:ext>
                  </a:extLst>
                </xdr:cNvPr>
                <xdr:cNvSpPr txBox="1"/>
              </xdr:nvSpPr>
              <xdr:spPr>
                <a:xfrm>
                  <a:off x="3510385" y="0"/>
                  <a:ext cx="52312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REPAIRS</a:t>
                  </a:r>
                </a:p>
              </xdr:txBody>
            </xdr:sp>
            <xdr:pic>
              <xdr:nvPicPr>
                <xdr:cNvPr id="81" name="Picture 80">
                  <a:hlinkClick xmlns:r="http://schemas.openxmlformats.org/officeDocument/2006/relationships" r:id="rId19"/>
                  <a:extLst>
                    <a:ext uri="{FF2B5EF4-FFF2-40B4-BE49-F238E27FC236}">
                      <a16:creationId xmlns:a16="http://schemas.microsoft.com/office/drawing/2014/main" id="{E3DDD9C2-2150-4DA1-CF37-ED1326AE99DA}"/>
                    </a:ext>
                  </a:extLst>
                </xdr:cNvPr>
                <xdr:cNvPicPr>
                  <a:picLocks noChangeAspect="1"/>
                </xdr:cNvPicPr>
              </xdr:nvPicPr>
              <xdr:blipFill>
                <a:blip xmlns:r="http://schemas.openxmlformats.org/officeDocument/2006/relationships" r:embed="rId20" cstate="print">
                  <a:alphaModFix/>
                  <a:extLst>
                    <a:ext uri="{28A0092B-C50C-407E-A947-70E740481C1C}">
                      <a14:useLocalDpi xmlns:a14="http://schemas.microsoft.com/office/drawing/2010/main" val="0"/>
                    </a:ext>
                  </a:extLst>
                </a:blip>
                <a:stretch>
                  <a:fillRect/>
                </a:stretch>
              </xdr:blipFill>
              <xdr:spPr>
                <a:xfrm>
                  <a:off x="3296296" y="28376"/>
                  <a:ext cx="214435" cy="230900"/>
                </a:xfrm>
                <a:prstGeom prst="rect">
                  <a:avLst/>
                </a:prstGeom>
              </xdr:spPr>
            </xdr:pic>
            <xdr:sp macro="" textlink="">
              <xdr:nvSpPr>
                <xdr:cNvPr id="82" name="TextBox 81">
                  <a:hlinkClick xmlns:r="http://schemas.openxmlformats.org/officeDocument/2006/relationships" r:id="rId21"/>
                  <a:extLst>
                    <a:ext uri="{FF2B5EF4-FFF2-40B4-BE49-F238E27FC236}">
                      <a16:creationId xmlns:a16="http://schemas.microsoft.com/office/drawing/2014/main" id="{0EE25BFA-8C2D-2294-9717-BBFD0AD8A228}"/>
                    </a:ext>
                  </a:extLst>
                </xdr:cNvPr>
                <xdr:cNvSpPr txBox="1"/>
              </xdr:nvSpPr>
              <xdr:spPr>
                <a:xfrm>
                  <a:off x="4388587" y="0"/>
                  <a:ext cx="63170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FURNITURE</a:t>
                  </a:r>
                </a:p>
              </xdr:txBody>
            </xdr:sp>
            <xdr:pic>
              <xdr:nvPicPr>
                <xdr:cNvPr id="83" name="Picture 82">
                  <a:hlinkClick xmlns:r="http://schemas.openxmlformats.org/officeDocument/2006/relationships" r:id="rId21"/>
                  <a:extLst>
                    <a:ext uri="{FF2B5EF4-FFF2-40B4-BE49-F238E27FC236}">
                      <a16:creationId xmlns:a16="http://schemas.microsoft.com/office/drawing/2014/main" id="{3A121FC5-3C4D-6036-5CFF-B4D24244B199}"/>
                    </a:ext>
                  </a:extLst>
                </xdr:cNvPr>
                <xdr:cNvPicPr>
                  <a:picLocks noChangeAspect="1"/>
                </xdr:cNvPicPr>
              </xdr:nvPicPr>
              <xdr:blipFill>
                <a:blip xmlns:r="http://schemas.openxmlformats.org/officeDocument/2006/relationships" r:embed="rId22" cstate="print">
                  <a:alphaModFix/>
                  <a:extLst>
                    <a:ext uri="{28A0092B-C50C-407E-A947-70E740481C1C}">
                      <a14:useLocalDpi xmlns:a14="http://schemas.microsoft.com/office/drawing/2010/main" val="0"/>
                    </a:ext>
                  </a:extLst>
                </a:blip>
                <a:stretch>
                  <a:fillRect/>
                </a:stretch>
              </xdr:blipFill>
              <xdr:spPr>
                <a:xfrm>
                  <a:off x="4180491" y="28376"/>
                  <a:ext cx="214435" cy="230900"/>
                </a:xfrm>
                <a:prstGeom prst="rect">
                  <a:avLst/>
                </a:prstGeom>
              </xdr:spPr>
            </xdr:pic>
            <xdr:pic>
              <xdr:nvPicPr>
                <xdr:cNvPr id="84" name="Picture 83">
                  <a:hlinkClick xmlns:r="http://schemas.openxmlformats.org/officeDocument/2006/relationships" r:id="rId23"/>
                  <a:extLst>
                    <a:ext uri="{FF2B5EF4-FFF2-40B4-BE49-F238E27FC236}">
                      <a16:creationId xmlns:a16="http://schemas.microsoft.com/office/drawing/2014/main" id="{9ED8E955-E39C-8CA0-5177-CC8DD7C58C57}"/>
                    </a:ext>
                  </a:extLst>
                </xdr:cNvPr>
                <xdr:cNvPicPr>
                  <a:picLocks noChangeAspect="1"/>
                </xdr:cNvPicPr>
              </xdr:nvPicPr>
              <xdr:blipFill>
                <a:blip xmlns:r="http://schemas.openxmlformats.org/officeDocument/2006/relationships" r:embed="rId24" cstate="print">
                  <a:alphaModFix/>
                  <a:extLst>
                    <a:ext uri="{28A0092B-C50C-407E-A947-70E740481C1C}">
                      <a14:useLocalDpi xmlns:a14="http://schemas.microsoft.com/office/drawing/2010/main" val="0"/>
                    </a:ext>
                  </a:extLst>
                </a:blip>
                <a:stretch>
                  <a:fillRect/>
                </a:stretch>
              </xdr:blipFill>
              <xdr:spPr>
                <a:xfrm>
                  <a:off x="10812480" y="19549"/>
                  <a:ext cx="214188" cy="248554"/>
                </a:xfrm>
                <a:prstGeom prst="rect">
                  <a:avLst/>
                </a:prstGeom>
              </xdr:spPr>
            </xdr:pic>
            <xdr:sp macro="" textlink="">
              <xdr:nvSpPr>
                <xdr:cNvPr id="85" name="TextBox 84">
                  <a:hlinkClick xmlns:r="http://schemas.openxmlformats.org/officeDocument/2006/relationships" r:id="rId23"/>
                  <a:extLst>
                    <a:ext uri="{FF2B5EF4-FFF2-40B4-BE49-F238E27FC236}">
                      <a16:creationId xmlns:a16="http://schemas.microsoft.com/office/drawing/2014/main" id="{D878D3D0-5A18-821A-E702-15A19A7DF22F}"/>
                    </a:ext>
                  </a:extLst>
                </xdr:cNvPr>
                <xdr:cNvSpPr txBox="1"/>
              </xdr:nvSpPr>
              <xdr:spPr>
                <a:xfrm>
                  <a:off x="11008843" y="0"/>
                  <a:ext cx="40705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PEERS</a:t>
                  </a:r>
                </a:p>
              </xdr:txBody>
            </xdr:sp>
            <xdr:sp macro="" textlink="">
              <xdr:nvSpPr>
                <xdr:cNvPr id="86" name="TextBox 85">
                  <a:hlinkClick xmlns:r="http://schemas.openxmlformats.org/officeDocument/2006/relationships" r:id="rId25"/>
                  <a:extLst>
                    <a:ext uri="{FF2B5EF4-FFF2-40B4-BE49-F238E27FC236}">
                      <a16:creationId xmlns:a16="http://schemas.microsoft.com/office/drawing/2014/main" id="{F88FE3DA-5303-B206-6B68-B21BF937C0F9}"/>
                    </a:ext>
                  </a:extLst>
                </xdr:cNvPr>
                <xdr:cNvSpPr txBox="1"/>
              </xdr:nvSpPr>
              <xdr:spPr>
                <a:xfrm>
                  <a:off x="9581756" y="397481"/>
                  <a:ext cx="656781"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MAX PRICE</a:t>
                  </a:r>
                </a:p>
              </xdr:txBody>
            </xdr:sp>
            <xdr:pic>
              <xdr:nvPicPr>
                <xdr:cNvPr id="87" name="Picture 86">
                  <a:hlinkClick xmlns:r="http://schemas.openxmlformats.org/officeDocument/2006/relationships" r:id="rId25"/>
                  <a:extLst>
                    <a:ext uri="{FF2B5EF4-FFF2-40B4-BE49-F238E27FC236}">
                      <a16:creationId xmlns:a16="http://schemas.microsoft.com/office/drawing/2014/main" id="{7557CD40-10B5-2E26-F24F-520E217A2696}"/>
                    </a:ext>
                  </a:extLst>
                </xdr:cNvPr>
                <xdr:cNvPicPr>
                  <a:picLocks noChangeAspect="1"/>
                </xdr:cNvPicPr>
              </xdr:nvPicPr>
              <xdr:blipFill>
                <a:blip xmlns:r="http://schemas.openxmlformats.org/officeDocument/2006/relationships" r:embed="rId26" cstate="print">
                  <a:alphaModFix/>
                  <a:extLst>
                    <a:ext uri="{28A0092B-C50C-407E-A947-70E740481C1C}">
                      <a14:useLocalDpi xmlns:a14="http://schemas.microsoft.com/office/drawing/2010/main" val="0"/>
                    </a:ext>
                  </a:extLst>
                </a:blip>
                <a:stretch>
                  <a:fillRect/>
                </a:stretch>
              </xdr:blipFill>
              <xdr:spPr>
                <a:xfrm>
                  <a:off x="9433997" y="425857"/>
                  <a:ext cx="214435" cy="230900"/>
                </a:xfrm>
                <a:prstGeom prst="rect">
                  <a:avLst/>
                </a:prstGeom>
              </xdr:spPr>
            </xdr:pic>
            <xdr:sp macro="" textlink="">
              <xdr:nvSpPr>
                <xdr:cNvPr id="88" name="TextBox 87">
                  <a:hlinkClick xmlns:r="http://schemas.openxmlformats.org/officeDocument/2006/relationships" r:id="rId27"/>
                  <a:extLst>
                    <a:ext uri="{FF2B5EF4-FFF2-40B4-BE49-F238E27FC236}">
                      <a16:creationId xmlns:a16="http://schemas.microsoft.com/office/drawing/2014/main" id="{B343B4C4-E542-5771-CDAD-020F69B06839}"/>
                    </a:ext>
                  </a:extLst>
                </xdr:cNvPr>
                <xdr:cNvSpPr txBox="1"/>
              </xdr:nvSpPr>
              <xdr:spPr>
                <a:xfrm>
                  <a:off x="7733272" y="389861"/>
                  <a:ext cx="6384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SCENARIOS</a:t>
                  </a:r>
                </a:p>
              </xdr:txBody>
            </xdr:sp>
            <xdr:pic>
              <xdr:nvPicPr>
                <xdr:cNvPr id="89" name="Picture 88">
                  <a:hlinkClick xmlns:r="http://schemas.openxmlformats.org/officeDocument/2006/relationships" r:id="rId27"/>
                  <a:extLst>
                    <a:ext uri="{FF2B5EF4-FFF2-40B4-BE49-F238E27FC236}">
                      <a16:creationId xmlns:a16="http://schemas.microsoft.com/office/drawing/2014/main" id="{BA342974-7874-B85D-0F41-EE03D5868961}"/>
                    </a:ext>
                  </a:extLst>
                </xdr:cNvPr>
                <xdr:cNvPicPr>
                  <a:picLocks noChangeAspect="1"/>
                </xdr:cNvPicPr>
              </xdr:nvPicPr>
              <xdr:blipFill>
                <a:blip xmlns:r="http://schemas.openxmlformats.org/officeDocument/2006/relationships" r:embed="rId28" cstate="print">
                  <a:alphaModFix/>
                  <a:extLst>
                    <a:ext uri="{28A0092B-C50C-407E-A947-70E740481C1C}">
                      <a14:useLocalDpi xmlns:a14="http://schemas.microsoft.com/office/drawing/2010/main" val="0"/>
                    </a:ext>
                  </a:extLst>
                </a:blip>
                <a:stretch>
                  <a:fillRect/>
                </a:stretch>
              </xdr:blipFill>
              <xdr:spPr>
                <a:xfrm>
                  <a:off x="7536090" y="418237"/>
                  <a:ext cx="214435" cy="230900"/>
                </a:xfrm>
                <a:prstGeom prst="rect">
                  <a:avLst/>
                </a:prstGeom>
              </xdr:spPr>
            </xdr:pic>
            <xdr:sp macro="" textlink="">
              <xdr:nvSpPr>
                <xdr:cNvPr id="90" name="TextBox 89">
                  <a:hlinkClick xmlns:r="http://schemas.openxmlformats.org/officeDocument/2006/relationships" r:id="rId29"/>
                  <a:extLst>
                    <a:ext uri="{FF2B5EF4-FFF2-40B4-BE49-F238E27FC236}">
                      <a16:creationId xmlns:a16="http://schemas.microsoft.com/office/drawing/2014/main" id="{9E6B923C-960B-5E4A-04AC-0B8F61BFCAB0}"/>
                    </a:ext>
                  </a:extLst>
                </xdr:cNvPr>
                <xdr:cNvSpPr txBox="1"/>
              </xdr:nvSpPr>
              <xdr:spPr>
                <a:xfrm>
                  <a:off x="11757467" y="49286"/>
                  <a:ext cx="110218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MARKET RESEARCH</a:t>
                  </a:r>
                </a:p>
              </xdr:txBody>
            </xdr:sp>
            <xdr:pic>
              <xdr:nvPicPr>
                <xdr:cNvPr id="91" name="Picture 90" descr="A white and brown hourglass&#10;&#10;AI-generated content may be incorrect.">
                  <a:hlinkClick xmlns:r="http://schemas.openxmlformats.org/officeDocument/2006/relationships" r:id="rId29"/>
                  <a:extLst>
                    <a:ext uri="{FF2B5EF4-FFF2-40B4-BE49-F238E27FC236}">
                      <a16:creationId xmlns:a16="http://schemas.microsoft.com/office/drawing/2014/main" id="{85B989A2-BE9E-7E56-4998-953CF02E1975}"/>
                    </a:ext>
                  </a:extLst>
                </xdr:cNvPr>
                <xdr:cNvPicPr>
                  <a:picLocks noChangeAspect="1"/>
                </xdr:cNvPicPr>
              </xdr:nvPicPr>
              <xdr:blipFill>
                <a:blip xmlns:r="http://schemas.openxmlformats.org/officeDocument/2006/relationships" r:embed="rId30" cstate="print">
                  <a:alphaModFix/>
                  <a:extLst>
                    <a:ext uri="{28A0092B-C50C-407E-A947-70E740481C1C}">
                      <a14:useLocalDpi xmlns:a14="http://schemas.microsoft.com/office/drawing/2010/main" val="0"/>
                    </a:ext>
                  </a:extLst>
                </a:blip>
                <a:stretch>
                  <a:fillRect/>
                </a:stretch>
              </xdr:blipFill>
              <xdr:spPr>
                <a:xfrm>
                  <a:off x="11563464" y="33893"/>
                  <a:ext cx="235575" cy="261687"/>
                </a:xfrm>
                <a:prstGeom prst="rect">
                  <a:avLst/>
                </a:prstGeom>
              </xdr:spPr>
            </xdr:pic>
            <xdr:pic>
              <xdr:nvPicPr>
                <xdr:cNvPr id="92" name="Picture 91">
                  <a:hlinkClick xmlns:r="http://schemas.openxmlformats.org/officeDocument/2006/relationships" r:id="rId31"/>
                  <a:extLst>
                    <a:ext uri="{FF2B5EF4-FFF2-40B4-BE49-F238E27FC236}">
                      <a16:creationId xmlns:a16="http://schemas.microsoft.com/office/drawing/2014/main" id="{4CA3C002-200B-F876-3209-D2E7CBB57FE9}"/>
                    </a:ext>
                  </a:extLst>
                </xdr:cNvPr>
                <xdr:cNvPicPr>
                  <a:picLocks noChangeAspect="1" noChangeArrowheads="1"/>
                </xdr:cNvPicPr>
              </xdr:nvPicPr>
              <xdr:blipFill>
                <a:blip xmlns:r="http://schemas.openxmlformats.org/officeDocument/2006/relationships" r:embed="rId3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33032" y="384834"/>
                  <a:ext cx="261600" cy="33288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3" name="TextBox 92">
                  <a:hlinkClick xmlns:r="http://schemas.openxmlformats.org/officeDocument/2006/relationships" r:id="rId31"/>
                  <a:extLst>
                    <a:ext uri="{FF2B5EF4-FFF2-40B4-BE49-F238E27FC236}">
                      <a16:creationId xmlns:a16="http://schemas.microsoft.com/office/drawing/2014/main" id="{89B5016B-C757-A8AF-CF10-FA0DF7684C85}"/>
                    </a:ext>
                  </a:extLst>
                </xdr:cNvPr>
                <xdr:cNvSpPr txBox="1"/>
              </xdr:nvSpPr>
              <xdr:spPr>
                <a:xfrm>
                  <a:off x="3637195" y="315564"/>
                  <a:ext cx="914586" cy="433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BALANCE SHEET</a:t>
                  </a:r>
                </a:p>
                <a:p>
                  <a:pPr algn="ctr"/>
                  <a:r>
                    <a:rPr lang="en-US" sz="900" b="1">
                      <a:solidFill>
                        <a:schemeClr val="bg1"/>
                      </a:solidFill>
                    </a:rPr>
                    <a:t>SUMMARY</a:t>
                  </a:r>
                </a:p>
              </xdr:txBody>
            </xdr:sp>
            <xdr:pic>
              <xdr:nvPicPr>
                <xdr:cNvPr id="94" name="Picture 93">
                  <a:hlinkClick xmlns:r="http://schemas.openxmlformats.org/officeDocument/2006/relationships" r:id="rId33"/>
                  <a:extLst>
                    <a:ext uri="{FF2B5EF4-FFF2-40B4-BE49-F238E27FC236}">
                      <a16:creationId xmlns:a16="http://schemas.microsoft.com/office/drawing/2014/main" id="{404AB093-5532-DC20-5386-39DB9F0F6C94}"/>
                    </a:ext>
                  </a:extLst>
                </xdr:cNvPr>
                <xdr:cNvPicPr>
                  <a:picLocks noChangeAspect="1" noChangeArrowheads="1"/>
                </xdr:cNvPicPr>
              </xdr:nvPicPr>
              <xdr:blipFill>
                <a:blip xmlns:r="http://schemas.openxmlformats.org/officeDocument/2006/relationships" r:embed="rId34" cstate="print">
                  <a:clrChange>
                    <a:clrFrom>
                      <a:srgbClr val="F8F8F8"/>
                    </a:clrFrom>
                    <a:clrTo>
                      <a:srgbClr val="F8F8F8">
                        <a:alpha val="0"/>
                      </a:srgbClr>
                    </a:clrTo>
                  </a:clrChange>
                  <a:extLst>
                    <a:ext uri="{28A0092B-C50C-407E-A947-70E740481C1C}">
                      <a14:useLocalDpi xmlns:a14="http://schemas.microsoft.com/office/drawing/2010/main" val="0"/>
                    </a:ext>
                  </a:extLst>
                </a:blip>
                <a:srcRect/>
                <a:stretch>
                  <a:fillRect/>
                </a:stretch>
              </xdr:blipFill>
              <xdr:spPr bwMode="auto">
                <a:xfrm>
                  <a:off x="4602713" y="384834"/>
                  <a:ext cx="326621" cy="3113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5" name="TextBox 94">
                  <a:hlinkClick xmlns:r="http://schemas.openxmlformats.org/officeDocument/2006/relationships" r:id="rId33"/>
                  <a:extLst>
                    <a:ext uri="{FF2B5EF4-FFF2-40B4-BE49-F238E27FC236}">
                      <a16:creationId xmlns:a16="http://schemas.microsoft.com/office/drawing/2014/main" id="{DE853CB8-8C3F-54FF-0025-48CFC6E07F50}"/>
                    </a:ext>
                  </a:extLst>
                </xdr:cNvPr>
                <xdr:cNvSpPr txBox="1"/>
              </xdr:nvSpPr>
              <xdr:spPr>
                <a:xfrm>
                  <a:off x="4880678" y="423317"/>
                  <a:ext cx="56334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ASSETS</a:t>
                  </a:r>
                </a:p>
              </xdr:txBody>
            </xdr:sp>
            <xdr:pic>
              <xdr:nvPicPr>
                <xdr:cNvPr id="96" name="Picture 95">
                  <a:hlinkClick xmlns:r="http://schemas.openxmlformats.org/officeDocument/2006/relationships" r:id="rId35"/>
                  <a:extLst>
                    <a:ext uri="{FF2B5EF4-FFF2-40B4-BE49-F238E27FC236}">
                      <a16:creationId xmlns:a16="http://schemas.microsoft.com/office/drawing/2014/main" id="{D442FA6F-069E-4C11-784B-F81467FD96DE}"/>
                    </a:ext>
                  </a:extLst>
                </xdr:cNvPr>
                <xdr:cNvPicPr>
                  <a:picLocks noChangeAspect="1" noChangeArrowheads="1"/>
                </xdr:cNvPicPr>
              </xdr:nvPicPr>
              <xdr:blipFill>
                <a:blip xmlns:r="http://schemas.openxmlformats.org/officeDocument/2006/relationships" r:embed="rId3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35903" y="354046"/>
                  <a:ext cx="278234" cy="3540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7" name="TextBox 96">
                  <a:hlinkClick xmlns:r="http://schemas.openxmlformats.org/officeDocument/2006/relationships" r:id="rId35"/>
                  <a:extLst>
                    <a:ext uri="{FF2B5EF4-FFF2-40B4-BE49-F238E27FC236}">
                      <a16:creationId xmlns:a16="http://schemas.microsoft.com/office/drawing/2014/main" id="{AAC5597C-42CB-4708-9A0D-ACA642889983}"/>
                    </a:ext>
                  </a:extLst>
                </xdr:cNvPr>
                <xdr:cNvSpPr txBox="1"/>
              </xdr:nvSpPr>
              <xdr:spPr>
                <a:xfrm>
                  <a:off x="5717678" y="431014"/>
                  <a:ext cx="750091"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LIABILITIES</a:t>
                  </a:r>
                </a:p>
              </xdr:txBody>
            </xdr:sp>
            <xdr:pic>
              <xdr:nvPicPr>
                <xdr:cNvPr id="98" name="Picture 97">
                  <a:hlinkClick xmlns:r="http://schemas.openxmlformats.org/officeDocument/2006/relationships" r:id="rId37"/>
                  <a:extLst>
                    <a:ext uri="{FF2B5EF4-FFF2-40B4-BE49-F238E27FC236}">
                      <a16:creationId xmlns:a16="http://schemas.microsoft.com/office/drawing/2014/main" id="{1C6B6EA6-731B-4D22-1047-A68AF2331C4B}"/>
                    </a:ext>
                  </a:extLst>
                </xdr:cNvPr>
                <xdr:cNvPicPr>
                  <a:picLocks noChangeAspect="1"/>
                </xdr:cNvPicPr>
              </xdr:nvPicPr>
              <xdr:blipFill>
                <a:blip xmlns:r="http://schemas.openxmlformats.org/officeDocument/2006/relationships" r:embed="rId38">
                  <a:clrChange>
                    <a:clrFrom>
                      <a:srgbClr val="FFFFFF"/>
                    </a:clrFrom>
                    <a:clrTo>
                      <a:srgbClr val="FFFFFF">
                        <a:alpha val="0"/>
                      </a:srgbClr>
                    </a:clrTo>
                  </a:clrChange>
                </a:blip>
                <a:stretch>
                  <a:fillRect/>
                </a:stretch>
              </xdr:blipFill>
              <xdr:spPr>
                <a:xfrm>
                  <a:off x="6454424" y="361268"/>
                  <a:ext cx="368693" cy="354523"/>
                </a:xfrm>
                <a:prstGeom prst="rect">
                  <a:avLst/>
                </a:prstGeom>
              </xdr:spPr>
            </xdr:pic>
            <xdr:sp macro="" textlink="">
              <xdr:nvSpPr>
                <xdr:cNvPr id="99" name="TextBox 98">
                  <a:hlinkClick xmlns:r="http://schemas.openxmlformats.org/officeDocument/2006/relationships" r:id="rId37"/>
                  <a:extLst>
                    <a:ext uri="{FF2B5EF4-FFF2-40B4-BE49-F238E27FC236}">
                      <a16:creationId xmlns:a16="http://schemas.microsoft.com/office/drawing/2014/main" id="{0CE76730-6F8B-F7BE-ABCB-18EF79D72BC3}"/>
                    </a:ext>
                  </a:extLst>
                </xdr:cNvPr>
                <xdr:cNvSpPr txBox="1"/>
              </xdr:nvSpPr>
              <xdr:spPr>
                <a:xfrm>
                  <a:off x="6742924" y="369440"/>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EDIT</a:t>
                  </a:r>
                </a:p>
                <a:p>
                  <a:r>
                    <a:rPr lang="en-US" sz="900" b="1">
                      <a:solidFill>
                        <a:schemeClr val="bg1"/>
                      </a:solidFill>
                    </a:rPr>
                    <a:t>CATEGORIES</a:t>
                  </a:r>
                </a:p>
              </xdr:txBody>
            </xdr:sp>
            <xdr:grpSp>
              <xdr:nvGrpSpPr>
                <xdr:cNvPr id="100" name="Group 99">
                  <a:hlinkClick xmlns:r="http://schemas.openxmlformats.org/officeDocument/2006/relationships" r:id="rId39"/>
                  <a:extLst>
                    <a:ext uri="{FF2B5EF4-FFF2-40B4-BE49-F238E27FC236}">
                      <a16:creationId xmlns:a16="http://schemas.microsoft.com/office/drawing/2014/main" id="{EBB5E6B3-1CA6-5787-A9A4-DD0694DFA9FC}"/>
                    </a:ext>
                  </a:extLst>
                </xdr:cNvPr>
                <xdr:cNvGrpSpPr/>
              </xdr:nvGrpSpPr>
              <xdr:grpSpPr>
                <a:xfrm>
                  <a:off x="10231249" y="237461"/>
                  <a:ext cx="1281586" cy="502920"/>
                  <a:chOff x="11732389" y="237461"/>
                  <a:chExt cx="1281586" cy="502920"/>
                </a:xfrm>
              </xdr:grpSpPr>
              <xdr:pic>
                <xdr:nvPicPr>
                  <xdr:cNvPr id="101" name="Picture 100">
                    <a:hlinkClick xmlns:r="http://schemas.openxmlformats.org/officeDocument/2006/relationships" r:id="rId40"/>
                    <a:extLst>
                      <a:ext uri="{FF2B5EF4-FFF2-40B4-BE49-F238E27FC236}">
                        <a16:creationId xmlns:a16="http://schemas.microsoft.com/office/drawing/2014/main" id="{E4B5C087-A2AC-4DEE-1B8B-2DDB360799FC}"/>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1732389" y="237461"/>
                    <a:ext cx="502920" cy="502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2" name="TextBox 101">
                    <a:hlinkClick xmlns:r="http://schemas.openxmlformats.org/officeDocument/2006/relationships" r:id="rId40"/>
                    <a:extLst>
                      <a:ext uri="{FF2B5EF4-FFF2-40B4-BE49-F238E27FC236}">
                        <a16:creationId xmlns:a16="http://schemas.microsoft.com/office/drawing/2014/main" id="{A83795D7-4C98-4FE2-BAB6-69323FAF5E36}"/>
                      </a:ext>
                    </a:extLst>
                  </xdr:cNvPr>
                  <xdr:cNvSpPr txBox="1"/>
                </xdr:nvSpPr>
                <xdr:spPr>
                  <a:xfrm>
                    <a:off x="12197209" y="344142"/>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 GAME APPS</a:t>
                    </a:r>
                  </a:p>
                </xdr:txBody>
              </xdr:sp>
            </xdr:grpSp>
          </xdr:grpSp>
          <xdr:grpSp>
            <xdr:nvGrpSpPr>
              <xdr:cNvPr id="61" name="Group 60">
                <a:extLst>
                  <a:ext uri="{FF2B5EF4-FFF2-40B4-BE49-F238E27FC236}">
                    <a16:creationId xmlns:a16="http://schemas.microsoft.com/office/drawing/2014/main" id="{886ABCE2-B68C-45DC-7AC0-BCD0CB9E422C}"/>
                  </a:ext>
                </a:extLst>
              </xdr:cNvPr>
              <xdr:cNvGrpSpPr/>
            </xdr:nvGrpSpPr>
            <xdr:grpSpPr>
              <a:xfrm>
                <a:off x="3030070" y="313765"/>
                <a:ext cx="1219410" cy="438976"/>
                <a:chOff x="3030070" y="313765"/>
                <a:chExt cx="1219410" cy="438976"/>
              </a:xfrm>
            </xdr:grpSpPr>
            <xdr:sp macro="" textlink="">
              <xdr:nvSpPr>
                <xdr:cNvPr id="62" name="TextBox 61">
                  <a:hlinkClick xmlns:r="http://schemas.openxmlformats.org/officeDocument/2006/relationships" r:id="rId42"/>
                  <a:extLst>
                    <a:ext uri="{FF2B5EF4-FFF2-40B4-BE49-F238E27FC236}">
                      <a16:creationId xmlns:a16="http://schemas.microsoft.com/office/drawing/2014/main" id="{DF7FC2C1-BB17-BED2-BA51-46FEB8ABC86A}"/>
                    </a:ext>
                  </a:extLst>
                </xdr:cNvPr>
                <xdr:cNvSpPr txBox="1"/>
              </xdr:nvSpPr>
              <xdr:spPr>
                <a:xfrm>
                  <a:off x="3307528" y="313765"/>
                  <a:ext cx="941952" cy="43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BOOK KEEPING</a:t>
                  </a:r>
                </a:p>
                <a:p>
                  <a:pPr algn="ctr"/>
                  <a:r>
                    <a:rPr lang="en-US" sz="900" b="1">
                      <a:solidFill>
                        <a:schemeClr val="bg1"/>
                      </a:solidFill>
                    </a:rPr>
                    <a:t>LEDGER</a:t>
                  </a:r>
                </a:p>
              </xdr:txBody>
            </xdr:sp>
            <xdr:pic>
              <xdr:nvPicPr>
                <xdr:cNvPr id="63" name="Picture 62">
                  <a:hlinkClick xmlns:r="http://schemas.openxmlformats.org/officeDocument/2006/relationships" r:id="rId42"/>
                  <a:extLst>
                    <a:ext uri="{FF2B5EF4-FFF2-40B4-BE49-F238E27FC236}">
                      <a16:creationId xmlns:a16="http://schemas.microsoft.com/office/drawing/2014/main" id="{B24C287A-2ADB-8B56-0BFC-125C9D886C63}"/>
                    </a:ext>
                  </a:extLst>
                </xdr:cNvPr>
                <xdr:cNvPicPr>
                  <a:picLocks noChangeAspect="1"/>
                </xdr:cNvPicPr>
              </xdr:nvPicPr>
              <xdr:blipFill>
                <a:blip xmlns:r="http://schemas.openxmlformats.org/officeDocument/2006/relationships" r:embed="rId4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0070" y="367554"/>
                  <a:ext cx="327770" cy="349622"/>
                </a:xfrm>
                <a:prstGeom prst="rect">
                  <a:avLst/>
                </a:prstGeom>
              </xdr:spPr>
            </xdr:pic>
          </xdr:grpSp>
        </xdr:grpSp>
        <xdr:grpSp>
          <xdr:nvGrpSpPr>
            <xdr:cNvPr id="57" name="Group 56">
              <a:extLst>
                <a:ext uri="{FF2B5EF4-FFF2-40B4-BE49-F238E27FC236}">
                  <a16:creationId xmlns:a16="http://schemas.microsoft.com/office/drawing/2014/main" id="{47EFAD54-62AF-AF9A-B3B1-4EC00BAB49F7}"/>
                </a:ext>
              </a:extLst>
            </xdr:cNvPr>
            <xdr:cNvGrpSpPr/>
          </xdr:nvGrpSpPr>
          <xdr:grpSpPr>
            <a:xfrm>
              <a:off x="12626340" y="243840"/>
              <a:ext cx="1344125" cy="571500"/>
              <a:chOff x="12626340" y="243840"/>
              <a:chExt cx="1344125" cy="571500"/>
            </a:xfrm>
          </xdr:grpSpPr>
          <xdr:pic>
            <xdr:nvPicPr>
              <xdr:cNvPr id="58" name="Picture 57">
                <a:hlinkClick xmlns:r="http://schemas.openxmlformats.org/officeDocument/2006/relationships" r:id="rId44"/>
                <a:extLst>
                  <a:ext uri="{FF2B5EF4-FFF2-40B4-BE49-F238E27FC236}">
                    <a16:creationId xmlns:a16="http://schemas.microsoft.com/office/drawing/2014/main" id="{14F53951-961B-F997-70C9-6B7D9B58CF06}"/>
                  </a:ext>
                </a:extLst>
              </xdr:cNvPr>
              <xdr:cNvPicPr>
                <a:picLocks noChangeAspect="1" noChangeArrowheads="1"/>
              </xdr:cNvPicPr>
            </xdr:nvPicPr>
            <xdr:blipFill>
              <a:blip xmlns:r="http://schemas.openxmlformats.org/officeDocument/2006/relationships" r:embed="rId4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26340" y="243840"/>
                <a:ext cx="571500" cy="571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9" name="TextBox 58">
                <a:hlinkClick xmlns:r="http://schemas.openxmlformats.org/officeDocument/2006/relationships" r:id="rId44"/>
                <a:extLst>
                  <a:ext uri="{FF2B5EF4-FFF2-40B4-BE49-F238E27FC236}">
                    <a16:creationId xmlns:a16="http://schemas.microsoft.com/office/drawing/2014/main" id="{E408728C-9432-0517-C1BE-89A4F2CE898E}"/>
                  </a:ext>
                </a:extLst>
              </xdr:cNvPr>
              <xdr:cNvSpPr txBox="1"/>
            </xdr:nvSpPr>
            <xdr:spPr>
              <a:xfrm>
                <a:off x="13129260" y="327660"/>
                <a:ext cx="841205" cy="4000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TRAVEL</a:t>
                </a:r>
              </a:p>
              <a:p>
                <a:pPr algn="ctr"/>
                <a:r>
                  <a:rPr lang="en-US" sz="900" b="1">
                    <a:solidFill>
                      <a:schemeClr val="bg1"/>
                    </a:solidFill>
                  </a:rPr>
                  <a:t>SANDBOX</a:t>
                </a:r>
              </a:p>
            </xdr:txBody>
          </xdr:sp>
        </xdr:grpSp>
      </xdr:grpSp>
      <xdr:pic>
        <xdr:nvPicPr>
          <xdr:cNvPr id="55" name="Picture 54">
            <a:hlinkClick xmlns:r="http://schemas.openxmlformats.org/officeDocument/2006/relationships" r:id="rId12"/>
            <a:extLst>
              <a:ext uri="{FF2B5EF4-FFF2-40B4-BE49-F238E27FC236}">
                <a16:creationId xmlns:a16="http://schemas.microsoft.com/office/drawing/2014/main" id="{DFF7069A-197F-11EC-F547-B30236105EAC}"/>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6134100" y="30480"/>
            <a:ext cx="234698" cy="246078"/>
          </a:xfrm>
          <a:prstGeom prst="rect">
            <a:avLst/>
          </a:prstGeom>
          <a:solidFill>
            <a:srgbClr val="7FA6C7"/>
          </a:solidFill>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544270</xdr:colOff>
      <xdr:row>0</xdr:row>
      <xdr:rowOff>130462</xdr:rowOff>
    </xdr:from>
    <xdr:to>
      <xdr:col>14</xdr:col>
      <xdr:colOff>677620</xdr:colOff>
      <xdr:row>12</xdr:row>
      <xdr:rowOff>19050</xdr:rowOff>
    </xdr:to>
    <xdr:graphicFrame macro="">
      <xdr:nvGraphicFramePr>
        <xdr:cNvPr id="2" name="Diagramm 12">
          <a:extLst>
            <a:ext uri="{FF2B5EF4-FFF2-40B4-BE49-F238E27FC236}">
              <a16:creationId xmlns:a16="http://schemas.microsoft.com/office/drawing/2014/main" id="{3B8E6FE4-2425-40B3-9BF8-E314CED9C7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800099</xdr:colOff>
      <xdr:row>13</xdr:row>
      <xdr:rowOff>0</xdr:rowOff>
    </xdr:from>
    <xdr:to>
      <xdr:col>15</xdr:col>
      <xdr:colOff>619124</xdr:colOff>
      <xdr:row>22</xdr:row>
      <xdr:rowOff>174338</xdr:rowOff>
    </xdr:to>
    <xdr:graphicFrame macro="">
      <xdr:nvGraphicFramePr>
        <xdr:cNvPr id="3" name="Diagramm 12">
          <a:extLst>
            <a:ext uri="{FF2B5EF4-FFF2-40B4-BE49-F238E27FC236}">
              <a16:creationId xmlns:a16="http://schemas.microsoft.com/office/drawing/2014/main" id="{CEC24105-3D3D-478A-A6D0-807C30D796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66675</xdr:colOff>
      <xdr:row>23</xdr:row>
      <xdr:rowOff>28575</xdr:rowOff>
    </xdr:from>
    <xdr:to>
      <xdr:col>15</xdr:col>
      <xdr:colOff>685800</xdr:colOff>
      <xdr:row>34</xdr:row>
      <xdr:rowOff>107663</xdr:rowOff>
    </xdr:to>
    <xdr:graphicFrame macro="">
      <xdr:nvGraphicFramePr>
        <xdr:cNvPr id="4" name="Diagramm 12">
          <a:extLst>
            <a:ext uri="{FF2B5EF4-FFF2-40B4-BE49-F238E27FC236}">
              <a16:creationId xmlns:a16="http://schemas.microsoft.com/office/drawing/2014/main" id="{957D96EF-F222-4B86-B370-41AA668A4E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0</xdr:colOff>
      <xdr:row>35</xdr:row>
      <xdr:rowOff>0</xdr:rowOff>
    </xdr:from>
    <xdr:to>
      <xdr:col>15</xdr:col>
      <xdr:colOff>619125</xdr:colOff>
      <xdr:row>46</xdr:row>
      <xdr:rowOff>79088</xdr:rowOff>
    </xdr:to>
    <xdr:graphicFrame macro="">
      <xdr:nvGraphicFramePr>
        <xdr:cNvPr id="5" name="Diagramm 12">
          <a:extLst>
            <a:ext uri="{FF2B5EF4-FFF2-40B4-BE49-F238E27FC236}">
              <a16:creationId xmlns:a16="http://schemas.microsoft.com/office/drawing/2014/main" id="{BDC03473-FF7D-4C19-8CC7-68DE10A826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14</xdr:col>
      <xdr:colOff>783232</xdr:colOff>
      <xdr:row>11</xdr:row>
      <xdr:rowOff>11430</xdr:rowOff>
    </xdr:from>
    <xdr:to>
      <xdr:col>16</xdr:col>
      <xdr:colOff>701611</xdr:colOff>
      <xdr:row>11</xdr:row>
      <xdr:rowOff>337163</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84937038-A6A2-403A-BE24-FA4DBA8AB39B}"/>
            </a:ext>
          </a:extLst>
        </xdr:cNvPr>
        <xdr:cNvSpPr/>
      </xdr:nvSpPr>
      <xdr:spPr>
        <a:xfrm>
          <a:off x="9683392" y="3135630"/>
          <a:ext cx="1488099" cy="325733"/>
        </a:xfrm>
        <a:prstGeom prst="roundRect">
          <a:avLst/>
        </a:prstGeom>
        <a:solidFill>
          <a:srgbClr val="A2BED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latin typeface="+mn-lt"/>
              <a:cs typeface="Arial" panose="020B0604020202020204" pitchFamily="34" charset="0"/>
            </a:rPr>
            <a:t>Check Update</a:t>
          </a:r>
        </a:p>
      </xdr:txBody>
    </xdr:sp>
    <xdr:clientData/>
  </xdr:twoCellAnchor>
  <xdr:twoCellAnchor editAs="oneCell">
    <xdr:from>
      <xdr:col>18</xdr:col>
      <xdr:colOff>396240</xdr:colOff>
      <xdr:row>11</xdr:row>
      <xdr:rowOff>22860</xdr:rowOff>
    </xdr:from>
    <xdr:to>
      <xdr:col>20</xdr:col>
      <xdr:colOff>324041</xdr:colOff>
      <xdr:row>11</xdr:row>
      <xdr:rowOff>350520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C972BBF7-E734-4114-9FB5-442FC0C3C15B}"/>
            </a:ext>
          </a:extLst>
        </xdr:cNvPr>
        <xdr:cNvSpPr/>
      </xdr:nvSpPr>
      <xdr:spPr>
        <a:xfrm>
          <a:off x="12435840" y="3147060"/>
          <a:ext cx="1497521" cy="327660"/>
        </a:xfrm>
        <a:prstGeom prst="roundRect">
          <a:avLst/>
        </a:prstGeom>
        <a:solidFill>
          <a:srgbClr val="A2BED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latin typeface="+mn-lt"/>
              <a:cs typeface="Arial" panose="020B0604020202020204" pitchFamily="34" charset="0"/>
            </a:rPr>
            <a:t>Book</a:t>
          </a:r>
          <a:r>
            <a:rPr lang="en-US" sz="1050" b="1" baseline="0">
              <a:solidFill>
                <a:schemeClr val="bg1"/>
              </a:solidFill>
              <a:latin typeface="+mn-lt"/>
              <a:cs typeface="Arial" panose="020B0604020202020204" pitchFamily="34" charset="0"/>
            </a:rPr>
            <a:t> My AirBnb</a:t>
          </a:r>
          <a:endParaRPr lang="en-US" sz="1050" b="1">
            <a:solidFill>
              <a:schemeClr val="bg1"/>
            </a:solidFill>
            <a:latin typeface="+mn-lt"/>
            <a:cs typeface="Arial" panose="020B0604020202020204" pitchFamily="34" charset="0"/>
          </a:endParaRPr>
        </a:p>
      </xdr:txBody>
    </xdr:sp>
    <xdr:clientData/>
  </xdr:twoCellAnchor>
  <xdr:twoCellAnchor editAs="absolute">
    <xdr:from>
      <xdr:col>3</xdr:col>
      <xdr:colOff>15240</xdr:colOff>
      <xdr:row>12</xdr:row>
      <xdr:rowOff>7715</xdr:rowOff>
    </xdr:from>
    <xdr:to>
      <xdr:col>5</xdr:col>
      <xdr:colOff>2446020</xdr:colOff>
      <xdr:row>15</xdr:row>
      <xdr:rowOff>30481</xdr:rowOff>
    </xdr:to>
    <xdr:pic>
      <xdr:nvPicPr>
        <xdr:cNvPr id="6" name="Picture 5">
          <a:hlinkClick xmlns:r="http://schemas.openxmlformats.org/officeDocument/2006/relationships" r:id="rId1"/>
          <a:extLst>
            <a:ext uri="{FF2B5EF4-FFF2-40B4-BE49-F238E27FC236}">
              <a16:creationId xmlns:a16="http://schemas.microsoft.com/office/drawing/2014/main" id="{79893822-082D-4FFF-2DF3-BED06F64DA7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994660" y="4252055"/>
          <a:ext cx="3246120" cy="1165766"/>
        </a:xfrm>
        <a:prstGeom prst="rect">
          <a:avLst/>
        </a:prstGeom>
      </xdr:spPr>
    </xdr:pic>
    <xdr:clientData/>
  </xdr:twoCellAnchor>
  <xdr:twoCellAnchor>
    <xdr:from>
      <xdr:col>1</xdr:col>
      <xdr:colOff>1150620</xdr:colOff>
      <xdr:row>0</xdr:row>
      <xdr:rowOff>0</xdr:rowOff>
    </xdr:from>
    <xdr:to>
      <xdr:col>13</xdr:col>
      <xdr:colOff>487437</xdr:colOff>
      <xdr:row>2</xdr:row>
      <xdr:rowOff>53340</xdr:rowOff>
    </xdr:to>
    <xdr:grpSp>
      <xdr:nvGrpSpPr>
        <xdr:cNvPr id="53" name="Group 52">
          <a:extLst>
            <a:ext uri="{FF2B5EF4-FFF2-40B4-BE49-F238E27FC236}">
              <a16:creationId xmlns:a16="http://schemas.microsoft.com/office/drawing/2014/main" id="{64EBBBDD-7EA1-4D65-90DC-A09F1329A7D9}"/>
            </a:ext>
          </a:extLst>
        </xdr:cNvPr>
        <xdr:cNvGrpSpPr/>
      </xdr:nvGrpSpPr>
      <xdr:grpSpPr>
        <a:xfrm>
          <a:off x="1386840" y="0"/>
          <a:ext cx="11894577" cy="815340"/>
          <a:chOff x="2194560" y="0"/>
          <a:chExt cx="11894577" cy="815340"/>
        </a:xfrm>
      </xdr:grpSpPr>
      <xdr:grpSp>
        <xdr:nvGrpSpPr>
          <xdr:cNvPr id="54" name="Group 53">
            <a:extLst>
              <a:ext uri="{FF2B5EF4-FFF2-40B4-BE49-F238E27FC236}">
                <a16:creationId xmlns:a16="http://schemas.microsoft.com/office/drawing/2014/main" id="{FA520F51-7D70-CEC1-6670-095A15886765}"/>
              </a:ext>
            </a:extLst>
          </xdr:cNvPr>
          <xdr:cNvGrpSpPr/>
        </xdr:nvGrpSpPr>
        <xdr:grpSpPr>
          <a:xfrm>
            <a:off x="2194560" y="0"/>
            <a:ext cx="11894577" cy="815340"/>
            <a:chOff x="2194560" y="0"/>
            <a:chExt cx="11894577" cy="815340"/>
          </a:xfrm>
        </xdr:grpSpPr>
        <xdr:grpSp>
          <xdr:nvGrpSpPr>
            <xdr:cNvPr id="56" name="Group 55">
              <a:extLst>
                <a:ext uri="{FF2B5EF4-FFF2-40B4-BE49-F238E27FC236}">
                  <a16:creationId xmlns:a16="http://schemas.microsoft.com/office/drawing/2014/main" id="{BA99E7F7-E270-EDF3-B7C2-CDD5C62B02F7}"/>
                </a:ext>
              </a:extLst>
            </xdr:cNvPr>
            <xdr:cNvGrpSpPr/>
          </xdr:nvGrpSpPr>
          <xdr:grpSpPr>
            <a:xfrm>
              <a:off x="2194560" y="0"/>
              <a:ext cx="11894577" cy="773812"/>
              <a:chOff x="2160046" y="0"/>
              <a:chExt cx="11894577" cy="773812"/>
            </a:xfrm>
          </xdr:grpSpPr>
          <xdr:grpSp>
            <xdr:nvGrpSpPr>
              <xdr:cNvPr id="60" name="Group 59">
                <a:extLst>
                  <a:ext uri="{FF2B5EF4-FFF2-40B4-BE49-F238E27FC236}">
                    <a16:creationId xmlns:a16="http://schemas.microsoft.com/office/drawing/2014/main" id="{FD1CFF18-5A89-E9C5-F223-BCCAFF62C307}"/>
                  </a:ext>
                </a:extLst>
              </xdr:cNvPr>
              <xdr:cNvGrpSpPr/>
            </xdr:nvGrpSpPr>
            <xdr:grpSpPr>
              <a:xfrm>
                <a:off x="2160046" y="0"/>
                <a:ext cx="11894577" cy="773812"/>
                <a:chOff x="1310640" y="0"/>
                <a:chExt cx="11549013" cy="764847"/>
              </a:xfrm>
            </xdr:grpSpPr>
            <xdr:pic>
              <xdr:nvPicPr>
                <xdr:cNvPr id="64" name="Picture 63">
                  <a:hlinkClick xmlns:r="http://schemas.openxmlformats.org/officeDocument/2006/relationships" r:id="rId1"/>
                  <a:extLst>
                    <a:ext uri="{FF2B5EF4-FFF2-40B4-BE49-F238E27FC236}">
                      <a16:creationId xmlns:a16="http://schemas.microsoft.com/office/drawing/2014/main" id="{CA9FAFEC-15A6-3E20-4288-D5B58787642D}"/>
                    </a:ext>
                  </a:extLst>
                </xdr:cNvPr>
                <xdr:cNvPicPr>
                  <a:picLocks/>
                </xdr:cNvPicPr>
              </xdr:nvPicPr>
              <xdr:blipFill>
                <a:blip xmlns:r="http://schemas.openxmlformats.org/officeDocument/2006/relationships" r:embed="rId3" cstate="print">
                  <a:alphaModFix/>
                  <a:extLst>
                    <a:ext uri="{28A0092B-C50C-407E-A947-70E740481C1C}">
                      <a14:useLocalDpi xmlns:a14="http://schemas.microsoft.com/office/drawing/2010/main" val="0"/>
                    </a:ext>
                  </a:extLst>
                </a:blip>
                <a:srcRect/>
                <a:stretch/>
              </xdr:blipFill>
              <xdr:spPr>
                <a:xfrm>
                  <a:off x="1310640" y="46180"/>
                  <a:ext cx="499211" cy="554546"/>
                </a:xfrm>
                <a:prstGeom prst="rect">
                  <a:avLst/>
                </a:prstGeom>
              </xdr:spPr>
            </xdr:pic>
            <xdr:pic>
              <xdr:nvPicPr>
                <xdr:cNvPr id="65" name="Picture 64">
                  <a:hlinkClick xmlns:r="http://schemas.openxmlformats.org/officeDocument/2006/relationships" r:id="rId4"/>
                  <a:extLst>
                    <a:ext uri="{FF2B5EF4-FFF2-40B4-BE49-F238E27FC236}">
                      <a16:creationId xmlns:a16="http://schemas.microsoft.com/office/drawing/2014/main" id="{4BF18375-D262-F94E-ED68-5427DFB4EBA4}"/>
                    </a:ext>
                  </a:extLst>
                </xdr:cNvPr>
                <xdr:cNvPicPr>
                  <a:picLocks noChangeAspect="1" noChangeArrowheads="1"/>
                </xdr:cNvPicPr>
              </xdr:nvPicPr>
              <xdr:blipFill>
                <a:blip xmlns:r="http://schemas.openxmlformats.org/officeDocument/2006/relationships" r:embed="rId5" cstate="print">
                  <a:alphaModFix/>
                  <a:extLst>
                    <a:ext uri="{28A0092B-C50C-407E-A947-70E740481C1C}">
                      <a14:useLocalDpi xmlns:a14="http://schemas.microsoft.com/office/drawing/2010/main" val="0"/>
                    </a:ext>
                  </a:extLst>
                </a:blip>
                <a:srcRect/>
                <a:stretch>
                  <a:fillRect/>
                </a:stretch>
              </xdr:blipFill>
              <xdr:spPr bwMode="auto">
                <a:xfrm>
                  <a:off x="2163693" y="30823"/>
                  <a:ext cx="214188" cy="2260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6" name="TextBox 65">
                  <a:hlinkClick xmlns:r="http://schemas.openxmlformats.org/officeDocument/2006/relationships" r:id="rId4"/>
                  <a:extLst>
                    <a:ext uri="{FF2B5EF4-FFF2-40B4-BE49-F238E27FC236}">
                      <a16:creationId xmlns:a16="http://schemas.microsoft.com/office/drawing/2014/main" id="{2E286F98-441B-AE45-50E9-1CC45F9EA151}"/>
                    </a:ext>
                  </a:extLst>
                </xdr:cNvPr>
                <xdr:cNvSpPr txBox="1"/>
              </xdr:nvSpPr>
              <xdr:spPr>
                <a:xfrm>
                  <a:off x="2369194" y="17046"/>
                  <a:ext cx="846446" cy="25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US" sz="900" b="1">
                      <a:solidFill>
                        <a:schemeClr val="bg1"/>
                      </a:solidFill>
                    </a:rPr>
                    <a:t>DASHBOARD</a:t>
                  </a:r>
                </a:p>
              </xdr:txBody>
            </xdr:sp>
            <xdr:pic>
              <xdr:nvPicPr>
                <xdr:cNvPr id="67" name="Picture 66">
                  <a:hlinkClick xmlns:r="http://schemas.openxmlformats.org/officeDocument/2006/relationships" r:id="rId6"/>
                  <a:extLst>
                    <a:ext uri="{FF2B5EF4-FFF2-40B4-BE49-F238E27FC236}">
                      <a16:creationId xmlns:a16="http://schemas.microsoft.com/office/drawing/2014/main" id="{4E0142E1-CBDE-2125-97D9-B743BF127A81}"/>
                    </a:ext>
                  </a:extLst>
                </xdr:cNvPr>
                <xdr:cNvPicPr>
                  <a:picLocks noChangeAspect="1" noChangeArrowheads="1"/>
                </xdr:cNvPicPr>
              </xdr:nvPicPr>
              <xdr:blipFill>
                <a:blip xmlns:r="http://schemas.openxmlformats.org/officeDocument/2006/relationships" r:embed="rId7" cstate="print">
                  <a:alphaModFix/>
                  <a:extLst>
                    <a:ext uri="{28A0092B-C50C-407E-A947-70E740481C1C}">
                      <a14:useLocalDpi xmlns:a14="http://schemas.microsoft.com/office/drawing/2010/main" val="0"/>
                    </a:ext>
                  </a:extLst>
                </a:blip>
                <a:srcRect/>
                <a:stretch>
                  <a:fillRect/>
                </a:stretch>
              </xdr:blipFill>
              <xdr:spPr bwMode="auto">
                <a:xfrm>
                  <a:off x="8461655" y="433462"/>
                  <a:ext cx="214188" cy="20819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8" name="TextBox 67">
                  <a:hlinkClick xmlns:r="http://schemas.openxmlformats.org/officeDocument/2006/relationships" r:id="rId6"/>
                  <a:extLst>
                    <a:ext uri="{FF2B5EF4-FFF2-40B4-BE49-F238E27FC236}">
                      <a16:creationId xmlns:a16="http://schemas.microsoft.com/office/drawing/2014/main" id="{EBBD1DB7-76D3-DC0F-ACA5-12D89AB0AD41}"/>
                    </a:ext>
                  </a:extLst>
                </xdr:cNvPr>
                <xdr:cNvSpPr txBox="1"/>
              </xdr:nvSpPr>
              <xdr:spPr>
                <a:xfrm>
                  <a:off x="8647283" y="413913"/>
                  <a:ext cx="56836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REPORTS</a:t>
                  </a:r>
                </a:p>
              </xdr:txBody>
            </xdr:sp>
            <xdr:pic>
              <xdr:nvPicPr>
                <xdr:cNvPr id="69" name="Picture 68">
                  <a:hlinkClick xmlns:r="http://schemas.openxmlformats.org/officeDocument/2006/relationships" r:id="rId8"/>
                  <a:extLst>
                    <a:ext uri="{FF2B5EF4-FFF2-40B4-BE49-F238E27FC236}">
                      <a16:creationId xmlns:a16="http://schemas.microsoft.com/office/drawing/2014/main" id="{6A89BE5A-CEBD-61B4-0F97-BA3F8AF2975E}"/>
                    </a:ext>
                  </a:extLst>
                </xdr:cNvPr>
                <xdr:cNvPicPr>
                  <a:picLocks noChangeAspect="1"/>
                </xdr:cNvPicPr>
              </xdr:nvPicPr>
              <xdr:blipFill>
                <a:blip xmlns:r="http://schemas.openxmlformats.org/officeDocument/2006/relationships" r:embed="rId9" cstate="print">
                  <a:alphaModFix/>
                  <a:extLst>
                    <a:ext uri="{28A0092B-C50C-407E-A947-70E740481C1C}">
                      <a14:useLocalDpi xmlns:a14="http://schemas.microsoft.com/office/drawing/2010/main" val="0"/>
                    </a:ext>
                  </a:extLst>
                </a:blip>
                <a:stretch>
                  <a:fillRect/>
                </a:stretch>
              </xdr:blipFill>
              <xdr:spPr>
                <a:xfrm>
                  <a:off x="6903860" y="19549"/>
                  <a:ext cx="214187" cy="248554"/>
                </a:xfrm>
                <a:prstGeom prst="rect">
                  <a:avLst/>
                </a:prstGeom>
              </xdr:spPr>
            </xdr:pic>
            <xdr:sp macro="" textlink="">
              <xdr:nvSpPr>
                <xdr:cNvPr id="70" name="TextBox 69">
                  <a:hlinkClick xmlns:r="http://schemas.openxmlformats.org/officeDocument/2006/relationships" r:id="rId8"/>
                  <a:extLst>
                    <a:ext uri="{FF2B5EF4-FFF2-40B4-BE49-F238E27FC236}">
                      <a16:creationId xmlns:a16="http://schemas.microsoft.com/office/drawing/2014/main" id="{FD1812E9-7B94-9465-9A82-B67DCDEA41FF}"/>
                    </a:ext>
                  </a:extLst>
                </xdr:cNvPr>
                <xdr:cNvSpPr txBox="1"/>
              </xdr:nvSpPr>
              <xdr:spPr>
                <a:xfrm>
                  <a:off x="7099062" y="0"/>
                  <a:ext cx="67589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MORTGAGE</a:t>
                  </a:r>
                </a:p>
              </xdr:txBody>
            </xdr:sp>
            <xdr:sp macro="" textlink="">
              <xdr:nvSpPr>
                <xdr:cNvPr id="71" name="TextBox 70">
                  <a:hlinkClick xmlns:r="http://schemas.openxmlformats.org/officeDocument/2006/relationships" r:id="rId10"/>
                  <a:extLst>
                    <a:ext uri="{FF2B5EF4-FFF2-40B4-BE49-F238E27FC236}">
                      <a16:creationId xmlns:a16="http://schemas.microsoft.com/office/drawing/2014/main" id="{637803A8-1EE2-5771-006F-353B16579EB7}"/>
                    </a:ext>
                  </a:extLst>
                </xdr:cNvPr>
                <xdr:cNvSpPr txBox="1"/>
              </xdr:nvSpPr>
              <xdr:spPr>
                <a:xfrm>
                  <a:off x="6375474" y="0"/>
                  <a:ext cx="381400"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DEBT</a:t>
                  </a:r>
                </a:p>
              </xdr:txBody>
            </xdr:sp>
            <xdr:pic>
              <xdr:nvPicPr>
                <xdr:cNvPr id="72" name="Picture 71">
                  <a:hlinkClick xmlns:r="http://schemas.openxmlformats.org/officeDocument/2006/relationships" r:id="rId10"/>
                  <a:extLst>
                    <a:ext uri="{FF2B5EF4-FFF2-40B4-BE49-F238E27FC236}">
                      <a16:creationId xmlns:a16="http://schemas.microsoft.com/office/drawing/2014/main" id="{EBA34D6D-D1D7-5263-7F2B-8C164D28D7D6}"/>
                    </a:ext>
                  </a:extLst>
                </xdr:cNvPr>
                <xdr:cNvPicPr>
                  <a:picLocks noChangeAspect="1"/>
                </xdr:cNvPicPr>
              </xdr:nvPicPr>
              <xdr:blipFill>
                <a:blip xmlns:r="http://schemas.openxmlformats.org/officeDocument/2006/relationships" r:embed="rId11" cstate="print">
                  <a:alphaModFix/>
                  <a:extLst>
                    <a:ext uri="{28A0092B-C50C-407E-A947-70E740481C1C}">
                      <a14:useLocalDpi xmlns:a14="http://schemas.microsoft.com/office/drawing/2010/main" val="0"/>
                    </a:ext>
                  </a:extLst>
                </a:blip>
                <a:stretch>
                  <a:fillRect/>
                </a:stretch>
              </xdr:blipFill>
              <xdr:spPr>
                <a:xfrm>
                  <a:off x="6158378" y="19549"/>
                  <a:ext cx="214188" cy="248554"/>
                </a:xfrm>
                <a:prstGeom prst="rect">
                  <a:avLst/>
                </a:prstGeom>
              </xdr:spPr>
            </xdr:pic>
            <xdr:sp macro="" textlink="">
              <xdr:nvSpPr>
                <xdr:cNvPr id="73" name="TextBox 72">
                  <a:hlinkClick xmlns:r="http://schemas.openxmlformats.org/officeDocument/2006/relationships" r:id="rId12"/>
                  <a:extLst>
                    <a:ext uri="{FF2B5EF4-FFF2-40B4-BE49-F238E27FC236}">
                      <a16:creationId xmlns:a16="http://schemas.microsoft.com/office/drawing/2014/main" id="{4F59AC0B-F306-4DC7-51ED-DB8D9ADC722A}"/>
                    </a:ext>
                  </a:extLst>
                </xdr:cNvPr>
                <xdr:cNvSpPr txBox="1"/>
              </xdr:nvSpPr>
              <xdr:spPr>
                <a:xfrm>
                  <a:off x="5370816" y="37659"/>
                  <a:ext cx="64057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FORECASTS</a:t>
                  </a:r>
                </a:p>
              </xdr:txBody>
            </xdr:sp>
            <xdr:sp macro="" textlink="">
              <xdr:nvSpPr>
                <xdr:cNvPr id="74" name="TextBox 73">
                  <a:hlinkClick xmlns:r="http://schemas.openxmlformats.org/officeDocument/2006/relationships" r:id="rId13"/>
                  <a:extLst>
                    <a:ext uri="{FF2B5EF4-FFF2-40B4-BE49-F238E27FC236}">
                      <a16:creationId xmlns:a16="http://schemas.microsoft.com/office/drawing/2014/main" id="{BEFD5403-2B13-3EFB-E710-E91B1EC99A5E}"/>
                    </a:ext>
                  </a:extLst>
                </xdr:cNvPr>
                <xdr:cNvSpPr txBox="1"/>
              </xdr:nvSpPr>
              <xdr:spPr>
                <a:xfrm>
                  <a:off x="8104032" y="0"/>
                  <a:ext cx="7732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a:t>
                  </a:r>
                  <a:r>
                    <a:rPr lang="en-US" sz="900" b="1" baseline="0">
                      <a:solidFill>
                        <a:schemeClr val="bg1"/>
                      </a:solidFill>
                    </a:rPr>
                    <a:t> (M)</a:t>
                  </a:r>
                  <a:endParaRPr lang="en-US" sz="900" b="1">
                    <a:solidFill>
                      <a:schemeClr val="bg1"/>
                    </a:solidFill>
                  </a:endParaRPr>
                </a:p>
              </xdr:txBody>
            </xdr:sp>
            <xdr:pic>
              <xdr:nvPicPr>
                <xdr:cNvPr id="75" name="Picture 74">
                  <a:hlinkClick xmlns:r="http://schemas.openxmlformats.org/officeDocument/2006/relationships" r:id="rId13"/>
                  <a:extLst>
                    <a:ext uri="{FF2B5EF4-FFF2-40B4-BE49-F238E27FC236}">
                      <a16:creationId xmlns:a16="http://schemas.microsoft.com/office/drawing/2014/main" id="{B90563B9-3DE7-B266-08B2-ABF5B1AE90B0}"/>
                    </a:ext>
                  </a:extLst>
                </xdr:cNvPr>
                <xdr:cNvPicPr>
                  <a:picLocks noChangeAspect="1"/>
                </xdr:cNvPicPr>
              </xdr:nvPicPr>
              <xdr:blipFill>
                <a:blip xmlns:r="http://schemas.openxmlformats.org/officeDocument/2006/relationships" r:embed="rId14" cstate="print">
                  <a:alphaModFix/>
                  <a:extLst>
                    <a:ext uri="{28A0092B-C50C-407E-A947-70E740481C1C}">
                      <a14:useLocalDpi xmlns:a14="http://schemas.microsoft.com/office/drawing/2010/main" val="0"/>
                    </a:ext>
                  </a:extLst>
                </a:blip>
                <a:stretch>
                  <a:fillRect/>
                </a:stretch>
              </xdr:blipFill>
              <xdr:spPr>
                <a:xfrm>
                  <a:off x="7921943" y="19549"/>
                  <a:ext cx="214188" cy="248554"/>
                </a:xfrm>
                <a:prstGeom prst="rect">
                  <a:avLst/>
                </a:prstGeom>
              </xdr:spPr>
            </xdr:pic>
            <xdr:sp macro="" textlink="">
              <xdr:nvSpPr>
                <xdr:cNvPr id="76" name="TextBox 75">
                  <a:hlinkClick xmlns:r="http://schemas.openxmlformats.org/officeDocument/2006/relationships" r:id="rId15"/>
                  <a:extLst>
                    <a:ext uri="{FF2B5EF4-FFF2-40B4-BE49-F238E27FC236}">
                      <a16:creationId xmlns:a16="http://schemas.microsoft.com/office/drawing/2014/main" id="{CD878F2D-4372-1A61-605E-F761E1D34632}"/>
                    </a:ext>
                  </a:extLst>
                </xdr:cNvPr>
                <xdr:cNvSpPr txBox="1"/>
              </xdr:nvSpPr>
              <xdr:spPr>
                <a:xfrm>
                  <a:off x="9978309" y="0"/>
                  <a:ext cx="687187"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 (Y)</a:t>
                  </a:r>
                </a:p>
              </xdr:txBody>
            </xdr:sp>
            <xdr:pic>
              <xdr:nvPicPr>
                <xdr:cNvPr id="77" name="Picture 76">
                  <a:hlinkClick xmlns:r="http://schemas.openxmlformats.org/officeDocument/2006/relationships" r:id="rId15"/>
                  <a:extLst>
                    <a:ext uri="{FF2B5EF4-FFF2-40B4-BE49-F238E27FC236}">
                      <a16:creationId xmlns:a16="http://schemas.microsoft.com/office/drawing/2014/main" id="{40484C2A-D3BF-8D5D-6AAE-68C8780C4E01}"/>
                    </a:ext>
                  </a:extLst>
                </xdr:cNvPr>
                <xdr:cNvPicPr>
                  <a:picLocks noChangeAspect="1"/>
                </xdr:cNvPicPr>
              </xdr:nvPicPr>
              <xdr:blipFill>
                <a:blip xmlns:r="http://schemas.openxmlformats.org/officeDocument/2006/relationships" r:embed="rId16" cstate="print">
                  <a:alphaModFix/>
                  <a:extLst>
                    <a:ext uri="{28A0092B-C50C-407E-A947-70E740481C1C}">
                      <a14:useLocalDpi xmlns:a14="http://schemas.microsoft.com/office/drawing/2010/main" val="0"/>
                    </a:ext>
                  </a:extLst>
                </a:blip>
                <a:stretch>
                  <a:fillRect/>
                </a:stretch>
              </xdr:blipFill>
              <xdr:spPr>
                <a:xfrm>
                  <a:off x="9777770" y="19549"/>
                  <a:ext cx="214188" cy="248554"/>
                </a:xfrm>
                <a:prstGeom prst="rect">
                  <a:avLst/>
                </a:prstGeom>
              </xdr:spPr>
            </xdr:pic>
            <xdr:sp macro="" textlink="">
              <xdr:nvSpPr>
                <xdr:cNvPr id="78" name="TextBox 77">
                  <a:hlinkClick xmlns:r="http://schemas.openxmlformats.org/officeDocument/2006/relationships" r:id="rId17"/>
                  <a:extLst>
                    <a:ext uri="{FF2B5EF4-FFF2-40B4-BE49-F238E27FC236}">
                      <a16:creationId xmlns:a16="http://schemas.microsoft.com/office/drawing/2014/main" id="{9625A70D-6F57-2C93-8016-C635635F4E39}"/>
                    </a:ext>
                  </a:extLst>
                </xdr:cNvPr>
                <xdr:cNvSpPr txBox="1"/>
              </xdr:nvSpPr>
              <xdr:spPr>
                <a:xfrm>
                  <a:off x="9133984" y="0"/>
                  <a:ext cx="49680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VERSUS</a:t>
                  </a:r>
                </a:p>
              </xdr:txBody>
            </xdr:sp>
            <xdr:pic>
              <xdr:nvPicPr>
                <xdr:cNvPr id="79" name="Picture 78">
                  <a:hlinkClick xmlns:r="http://schemas.openxmlformats.org/officeDocument/2006/relationships" r:id="rId17"/>
                  <a:extLst>
                    <a:ext uri="{FF2B5EF4-FFF2-40B4-BE49-F238E27FC236}">
                      <a16:creationId xmlns:a16="http://schemas.microsoft.com/office/drawing/2014/main" id="{714DB6BE-2C91-6C92-8AC9-AC3776DF50EA}"/>
                    </a:ext>
                  </a:extLst>
                </xdr:cNvPr>
                <xdr:cNvPicPr>
                  <a:picLocks noChangeAspect="1"/>
                </xdr:cNvPicPr>
              </xdr:nvPicPr>
              <xdr:blipFill>
                <a:blip xmlns:r="http://schemas.openxmlformats.org/officeDocument/2006/relationships" r:embed="rId18" cstate="print">
                  <a:alphaModFix/>
                  <a:extLst>
                    <a:ext uri="{28A0092B-C50C-407E-A947-70E740481C1C}">
                      <a14:useLocalDpi xmlns:a14="http://schemas.microsoft.com/office/drawing/2010/main" val="0"/>
                    </a:ext>
                  </a:extLst>
                </a:blip>
                <a:stretch>
                  <a:fillRect/>
                </a:stretch>
              </xdr:blipFill>
              <xdr:spPr>
                <a:xfrm>
                  <a:off x="8938203" y="19549"/>
                  <a:ext cx="214187" cy="248554"/>
                </a:xfrm>
                <a:prstGeom prst="rect">
                  <a:avLst/>
                </a:prstGeom>
              </xdr:spPr>
            </xdr:pic>
            <xdr:sp macro="" textlink="">
              <xdr:nvSpPr>
                <xdr:cNvPr id="80" name="TextBox 79">
                  <a:hlinkClick xmlns:r="http://schemas.openxmlformats.org/officeDocument/2006/relationships" r:id="rId19"/>
                  <a:extLst>
                    <a:ext uri="{FF2B5EF4-FFF2-40B4-BE49-F238E27FC236}">
                      <a16:creationId xmlns:a16="http://schemas.microsoft.com/office/drawing/2014/main" id="{AED38C90-9912-35B3-AF24-D98072431CD1}"/>
                    </a:ext>
                  </a:extLst>
                </xdr:cNvPr>
                <xdr:cNvSpPr txBox="1"/>
              </xdr:nvSpPr>
              <xdr:spPr>
                <a:xfrm>
                  <a:off x="3510385" y="0"/>
                  <a:ext cx="52312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REPAIRS</a:t>
                  </a:r>
                </a:p>
              </xdr:txBody>
            </xdr:sp>
            <xdr:pic>
              <xdr:nvPicPr>
                <xdr:cNvPr id="81" name="Picture 80">
                  <a:hlinkClick xmlns:r="http://schemas.openxmlformats.org/officeDocument/2006/relationships" r:id="rId19"/>
                  <a:extLst>
                    <a:ext uri="{FF2B5EF4-FFF2-40B4-BE49-F238E27FC236}">
                      <a16:creationId xmlns:a16="http://schemas.microsoft.com/office/drawing/2014/main" id="{9D19667E-B6A6-E003-91DF-A52DE043C089}"/>
                    </a:ext>
                  </a:extLst>
                </xdr:cNvPr>
                <xdr:cNvPicPr>
                  <a:picLocks noChangeAspect="1"/>
                </xdr:cNvPicPr>
              </xdr:nvPicPr>
              <xdr:blipFill>
                <a:blip xmlns:r="http://schemas.openxmlformats.org/officeDocument/2006/relationships" r:embed="rId20" cstate="print">
                  <a:alphaModFix/>
                  <a:extLst>
                    <a:ext uri="{28A0092B-C50C-407E-A947-70E740481C1C}">
                      <a14:useLocalDpi xmlns:a14="http://schemas.microsoft.com/office/drawing/2010/main" val="0"/>
                    </a:ext>
                  </a:extLst>
                </a:blip>
                <a:stretch>
                  <a:fillRect/>
                </a:stretch>
              </xdr:blipFill>
              <xdr:spPr>
                <a:xfrm>
                  <a:off x="3296296" y="28376"/>
                  <a:ext cx="214435" cy="230900"/>
                </a:xfrm>
                <a:prstGeom prst="rect">
                  <a:avLst/>
                </a:prstGeom>
              </xdr:spPr>
            </xdr:pic>
            <xdr:sp macro="" textlink="">
              <xdr:nvSpPr>
                <xdr:cNvPr id="82" name="TextBox 81">
                  <a:hlinkClick xmlns:r="http://schemas.openxmlformats.org/officeDocument/2006/relationships" r:id="rId21"/>
                  <a:extLst>
                    <a:ext uri="{FF2B5EF4-FFF2-40B4-BE49-F238E27FC236}">
                      <a16:creationId xmlns:a16="http://schemas.microsoft.com/office/drawing/2014/main" id="{F61F5828-68E2-DDC4-175F-FC9B27F8C779}"/>
                    </a:ext>
                  </a:extLst>
                </xdr:cNvPr>
                <xdr:cNvSpPr txBox="1"/>
              </xdr:nvSpPr>
              <xdr:spPr>
                <a:xfrm>
                  <a:off x="4388587" y="0"/>
                  <a:ext cx="63170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FURNITURE</a:t>
                  </a:r>
                </a:p>
              </xdr:txBody>
            </xdr:sp>
            <xdr:pic>
              <xdr:nvPicPr>
                <xdr:cNvPr id="83" name="Picture 82">
                  <a:hlinkClick xmlns:r="http://schemas.openxmlformats.org/officeDocument/2006/relationships" r:id="rId21"/>
                  <a:extLst>
                    <a:ext uri="{FF2B5EF4-FFF2-40B4-BE49-F238E27FC236}">
                      <a16:creationId xmlns:a16="http://schemas.microsoft.com/office/drawing/2014/main" id="{5836C9EC-3C9D-C1F4-14CE-27806F14090A}"/>
                    </a:ext>
                  </a:extLst>
                </xdr:cNvPr>
                <xdr:cNvPicPr>
                  <a:picLocks noChangeAspect="1"/>
                </xdr:cNvPicPr>
              </xdr:nvPicPr>
              <xdr:blipFill>
                <a:blip xmlns:r="http://schemas.openxmlformats.org/officeDocument/2006/relationships" r:embed="rId22" cstate="print">
                  <a:alphaModFix/>
                  <a:extLst>
                    <a:ext uri="{28A0092B-C50C-407E-A947-70E740481C1C}">
                      <a14:useLocalDpi xmlns:a14="http://schemas.microsoft.com/office/drawing/2010/main" val="0"/>
                    </a:ext>
                  </a:extLst>
                </a:blip>
                <a:stretch>
                  <a:fillRect/>
                </a:stretch>
              </xdr:blipFill>
              <xdr:spPr>
                <a:xfrm>
                  <a:off x="4180491" y="28376"/>
                  <a:ext cx="214435" cy="230900"/>
                </a:xfrm>
                <a:prstGeom prst="rect">
                  <a:avLst/>
                </a:prstGeom>
              </xdr:spPr>
            </xdr:pic>
            <xdr:pic>
              <xdr:nvPicPr>
                <xdr:cNvPr id="84" name="Picture 83">
                  <a:hlinkClick xmlns:r="http://schemas.openxmlformats.org/officeDocument/2006/relationships" r:id="rId23"/>
                  <a:extLst>
                    <a:ext uri="{FF2B5EF4-FFF2-40B4-BE49-F238E27FC236}">
                      <a16:creationId xmlns:a16="http://schemas.microsoft.com/office/drawing/2014/main" id="{8DE12C5F-0BBE-34CD-85A3-DC76E3B70A10}"/>
                    </a:ext>
                  </a:extLst>
                </xdr:cNvPr>
                <xdr:cNvPicPr>
                  <a:picLocks noChangeAspect="1"/>
                </xdr:cNvPicPr>
              </xdr:nvPicPr>
              <xdr:blipFill>
                <a:blip xmlns:r="http://schemas.openxmlformats.org/officeDocument/2006/relationships" r:embed="rId24" cstate="print">
                  <a:alphaModFix/>
                  <a:extLst>
                    <a:ext uri="{28A0092B-C50C-407E-A947-70E740481C1C}">
                      <a14:useLocalDpi xmlns:a14="http://schemas.microsoft.com/office/drawing/2010/main" val="0"/>
                    </a:ext>
                  </a:extLst>
                </a:blip>
                <a:stretch>
                  <a:fillRect/>
                </a:stretch>
              </xdr:blipFill>
              <xdr:spPr>
                <a:xfrm>
                  <a:off x="10812480" y="19549"/>
                  <a:ext cx="214188" cy="248554"/>
                </a:xfrm>
                <a:prstGeom prst="rect">
                  <a:avLst/>
                </a:prstGeom>
              </xdr:spPr>
            </xdr:pic>
            <xdr:sp macro="" textlink="">
              <xdr:nvSpPr>
                <xdr:cNvPr id="85" name="TextBox 84">
                  <a:hlinkClick xmlns:r="http://schemas.openxmlformats.org/officeDocument/2006/relationships" r:id="rId23"/>
                  <a:extLst>
                    <a:ext uri="{FF2B5EF4-FFF2-40B4-BE49-F238E27FC236}">
                      <a16:creationId xmlns:a16="http://schemas.microsoft.com/office/drawing/2014/main" id="{36238CFB-48C4-0777-1D84-193687F624B3}"/>
                    </a:ext>
                  </a:extLst>
                </xdr:cNvPr>
                <xdr:cNvSpPr txBox="1"/>
              </xdr:nvSpPr>
              <xdr:spPr>
                <a:xfrm>
                  <a:off x="11008843" y="0"/>
                  <a:ext cx="40705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PEERS</a:t>
                  </a:r>
                </a:p>
              </xdr:txBody>
            </xdr:sp>
            <xdr:sp macro="" textlink="">
              <xdr:nvSpPr>
                <xdr:cNvPr id="86" name="TextBox 85">
                  <a:hlinkClick xmlns:r="http://schemas.openxmlformats.org/officeDocument/2006/relationships" r:id="rId25"/>
                  <a:extLst>
                    <a:ext uri="{FF2B5EF4-FFF2-40B4-BE49-F238E27FC236}">
                      <a16:creationId xmlns:a16="http://schemas.microsoft.com/office/drawing/2014/main" id="{966B4A3E-9A2B-4452-3B5F-6BC37FDF54C5}"/>
                    </a:ext>
                  </a:extLst>
                </xdr:cNvPr>
                <xdr:cNvSpPr txBox="1"/>
              </xdr:nvSpPr>
              <xdr:spPr>
                <a:xfrm>
                  <a:off x="9581756" y="397481"/>
                  <a:ext cx="656781"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MAX PRICE</a:t>
                  </a:r>
                </a:p>
              </xdr:txBody>
            </xdr:sp>
            <xdr:pic>
              <xdr:nvPicPr>
                <xdr:cNvPr id="87" name="Picture 86">
                  <a:hlinkClick xmlns:r="http://schemas.openxmlformats.org/officeDocument/2006/relationships" r:id="rId25"/>
                  <a:extLst>
                    <a:ext uri="{FF2B5EF4-FFF2-40B4-BE49-F238E27FC236}">
                      <a16:creationId xmlns:a16="http://schemas.microsoft.com/office/drawing/2014/main" id="{AF3D000F-97D4-C50D-AB09-2875BD0A5991}"/>
                    </a:ext>
                  </a:extLst>
                </xdr:cNvPr>
                <xdr:cNvPicPr>
                  <a:picLocks noChangeAspect="1"/>
                </xdr:cNvPicPr>
              </xdr:nvPicPr>
              <xdr:blipFill>
                <a:blip xmlns:r="http://schemas.openxmlformats.org/officeDocument/2006/relationships" r:embed="rId26" cstate="print">
                  <a:alphaModFix/>
                  <a:extLst>
                    <a:ext uri="{28A0092B-C50C-407E-A947-70E740481C1C}">
                      <a14:useLocalDpi xmlns:a14="http://schemas.microsoft.com/office/drawing/2010/main" val="0"/>
                    </a:ext>
                  </a:extLst>
                </a:blip>
                <a:stretch>
                  <a:fillRect/>
                </a:stretch>
              </xdr:blipFill>
              <xdr:spPr>
                <a:xfrm>
                  <a:off x="9433997" y="425857"/>
                  <a:ext cx="214435" cy="230900"/>
                </a:xfrm>
                <a:prstGeom prst="rect">
                  <a:avLst/>
                </a:prstGeom>
              </xdr:spPr>
            </xdr:pic>
            <xdr:sp macro="" textlink="">
              <xdr:nvSpPr>
                <xdr:cNvPr id="88" name="TextBox 87">
                  <a:hlinkClick xmlns:r="http://schemas.openxmlformats.org/officeDocument/2006/relationships" r:id="rId27"/>
                  <a:extLst>
                    <a:ext uri="{FF2B5EF4-FFF2-40B4-BE49-F238E27FC236}">
                      <a16:creationId xmlns:a16="http://schemas.microsoft.com/office/drawing/2014/main" id="{B7CA64FA-3AF8-81F6-083F-44B438984BBA}"/>
                    </a:ext>
                  </a:extLst>
                </xdr:cNvPr>
                <xdr:cNvSpPr txBox="1"/>
              </xdr:nvSpPr>
              <xdr:spPr>
                <a:xfrm>
                  <a:off x="7733272" y="389861"/>
                  <a:ext cx="6384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SCENARIOS</a:t>
                  </a:r>
                </a:p>
              </xdr:txBody>
            </xdr:sp>
            <xdr:pic>
              <xdr:nvPicPr>
                <xdr:cNvPr id="89" name="Picture 88">
                  <a:hlinkClick xmlns:r="http://schemas.openxmlformats.org/officeDocument/2006/relationships" r:id="rId27"/>
                  <a:extLst>
                    <a:ext uri="{FF2B5EF4-FFF2-40B4-BE49-F238E27FC236}">
                      <a16:creationId xmlns:a16="http://schemas.microsoft.com/office/drawing/2014/main" id="{ECF80635-C5ED-A9F6-7A78-8F54B8F32EF6}"/>
                    </a:ext>
                  </a:extLst>
                </xdr:cNvPr>
                <xdr:cNvPicPr>
                  <a:picLocks noChangeAspect="1"/>
                </xdr:cNvPicPr>
              </xdr:nvPicPr>
              <xdr:blipFill>
                <a:blip xmlns:r="http://schemas.openxmlformats.org/officeDocument/2006/relationships" r:embed="rId28" cstate="print">
                  <a:alphaModFix/>
                  <a:extLst>
                    <a:ext uri="{28A0092B-C50C-407E-A947-70E740481C1C}">
                      <a14:useLocalDpi xmlns:a14="http://schemas.microsoft.com/office/drawing/2010/main" val="0"/>
                    </a:ext>
                  </a:extLst>
                </a:blip>
                <a:stretch>
                  <a:fillRect/>
                </a:stretch>
              </xdr:blipFill>
              <xdr:spPr>
                <a:xfrm>
                  <a:off x="7536090" y="418237"/>
                  <a:ext cx="214435" cy="230900"/>
                </a:xfrm>
                <a:prstGeom prst="rect">
                  <a:avLst/>
                </a:prstGeom>
              </xdr:spPr>
            </xdr:pic>
            <xdr:sp macro="" textlink="">
              <xdr:nvSpPr>
                <xdr:cNvPr id="90" name="TextBox 89">
                  <a:hlinkClick xmlns:r="http://schemas.openxmlformats.org/officeDocument/2006/relationships" r:id="rId29"/>
                  <a:extLst>
                    <a:ext uri="{FF2B5EF4-FFF2-40B4-BE49-F238E27FC236}">
                      <a16:creationId xmlns:a16="http://schemas.microsoft.com/office/drawing/2014/main" id="{786756E7-6A3C-A840-00B4-2528122CB439}"/>
                    </a:ext>
                  </a:extLst>
                </xdr:cNvPr>
                <xdr:cNvSpPr txBox="1"/>
              </xdr:nvSpPr>
              <xdr:spPr>
                <a:xfrm>
                  <a:off x="11757467" y="49286"/>
                  <a:ext cx="110218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MARKET RESEARCH</a:t>
                  </a:r>
                </a:p>
              </xdr:txBody>
            </xdr:sp>
            <xdr:pic>
              <xdr:nvPicPr>
                <xdr:cNvPr id="91" name="Picture 90" descr="A white and brown hourglass&#10;&#10;AI-generated content may be incorrect.">
                  <a:hlinkClick xmlns:r="http://schemas.openxmlformats.org/officeDocument/2006/relationships" r:id="rId29"/>
                  <a:extLst>
                    <a:ext uri="{FF2B5EF4-FFF2-40B4-BE49-F238E27FC236}">
                      <a16:creationId xmlns:a16="http://schemas.microsoft.com/office/drawing/2014/main" id="{40422569-4CC1-6931-AFB8-D594C1E3BDCE}"/>
                    </a:ext>
                  </a:extLst>
                </xdr:cNvPr>
                <xdr:cNvPicPr>
                  <a:picLocks noChangeAspect="1"/>
                </xdr:cNvPicPr>
              </xdr:nvPicPr>
              <xdr:blipFill>
                <a:blip xmlns:r="http://schemas.openxmlformats.org/officeDocument/2006/relationships" r:embed="rId30" cstate="print">
                  <a:alphaModFix/>
                  <a:extLst>
                    <a:ext uri="{28A0092B-C50C-407E-A947-70E740481C1C}">
                      <a14:useLocalDpi xmlns:a14="http://schemas.microsoft.com/office/drawing/2010/main" val="0"/>
                    </a:ext>
                  </a:extLst>
                </a:blip>
                <a:stretch>
                  <a:fillRect/>
                </a:stretch>
              </xdr:blipFill>
              <xdr:spPr>
                <a:xfrm>
                  <a:off x="11563464" y="33893"/>
                  <a:ext cx="235575" cy="261687"/>
                </a:xfrm>
                <a:prstGeom prst="rect">
                  <a:avLst/>
                </a:prstGeom>
              </xdr:spPr>
            </xdr:pic>
            <xdr:pic>
              <xdr:nvPicPr>
                <xdr:cNvPr id="92" name="Picture 91">
                  <a:hlinkClick xmlns:r="http://schemas.openxmlformats.org/officeDocument/2006/relationships" r:id="rId31"/>
                  <a:extLst>
                    <a:ext uri="{FF2B5EF4-FFF2-40B4-BE49-F238E27FC236}">
                      <a16:creationId xmlns:a16="http://schemas.microsoft.com/office/drawing/2014/main" id="{CBD8B746-5D56-7681-3197-A33FF88C59DF}"/>
                    </a:ext>
                  </a:extLst>
                </xdr:cNvPr>
                <xdr:cNvPicPr>
                  <a:picLocks noChangeAspect="1" noChangeArrowheads="1"/>
                </xdr:cNvPicPr>
              </xdr:nvPicPr>
              <xdr:blipFill>
                <a:blip xmlns:r="http://schemas.openxmlformats.org/officeDocument/2006/relationships" r:embed="rId3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33032" y="384834"/>
                  <a:ext cx="261600" cy="33288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3" name="TextBox 92">
                  <a:hlinkClick xmlns:r="http://schemas.openxmlformats.org/officeDocument/2006/relationships" r:id="rId31"/>
                  <a:extLst>
                    <a:ext uri="{FF2B5EF4-FFF2-40B4-BE49-F238E27FC236}">
                      <a16:creationId xmlns:a16="http://schemas.microsoft.com/office/drawing/2014/main" id="{5C6DBC7E-CD84-08C2-49D8-3C53058CC3C5}"/>
                    </a:ext>
                  </a:extLst>
                </xdr:cNvPr>
                <xdr:cNvSpPr txBox="1"/>
              </xdr:nvSpPr>
              <xdr:spPr>
                <a:xfrm>
                  <a:off x="3637195" y="315564"/>
                  <a:ext cx="914586" cy="433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BALANCE SHEET</a:t>
                  </a:r>
                </a:p>
                <a:p>
                  <a:pPr algn="ctr"/>
                  <a:r>
                    <a:rPr lang="en-US" sz="900" b="1">
                      <a:solidFill>
                        <a:schemeClr val="bg1"/>
                      </a:solidFill>
                    </a:rPr>
                    <a:t>SUMMARY</a:t>
                  </a:r>
                </a:p>
              </xdr:txBody>
            </xdr:sp>
            <xdr:pic>
              <xdr:nvPicPr>
                <xdr:cNvPr id="94" name="Picture 93">
                  <a:hlinkClick xmlns:r="http://schemas.openxmlformats.org/officeDocument/2006/relationships" r:id="rId33"/>
                  <a:extLst>
                    <a:ext uri="{FF2B5EF4-FFF2-40B4-BE49-F238E27FC236}">
                      <a16:creationId xmlns:a16="http://schemas.microsoft.com/office/drawing/2014/main" id="{758182B2-900C-5681-A7B2-591855C0C6A1}"/>
                    </a:ext>
                  </a:extLst>
                </xdr:cNvPr>
                <xdr:cNvPicPr>
                  <a:picLocks noChangeAspect="1" noChangeArrowheads="1"/>
                </xdr:cNvPicPr>
              </xdr:nvPicPr>
              <xdr:blipFill>
                <a:blip xmlns:r="http://schemas.openxmlformats.org/officeDocument/2006/relationships" r:embed="rId34" cstate="print">
                  <a:clrChange>
                    <a:clrFrom>
                      <a:srgbClr val="F8F8F8"/>
                    </a:clrFrom>
                    <a:clrTo>
                      <a:srgbClr val="F8F8F8">
                        <a:alpha val="0"/>
                      </a:srgbClr>
                    </a:clrTo>
                  </a:clrChange>
                  <a:extLst>
                    <a:ext uri="{28A0092B-C50C-407E-A947-70E740481C1C}">
                      <a14:useLocalDpi xmlns:a14="http://schemas.microsoft.com/office/drawing/2010/main" val="0"/>
                    </a:ext>
                  </a:extLst>
                </a:blip>
                <a:srcRect/>
                <a:stretch>
                  <a:fillRect/>
                </a:stretch>
              </xdr:blipFill>
              <xdr:spPr bwMode="auto">
                <a:xfrm>
                  <a:off x="4602713" y="384834"/>
                  <a:ext cx="326621" cy="3113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5" name="TextBox 94">
                  <a:hlinkClick xmlns:r="http://schemas.openxmlformats.org/officeDocument/2006/relationships" r:id="rId33"/>
                  <a:extLst>
                    <a:ext uri="{FF2B5EF4-FFF2-40B4-BE49-F238E27FC236}">
                      <a16:creationId xmlns:a16="http://schemas.microsoft.com/office/drawing/2014/main" id="{1DB3D8F7-2786-F30C-A855-630EC051D4CC}"/>
                    </a:ext>
                  </a:extLst>
                </xdr:cNvPr>
                <xdr:cNvSpPr txBox="1"/>
              </xdr:nvSpPr>
              <xdr:spPr>
                <a:xfrm>
                  <a:off x="4880678" y="423317"/>
                  <a:ext cx="56334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ASSETS</a:t>
                  </a:r>
                </a:p>
              </xdr:txBody>
            </xdr:sp>
            <xdr:pic>
              <xdr:nvPicPr>
                <xdr:cNvPr id="96" name="Picture 95">
                  <a:hlinkClick xmlns:r="http://schemas.openxmlformats.org/officeDocument/2006/relationships" r:id="rId35"/>
                  <a:extLst>
                    <a:ext uri="{FF2B5EF4-FFF2-40B4-BE49-F238E27FC236}">
                      <a16:creationId xmlns:a16="http://schemas.microsoft.com/office/drawing/2014/main" id="{4A8202BD-D423-639C-E5CC-99D4B6CE66F4}"/>
                    </a:ext>
                  </a:extLst>
                </xdr:cNvPr>
                <xdr:cNvPicPr>
                  <a:picLocks noChangeAspect="1" noChangeArrowheads="1"/>
                </xdr:cNvPicPr>
              </xdr:nvPicPr>
              <xdr:blipFill>
                <a:blip xmlns:r="http://schemas.openxmlformats.org/officeDocument/2006/relationships" r:embed="rId3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35903" y="354046"/>
                  <a:ext cx="278234" cy="3540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7" name="TextBox 96">
                  <a:hlinkClick xmlns:r="http://schemas.openxmlformats.org/officeDocument/2006/relationships" r:id="rId35"/>
                  <a:extLst>
                    <a:ext uri="{FF2B5EF4-FFF2-40B4-BE49-F238E27FC236}">
                      <a16:creationId xmlns:a16="http://schemas.microsoft.com/office/drawing/2014/main" id="{B7B39BC4-AECD-3318-E5DE-7D744CFB1527}"/>
                    </a:ext>
                  </a:extLst>
                </xdr:cNvPr>
                <xdr:cNvSpPr txBox="1"/>
              </xdr:nvSpPr>
              <xdr:spPr>
                <a:xfrm>
                  <a:off x="5717678" y="431014"/>
                  <a:ext cx="750091"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LIABILITIES</a:t>
                  </a:r>
                </a:p>
              </xdr:txBody>
            </xdr:sp>
            <xdr:pic>
              <xdr:nvPicPr>
                <xdr:cNvPr id="98" name="Picture 97">
                  <a:hlinkClick xmlns:r="http://schemas.openxmlformats.org/officeDocument/2006/relationships" r:id="rId37"/>
                  <a:extLst>
                    <a:ext uri="{FF2B5EF4-FFF2-40B4-BE49-F238E27FC236}">
                      <a16:creationId xmlns:a16="http://schemas.microsoft.com/office/drawing/2014/main" id="{CC78FC2D-A1F0-2BC6-08D5-21FA79073C9D}"/>
                    </a:ext>
                  </a:extLst>
                </xdr:cNvPr>
                <xdr:cNvPicPr>
                  <a:picLocks noChangeAspect="1"/>
                </xdr:cNvPicPr>
              </xdr:nvPicPr>
              <xdr:blipFill>
                <a:blip xmlns:r="http://schemas.openxmlformats.org/officeDocument/2006/relationships" r:embed="rId38">
                  <a:clrChange>
                    <a:clrFrom>
                      <a:srgbClr val="FFFFFF"/>
                    </a:clrFrom>
                    <a:clrTo>
                      <a:srgbClr val="FFFFFF">
                        <a:alpha val="0"/>
                      </a:srgbClr>
                    </a:clrTo>
                  </a:clrChange>
                </a:blip>
                <a:stretch>
                  <a:fillRect/>
                </a:stretch>
              </xdr:blipFill>
              <xdr:spPr>
                <a:xfrm>
                  <a:off x="6454424" y="361268"/>
                  <a:ext cx="368693" cy="354523"/>
                </a:xfrm>
                <a:prstGeom prst="rect">
                  <a:avLst/>
                </a:prstGeom>
              </xdr:spPr>
            </xdr:pic>
            <xdr:sp macro="" textlink="">
              <xdr:nvSpPr>
                <xdr:cNvPr id="99" name="TextBox 98">
                  <a:hlinkClick xmlns:r="http://schemas.openxmlformats.org/officeDocument/2006/relationships" r:id="rId37"/>
                  <a:extLst>
                    <a:ext uri="{FF2B5EF4-FFF2-40B4-BE49-F238E27FC236}">
                      <a16:creationId xmlns:a16="http://schemas.microsoft.com/office/drawing/2014/main" id="{EB692831-5C33-B61B-1731-D793327E3FC7}"/>
                    </a:ext>
                  </a:extLst>
                </xdr:cNvPr>
                <xdr:cNvSpPr txBox="1"/>
              </xdr:nvSpPr>
              <xdr:spPr>
                <a:xfrm>
                  <a:off x="6742924" y="369440"/>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EDIT</a:t>
                  </a:r>
                </a:p>
                <a:p>
                  <a:r>
                    <a:rPr lang="en-US" sz="900" b="1">
                      <a:solidFill>
                        <a:schemeClr val="bg1"/>
                      </a:solidFill>
                    </a:rPr>
                    <a:t>CATEGORIES</a:t>
                  </a:r>
                </a:p>
              </xdr:txBody>
            </xdr:sp>
            <xdr:grpSp>
              <xdr:nvGrpSpPr>
                <xdr:cNvPr id="100" name="Group 99">
                  <a:hlinkClick xmlns:r="http://schemas.openxmlformats.org/officeDocument/2006/relationships" r:id="rId39"/>
                  <a:extLst>
                    <a:ext uri="{FF2B5EF4-FFF2-40B4-BE49-F238E27FC236}">
                      <a16:creationId xmlns:a16="http://schemas.microsoft.com/office/drawing/2014/main" id="{118E44B3-F580-0B1B-88D2-8E03D8F37DC6}"/>
                    </a:ext>
                  </a:extLst>
                </xdr:cNvPr>
                <xdr:cNvGrpSpPr/>
              </xdr:nvGrpSpPr>
              <xdr:grpSpPr>
                <a:xfrm>
                  <a:off x="10231249" y="237461"/>
                  <a:ext cx="1281586" cy="502920"/>
                  <a:chOff x="11732389" y="237461"/>
                  <a:chExt cx="1281586" cy="502920"/>
                </a:xfrm>
              </xdr:grpSpPr>
              <xdr:pic>
                <xdr:nvPicPr>
                  <xdr:cNvPr id="101" name="Picture 100">
                    <a:hlinkClick xmlns:r="http://schemas.openxmlformats.org/officeDocument/2006/relationships" r:id="rId40"/>
                    <a:extLst>
                      <a:ext uri="{FF2B5EF4-FFF2-40B4-BE49-F238E27FC236}">
                        <a16:creationId xmlns:a16="http://schemas.microsoft.com/office/drawing/2014/main" id="{5213BDE3-49F4-E019-C5CF-A825181BC695}"/>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1732389" y="237461"/>
                    <a:ext cx="502920" cy="502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2" name="TextBox 101">
                    <a:hlinkClick xmlns:r="http://schemas.openxmlformats.org/officeDocument/2006/relationships" r:id="rId40"/>
                    <a:extLst>
                      <a:ext uri="{FF2B5EF4-FFF2-40B4-BE49-F238E27FC236}">
                        <a16:creationId xmlns:a16="http://schemas.microsoft.com/office/drawing/2014/main" id="{BE9AB569-D03B-26DA-B6F4-FF5FDEB3E1CE}"/>
                      </a:ext>
                    </a:extLst>
                  </xdr:cNvPr>
                  <xdr:cNvSpPr txBox="1"/>
                </xdr:nvSpPr>
                <xdr:spPr>
                  <a:xfrm>
                    <a:off x="12197209" y="344142"/>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 GAME APPS</a:t>
                    </a:r>
                  </a:p>
                </xdr:txBody>
              </xdr:sp>
            </xdr:grpSp>
          </xdr:grpSp>
          <xdr:grpSp>
            <xdr:nvGrpSpPr>
              <xdr:cNvPr id="61" name="Group 60">
                <a:extLst>
                  <a:ext uri="{FF2B5EF4-FFF2-40B4-BE49-F238E27FC236}">
                    <a16:creationId xmlns:a16="http://schemas.microsoft.com/office/drawing/2014/main" id="{39CB02E9-1A02-DD92-E788-9F986BEC2C00}"/>
                  </a:ext>
                </a:extLst>
              </xdr:cNvPr>
              <xdr:cNvGrpSpPr/>
            </xdr:nvGrpSpPr>
            <xdr:grpSpPr>
              <a:xfrm>
                <a:off x="3030070" y="313765"/>
                <a:ext cx="1219410" cy="438976"/>
                <a:chOff x="3030070" y="313765"/>
                <a:chExt cx="1219410" cy="438976"/>
              </a:xfrm>
            </xdr:grpSpPr>
            <xdr:sp macro="" textlink="">
              <xdr:nvSpPr>
                <xdr:cNvPr id="62" name="TextBox 61">
                  <a:hlinkClick xmlns:r="http://schemas.openxmlformats.org/officeDocument/2006/relationships" r:id="rId42"/>
                  <a:extLst>
                    <a:ext uri="{FF2B5EF4-FFF2-40B4-BE49-F238E27FC236}">
                      <a16:creationId xmlns:a16="http://schemas.microsoft.com/office/drawing/2014/main" id="{1503E8D6-85A9-5882-1359-FC10AE25EA9F}"/>
                    </a:ext>
                  </a:extLst>
                </xdr:cNvPr>
                <xdr:cNvSpPr txBox="1"/>
              </xdr:nvSpPr>
              <xdr:spPr>
                <a:xfrm>
                  <a:off x="3307528" y="313765"/>
                  <a:ext cx="941952" cy="43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BOOK KEEPING</a:t>
                  </a:r>
                </a:p>
                <a:p>
                  <a:pPr algn="ctr"/>
                  <a:r>
                    <a:rPr lang="en-US" sz="900" b="1">
                      <a:solidFill>
                        <a:schemeClr val="bg1"/>
                      </a:solidFill>
                    </a:rPr>
                    <a:t>LEDGER</a:t>
                  </a:r>
                </a:p>
              </xdr:txBody>
            </xdr:sp>
            <xdr:pic>
              <xdr:nvPicPr>
                <xdr:cNvPr id="63" name="Picture 62">
                  <a:hlinkClick xmlns:r="http://schemas.openxmlformats.org/officeDocument/2006/relationships" r:id="rId42"/>
                  <a:extLst>
                    <a:ext uri="{FF2B5EF4-FFF2-40B4-BE49-F238E27FC236}">
                      <a16:creationId xmlns:a16="http://schemas.microsoft.com/office/drawing/2014/main" id="{01559CCA-9120-1F14-F342-28C98BBA9A25}"/>
                    </a:ext>
                  </a:extLst>
                </xdr:cNvPr>
                <xdr:cNvPicPr>
                  <a:picLocks noChangeAspect="1"/>
                </xdr:cNvPicPr>
              </xdr:nvPicPr>
              <xdr:blipFill>
                <a:blip xmlns:r="http://schemas.openxmlformats.org/officeDocument/2006/relationships" r:embed="rId4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0070" y="367554"/>
                  <a:ext cx="327770" cy="349622"/>
                </a:xfrm>
                <a:prstGeom prst="rect">
                  <a:avLst/>
                </a:prstGeom>
              </xdr:spPr>
            </xdr:pic>
          </xdr:grpSp>
        </xdr:grpSp>
        <xdr:grpSp>
          <xdr:nvGrpSpPr>
            <xdr:cNvPr id="57" name="Group 56">
              <a:extLst>
                <a:ext uri="{FF2B5EF4-FFF2-40B4-BE49-F238E27FC236}">
                  <a16:creationId xmlns:a16="http://schemas.microsoft.com/office/drawing/2014/main" id="{A27EBDCF-3DAE-B0F6-99E0-0948011EC991}"/>
                </a:ext>
              </a:extLst>
            </xdr:cNvPr>
            <xdr:cNvGrpSpPr/>
          </xdr:nvGrpSpPr>
          <xdr:grpSpPr>
            <a:xfrm>
              <a:off x="12626340" y="243840"/>
              <a:ext cx="1344125" cy="571500"/>
              <a:chOff x="12626340" y="243840"/>
              <a:chExt cx="1344125" cy="571500"/>
            </a:xfrm>
          </xdr:grpSpPr>
          <xdr:pic>
            <xdr:nvPicPr>
              <xdr:cNvPr id="58" name="Picture 57">
                <a:hlinkClick xmlns:r="http://schemas.openxmlformats.org/officeDocument/2006/relationships" r:id="rId44"/>
                <a:extLst>
                  <a:ext uri="{FF2B5EF4-FFF2-40B4-BE49-F238E27FC236}">
                    <a16:creationId xmlns:a16="http://schemas.microsoft.com/office/drawing/2014/main" id="{FA07C496-5C23-8B00-2C72-C37FE1892423}"/>
                  </a:ext>
                </a:extLst>
              </xdr:cNvPr>
              <xdr:cNvPicPr>
                <a:picLocks noChangeAspect="1" noChangeArrowheads="1"/>
              </xdr:cNvPicPr>
            </xdr:nvPicPr>
            <xdr:blipFill>
              <a:blip xmlns:r="http://schemas.openxmlformats.org/officeDocument/2006/relationships" r:embed="rId4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26340" y="243840"/>
                <a:ext cx="571500" cy="571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9" name="TextBox 58">
                <a:hlinkClick xmlns:r="http://schemas.openxmlformats.org/officeDocument/2006/relationships" r:id="rId44"/>
                <a:extLst>
                  <a:ext uri="{FF2B5EF4-FFF2-40B4-BE49-F238E27FC236}">
                    <a16:creationId xmlns:a16="http://schemas.microsoft.com/office/drawing/2014/main" id="{72E95263-FEAE-1675-545B-EE71276DF744}"/>
                  </a:ext>
                </a:extLst>
              </xdr:cNvPr>
              <xdr:cNvSpPr txBox="1"/>
            </xdr:nvSpPr>
            <xdr:spPr>
              <a:xfrm>
                <a:off x="13129260" y="327660"/>
                <a:ext cx="841205" cy="4000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TRAVEL</a:t>
                </a:r>
              </a:p>
              <a:p>
                <a:pPr algn="ctr"/>
                <a:r>
                  <a:rPr lang="en-US" sz="900" b="1">
                    <a:solidFill>
                      <a:schemeClr val="bg1"/>
                    </a:solidFill>
                  </a:rPr>
                  <a:t>SANDBOX</a:t>
                </a:r>
              </a:p>
            </xdr:txBody>
          </xdr:sp>
        </xdr:grpSp>
      </xdr:grpSp>
      <xdr:pic>
        <xdr:nvPicPr>
          <xdr:cNvPr id="55" name="Picture 54">
            <a:hlinkClick xmlns:r="http://schemas.openxmlformats.org/officeDocument/2006/relationships" r:id="rId12"/>
            <a:extLst>
              <a:ext uri="{FF2B5EF4-FFF2-40B4-BE49-F238E27FC236}">
                <a16:creationId xmlns:a16="http://schemas.microsoft.com/office/drawing/2014/main" id="{A04233AF-FF2A-066B-316B-075D5C285995}"/>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6134100" y="30480"/>
            <a:ext cx="234698" cy="246078"/>
          </a:xfrm>
          <a:prstGeom prst="rect">
            <a:avLst/>
          </a:prstGeom>
          <a:solidFill>
            <a:srgbClr val="7FA6C7"/>
          </a:solidFill>
        </xdr:spPr>
      </xdr:pic>
    </xdr:grp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0</xdr:colOff>
      <xdr:row>0</xdr:row>
      <xdr:rowOff>0</xdr:rowOff>
    </xdr:from>
    <xdr:to>
      <xdr:col>19</xdr:col>
      <xdr:colOff>639837</xdr:colOff>
      <xdr:row>3</xdr:row>
      <xdr:rowOff>7620</xdr:rowOff>
    </xdr:to>
    <xdr:grpSp>
      <xdr:nvGrpSpPr>
        <xdr:cNvPr id="50" name="Group 49">
          <a:extLst>
            <a:ext uri="{FF2B5EF4-FFF2-40B4-BE49-F238E27FC236}">
              <a16:creationId xmlns:a16="http://schemas.microsoft.com/office/drawing/2014/main" id="{8EFC7F91-C50C-437D-9216-C48FE59F0CC3}"/>
            </a:ext>
          </a:extLst>
        </xdr:cNvPr>
        <xdr:cNvGrpSpPr/>
      </xdr:nvGrpSpPr>
      <xdr:grpSpPr>
        <a:xfrm>
          <a:off x="1958340" y="0"/>
          <a:ext cx="11894577" cy="815340"/>
          <a:chOff x="2194560" y="0"/>
          <a:chExt cx="11894577" cy="815340"/>
        </a:xfrm>
      </xdr:grpSpPr>
      <xdr:grpSp>
        <xdr:nvGrpSpPr>
          <xdr:cNvPr id="51" name="Group 50">
            <a:extLst>
              <a:ext uri="{FF2B5EF4-FFF2-40B4-BE49-F238E27FC236}">
                <a16:creationId xmlns:a16="http://schemas.microsoft.com/office/drawing/2014/main" id="{5DE53F26-107F-1F0D-CC9C-31EEB020CCD9}"/>
              </a:ext>
            </a:extLst>
          </xdr:cNvPr>
          <xdr:cNvGrpSpPr/>
        </xdr:nvGrpSpPr>
        <xdr:grpSpPr>
          <a:xfrm>
            <a:off x="2194560" y="0"/>
            <a:ext cx="11894577" cy="815340"/>
            <a:chOff x="2194560" y="0"/>
            <a:chExt cx="11894577" cy="815340"/>
          </a:xfrm>
        </xdr:grpSpPr>
        <xdr:grpSp>
          <xdr:nvGrpSpPr>
            <xdr:cNvPr id="53" name="Group 52">
              <a:extLst>
                <a:ext uri="{FF2B5EF4-FFF2-40B4-BE49-F238E27FC236}">
                  <a16:creationId xmlns:a16="http://schemas.microsoft.com/office/drawing/2014/main" id="{D9133CC2-E234-D763-DC03-8A874E05473F}"/>
                </a:ext>
              </a:extLst>
            </xdr:cNvPr>
            <xdr:cNvGrpSpPr/>
          </xdr:nvGrpSpPr>
          <xdr:grpSpPr>
            <a:xfrm>
              <a:off x="2194560" y="0"/>
              <a:ext cx="11894577" cy="773812"/>
              <a:chOff x="2160046" y="0"/>
              <a:chExt cx="11894577" cy="773812"/>
            </a:xfrm>
          </xdr:grpSpPr>
          <xdr:grpSp>
            <xdr:nvGrpSpPr>
              <xdr:cNvPr id="57" name="Group 56">
                <a:extLst>
                  <a:ext uri="{FF2B5EF4-FFF2-40B4-BE49-F238E27FC236}">
                    <a16:creationId xmlns:a16="http://schemas.microsoft.com/office/drawing/2014/main" id="{5DE1FC69-7E68-0303-E8D7-548191BC0CD6}"/>
                  </a:ext>
                </a:extLst>
              </xdr:cNvPr>
              <xdr:cNvGrpSpPr/>
            </xdr:nvGrpSpPr>
            <xdr:grpSpPr>
              <a:xfrm>
                <a:off x="2160046" y="0"/>
                <a:ext cx="11894577" cy="773812"/>
                <a:chOff x="1310640" y="0"/>
                <a:chExt cx="11549013" cy="764847"/>
              </a:xfrm>
            </xdr:grpSpPr>
            <xdr:pic>
              <xdr:nvPicPr>
                <xdr:cNvPr id="61" name="Picture 60">
                  <a:hlinkClick xmlns:r="http://schemas.openxmlformats.org/officeDocument/2006/relationships" r:id="rId1"/>
                  <a:extLst>
                    <a:ext uri="{FF2B5EF4-FFF2-40B4-BE49-F238E27FC236}">
                      <a16:creationId xmlns:a16="http://schemas.microsoft.com/office/drawing/2014/main" id="{FD4771C1-CDEF-8448-F825-9B13C3334D87}"/>
                    </a:ext>
                  </a:extLst>
                </xdr:cNvPr>
                <xdr:cNvPicPr>
                  <a:picLocks/>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rcRect/>
                <a:stretch/>
              </xdr:blipFill>
              <xdr:spPr>
                <a:xfrm>
                  <a:off x="1310640" y="46180"/>
                  <a:ext cx="499211" cy="554546"/>
                </a:xfrm>
                <a:prstGeom prst="rect">
                  <a:avLst/>
                </a:prstGeom>
              </xdr:spPr>
            </xdr:pic>
            <xdr:pic>
              <xdr:nvPicPr>
                <xdr:cNvPr id="62" name="Picture 61">
                  <a:hlinkClick xmlns:r="http://schemas.openxmlformats.org/officeDocument/2006/relationships" r:id="rId3"/>
                  <a:extLst>
                    <a:ext uri="{FF2B5EF4-FFF2-40B4-BE49-F238E27FC236}">
                      <a16:creationId xmlns:a16="http://schemas.microsoft.com/office/drawing/2014/main" id="{E477E880-5E1E-49CB-8147-AACCE343D43C}"/>
                    </a:ext>
                  </a:extLst>
                </xdr:cNvPr>
                <xdr:cNvPicPr>
                  <a:picLocks noChangeAspect="1" noChangeArrowheads="1"/>
                </xdr:cNvPicPr>
              </xdr:nvPicPr>
              <xdr:blipFill>
                <a:blip xmlns:r="http://schemas.openxmlformats.org/officeDocument/2006/relationships" r:embed="rId4" cstate="print">
                  <a:alphaModFix/>
                  <a:extLst>
                    <a:ext uri="{28A0092B-C50C-407E-A947-70E740481C1C}">
                      <a14:useLocalDpi xmlns:a14="http://schemas.microsoft.com/office/drawing/2010/main" val="0"/>
                    </a:ext>
                  </a:extLst>
                </a:blip>
                <a:srcRect/>
                <a:stretch>
                  <a:fillRect/>
                </a:stretch>
              </xdr:blipFill>
              <xdr:spPr bwMode="auto">
                <a:xfrm>
                  <a:off x="2163693" y="30823"/>
                  <a:ext cx="214188" cy="2260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3" name="TextBox 62">
                  <a:hlinkClick xmlns:r="http://schemas.openxmlformats.org/officeDocument/2006/relationships" r:id="rId3"/>
                  <a:extLst>
                    <a:ext uri="{FF2B5EF4-FFF2-40B4-BE49-F238E27FC236}">
                      <a16:creationId xmlns:a16="http://schemas.microsoft.com/office/drawing/2014/main" id="{EFE20CAB-C8D0-8EA4-FCCE-43EFF6D18538}"/>
                    </a:ext>
                  </a:extLst>
                </xdr:cNvPr>
                <xdr:cNvSpPr txBox="1"/>
              </xdr:nvSpPr>
              <xdr:spPr>
                <a:xfrm>
                  <a:off x="2369194" y="17046"/>
                  <a:ext cx="846446" cy="25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US" sz="900" b="1">
                      <a:solidFill>
                        <a:schemeClr val="bg1"/>
                      </a:solidFill>
                    </a:rPr>
                    <a:t>DASHBOARD</a:t>
                  </a:r>
                </a:p>
              </xdr:txBody>
            </xdr:sp>
            <xdr:pic>
              <xdr:nvPicPr>
                <xdr:cNvPr id="64" name="Picture 63">
                  <a:hlinkClick xmlns:r="http://schemas.openxmlformats.org/officeDocument/2006/relationships" r:id="rId5"/>
                  <a:extLst>
                    <a:ext uri="{FF2B5EF4-FFF2-40B4-BE49-F238E27FC236}">
                      <a16:creationId xmlns:a16="http://schemas.microsoft.com/office/drawing/2014/main" id="{E92C3A2B-E65D-1491-A438-4A3758BBDC70}"/>
                    </a:ext>
                  </a:extLst>
                </xdr:cNvPr>
                <xdr:cNvPicPr>
                  <a:picLocks noChangeAspect="1" noChangeArrowheads="1"/>
                </xdr:cNvPicPr>
              </xdr:nvPicPr>
              <xdr:blipFill>
                <a:blip xmlns:r="http://schemas.openxmlformats.org/officeDocument/2006/relationships" r:embed="rId6" cstate="print">
                  <a:alphaModFix/>
                  <a:extLst>
                    <a:ext uri="{28A0092B-C50C-407E-A947-70E740481C1C}">
                      <a14:useLocalDpi xmlns:a14="http://schemas.microsoft.com/office/drawing/2010/main" val="0"/>
                    </a:ext>
                  </a:extLst>
                </a:blip>
                <a:srcRect/>
                <a:stretch>
                  <a:fillRect/>
                </a:stretch>
              </xdr:blipFill>
              <xdr:spPr bwMode="auto">
                <a:xfrm>
                  <a:off x="8461655" y="433462"/>
                  <a:ext cx="214188" cy="20819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5" name="TextBox 64">
                  <a:hlinkClick xmlns:r="http://schemas.openxmlformats.org/officeDocument/2006/relationships" r:id="rId5"/>
                  <a:extLst>
                    <a:ext uri="{FF2B5EF4-FFF2-40B4-BE49-F238E27FC236}">
                      <a16:creationId xmlns:a16="http://schemas.microsoft.com/office/drawing/2014/main" id="{09178FA4-8993-2855-79BA-5B9A094A58D0}"/>
                    </a:ext>
                  </a:extLst>
                </xdr:cNvPr>
                <xdr:cNvSpPr txBox="1"/>
              </xdr:nvSpPr>
              <xdr:spPr>
                <a:xfrm>
                  <a:off x="8647283" y="413913"/>
                  <a:ext cx="56836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REPORTS</a:t>
                  </a:r>
                </a:p>
              </xdr:txBody>
            </xdr:sp>
            <xdr:pic>
              <xdr:nvPicPr>
                <xdr:cNvPr id="66" name="Picture 65">
                  <a:hlinkClick xmlns:r="http://schemas.openxmlformats.org/officeDocument/2006/relationships" r:id="rId7"/>
                  <a:extLst>
                    <a:ext uri="{FF2B5EF4-FFF2-40B4-BE49-F238E27FC236}">
                      <a16:creationId xmlns:a16="http://schemas.microsoft.com/office/drawing/2014/main" id="{72306E6A-3FDA-081C-BD6C-98CB6F8F7FC5}"/>
                    </a:ext>
                  </a:extLst>
                </xdr:cNvPr>
                <xdr:cNvPicPr>
                  <a:picLocks noChangeAspect="1"/>
                </xdr:cNvPicPr>
              </xdr:nvPicPr>
              <xdr:blipFill>
                <a:blip xmlns:r="http://schemas.openxmlformats.org/officeDocument/2006/relationships" r:embed="rId8" cstate="print">
                  <a:alphaModFix/>
                  <a:extLst>
                    <a:ext uri="{28A0092B-C50C-407E-A947-70E740481C1C}">
                      <a14:useLocalDpi xmlns:a14="http://schemas.microsoft.com/office/drawing/2010/main" val="0"/>
                    </a:ext>
                  </a:extLst>
                </a:blip>
                <a:stretch>
                  <a:fillRect/>
                </a:stretch>
              </xdr:blipFill>
              <xdr:spPr>
                <a:xfrm>
                  <a:off x="6903860" y="19549"/>
                  <a:ext cx="214187" cy="248554"/>
                </a:xfrm>
                <a:prstGeom prst="rect">
                  <a:avLst/>
                </a:prstGeom>
              </xdr:spPr>
            </xdr:pic>
            <xdr:sp macro="" textlink="">
              <xdr:nvSpPr>
                <xdr:cNvPr id="67" name="TextBox 66">
                  <a:hlinkClick xmlns:r="http://schemas.openxmlformats.org/officeDocument/2006/relationships" r:id="rId7"/>
                  <a:extLst>
                    <a:ext uri="{FF2B5EF4-FFF2-40B4-BE49-F238E27FC236}">
                      <a16:creationId xmlns:a16="http://schemas.microsoft.com/office/drawing/2014/main" id="{B119B912-A998-BC8D-EA29-FFD82CE06FC6}"/>
                    </a:ext>
                  </a:extLst>
                </xdr:cNvPr>
                <xdr:cNvSpPr txBox="1"/>
              </xdr:nvSpPr>
              <xdr:spPr>
                <a:xfrm>
                  <a:off x="7099062" y="0"/>
                  <a:ext cx="67589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MORTGAGE</a:t>
                  </a:r>
                </a:p>
              </xdr:txBody>
            </xdr:sp>
            <xdr:sp macro="" textlink="">
              <xdr:nvSpPr>
                <xdr:cNvPr id="68" name="TextBox 67">
                  <a:hlinkClick xmlns:r="http://schemas.openxmlformats.org/officeDocument/2006/relationships" r:id="rId9"/>
                  <a:extLst>
                    <a:ext uri="{FF2B5EF4-FFF2-40B4-BE49-F238E27FC236}">
                      <a16:creationId xmlns:a16="http://schemas.microsoft.com/office/drawing/2014/main" id="{7EFD10C0-14C5-8448-7157-EE10540D6612}"/>
                    </a:ext>
                  </a:extLst>
                </xdr:cNvPr>
                <xdr:cNvSpPr txBox="1"/>
              </xdr:nvSpPr>
              <xdr:spPr>
                <a:xfrm>
                  <a:off x="6375474" y="0"/>
                  <a:ext cx="381400"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DEBT</a:t>
                  </a:r>
                </a:p>
              </xdr:txBody>
            </xdr:sp>
            <xdr:pic>
              <xdr:nvPicPr>
                <xdr:cNvPr id="69" name="Picture 68">
                  <a:hlinkClick xmlns:r="http://schemas.openxmlformats.org/officeDocument/2006/relationships" r:id="rId9"/>
                  <a:extLst>
                    <a:ext uri="{FF2B5EF4-FFF2-40B4-BE49-F238E27FC236}">
                      <a16:creationId xmlns:a16="http://schemas.microsoft.com/office/drawing/2014/main" id="{83670F6F-5DD8-A7A1-3FF5-E8C9C757A56C}"/>
                    </a:ext>
                  </a:extLst>
                </xdr:cNvPr>
                <xdr:cNvPicPr>
                  <a:picLocks noChangeAspect="1"/>
                </xdr:cNvPicPr>
              </xdr:nvPicPr>
              <xdr:blipFill>
                <a:blip xmlns:r="http://schemas.openxmlformats.org/officeDocument/2006/relationships" r:embed="rId10" cstate="print">
                  <a:alphaModFix/>
                  <a:extLst>
                    <a:ext uri="{28A0092B-C50C-407E-A947-70E740481C1C}">
                      <a14:useLocalDpi xmlns:a14="http://schemas.microsoft.com/office/drawing/2010/main" val="0"/>
                    </a:ext>
                  </a:extLst>
                </a:blip>
                <a:stretch>
                  <a:fillRect/>
                </a:stretch>
              </xdr:blipFill>
              <xdr:spPr>
                <a:xfrm>
                  <a:off x="6158378" y="19549"/>
                  <a:ext cx="214188" cy="248554"/>
                </a:xfrm>
                <a:prstGeom prst="rect">
                  <a:avLst/>
                </a:prstGeom>
              </xdr:spPr>
            </xdr:pic>
            <xdr:sp macro="" textlink="">
              <xdr:nvSpPr>
                <xdr:cNvPr id="70" name="TextBox 69">
                  <a:hlinkClick xmlns:r="http://schemas.openxmlformats.org/officeDocument/2006/relationships" r:id="rId11"/>
                  <a:extLst>
                    <a:ext uri="{FF2B5EF4-FFF2-40B4-BE49-F238E27FC236}">
                      <a16:creationId xmlns:a16="http://schemas.microsoft.com/office/drawing/2014/main" id="{43E4A434-DD8C-50A0-4F9A-4D1F1DC2EAC2}"/>
                    </a:ext>
                  </a:extLst>
                </xdr:cNvPr>
                <xdr:cNvSpPr txBox="1"/>
              </xdr:nvSpPr>
              <xdr:spPr>
                <a:xfrm>
                  <a:off x="5370816" y="37659"/>
                  <a:ext cx="64057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FORECASTS</a:t>
                  </a:r>
                </a:p>
              </xdr:txBody>
            </xdr:sp>
            <xdr:sp macro="" textlink="">
              <xdr:nvSpPr>
                <xdr:cNvPr id="71" name="TextBox 70">
                  <a:hlinkClick xmlns:r="http://schemas.openxmlformats.org/officeDocument/2006/relationships" r:id="rId12"/>
                  <a:extLst>
                    <a:ext uri="{FF2B5EF4-FFF2-40B4-BE49-F238E27FC236}">
                      <a16:creationId xmlns:a16="http://schemas.microsoft.com/office/drawing/2014/main" id="{E6376A2E-38FF-C935-A8DD-9EF50EBA2A24}"/>
                    </a:ext>
                  </a:extLst>
                </xdr:cNvPr>
                <xdr:cNvSpPr txBox="1"/>
              </xdr:nvSpPr>
              <xdr:spPr>
                <a:xfrm>
                  <a:off x="8104032" y="0"/>
                  <a:ext cx="7732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a:t>
                  </a:r>
                  <a:r>
                    <a:rPr lang="en-US" sz="900" b="1" baseline="0">
                      <a:solidFill>
                        <a:schemeClr val="bg1"/>
                      </a:solidFill>
                    </a:rPr>
                    <a:t> (M)</a:t>
                  </a:r>
                  <a:endParaRPr lang="en-US" sz="900" b="1">
                    <a:solidFill>
                      <a:schemeClr val="bg1"/>
                    </a:solidFill>
                  </a:endParaRPr>
                </a:p>
              </xdr:txBody>
            </xdr:sp>
            <xdr:pic>
              <xdr:nvPicPr>
                <xdr:cNvPr id="72" name="Picture 71">
                  <a:hlinkClick xmlns:r="http://schemas.openxmlformats.org/officeDocument/2006/relationships" r:id="rId12"/>
                  <a:extLst>
                    <a:ext uri="{FF2B5EF4-FFF2-40B4-BE49-F238E27FC236}">
                      <a16:creationId xmlns:a16="http://schemas.microsoft.com/office/drawing/2014/main" id="{0CA0649A-4963-DBBE-2FB3-E555F2F4D6C3}"/>
                    </a:ext>
                  </a:extLst>
                </xdr:cNvPr>
                <xdr:cNvPicPr>
                  <a:picLocks noChangeAspect="1"/>
                </xdr:cNvPicPr>
              </xdr:nvPicPr>
              <xdr:blipFill>
                <a:blip xmlns:r="http://schemas.openxmlformats.org/officeDocument/2006/relationships" r:embed="rId13" cstate="print">
                  <a:alphaModFix/>
                  <a:extLst>
                    <a:ext uri="{28A0092B-C50C-407E-A947-70E740481C1C}">
                      <a14:useLocalDpi xmlns:a14="http://schemas.microsoft.com/office/drawing/2010/main" val="0"/>
                    </a:ext>
                  </a:extLst>
                </a:blip>
                <a:stretch>
                  <a:fillRect/>
                </a:stretch>
              </xdr:blipFill>
              <xdr:spPr>
                <a:xfrm>
                  <a:off x="7921943" y="19549"/>
                  <a:ext cx="214188" cy="248554"/>
                </a:xfrm>
                <a:prstGeom prst="rect">
                  <a:avLst/>
                </a:prstGeom>
              </xdr:spPr>
            </xdr:pic>
            <xdr:sp macro="" textlink="">
              <xdr:nvSpPr>
                <xdr:cNvPr id="73" name="TextBox 72">
                  <a:hlinkClick xmlns:r="http://schemas.openxmlformats.org/officeDocument/2006/relationships" r:id="rId14"/>
                  <a:extLst>
                    <a:ext uri="{FF2B5EF4-FFF2-40B4-BE49-F238E27FC236}">
                      <a16:creationId xmlns:a16="http://schemas.microsoft.com/office/drawing/2014/main" id="{2FA0597E-49CD-10A4-04A1-F8E66777D4C7}"/>
                    </a:ext>
                  </a:extLst>
                </xdr:cNvPr>
                <xdr:cNvSpPr txBox="1"/>
              </xdr:nvSpPr>
              <xdr:spPr>
                <a:xfrm>
                  <a:off x="9978309" y="0"/>
                  <a:ext cx="687187"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 (Y)</a:t>
                  </a:r>
                </a:p>
              </xdr:txBody>
            </xdr:sp>
            <xdr:pic>
              <xdr:nvPicPr>
                <xdr:cNvPr id="74" name="Picture 73">
                  <a:hlinkClick xmlns:r="http://schemas.openxmlformats.org/officeDocument/2006/relationships" r:id="rId14"/>
                  <a:extLst>
                    <a:ext uri="{FF2B5EF4-FFF2-40B4-BE49-F238E27FC236}">
                      <a16:creationId xmlns:a16="http://schemas.microsoft.com/office/drawing/2014/main" id="{8690BDD5-5751-0214-EDDD-C01578C3BD39}"/>
                    </a:ext>
                  </a:extLst>
                </xdr:cNvPr>
                <xdr:cNvPicPr>
                  <a:picLocks noChangeAspect="1"/>
                </xdr:cNvPicPr>
              </xdr:nvPicPr>
              <xdr:blipFill>
                <a:blip xmlns:r="http://schemas.openxmlformats.org/officeDocument/2006/relationships" r:embed="rId15" cstate="print">
                  <a:alphaModFix/>
                  <a:extLst>
                    <a:ext uri="{28A0092B-C50C-407E-A947-70E740481C1C}">
                      <a14:useLocalDpi xmlns:a14="http://schemas.microsoft.com/office/drawing/2010/main" val="0"/>
                    </a:ext>
                  </a:extLst>
                </a:blip>
                <a:stretch>
                  <a:fillRect/>
                </a:stretch>
              </xdr:blipFill>
              <xdr:spPr>
                <a:xfrm>
                  <a:off x="9777770" y="19549"/>
                  <a:ext cx="214188" cy="248554"/>
                </a:xfrm>
                <a:prstGeom prst="rect">
                  <a:avLst/>
                </a:prstGeom>
              </xdr:spPr>
            </xdr:pic>
            <xdr:sp macro="" textlink="">
              <xdr:nvSpPr>
                <xdr:cNvPr id="75" name="TextBox 74">
                  <a:hlinkClick xmlns:r="http://schemas.openxmlformats.org/officeDocument/2006/relationships" r:id="rId16"/>
                  <a:extLst>
                    <a:ext uri="{FF2B5EF4-FFF2-40B4-BE49-F238E27FC236}">
                      <a16:creationId xmlns:a16="http://schemas.microsoft.com/office/drawing/2014/main" id="{1A79B958-97A6-CD11-4A3E-EF6328D051DA}"/>
                    </a:ext>
                  </a:extLst>
                </xdr:cNvPr>
                <xdr:cNvSpPr txBox="1"/>
              </xdr:nvSpPr>
              <xdr:spPr>
                <a:xfrm>
                  <a:off x="9133984" y="0"/>
                  <a:ext cx="49680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VERSUS</a:t>
                  </a:r>
                </a:p>
              </xdr:txBody>
            </xdr:sp>
            <xdr:pic>
              <xdr:nvPicPr>
                <xdr:cNvPr id="76" name="Picture 75">
                  <a:hlinkClick xmlns:r="http://schemas.openxmlformats.org/officeDocument/2006/relationships" r:id="rId16"/>
                  <a:extLst>
                    <a:ext uri="{FF2B5EF4-FFF2-40B4-BE49-F238E27FC236}">
                      <a16:creationId xmlns:a16="http://schemas.microsoft.com/office/drawing/2014/main" id="{3A922693-D241-0BD6-FD95-5BA524BF4715}"/>
                    </a:ext>
                  </a:extLst>
                </xdr:cNvPr>
                <xdr:cNvPicPr>
                  <a:picLocks noChangeAspect="1"/>
                </xdr:cNvPicPr>
              </xdr:nvPicPr>
              <xdr:blipFill>
                <a:blip xmlns:r="http://schemas.openxmlformats.org/officeDocument/2006/relationships" r:embed="rId17" cstate="print">
                  <a:alphaModFix/>
                  <a:extLst>
                    <a:ext uri="{28A0092B-C50C-407E-A947-70E740481C1C}">
                      <a14:useLocalDpi xmlns:a14="http://schemas.microsoft.com/office/drawing/2010/main" val="0"/>
                    </a:ext>
                  </a:extLst>
                </a:blip>
                <a:stretch>
                  <a:fillRect/>
                </a:stretch>
              </xdr:blipFill>
              <xdr:spPr>
                <a:xfrm>
                  <a:off x="8938203" y="19549"/>
                  <a:ext cx="214187" cy="248554"/>
                </a:xfrm>
                <a:prstGeom prst="rect">
                  <a:avLst/>
                </a:prstGeom>
              </xdr:spPr>
            </xdr:pic>
            <xdr:sp macro="" textlink="">
              <xdr:nvSpPr>
                <xdr:cNvPr id="77" name="TextBox 76">
                  <a:hlinkClick xmlns:r="http://schemas.openxmlformats.org/officeDocument/2006/relationships" r:id="rId18"/>
                  <a:extLst>
                    <a:ext uri="{FF2B5EF4-FFF2-40B4-BE49-F238E27FC236}">
                      <a16:creationId xmlns:a16="http://schemas.microsoft.com/office/drawing/2014/main" id="{53109899-9C06-4D3D-6D69-C951539F7BAA}"/>
                    </a:ext>
                  </a:extLst>
                </xdr:cNvPr>
                <xdr:cNvSpPr txBox="1"/>
              </xdr:nvSpPr>
              <xdr:spPr>
                <a:xfrm>
                  <a:off x="3510385" y="0"/>
                  <a:ext cx="52312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REPAIRS</a:t>
                  </a:r>
                </a:p>
              </xdr:txBody>
            </xdr:sp>
            <xdr:pic>
              <xdr:nvPicPr>
                <xdr:cNvPr id="78" name="Picture 77">
                  <a:hlinkClick xmlns:r="http://schemas.openxmlformats.org/officeDocument/2006/relationships" r:id="rId18"/>
                  <a:extLst>
                    <a:ext uri="{FF2B5EF4-FFF2-40B4-BE49-F238E27FC236}">
                      <a16:creationId xmlns:a16="http://schemas.microsoft.com/office/drawing/2014/main" id="{1DD338E7-5940-21DE-A943-5A83D0B49973}"/>
                    </a:ext>
                  </a:extLst>
                </xdr:cNvPr>
                <xdr:cNvPicPr>
                  <a:picLocks noChangeAspect="1"/>
                </xdr:cNvPicPr>
              </xdr:nvPicPr>
              <xdr:blipFill>
                <a:blip xmlns:r="http://schemas.openxmlformats.org/officeDocument/2006/relationships" r:embed="rId19" cstate="print">
                  <a:alphaModFix/>
                  <a:extLst>
                    <a:ext uri="{28A0092B-C50C-407E-A947-70E740481C1C}">
                      <a14:useLocalDpi xmlns:a14="http://schemas.microsoft.com/office/drawing/2010/main" val="0"/>
                    </a:ext>
                  </a:extLst>
                </a:blip>
                <a:stretch>
                  <a:fillRect/>
                </a:stretch>
              </xdr:blipFill>
              <xdr:spPr>
                <a:xfrm>
                  <a:off x="3296296" y="28376"/>
                  <a:ext cx="214435" cy="230900"/>
                </a:xfrm>
                <a:prstGeom prst="rect">
                  <a:avLst/>
                </a:prstGeom>
              </xdr:spPr>
            </xdr:pic>
            <xdr:sp macro="" textlink="">
              <xdr:nvSpPr>
                <xdr:cNvPr id="79" name="TextBox 78">
                  <a:hlinkClick xmlns:r="http://schemas.openxmlformats.org/officeDocument/2006/relationships" r:id="rId20"/>
                  <a:extLst>
                    <a:ext uri="{FF2B5EF4-FFF2-40B4-BE49-F238E27FC236}">
                      <a16:creationId xmlns:a16="http://schemas.microsoft.com/office/drawing/2014/main" id="{EE71B206-5C9B-A4B3-960A-2D417A015CD1}"/>
                    </a:ext>
                  </a:extLst>
                </xdr:cNvPr>
                <xdr:cNvSpPr txBox="1"/>
              </xdr:nvSpPr>
              <xdr:spPr>
                <a:xfrm>
                  <a:off x="4388587" y="0"/>
                  <a:ext cx="63170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FURNITURE</a:t>
                  </a:r>
                </a:p>
              </xdr:txBody>
            </xdr:sp>
            <xdr:pic>
              <xdr:nvPicPr>
                <xdr:cNvPr id="80" name="Picture 79">
                  <a:hlinkClick xmlns:r="http://schemas.openxmlformats.org/officeDocument/2006/relationships" r:id="rId20"/>
                  <a:extLst>
                    <a:ext uri="{FF2B5EF4-FFF2-40B4-BE49-F238E27FC236}">
                      <a16:creationId xmlns:a16="http://schemas.microsoft.com/office/drawing/2014/main" id="{29FE795F-409A-D10B-EA9B-6455CB42D4AC}"/>
                    </a:ext>
                  </a:extLst>
                </xdr:cNvPr>
                <xdr:cNvPicPr>
                  <a:picLocks noChangeAspect="1"/>
                </xdr:cNvPicPr>
              </xdr:nvPicPr>
              <xdr:blipFill>
                <a:blip xmlns:r="http://schemas.openxmlformats.org/officeDocument/2006/relationships" r:embed="rId21" cstate="print">
                  <a:alphaModFix/>
                  <a:extLst>
                    <a:ext uri="{28A0092B-C50C-407E-A947-70E740481C1C}">
                      <a14:useLocalDpi xmlns:a14="http://schemas.microsoft.com/office/drawing/2010/main" val="0"/>
                    </a:ext>
                  </a:extLst>
                </a:blip>
                <a:stretch>
                  <a:fillRect/>
                </a:stretch>
              </xdr:blipFill>
              <xdr:spPr>
                <a:xfrm>
                  <a:off x="4180491" y="28376"/>
                  <a:ext cx="214435" cy="230900"/>
                </a:xfrm>
                <a:prstGeom prst="rect">
                  <a:avLst/>
                </a:prstGeom>
              </xdr:spPr>
            </xdr:pic>
            <xdr:pic>
              <xdr:nvPicPr>
                <xdr:cNvPr id="81" name="Picture 80">
                  <a:hlinkClick xmlns:r="http://schemas.openxmlformats.org/officeDocument/2006/relationships" r:id="rId22"/>
                  <a:extLst>
                    <a:ext uri="{FF2B5EF4-FFF2-40B4-BE49-F238E27FC236}">
                      <a16:creationId xmlns:a16="http://schemas.microsoft.com/office/drawing/2014/main" id="{40CD17BE-DD90-E53A-5B3E-3808E54491E4}"/>
                    </a:ext>
                  </a:extLst>
                </xdr:cNvPr>
                <xdr:cNvPicPr>
                  <a:picLocks noChangeAspect="1"/>
                </xdr:cNvPicPr>
              </xdr:nvPicPr>
              <xdr:blipFill>
                <a:blip xmlns:r="http://schemas.openxmlformats.org/officeDocument/2006/relationships" r:embed="rId23" cstate="print">
                  <a:alphaModFix/>
                  <a:extLst>
                    <a:ext uri="{28A0092B-C50C-407E-A947-70E740481C1C}">
                      <a14:useLocalDpi xmlns:a14="http://schemas.microsoft.com/office/drawing/2010/main" val="0"/>
                    </a:ext>
                  </a:extLst>
                </a:blip>
                <a:stretch>
                  <a:fillRect/>
                </a:stretch>
              </xdr:blipFill>
              <xdr:spPr>
                <a:xfrm>
                  <a:off x="10812480" y="19549"/>
                  <a:ext cx="214188" cy="248554"/>
                </a:xfrm>
                <a:prstGeom prst="rect">
                  <a:avLst/>
                </a:prstGeom>
              </xdr:spPr>
            </xdr:pic>
            <xdr:sp macro="" textlink="">
              <xdr:nvSpPr>
                <xdr:cNvPr id="82" name="TextBox 81">
                  <a:hlinkClick xmlns:r="http://schemas.openxmlformats.org/officeDocument/2006/relationships" r:id="rId22"/>
                  <a:extLst>
                    <a:ext uri="{FF2B5EF4-FFF2-40B4-BE49-F238E27FC236}">
                      <a16:creationId xmlns:a16="http://schemas.microsoft.com/office/drawing/2014/main" id="{23D9F227-13D9-C6AE-0FAE-72AC29DBF2A0}"/>
                    </a:ext>
                  </a:extLst>
                </xdr:cNvPr>
                <xdr:cNvSpPr txBox="1"/>
              </xdr:nvSpPr>
              <xdr:spPr>
                <a:xfrm>
                  <a:off x="11008843" y="0"/>
                  <a:ext cx="40705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PEERS</a:t>
                  </a:r>
                </a:p>
              </xdr:txBody>
            </xdr:sp>
            <xdr:sp macro="" textlink="">
              <xdr:nvSpPr>
                <xdr:cNvPr id="83" name="TextBox 82">
                  <a:hlinkClick xmlns:r="http://schemas.openxmlformats.org/officeDocument/2006/relationships" r:id="rId24"/>
                  <a:extLst>
                    <a:ext uri="{FF2B5EF4-FFF2-40B4-BE49-F238E27FC236}">
                      <a16:creationId xmlns:a16="http://schemas.microsoft.com/office/drawing/2014/main" id="{40C558EA-CD02-E38B-0556-2E810EA9F8B7}"/>
                    </a:ext>
                  </a:extLst>
                </xdr:cNvPr>
                <xdr:cNvSpPr txBox="1"/>
              </xdr:nvSpPr>
              <xdr:spPr>
                <a:xfrm>
                  <a:off x="9581756" y="397481"/>
                  <a:ext cx="656781"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MAX PRICE</a:t>
                  </a:r>
                </a:p>
              </xdr:txBody>
            </xdr:sp>
            <xdr:pic>
              <xdr:nvPicPr>
                <xdr:cNvPr id="84" name="Picture 83">
                  <a:hlinkClick xmlns:r="http://schemas.openxmlformats.org/officeDocument/2006/relationships" r:id="rId24"/>
                  <a:extLst>
                    <a:ext uri="{FF2B5EF4-FFF2-40B4-BE49-F238E27FC236}">
                      <a16:creationId xmlns:a16="http://schemas.microsoft.com/office/drawing/2014/main" id="{701005C0-F9BA-6830-58AD-0F26813705C5}"/>
                    </a:ext>
                  </a:extLst>
                </xdr:cNvPr>
                <xdr:cNvPicPr>
                  <a:picLocks noChangeAspect="1"/>
                </xdr:cNvPicPr>
              </xdr:nvPicPr>
              <xdr:blipFill>
                <a:blip xmlns:r="http://schemas.openxmlformats.org/officeDocument/2006/relationships" r:embed="rId25" cstate="print">
                  <a:alphaModFix/>
                  <a:extLst>
                    <a:ext uri="{28A0092B-C50C-407E-A947-70E740481C1C}">
                      <a14:useLocalDpi xmlns:a14="http://schemas.microsoft.com/office/drawing/2010/main" val="0"/>
                    </a:ext>
                  </a:extLst>
                </a:blip>
                <a:stretch>
                  <a:fillRect/>
                </a:stretch>
              </xdr:blipFill>
              <xdr:spPr>
                <a:xfrm>
                  <a:off x="9433997" y="425857"/>
                  <a:ext cx="214435" cy="230900"/>
                </a:xfrm>
                <a:prstGeom prst="rect">
                  <a:avLst/>
                </a:prstGeom>
              </xdr:spPr>
            </xdr:pic>
            <xdr:sp macro="" textlink="">
              <xdr:nvSpPr>
                <xdr:cNvPr id="85" name="TextBox 84">
                  <a:hlinkClick xmlns:r="http://schemas.openxmlformats.org/officeDocument/2006/relationships" r:id="rId26"/>
                  <a:extLst>
                    <a:ext uri="{FF2B5EF4-FFF2-40B4-BE49-F238E27FC236}">
                      <a16:creationId xmlns:a16="http://schemas.microsoft.com/office/drawing/2014/main" id="{6CE68DDC-FC55-1E3E-4ACB-9F4A26F7EC99}"/>
                    </a:ext>
                  </a:extLst>
                </xdr:cNvPr>
                <xdr:cNvSpPr txBox="1"/>
              </xdr:nvSpPr>
              <xdr:spPr>
                <a:xfrm>
                  <a:off x="7733272" y="389861"/>
                  <a:ext cx="6384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SCENARIOS</a:t>
                  </a:r>
                </a:p>
              </xdr:txBody>
            </xdr:sp>
            <xdr:pic>
              <xdr:nvPicPr>
                <xdr:cNvPr id="86" name="Picture 85">
                  <a:hlinkClick xmlns:r="http://schemas.openxmlformats.org/officeDocument/2006/relationships" r:id="rId26"/>
                  <a:extLst>
                    <a:ext uri="{FF2B5EF4-FFF2-40B4-BE49-F238E27FC236}">
                      <a16:creationId xmlns:a16="http://schemas.microsoft.com/office/drawing/2014/main" id="{CA873375-2F1C-BEBF-084A-628E2511C73E}"/>
                    </a:ext>
                  </a:extLst>
                </xdr:cNvPr>
                <xdr:cNvPicPr>
                  <a:picLocks noChangeAspect="1"/>
                </xdr:cNvPicPr>
              </xdr:nvPicPr>
              <xdr:blipFill>
                <a:blip xmlns:r="http://schemas.openxmlformats.org/officeDocument/2006/relationships" r:embed="rId27" cstate="print">
                  <a:alphaModFix/>
                  <a:extLst>
                    <a:ext uri="{28A0092B-C50C-407E-A947-70E740481C1C}">
                      <a14:useLocalDpi xmlns:a14="http://schemas.microsoft.com/office/drawing/2010/main" val="0"/>
                    </a:ext>
                  </a:extLst>
                </a:blip>
                <a:stretch>
                  <a:fillRect/>
                </a:stretch>
              </xdr:blipFill>
              <xdr:spPr>
                <a:xfrm>
                  <a:off x="7536090" y="418237"/>
                  <a:ext cx="214435" cy="230900"/>
                </a:xfrm>
                <a:prstGeom prst="rect">
                  <a:avLst/>
                </a:prstGeom>
              </xdr:spPr>
            </xdr:pic>
            <xdr:sp macro="" textlink="">
              <xdr:nvSpPr>
                <xdr:cNvPr id="87" name="TextBox 86">
                  <a:hlinkClick xmlns:r="http://schemas.openxmlformats.org/officeDocument/2006/relationships" r:id="rId28"/>
                  <a:extLst>
                    <a:ext uri="{FF2B5EF4-FFF2-40B4-BE49-F238E27FC236}">
                      <a16:creationId xmlns:a16="http://schemas.microsoft.com/office/drawing/2014/main" id="{4DDABCFA-BCB5-7AFB-1B6D-DD32E41A50DE}"/>
                    </a:ext>
                  </a:extLst>
                </xdr:cNvPr>
                <xdr:cNvSpPr txBox="1"/>
              </xdr:nvSpPr>
              <xdr:spPr>
                <a:xfrm>
                  <a:off x="11757467" y="49286"/>
                  <a:ext cx="110218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MARKET RESEARCH</a:t>
                  </a:r>
                </a:p>
              </xdr:txBody>
            </xdr:sp>
            <xdr:pic>
              <xdr:nvPicPr>
                <xdr:cNvPr id="88" name="Picture 87" descr="A white and brown hourglass&#10;&#10;AI-generated content may be incorrect.">
                  <a:hlinkClick xmlns:r="http://schemas.openxmlformats.org/officeDocument/2006/relationships" r:id="rId28"/>
                  <a:extLst>
                    <a:ext uri="{FF2B5EF4-FFF2-40B4-BE49-F238E27FC236}">
                      <a16:creationId xmlns:a16="http://schemas.microsoft.com/office/drawing/2014/main" id="{E0B096F2-0C4D-2D1F-7F56-39CAF377F108}"/>
                    </a:ext>
                  </a:extLst>
                </xdr:cNvPr>
                <xdr:cNvPicPr>
                  <a:picLocks noChangeAspect="1"/>
                </xdr:cNvPicPr>
              </xdr:nvPicPr>
              <xdr:blipFill>
                <a:blip xmlns:r="http://schemas.openxmlformats.org/officeDocument/2006/relationships" r:embed="rId29" cstate="print">
                  <a:alphaModFix/>
                  <a:extLst>
                    <a:ext uri="{28A0092B-C50C-407E-A947-70E740481C1C}">
                      <a14:useLocalDpi xmlns:a14="http://schemas.microsoft.com/office/drawing/2010/main" val="0"/>
                    </a:ext>
                  </a:extLst>
                </a:blip>
                <a:stretch>
                  <a:fillRect/>
                </a:stretch>
              </xdr:blipFill>
              <xdr:spPr>
                <a:xfrm>
                  <a:off x="11563464" y="33893"/>
                  <a:ext cx="235575" cy="261687"/>
                </a:xfrm>
                <a:prstGeom prst="rect">
                  <a:avLst/>
                </a:prstGeom>
              </xdr:spPr>
            </xdr:pic>
            <xdr:pic>
              <xdr:nvPicPr>
                <xdr:cNvPr id="89" name="Picture 88">
                  <a:hlinkClick xmlns:r="http://schemas.openxmlformats.org/officeDocument/2006/relationships" r:id="rId30"/>
                  <a:extLst>
                    <a:ext uri="{FF2B5EF4-FFF2-40B4-BE49-F238E27FC236}">
                      <a16:creationId xmlns:a16="http://schemas.microsoft.com/office/drawing/2014/main" id="{24261873-3E4F-548C-B538-161431C61193}"/>
                    </a:ext>
                  </a:extLst>
                </xdr:cNvPr>
                <xdr:cNvPicPr>
                  <a:picLocks noChangeAspect="1" noChangeArrowheads="1"/>
                </xdr:cNvPicPr>
              </xdr:nvPicPr>
              <xdr:blipFill>
                <a:blip xmlns:r="http://schemas.openxmlformats.org/officeDocument/2006/relationships" r:embed="rId3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33032" y="384834"/>
                  <a:ext cx="261600" cy="33288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0" name="TextBox 89">
                  <a:hlinkClick xmlns:r="http://schemas.openxmlformats.org/officeDocument/2006/relationships" r:id="rId30"/>
                  <a:extLst>
                    <a:ext uri="{FF2B5EF4-FFF2-40B4-BE49-F238E27FC236}">
                      <a16:creationId xmlns:a16="http://schemas.microsoft.com/office/drawing/2014/main" id="{FF48E761-4523-6A7B-432C-B03E12895CDF}"/>
                    </a:ext>
                  </a:extLst>
                </xdr:cNvPr>
                <xdr:cNvSpPr txBox="1"/>
              </xdr:nvSpPr>
              <xdr:spPr>
                <a:xfrm>
                  <a:off x="3637195" y="315564"/>
                  <a:ext cx="914586" cy="433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BALANCE SHEET</a:t>
                  </a:r>
                </a:p>
                <a:p>
                  <a:pPr algn="ctr"/>
                  <a:r>
                    <a:rPr lang="en-US" sz="900" b="1">
                      <a:solidFill>
                        <a:schemeClr val="bg1"/>
                      </a:solidFill>
                    </a:rPr>
                    <a:t>SUMMARY</a:t>
                  </a:r>
                </a:p>
              </xdr:txBody>
            </xdr:sp>
            <xdr:pic>
              <xdr:nvPicPr>
                <xdr:cNvPr id="91" name="Picture 90">
                  <a:hlinkClick xmlns:r="http://schemas.openxmlformats.org/officeDocument/2006/relationships" r:id="rId32"/>
                  <a:extLst>
                    <a:ext uri="{FF2B5EF4-FFF2-40B4-BE49-F238E27FC236}">
                      <a16:creationId xmlns:a16="http://schemas.microsoft.com/office/drawing/2014/main" id="{C445424A-3FF6-3FDA-B1D3-8025C3C165D5}"/>
                    </a:ext>
                  </a:extLst>
                </xdr:cNvPr>
                <xdr:cNvPicPr>
                  <a:picLocks noChangeAspect="1" noChangeArrowheads="1"/>
                </xdr:cNvPicPr>
              </xdr:nvPicPr>
              <xdr:blipFill>
                <a:blip xmlns:r="http://schemas.openxmlformats.org/officeDocument/2006/relationships" r:embed="rId33" cstate="print">
                  <a:clrChange>
                    <a:clrFrom>
                      <a:srgbClr val="F8F8F8"/>
                    </a:clrFrom>
                    <a:clrTo>
                      <a:srgbClr val="F8F8F8">
                        <a:alpha val="0"/>
                      </a:srgbClr>
                    </a:clrTo>
                  </a:clrChange>
                  <a:extLst>
                    <a:ext uri="{28A0092B-C50C-407E-A947-70E740481C1C}">
                      <a14:useLocalDpi xmlns:a14="http://schemas.microsoft.com/office/drawing/2010/main" val="0"/>
                    </a:ext>
                  </a:extLst>
                </a:blip>
                <a:srcRect/>
                <a:stretch>
                  <a:fillRect/>
                </a:stretch>
              </xdr:blipFill>
              <xdr:spPr bwMode="auto">
                <a:xfrm>
                  <a:off x="4602713" y="384834"/>
                  <a:ext cx="326621" cy="3113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2" name="TextBox 91">
                  <a:hlinkClick xmlns:r="http://schemas.openxmlformats.org/officeDocument/2006/relationships" r:id="rId32"/>
                  <a:extLst>
                    <a:ext uri="{FF2B5EF4-FFF2-40B4-BE49-F238E27FC236}">
                      <a16:creationId xmlns:a16="http://schemas.microsoft.com/office/drawing/2014/main" id="{51B9D3EB-3816-0E97-5DA5-66F7AA1A2262}"/>
                    </a:ext>
                  </a:extLst>
                </xdr:cNvPr>
                <xdr:cNvSpPr txBox="1"/>
              </xdr:nvSpPr>
              <xdr:spPr>
                <a:xfrm>
                  <a:off x="4880678" y="423317"/>
                  <a:ext cx="56334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ASSETS</a:t>
                  </a:r>
                </a:p>
              </xdr:txBody>
            </xdr:sp>
            <xdr:pic>
              <xdr:nvPicPr>
                <xdr:cNvPr id="93" name="Picture 92">
                  <a:hlinkClick xmlns:r="http://schemas.openxmlformats.org/officeDocument/2006/relationships" r:id="rId34"/>
                  <a:extLst>
                    <a:ext uri="{FF2B5EF4-FFF2-40B4-BE49-F238E27FC236}">
                      <a16:creationId xmlns:a16="http://schemas.microsoft.com/office/drawing/2014/main" id="{E5E4ACDA-EA3D-CA63-B732-5DEB98B5A471}"/>
                    </a:ext>
                  </a:extLst>
                </xdr:cNvPr>
                <xdr:cNvPicPr>
                  <a:picLocks noChangeAspect="1" noChangeArrowheads="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35903" y="354046"/>
                  <a:ext cx="278234" cy="3540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4" name="TextBox 93">
                  <a:hlinkClick xmlns:r="http://schemas.openxmlformats.org/officeDocument/2006/relationships" r:id="rId34"/>
                  <a:extLst>
                    <a:ext uri="{FF2B5EF4-FFF2-40B4-BE49-F238E27FC236}">
                      <a16:creationId xmlns:a16="http://schemas.microsoft.com/office/drawing/2014/main" id="{11CC039E-F234-0624-884C-17A6C9AD2FAE}"/>
                    </a:ext>
                  </a:extLst>
                </xdr:cNvPr>
                <xdr:cNvSpPr txBox="1"/>
              </xdr:nvSpPr>
              <xdr:spPr>
                <a:xfrm>
                  <a:off x="5717678" y="431014"/>
                  <a:ext cx="750091"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LIABILITIES</a:t>
                  </a:r>
                </a:p>
              </xdr:txBody>
            </xdr:sp>
            <xdr:pic>
              <xdr:nvPicPr>
                <xdr:cNvPr id="95" name="Picture 94">
                  <a:hlinkClick xmlns:r="http://schemas.openxmlformats.org/officeDocument/2006/relationships" r:id="rId36"/>
                  <a:extLst>
                    <a:ext uri="{FF2B5EF4-FFF2-40B4-BE49-F238E27FC236}">
                      <a16:creationId xmlns:a16="http://schemas.microsoft.com/office/drawing/2014/main" id="{9D5CB0AF-0BC6-0B50-DAFE-7B0759248B17}"/>
                    </a:ext>
                  </a:extLst>
                </xdr:cNvPr>
                <xdr:cNvPicPr>
                  <a:picLocks noChangeAspect="1"/>
                </xdr:cNvPicPr>
              </xdr:nvPicPr>
              <xdr:blipFill>
                <a:blip xmlns:r="http://schemas.openxmlformats.org/officeDocument/2006/relationships" r:embed="rId37">
                  <a:clrChange>
                    <a:clrFrom>
                      <a:srgbClr val="FFFFFF"/>
                    </a:clrFrom>
                    <a:clrTo>
                      <a:srgbClr val="FFFFFF">
                        <a:alpha val="0"/>
                      </a:srgbClr>
                    </a:clrTo>
                  </a:clrChange>
                </a:blip>
                <a:stretch>
                  <a:fillRect/>
                </a:stretch>
              </xdr:blipFill>
              <xdr:spPr>
                <a:xfrm>
                  <a:off x="6454424" y="361268"/>
                  <a:ext cx="368693" cy="354523"/>
                </a:xfrm>
                <a:prstGeom prst="rect">
                  <a:avLst/>
                </a:prstGeom>
              </xdr:spPr>
            </xdr:pic>
            <xdr:sp macro="" textlink="">
              <xdr:nvSpPr>
                <xdr:cNvPr id="96" name="TextBox 95">
                  <a:hlinkClick xmlns:r="http://schemas.openxmlformats.org/officeDocument/2006/relationships" r:id="rId36"/>
                  <a:extLst>
                    <a:ext uri="{FF2B5EF4-FFF2-40B4-BE49-F238E27FC236}">
                      <a16:creationId xmlns:a16="http://schemas.microsoft.com/office/drawing/2014/main" id="{2AEC347A-B11B-B291-879B-DD352863B8B8}"/>
                    </a:ext>
                  </a:extLst>
                </xdr:cNvPr>
                <xdr:cNvSpPr txBox="1"/>
              </xdr:nvSpPr>
              <xdr:spPr>
                <a:xfrm>
                  <a:off x="6742924" y="369440"/>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EDIT</a:t>
                  </a:r>
                </a:p>
                <a:p>
                  <a:r>
                    <a:rPr lang="en-US" sz="900" b="1">
                      <a:solidFill>
                        <a:schemeClr val="bg1"/>
                      </a:solidFill>
                    </a:rPr>
                    <a:t>CATEGORIES</a:t>
                  </a:r>
                </a:p>
              </xdr:txBody>
            </xdr:sp>
            <xdr:grpSp>
              <xdr:nvGrpSpPr>
                <xdr:cNvPr id="97" name="Group 96">
                  <a:hlinkClick xmlns:r="http://schemas.openxmlformats.org/officeDocument/2006/relationships" r:id="rId38"/>
                  <a:extLst>
                    <a:ext uri="{FF2B5EF4-FFF2-40B4-BE49-F238E27FC236}">
                      <a16:creationId xmlns:a16="http://schemas.microsoft.com/office/drawing/2014/main" id="{6D6F91E2-9BE0-A09A-FF08-E00CB64B0B05}"/>
                    </a:ext>
                  </a:extLst>
                </xdr:cNvPr>
                <xdr:cNvGrpSpPr/>
              </xdr:nvGrpSpPr>
              <xdr:grpSpPr>
                <a:xfrm>
                  <a:off x="10231249" y="237461"/>
                  <a:ext cx="1281586" cy="502920"/>
                  <a:chOff x="11732389" y="237461"/>
                  <a:chExt cx="1281586" cy="502920"/>
                </a:xfrm>
              </xdr:grpSpPr>
              <xdr:pic>
                <xdr:nvPicPr>
                  <xdr:cNvPr id="98" name="Picture 97">
                    <a:hlinkClick xmlns:r="http://schemas.openxmlformats.org/officeDocument/2006/relationships" r:id="rId39"/>
                    <a:extLst>
                      <a:ext uri="{FF2B5EF4-FFF2-40B4-BE49-F238E27FC236}">
                        <a16:creationId xmlns:a16="http://schemas.microsoft.com/office/drawing/2014/main" id="{79313FEC-6E41-50E4-7242-233A7594E5A7}"/>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1732389" y="237461"/>
                    <a:ext cx="502920" cy="502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9" name="TextBox 98">
                    <a:hlinkClick xmlns:r="http://schemas.openxmlformats.org/officeDocument/2006/relationships" r:id="rId39"/>
                    <a:extLst>
                      <a:ext uri="{FF2B5EF4-FFF2-40B4-BE49-F238E27FC236}">
                        <a16:creationId xmlns:a16="http://schemas.microsoft.com/office/drawing/2014/main" id="{94877818-2D64-54C7-5772-65AE45EB21F2}"/>
                      </a:ext>
                    </a:extLst>
                  </xdr:cNvPr>
                  <xdr:cNvSpPr txBox="1"/>
                </xdr:nvSpPr>
                <xdr:spPr>
                  <a:xfrm>
                    <a:off x="12197209" y="344142"/>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 GAME APPS</a:t>
                    </a:r>
                  </a:p>
                </xdr:txBody>
              </xdr:sp>
            </xdr:grpSp>
          </xdr:grpSp>
          <xdr:grpSp>
            <xdr:nvGrpSpPr>
              <xdr:cNvPr id="58" name="Group 57">
                <a:extLst>
                  <a:ext uri="{FF2B5EF4-FFF2-40B4-BE49-F238E27FC236}">
                    <a16:creationId xmlns:a16="http://schemas.microsoft.com/office/drawing/2014/main" id="{8293AC9F-6FC0-AFB3-8057-4224292489DD}"/>
                  </a:ext>
                </a:extLst>
              </xdr:cNvPr>
              <xdr:cNvGrpSpPr/>
            </xdr:nvGrpSpPr>
            <xdr:grpSpPr>
              <a:xfrm>
                <a:off x="3030070" y="313765"/>
                <a:ext cx="1219410" cy="438976"/>
                <a:chOff x="3030070" y="313765"/>
                <a:chExt cx="1219410" cy="438976"/>
              </a:xfrm>
            </xdr:grpSpPr>
            <xdr:sp macro="" textlink="">
              <xdr:nvSpPr>
                <xdr:cNvPr id="59" name="TextBox 58">
                  <a:hlinkClick xmlns:r="http://schemas.openxmlformats.org/officeDocument/2006/relationships" r:id="rId41"/>
                  <a:extLst>
                    <a:ext uri="{FF2B5EF4-FFF2-40B4-BE49-F238E27FC236}">
                      <a16:creationId xmlns:a16="http://schemas.microsoft.com/office/drawing/2014/main" id="{E9765558-F626-E57C-C4A3-BFD67A6DA45D}"/>
                    </a:ext>
                  </a:extLst>
                </xdr:cNvPr>
                <xdr:cNvSpPr txBox="1"/>
              </xdr:nvSpPr>
              <xdr:spPr>
                <a:xfrm>
                  <a:off x="3307528" y="313765"/>
                  <a:ext cx="941952" cy="43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BOOK KEEPING</a:t>
                  </a:r>
                </a:p>
                <a:p>
                  <a:pPr algn="ctr"/>
                  <a:r>
                    <a:rPr lang="en-US" sz="900" b="1">
                      <a:solidFill>
                        <a:schemeClr val="bg1"/>
                      </a:solidFill>
                    </a:rPr>
                    <a:t>LEDGER</a:t>
                  </a:r>
                </a:p>
              </xdr:txBody>
            </xdr:sp>
            <xdr:pic>
              <xdr:nvPicPr>
                <xdr:cNvPr id="60" name="Picture 59">
                  <a:hlinkClick xmlns:r="http://schemas.openxmlformats.org/officeDocument/2006/relationships" r:id="rId41"/>
                  <a:extLst>
                    <a:ext uri="{FF2B5EF4-FFF2-40B4-BE49-F238E27FC236}">
                      <a16:creationId xmlns:a16="http://schemas.microsoft.com/office/drawing/2014/main" id="{706FA9A8-375D-37BF-6419-4C148A18AEE1}"/>
                    </a:ext>
                  </a:extLst>
                </xdr:cNvPr>
                <xdr:cNvPicPr>
                  <a:picLocks noChangeAspect="1"/>
                </xdr:cNvPicPr>
              </xdr:nvPicPr>
              <xdr:blipFill>
                <a:blip xmlns:r="http://schemas.openxmlformats.org/officeDocument/2006/relationships" r:embed="rId4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0070" y="367554"/>
                  <a:ext cx="327770" cy="349622"/>
                </a:xfrm>
                <a:prstGeom prst="rect">
                  <a:avLst/>
                </a:prstGeom>
              </xdr:spPr>
            </xdr:pic>
          </xdr:grpSp>
        </xdr:grpSp>
        <xdr:grpSp>
          <xdr:nvGrpSpPr>
            <xdr:cNvPr id="54" name="Group 53">
              <a:extLst>
                <a:ext uri="{FF2B5EF4-FFF2-40B4-BE49-F238E27FC236}">
                  <a16:creationId xmlns:a16="http://schemas.microsoft.com/office/drawing/2014/main" id="{68E41004-4225-0BAC-237C-AC0DBF121E9F}"/>
                </a:ext>
              </a:extLst>
            </xdr:cNvPr>
            <xdr:cNvGrpSpPr/>
          </xdr:nvGrpSpPr>
          <xdr:grpSpPr>
            <a:xfrm>
              <a:off x="12626340" y="243840"/>
              <a:ext cx="1344125" cy="571500"/>
              <a:chOff x="12626340" y="243840"/>
              <a:chExt cx="1344125" cy="571500"/>
            </a:xfrm>
          </xdr:grpSpPr>
          <xdr:pic>
            <xdr:nvPicPr>
              <xdr:cNvPr id="55" name="Picture 54">
                <a:hlinkClick xmlns:r="http://schemas.openxmlformats.org/officeDocument/2006/relationships" r:id="rId43"/>
                <a:extLst>
                  <a:ext uri="{FF2B5EF4-FFF2-40B4-BE49-F238E27FC236}">
                    <a16:creationId xmlns:a16="http://schemas.microsoft.com/office/drawing/2014/main" id="{EF2EB7C3-BC60-6478-429E-991E32825977}"/>
                  </a:ext>
                </a:extLst>
              </xdr:cNvPr>
              <xdr:cNvPicPr>
                <a:picLocks noChangeAspect="1" noChangeArrowheads="1"/>
              </xdr:cNvPicPr>
            </xdr:nvPicPr>
            <xdr:blipFill>
              <a:blip xmlns:r="http://schemas.openxmlformats.org/officeDocument/2006/relationships" r:embed="rId4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26340" y="243840"/>
                <a:ext cx="571500" cy="571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6" name="TextBox 55">
                <a:hlinkClick xmlns:r="http://schemas.openxmlformats.org/officeDocument/2006/relationships" r:id="rId43"/>
                <a:extLst>
                  <a:ext uri="{FF2B5EF4-FFF2-40B4-BE49-F238E27FC236}">
                    <a16:creationId xmlns:a16="http://schemas.microsoft.com/office/drawing/2014/main" id="{17042255-0764-8702-64CE-1B558AC585F8}"/>
                  </a:ext>
                </a:extLst>
              </xdr:cNvPr>
              <xdr:cNvSpPr txBox="1"/>
            </xdr:nvSpPr>
            <xdr:spPr>
              <a:xfrm>
                <a:off x="13129260" y="327660"/>
                <a:ext cx="841205" cy="4000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TRAVEL</a:t>
                </a:r>
              </a:p>
              <a:p>
                <a:pPr algn="ctr"/>
                <a:r>
                  <a:rPr lang="en-US" sz="900" b="1">
                    <a:solidFill>
                      <a:schemeClr val="bg1"/>
                    </a:solidFill>
                  </a:rPr>
                  <a:t>SANDBOX</a:t>
                </a:r>
              </a:p>
            </xdr:txBody>
          </xdr:sp>
        </xdr:grpSp>
      </xdr:grpSp>
      <xdr:pic>
        <xdr:nvPicPr>
          <xdr:cNvPr id="52" name="Picture 51">
            <a:hlinkClick xmlns:r="http://schemas.openxmlformats.org/officeDocument/2006/relationships" r:id="rId11"/>
            <a:extLst>
              <a:ext uri="{FF2B5EF4-FFF2-40B4-BE49-F238E27FC236}">
                <a16:creationId xmlns:a16="http://schemas.microsoft.com/office/drawing/2014/main" id="{52C5C207-3F57-2EF9-24DD-0D3E4ECD84FF}"/>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34100" y="30480"/>
            <a:ext cx="234698" cy="246078"/>
          </a:xfrm>
          <a:prstGeom prst="rect">
            <a:avLst/>
          </a:prstGeom>
          <a:solidFill>
            <a:srgbClr val="7FA6C7"/>
          </a:solidFill>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609600</xdr:colOff>
      <xdr:row>0</xdr:row>
      <xdr:rowOff>0</xdr:rowOff>
    </xdr:from>
    <xdr:to>
      <xdr:col>24</xdr:col>
      <xdr:colOff>167397</xdr:colOff>
      <xdr:row>3</xdr:row>
      <xdr:rowOff>7620</xdr:rowOff>
    </xdr:to>
    <xdr:grpSp>
      <xdr:nvGrpSpPr>
        <xdr:cNvPr id="50" name="Group 49">
          <a:extLst>
            <a:ext uri="{FF2B5EF4-FFF2-40B4-BE49-F238E27FC236}">
              <a16:creationId xmlns:a16="http://schemas.microsoft.com/office/drawing/2014/main" id="{A1D92912-8BD5-44E3-9A70-9ABA2550C8BE}"/>
            </a:ext>
          </a:extLst>
        </xdr:cNvPr>
        <xdr:cNvGrpSpPr/>
      </xdr:nvGrpSpPr>
      <xdr:grpSpPr>
        <a:xfrm>
          <a:off x="998220" y="0"/>
          <a:ext cx="11894577" cy="815340"/>
          <a:chOff x="2194560" y="0"/>
          <a:chExt cx="11894577" cy="815340"/>
        </a:xfrm>
      </xdr:grpSpPr>
      <xdr:grpSp>
        <xdr:nvGrpSpPr>
          <xdr:cNvPr id="51" name="Group 50">
            <a:extLst>
              <a:ext uri="{FF2B5EF4-FFF2-40B4-BE49-F238E27FC236}">
                <a16:creationId xmlns:a16="http://schemas.microsoft.com/office/drawing/2014/main" id="{8808C52E-9971-5E33-595B-7982448E6DA9}"/>
              </a:ext>
            </a:extLst>
          </xdr:cNvPr>
          <xdr:cNvGrpSpPr/>
        </xdr:nvGrpSpPr>
        <xdr:grpSpPr>
          <a:xfrm>
            <a:off x="2194560" y="0"/>
            <a:ext cx="11894577" cy="815340"/>
            <a:chOff x="2194560" y="0"/>
            <a:chExt cx="11894577" cy="815340"/>
          </a:xfrm>
        </xdr:grpSpPr>
        <xdr:grpSp>
          <xdr:nvGrpSpPr>
            <xdr:cNvPr id="53" name="Group 52">
              <a:extLst>
                <a:ext uri="{FF2B5EF4-FFF2-40B4-BE49-F238E27FC236}">
                  <a16:creationId xmlns:a16="http://schemas.microsoft.com/office/drawing/2014/main" id="{A741F399-345A-D9AC-042C-A23374F2FC0D}"/>
                </a:ext>
              </a:extLst>
            </xdr:cNvPr>
            <xdr:cNvGrpSpPr/>
          </xdr:nvGrpSpPr>
          <xdr:grpSpPr>
            <a:xfrm>
              <a:off x="2194560" y="0"/>
              <a:ext cx="11894577" cy="773812"/>
              <a:chOff x="2160046" y="0"/>
              <a:chExt cx="11894577" cy="773812"/>
            </a:xfrm>
          </xdr:grpSpPr>
          <xdr:grpSp>
            <xdr:nvGrpSpPr>
              <xdr:cNvPr id="57" name="Group 56">
                <a:extLst>
                  <a:ext uri="{FF2B5EF4-FFF2-40B4-BE49-F238E27FC236}">
                    <a16:creationId xmlns:a16="http://schemas.microsoft.com/office/drawing/2014/main" id="{78C24DF3-A73F-4B0F-5480-E33B4C55C0EA}"/>
                  </a:ext>
                </a:extLst>
              </xdr:cNvPr>
              <xdr:cNvGrpSpPr/>
            </xdr:nvGrpSpPr>
            <xdr:grpSpPr>
              <a:xfrm>
                <a:off x="2160046" y="0"/>
                <a:ext cx="11894577" cy="773812"/>
                <a:chOff x="1310640" y="0"/>
                <a:chExt cx="11549013" cy="764847"/>
              </a:xfrm>
            </xdr:grpSpPr>
            <xdr:pic>
              <xdr:nvPicPr>
                <xdr:cNvPr id="61" name="Picture 60">
                  <a:hlinkClick xmlns:r="http://schemas.openxmlformats.org/officeDocument/2006/relationships" r:id="rId1"/>
                  <a:extLst>
                    <a:ext uri="{FF2B5EF4-FFF2-40B4-BE49-F238E27FC236}">
                      <a16:creationId xmlns:a16="http://schemas.microsoft.com/office/drawing/2014/main" id="{E3122839-C9BD-7BFC-A171-6AB8643E86D2}"/>
                    </a:ext>
                  </a:extLst>
                </xdr:cNvPr>
                <xdr:cNvPicPr>
                  <a:picLocks/>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rcRect/>
                <a:stretch/>
              </xdr:blipFill>
              <xdr:spPr>
                <a:xfrm>
                  <a:off x="1310640" y="46180"/>
                  <a:ext cx="499211" cy="554546"/>
                </a:xfrm>
                <a:prstGeom prst="rect">
                  <a:avLst/>
                </a:prstGeom>
              </xdr:spPr>
            </xdr:pic>
            <xdr:pic>
              <xdr:nvPicPr>
                <xdr:cNvPr id="62" name="Picture 61">
                  <a:hlinkClick xmlns:r="http://schemas.openxmlformats.org/officeDocument/2006/relationships" r:id="rId3"/>
                  <a:extLst>
                    <a:ext uri="{FF2B5EF4-FFF2-40B4-BE49-F238E27FC236}">
                      <a16:creationId xmlns:a16="http://schemas.microsoft.com/office/drawing/2014/main" id="{6841D9F8-30F7-8236-E445-7AEDA796D3DD}"/>
                    </a:ext>
                  </a:extLst>
                </xdr:cNvPr>
                <xdr:cNvPicPr>
                  <a:picLocks noChangeAspect="1" noChangeArrowheads="1"/>
                </xdr:cNvPicPr>
              </xdr:nvPicPr>
              <xdr:blipFill>
                <a:blip xmlns:r="http://schemas.openxmlformats.org/officeDocument/2006/relationships" r:embed="rId4" cstate="print">
                  <a:alphaModFix/>
                  <a:extLst>
                    <a:ext uri="{28A0092B-C50C-407E-A947-70E740481C1C}">
                      <a14:useLocalDpi xmlns:a14="http://schemas.microsoft.com/office/drawing/2010/main" val="0"/>
                    </a:ext>
                  </a:extLst>
                </a:blip>
                <a:srcRect/>
                <a:stretch>
                  <a:fillRect/>
                </a:stretch>
              </xdr:blipFill>
              <xdr:spPr bwMode="auto">
                <a:xfrm>
                  <a:off x="2163693" y="30823"/>
                  <a:ext cx="214188" cy="2260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3" name="TextBox 62">
                  <a:hlinkClick xmlns:r="http://schemas.openxmlformats.org/officeDocument/2006/relationships" r:id="rId3"/>
                  <a:extLst>
                    <a:ext uri="{FF2B5EF4-FFF2-40B4-BE49-F238E27FC236}">
                      <a16:creationId xmlns:a16="http://schemas.microsoft.com/office/drawing/2014/main" id="{42BE11DE-228E-11EF-770E-8833A64E556C}"/>
                    </a:ext>
                  </a:extLst>
                </xdr:cNvPr>
                <xdr:cNvSpPr txBox="1"/>
              </xdr:nvSpPr>
              <xdr:spPr>
                <a:xfrm>
                  <a:off x="2369194" y="17046"/>
                  <a:ext cx="846446" cy="25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US" sz="900" b="1">
                      <a:solidFill>
                        <a:schemeClr val="bg1"/>
                      </a:solidFill>
                    </a:rPr>
                    <a:t>DASHBOARD</a:t>
                  </a:r>
                </a:p>
              </xdr:txBody>
            </xdr:sp>
            <xdr:pic>
              <xdr:nvPicPr>
                <xdr:cNvPr id="64" name="Picture 63">
                  <a:hlinkClick xmlns:r="http://schemas.openxmlformats.org/officeDocument/2006/relationships" r:id="rId5"/>
                  <a:extLst>
                    <a:ext uri="{FF2B5EF4-FFF2-40B4-BE49-F238E27FC236}">
                      <a16:creationId xmlns:a16="http://schemas.microsoft.com/office/drawing/2014/main" id="{3CF5AAC6-F5C5-E7BD-0C52-1DA6CB6FE6EE}"/>
                    </a:ext>
                  </a:extLst>
                </xdr:cNvPr>
                <xdr:cNvPicPr>
                  <a:picLocks noChangeAspect="1" noChangeArrowheads="1"/>
                </xdr:cNvPicPr>
              </xdr:nvPicPr>
              <xdr:blipFill>
                <a:blip xmlns:r="http://schemas.openxmlformats.org/officeDocument/2006/relationships" r:embed="rId6" cstate="print">
                  <a:alphaModFix/>
                  <a:extLst>
                    <a:ext uri="{28A0092B-C50C-407E-A947-70E740481C1C}">
                      <a14:useLocalDpi xmlns:a14="http://schemas.microsoft.com/office/drawing/2010/main" val="0"/>
                    </a:ext>
                  </a:extLst>
                </a:blip>
                <a:srcRect/>
                <a:stretch>
                  <a:fillRect/>
                </a:stretch>
              </xdr:blipFill>
              <xdr:spPr bwMode="auto">
                <a:xfrm>
                  <a:off x="8461655" y="433462"/>
                  <a:ext cx="214188" cy="20819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5" name="TextBox 64">
                  <a:hlinkClick xmlns:r="http://schemas.openxmlformats.org/officeDocument/2006/relationships" r:id="rId5"/>
                  <a:extLst>
                    <a:ext uri="{FF2B5EF4-FFF2-40B4-BE49-F238E27FC236}">
                      <a16:creationId xmlns:a16="http://schemas.microsoft.com/office/drawing/2014/main" id="{AA0464E1-078F-6248-949E-AA9BBE6D9F7F}"/>
                    </a:ext>
                  </a:extLst>
                </xdr:cNvPr>
                <xdr:cNvSpPr txBox="1"/>
              </xdr:nvSpPr>
              <xdr:spPr>
                <a:xfrm>
                  <a:off x="8647283" y="413913"/>
                  <a:ext cx="56836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REPORTS</a:t>
                  </a:r>
                </a:p>
              </xdr:txBody>
            </xdr:sp>
            <xdr:pic>
              <xdr:nvPicPr>
                <xdr:cNvPr id="66" name="Picture 65">
                  <a:hlinkClick xmlns:r="http://schemas.openxmlformats.org/officeDocument/2006/relationships" r:id="rId7"/>
                  <a:extLst>
                    <a:ext uri="{FF2B5EF4-FFF2-40B4-BE49-F238E27FC236}">
                      <a16:creationId xmlns:a16="http://schemas.microsoft.com/office/drawing/2014/main" id="{253F275C-B747-6AE2-02A1-905F046A4C93}"/>
                    </a:ext>
                  </a:extLst>
                </xdr:cNvPr>
                <xdr:cNvPicPr>
                  <a:picLocks noChangeAspect="1"/>
                </xdr:cNvPicPr>
              </xdr:nvPicPr>
              <xdr:blipFill>
                <a:blip xmlns:r="http://schemas.openxmlformats.org/officeDocument/2006/relationships" r:embed="rId8" cstate="print">
                  <a:alphaModFix/>
                  <a:extLst>
                    <a:ext uri="{28A0092B-C50C-407E-A947-70E740481C1C}">
                      <a14:useLocalDpi xmlns:a14="http://schemas.microsoft.com/office/drawing/2010/main" val="0"/>
                    </a:ext>
                  </a:extLst>
                </a:blip>
                <a:stretch>
                  <a:fillRect/>
                </a:stretch>
              </xdr:blipFill>
              <xdr:spPr>
                <a:xfrm>
                  <a:off x="6903860" y="19549"/>
                  <a:ext cx="214187" cy="248554"/>
                </a:xfrm>
                <a:prstGeom prst="rect">
                  <a:avLst/>
                </a:prstGeom>
              </xdr:spPr>
            </xdr:pic>
            <xdr:sp macro="" textlink="">
              <xdr:nvSpPr>
                <xdr:cNvPr id="67" name="TextBox 66">
                  <a:hlinkClick xmlns:r="http://schemas.openxmlformats.org/officeDocument/2006/relationships" r:id="rId7"/>
                  <a:extLst>
                    <a:ext uri="{FF2B5EF4-FFF2-40B4-BE49-F238E27FC236}">
                      <a16:creationId xmlns:a16="http://schemas.microsoft.com/office/drawing/2014/main" id="{0FB303F6-617C-BCC0-DD71-8AD08ED4323B}"/>
                    </a:ext>
                  </a:extLst>
                </xdr:cNvPr>
                <xdr:cNvSpPr txBox="1"/>
              </xdr:nvSpPr>
              <xdr:spPr>
                <a:xfrm>
                  <a:off x="7099062" y="0"/>
                  <a:ext cx="67589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MORTGAGE</a:t>
                  </a:r>
                </a:p>
              </xdr:txBody>
            </xdr:sp>
            <xdr:sp macro="" textlink="">
              <xdr:nvSpPr>
                <xdr:cNvPr id="68" name="TextBox 67">
                  <a:hlinkClick xmlns:r="http://schemas.openxmlformats.org/officeDocument/2006/relationships" r:id="rId9"/>
                  <a:extLst>
                    <a:ext uri="{FF2B5EF4-FFF2-40B4-BE49-F238E27FC236}">
                      <a16:creationId xmlns:a16="http://schemas.microsoft.com/office/drawing/2014/main" id="{869FAC5A-245E-F4D0-B7EA-32D3088A6ABE}"/>
                    </a:ext>
                  </a:extLst>
                </xdr:cNvPr>
                <xdr:cNvSpPr txBox="1"/>
              </xdr:nvSpPr>
              <xdr:spPr>
                <a:xfrm>
                  <a:off x="6375474" y="0"/>
                  <a:ext cx="381400"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DEBT</a:t>
                  </a:r>
                </a:p>
              </xdr:txBody>
            </xdr:sp>
            <xdr:pic>
              <xdr:nvPicPr>
                <xdr:cNvPr id="69" name="Picture 68">
                  <a:hlinkClick xmlns:r="http://schemas.openxmlformats.org/officeDocument/2006/relationships" r:id="rId9"/>
                  <a:extLst>
                    <a:ext uri="{FF2B5EF4-FFF2-40B4-BE49-F238E27FC236}">
                      <a16:creationId xmlns:a16="http://schemas.microsoft.com/office/drawing/2014/main" id="{238EAD33-7C71-478B-6209-BA23F4F3813F}"/>
                    </a:ext>
                  </a:extLst>
                </xdr:cNvPr>
                <xdr:cNvPicPr>
                  <a:picLocks noChangeAspect="1"/>
                </xdr:cNvPicPr>
              </xdr:nvPicPr>
              <xdr:blipFill>
                <a:blip xmlns:r="http://schemas.openxmlformats.org/officeDocument/2006/relationships" r:embed="rId10" cstate="print">
                  <a:alphaModFix/>
                  <a:extLst>
                    <a:ext uri="{28A0092B-C50C-407E-A947-70E740481C1C}">
                      <a14:useLocalDpi xmlns:a14="http://schemas.microsoft.com/office/drawing/2010/main" val="0"/>
                    </a:ext>
                  </a:extLst>
                </a:blip>
                <a:stretch>
                  <a:fillRect/>
                </a:stretch>
              </xdr:blipFill>
              <xdr:spPr>
                <a:xfrm>
                  <a:off x="6158378" y="19549"/>
                  <a:ext cx="214188" cy="248554"/>
                </a:xfrm>
                <a:prstGeom prst="rect">
                  <a:avLst/>
                </a:prstGeom>
              </xdr:spPr>
            </xdr:pic>
            <xdr:sp macro="" textlink="">
              <xdr:nvSpPr>
                <xdr:cNvPr id="70" name="TextBox 69">
                  <a:hlinkClick xmlns:r="http://schemas.openxmlformats.org/officeDocument/2006/relationships" r:id="rId11"/>
                  <a:extLst>
                    <a:ext uri="{FF2B5EF4-FFF2-40B4-BE49-F238E27FC236}">
                      <a16:creationId xmlns:a16="http://schemas.microsoft.com/office/drawing/2014/main" id="{FC18C3F7-66EF-FC4C-53C2-27EBE43ADEB8}"/>
                    </a:ext>
                  </a:extLst>
                </xdr:cNvPr>
                <xdr:cNvSpPr txBox="1"/>
              </xdr:nvSpPr>
              <xdr:spPr>
                <a:xfrm>
                  <a:off x="5370816" y="37659"/>
                  <a:ext cx="64057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FORECASTS</a:t>
                  </a:r>
                </a:p>
              </xdr:txBody>
            </xdr:sp>
            <xdr:sp macro="" textlink="">
              <xdr:nvSpPr>
                <xdr:cNvPr id="71" name="TextBox 70">
                  <a:hlinkClick xmlns:r="http://schemas.openxmlformats.org/officeDocument/2006/relationships" r:id="rId12"/>
                  <a:extLst>
                    <a:ext uri="{FF2B5EF4-FFF2-40B4-BE49-F238E27FC236}">
                      <a16:creationId xmlns:a16="http://schemas.microsoft.com/office/drawing/2014/main" id="{85D017B8-E1DB-E904-33F8-8D534ABD4511}"/>
                    </a:ext>
                  </a:extLst>
                </xdr:cNvPr>
                <xdr:cNvSpPr txBox="1"/>
              </xdr:nvSpPr>
              <xdr:spPr>
                <a:xfrm>
                  <a:off x="8104032" y="0"/>
                  <a:ext cx="7732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a:t>
                  </a:r>
                  <a:r>
                    <a:rPr lang="en-US" sz="900" b="1" baseline="0">
                      <a:solidFill>
                        <a:schemeClr val="bg1"/>
                      </a:solidFill>
                    </a:rPr>
                    <a:t> (M)</a:t>
                  </a:r>
                  <a:endParaRPr lang="en-US" sz="900" b="1">
                    <a:solidFill>
                      <a:schemeClr val="bg1"/>
                    </a:solidFill>
                  </a:endParaRPr>
                </a:p>
              </xdr:txBody>
            </xdr:sp>
            <xdr:pic>
              <xdr:nvPicPr>
                <xdr:cNvPr id="72" name="Picture 71">
                  <a:hlinkClick xmlns:r="http://schemas.openxmlformats.org/officeDocument/2006/relationships" r:id="rId12"/>
                  <a:extLst>
                    <a:ext uri="{FF2B5EF4-FFF2-40B4-BE49-F238E27FC236}">
                      <a16:creationId xmlns:a16="http://schemas.microsoft.com/office/drawing/2014/main" id="{0419A036-4A35-E574-4315-4CB2B188B295}"/>
                    </a:ext>
                  </a:extLst>
                </xdr:cNvPr>
                <xdr:cNvPicPr>
                  <a:picLocks noChangeAspect="1"/>
                </xdr:cNvPicPr>
              </xdr:nvPicPr>
              <xdr:blipFill>
                <a:blip xmlns:r="http://schemas.openxmlformats.org/officeDocument/2006/relationships" r:embed="rId13" cstate="print">
                  <a:alphaModFix/>
                  <a:extLst>
                    <a:ext uri="{28A0092B-C50C-407E-A947-70E740481C1C}">
                      <a14:useLocalDpi xmlns:a14="http://schemas.microsoft.com/office/drawing/2010/main" val="0"/>
                    </a:ext>
                  </a:extLst>
                </a:blip>
                <a:stretch>
                  <a:fillRect/>
                </a:stretch>
              </xdr:blipFill>
              <xdr:spPr>
                <a:xfrm>
                  <a:off x="7921943" y="19549"/>
                  <a:ext cx="214188" cy="248554"/>
                </a:xfrm>
                <a:prstGeom prst="rect">
                  <a:avLst/>
                </a:prstGeom>
              </xdr:spPr>
            </xdr:pic>
            <xdr:sp macro="" textlink="">
              <xdr:nvSpPr>
                <xdr:cNvPr id="73" name="TextBox 72">
                  <a:hlinkClick xmlns:r="http://schemas.openxmlformats.org/officeDocument/2006/relationships" r:id="rId14"/>
                  <a:extLst>
                    <a:ext uri="{FF2B5EF4-FFF2-40B4-BE49-F238E27FC236}">
                      <a16:creationId xmlns:a16="http://schemas.microsoft.com/office/drawing/2014/main" id="{571FE725-12A2-F780-CF36-8FFE8C3DAEDD}"/>
                    </a:ext>
                  </a:extLst>
                </xdr:cNvPr>
                <xdr:cNvSpPr txBox="1"/>
              </xdr:nvSpPr>
              <xdr:spPr>
                <a:xfrm>
                  <a:off x="9978309" y="0"/>
                  <a:ext cx="687187"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 (Y)</a:t>
                  </a:r>
                </a:p>
              </xdr:txBody>
            </xdr:sp>
            <xdr:pic>
              <xdr:nvPicPr>
                <xdr:cNvPr id="74" name="Picture 73">
                  <a:hlinkClick xmlns:r="http://schemas.openxmlformats.org/officeDocument/2006/relationships" r:id="rId14"/>
                  <a:extLst>
                    <a:ext uri="{FF2B5EF4-FFF2-40B4-BE49-F238E27FC236}">
                      <a16:creationId xmlns:a16="http://schemas.microsoft.com/office/drawing/2014/main" id="{87D140FF-5302-ECDB-EE5D-28546AC5EEA4}"/>
                    </a:ext>
                  </a:extLst>
                </xdr:cNvPr>
                <xdr:cNvPicPr>
                  <a:picLocks noChangeAspect="1"/>
                </xdr:cNvPicPr>
              </xdr:nvPicPr>
              <xdr:blipFill>
                <a:blip xmlns:r="http://schemas.openxmlformats.org/officeDocument/2006/relationships" r:embed="rId15" cstate="print">
                  <a:alphaModFix/>
                  <a:extLst>
                    <a:ext uri="{28A0092B-C50C-407E-A947-70E740481C1C}">
                      <a14:useLocalDpi xmlns:a14="http://schemas.microsoft.com/office/drawing/2010/main" val="0"/>
                    </a:ext>
                  </a:extLst>
                </a:blip>
                <a:stretch>
                  <a:fillRect/>
                </a:stretch>
              </xdr:blipFill>
              <xdr:spPr>
                <a:xfrm>
                  <a:off x="9777770" y="19549"/>
                  <a:ext cx="214188" cy="248554"/>
                </a:xfrm>
                <a:prstGeom prst="rect">
                  <a:avLst/>
                </a:prstGeom>
              </xdr:spPr>
            </xdr:pic>
            <xdr:sp macro="" textlink="">
              <xdr:nvSpPr>
                <xdr:cNvPr id="75" name="TextBox 74">
                  <a:hlinkClick xmlns:r="http://schemas.openxmlformats.org/officeDocument/2006/relationships" r:id="rId16"/>
                  <a:extLst>
                    <a:ext uri="{FF2B5EF4-FFF2-40B4-BE49-F238E27FC236}">
                      <a16:creationId xmlns:a16="http://schemas.microsoft.com/office/drawing/2014/main" id="{4A510F3C-CF87-6373-84CC-C3E5267F1897}"/>
                    </a:ext>
                  </a:extLst>
                </xdr:cNvPr>
                <xdr:cNvSpPr txBox="1"/>
              </xdr:nvSpPr>
              <xdr:spPr>
                <a:xfrm>
                  <a:off x="9133984" y="0"/>
                  <a:ext cx="49680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VERSUS</a:t>
                  </a:r>
                </a:p>
              </xdr:txBody>
            </xdr:sp>
            <xdr:pic>
              <xdr:nvPicPr>
                <xdr:cNvPr id="76" name="Picture 75">
                  <a:hlinkClick xmlns:r="http://schemas.openxmlformats.org/officeDocument/2006/relationships" r:id="rId16"/>
                  <a:extLst>
                    <a:ext uri="{FF2B5EF4-FFF2-40B4-BE49-F238E27FC236}">
                      <a16:creationId xmlns:a16="http://schemas.microsoft.com/office/drawing/2014/main" id="{7A39FB6C-0242-E2A3-1395-003ABB17FE94}"/>
                    </a:ext>
                  </a:extLst>
                </xdr:cNvPr>
                <xdr:cNvPicPr>
                  <a:picLocks noChangeAspect="1"/>
                </xdr:cNvPicPr>
              </xdr:nvPicPr>
              <xdr:blipFill>
                <a:blip xmlns:r="http://schemas.openxmlformats.org/officeDocument/2006/relationships" r:embed="rId17" cstate="print">
                  <a:alphaModFix/>
                  <a:extLst>
                    <a:ext uri="{28A0092B-C50C-407E-A947-70E740481C1C}">
                      <a14:useLocalDpi xmlns:a14="http://schemas.microsoft.com/office/drawing/2010/main" val="0"/>
                    </a:ext>
                  </a:extLst>
                </a:blip>
                <a:stretch>
                  <a:fillRect/>
                </a:stretch>
              </xdr:blipFill>
              <xdr:spPr>
                <a:xfrm>
                  <a:off x="8938203" y="19549"/>
                  <a:ext cx="214187" cy="248554"/>
                </a:xfrm>
                <a:prstGeom prst="rect">
                  <a:avLst/>
                </a:prstGeom>
              </xdr:spPr>
            </xdr:pic>
            <xdr:sp macro="" textlink="">
              <xdr:nvSpPr>
                <xdr:cNvPr id="77" name="TextBox 76">
                  <a:hlinkClick xmlns:r="http://schemas.openxmlformats.org/officeDocument/2006/relationships" r:id="rId18"/>
                  <a:extLst>
                    <a:ext uri="{FF2B5EF4-FFF2-40B4-BE49-F238E27FC236}">
                      <a16:creationId xmlns:a16="http://schemas.microsoft.com/office/drawing/2014/main" id="{90604C13-944D-AA60-ACCB-2DC284F752BE}"/>
                    </a:ext>
                  </a:extLst>
                </xdr:cNvPr>
                <xdr:cNvSpPr txBox="1"/>
              </xdr:nvSpPr>
              <xdr:spPr>
                <a:xfrm>
                  <a:off x="3510385" y="0"/>
                  <a:ext cx="52312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REPAIRS</a:t>
                  </a:r>
                </a:p>
              </xdr:txBody>
            </xdr:sp>
            <xdr:pic>
              <xdr:nvPicPr>
                <xdr:cNvPr id="78" name="Picture 77">
                  <a:hlinkClick xmlns:r="http://schemas.openxmlformats.org/officeDocument/2006/relationships" r:id="rId18"/>
                  <a:extLst>
                    <a:ext uri="{FF2B5EF4-FFF2-40B4-BE49-F238E27FC236}">
                      <a16:creationId xmlns:a16="http://schemas.microsoft.com/office/drawing/2014/main" id="{BE93C852-B671-6C22-DA63-66F3E9D69408}"/>
                    </a:ext>
                  </a:extLst>
                </xdr:cNvPr>
                <xdr:cNvPicPr>
                  <a:picLocks noChangeAspect="1"/>
                </xdr:cNvPicPr>
              </xdr:nvPicPr>
              <xdr:blipFill>
                <a:blip xmlns:r="http://schemas.openxmlformats.org/officeDocument/2006/relationships" r:embed="rId19" cstate="print">
                  <a:alphaModFix/>
                  <a:extLst>
                    <a:ext uri="{28A0092B-C50C-407E-A947-70E740481C1C}">
                      <a14:useLocalDpi xmlns:a14="http://schemas.microsoft.com/office/drawing/2010/main" val="0"/>
                    </a:ext>
                  </a:extLst>
                </a:blip>
                <a:stretch>
                  <a:fillRect/>
                </a:stretch>
              </xdr:blipFill>
              <xdr:spPr>
                <a:xfrm>
                  <a:off x="3296296" y="28376"/>
                  <a:ext cx="214435" cy="230900"/>
                </a:xfrm>
                <a:prstGeom prst="rect">
                  <a:avLst/>
                </a:prstGeom>
              </xdr:spPr>
            </xdr:pic>
            <xdr:sp macro="" textlink="">
              <xdr:nvSpPr>
                <xdr:cNvPr id="79" name="TextBox 78">
                  <a:hlinkClick xmlns:r="http://schemas.openxmlformats.org/officeDocument/2006/relationships" r:id="rId20"/>
                  <a:extLst>
                    <a:ext uri="{FF2B5EF4-FFF2-40B4-BE49-F238E27FC236}">
                      <a16:creationId xmlns:a16="http://schemas.microsoft.com/office/drawing/2014/main" id="{9223D036-3D3C-AC77-DDB9-6E752E6E4543}"/>
                    </a:ext>
                  </a:extLst>
                </xdr:cNvPr>
                <xdr:cNvSpPr txBox="1"/>
              </xdr:nvSpPr>
              <xdr:spPr>
                <a:xfrm>
                  <a:off x="4388587" y="0"/>
                  <a:ext cx="63170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FURNITURE</a:t>
                  </a:r>
                </a:p>
              </xdr:txBody>
            </xdr:sp>
            <xdr:pic>
              <xdr:nvPicPr>
                <xdr:cNvPr id="80" name="Picture 79">
                  <a:hlinkClick xmlns:r="http://schemas.openxmlformats.org/officeDocument/2006/relationships" r:id="rId20"/>
                  <a:extLst>
                    <a:ext uri="{FF2B5EF4-FFF2-40B4-BE49-F238E27FC236}">
                      <a16:creationId xmlns:a16="http://schemas.microsoft.com/office/drawing/2014/main" id="{1F3F903C-CE14-493D-4810-A11DA1F7D3E8}"/>
                    </a:ext>
                  </a:extLst>
                </xdr:cNvPr>
                <xdr:cNvPicPr>
                  <a:picLocks noChangeAspect="1"/>
                </xdr:cNvPicPr>
              </xdr:nvPicPr>
              <xdr:blipFill>
                <a:blip xmlns:r="http://schemas.openxmlformats.org/officeDocument/2006/relationships" r:embed="rId21" cstate="print">
                  <a:alphaModFix/>
                  <a:extLst>
                    <a:ext uri="{28A0092B-C50C-407E-A947-70E740481C1C}">
                      <a14:useLocalDpi xmlns:a14="http://schemas.microsoft.com/office/drawing/2010/main" val="0"/>
                    </a:ext>
                  </a:extLst>
                </a:blip>
                <a:stretch>
                  <a:fillRect/>
                </a:stretch>
              </xdr:blipFill>
              <xdr:spPr>
                <a:xfrm>
                  <a:off x="4180491" y="28376"/>
                  <a:ext cx="214435" cy="230900"/>
                </a:xfrm>
                <a:prstGeom prst="rect">
                  <a:avLst/>
                </a:prstGeom>
              </xdr:spPr>
            </xdr:pic>
            <xdr:pic>
              <xdr:nvPicPr>
                <xdr:cNvPr id="81" name="Picture 80">
                  <a:hlinkClick xmlns:r="http://schemas.openxmlformats.org/officeDocument/2006/relationships" r:id="rId22"/>
                  <a:extLst>
                    <a:ext uri="{FF2B5EF4-FFF2-40B4-BE49-F238E27FC236}">
                      <a16:creationId xmlns:a16="http://schemas.microsoft.com/office/drawing/2014/main" id="{C772E821-B85B-ACDF-3D51-628F2F03ECF2}"/>
                    </a:ext>
                  </a:extLst>
                </xdr:cNvPr>
                <xdr:cNvPicPr>
                  <a:picLocks noChangeAspect="1"/>
                </xdr:cNvPicPr>
              </xdr:nvPicPr>
              <xdr:blipFill>
                <a:blip xmlns:r="http://schemas.openxmlformats.org/officeDocument/2006/relationships" r:embed="rId23" cstate="print">
                  <a:alphaModFix/>
                  <a:extLst>
                    <a:ext uri="{28A0092B-C50C-407E-A947-70E740481C1C}">
                      <a14:useLocalDpi xmlns:a14="http://schemas.microsoft.com/office/drawing/2010/main" val="0"/>
                    </a:ext>
                  </a:extLst>
                </a:blip>
                <a:stretch>
                  <a:fillRect/>
                </a:stretch>
              </xdr:blipFill>
              <xdr:spPr>
                <a:xfrm>
                  <a:off x="10812480" y="19549"/>
                  <a:ext cx="214188" cy="248554"/>
                </a:xfrm>
                <a:prstGeom prst="rect">
                  <a:avLst/>
                </a:prstGeom>
              </xdr:spPr>
            </xdr:pic>
            <xdr:sp macro="" textlink="">
              <xdr:nvSpPr>
                <xdr:cNvPr id="82" name="TextBox 81">
                  <a:hlinkClick xmlns:r="http://schemas.openxmlformats.org/officeDocument/2006/relationships" r:id="rId22"/>
                  <a:extLst>
                    <a:ext uri="{FF2B5EF4-FFF2-40B4-BE49-F238E27FC236}">
                      <a16:creationId xmlns:a16="http://schemas.microsoft.com/office/drawing/2014/main" id="{625D542F-882E-2DB5-3CCA-49C1485F03FC}"/>
                    </a:ext>
                  </a:extLst>
                </xdr:cNvPr>
                <xdr:cNvSpPr txBox="1"/>
              </xdr:nvSpPr>
              <xdr:spPr>
                <a:xfrm>
                  <a:off x="11008843" y="0"/>
                  <a:ext cx="40705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PEERS</a:t>
                  </a:r>
                </a:p>
              </xdr:txBody>
            </xdr:sp>
            <xdr:sp macro="" textlink="">
              <xdr:nvSpPr>
                <xdr:cNvPr id="83" name="TextBox 82">
                  <a:hlinkClick xmlns:r="http://schemas.openxmlformats.org/officeDocument/2006/relationships" r:id="rId24"/>
                  <a:extLst>
                    <a:ext uri="{FF2B5EF4-FFF2-40B4-BE49-F238E27FC236}">
                      <a16:creationId xmlns:a16="http://schemas.microsoft.com/office/drawing/2014/main" id="{BB25A411-BC06-F3B6-27D5-CE5F392506E0}"/>
                    </a:ext>
                  </a:extLst>
                </xdr:cNvPr>
                <xdr:cNvSpPr txBox="1"/>
              </xdr:nvSpPr>
              <xdr:spPr>
                <a:xfrm>
                  <a:off x="9581756" y="397481"/>
                  <a:ext cx="656781"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MAX PRICE</a:t>
                  </a:r>
                </a:p>
              </xdr:txBody>
            </xdr:sp>
            <xdr:pic>
              <xdr:nvPicPr>
                <xdr:cNvPr id="84" name="Picture 83">
                  <a:hlinkClick xmlns:r="http://schemas.openxmlformats.org/officeDocument/2006/relationships" r:id="rId24"/>
                  <a:extLst>
                    <a:ext uri="{FF2B5EF4-FFF2-40B4-BE49-F238E27FC236}">
                      <a16:creationId xmlns:a16="http://schemas.microsoft.com/office/drawing/2014/main" id="{F124E70B-8226-952B-AAEF-ADDA8A755962}"/>
                    </a:ext>
                  </a:extLst>
                </xdr:cNvPr>
                <xdr:cNvPicPr>
                  <a:picLocks noChangeAspect="1"/>
                </xdr:cNvPicPr>
              </xdr:nvPicPr>
              <xdr:blipFill>
                <a:blip xmlns:r="http://schemas.openxmlformats.org/officeDocument/2006/relationships" r:embed="rId25" cstate="print">
                  <a:alphaModFix/>
                  <a:extLst>
                    <a:ext uri="{28A0092B-C50C-407E-A947-70E740481C1C}">
                      <a14:useLocalDpi xmlns:a14="http://schemas.microsoft.com/office/drawing/2010/main" val="0"/>
                    </a:ext>
                  </a:extLst>
                </a:blip>
                <a:stretch>
                  <a:fillRect/>
                </a:stretch>
              </xdr:blipFill>
              <xdr:spPr>
                <a:xfrm>
                  <a:off x="9433997" y="425857"/>
                  <a:ext cx="214435" cy="230900"/>
                </a:xfrm>
                <a:prstGeom prst="rect">
                  <a:avLst/>
                </a:prstGeom>
              </xdr:spPr>
            </xdr:pic>
            <xdr:sp macro="" textlink="">
              <xdr:nvSpPr>
                <xdr:cNvPr id="85" name="TextBox 84">
                  <a:hlinkClick xmlns:r="http://schemas.openxmlformats.org/officeDocument/2006/relationships" r:id="rId26"/>
                  <a:extLst>
                    <a:ext uri="{FF2B5EF4-FFF2-40B4-BE49-F238E27FC236}">
                      <a16:creationId xmlns:a16="http://schemas.microsoft.com/office/drawing/2014/main" id="{CB39B642-32D5-3DE0-00D2-AA512CF15673}"/>
                    </a:ext>
                  </a:extLst>
                </xdr:cNvPr>
                <xdr:cNvSpPr txBox="1"/>
              </xdr:nvSpPr>
              <xdr:spPr>
                <a:xfrm>
                  <a:off x="7733272" y="389861"/>
                  <a:ext cx="6384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SCENARIOS</a:t>
                  </a:r>
                </a:p>
              </xdr:txBody>
            </xdr:sp>
            <xdr:pic>
              <xdr:nvPicPr>
                <xdr:cNvPr id="86" name="Picture 85">
                  <a:hlinkClick xmlns:r="http://schemas.openxmlformats.org/officeDocument/2006/relationships" r:id="rId26"/>
                  <a:extLst>
                    <a:ext uri="{FF2B5EF4-FFF2-40B4-BE49-F238E27FC236}">
                      <a16:creationId xmlns:a16="http://schemas.microsoft.com/office/drawing/2014/main" id="{44BDB343-5AFB-DDAC-A2A8-9385FB39E7D1}"/>
                    </a:ext>
                  </a:extLst>
                </xdr:cNvPr>
                <xdr:cNvPicPr>
                  <a:picLocks noChangeAspect="1"/>
                </xdr:cNvPicPr>
              </xdr:nvPicPr>
              <xdr:blipFill>
                <a:blip xmlns:r="http://schemas.openxmlformats.org/officeDocument/2006/relationships" r:embed="rId27" cstate="print">
                  <a:alphaModFix/>
                  <a:extLst>
                    <a:ext uri="{28A0092B-C50C-407E-A947-70E740481C1C}">
                      <a14:useLocalDpi xmlns:a14="http://schemas.microsoft.com/office/drawing/2010/main" val="0"/>
                    </a:ext>
                  </a:extLst>
                </a:blip>
                <a:stretch>
                  <a:fillRect/>
                </a:stretch>
              </xdr:blipFill>
              <xdr:spPr>
                <a:xfrm>
                  <a:off x="7536090" y="418237"/>
                  <a:ext cx="214435" cy="230900"/>
                </a:xfrm>
                <a:prstGeom prst="rect">
                  <a:avLst/>
                </a:prstGeom>
              </xdr:spPr>
            </xdr:pic>
            <xdr:sp macro="" textlink="">
              <xdr:nvSpPr>
                <xdr:cNvPr id="87" name="TextBox 86">
                  <a:hlinkClick xmlns:r="http://schemas.openxmlformats.org/officeDocument/2006/relationships" r:id="rId28"/>
                  <a:extLst>
                    <a:ext uri="{FF2B5EF4-FFF2-40B4-BE49-F238E27FC236}">
                      <a16:creationId xmlns:a16="http://schemas.microsoft.com/office/drawing/2014/main" id="{B9D9EA37-7B60-5316-058F-62BCBC875783}"/>
                    </a:ext>
                  </a:extLst>
                </xdr:cNvPr>
                <xdr:cNvSpPr txBox="1"/>
              </xdr:nvSpPr>
              <xdr:spPr>
                <a:xfrm>
                  <a:off x="11757467" y="49286"/>
                  <a:ext cx="110218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MARKET RESEARCH</a:t>
                  </a:r>
                </a:p>
              </xdr:txBody>
            </xdr:sp>
            <xdr:pic>
              <xdr:nvPicPr>
                <xdr:cNvPr id="88" name="Picture 87" descr="A white and brown hourglass&#10;&#10;AI-generated content may be incorrect.">
                  <a:hlinkClick xmlns:r="http://schemas.openxmlformats.org/officeDocument/2006/relationships" r:id="rId28"/>
                  <a:extLst>
                    <a:ext uri="{FF2B5EF4-FFF2-40B4-BE49-F238E27FC236}">
                      <a16:creationId xmlns:a16="http://schemas.microsoft.com/office/drawing/2014/main" id="{BF676899-8EDC-70C0-1C78-3FCD171FB7C0}"/>
                    </a:ext>
                  </a:extLst>
                </xdr:cNvPr>
                <xdr:cNvPicPr>
                  <a:picLocks noChangeAspect="1"/>
                </xdr:cNvPicPr>
              </xdr:nvPicPr>
              <xdr:blipFill>
                <a:blip xmlns:r="http://schemas.openxmlformats.org/officeDocument/2006/relationships" r:embed="rId29" cstate="print">
                  <a:alphaModFix/>
                  <a:extLst>
                    <a:ext uri="{28A0092B-C50C-407E-A947-70E740481C1C}">
                      <a14:useLocalDpi xmlns:a14="http://schemas.microsoft.com/office/drawing/2010/main" val="0"/>
                    </a:ext>
                  </a:extLst>
                </a:blip>
                <a:stretch>
                  <a:fillRect/>
                </a:stretch>
              </xdr:blipFill>
              <xdr:spPr>
                <a:xfrm>
                  <a:off x="11563464" y="33893"/>
                  <a:ext cx="235575" cy="261687"/>
                </a:xfrm>
                <a:prstGeom prst="rect">
                  <a:avLst/>
                </a:prstGeom>
              </xdr:spPr>
            </xdr:pic>
            <xdr:pic>
              <xdr:nvPicPr>
                <xdr:cNvPr id="89" name="Picture 88">
                  <a:hlinkClick xmlns:r="http://schemas.openxmlformats.org/officeDocument/2006/relationships" r:id="rId30"/>
                  <a:extLst>
                    <a:ext uri="{FF2B5EF4-FFF2-40B4-BE49-F238E27FC236}">
                      <a16:creationId xmlns:a16="http://schemas.microsoft.com/office/drawing/2014/main" id="{5754E06E-CCCE-F8C4-A429-7EE9B881B668}"/>
                    </a:ext>
                  </a:extLst>
                </xdr:cNvPr>
                <xdr:cNvPicPr>
                  <a:picLocks noChangeAspect="1" noChangeArrowheads="1"/>
                </xdr:cNvPicPr>
              </xdr:nvPicPr>
              <xdr:blipFill>
                <a:blip xmlns:r="http://schemas.openxmlformats.org/officeDocument/2006/relationships" r:embed="rId3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33032" y="384834"/>
                  <a:ext cx="261600" cy="33288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0" name="TextBox 89">
                  <a:hlinkClick xmlns:r="http://schemas.openxmlformats.org/officeDocument/2006/relationships" r:id="rId30"/>
                  <a:extLst>
                    <a:ext uri="{FF2B5EF4-FFF2-40B4-BE49-F238E27FC236}">
                      <a16:creationId xmlns:a16="http://schemas.microsoft.com/office/drawing/2014/main" id="{F62A5298-FEAB-3308-1529-E42ECA30F1B1}"/>
                    </a:ext>
                  </a:extLst>
                </xdr:cNvPr>
                <xdr:cNvSpPr txBox="1"/>
              </xdr:nvSpPr>
              <xdr:spPr>
                <a:xfrm>
                  <a:off x="3637195" y="315564"/>
                  <a:ext cx="914586" cy="433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BALANCE SHEET</a:t>
                  </a:r>
                </a:p>
                <a:p>
                  <a:pPr algn="ctr"/>
                  <a:r>
                    <a:rPr lang="en-US" sz="900" b="1">
                      <a:solidFill>
                        <a:schemeClr val="bg1"/>
                      </a:solidFill>
                    </a:rPr>
                    <a:t>SUMMARY</a:t>
                  </a:r>
                </a:p>
              </xdr:txBody>
            </xdr:sp>
            <xdr:pic>
              <xdr:nvPicPr>
                <xdr:cNvPr id="91" name="Picture 90">
                  <a:hlinkClick xmlns:r="http://schemas.openxmlformats.org/officeDocument/2006/relationships" r:id="rId32"/>
                  <a:extLst>
                    <a:ext uri="{FF2B5EF4-FFF2-40B4-BE49-F238E27FC236}">
                      <a16:creationId xmlns:a16="http://schemas.microsoft.com/office/drawing/2014/main" id="{B19E52DC-019E-B143-61DE-8E807E700B10}"/>
                    </a:ext>
                  </a:extLst>
                </xdr:cNvPr>
                <xdr:cNvPicPr>
                  <a:picLocks noChangeAspect="1" noChangeArrowheads="1"/>
                </xdr:cNvPicPr>
              </xdr:nvPicPr>
              <xdr:blipFill>
                <a:blip xmlns:r="http://schemas.openxmlformats.org/officeDocument/2006/relationships" r:embed="rId33" cstate="print">
                  <a:clrChange>
                    <a:clrFrom>
                      <a:srgbClr val="F8F8F8"/>
                    </a:clrFrom>
                    <a:clrTo>
                      <a:srgbClr val="F8F8F8">
                        <a:alpha val="0"/>
                      </a:srgbClr>
                    </a:clrTo>
                  </a:clrChange>
                  <a:extLst>
                    <a:ext uri="{28A0092B-C50C-407E-A947-70E740481C1C}">
                      <a14:useLocalDpi xmlns:a14="http://schemas.microsoft.com/office/drawing/2010/main" val="0"/>
                    </a:ext>
                  </a:extLst>
                </a:blip>
                <a:srcRect/>
                <a:stretch>
                  <a:fillRect/>
                </a:stretch>
              </xdr:blipFill>
              <xdr:spPr bwMode="auto">
                <a:xfrm>
                  <a:off x="4602713" y="384834"/>
                  <a:ext cx="326621" cy="3113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2" name="TextBox 91">
                  <a:hlinkClick xmlns:r="http://schemas.openxmlformats.org/officeDocument/2006/relationships" r:id="rId32"/>
                  <a:extLst>
                    <a:ext uri="{FF2B5EF4-FFF2-40B4-BE49-F238E27FC236}">
                      <a16:creationId xmlns:a16="http://schemas.microsoft.com/office/drawing/2014/main" id="{BD442370-EBC1-5F55-BD41-B89B3A070F69}"/>
                    </a:ext>
                  </a:extLst>
                </xdr:cNvPr>
                <xdr:cNvSpPr txBox="1"/>
              </xdr:nvSpPr>
              <xdr:spPr>
                <a:xfrm>
                  <a:off x="4880678" y="423317"/>
                  <a:ext cx="56334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ASSETS</a:t>
                  </a:r>
                </a:p>
              </xdr:txBody>
            </xdr:sp>
            <xdr:pic>
              <xdr:nvPicPr>
                <xdr:cNvPr id="93" name="Picture 92">
                  <a:hlinkClick xmlns:r="http://schemas.openxmlformats.org/officeDocument/2006/relationships" r:id="rId34"/>
                  <a:extLst>
                    <a:ext uri="{FF2B5EF4-FFF2-40B4-BE49-F238E27FC236}">
                      <a16:creationId xmlns:a16="http://schemas.microsoft.com/office/drawing/2014/main" id="{8BD16182-7B1E-817F-83BD-714EBFD9919F}"/>
                    </a:ext>
                  </a:extLst>
                </xdr:cNvPr>
                <xdr:cNvPicPr>
                  <a:picLocks noChangeAspect="1" noChangeArrowheads="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35903" y="354046"/>
                  <a:ext cx="278234" cy="3540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4" name="TextBox 93">
                  <a:hlinkClick xmlns:r="http://schemas.openxmlformats.org/officeDocument/2006/relationships" r:id="rId34"/>
                  <a:extLst>
                    <a:ext uri="{FF2B5EF4-FFF2-40B4-BE49-F238E27FC236}">
                      <a16:creationId xmlns:a16="http://schemas.microsoft.com/office/drawing/2014/main" id="{BD9CBDFA-AB00-7F76-B01F-D16AB42231C7}"/>
                    </a:ext>
                  </a:extLst>
                </xdr:cNvPr>
                <xdr:cNvSpPr txBox="1"/>
              </xdr:nvSpPr>
              <xdr:spPr>
                <a:xfrm>
                  <a:off x="5717678" y="431014"/>
                  <a:ext cx="750091"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LIABILITIES</a:t>
                  </a:r>
                </a:p>
              </xdr:txBody>
            </xdr:sp>
            <xdr:pic>
              <xdr:nvPicPr>
                <xdr:cNvPr id="95" name="Picture 94">
                  <a:hlinkClick xmlns:r="http://schemas.openxmlformats.org/officeDocument/2006/relationships" r:id="rId36"/>
                  <a:extLst>
                    <a:ext uri="{FF2B5EF4-FFF2-40B4-BE49-F238E27FC236}">
                      <a16:creationId xmlns:a16="http://schemas.microsoft.com/office/drawing/2014/main" id="{170550D1-A95A-921E-E1BC-6801EB6E5075}"/>
                    </a:ext>
                  </a:extLst>
                </xdr:cNvPr>
                <xdr:cNvPicPr>
                  <a:picLocks noChangeAspect="1"/>
                </xdr:cNvPicPr>
              </xdr:nvPicPr>
              <xdr:blipFill>
                <a:blip xmlns:r="http://schemas.openxmlformats.org/officeDocument/2006/relationships" r:embed="rId37">
                  <a:clrChange>
                    <a:clrFrom>
                      <a:srgbClr val="FFFFFF"/>
                    </a:clrFrom>
                    <a:clrTo>
                      <a:srgbClr val="FFFFFF">
                        <a:alpha val="0"/>
                      </a:srgbClr>
                    </a:clrTo>
                  </a:clrChange>
                </a:blip>
                <a:stretch>
                  <a:fillRect/>
                </a:stretch>
              </xdr:blipFill>
              <xdr:spPr>
                <a:xfrm>
                  <a:off x="6454424" y="361268"/>
                  <a:ext cx="368693" cy="354523"/>
                </a:xfrm>
                <a:prstGeom prst="rect">
                  <a:avLst/>
                </a:prstGeom>
              </xdr:spPr>
            </xdr:pic>
            <xdr:sp macro="" textlink="">
              <xdr:nvSpPr>
                <xdr:cNvPr id="96" name="TextBox 95">
                  <a:hlinkClick xmlns:r="http://schemas.openxmlformats.org/officeDocument/2006/relationships" r:id="rId36"/>
                  <a:extLst>
                    <a:ext uri="{FF2B5EF4-FFF2-40B4-BE49-F238E27FC236}">
                      <a16:creationId xmlns:a16="http://schemas.microsoft.com/office/drawing/2014/main" id="{52FA0B94-C351-0A04-8CE9-FF00453C8E9C}"/>
                    </a:ext>
                  </a:extLst>
                </xdr:cNvPr>
                <xdr:cNvSpPr txBox="1"/>
              </xdr:nvSpPr>
              <xdr:spPr>
                <a:xfrm>
                  <a:off x="6742924" y="369440"/>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EDIT</a:t>
                  </a:r>
                </a:p>
                <a:p>
                  <a:r>
                    <a:rPr lang="en-US" sz="900" b="1">
                      <a:solidFill>
                        <a:schemeClr val="bg1"/>
                      </a:solidFill>
                    </a:rPr>
                    <a:t>CATEGORIES</a:t>
                  </a:r>
                </a:p>
              </xdr:txBody>
            </xdr:sp>
            <xdr:grpSp>
              <xdr:nvGrpSpPr>
                <xdr:cNvPr id="97" name="Group 96">
                  <a:hlinkClick xmlns:r="http://schemas.openxmlformats.org/officeDocument/2006/relationships" r:id="rId38"/>
                  <a:extLst>
                    <a:ext uri="{FF2B5EF4-FFF2-40B4-BE49-F238E27FC236}">
                      <a16:creationId xmlns:a16="http://schemas.microsoft.com/office/drawing/2014/main" id="{406AE8F8-3C37-E822-3215-00019B8B6D92}"/>
                    </a:ext>
                  </a:extLst>
                </xdr:cNvPr>
                <xdr:cNvGrpSpPr/>
              </xdr:nvGrpSpPr>
              <xdr:grpSpPr>
                <a:xfrm>
                  <a:off x="10231249" y="237461"/>
                  <a:ext cx="1281586" cy="502920"/>
                  <a:chOff x="11732389" y="237461"/>
                  <a:chExt cx="1281586" cy="502920"/>
                </a:xfrm>
              </xdr:grpSpPr>
              <xdr:pic>
                <xdr:nvPicPr>
                  <xdr:cNvPr id="98" name="Picture 97">
                    <a:hlinkClick xmlns:r="http://schemas.openxmlformats.org/officeDocument/2006/relationships" r:id="rId39"/>
                    <a:extLst>
                      <a:ext uri="{FF2B5EF4-FFF2-40B4-BE49-F238E27FC236}">
                        <a16:creationId xmlns:a16="http://schemas.microsoft.com/office/drawing/2014/main" id="{79A41CE2-4DCE-2768-89F6-B6AA9CC328D7}"/>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1732389" y="237461"/>
                    <a:ext cx="502920" cy="502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9" name="TextBox 98">
                    <a:hlinkClick xmlns:r="http://schemas.openxmlformats.org/officeDocument/2006/relationships" r:id="rId39"/>
                    <a:extLst>
                      <a:ext uri="{FF2B5EF4-FFF2-40B4-BE49-F238E27FC236}">
                        <a16:creationId xmlns:a16="http://schemas.microsoft.com/office/drawing/2014/main" id="{ADA4212D-F7FD-4D72-9C1C-B13755DA9E4A}"/>
                      </a:ext>
                    </a:extLst>
                  </xdr:cNvPr>
                  <xdr:cNvSpPr txBox="1"/>
                </xdr:nvSpPr>
                <xdr:spPr>
                  <a:xfrm>
                    <a:off x="12197209" y="344142"/>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 GAME APPS</a:t>
                    </a:r>
                  </a:p>
                </xdr:txBody>
              </xdr:sp>
            </xdr:grpSp>
          </xdr:grpSp>
          <xdr:grpSp>
            <xdr:nvGrpSpPr>
              <xdr:cNvPr id="58" name="Group 57">
                <a:extLst>
                  <a:ext uri="{FF2B5EF4-FFF2-40B4-BE49-F238E27FC236}">
                    <a16:creationId xmlns:a16="http://schemas.microsoft.com/office/drawing/2014/main" id="{D9DC33C1-2CB5-996F-C46B-6F9B4703819C}"/>
                  </a:ext>
                </a:extLst>
              </xdr:cNvPr>
              <xdr:cNvGrpSpPr/>
            </xdr:nvGrpSpPr>
            <xdr:grpSpPr>
              <a:xfrm>
                <a:off x="3030070" y="313765"/>
                <a:ext cx="1219410" cy="438976"/>
                <a:chOff x="3030070" y="313765"/>
                <a:chExt cx="1219410" cy="438976"/>
              </a:xfrm>
            </xdr:grpSpPr>
            <xdr:sp macro="" textlink="">
              <xdr:nvSpPr>
                <xdr:cNvPr id="59" name="TextBox 58">
                  <a:hlinkClick xmlns:r="http://schemas.openxmlformats.org/officeDocument/2006/relationships" r:id="rId41"/>
                  <a:extLst>
                    <a:ext uri="{FF2B5EF4-FFF2-40B4-BE49-F238E27FC236}">
                      <a16:creationId xmlns:a16="http://schemas.microsoft.com/office/drawing/2014/main" id="{001108DE-0C03-B1D4-B586-BDDCB290FF42}"/>
                    </a:ext>
                  </a:extLst>
                </xdr:cNvPr>
                <xdr:cNvSpPr txBox="1"/>
              </xdr:nvSpPr>
              <xdr:spPr>
                <a:xfrm>
                  <a:off x="3307528" y="313765"/>
                  <a:ext cx="941952" cy="43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BOOK KEEPING</a:t>
                  </a:r>
                </a:p>
                <a:p>
                  <a:pPr algn="ctr"/>
                  <a:r>
                    <a:rPr lang="en-US" sz="900" b="1">
                      <a:solidFill>
                        <a:schemeClr val="bg1"/>
                      </a:solidFill>
                    </a:rPr>
                    <a:t>LEDGER</a:t>
                  </a:r>
                </a:p>
              </xdr:txBody>
            </xdr:sp>
            <xdr:pic>
              <xdr:nvPicPr>
                <xdr:cNvPr id="60" name="Picture 59">
                  <a:hlinkClick xmlns:r="http://schemas.openxmlformats.org/officeDocument/2006/relationships" r:id="rId41"/>
                  <a:extLst>
                    <a:ext uri="{FF2B5EF4-FFF2-40B4-BE49-F238E27FC236}">
                      <a16:creationId xmlns:a16="http://schemas.microsoft.com/office/drawing/2014/main" id="{1A4CAA2B-F59F-2DB7-3B18-FF30297CB937}"/>
                    </a:ext>
                  </a:extLst>
                </xdr:cNvPr>
                <xdr:cNvPicPr>
                  <a:picLocks noChangeAspect="1"/>
                </xdr:cNvPicPr>
              </xdr:nvPicPr>
              <xdr:blipFill>
                <a:blip xmlns:r="http://schemas.openxmlformats.org/officeDocument/2006/relationships" r:embed="rId4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0070" y="367554"/>
                  <a:ext cx="327770" cy="349622"/>
                </a:xfrm>
                <a:prstGeom prst="rect">
                  <a:avLst/>
                </a:prstGeom>
              </xdr:spPr>
            </xdr:pic>
          </xdr:grpSp>
        </xdr:grpSp>
        <xdr:grpSp>
          <xdr:nvGrpSpPr>
            <xdr:cNvPr id="54" name="Group 53">
              <a:extLst>
                <a:ext uri="{FF2B5EF4-FFF2-40B4-BE49-F238E27FC236}">
                  <a16:creationId xmlns:a16="http://schemas.microsoft.com/office/drawing/2014/main" id="{B20D0FB5-ECA1-0F12-7F8A-B9823F265E3F}"/>
                </a:ext>
              </a:extLst>
            </xdr:cNvPr>
            <xdr:cNvGrpSpPr/>
          </xdr:nvGrpSpPr>
          <xdr:grpSpPr>
            <a:xfrm>
              <a:off x="12626340" y="243840"/>
              <a:ext cx="1344125" cy="571500"/>
              <a:chOff x="12626340" y="243840"/>
              <a:chExt cx="1344125" cy="571500"/>
            </a:xfrm>
          </xdr:grpSpPr>
          <xdr:pic>
            <xdr:nvPicPr>
              <xdr:cNvPr id="55" name="Picture 54">
                <a:hlinkClick xmlns:r="http://schemas.openxmlformats.org/officeDocument/2006/relationships" r:id="rId43"/>
                <a:extLst>
                  <a:ext uri="{FF2B5EF4-FFF2-40B4-BE49-F238E27FC236}">
                    <a16:creationId xmlns:a16="http://schemas.microsoft.com/office/drawing/2014/main" id="{F65880FA-4AA2-5402-F1EF-EB482EC60223}"/>
                  </a:ext>
                </a:extLst>
              </xdr:cNvPr>
              <xdr:cNvPicPr>
                <a:picLocks noChangeAspect="1" noChangeArrowheads="1"/>
              </xdr:cNvPicPr>
            </xdr:nvPicPr>
            <xdr:blipFill>
              <a:blip xmlns:r="http://schemas.openxmlformats.org/officeDocument/2006/relationships" r:embed="rId4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26340" y="243840"/>
                <a:ext cx="571500" cy="571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6" name="TextBox 55">
                <a:hlinkClick xmlns:r="http://schemas.openxmlformats.org/officeDocument/2006/relationships" r:id="rId43"/>
                <a:extLst>
                  <a:ext uri="{FF2B5EF4-FFF2-40B4-BE49-F238E27FC236}">
                    <a16:creationId xmlns:a16="http://schemas.microsoft.com/office/drawing/2014/main" id="{75B42C26-40EF-1F99-E525-4B412424EB12}"/>
                  </a:ext>
                </a:extLst>
              </xdr:cNvPr>
              <xdr:cNvSpPr txBox="1"/>
            </xdr:nvSpPr>
            <xdr:spPr>
              <a:xfrm>
                <a:off x="13129260" y="327660"/>
                <a:ext cx="841205" cy="4000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TRAVEL</a:t>
                </a:r>
              </a:p>
              <a:p>
                <a:pPr algn="ctr"/>
                <a:r>
                  <a:rPr lang="en-US" sz="900" b="1">
                    <a:solidFill>
                      <a:schemeClr val="bg1"/>
                    </a:solidFill>
                  </a:rPr>
                  <a:t>SANDBOX</a:t>
                </a:r>
              </a:p>
            </xdr:txBody>
          </xdr:sp>
        </xdr:grpSp>
      </xdr:grpSp>
      <xdr:pic>
        <xdr:nvPicPr>
          <xdr:cNvPr id="52" name="Picture 51">
            <a:hlinkClick xmlns:r="http://schemas.openxmlformats.org/officeDocument/2006/relationships" r:id="rId11"/>
            <a:extLst>
              <a:ext uri="{FF2B5EF4-FFF2-40B4-BE49-F238E27FC236}">
                <a16:creationId xmlns:a16="http://schemas.microsoft.com/office/drawing/2014/main" id="{9932BADB-F494-35D4-7F0E-641501910EA3}"/>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34100" y="30480"/>
            <a:ext cx="234698" cy="246078"/>
          </a:xfrm>
          <a:prstGeom prst="rect">
            <a:avLst/>
          </a:prstGeom>
          <a:solidFill>
            <a:srgbClr val="7FA6C7"/>
          </a:solidFill>
        </xdr:spPr>
      </xdr:pic>
    </xdr:grp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0</xdr:colOff>
      <xdr:row>0</xdr:row>
      <xdr:rowOff>0</xdr:rowOff>
    </xdr:from>
    <xdr:to>
      <xdr:col>20</xdr:col>
      <xdr:colOff>533157</xdr:colOff>
      <xdr:row>3</xdr:row>
      <xdr:rowOff>7620</xdr:rowOff>
    </xdr:to>
    <xdr:grpSp>
      <xdr:nvGrpSpPr>
        <xdr:cNvPr id="50" name="Group 49">
          <a:extLst>
            <a:ext uri="{FF2B5EF4-FFF2-40B4-BE49-F238E27FC236}">
              <a16:creationId xmlns:a16="http://schemas.microsoft.com/office/drawing/2014/main" id="{7C07A05D-090A-441A-B375-BC6F8C11AD29}"/>
            </a:ext>
          </a:extLst>
        </xdr:cNvPr>
        <xdr:cNvGrpSpPr/>
      </xdr:nvGrpSpPr>
      <xdr:grpSpPr>
        <a:xfrm>
          <a:off x="1958340" y="0"/>
          <a:ext cx="11894577" cy="815340"/>
          <a:chOff x="2194560" y="0"/>
          <a:chExt cx="11894577" cy="815340"/>
        </a:xfrm>
      </xdr:grpSpPr>
      <xdr:grpSp>
        <xdr:nvGrpSpPr>
          <xdr:cNvPr id="51" name="Group 50">
            <a:extLst>
              <a:ext uri="{FF2B5EF4-FFF2-40B4-BE49-F238E27FC236}">
                <a16:creationId xmlns:a16="http://schemas.microsoft.com/office/drawing/2014/main" id="{97150DA1-1630-8480-7BF7-95B31E083BC7}"/>
              </a:ext>
            </a:extLst>
          </xdr:cNvPr>
          <xdr:cNvGrpSpPr/>
        </xdr:nvGrpSpPr>
        <xdr:grpSpPr>
          <a:xfrm>
            <a:off x="2194560" y="0"/>
            <a:ext cx="11894577" cy="815340"/>
            <a:chOff x="2194560" y="0"/>
            <a:chExt cx="11894577" cy="815340"/>
          </a:xfrm>
        </xdr:grpSpPr>
        <xdr:grpSp>
          <xdr:nvGrpSpPr>
            <xdr:cNvPr id="53" name="Group 52">
              <a:extLst>
                <a:ext uri="{FF2B5EF4-FFF2-40B4-BE49-F238E27FC236}">
                  <a16:creationId xmlns:a16="http://schemas.microsoft.com/office/drawing/2014/main" id="{E299F581-72B5-CD45-CE78-EF31EBDB8A01}"/>
                </a:ext>
              </a:extLst>
            </xdr:cNvPr>
            <xdr:cNvGrpSpPr/>
          </xdr:nvGrpSpPr>
          <xdr:grpSpPr>
            <a:xfrm>
              <a:off x="2194560" y="0"/>
              <a:ext cx="11894577" cy="773812"/>
              <a:chOff x="2160046" y="0"/>
              <a:chExt cx="11894577" cy="773812"/>
            </a:xfrm>
          </xdr:grpSpPr>
          <xdr:grpSp>
            <xdr:nvGrpSpPr>
              <xdr:cNvPr id="57" name="Group 56">
                <a:extLst>
                  <a:ext uri="{FF2B5EF4-FFF2-40B4-BE49-F238E27FC236}">
                    <a16:creationId xmlns:a16="http://schemas.microsoft.com/office/drawing/2014/main" id="{44216108-DDEC-813D-06B4-9607F3566DAB}"/>
                  </a:ext>
                </a:extLst>
              </xdr:cNvPr>
              <xdr:cNvGrpSpPr/>
            </xdr:nvGrpSpPr>
            <xdr:grpSpPr>
              <a:xfrm>
                <a:off x="2160046" y="0"/>
                <a:ext cx="11894577" cy="773812"/>
                <a:chOff x="1310640" y="0"/>
                <a:chExt cx="11549013" cy="764847"/>
              </a:xfrm>
            </xdr:grpSpPr>
            <xdr:pic>
              <xdr:nvPicPr>
                <xdr:cNvPr id="61" name="Picture 60">
                  <a:hlinkClick xmlns:r="http://schemas.openxmlformats.org/officeDocument/2006/relationships" r:id="rId1"/>
                  <a:extLst>
                    <a:ext uri="{FF2B5EF4-FFF2-40B4-BE49-F238E27FC236}">
                      <a16:creationId xmlns:a16="http://schemas.microsoft.com/office/drawing/2014/main" id="{7F409F77-F575-1198-ECA7-CB26C41CC87C}"/>
                    </a:ext>
                  </a:extLst>
                </xdr:cNvPr>
                <xdr:cNvPicPr>
                  <a:picLocks/>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rcRect/>
                <a:stretch/>
              </xdr:blipFill>
              <xdr:spPr>
                <a:xfrm>
                  <a:off x="1310640" y="46180"/>
                  <a:ext cx="499211" cy="554546"/>
                </a:xfrm>
                <a:prstGeom prst="rect">
                  <a:avLst/>
                </a:prstGeom>
              </xdr:spPr>
            </xdr:pic>
            <xdr:pic>
              <xdr:nvPicPr>
                <xdr:cNvPr id="62" name="Picture 61">
                  <a:hlinkClick xmlns:r="http://schemas.openxmlformats.org/officeDocument/2006/relationships" r:id="rId3"/>
                  <a:extLst>
                    <a:ext uri="{FF2B5EF4-FFF2-40B4-BE49-F238E27FC236}">
                      <a16:creationId xmlns:a16="http://schemas.microsoft.com/office/drawing/2014/main" id="{5BF09E7F-F838-8569-E8B7-9F892BE91B3C}"/>
                    </a:ext>
                  </a:extLst>
                </xdr:cNvPr>
                <xdr:cNvPicPr>
                  <a:picLocks noChangeAspect="1" noChangeArrowheads="1"/>
                </xdr:cNvPicPr>
              </xdr:nvPicPr>
              <xdr:blipFill>
                <a:blip xmlns:r="http://schemas.openxmlformats.org/officeDocument/2006/relationships" r:embed="rId4" cstate="print">
                  <a:alphaModFix/>
                  <a:extLst>
                    <a:ext uri="{28A0092B-C50C-407E-A947-70E740481C1C}">
                      <a14:useLocalDpi xmlns:a14="http://schemas.microsoft.com/office/drawing/2010/main" val="0"/>
                    </a:ext>
                  </a:extLst>
                </a:blip>
                <a:srcRect/>
                <a:stretch>
                  <a:fillRect/>
                </a:stretch>
              </xdr:blipFill>
              <xdr:spPr bwMode="auto">
                <a:xfrm>
                  <a:off x="2163693" y="30823"/>
                  <a:ext cx="214188" cy="2260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3" name="TextBox 62">
                  <a:hlinkClick xmlns:r="http://schemas.openxmlformats.org/officeDocument/2006/relationships" r:id="rId3"/>
                  <a:extLst>
                    <a:ext uri="{FF2B5EF4-FFF2-40B4-BE49-F238E27FC236}">
                      <a16:creationId xmlns:a16="http://schemas.microsoft.com/office/drawing/2014/main" id="{9A2302E6-2893-CF3A-48A1-665B25D1D944}"/>
                    </a:ext>
                  </a:extLst>
                </xdr:cNvPr>
                <xdr:cNvSpPr txBox="1"/>
              </xdr:nvSpPr>
              <xdr:spPr>
                <a:xfrm>
                  <a:off x="2369194" y="17046"/>
                  <a:ext cx="846446" cy="25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US" sz="900" b="1">
                      <a:solidFill>
                        <a:schemeClr val="bg1"/>
                      </a:solidFill>
                    </a:rPr>
                    <a:t>DASHBOARD</a:t>
                  </a:r>
                </a:p>
              </xdr:txBody>
            </xdr:sp>
            <xdr:pic>
              <xdr:nvPicPr>
                <xdr:cNvPr id="64" name="Picture 63">
                  <a:hlinkClick xmlns:r="http://schemas.openxmlformats.org/officeDocument/2006/relationships" r:id="rId5"/>
                  <a:extLst>
                    <a:ext uri="{FF2B5EF4-FFF2-40B4-BE49-F238E27FC236}">
                      <a16:creationId xmlns:a16="http://schemas.microsoft.com/office/drawing/2014/main" id="{D127F1B5-494B-B37D-C42F-FE0D21AF84F4}"/>
                    </a:ext>
                  </a:extLst>
                </xdr:cNvPr>
                <xdr:cNvPicPr>
                  <a:picLocks noChangeAspect="1" noChangeArrowheads="1"/>
                </xdr:cNvPicPr>
              </xdr:nvPicPr>
              <xdr:blipFill>
                <a:blip xmlns:r="http://schemas.openxmlformats.org/officeDocument/2006/relationships" r:embed="rId6" cstate="print">
                  <a:alphaModFix/>
                  <a:extLst>
                    <a:ext uri="{28A0092B-C50C-407E-A947-70E740481C1C}">
                      <a14:useLocalDpi xmlns:a14="http://schemas.microsoft.com/office/drawing/2010/main" val="0"/>
                    </a:ext>
                  </a:extLst>
                </a:blip>
                <a:srcRect/>
                <a:stretch>
                  <a:fillRect/>
                </a:stretch>
              </xdr:blipFill>
              <xdr:spPr bwMode="auto">
                <a:xfrm>
                  <a:off x="8461655" y="433462"/>
                  <a:ext cx="214188" cy="20819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5" name="TextBox 64">
                  <a:hlinkClick xmlns:r="http://schemas.openxmlformats.org/officeDocument/2006/relationships" r:id="rId5"/>
                  <a:extLst>
                    <a:ext uri="{FF2B5EF4-FFF2-40B4-BE49-F238E27FC236}">
                      <a16:creationId xmlns:a16="http://schemas.microsoft.com/office/drawing/2014/main" id="{0056687A-6163-8794-A425-330501A525BE}"/>
                    </a:ext>
                  </a:extLst>
                </xdr:cNvPr>
                <xdr:cNvSpPr txBox="1"/>
              </xdr:nvSpPr>
              <xdr:spPr>
                <a:xfrm>
                  <a:off x="8647283" y="413913"/>
                  <a:ext cx="56836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REPORTS</a:t>
                  </a:r>
                </a:p>
              </xdr:txBody>
            </xdr:sp>
            <xdr:pic>
              <xdr:nvPicPr>
                <xdr:cNvPr id="66" name="Picture 65">
                  <a:hlinkClick xmlns:r="http://schemas.openxmlformats.org/officeDocument/2006/relationships" r:id="rId7"/>
                  <a:extLst>
                    <a:ext uri="{FF2B5EF4-FFF2-40B4-BE49-F238E27FC236}">
                      <a16:creationId xmlns:a16="http://schemas.microsoft.com/office/drawing/2014/main" id="{B002850A-48E2-D2AA-D1CF-85A6DD88C045}"/>
                    </a:ext>
                  </a:extLst>
                </xdr:cNvPr>
                <xdr:cNvPicPr>
                  <a:picLocks noChangeAspect="1"/>
                </xdr:cNvPicPr>
              </xdr:nvPicPr>
              <xdr:blipFill>
                <a:blip xmlns:r="http://schemas.openxmlformats.org/officeDocument/2006/relationships" r:embed="rId8" cstate="print">
                  <a:alphaModFix/>
                  <a:extLst>
                    <a:ext uri="{28A0092B-C50C-407E-A947-70E740481C1C}">
                      <a14:useLocalDpi xmlns:a14="http://schemas.microsoft.com/office/drawing/2010/main" val="0"/>
                    </a:ext>
                  </a:extLst>
                </a:blip>
                <a:stretch>
                  <a:fillRect/>
                </a:stretch>
              </xdr:blipFill>
              <xdr:spPr>
                <a:xfrm>
                  <a:off x="6903860" y="19549"/>
                  <a:ext cx="214187" cy="248554"/>
                </a:xfrm>
                <a:prstGeom prst="rect">
                  <a:avLst/>
                </a:prstGeom>
              </xdr:spPr>
            </xdr:pic>
            <xdr:sp macro="" textlink="">
              <xdr:nvSpPr>
                <xdr:cNvPr id="67" name="TextBox 66">
                  <a:hlinkClick xmlns:r="http://schemas.openxmlformats.org/officeDocument/2006/relationships" r:id="rId7"/>
                  <a:extLst>
                    <a:ext uri="{FF2B5EF4-FFF2-40B4-BE49-F238E27FC236}">
                      <a16:creationId xmlns:a16="http://schemas.microsoft.com/office/drawing/2014/main" id="{3AA9F78B-AB75-9BF7-DF61-95855799C964}"/>
                    </a:ext>
                  </a:extLst>
                </xdr:cNvPr>
                <xdr:cNvSpPr txBox="1"/>
              </xdr:nvSpPr>
              <xdr:spPr>
                <a:xfrm>
                  <a:off x="7099062" y="0"/>
                  <a:ext cx="67589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MORTGAGE</a:t>
                  </a:r>
                </a:p>
              </xdr:txBody>
            </xdr:sp>
            <xdr:sp macro="" textlink="">
              <xdr:nvSpPr>
                <xdr:cNvPr id="68" name="TextBox 67">
                  <a:hlinkClick xmlns:r="http://schemas.openxmlformats.org/officeDocument/2006/relationships" r:id="rId9"/>
                  <a:extLst>
                    <a:ext uri="{FF2B5EF4-FFF2-40B4-BE49-F238E27FC236}">
                      <a16:creationId xmlns:a16="http://schemas.microsoft.com/office/drawing/2014/main" id="{C926D1DE-9B8E-E31E-E5AD-17886F4C4D51}"/>
                    </a:ext>
                  </a:extLst>
                </xdr:cNvPr>
                <xdr:cNvSpPr txBox="1"/>
              </xdr:nvSpPr>
              <xdr:spPr>
                <a:xfrm>
                  <a:off x="6375474" y="0"/>
                  <a:ext cx="381400"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DEBT</a:t>
                  </a:r>
                </a:p>
              </xdr:txBody>
            </xdr:sp>
            <xdr:pic>
              <xdr:nvPicPr>
                <xdr:cNvPr id="69" name="Picture 68">
                  <a:hlinkClick xmlns:r="http://schemas.openxmlformats.org/officeDocument/2006/relationships" r:id="rId9"/>
                  <a:extLst>
                    <a:ext uri="{FF2B5EF4-FFF2-40B4-BE49-F238E27FC236}">
                      <a16:creationId xmlns:a16="http://schemas.microsoft.com/office/drawing/2014/main" id="{2001E80D-BA1C-14CE-CBB8-CDACA4E36EA5}"/>
                    </a:ext>
                  </a:extLst>
                </xdr:cNvPr>
                <xdr:cNvPicPr>
                  <a:picLocks noChangeAspect="1"/>
                </xdr:cNvPicPr>
              </xdr:nvPicPr>
              <xdr:blipFill>
                <a:blip xmlns:r="http://schemas.openxmlformats.org/officeDocument/2006/relationships" r:embed="rId10" cstate="print">
                  <a:alphaModFix/>
                  <a:extLst>
                    <a:ext uri="{28A0092B-C50C-407E-A947-70E740481C1C}">
                      <a14:useLocalDpi xmlns:a14="http://schemas.microsoft.com/office/drawing/2010/main" val="0"/>
                    </a:ext>
                  </a:extLst>
                </a:blip>
                <a:stretch>
                  <a:fillRect/>
                </a:stretch>
              </xdr:blipFill>
              <xdr:spPr>
                <a:xfrm>
                  <a:off x="6158378" y="19549"/>
                  <a:ext cx="214188" cy="248554"/>
                </a:xfrm>
                <a:prstGeom prst="rect">
                  <a:avLst/>
                </a:prstGeom>
              </xdr:spPr>
            </xdr:pic>
            <xdr:sp macro="" textlink="">
              <xdr:nvSpPr>
                <xdr:cNvPr id="70" name="TextBox 69">
                  <a:hlinkClick xmlns:r="http://schemas.openxmlformats.org/officeDocument/2006/relationships" r:id="rId11"/>
                  <a:extLst>
                    <a:ext uri="{FF2B5EF4-FFF2-40B4-BE49-F238E27FC236}">
                      <a16:creationId xmlns:a16="http://schemas.microsoft.com/office/drawing/2014/main" id="{A870DEAA-5D76-0183-E580-2F3B40B36448}"/>
                    </a:ext>
                  </a:extLst>
                </xdr:cNvPr>
                <xdr:cNvSpPr txBox="1"/>
              </xdr:nvSpPr>
              <xdr:spPr>
                <a:xfrm>
                  <a:off x="5370816" y="37659"/>
                  <a:ext cx="64057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FORECASTS</a:t>
                  </a:r>
                </a:p>
              </xdr:txBody>
            </xdr:sp>
            <xdr:sp macro="" textlink="">
              <xdr:nvSpPr>
                <xdr:cNvPr id="71" name="TextBox 70">
                  <a:hlinkClick xmlns:r="http://schemas.openxmlformats.org/officeDocument/2006/relationships" r:id="rId12"/>
                  <a:extLst>
                    <a:ext uri="{FF2B5EF4-FFF2-40B4-BE49-F238E27FC236}">
                      <a16:creationId xmlns:a16="http://schemas.microsoft.com/office/drawing/2014/main" id="{1BA6D556-8040-6528-4289-F7A195D9353C}"/>
                    </a:ext>
                  </a:extLst>
                </xdr:cNvPr>
                <xdr:cNvSpPr txBox="1"/>
              </xdr:nvSpPr>
              <xdr:spPr>
                <a:xfrm>
                  <a:off x="8104032" y="0"/>
                  <a:ext cx="7732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a:t>
                  </a:r>
                  <a:r>
                    <a:rPr lang="en-US" sz="900" b="1" baseline="0">
                      <a:solidFill>
                        <a:schemeClr val="bg1"/>
                      </a:solidFill>
                    </a:rPr>
                    <a:t> (M)</a:t>
                  </a:r>
                  <a:endParaRPr lang="en-US" sz="900" b="1">
                    <a:solidFill>
                      <a:schemeClr val="bg1"/>
                    </a:solidFill>
                  </a:endParaRPr>
                </a:p>
              </xdr:txBody>
            </xdr:sp>
            <xdr:pic>
              <xdr:nvPicPr>
                <xdr:cNvPr id="72" name="Picture 71">
                  <a:hlinkClick xmlns:r="http://schemas.openxmlformats.org/officeDocument/2006/relationships" r:id="rId12"/>
                  <a:extLst>
                    <a:ext uri="{FF2B5EF4-FFF2-40B4-BE49-F238E27FC236}">
                      <a16:creationId xmlns:a16="http://schemas.microsoft.com/office/drawing/2014/main" id="{0593B8C1-1EC3-1873-B3C8-9591A138A277}"/>
                    </a:ext>
                  </a:extLst>
                </xdr:cNvPr>
                <xdr:cNvPicPr>
                  <a:picLocks noChangeAspect="1"/>
                </xdr:cNvPicPr>
              </xdr:nvPicPr>
              <xdr:blipFill>
                <a:blip xmlns:r="http://schemas.openxmlformats.org/officeDocument/2006/relationships" r:embed="rId13" cstate="print">
                  <a:alphaModFix/>
                  <a:extLst>
                    <a:ext uri="{28A0092B-C50C-407E-A947-70E740481C1C}">
                      <a14:useLocalDpi xmlns:a14="http://schemas.microsoft.com/office/drawing/2010/main" val="0"/>
                    </a:ext>
                  </a:extLst>
                </a:blip>
                <a:stretch>
                  <a:fillRect/>
                </a:stretch>
              </xdr:blipFill>
              <xdr:spPr>
                <a:xfrm>
                  <a:off x="7921943" y="19549"/>
                  <a:ext cx="214188" cy="248554"/>
                </a:xfrm>
                <a:prstGeom prst="rect">
                  <a:avLst/>
                </a:prstGeom>
              </xdr:spPr>
            </xdr:pic>
            <xdr:sp macro="" textlink="">
              <xdr:nvSpPr>
                <xdr:cNvPr id="73" name="TextBox 72">
                  <a:hlinkClick xmlns:r="http://schemas.openxmlformats.org/officeDocument/2006/relationships" r:id="rId14"/>
                  <a:extLst>
                    <a:ext uri="{FF2B5EF4-FFF2-40B4-BE49-F238E27FC236}">
                      <a16:creationId xmlns:a16="http://schemas.microsoft.com/office/drawing/2014/main" id="{57AF517E-9C39-D226-BCF5-162DEA4F9CF0}"/>
                    </a:ext>
                  </a:extLst>
                </xdr:cNvPr>
                <xdr:cNvSpPr txBox="1"/>
              </xdr:nvSpPr>
              <xdr:spPr>
                <a:xfrm>
                  <a:off x="9978309" y="0"/>
                  <a:ext cx="687187"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 (Y)</a:t>
                  </a:r>
                </a:p>
              </xdr:txBody>
            </xdr:sp>
            <xdr:pic>
              <xdr:nvPicPr>
                <xdr:cNvPr id="74" name="Picture 73">
                  <a:hlinkClick xmlns:r="http://schemas.openxmlformats.org/officeDocument/2006/relationships" r:id="rId14"/>
                  <a:extLst>
                    <a:ext uri="{FF2B5EF4-FFF2-40B4-BE49-F238E27FC236}">
                      <a16:creationId xmlns:a16="http://schemas.microsoft.com/office/drawing/2014/main" id="{5D92462B-B4A8-6C43-BA67-DD5146297E21}"/>
                    </a:ext>
                  </a:extLst>
                </xdr:cNvPr>
                <xdr:cNvPicPr>
                  <a:picLocks noChangeAspect="1"/>
                </xdr:cNvPicPr>
              </xdr:nvPicPr>
              <xdr:blipFill>
                <a:blip xmlns:r="http://schemas.openxmlformats.org/officeDocument/2006/relationships" r:embed="rId15" cstate="print">
                  <a:alphaModFix/>
                  <a:extLst>
                    <a:ext uri="{28A0092B-C50C-407E-A947-70E740481C1C}">
                      <a14:useLocalDpi xmlns:a14="http://schemas.microsoft.com/office/drawing/2010/main" val="0"/>
                    </a:ext>
                  </a:extLst>
                </a:blip>
                <a:stretch>
                  <a:fillRect/>
                </a:stretch>
              </xdr:blipFill>
              <xdr:spPr>
                <a:xfrm>
                  <a:off x="9777770" y="19549"/>
                  <a:ext cx="214188" cy="248554"/>
                </a:xfrm>
                <a:prstGeom prst="rect">
                  <a:avLst/>
                </a:prstGeom>
              </xdr:spPr>
            </xdr:pic>
            <xdr:sp macro="" textlink="">
              <xdr:nvSpPr>
                <xdr:cNvPr id="75" name="TextBox 74">
                  <a:hlinkClick xmlns:r="http://schemas.openxmlformats.org/officeDocument/2006/relationships" r:id="rId16"/>
                  <a:extLst>
                    <a:ext uri="{FF2B5EF4-FFF2-40B4-BE49-F238E27FC236}">
                      <a16:creationId xmlns:a16="http://schemas.microsoft.com/office/drawing/2014/main" id="{3BDF2220-2455-D7C2-A3F7-6E3886531BE4}"/>
                    </a:ext>
                  </a:extLst>
                </xdr:cNvPr>
                <xdr:cNvSpPr txBox="1"/>
              </xdr:nvSpPr>
              <xdr:spPr>
                <a:xfrm>
                  <a:off x="9133984" y="0"/>
                  <a:ext cx="49680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VERSUS</a:t>
                  </a:r>
                </a:p>
              </xdr:txBody>
            </xdr:sp>
            <xdr:pic>
              <xdr:nvPicPr>
                <xdr:cNvPr id="76" name="Picture 75">
                  <a:hlinkClick xmlns:r="http://schemas.openxmlformats.org/officeDocument/2006/relationships" r:id="rId16"/>
                  <a:extLst>
                    <a:ext uri="{FF2B5EF4-FFF2-40B4-BE49-F238E27FC236}">
                      <a16:creationId xmlns:a16="http://schemas.microsoft.com/office/drawing/2014/main" id="{86163144-691D-E5E8-F187-2658ACF71072}"/>
                    </a:ext>
                  </a:extLst>
                </xdr:cNvPr>
                <xdr:cNvPicPr>
                  <a:picLocks noChangeAspect="1"/>
                </xdr:cNvPicPr>
              </xdr:nvPicPr>
              <xdr:blipFill>
                <a:blip xmlns:r="http://schemas.openxmlformats.org/officeDocument/2006/relationships" r:embed="rId17" cstate="print">
                  <a:alphaModFix/>
                  <a:extLst>
                    <a:ext uri="{28A0092B-C50C-407E-A947-70E740481C1C}">
                      <a14:useLocalDpi xmlns:a14="http://schemas.microsoft.com/office/drawing/2010/main" val="0"/>
                    </a:ext>
                  </a:extLst>
                </a:blip>
                <a:stretch>
                  <a:fillRect/>
                </a:stretch>
              </xdr:blipFill>
              <xdr:spPr>
                <a:xfrm>
                  <a:off x="8938203" y="19549"/>
                  <a:ext cx="214187" cy="248554"/>
                </a:xfrm>
                <a:prstGeom prst="rect">
                  <a:avLst/>
                </a:prstGeom>
              </xdr:spPr>
            </xdr:pic>
            <xdr:sp macro="" textlink="">
              <xdr:nvSpPr>
                <xdr:cNvPr id="77" name="TextBox 76">
                  <a:hlinkClick xmlns:r="http://schemas.openxmlformats.org/officeDocument/2006/relationships" r:id="rId18"/>
                  <a:extLst>
                    <a:ext uri="{FF2B5EF4-FFF2-40B4-BE49-F238E27FC236}">
                      <a16:creationId xmlns:a16="http://schemas.microsoft.com/office/drawing/2014/main" id="{F814A4E3-7089-3B3E-B58C-07B8AD4ABEF4}"/>
                    </a:ext>
                  </a:extLst>
                </xdr:cNvPr>
                <xdr:cNvSpPr txBox="1"/>
              </xdr:nvSpPr>
              <xdr:spPr>
                <a:xfrm>
                  <a:off x="3510385" y="0"/>
                  <a:ext cx="52312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REPAIRS</a:t>
                  </a:r>
                </a:p>
              </xdr:txBody>
            </xdr:sp>
            <xdr:pic>
              <xdr:nvPicPr>
                <xdr:cNvPr id="78" name="Picture 77">
                  <a:hlinkClick xmlns:r="http://schemas.openxmlformats.org/officeDocument/2006/relationships" r:id="rId18"/>
                  <a:extLst>
                    <a:ext uri="{FF2B5EF4-FFF2-40B4-BE49-F238E27FC236}">
                      <a16:creationId xmlns:a16="http://schemas.microsoft.com/office/drawing/2014/main" id="{610BCE86-AEDA-81DD-F8C2-61033FD6BB7C}"/>
                    </a:ext>
                  </a:extLst>
                </xdr:cNvPr>
                <xdr:cNvPicPr>
                  <a:picLocks noChangeAspect="1"/>
                </xdr:cNvPicPr>
              </xdr:nvPicPr>
              <xdr:blipFill>
                <a:blip xmlns:r="http://schemas.openxmlformats.org/officeDocument/2006/relationships" r:embed="rId19" cstate="print">
                  <a:alphaModFix/>
                  <a:extLst>
                    <a:ext uri="{28A0092B-C50C-407E-A947-70E740481C1C}">
                      <a14:useLocalDpi xmlns:a14="http://schemas.microsoft.com/office/drawing/2010/main" val="0"/>
                    </a:ext>
                  </a:extLst>
                </a:blip>
                <a:stretch>
                  <a:fillRect/>
                </a:stretch>
              </xdr:blipFill>
              <xdr:spPr>
                <a:xfrm>
                  <a:off x="3296296" y="28376"/>
                  <a:ext cx="214435" cy="230900"/>
                </a:xfrm>
                <a:prstGeom prst="rect">
                  <a:avLst/>
                </a:prstGeom>
              </xdr:spPr>
            </xdr:pic>
            <xdr:sp macro="" textlink="">
              <xdr:nvSpPr>
                <xdr:cNvPr id="79" name="TextBox 78">
                  <a:hlinkClick xmlns:r="http://schemas.openxmlformats.org/officeDocument/2006/relationships" r:id="rId20"/>
                  <a:extLst>
                    <a:ext uri="{FF2B5EF4-FFF2-40B4-BE49-F238E27FC236}">
                      <a16:creationId xmlns:a16="http://schemas.microsoft.com/office/drawing/2014/main" id="{C2D431FB-EDDA-7E9A-B0D5-A9DDA996B1FD}"/>
                    </a:ext>
                  </a:extLst>
                </xdr:cNvPr>
                <xdr:cNvSpPr txBox="1"/>
              </xdr:nvSpPr>
              <xdr:spPr>
                <a:xfrm>
                  <a:off x="4388587" y="0"/>
                  <a:ext cx="63170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FURNITURE</a:t>
                  </a:r>
                </a:p>
              </xdr:txBody>
            </xdr:sp>
            <xdr:pic>
              <xdr:nvPicPr>
                <xdr:cNvPr id="80" name="Picture 79">
                  <a:hlinkClick xmlns:r="http://schemas.openxmlformats.org/officeDocument/2006/relationships" r:id="rId20"/>
                  <a:extLst>
                    <a:ext uri="{FF2B5EF4-FFF2-40B4-BE49-F238E27FC236}">
                      <a16:creationId xmlns:a16="http://schemas.microsoft.com/office/drawing/2014/main" id="{C82C0133-E19A-B6D4-6033-73AF45F186B6}"/>
                    </a:ext>
                  </a:extLst>
                </xdr:cNvPr>
                <xdr:cNvPicPr>
                  <a:picLocks noChangeAspect="1"/>
                </xdr:cNvPicPr>
              </xdr:nvPicPr>
              <xdr:blipFill>
                <a:blip xmlns:r="http://schemas.openxmlformats.org/officeDocument/2006/relationships" r:embed="rId21" cstate="print">
                  <a:alphaModFix/>
                  <a:extLst>
                    <a:ext uri="{28A0092B-C50C-407E-A947-70E740481C1C}">
                      <a14:useLocalDpi xmlns:a14="http://schemas.microsoft.com/office/drawing/2010/main" val="0"/>
                    </a:ext>
                  </a:extLst>
                </a:blip>
                <a:stretch>
                  <a:fillRect/>
                </a:stretch>
              </xdr:blipFill>
              <xdr:spPr>
                <a:xfrm>
                  <a:off x="4180491" y="28376"/>
                  <a:ext cx="214435" cy="230900"/>
                </a:xfrm>
                <a:prstGeom prst="rect">
                  <a:avLst/>
                </a:prstGeom>
              </xdr:spPr>
            </xdr:pic>
            <xdr:pic>
              <xdr:nvPicPr>
                <xdr:cNvPr id="81" name="Picture 80">
                  <a:hlinkClick xmlns:r="http://schemas.openxmlformats.org/officeDocument/2006/relationships" r:id="rId22"/>
                  <a:extLst>
                    <a:ext uri="{FF2B5EF4-FFF2-40B4-BE49-F238E27FC236}">
                      <a16:creationId xmlns:a16="http://schemas.microsoft.com/office/drawing/2014/main" id="{8E4E8C4A-00E6-DD69-3485-D60AC166D963}"/>
                    </a:ext>
                  </a:extLst>
                </xdr:cNvPr>
                <xdr:cNvPicPr>
                  <a:picLocks noChangeAspect="1"/>
                </xdr:cNvPicPr>
              </xdr:nvPicPr>
              <xdr:blipFill>
                <a:blip xmlns:r="http://schemas.openxmlformats.org/officeDocument/2006/relationships" r:embed="rId23" cstate="print">
                  <a:alphaModFix/>
                  <a:extLst>
                    <a:ext uri="{28A0092B-C50C-407E-A947-70E740481C1C}">
                      <a14:useLocalDpi xmlns:a14="http://schemas.microsoft.com/office/drawing/2010/main" val="0"/>
                    </a:ext>
                  </a:extLst>
                </a:blip>
                <a:stretch>
                  <a:fillRect/>
                </a:stretch>
              </xdr:blipFill>
              <xdr:spPr>
                <a:xfrm>
                  <a:off x="10812480" y="19549"/>
                  <a:ext cx="214188" cy="248554"/>
                </a:xfrm>
                <a:prstGeom prst="rect">
                  <a:avLst/>
                </a:prstGeom>
              </xdr:spPr>
            </xdr:pic>
            <xdr:sp macro="" textlink="">
              <xdr:nvSpPr>
                <xdr:cNvPr id="82" name="TextBox 81">
                  <a:hlinkClick xmlns:r="http://schemas.openxmlformats.org/officeDocument/2006/relationships" r:id="rId22"/>
                  <a:extLst>
                    <a:ext uri="{FF2B5EF4-FFF2-40B4-BE49-F238E27FC236}">
                      <a16:creationId xmlns:a16="http://schemas.microsoft.com/office/drawing/2014/main" id="{4CE662D2-2D74-329E-5EE7-05EFBC697EAE}"/>
                    </a:ext>
                  </a:extLst>
                </xdr:cNvPr>
                <xdr:cNvSpPr txBox="1"/>
              </xdr:nvSpPr>
              <xdr:spPr>
                <a:xfrm>
                  <a:off x="11008843" y="0"/>
                  <a:ext cx="40705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PEERS</a:t>
                  </a:r>
                </a:p>
              </xdr:txBody>
            </xdr:sp>
            <xdr:sp macro="" textlink="">
              <xdr:nvSpPr>
                <xdr:cNvPr id="83" name="TextBox 82">
                  <a:hlinkClick xmlns:r="http://schemas.openxmlformats.org/officeDocument/2006/relationships" r:id="rId24"/>
                  <a:extLst>
                    <a:ext uri="{FF2B5EF4-FFF2-40B4-BE49-F238E27FC236}">
                      <a16:creationId xmlns:a16="http://schemas.microsoft.com/office/drawing/2014/main" id="{72DFDD4C-664C-355B-603D-C773669F81F0}"/>
                    </a:ext>
                  </a:extLst>
                </xdr:cNvPr>
                <xdr:cNvSpPr txBox="1"/>
              </xdr:nvSpPr>
              <xdr:spPr>
                <a:xfrm>
                  <a:off x="9581756" y="397481"/>
                  <a:ext cx="656781"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MAX PRICE</a:t>
                  </a:r>
                </a:p>
              </xdr:txBody>
            </xdr:sp>
            <xdr:pic>
              <xdr:nvPicPr>
                <xdr:cNvPr id="84" name="Picture 83">
                  <a:hlinkClick xmlns:r="http://schemas.openxmlformats.org/officeDocument/2006/relationships" r:id="rId24"/>
                  <a:extLst>
                    <a:ext uri="{FF2B5EF4-FFF2-40B4-BE49-F238E27FC236}">
                      <a16:creationId xmlns:a16="http://schemas.microsoft.com/office/drawing/2014/main" id="{ABD60B67-7293-7DAC-FA5F-4A565D03090E}"/>
                    </a:ext>
                  </a:extLst>
                </xdr:cNvPr>
                <xdr:cNvPicPr>
                  <a:picLocks noChangeAspect="1"/>
                </xdr:cNvPicPr>
              </xdr:nvPicPr>
              <xdr:blipFill>
                <a:blip xmlns:r="http://schemas.openxmlformats.org/officeDocument/2006/relationships" r:embed="rId25" cstate="print">
                  <a:alphaModFix/>
                  <a:extLst>
                    <a:ext uri="{28A0092B-C50C-407E-A947-70E740481C1C}">
                      <a14:useLocalDpi xmlns:a14="http://schemas.microsoft.com/office/drawing/2010/main" val="0"/>
                    </a:ext>
                  </a:extLst>
                </a:blip>
                <a:stretch>
                  <a:fillRect/>
                </a:stretch>
              </xdr:blipFill>
              <xdr:spPr>
                <a:xfrm>
                  <a:off x="9433997" y="425857"/>
                  <a:ext cx="214435" cy="230900"/>
                </a:xfrm>
                <a:prstGeom prst="rect">
                  <a:avLst/>
                </a:prstGeom>
              </xdr:spPr>
            </xdr:pic>
            <xdr:sp macro="" textlink="">
              <xdr:nvSpPr>
                <xdr:cNvPr id="85" name="TextBox 84">
                  <a:hlinkClick xmlns:r="http://schemas.openxmlformats.org/officeDocument/2006/relationships" r:id="rId26"/>
                  <a:extLst>
                    <a:ext uri="{FF2B5EF4-FFF2-40B4-BE49-F238E27FC236}">
                      <a16:creationId xmlns:a16="http://schemas.microsoft.com/office/drawing/2014/main" id="{631ED52E-5867-98A5-AAAC-420E6BB9A396}"/>
                    </a:ext>
                  </a:extLst>
                </xdr:cNvPr>
                <xdr:cNvSpPr txBox="1"/>
              </xdr:nvSpPr>
              <xdr:spPr>
                <a:xfrm>
                  <a:off x="7733272" y="389861"/>
                  <a:ext cx="6384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SCENARIOS</a:t>
                  </a:r>
                </a:p>
              </xdr:txBody>
            </xdr:sp>
            <xdr:pic>
              <xdr:nvPicPr>
                <xdr:cNvPr id="86" name="Picture 85">
                  <a:hlinkClick xmlns:r="http://schemas.openxmlformats.org/officeDocument/2006/relationships" r:id="rId26"/>
                  <a:extLst>
                    <a:ext uri="{FF2B5EF4-FFF2-40B4-BE49-F238E27FC236}">
                      <a16:creationId xmlns:a16="http://schemas.microsoft.com/office/drawing/2014/main" id="{6808DDC2-AED3-C680-5F36-AD6885C71F66}"/>
                    </a:ext>
                  </a:extLst>
                </xdr:cNvPr>
                <xdr:cNvPicPr>
                  <a:picLocks noChangeAspect="1"/>
                </xdr:cNvPicPr>
              </xdr:nvPicPr>
              <xdr:blipFill>
                <a:blip xmlns:r="http://schemas.openxmlformats.org/officeDocument/2006/relationships" r:embed="rId27" cstate="print">
                  <a:alphaModFix/>
                  <a:extLst>
                    <a:ext uri="{28A0092B-C50C-407E-A947-70E740481C1C}">
                      <a14:useLocalDpi xmlns:a14="http://schemas.microsoft.com/office/drawing/2010/main" val="0"/>
                    </a:ext>
                  </a:extLst>
                </a:blip>
                <a:stretch>
                  <a:fillRect/>
                </a:stretch>
              </xdr:blipFill>
              <xdr:spPr>
                <a:xfrm>
                  <a:off x="7536090" y="418237"/>
                  <a:ext cx="214435" cy="230900"/>
                </a:xfrm>
                <a:prstGeom prst="rect">
                  <a:avLst/>
                </a:prstGeom>
              </xdr:spPr>
            </xdr:pic>
            <xdr:sp macro="" textlink="">
              <xdr:nvSpPr>
                <xdr:cNvPr id="87" name="TextBox 86">
                  <a:hlinkClick xmlns:r="http://schemas.openxmlformats.org/officeDocument/2006/relationships" r:id="rId28"/>
                  <a:extLst>
                    <a:ext uri="{FF2B5EF4-FFF2-40B4-BE49-F238E27FC236}">
                      <a16:creationId xmlns:a16="http://schemas.microsoft.com/office/drawing/2014/main" id="{F3D2A569-D1D3-20A9-118A-BB71023653EE}"/>
                    </a:ext>
                  </a:extLst>
                </xdr:cNvPr>
                <xdr:cNvSpPr txBox="1"/>
              </xdr:nvSpPr>
              <xdr:spPr>
                <a:xfrm>
                  <a:off x="11757467" y="49286"/>
                  <a:ext cx="110218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MARKET RESEARCH</a:t>
                  </a:r>
                </a:p>
              </xdr:txBody>
            </xdr:sp>
            <xdr:pic>
              <xdr:nvPicPr>
                <xdr:cNvPr id="88" name="Picture 87" descr="A white and brown hourglass&#10;&#10;AI-generated content may be incorrect.">
                  <a:hlinkClick xmlns:r="http://schemas.openxmlformats.org/officeDocument/2006/relationships" r:id="rId28"/>
                  <a:extLst>
                    <a:ext uri="{FF2B5EF4-FFF2-40B4-BE49-F238E27FC236}">
                      <a16:creationId xmlns:a16="http://schemas.microsoft.com/office/drawing/2014/main" id="{FB927FA6-AA64-3333-99FA-07FE804307F8}"/>
                    </a:ext>
                  </a:extLst>
                </xdr:cNvPr>
                <xdr:cNvPicPr>
                  <a:picLocks noChangeAspect="1"/>
                </xdr:cNvPicPr>
              </xdr:nvPicPr>
              <xdr:blipFill>
                <a:blip xmlns:r="http://schemas.openxmlformats.org/officeDocument/2006/relationships" r:embed="rId29" cstate="print">
                  <a:alphaModFix/>
                  <a:extLst>
                    <a:ext uri="{28A0092B-C50C-407E-A947-70E740481C1C}">
                      <a14:useLocalDpi xmlns:a14="http://schemas.microsoft.com/office/drawing/2010/main" val="0"/>
                    </a:ext>
                  </a:extLst>
                </a:blip>
                <a:stretch>
                  <a:fillRect/>
                </a:stretch>
              </xdr:blipFill>
              <xdr:spPr>
                <a:xfrm>
                  <a:off x="11563464" y="33893"/>
                  <a:ext cx="235575" cy="261687"/>
                </a:xfrm>
                <a:prstGeom prst="rect">
                  <a:avLst/>
                </a:prstGeom>
              </xdr:spPr>
            </xdr:pic>
            <xdr:pic>
              <xdr:nvPicPr>
                <xdr:cNvPr id="89" name="Picture 88">
                  <a:hlinkClick xmlns:r="http://schemas.openxmlformats.org/officeDocument/2006/relationships" r:id="rId30"/>
                  <a:extLst>
                    <a:ext uri="{FF2B5EF4-FFF2-40B4-BE49-F238E27FC236}">
                      <a16:creationId xmlns:a16="http://schemas.microsoft.com/office/drawing/2014/main" id="{CE447EBC-40F7-1F53-4138-2194F64DBD86}"/>
                    </a:ext>
                  </a:extLst>
                </xdr:cNvPr>
                <xdr:cNvPicPr>
                  <a:picLocks noChangeAspect="1" noChangeArrowheads="1"/>
                </xdr:cNvPicPr>
              </xdr:nvPicPr>
              <xdr:blipFill>
                <a:blip xmlns:r="http://schemas.openxmlformats.org/officeDocument/2006/relationships" r:embed="rId3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33032" y="384834"/>
                  <a:ext cx="261600" cy="33288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0" name="TextBox 89">
                  <a:hlinkClick xmlns:r="http://schemas.openxmlformats.org/officeDocument/2006/relationships" r:id="rId30"/>
                  <a:extLst>
                    <a:ext uri="{FF2B5EF4-FFF2-40B4-BE49-F238E27FC236}">
                      <a16:creationId xmlns:a16="http://schemas.microsoft.com/office/drawing/2014/main" id="{5CDC96D6-4240-4F69-ADB7-5303BD5668FD}"/>
                    </a:ext>
                  </a:extLst>
                </xdr:cNvPr>
                <xdr:cNvSpPr txBox="1"/>
              </xdr:nvSpPr>
              <xdr:spPr>
                <a:xfrm>
                  <a:off x="3637195" y="315564"/>
                  <a:ext cx="914586" cy="433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BALANCE SHEET</a:t>
                  </a:r>
                </a:p>
                <a:p>
                  <a:pPr algn="ctr"/>
                  <a:r>
                    <a:rPr lang="en-US" sz="900" b="1">
                      <a:solidFill>
                        <a:schemeClr val="bg1"/>
                      </a:solidFill>
                    </a:rPr>
                    <a:t>SUMMARY</a:t>
                  </a:r>
                </a:p>
              </xdr:txBody>
            </xdr:sp>
            <xdr:pic>
              <xdr:nvPicPr>
                <xdr:cNvPr id="91" name="Picture 90">
                  <a:hlinkClick xmlns:r="http://schemas.openxmlformats.org/officeDocument/2006/relationships" r:id="rId32"/>
                  <a:extLst>
                    <a:ext uri="{FF2B5EF4-FFF2-40B4-BE49-F238E27FC236}">
                      <a16:creationId xmlns:a16="http://schemas.microsoft.com/office/drawing/2014/main" id="{0AD88B9D-0DF0-9F90-3E0F-E9C1F25EAB82}"/>
                    </a:ext>
                  </a:extLst>
                </xdr:cNvPr>
                <xdr:cNvPicPr>
                  <a:picLocks noChangeAspect="1" noChangeArrowheads="1"/>
                </xdr:cNvPicPr>
              </xdr:nvPicPr>
              <xdr:blipFill>
                <a:blip xmlns:r="http://schemas.openxmlformats.org/officeDocument/2006/relationships" r:embed="rId33" cstate="print">
                  <a:clrChange>
                    <a:clrFrom>
                      <a:srgbClr val="F8F8F8"/>
                    </a:clrFrom>
                    <a:clrTo>
                      <a:srgbClr val="F8F8F8">
                        <a:alpha val="0"/>
                      </a:srgbClr>
                    </a:clrTo>
                  </a:clrChange>
                  <a:extLst>
                    <a:ext uri="{28A0092B-C50C-407E-A947-70E740481C1C}">
                      <a14:useLocalDpi xmlns:a14="http://schemas.microsoft.com/office/drawing/2010/main" val="0"/>
                    </a:ext>
                  </a:extLst>
                </a:blip>
                <a:srcRect/>
                <a:stretch>
                  <a:fillRect/>
                </a:stretch>
              </xdr:blipFill>
              <xdr:spPr bwMode="auto">
                <a:xfrm>
                  <a:off x="4602713" y="384834"/>
                  <a:ext cx="326621" cy="3113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2" name="TextBox 91">
                  <a:hlinkClick xmlns:r="http://schemas.openxmlformats.org/officeDocument/2006/relationships" r:id="rId32"/>
                  <a:extLst>
                    <a:ext uri="{FF2B5EF4-FFF2-40B4-BE49-F238E27FC236}">
                      <a16:creationId xmlns:a16="http://schemas.microsoft.com/office/drawing/2014/main" id="{9A96E8CA-3403-6622-3BBD-04CEE2F89B57}"/>
                    </a:ext>
                  </a:extLst>
                </xdr:cNvPr>
                <xdr:cNvSpPr txBox="1"/>
              </xdr:nvSpPr>
              <xdr:spPr>
                <a:xfrm>
                  <a:off x="4880678" y="423317"/>
                  <a:ext cx="56334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ASSETS</a:t>
                  </a:r>
                </a:p>
              </xdr:txBody>
            </xdr:sp>
            <xdr:pic>
              <xdr:nvPicPr>
                <xdr:cNvPr id="93" name="Picture 92">
                  <a:hlinkClick xmlns:r="http://schemas.openxmlformats.org/officeDocument/2006/relationships" r:id="rId34"/>
                  <a:extLst>
                    <a:ext uri="{FF2B5EF4-FFF2-40B4-BE49-F238E27FC236}">
                      <a16:creationId xmlns:a16="http://schemas.microsoft.com/office/drawing/2014/main" id="{BC98A89E-CA5E-9AB5-C1C8-423A1FF90C8F}"/>
                    </a:ext>
                  </a:extLst>
                </xdr:cNvPr>
                <xdr:cNvPicPr>
                  <a:picLocks noChangeAspect="1" noChangeArrowheads="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35903" y="354046"/>
                  <a:ext cx="278234" cy="3540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4" name="TextBox 93">
                  <a:hlinkClick xmlns:r="http://schemas.openxmlformats.org/officeDocument/2006/relationships" r:id="rId34"/>
                  <a:extLst>
                    <a:ext uri="{FF2B5EF4-FFF2-40B4-BE49-F238E27FC236}">
                      <a16:creationId xmlns:a16="http://schemas.microsoft.com/office/drawing/2014/main" id="{A8E5D333-7AA4-0F2B-1844-F768D379FC46}"/>
                    </a:ext>
                  </a:extLst>
                </xdr:cNvPr>
                <xdr:cNvSpPr txBox="1"/>
              </xdr:nvSpPr>
              <xdr:spPr>
                <a:xfrm>
                  <a:off x="5717678" y="431014"/>
                  <a:ext cx="750091"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LIABILITIES</a:t>
                  </a:r>
                </a:p>
              </xdr:txBody>
            </xdr:sp>
            <xdr:pic>
              <xdr:nvPicPr>
                <xdr:cNvPr id="95" name="Picture 94">
                  <a:hlinkClick xmlns:r="http://schemas.openxmlformats.org/officeDocument/2006/relationships" r:id="rId36"/>
                  <a:extLst>
                    <a:ext uri="{FF2B5EF4-FFF2-40B4-BE49-F238E27FC236}">
                      <a16:creationId xmlns:a16="http://schemas.microsoft.com/office/drawing/2014/main" id="{0BECDF28-4C23-2D0C-7EA3-EC7D47E9D63A}"/>
                    </a:ext>
                  </a:extLst>
                </xdr:cNvPr>
                <xdr:cNvPicPr>
                  <a:picLocks noChangeAspect="1"/>
                </xdr:cNvPicPr>
              </xdr:nvPicPr>
              <xdr:blipFill>
                <a:blip xmlns:r="http://schemas.openxmlformats.org/officeDocument/2006/relationships" r:embed="rId37">
                  <a:clrChange>
                    <a:clrFrom>
                      <a:srgbClr val="FFFFFF"/>
                    </a:clrFrom>
                    <a:clrTo>
                      <a:srgbClr val="FFFFFF">
                        <a:alpha val="0"/>
                      </a:srgbClr>
                    </a:clrTo>
                  </a:clrChange>
                </a:blip>
                <a:stretch>
                  <a:fillRect/>
                </a:stretch>
              </xdr:blipFill>
              <xdr:spPr>
                <a:xfrm>
                  <a:off x="6454424" y="361268"/>
                  <a:ext cx="368693" cy="354523"/>
                </a:xfrm>
                <a:prstGeom prst="rect">
                  <a:avLst/>
                </a:prstGeom>
              </xdr:spPr>
            </xdr:pic>
            <xdr:sp macro="" textlink="">
              <xdr:nvSpPr>
                <xdr:cNvPr id="96" name="TextBox 95">
                  <a:hlinkClick xmlns:r="http://schemas.openxmlformats.org/officeDocument/2006/relationships" r:id="rId36"/>
                  <a:extLst>
                    <a:ext uri="{FF2B5EF4-FFF2-40B4-BE49-F238E27FC236}">
                      <a16:creationId xmlns:a16="http://schemas.microsoft.com/office/drawing/2014/main" id="{963CC4AA-976E-9AC8-1E2E-90D1F6279E15}"/>
                    </a:ext>
                  </a:extLst>
                </xdr:cNvPr>
                <xdr:cNvSpPr txBox="1"/>
              </xdr:nvSpPr>
              <xdr:spPr>
                <a:xfrm>
                  <a:off x="6742924" y="369440"/>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EDIT</a:t>
                  </a:r>
                </a:p>
                <a:p>
                  <a:r>
                    <a:rPr lang="en-US" sz="900" b="1">
                      <a:solidFill>
                        <a:schemeClr val="bg1"/>
                      </a:solidFill>
                    </a:rPr>
                    <a:t>CATEGORIES</a:t>
                  </a:r>
                </a:p>
              </xdr:txBody>
            </xdr:sp>
            <xdr:grpSp>
              <xdr:nvGrpSpPr>
                <xdr:cNvPr id="97" name="Group 96">
                  <a:hlinkClick xmlns:r="http://schemas.openxmlformats.org/officeDocument/2006/relationships" r:id="rId38"/>
                  <a:extLst>
                    <a:ext uri="{FF2B5EF4-FFF2-40B4-BE49-F238E27FC236}">
                      <a16:creationId xmlns:a16="http://schemas.microsoft.com/office/drawing/2014/main" id="{40FAB204-862A-971C-0001-5179BB7C28FE}"/>
                    </a:ext>
                  </a:extLst>
                </xdr:cNvPr>
                <xdr:cNvGrpSpPr/>
              </xdr:nvGrpSpPr>
              <xdr:grpSpPr>
                <a:xfrm>
                  <a:off x="10231249" y="237461"/>
                  <a:ext cx="1281586" cy="502920"/>
                  <a:chOff x="11732389" y="237461"/>
                  <a:chExt cx="1281586" cy="502920"/>
                </a:xfrm>
              </xdr:grpSpPr>
              <xdr:pic>
                <xdr:nvPicPr>
                  <xdr:cNvPr id="98" name="Picture 97">
                    <a:hlinkClick xmlns:r="http://schemas.openxmlformats.org/officeDocument/2006/relationships" r:id="rId39"/>
                    <a:extLst>
                      <a:ext uri="{FF2B5EF4-FFF2-40B4-BE49-F238E27FC236}">
                        <a16:creationId xmlns:a16="http://schemas.microsoft.com/office/drawing/2014/main" id="{10623AF3-C184-9C7D-DCDF-04EAC6BD1B58}"/>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1732389" y="237461"/>
                    <a:ext cx="502920" cy="502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9" name="TextBox 98">
                    <a:hlinkClick xmlns:r="http://schemas.openxmlformats.org/officeDocument/2006/relationships" r:id="rId39"/>
                    <a:extLst>
                      <a:ext uri="{FF2B5EF4-FFF2-40B4-BE49-F238E27FC236}">
                        <a16:creationId xmlns:a16="http://schemas.microsoft.com/office/drawing/2014/main" id="{0A866E33-0728-EEF8-4030-EB968B55CA16}"/>
                      </a:ext>
                    </a:extLst>
                  </xdr:cNvPr>
                  <xdr:cNvSpPr txBox="1"/>
                </xdr:nvSpPr>
                <xdr:spPr>
                  <a:xfrm>
                    <a:off x="12197209" y="344142"/>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 GAME APPS</a:t>
                    </a:r>
                  </a:p>
                </xdr:txBody>
              </xdr:sp>
            </xdr:grpSp>
          </xdr:grpSp>
          <xdr:grpSp>
            <xdr:nvGrpSpPr>
              <xdr:cNvPr id="58" name="Group 57">
                <a:extLst>
                  <a:ext uri="{FF2B5EF4-FFF2-40B4-BE49-F238E27FC236}">
                    <a16:creationId xmlns:a16="http://schemas.microsoft.com/office/drawing/2014/main" id="{0A70A2AD-41FD-4C36-5FA2-91C98973AB18}"/>
                  </a:ext>
                </a:extLst>
              </xdr:cNvPr>
              <xdr:cNvGrpSpPr/>
            </xdr:nvGrpSpPr>
            <xdr:grpSpPr>
              <a:xfrm>
                <a:off x="3030070" y="313765"/>
                <a:ext cx="1219410" cy="438976"/>
                <a:chOff x="3030070" y="313765"/>
                <a:chExt cx="1219410" cy="438976"/>
              </a:xfrm>
            </xdr:grpSpPr>
            <xdr:sp macro="" textlink="">
              <xdr:nvSpPr>
                <xdr:cNvPr id="59" name="TextBox 58">
                  <a:hlinkClick xmlns:r="http://schemas.openxmlformats.org/officeDocument/2006/relationships" r:id="rId41"/>
                  <a:extLst>
                    <a:ext uri="{FF2B5EF4-FFF2-40B4-BE49-F238E27FC236}">
                      <a16:creationId xmlns:a16="http://schemas.microsoft.com/office/drawing/2014/main" id="{7FABB2D1-14C6-D988-6F21-1AB3B5BBF918}"/>
                    </a:ext>
                  </a:extLst>
                </xdr:cNvPr>
                <xdr:cNvSpPr txBox="1"/>
              </xdr:nvSpPr>
              <xdr:spPr>
                <a:xfrm>
                  <a:off x="3307528" y="313765"/>
                  <a:ext cx="941952" cy="43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BOOK KEEPING</a:t>
                  </a:r>
                </a:p>
                <a:p>
                  <a:pPr algn="ctr"/>
                  <a:r>
                    <a:rPr lang="en-US" sz="900" b="1">
                      <a:solidFill>
                        <a:schemeClr val="bg1"/>
                      </a:solidFill>
                    </a:rPr>
                    <a:t>LEDGER</a:t>
                  </a:r>
                </a:p>
              </xdr:txBody>
            </xdr:sp>
            <xdr:pic>
              <xdr:nvPicPr>
                <xdr:cNvPr id="60" name="Picture 59">
                  <a:hlinkClick xmlns:r="http://schemas.openxmlformats.org/officeDocument/2006/relationships" r:id="rId41"/>
                  <a:extLst>
                    <a:ext uri="{FF2B5EF4-FFF2-40B4-BE49-F238E27FC236}">
                      <a16:creationId xmlns:a16="http://schemas.microsoft.com/office/drawing/2014/main" id="{2DB5DF4A-A72C-745E-1450-0B1DB7F4A9B9}"/>
                    </a:ext>
                  </a:extLst>
                </xdr:cNvPr>
                <xdr:cNvPicPr>
                  <a:picLocks noChangeAspect="1"/>
                </xdr:cNvPicPr>
              </xdr:nvPicPr>
              <xdr:blipFill>
                <a:blip xmlns:r="http://schemas.openxmlformats.org/officeDocument/2006/relationships" r:embed="rId4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0070" y="367554"/>
                  <a:ext cx="327770" cy="349622"/>
                </a:xfrm>
                <a:prstGeom prst="rect">
                  <a:avLst/>
                </a:prstGeom>
              </xdr:spPr>
            </xdr:pic>
          </xdr:grpSp>
        </xdr:grpSp>
        <xdr:grpSp>
          <xdr:nvGrpSpPr>
            <xdr:cNvPr id="54" name="Group 53">
              <a:extLst>
                <a:ext uri="{FF2B5EF4-FFF2-40B4-BE49-F238E27FC236}">
                  <a16:creationId xmlns:a16="http://schemas.microsoft.com/office/drawing/2014/main" id="{E79D5B47-CA69-71D6-D9ED-87AE3EE85E81}"/>
                </a:ext>
              </a:extLst>
            </xdr:cNvPr>
            <xdr:cNvGrpSpPr/>
          </xdr:nvGrpSpPr>
          <xdr:grpSpPr>
            <a:xfrm>
              <a:off x="12626340" y="243840"/>
              <a:ext cx="1344125" cy="571500"/>
              <a:chOff x="12626340" y="243840"/>
              <a:chExt cx="1344125" cy="571500"/>
            </a:xfrm>
          </xdr:grpSpPr>
          <xdr:pic>
            <xdr:nvPicPr>
              <xdr:cNvPr id="55" name="Picture 54">
                <a:hlinkClick xmlns:r="http://schemas.openxmlformats.org/officeDocument/2006/relationships" r:id="rId43"/>
                <a:extLst>
                  <a:ext uri="{FF2B5EF4-FFF2-40B4-BE49-F238E27FC236}">
                    <a16:creationId xmlns:a16="http://schemas.microsoft.com/office/drawing/2014/main" id="{EBFE0D2A-8075-C70E-ECDD-0E90BA78829A}"/>
                  </a:ext>
                </a:extLst>
              </xdr:cNvPr>
              <xdr:cNvPicPr>
                <a:picLocks noChangeAspect="1" noChangeArrowheads="1"/>
              </xdr:cNvPicPr>
            </xdr:nvPicPr>
            <xdr:blipFill>
              <a:blip xmlns:r="http://schemas.openxmlformats.org/officeDocument/2006/relationships" r:embed="rId4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26340" y="243840"/>
                <a:ext cx="571500" cy="571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6" name="TextBox 55">
                <a:hlinkClick xmlns:r="http://schemas.openxmlformats.org/officeDocument/2006/relationships" r:id="rId43"/>
                <a:extLst>
                  <a:ext uri="{FF2B5EF4-FFF2-40B4-BE49-F238E27FC236}">
                    <a16:creationId xmlns:a16="http://schemas.microsoft.com/office/drawing/2014/main" id="{285BB247-BFC9-8BB9-99B9-39822910ADBD}"/>
                  </a:ext>
                </a:extLst>
              </xdr:cNvPr>
              <xdr:cNvSpPr txBox="1"/>
            </xdr:nvSpPr>
            <xdr:spPr>
              <a:xfrm>
                <a:off x="13129260" y="327660"/>
                <a:ext cx="841205" cy="4000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TRAVEL</a:t>
                </a:r>
              </a:p>
              <a:p>
                <a:pPr algn="ctr"/>
                <a:r>
                  <a:rPr lang="en-US" sz="900" b="1">
                    <a:solidFill>
                      <a:schemeClr val="bg1"/>
                    </a:solidFill>
                  </a:rPr>
                  <a:t>SANDBOX</a:t>
                </a:r>
              </a:p>
            </xdr:txBody>
          </xdr:sp>
        </xdr:grpSp>
      </xdr:grpSp>
      <xdr:pic>
        <xdr:nvPicPr>
          <xdr:cNvPr id="52" name="Picture 51">
            <a:hlinkClick xmlns:r="http://schemas.openxmlformats.org/officeDocument/2006/relationships" r:id="rId11"/>
            <a:extLst>
              <a:ext uri="{FF2B5EF4-FFF2-40B4-BE49-F238E27FC236}">
                <a16:creationId xmlns:a16="http://schemas.microsoft.com/office/drawing/2014/main" id="{AD815227-67EF-691F-54DE-43B761D27EA9}"/>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34100" y="30480"/>
            <a:ext cx="234698" cy="246078"/>
          </a:xfrm>
          <a:prstGeom prst="rect">
            <a:avLst/>
          </a:prstGeom>
          <a:solidFill>
            <a:srgbClr val="7FA6C7"/>
          </a:solidFill>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228600</xdr:colOff>
      <xdr:row>0</xdr:row>
      <xdr:rowOff>0</xdr:rowOff>
    </xdr:from>
    <xdr:to>
      <xdr:col>14</xdr:col>
      <xdr:colOff>754137</xdr:colOff>
      <xdr:row>2</xdr:row>
      <xdr:rowOff>236220</xdr:rowOff>
    </xdr:to>
    <xdr:grpSp>
      <xdr:nvGrpSpPr>
        <xdr:cNvPr id="50" name="Group 49">
          <a:extLst>
            <a:ext uri="{FF2B5EF4-FFF2-40B4-BE49-F238E27FC236}">
              <a16:creationId xmlns:a16="http://schemas.microsoft.com/office/drawing/2014/main" id="{776BC003-D8D4-4517-93E0-31B771AB3BAC}"/>
            </a:ext>
          </a:extLst>
        </xdr:cNvPr>
        <xdr:cNvGrpSpPr/>
      </xdr:nvGrpSpPr>
      <xdr:grpSpPr>
        <a:xfrm>
          <a:off x="822960" y="0"/>
          <a:ext cx="11894577" cy="815340"/>
          <a:chOff x="2194560" y="0"/>
          <a:chExt cx="11894577" cy="815340"/>
        </a:xfrm>
      </xdr:grpSpPr>
      <xdr:grpSp>
        <xdr:nvGrpSpPr>
          <xdr:cNvPr id="51" name="Group 50">
            <a:extLst>
              <a:ext uri="{FF2B5EF4-FFF2-40B4-BE49-F238E27FC236}">
                <a16:creationId xmlns:a16="http://schemas.microsoft.com/office/drawing/2014/main" id="{9C719EC8-A68B-2ACA-1C47-7DFF8FE9BA5A}"/>
              </a:ext>
            </a:extLst>
          </xdr:cNvPr>
          <xdr:cNvGrpSpPr/>
        </xdr:nvGrpSpPr>
        <xdr:grpSpPr>
          <a:xfrm>
            <a:off x="2194560" y="0"/>
            <a:ext cx="11894577" cy="815340"/>
            <a:chOff x="2194560" y="0"/>
            <a:chExt cx="11894577" cy="815340"/>
          </a:xfrm>
        </xdr:grpSpPr>
        <xdr:grpSp>
          <xdr:nvGrpSpPr>
            <xdr:cNvPr id="53" name="Group 52">
              <a:extLst>
                <a:ext uri="{FF2B5EF4-FFF2-40B4-BE49-F238E27FC236}">
                  <a16:creationId xmlns:a16="http://schemas.microsoft.com/office/drawing/2014/main" id="{1696DA5D-9DE1-C7DA-EE6C-39E4A6D6EF28}"/>
                </a:ext>
              </a:extLst>
            </xdr:cNvPr>
            <xdr:cNvGrpSpPr/>
          </xdr:nvGrpSpPr>
          <xdr:grpSpPr>
            <a:xfrm>
              <a:off x="2194560" y="0"/>
              <a:ext cx="11894577" cy="773812"/>
              <a:chOff x="2160046" y="0"/>
              <a:chExt cx="11894577" cy="773812"/>
            </a:xfrm>
          </xdr:grpSpPr>
          <xdr:grpSp>
            <xdr:nvGrpSpPr>
              <xdr:cNvPr id="57" name="Group 56">
                <a:extLst>
                  <a:ext uri="{FF2B5EF4-FFF2-40B4-BE49-F238E27FC236}">
                    <a16:creationId xmlns:a16="http://schemas.microsoft.com/office/drawing/2014/main" id="{388F4AED-1A25-E835-25ED-8EF7F7CCAB57}"/>
                  </a:ext>
                </a:extLst>
              </xdr:cNvPr>
              <xdr:cNvGrpSpPr/>
            </xdr:nvGrpSpPr>
            <xdr:grpSpPr>
              <a:xfrm>
                <a:off x="2160046" y="0"/>
                <a:ext cx="11894577" cy="773812"/>
                <a:chOff x="1310640" y="0"/>
                <a:chExt cx="11549013" cy="764847"/>
              </a:xfrm>
            </xdr:grpSpPr>
            <xdr:pic>
              <xdr:nvPicPr>
                <xdr:cNvPr id="61" name="Picture 60">
                  <a:hlinkClick xmlns:r="http://schemas.openxmlformats.org/officeDocument/2006/relationships" r:id="rId1"/>
                  <a:extLst>
                    <a:ext uri="{FF2B5EF4-FFF2-40B4-BE49-F238E27FC236}">
                      <a16:creationId xmlns:a16="http://schemas.microsoft.com/office/drawing/2014/main" id="{AF5E2949-08F8-374C-610A-FB5A4B228004}"/>
                    </a:ext>
                  </a:extLst>
                </xdr:cNvPr>
                <xdr:cNvPicPr>
                  <a:picLocks/>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rcRect/>
                <a:stretch/>
              </xdr:blipFill>
              <xdr:spPr>
                <a:xfrm>
                  <a:off x="1310640" y="46180"/>
                  <a:ext cx="499211" cy="554546"/>
                </a:xfrm>
                <a:prstGeom prst="rect">
                  <a:avLst/>
                </a:prstGeom>
              </xdr:spPr>
            </xdr:pic>
            <xdr:pic>
              <xdr:nvPicPr>
                <xdr:cNvPr id="62" name="Picture 61">
                  <a:hlinkClick xmlns:r="http://schemas.openxmlformats.org/officeDocument/2006/relationships" r:id="rId3"/>
                  <a:extLst>
                    <a:ext uri="{FF2B5EF4-FFF2-40B4-BE49-F238E27FC236}">
                      <a16:creationId xmlns:a16="http://schemas.microsoft.com/office/drawing/2014/main" id="{FB8C2D6E-A22E-5E55-ECF9-630F668440B0}"/>
                    </a:ext>
                  </a:extLst>
                </xdr:cNvPr>
                <xdr:cNvPicPr>
                  <a:picLocks noChangeAspect="1" noChangeArrowheads="1"/>
                </xdr:cNvPicPr>
              </xdr:nvPicPr>
              <xdr:blipFill>
                <a:blip xmlns:r="http://schemas.openxmlformats.org/officeDocument/2006/relationships" r:embed="rId4" cstate="print">
                  <a:alphaModFix/>
                  <a:extLst>
                    <a:ext uri="{28A0092B-C50C-407E-A947-70E740481C1C}">
                      <a14:useLocalDpi xmlns:a14="http://schemas.microsoft.com/office/drawing/2010/main" val="0"/>
                    </a:ext>
                  </a:extLst>
                </a:blip>
                <a:srcRect/>
                <a:stretch>
                  <a:fillRect/>
                </a:stretch>
              </xdr:blipFill>
              <xdr:spPr bwMode="auto">
                <a:xfrm>
                  <a:off x="2163693" y="30823"/>
                  <a:ext cx="214188" cy="2260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3" name="TextBox 62">
                  <a:hlinkClick xmlns:r="http://schemas.openxmlformats.org/officeDocument/2006/relationships" r:id="rId3"/>
                  <a:extLst>
                    <a:ext uri="{FF2B5EF4-FFF2-40B4-BE49-F238E27FC236}">
                      <a16:creationId xmlns:a16="http://schemas.microsoft.com/office/drawing/2014/main" id="{2E6A4EE5-BD1B-45AC-8676-C5C14B0C303E}"/>
                    </a:ext>
                  </a:extLst>
                </xdr:cNvPr>
                <xdr:cNvSpPr txBox="1"/>
              </xdr:nvSpPr>
              <xdr:spPr>
                <a:xfrm>
                  <a:off x="2369194" y="17046"/>
                  <a:ext cx="846446" cy="25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US" sz="900" b="1">
                      <a:solidFill>
                        <a:schemeClr val="bg1"/>
                      </a:solidFill>
                    </a:rPr>
                    <a:t>DASHBOARD</a:t>
                  </a:r>
                </a:p>
              </xdr:txBody>
            </xdr:sp>
            <xdr:pic>
              <xdr:nvPicPr>
                <xdr:cNvPr id="64" name="Picture 63">
                  <a:hlinkClick xmlns:r="http://schemas.openxmlformats.org/officeDocument/2006/relationships" r:id="rId5"/>
                  <a:extLst>
                    <a:ext uri="{FF2B5EF4-FFF2-40B4-BE49-F238E27FC236}">
                      <a16:creationId xmlns:a16="http://schemas.microsoft.com/office/drawing/2014/main" id="{3072F2AC-B114-80E5-3106-0312349D636D}"/>
                    </a:ext>
                  </a:extLst>
                </xdr:cNvPr>
                <xdr:cNvPicPr>
                  <a:picLocks noChangeAspect="1" noChangeArrowheads="1"/>
                </xdr:cNvPicPr>
              </xdr:nvPicPr>
              <xdr:blipFill>
                <a:blip xmlns:r="http://schemas.openxmlformats.org/officeDocument/2006/relationships" r:embed="rId6" cstate="print">
                  <a:alphaModFix/>
                  <a:extLst>
                    <a:ext uri="{28A0092B-C50C-407E-A947-70E740481C1C}">
                      <a14:useLocalDpi xmlns:a14="http://schemas.microsoft.com/office/drawing/2010/main" val="0"/>
                    </a:ext>
                  </a:extLst>
                </a:blip>
                <a:srcRect/>
                <a:stretch>
                  <a:fillRect/>
                </a:stretch>
              </xdr:blipFill>
              <xdr:spPr bwMode="auto">
                <a:xfrm>
                  <a:off x="8461655" y="433462"/>
                  <a:ext cx="214188" cy="20819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5" name="TextBox 64">
                  <a:hlinkClick xmlns:r="http://schemas.openxmlformats.org/officeDocument/2006/relationships" r:id="rId5"/>
                  <a:extLst>
                    <a:ext uri="{FF2B5EF4-FFF2-40B4-BE49-F238E27FC236}">
                      <a16:creationId xmlns:a16="http://schemas.microsoft.com/office/drawing/2014/main" id="{78CDE168-1BA6-84E8-021B-B5D948C1DC31}"/>
                    </a:ext>
                  </a:extLst>
                </xdr:cNvPr>
                <xdr:cNvSpPr txBox="1"/>
              </xdr:nvSpPr>
              <xdr:spPr>
                <a:xfrm>
                  <a:off x="8647283" y="413913"/>
                  <a:ext cx="56836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REPORTS</a:t>
                  </a:r>
                </a:p>
              </xdr:txBody>
            </xdr:sp>
            <xdr:pic>
              <xdr:nvPicPr>
                <xdr:cNvPr id="66" name="Picture 65">
                  <a:hlinkClick xmlns:r="http://schemas.openxmlformats.org/officeDocument/2006/relationships" r:id="rId7"/>
                  <a:extLst>
                    <a:ext uri="{FF2B5EF4-FFF2-40B4-BE49-F238E27FC236}">
                      <a16:creationId xmlns:a16="http://schemas.microsoft.com/office/drawing/2014/main" id="{9362F265-7CDE-E075-F660-F21E1ED4320A}"/>
                    </a:ext>
                  </a:extLst>
                </xdr:cNvPr>
                <xdr:cNvPicPr>
                  <a:picLocks noChangeAspect="1"/>
                </xdr:cNvPicPr>
              </xdr:nvPicPr>
              <xdr:blipFill>
                <a:blip xmlns:r="http://schemas.openxmlformats.org/officeDocument/2006/relationships" r:embed="rId8" cstate="print">
                  <a:alphaModFix/>
                  <a:extLst>
                    <a:ext uri="{28A0092B-C50C-407E-A947-70E740481C1C}">
                      <a14:useLocalDpi xmlns:a14="http://schemas.microsoft.com/office/drawing/2010/main" val="0"/>
                    </a:ext>
                  </a:extLst>
                </a:blip>
                <a:stretch>
                  <a:fillRect/>
                </a:stretch>
              </xdr:blipFill>
              <xdr:spPr>
                <a:xfrm>
                  <a:off x="6903860" y="19549"/>
                  <a:ext cx="214187" cy="248554"/>
                </a:xfrm>
                <a:prstGeom prst="rect">
                  <a:avLst/>
                </a:prstGeom>
              </xdr:spPr>
            </xdr:pic>
            <xdr:sp macro="" textlink="">
              <xdr:nvSpPr>
                <xdr:cNvPr id="67" name="TextBox 66">
                  <a:hlinkClick xmlns:r="http://schemas.openxmlformats.org/officeDocument/2006/relationships" r:id="rId7"/>
                  <a:extLst>
                    <a:ext uri="{FF2B5EF4-FFF2-40B4-BE49-F238E27FC236}">
                      <a16:creationId xmlns:a16="http://schemas.microsoft.com/office/drawing/2014/main" id="{246EF09E-AFC5-3669-4035-C73CDC59377A}"/>
                    </a:ext>
                  </a:extLst>
                </xdr:cNvPr>
                <xdr:cNvSpPr txBox="1"/>
              </xdr:nvSpPr>
              <xdr:spPr>
                <a:xfrm>
                  <a:off x="7099062" y="0"/>
                  <a:ext cx="67589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MORTGAGE</a:t>
                  </a:r>
                </a:p>
              </xdr:txBody>
            </xdr:sp>
            <xdr:sp macro="" textlink="">
              <xdr:nvSpPr>
                <xdr:cNvPr id="68" name="TextBox 67">
                  <a:hlinkClick xmlns:r="http://schemas.openxmlformats.org/officeDocument/2006/relationships" r:id="rId9"/>
                  <a:extLst>
                    <a:ext uri="{FF2B5EF4-FFF2-40B4-BE49-F238E27FC236}">
                      <a16:creationId xmlns:a16="http://schemas.microsoft.com/office/drawing/2014/main" id="{D2A5D67D-67F3-D1AB-9FB3-A4E47DCB6656}"/>
                    </a:ext>
                  </a:extLst>
                </xdr:cNvPr>
                <xdr:cNvSpPr txBox="1"/>
              </xdr:nvSpPr>
              <xdr:spPr>
                <a:xfrm>
                  <a:off x="6375474" y="0"/>
                  <a:ext cx="381400"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DEBT</a:t>
                  </a:r>
                </a:p>
              </xdr:txBody>
            </xdr:sp>
            <xdr:pic>
              <xdr:nvPicPr>
                <xdr:cNvPr id="69" name="Picture 68">
                  <a:hlinkClick xmlns:r="http://schemas.openxmlformats.org/officeDocument/2006/relationships" r:id="rId9"/>
                  <a:extLst>
                    <a:ext uri="{FF2B5EF4-FFF2-40B4-BE49-F238E27FC236}">
                      <a16:creationId xmlns:a16="http://schemas.microsoft.com/office/drawing/2014/main" id="{E9D2D4E1-096D-6EE0-2255-ADAE27AD5B57}"/>
                    </a:ext>
                  </a:extLst>
                </xdr:cNvPr>
                <xdr:cNvPicPr>
                  <a:picLocks noChangeAspect="1"/>
                </xdr:cNvPicPr>
              </xdr:nvPicPr>
              <xdr:blipFill>
                <a:blip xmlns:r="http://schemas.openxmlformats.org/officeDocument/2006/relationships" r:embed="rId10" cstate="print">
                  <a:alphaModFix/>
                  <a:extLst>
                    <a:ext uri="{28A0092B-C50C-407E-A947-70E740481C1C}">
                      <a14:useLocalDpi xmlns:a14="http://schemas.microsoft.com/office/drawing/2010/main" val="0"/>
                    </a:ext>
                  </a:extLst>
                </a:blip>
                <a:stretch>
                  <a:fillRect/>
                </a:stretch>
              </xdr:blipFill>
              <xdr:spPr>
                <a:xfrm>
                  <a:off x="6158378" y="19549"/>
                  <a:ext cx="214188" cy="248554"/>
                </a:xfrm>
                <a:prstGeom prst="rect">
                  <a:avLst/>
                </a:prstGeom>
              </xdr:spPr>
            </xdr:pic>
            <xdr:sp macro="" textlink="">
              <xdr:nvSpPr>
                <xdr:cNvPr id="70" name="TextBox 69">
                  <a:hlinkClick xmlns:r="http://schemas.openxmlformats.org/officeDocument/2006/relationships" r:id="rId11"/>
                  <a:extLst>
                    <a:ext uri="{FF2B5EF4-FFF2-40B4-BE49-F238E27FC236}">
                      <a16:creationId xmlns:a16="http://schemas.microsoft.com/office/drawing/2014/main" id="{F77877F4-7E6B-01A7-CF84-3B1340DA677C}"/>
                    </a:ext>
                  </a:extLst>
                </xdr:cNvPr>
                <xdr:cNvSpPr txBox="1"/>
              </xdr:nvSpPr>
              <xdr:spPr>
                <a:xfrm>
                  <a:off x="5370816" y="37659"/>
                  <a:ext cx="64057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FORECASTS</a:t>
                  </a:r>
                </a:p>
              </xdr:txBody>
            </xdr:sp>
            <xdr:sp macro="" textlink="">
              <xdr:nvSpPr>
                <xdr:cNvPr id="71" name="TextBox 70">
                  <a:hlinkClick xmlns:r="http://schemas.openxmlformats.org/officeDocument/2006/relationships" r:id="rId12"/>
                  <a:extLst>
                    <a:ext uri="{FF2B5EF4-FFF2-40B4-BE49-F238E27FC236}">
                      <a16:creationId xmlns:a16="http://schemas.microsoft.com/office/drawing/2014/main" id="{5E56A0FE-3123-1C13-334D-6790475CD6B5}"/>
                    </a:ext>
                  </a:extLst>
                </xdr:cNvPr>
                <xdr:cNvSpPr txBox="1"/>
              </xdr:nvSpPr>
              <xdr:spPr>
                <a:xfrm>
                  <a:off x="8104032" y="0"/>
                  <a:ext cx="7732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a:t>
                  </a:r>
                  <a:r>
                    <a:rPr lang="en-US" sz="900" b="1" baseline="0">
                      <a:solidFill>
                        <a:schemeClr val="bg1"/>
                      </a:solidFill>
                    </a:rPr>
                    <a:t> (M)</a:t>
                  </a:r>
                  <a:endParaRPr lang="en-US" sz="900" b="1">
                    <a:solidFill>
                      <a:schemeClr val="bg1"/>
                    </a:solidFill>
                  </a:endParaRPr>
                </a:p>
              </xdr:txBody>
            </xdr:sp>
            <xdr:pic>
              <xdr:nvPicPr>
                <xdr:cNvPr id="72" name="Picture 71">
                  <a:hlinkClick xmlns:r="http://schemas.openxmlformats.org/officeDocument/2006/relationships" r:id="rId12"/>
                  <a:extLst>
                    <a:ext uri="{FF2B5EF4-FFF2-40B4-BE49-F238E27FC236}">
                      <a16:creationId xmlns:a16="http://schemas.microsoft.com/office/drawing/2014/main" id="{DC0A52B2-0C6F-DF0D-51A1-61D1BF9E3078}"/>
                    </a:ext>
                  </a:extLst>
                </xdr:cNvPr>
                <xdr:cNvPicPr>
                  <a:picLocks noChangeAspect="1"/>
                </xdr:cNvPicPr>
              </xdr:nvPicPr>
              <xdr:blipFill>
                <a:blip xmlns:r="http://schemas.openxmlformats.org/officeDocument/2006/relationships" r:embed="rId13" cstate="print">
                  <a:alphaModFix/>
                  <a:extLst>
                    <a:ext uri="{28A0092B-C50C-407E-A947-70E740481C1C}">
                      <a14:useLocalDpi xmlns:a14="http://schemas.microsoft.com/office/drawing/2010/main" val="0"/>
                    </a:ext>
                  </a:extLst>
                </a:blip>
                <a:stretch>
                  <a:fillRect/>
                </a:stretch>
              </xdr:blipFill>
              <xdr:spPr>
                <a:xfrm>
                  <a:off x="7921943" y="19549"/>
                  <a:ext cx="214188" cy="248554"/>
                </a:xfrm>
                <a:prstGeom prst="rect">
                  <a:avLst/>
                </a:prstGeom>
              </xdr:spPr>
            </xdr:pic>
            <xdr:sp macro="" textlink="">
              <xdr:nvSpPr>
                <xdr:cNvPr id="73" name="TextBox 72">
                  <a:hlinkClick xmlns:r="http://schemas.openxmlformats.org/officeDocument/2006/relationships" r:id="rId14"/>
                  <a:extLst>
                    <a:ext uri="{FF2B5EF4-FFF2-40B4-BE49-F238E27FC236}">
                      <a16:creationId xmlns:a16="http://schemas.microsoft.com/office/drawing/2014/main" id="{EC2CFDE6-CE32-0EF5-95DD-CD0755B5ACEB}"/>
                    </a:ext>
                  </a:extLst>
                </xdr:cNvPr>
                <xdr:cNvSpPr txBox="1"/>
              </xdr:nvSpPr>
              <xdr:spPr>
                <a:xfrm>
                  <a:off x="9978309" y="0"/>
                  <a:ext cx="687187"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 (Y)</a:t>
                  </a:r>
                </a:p>
              </xdr:txBody>
            </xdr:sp>
            <xdr:pic>
              <xdr:nvPicPr>
                <xdr:cNvPr id="74" name="Picture 73">
                  <a:hlinkClick xmlns:r="http://schemas.openxmlformats.org/officeDocument/2006/relationships" r:id="rId14"/>
                  <a:extLst>
                    <a:ext uri="{FF2B5EF4-FFF2-40B4-BE49-F238E27FC236}">
                      <a16:creationId xmlns:a16="http://schemas.microsoft.com/office/drawing/2014/main" id="{6BDDBEBC-71C7-0110-6109-882DA80C4D33}"/>
                    </a:ext>
                  </a:extLst>
                </xdr:cNvPr>
                <xdr:cNvPicPr>
                  <a:picLocks noChangeAspect="1"/>
                </xdr:cNvPicPr>
              </xdr:nvPicPr>
              <xdr:blipFill>
                <a:blip xmlns:r="http://schemas.openxmlformats.org/officeDocument/2006/relationships" r:embed="rId15" cstate="print">
                  <a:alphaModFix/>
                  <a:extLst>
                    <a:ext uri="{28A0092B-C50C-407E-A947-70E740481C1C}">
                      <a14:useLocalDpi xmlns:a14="http://schemas.microsoft.com/office/drawing/2010/main" val="0"/>
                    </a:ext>
                  </a:extLst>
                </a:blip>
                <a:stretch>
                  <a:fillRect/>
                </a:stretch>
              </xdr:blipFill>
              <xdr:spPr>
                <a:xfrm>
                  <a:off x="9777770" y="19549"/>
                  <a:ext cx="214188" cy="248554"/>
                </a:xfrm>
                <a:prstGeom prst="rect">
                  <a:avLst/>
                </a:prstGeom>
              </xdr:spPr>
            </xdr:pic>
            <xdr:sp macro="" textlink="">
              <xdr:nvSpPr>
                <xdr:cNvPr id="75" name="TextBox 74">
                  <a:hlinkClick xmlns:r="http://schemas.openxmlformats.org/officeDocument/2006/relationships" r:id="rId16"/>
                  <a:extLst>
                    <a:ext uri="{FF2B5EF4-FFF2-40B4-BE49-F238E27FC236}">
                      <a16:creationId xmlns:a16="http://schemas.microsoft.com/office/drawing/2014/main" id="{0D93F718-0EE0-A4D2-C7BD-19A7D619D49F}"/>
                    </a:ext>
                  </a:extLst>
                </xdr:cNvPr>
                <xdr:cNvSpPr txBox="1"/>
              </xdr:nvSpPr>
              <xdr:spPr>
                <a:xfrm>
                  <a:off x="9133984" y="0"/>
                  <a:ext cx="49680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VERSUS</a:t>
                  </a:r>
                </a:p>
              </xdr:txBody>
            </xdr:sp>
            <xdr:pic>
              <xdr:nvPicPr>
                <xdr:cNvPr id="76" name="Picture 75">
                  <a:hlinkClick xmlns:r="http://schemas.openxmlformats.org/officeDocument/2006/relationships" r:id="rId16"/>
                  <a:extLst>
                    <a:ext uri="{FF2B5EF4-FFF2-40B4-BE49-F238E27FC236}">
                      <a16:creationId xmlns:a16="http://schemas.microsoft.com/office/drawing/2014/main" id="{27C72AD0-734E-B9F2-7D61-194AD5595E17}"/>
                    </a:ext>
                  </a:extLst>
                </xdr:cNvPr>
                <xdr:cNvPicPr>
                  <a:picLocks noChangeAspect="1"/>
                </xdr:cNvPicPr>
              </xdr:nvPicPr>
              <xdr:blipFill>
                <a:blip xmlns:r="http://schemas.openxmlformats.org/officeDocument/2006/relationships" r:embed="rId17" cstate="print">
                  <a:alphaModFix/>
                  <a:extLst>
                    <a:ext uri="{28A0092B-C50C-407E-A947-70E740481C1C}">
                      <a14:useLocalDpi xmlns:a14="http://schemas.microsoft.com/office/drawing/2010/main" val="0"/>
                    </a:ext>
                  </a:extLst>
                </a:blip>
                <a:stretch>
                  <a:fillRect/>
                </a:stretch>
              </xdr:blipFill>
              <xdr:spPr>
                <a:xfrm>
                  <a:off x="8938203" y="19549"/>
                  <a:ext cx="214187" cy="248554"/>
                </a:xfrm>
                <a:prstGeom prst="rect">
                  <a:avLst/>
                </a:prstGeom>
              </xdr:spPr>
            </xdr:pic>
            <xdr:sp macro="" textlink="">
              <xdr:nvSpPr>
                <xdr:cNvPr id="77" name="TextBox 76">
                  <a:hlinkClick xmlns:r="http://schemas.openxmlformats.org/officeDocument/2006/relationships" r:id="rId18"/>
                  <a:extLst>
                    <a:ext uri="{FF2B5EF4-FFF2-40B4-BE49-F238E27FC236}">
                      <a16:creationId xmlns:a16="http://schemas.microsoft.com/office/drawing/2014/main" id="{5CFD8538-89CA-79F1-7CC5-0527326E98C4}"/>
                    </a:ext>
                  </a:extLst>
                </xdr:cNvPr>
                <xdr:cNvSpPr txBox="1"/>
              </xdr:nvSpPr>
              <xdr:spPr>
                <a:xfrm>
                  <a:off x="3510385" y="0"/>
                  <a:ext cx="52312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REPAIRS</a:t>
                  </a:r>
                </a:p>
              </xdr:txBody>
            </xdr:sp>
            <xdr:pic>
              <xdr:nvPicPr>
                <xdr:cNvPr id="78" name="Picture 77">
                  <a:hlinkClick xmlns:r="http://schemas.openxmlformats.org/officeDocument/2006/relationships" r:id="rId18"/>
                  <a:extLst>
                    <a:ext uri="{FF2B5EF4-FFF2-40B4-BE49-F238E27FC236}">
                      <a16:creationId xmlns:a16="http://schemas.microsoft.com/office/drawing/2014/main" id="{149C6EDC-075C-7E1C-E61D-41AF6CD1BBE3}"/>
                    </a:ext>
                  </a:extLst>
                </xdr:cNvPr>
                <xdr:cNvPicPr>
                  <a:picLocks noChangeAspect="1"/>
                </xdr:cNvPicPr>
              </xdr:nvPicPr>
              <xdr:blipFill>
                <a:blip xmlns:r="http://schemas.openxmlformats.org/officeDocument/2006/relationships" r:embed="rId19" cstate="print">
                  <a:alphaModFix/>
                  <a:extLst>
                    <a:ext uri="{28A0092B-C50C-407E-A947-70E740481C1C}">
                      <a14:useLocalDpi xmlns:a14="http://schemas.microsoft.com/office/drawing/2010/main" val="0"/>
                    </a:ext>
                  </a:extLst>
                </a:blip>
                <a:stretch>
                  <a:fillRect/>
                </a:stretch>
              </xdr:blipFill>
              <xdr:spPr>
                <a:xfrm>
                  <a:off x="3296296" y="28376"/>
                  <a:ext cx="214435" cy="230900"/>
                </a:xfrm>
                <a:prstGeom prst="rect">
                  <a:avLst/>
                </a:prstGeom>
              </xdr:spPr>
            </xdr:pic>
            <xdr:sp macro="" textlink="">
              <xdr:nvSpPr>
                <xdr:cNvPr id="79" name="TextBox 78">
                  <a:hlinkClick xmlns:r="http://schemas.openxmlformats.org/officeDocument/2006/relationships" r:id="rId20"/>
                  <a:extLst>
                    <a:ext uri="{FF2B5EF4-FFF2-40B4-BE49-F238E27FC236}">
                      <a16:creationId xmlns:a16="http://schemas.microsoft.com/office/drawing/2014/main" id="{EA445771-775C-BF17-8476-3074DF5B9A5A}"/>
                    </a:ext>
                  </a:extLst>
                </xdr:cNvPr>
                <xdr:cNvSpPr txBox="1"/>
              </xdr:nvSpPr>
              <xdr:spPr>
                <a:xfrm>
                  <a:off x="4388587" y="0"/>
                  <a:ext cx="63170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FURNITURE</a:t>
                  </a:r>
                </a:p>
              </xdr:txBody>
            </xdr:sp>
            <xdr:pic>
              <xdr:nvPicPr>
                <xdr:cNvPr id="80" name="Picture 79">
                  <a:hlinkClick xmlns:r="http://schemas.openxmlformats.org/officeDocument/2006/relationships" r:id="rId20"/>
                  <a:extLst>
                    <a:ext uri="{FF2B5EF4-FFF2-40B4-BE49-F238E27FC236}">
                      <a16:creationId xmlns:a16="http://schemas.microsoft.com/office/drawing/2014/main" id="{624B70D8-FA64-1DB9-B6E0-4802DF33ADD4}"/>
                    </a:ext>
                  </a:extLst>
                </xdr:cNvPr>
                <xdr:cNvPicPr>
                  <a:picLocks noChangeAspect="1"/>
                </xdr:cNvPicPr>
              </xdr:nvPicPr>
              <xdr:blipFill>
                <a:blip xmlns:r="http://schemas.openxmlformats.org/officeDocument/2006/relationships" r:embed="rId21" cstate="print">
                  <a:alphaModFix/>
                  <a:extLst>
                    <a:ext uri="{28A0092B-C50C-407E-A947-70E740481C1C}">
                      <a14:useLocalDpi xmlns:a14="http://schemas.microsoft.com/office/drawing/2010/main" val="0"/>
                    </a:ext>
                  </a:extLst>
                </a:blip>
                <a:stretch>
                  <a:fillRect/>
                </a:stretch>
              </xdr:blipFill>
              <xdr:spPr>
                <a:xfrm>
                  <a:off x="4180491" y="28376"/>
                  <a:ext cx="214435" cy="230900"/>
                </a:xfrm>
                <a:prstGeom prst="rect">
                  <a:avLst/>
                </a:prstGeom>
              </xdr:spPr>
            </xdr:pic>
            <xdr:pic>
              <xdr:nvPicPr>
                <xdr:cNvPr id="81" name="Picture 80">
                  <a:hlinkClick xmlns:r="http://schemas.openxmlformats.org/officeDocument/2006/relationships" r:id="rId22"/>
                  <a:extLst>
                    <a:ext uri="{FF2B5EF4-FFF2-40B4-BE49-F238E27FC236}">
                      <a16:creationId xmlns:a16="http://schemas.microsoft.com/office/drawing/2014/main" id="{AD02B0D2-30E2-F90A-E410-057D83F68B07}"/>
                    </a:ext>
                  </a:extLst>
                </xdr:cNvPr>
                <xdr:cNvPicPr>
                  <a:picLocks noChangeAspect="1"/>
                </xdr:cNvPicPr>
              </xdr:nvPicPr>
              <xdr:blipFill>
                <a:blip xmlns:r="http://schemas.openxmlformats.org/officeDocument/2006/relationships" r:embed="rId23" cstate="print">
                  <a:alphaModFix/>
                  <a:extLst>
                    <a:ext uri="{28A0092B-C50C-407E-A947-70E740481C1C}">
                      <a14:useLocalDpi xmlns:a14="http://schemas.microsoft.com/office/drawing/2010/main" val="0"/>
                    </a:ext>
                  </a:extLst>
                </a:blip>
                <a:stretch>
                  <a:fillRect/>
                </a:stretch>
              </xdr:blipFill>
              <xdr:spPr>
                <a:xfrm>
                  <a:off x="10812480" y="19549"/>
                  <a:ext cx="214188" cy="248554"/>
                </a:xfrm>
                <a:prstGeom prst="rect">
                  <a:avLst/>
                </a:prstGeom>
              </xdr:spPr>
            </xdr:pic>
            <xdr:sp macro="" textlink="">
              <xdr:nvSpPr>
                <xdr:cNvPr id="82" name="TextBox 81">
                  <a:hlinkClick xmlns:r="http://schemas.openxmlformats.org/officeDocument/2006/relationships" r:id="rId22"/>
                  <a:extLst>
                    <a:ext uri="{FF2B5EF4-FFF2-40B4-BE49-F238E27FC236}">
                      <a16:creationId xmlns:a16="http://schemas.microsoft.com/office/drawing/2014/main" id="{3FBCD991-5245-D5E1-D2E1-11751AB9090C}"/>
                    </a:ext>
                  </a:extLst>
                </xdr:cNvPr>
                <xdr:cNvSpPr txBox="1"/>
              </xdr:nvSpPr>
              <xdr:spPr>
                <a:xfrm>
                  <a:off x="11008843" y="0"/>
                  <a:ext cx="40705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PEERS</a:t>
                  </a:r>
                </a:p>
              </xdr:txBody>
            </xdr:sp>
            <xdr:sp macro="" textlink="">
              <xdr:nvSpPr>
                <xdr:cNvPr id="83" name="TextBox 82">
                  <a:hlinkClick xmlns:r="http://schemas.openxmlformats.org/officeDocument/2006/relationships" r:id="rId24"/>
                  <a:extLst>
                    <a:ext uri="{FF2B5EF4-FFF2-40B4-BE49-F238E27FC236}">
                      <a16:creationId xmlns:a16="http://schemas.microsoft.com/office/drawing/2014/main" id="{A2AC7E01-4EFB-9F69-123E-6724AEC416A3}"/>
                    </a:ext>
                  </a:extLst>
                </xdr:cNvPr>
                <xdr:cNvSpPr txBox="1"/>
              </xdr:nvSpPr>
              <xdr:spPr>
                <a:xfrm>
                  <a:off x="9581756" y="397481"/>
                  <a:ext cx="656781"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MAX PRICE</a:t>
                  </a:r>
                </a:p>
              </xdr:txBody>
            </xdr:sp>
            <xdr:pic>
              <xdr:nvPicPr>
                <xdr:cNvPr id="84" name="Picture 83">
                  <a:hlinkClick xmlns:r="http://schemas.openxmlformats.org/officeDocument/2006/relationships" r:id="rId24"/>
                  <a:extLst>
                    <a:ext uri="{FF2B5EF4-FFF2-40B4-BE49-F238E27FC236}">
                      <a16:creationId xmlns:a16="http://schemas.microsoft.com/office/drawing/2014/main" id="{6484A8B6-B09A-70C1-B3F9-8CAA6CDCDF0B}"/>
                    </a:ext>
                  </a:extLst>
                </xdr:cNvPr>
                <xdr:cNvPicPr>
                  <a:picLocks noChangeAspect="1"/>
                </xdr:cNvPicPr>
              </xdr:nvPicPr>
              <xdr:blipFill>
                <a:blip xmlns:r="http://schemas.openxmlformats.org/officeDocument/2006/relationships" r:embed="rId25" cstate="print">
                  <a:alphaModFix/>
                  <a:extLst>
                    <a:ext uri="{28A0092B-C50C-407E-A947-70E740481C1C}">
                      <a14:useLocalDpi xmlns:a14="http://schemas.microsoft.com/office/drawing/2010/main" val="0"/>
                    </a:ext>
                  </a:extLst>
                </a:blip>
                <a:stretch>
                  <a:fillRect/>
                </a:stretch>
              </xdr:blipFill>
              <xdr:spPr>
                <a:xfrm>
                  <a:off x="9433997" y="425857"/>
                  <a:ext cx="214435" cy="230900"/>
                </a:xfrm>
                <a:prstGeom prst="rect">
                  <a:avLst/>
                </a:prstGeom>
              </xdr:spPr>
            </xdr:pic>
            <xdr:sp macro="" textlink="">
              <xdr:nvSpPr>
                <xdr:cNvPr id="85" name="TextBox 84">
                  <a:hlinkClick xmlns:r="http://schemas.openxmlformats.org/officeDocument/2006/relationships" r:id="rId26"/>
                  <a:extLst>
                    <a:ext uri="{FF2B5EF4-FFF2-40B4-BE49-F238E27FC236}">
                      <a16:creationId xmlns:a16="http://schemas.microsoft.com/office/drawing/2014/main" id="{E800982A-BB54-38EC-BB50-9445181D1160}"/>
                    </a:ext>
                  </a:extLst>
                </xdr:cNvPr>
                <xdr:cNvSpPr txBox="1"/>
              </xdr:nvSpPr>
              <xdr:spPr>
                <a:xfrm>
                  <a:off x="7733272" y="389861"/>
                  <a:ext cx="6384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SCENARIOS</a:t>
                  </a:r>
                </a:p>
              </xdr:txBody>
            </xdr:sp>
            <xdr:pic>
              <xdr:nvPicPr>
                <xdr:cNvPr id="86" name="Picture 85">
                  <a:hlinkClick xmlns:r="http://schemas.openxmlformats.org/officeDocument/2006/relationships" r:id="rId26"/>
                  <a:extLst>
                    <a:ext uri="{FF2B5EF4-FFF2-40B4-BE49-F238E27FC236}">
                      <a16:creationId xmlns:a16="http://schemas.microsoft.com/office/drawing/2014/main" id="{DB366DB3-E506-4ED9-45F6-512072352956}"/>
                    </a:ext>
                  </a:extLst>
                </xdr:cNvPr>
                <xdr:cNvPicPr>
                  <a:picLocks noChangeAspect="1"/>
                </xdr:cNvPicPr>
              </xdr:nvPicPr>
              <xdr:blipFill>
                <a:blip xmlns:r="http://schemas.openxmlformats.org/officeDocument/2006/relationships" r:embed="rId27" cstate="print">
                  <a:alphaModFix/>
                  <a:extLst>
                    <a:ext uri="{28A0092B-C50C-407E-A947-70E740481C1C}">
                      <a14:useLocalDpi xmlns:a14="http://schemas.microsoft.com/office/drawing/2010/main" val="0"/>
                    </a:ext>
                  </a:extLst>
                </a:blip>
                <a:stretch>
                  <a:fillRect/>
                </a:stretch>
              </xdr:blipFill>
              <xdr:spPr>
                <a:xfrm>
                  <a:off x="7536090" y="418237"/>
                  <a:ext cx="214435" cy="230900"/>
                </a:xfrm>
                <a:prstGeom prst="rect">
                  <a:avLst/>
                </a:prstGeom>
              </xdr:spPr>
            </xdr:pic>
            <xdr:sp macro="" textlink="">
              <xdr:nvSpPr>
                <xdr:cNvPr id="87" name="TextBox 86">
                  <a:hlinkClick xmlns:r="http://schemas.openxmlformats.org/officeDocument/2006/relationships" r:id="rId28"/>
                  <a:extLst>
                    <a:ext uri="{FF2B5EF4-FFF2-40B4-BE49-F238E27FC236}">
                      <a16:creationId xmlns:a16="http://schemas.microsoft.com/office/drawing/2014/main" id="{4331964D-02C3-8589-5306-CF00F45A73F0}"/>
                    </a:ext>
                  </a:extLst>
                </xdr:cNvPr>
                <xdr:cNvSpPr txBox="1"/>
              </xdr:nvSpPr>
              <xdr:spPr>
                <a:xfrm>
                  <a:off x="11757467" y="49286"/>
                  <a:ext cx="110218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MARKET RESEARCH</a:t>
                  </a:r>
                </a:p>
              </xdr:txBody>
            </xdr:sp>
            <xdr:pic>
              <xdr:nvPicPr>
                <xdr:cNvPr id="88" name="Picture 87" descr="A white and brown hourglass&#10;&#10;AI-generated content may be incorrect.">
                  <a:hlinkClick xmlns:r="http://schemas.openxmlformats.org/officeDocument/2006/relationships" r:id="rId28"/>
                  <a:extLst>
                    <a:ext uri="{FF2B5EF4-FFF2-40B4-BE49-F238E27FC236}">
                      <a16:creationId xmlns:a16="http://schemas.microsoft.com/office/drawing/2014/main" id="{0DC3A1EF-5BDD-0C7C-B4AC-1CC417F122A9}"/>
                    </a:ext>
                  </a:extLst>
                </xdr:cNvPr>
                <xdr:cNvPicPr>
                  <a:picLocks noChangeAspect="1"/>
                </xdr:cNvPicPr>
              </xdr:nvPicPr>
              <xdr:blipFill>
                <a:blip xmlns:r="http://schemas.openxmlformats.org/officeDocument/2006/relationships" r:embed="rId29" cstate="print">
                  <a:alphaModFix/>
                  <a:extLst>
                    <a:ext uri="{28A0092B-C50C-407E-A947-70E740481C1C}">
                      <a14:useLocalDpi xmlns:a14="http://schemas.microsoft.com/office/drawing/2010/main" val="0"/>
                    </a:ext>
                  </a:extLst>
                </a:blip>
                <a:stretch>
                  <a:fillRect/>
                </a:stretch>
              </xdr:blipFill>
              <xdr:spPr>
                <a:xfrm>
                  <a:off x="11563464" y="33893"/>
                  <a:ext cx="235575" cy="261687"/>
                </a:xfrm>
                <a:prstGeom prst="rect">
                  <a:avLst/>
                </a:prstGeom>
              </xdr:spPr>
            </xdr:pic>
            <xdr:pic>
              <xdr:nvPicPr>
                <xdr:cNvPr id="89" name="Picture 88">
                  <a:hlinkClick xmlns:r="http://schemas.openxmlformats.org/officeDocument/2006/relationships" r:id="rId30"/>
                  <a:extLst>
                    <a:ext uri="{FF2B5EF4-FFF2-40B4-BE49-F238E27FC236}">
                      <a16:creationId xmlns:a16="http://schemas.microsoft.com/office/drawing/2014/main" id="{E232A7E4-29C0-312C-5D7D-34328AD91489}"/>
                    </a:ext>
                  </a:extLst>
                </xdr:cNvPr>
                <xdr:cNvPicPr>
                  <a:picLocks noChangeAspect="1" noChangeArrowheads="1"/>
                </xdr:cNvPicPr>
              </xdr:nvPicPr>
              <xdr:blipFill>
                <a:blip xmlns:r="http://schemas.openxmlformats.org/officeDocument/2006/relationships" r:embed="rId3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33032" y="384834"/>
                  <a:ext cx="261600" cy="33288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0" name="TextBox 89">
                  <a:hlinkClick xmlns:r="http://schemas.openxmlformats.org/officeDocument/2006/relationships" r:id="rId30"/>
                  <a:extLst>
                    <a:ext uri="{FF2B5EF4-FFF2-40B4-BE49-F238E27FC236}">
                      <a16:creationId xmlns:a16="http://schemas.microsoft.com/office/drawing/2014/main" id="{980A740E-46E7-8538-41CD-A31C29711C71}"/>
                    </a:ext>
                  </a:extLst>
                </xdr:cNvPr>
                <xdr:cNvSpPr txBox="1"/>
              </xdr:nvSpPr>
              <xdr:spPr>
                <a:xfrm>
                  <a:off x="3637195" y="315564"/>
                  <a:ext cx="914586" cy="433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BALANCE SHEET</a:t>
                  </a:r>
                </a:p>
                <a:p>
                  <a:pPr algn="ctr"/>
                  <a:r>
                    <a:rPr lang="en-US" sz="900" b="1">
                      <a:solidFill>
                        <a:schemeClr val="bg1"/>
                      </a:solidFill>
                    </a:rPr>
                    <a:t>SUMMARY</a:t>
                  </a:r>
                </a:p>
              </xdr:txBody>
            </xdr:sp>
            <xdr:pic>
              <xdr:nvPicPr>
                <xdr:cNvPr id="91" name="Picture 90">
                  <a:hlinkClick xmlns:r="http://schemas.openxmlformats.org/officeDocument/2006/relationships" r:id="rId32"/>
                  <a:extLst>
                    <a:ext uri="{FF2B5EF4-FFF2-40B4-BE49-F238E27FC236}">
                      <a16:creationId xmlns:a16="http://schemas.microsoft.com/office/drawing/2014/main" id="{558E1BB1-63A6-9425-58FD-2783D91FDAC7}"/>
                    </a:ext>
                  </a:extLst>
                </xdr:cNvPr>
                <xdr:cNvPicPr>
                  <a:picLocks noChangeAspect="1" noChangeArrowheads="1"/>
                </xdr:cNvPicPr>
              </xdr:nvPicPr>
              <xdr:blipFill>
                <a:blip xmlns:r="http://schemas.openxmlformats.org/officeDocument/2006/relationships" r:embed="rId33" cstate="print">
                  <a:clrChange>
                    <a:clrFrom>
                      <a:srgbClr val="F8F8F8"/>
                    </a:clrFrom>
                    <a:clrTo>
                      <a:srgbClr val="F8F8F8">
                        <a:alpha val="0"/>
                      </a:srgbClr>
                    </a:clrTo>
                  </a:clrChange>
                  <a:extLst>
                    <a:ext uri="{28A0092B-C50C-407E-A947-70E740481C1C}">
                      <a14:useLocalDpi xmlns:a14="http://schemas.microsoft.com/office/drawing/2010/main" val="0"/>
                    </a:ext>
                  </a:extLst>
                </a:blip>
                <a:srcRect/>
                <a:stretch>
                  <a:fillRect/>
                </a:stretch>
              </xdr:blipFill>
              <xdr:spPr bwMode="auto">
                <a:xfrm>
                  <a:off x="4602713" y="384834"/>
                  <a:ext cx="326621" cy="3113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2" name="TextBox 91">
                  <a:hlinkClick xmlns:r="http://schemas.openxmlformats.org/officeDocument/2006/relationships" r:id="rId32"/>
                  <a:extLst>
                    <a:ext uri="{FF2B5EF4-FFF2-40B4-BE49-F238E27FC236}">
                      <a16:creationId xmlns:a16="http://schemas.microsoft.com/office/drawing/2014/main" id="{B37E0BC7-5575-AD75-C092-7F7158F7557C}"/>
                    </a:ext>
                  </a:extLst>
                </xdr:cNvPr>
                <xdr:cNvSpPr txBox="1"/>
              </xdr:nvSpPr>
              <xdr:spPr>
                <a:xfrm>
                  <a:off x="4880678" y="423317"/>
                  <a:ext cx="56334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ASSETS</a:t>
                  </a:r>
                </a:p>
              </xdr:txBody>
            </xdr:sp>
            <xdr:pic>
              <xdr:nvPicPr>
                <xdr:cNvPr id="93" name="Picture 92">
                  <a:hlinkClick xmlns:r="http://schemas.openxmlformats.org/officeDocument/2006/relationships" r:id="rId34"/>
                  <a:extLst>
                    <a:ext uri="{FF2B5EF4-FFF2-40B4-BE49-F238E27FC236}">
                      <a16:creationId xmlns:a16="http://schemas.microsoft.com/office/drawing/2014/main" id="{F1109CEB-ECF7-BAFA-A5E2-4406560BA17C}"/>
                    </a:ext>
                  </a:extLst>
                </xdr:cNvPr>
                <xdr:cNvPicPr>
                  <a:picLocks noChangeAspect="1" noChangeArrowheads="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35903" y="354046"/>
                  <a:ext cx="278234" cy="3540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4" name="TextBox 93">
                  <a:hlinkClick xmlns:r="http://schemas.openxmlformats.org/officeDocument/2006/relationships" r:id="rId34"/>
                  <a:extLst>
                    <a:ext uri="{FF2B5EF4-FFF2-40B4-BE49-F238E27FC236}">
                      <a16:creationId xmlns:a16="http://schemas.microsoft.com/office/drawing/2014/main" id="{5C05DD33-5C42-BEE4-3DBE-B61781B1D981}"/>
                    </a:ext>
                  </a:extLst>
                </xdr:cNvPr>
                <xdr:cNvSpPr txBox="1"/>
              </xdr:nvSpPr>
              <xdr:spPr>
                <a:xfrm>
                  <a:off x="5717678" y="431014"/>
                  <a:ext cx="750091"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LIABILITIES</a:t>
                  </a:r>
                </a:p>
              </xdr:txBody>
            </xdr:sp>
            <xdr:pic>
              <xdr:nvPicPr>
                <xdr:cNvPr id="95" name="Picture 94">
                  <a:hlinkClick xmlns:r="http://schemas.openxmlformats.org/officeDocument/2006/relationships" r:id="rId36"/>
                  <a:extLst>
                    <a:ext uri="{FF2B5EF4-FFF2-40B4-BE49-F238E27FC236}">
                      <a16:creationId xmlns:a16="http://schemas.microsoft.com/office/drawing/2014/main" id="{603BDE10-381E-6ED6-6A0E-ADC92457AB24}"/>
                    </a:ext>
                  </a:extLst>
                </xdr:cNvPr>
                <xdr:cNvPicPr>
                  <a:picLocks noChangeAspect="1"/>
                </xdr:cNvPicPr>
              </xdr:nvPicPr>
              <xdr:blipFill>
                <a:blip xmlns:r="http://schemas.openxmlformats.org/officeDocument/2006/relationships" r:embed="rId37">
                  <a:clrChange>
                    <a:clrFrom>
                      <a:srgbClr val="FFFFFF"/>
                    </a:clrFrom>
                    <a:clrTo>
                      <a:srgbClr val="FFFFFF">
                        <a:alpha val="0"/>
                      </a:srgbClr>
                    </a:clrTo>
                  </a:clrChange>
                </a:blip>
                <a:stretch>
                  <a:fillRect/>
                </a:stretch>
              </xdr:blipFill>
              <xdr:spPr>
                <a:xfrm>
                  <a:off x="6454424" y="361268"/>
                  <a:ext cx="368693" cy="354523"/>
                </a:xfrm>
                <a:prstGeom prst="rect">
                  <a:avLst/>
                </a:prstGeom>
              </xdr:spPr>
            </xdr:pic>
            <xdr:sp macro="" textlink="">
              <xdr:nvSpPr>
                <xdr:cNvPr id="96" name="TextBox 95">
                  <a:hlinkClick xmlns:r="http://schemas.openxmlformats.org/officeDocument/2006/relationships" r:id="rId36"/>
                  <a:extLst>
                    <a:ext uri="{FF2B5EF4-FFF2-40B4-BE49-F238E27FC236}">
                      <a16:creationId xmlns:a16="http://schemas.microsoft.com/office/drawing/2014/main" id="{DE9C5A9C-5427-5F7E-E21A-249FF2FDCA09}"/>
                    </a:ext>
                  </a:extLst>
                </xdr:cNvPr>
                <xdr:cNvSpPr txBox="1"/>
              </xdr:nvSpPr>
              <xdr:spPr>
                <a:xfrm>
                  <a:off x="6742924" y="369440"/>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EDIT</a:t>
                  </a:r>
                </a:p>
                <a:p>
                  <a:r>
                    <a:rPr lang="en-US" sz="900" b="1">
                      <a:solidFill>
                        <a:schemeClr val="bg1"/>
                      </a:solidFill>
                    </a:rPr>
                    <a:t>CATEGORIES</a:t>
                  </a:r>
                </a:p>
              </xdr:txBody>
            </xdr:sp>
            <xdr:grpSp>
              <xdr:nvGrpSpPr>
                <xdr:cNvPr id="97" name="Group 96">
                  <a:hlinkClick xmlns:r="http://schemas.openxmlformats.org/officeDocument/2006/relationships" r:id="rId38"/>
                  <a:extLst>
                    <a:ext uri="{FF2B5EF4-FFF2-40B4-BE49-F238E27FC236}">
                      <a16:creationId xmlns:a16="http://schemas.microsoft.com/office/drawing/2014/main" id="{D710B158-BFB0-9E2A-9DED-D92DD6D6E930}"/>
                    </a:ext>
                  </a:extLst>
                </xdr:cNvPr>
                <xdr:cNvGrpSpPr/>
              </xdr:nvGrpSpPr>
              <xdr:grpSpPr>
                <a:xfrm>
                  <a:off x="10231249" y="237461"/>
                  <a:ext cx="1281586" cy="502920"/>
                  <a:chOff x="11732389" y="237461"/>
                  <a:chExt cx="1281586" cy="502920"/>
                </a:xfrm>
              </xdr:grpSpPr>
              <xdr:pic>
                <xdr:nvPicPr>
                  <xdr:cNvPr id="98" name="Picture 97">
                    <a:hlinkClick xmlns:r="http://schemas.openxmlformats.org/officeDocument/2006/relationships" r:id="rId39"/>
                    <a:extLst>
                      <a:ext uri="{FF2B5EF4-FFF2-40B4-BE49-F238E27FC236}">
                        <a16:creationId xmlns:a16="http://schemas.microsoft.com/office/drawing/2014/main" id="{7C964B67-C5DA-1F12-06B3-083FA0231678}"/>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1732389" y="237461"/>
                    <a:ext cx="502920" cy="502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9" name="TextBox 98">
                    <a:hlinkClick xmlns:r="http://schemas.openxmlformats.org/officeDocument/2006/relationships" r:id="rId39"/>
                    <a:extLst>
                      <a:ext uri="{FF2B5EF4-FFF2-40B4-BE49-F238E27FC236}">
                        <a16:creationId xmlns:a16="http://schemas.microsoft.com/office/drawing/2014/main" id="{657EA5D9-8078-5439-97D4-0232473EBEC8}"/>
                      </a:ext>
                    </a:extLst>
                  </xdr:cNvPr>
                  <xdr:cNvSpPr txBox="1"/>
                </xdr:nvSpPr>
                <xdr:spPr>
                  <a:xfrm>
                    <a:off x="12197209" y="344142"/>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 GAME APPS</a:t>
                    </a:r>
                  </a:p>
                </xdr:txBody>
              </xdr:sp>
            </xdr:grpSp>
          </xdr:grpSp>
          <xdr:grpSp>
            <xdr:nvGrpSpPr>
              <xdr:cNvPr id="58" name="Group 57">
                <a:extLst>
                  <a:ext uri="{FF2B5EF4-FFF2-40B4-BE49-F238E27FC236}">
                    <a16:creationId xmlns:a16="http://schemas.microsoft.com/office/drawing/2014/main" id="{AFD962DE-1868-FD20-EC88-708FF29E18E0}"/>
                  </a:ext>
                </a:extLst>
              </xdr:cNvPr>
              <xdr:cNvGrpSpPr/>
            </xdr:nvGrpSpPr>
            <xdr:grpSpPr>
              <a:xfrm>
                <a:off x="3030070" y="313765"/>
                <a:ext cx="1219410" cy="438976"/>
                <a:chOff x="3030070" y="313765"/>
                <a:chExt cx="1219410" cy="438976"/>
              </a:xfrm>
            </xdr:grpSpPr>
            <xdr:sp macro="" textlink="">
              <xdr:nvSpPr>
                <xdr:cNvPr id="59" name="TextBox 58">
                  <a:hlinkClick xmlns:r="http://schemas.openxmlformats.org/officeDocument/2006/relationships" r:id="rId41"/>
                  <a:extLst>
                    <a:ext uri="{FF2B5EF4-FFF2-40B4-BE49-F238E27FC236}">
                      <a16:creationId xmlns:a16="http://schemas.microsoft.com/office/drawing/2014/main" id="{E80015B6-2201-DCBC-B0B4-2F4C1D46993C}"/>
                    </a:ext>
                  </a:extLst>
                </xdr:cNvPr>
                <xdr:cNvSpPr txBox="1"/>
              </xdr:nvSpPr>
              <xdr:spPr>
                <a:xfrm>
                  <a:off x="3307528" y="313765"/>
                  <a:ext cx="941952" cy="43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BOOK KEEPING</a:t>
                  </a:r>
                </a:p>
                <a:p>
                  <a:pPr algn="ctr"/>
                  <a:r>
                    <a:rPr lang="en-US" sz="900" b="1">
                      <a:solidFill>
                        <a:schemeClr val="bg1"/>
                      </a:solidFill>
                    </a:rPr>
                    <a:t>LEDGER</a:t>
                  </a:r>
                </a:p>
              </xdr:txBody>
            </xdr:sp>
            <xdr:pic>
              <xdr:nvPicPr>
                <xdr:cNvPr id="60" name="Picture 59">
                  <a:hlinkClick xmlns:r="http://schemas.openxmlformats.org/officeDocument/2006/relationships" r:id="rId41"/>
                  <a:extLst>
                    <a:ext uri="{FF2B5EF4-FFF2-40B4-BE49-F238E27FC236}">
                      <a16:creationId xmlns:a16="http://schemas.microsoft.com/office/drawing/2014/main" id="{D827044B-E4A0-D7CF-02C1-1F7EE3F0D108}"/>
                    </a:ext>
                  </a:extLst>
                </xdr:cNvPr>
                <xdr:cNvPicPr>
                  <a:picLocks noChangeAspect="1"/>
                </xdr:cNvPicPr>
              </xdr:nvPicPr>
              <xdr:blipFill>
                <a:blip xmlns:r="http://schemas.openxmlformats.org/officeDocument/2006/relationships" r:embed="rId4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0070" y="367554"/>
                  <a:ext cx="327770" cy="349622"/>
                </a:xfrm>
                <a:prstGeom prst="rect">
                  <a:avLst/>
                </a:prstGeom>
              </xdr:spPr>
            </xdr:pic>
          </xdr:grpSp>
        </xdr:grpSp>
        <xdr:grpSp>
          <xdr:nvGrpSpPr>
            <xdr:cNvPr id="54" name="Group 53">
              <a:extLst>
                <a:ext uri="{FF2B5EF4-FFF2-40B4-BE49-F238E27FC236}">
                  <a16:creationId xmlns:a16="http://schemas.microsoft.com/office/drawing/2014/main" id="{60EE1641-7464-55E5-73C1-51A10A7404F9}"/>
                </a:ext>
              </a:extLst>
            </xdr:cNvPr>
            <xdr:cNvGrpSpPr/>
          </xdr:nvGrpSpPr>
          <xdr:grpSpPr>
            <a:xfrm>
              <a:off x="12626340" y="243840"/>
              <a:ext cx="1344125" cy="571500"/>
              <a:chOff x="12626340" y="243840"/>
              <a:chExt cx="1344125" cy="571500"/>
            </a:xfrm>
          </xdr:grpSpPr>
          <xdr:pic>
            <xdr:nvPicPr>
              <xdr:cNvPr id="55" name="Picture 54">
                <a:hlinkClick xmlns:r="http://schemas.openxmlformats.org/officeDocument/2006/relationships" r:id="rId43"/>
                <a:extLst>
                  <a:ext uri="{FF2B5EF4-FFF2-40B4-BE49-F238E27FC236}">
                    <a16:creationId xmlns:a16="http://schemas.microsoft.com/office/drawing/2014/main" id="{B407BE2E-F82F-AB63-513D-2F816AF036F2}"/>
                  </a:ext>
                </a:extLst>
              </xdr:cNvPr>
              <xdr:cNvPicPr>
                <a:picLocks noChangeAspect="1" noChangeArrowheads="1"/>
              </xdr:cNvPicPr>
            </xdr:nvPicPr>
            <xdr:blipFill>
              <a:blip xmlns:r="http://schemas.openxmlformats.org/officeDocument/2006/relationships" r:embed="rId4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26340" y="243840"/>
                <a:ext cx="571500" cy="571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6" name="TextBox 55">
                <a:hlinkClick xmlns:r="http://schemas.openxmlformats.org/officeDocument/2006/relationships" r:id="rId43"/>
                <a:extLst>
                  <a:ext uri="{FF2B5EF4-FFF2-40B4-BE49-F238E27FC236}">
                    <a16:creationId xmlns:a16="http://schemas.microsoft.com/office/drawing/2014/main" id="{E774A84E-AE72-905D-8AF9-5AC597B7A899}"/>
                  </a:ext>
                </a:extLst>
              </xdr:cNvPr>
              <xdr:cNvSpPr txBox="1"/>
            </xdr:nvSpPr>
            <xdr:spPr>
              <a:xfrm>
                <a:off x="13129260" y="327660"/>
                <a:ext cx="841205" cy="4000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TRAVEL</a:t>
                </a:r>
              </a:p>
              <a:p>
                <a:pPr algn="ctr"/>
                <a:r>
                  <a:rPr lang="en-US" sz="900" b="1">
                    <a:solidFill>
                      <a:schemeClr val="bg1"/>
                    </a:solidFill>
                  </a:rPr>
                  <a:t>SANDBOX</a:t>
                </a:r>
              </a:p>
            </xdr:txBody>
          </xdr:sp>
        </xdr:grpSp>
      </xdr:grpSp>
      <xdr:pic>
        <xdr:nvPicPr>
          <xdr:cNvPr id="52" name="Picture 51">
            <a:hlinkClick xmlns:r="http://schemas.openxmlformats.org/officeDocument/2006/relationships" r:id="rId11"/>
            <a:extLst>
              <a:ext uri="{FF2B5EF4-FFF2-40B4-BE49-F238E27FC236}">
                <a16:creationId xmlns:a16="http://schemas.microsoft.com/office/drawing/2014/main" id="{DEF54F25-5D11-4351-AAFE-CA9F9CE06187}"/>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34100" y="30480"/>
            <a:ext cx="234698" cy="246078"/>
          </a:xfrm>
          <a:prstGeom prst="rect">
            <a:avLst/>
          </a:prstGeom>
          <a:solidFill>
            <a:srgbClr val="7FA6C7"/>
          </a:solidFill>
        </xdr:spPr>
      </xdr:pic>
    </xdr:grpSp>
    <xdr:clientData/>
  </xdr:twoCellAnchor>
</xdr:wsDr>
</file>

<file path=xl/drawings/drawing25.xml><?xml version="1.0" encoding="utf-8"?>
<xdr:wsDr xmlns:xdr="http://schemas.openxmlformats.org/drawingml/2006/spreadsheetDrawing" xmlns:a="http://schemas.openxmlformats.org/drawingml/2006/main">
  <xdr:twoCellAnchor>
    <xdr:from>
      <xdr:col>29</xdr:col>
      <xdr:colOff>144256</xdr:colOff>
      <xdr:row>54</xdr:row>
      <xdr:rowOff>158995</xdr:rowOff>
    </xdr:from>
    <xdr:to>
      <xdr:col>35</xdr:col>
      <xdr:colOff>144256</xdr:colOff>
      <xdr:row>57</xdr:row>
      <xdr:rowOff>56418</xdr:rowOff>
    </xdr:to>
    <xdr:grpSp>
      <xdr:nvGrpSpPr>
        <xdr:cNvPr id="53" name="Group 52">
          <a:extLst>
            <a:ext uri="{FF2B5EF4-FFF2-40B4-BE49-F238E27FC236}">
              <a16:creationId xmlns:a16="http://schemas.microsoft.com/office/drawing/2014/main" id="{00000000-0008-0000-0000-000035000000}"/>
            </a:ext>
          </a:extLst>
        </xdr:cNvPr>
        <xdr:cNvGrpSpPr>
          <a:grpSpLocks noChangeAspect="1"/>
        </xdr:cNvGrpSpPr>
      </xdr:nvGrpSpPr>
      <xdr:grpSpPr>
        <a:xfrm>
          <a:off x="5889736" y="10247875"/>
          <a:ext cx="1188720" cy="423203"/>
          <a:chOff x="6324600" y="7810499"/>
          <a:chExt cx="1495425" cy="457201"/>
        </a:xfrm>
      </xdr:grpSpPr>
      <xdr:sp macro="" textlink="">
        <xdr:nvSpPr>
          <xdr:cNvPr id="54" name="Rectangle: Rounded Corners 53">
            <a:extLst>
              <a:ext uri="{FF2B5EF4-FFF2-40B4-BE49-F238E27FC236}">
                <a16:creationId xmlns:a16="http://schemas.microsoft.com/office/drawing/2014/main" id="{00000000-0008-0000-0000-000036000000}"/>
              </a:ext>
            </a:extLst>
          </xdr:cNvPr>
          <xdr:cNvSpPr/>
        </xdr:nvSpPr>
        <xdr:spPr>
          <a:xfrm>
            <a:off x="6324600" y="7858126"/>
            <a:ext cx="1495425" cy="409574"/>
          </a:xfrm>
          <a:prstGeom prst="roundRect">
            <a:avLst>
              <a:gd name="adj" fmla="val 7667"/>
            </a:avLst>
          </a:prstGeom>
          <a:solidFill>
            <a:schemeClr val="bg1">
              <a:lumMod val="95000"/>
            </a:schemeClr>
          </a:solidFill>
          <a:ln>
            <a:solidFill>
              <a:schemeClr val="bg2">
                <a:lumMod val="90000"/>
              </a:schemeClr>
            </a:solidFill>
          </a:ln>
          <a:effectLst/>
        </xdr:spPr>
        <xdr:style>
          <a:lnRef idx="1">
            <a:schemeClr val="accent4"/>
          </a:lnRef>
          <a:fillRef idx="3">
            <a:schemeClr val="accent4"/>
          </a:fillRef>
          <a:effectRef idx="2">
            <a:schemeClr val="accent4"/>
          </a:effectRef>
          <a:fontRef idx="minor">
            <a:schemeClr val="lt1"/>
          </a:fontRef>
        </xdr:style>
        <xdr:txBody>
          <a:bodyPr vertOverflow="clip" horzOverflow="clip" bIns="18288" rtlCol="0" anchor="b"/>
          <a:lstStyle/>
          <a:p>
            <a:pPr algn="ctr"/>
            <a:r>
              <a:rPr lang="en-US" sz="800">
                <a:solidFill>
                  <a:schemeClr val="tx1">
                    <a:lumMod val="75000"/>
                    <a:lumOff val="25000"/>
                  </a:schemeClr>
                </a:solidFill>
                <a:latin typeface="Open Sans" panose="020B0606030504020204" pitchFamily="34" charset="0"/>
                <a:ea typeface="Open Sans" panose="020B0606030504020204" pitchFamily="34" charset="0"/>
                <a:cs typeface="Open Sans" panose="020B0606030504020204" pitchFamily="34" charset="0"/>
              </a:rPr>
              <a:t>1% RULE</a:t>
            </a:r>
            <a:endParaRPr lang="en-US" sz="1000">
              <a:solidFill>
                <a:schemeClr val="tx1">
                  <a:lumMod val="75000"/>
                  <a:lumOff val="25000"/>
                </a:schemeClr>
              </a:solidFill>
              <a:latin typeface="Open Sans" panose="020B0606030504020204" pitchFamily="34" charset="0"/>
              <a:ea typeface="Open Sans" panose="020B0606030504020204" pitchFamily="34" charset="0"/>
              <a:cs typeface="Open Sans" panose="020B0606030504020204" pitchFamily="34" charset="0"/>
            </a:endParaRPr>
          </a:p>
        </xdr:txBody>
      </xdr:sp>
      <xdr:sp macro="" textlink="DASHBOARD!AQ245">
        <xdr:nvSpPr>
          <xdr:cNvPr id="55" name="TextBox 54">
            <a:extLst>
              <a:ext uri="{FF2B5EF4-FFF2-40B4-BE49-F238E27FC236}">
                <a16:creationId xmlns:a16="http://schemas.microsoft.com/office/drawing/2014/main" id="{00000000-0008-0000-0000-000037000000}"/>
              </a:ext>
            </a:extLst>
          </xdr:cNvPr>
          <xdr:cNvSpPr txBox="1"/>
        </xdr:nvSpPr>
        <xdr:spPr>
          <a:xfrm>
            <a:off x="6372225" y="7810499"/>
            <a:ext cx="1381125" cy="306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fld id="{0B1680AB-045A-4240-918E-65077468DADC}" type="TxLink">
              <a:rPr lang="en-US" sz="1100" b="1" i="0" u="none" strike="noStrike">
                <a:solidFill>
                  <a:srgbClr val="404040"/>
                </a:solidFill>
                <a:effectLst>
                  <a:outerShdw blurRad="63500" sx="102000" sy="102000" algn="ctr" rotWithShape="0">
                    <a:schemeClr val="bg1">
                      <a:lumMod val="95000"/>
                      <a:alpha val="40000"/>
                    </a:schemeClr>
                  </a:outerShdw>
                </a:effectLst>
                <a:latin typeface="Arial"/>
                <a:ea typeface="Segoe UI Black" panose="020B0A02040204020203" pitchFamily="34" charset="0"/>
                <a:cs typeface="Arial"/>
              </a:rPr>
              <a:pPr algn="ctr"/>
              <a:t>0.00%</a:t>
            </a:fld>
            <a:endParaRPr lang="en-US" sz="255800" b="1">
              <a:solidFill>
                <a:schemeClr val="tx1">
                  <a:lumMod val="75000"/>
                  <a:lumOff val="25000"/>
                </a:schemeClr>
              </a:solidFill>
              <a:effectLst>
                <a:outerShdw blurRad="63500" sx="102000" sy="102000" algn="ctr" rotWithShape="0">
                  <a:schemeClr val="bg1">
                    <a:lumMod val="95000"/>
                    <a:alpha val="40000"/>
                  </a:schemeClr>
                </a:outerShdw>
              </a:effectLst>
              <a:ea typeface="Segoe UI Black" panose="020B0A02040204020203" pitchFamily="34" charset="0"/>
            </a:endParaRPr>
          </a:p>
        </xdr:txBody>
      </xdr:sp>
    </xdr:grpSp>
    <xdr:clientData/>
  </xdr:twoCellAnchor>
  <xdr:twoCellAnchor>
    <xdr:from>
      <xdr:col>16</xdr:col>
      <xdr:colOff>171450</xdr:colOff>
      <xdr:row>54</xdr:row>
      <xdr:rowOff>158995</xdr:rowOff>
    </xdr:from>
    <xdr:to>
      <xdr:col>22</xdr:col>
      <xdr:colOff>171450</xdr:colOff>
      <xdr:row>57</xdr:row>
      <xdr:rowOff>54982</xdr:rowOff>
    </xdr:to>
    <xdr:grpSp>
      <xdr:nvGrpSpPr>
        <xdr:cNvPr id="56" name="Group 55">
          <a:extLst>
            <a:ext uri="{FF2B5EF4-FFF2-40B4-BE49-F238E27FC236}">
              <a16:creationId xmlns:a16="http://schemas.microsoft.com/office/drawing/2014/main" id="{00000000-0008-0000-0000-000038000000}"/>
            </a:ext>
          </a:extLst>
        </xdr:cNvPr>
        <xdr:cNvGrpSpPr>
          <a:grpSpLocks/>
        </xdr:cNvGrpSpPr>
      </xdr:nvGrpSpPr>
      <xdr:grpSpPr>
        <a:xfrm>
          <a:off x="3341370" y="10247875"/>
          <a:ext cx="1188720" cy="421767"/>
          <a:chOff x="6324600" y="7810499"/>
          <a:chExt cx="1495425" cy="457201"/>
        </a:xfrm>
      </xdr:grpSpPr>
      <xdr:sp macro="" textlink="">
        <xdr:nvSpPr>
          <xdr:cNvPr id="57" name="Rectangle: Rounded Corners 56">
            <a:extLst>
              <a:ext uri="{FF2B5EF4-FFF2-40B4-BE49-F238E27FC236}">
                <a16:creationId xmlns:a16="http://schemas.microsoft.com/office/drawing/2014/main" id="{00000000-0008-0000-0000-000039000000}"/>
              </a:ext>
            </a:extLst>
          </xdr:cNvPr>
          <xdr:cNvSpPr/>
        </xdr:nvSpPr>
        <xdr:spPr>
          <a:xfrm>
            <a:off x="6324600" y="7858126"/>
            <a:ext cx="1495425" cy="409574"/>
          </a:xfrm>
          <a:prstGeom prst="roundRect">
            <a:avLst>
              <a:gd name="adj" fmla="val 7667"/>
            </a:avLst>
          </a:prstGeom>
          <a:solidFill>
            <a:srgbClr val="EEF3F8"/>
          </a:solidFill>
          <a:ln>
            <a:solidFill>
              <a:schemeClr val="bg2">
                <a:lumMod val="90000"/>
              </a:schemeClr>
            </a:solidFill>
          </a:ln>
          <a:effectLst/>
        </xdr:spPr>
        <xdr:style>
          <a:lnRef idx="1">
            <a:schemeClr val="accent4"/>
          </a:lnRef>
          <a:fillRef idx="3">
            <a:schemeClr val="accent4"/>
          </a:fillRef>
          <a:effectRef idx="2">
            <a:schemeClr val="accent4"/>
          </a:effectRef>
          <a:fontRef idx="minor">
            <a:schemeClr val="lt1"/>
          </a:fontRef>
        </xdr:style>
        <xdr:txBody>
          <a:bodyPr vertOverflow="clip" horzOverflow="clip" bIns="0" rtlCol="0" anchor="b"/>
          <a:lstStyle/>
          <a:p>
            <a:pPr algn="ctr"/>
            <a:r>
              <a:rPr lang="en-US" sz="800" b="0">
                <a:solidFill>
                  <a:schemeClr val="tx1">
                    <a:lumMod val="75000"/>
                    <a:lumOff val="25000"/>
                  </a:schemeClr>
                </a:solidFill>
                <a:latin typeface="Open Sans" panose="020B0606030504020204" pitchFamily="34" charset="0"/>
                <a:ea typeface="Open Sans" panose="020B0606030504020204" pitchFamily="34" charset="0"/>
                <a:cs typeface="Open Sans" panose="020B0606030504020204" pitchFamily="34" charset="0"/>
              </a:rPr>
              <a:t>LEVERED IRR</a:t>
            </a:r>
          </a:p>
        </xdr:txBody>
      </xdr:sp>
      <xdr:sp macro="" textlink="FORECASTS!U3">
        <xdr:nvSpPr>
          <xdr:cNvPr id="58" name="TextBox 57">
            <a:extLst>
              <a:ext uri="{FF2B5EF4-FFF2-40B4-BE49-F238E27FC236}">
                <a16:creationId xmlns:a16="http://schemas.microsoft.com/office/drawing/2014/main" id="{00000000-0008-0000-0000-00003A000000}"/>
              </a:ext>
            </a:extLst>
          </xdr:cNvPr>
          <xdr:cNvSpPr txBox="1"/>
        </xdr:nvSpPr>
        <xdr:spPr>
          <a:xfrm>
            <a:off x="6372225" y="7810499"/>
            <a:ext cx="1381125" cy="306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fld id="{75260136-CE17-4560-B575-10237D39DABB}" type="TxLink">
              <a:rPr lang="en-US" sz="1200" b="1" i="0" u="none" strike="noStrike">
                <a:solidFill>
                  <a:schemeClr val="tx1">
                    <a:lumMod val="75000"/>
                    <a:lumOff val="25000"/>
                  </a:schemeClr>
                </a:solidFill>
                <a:effectLst>
                  <a:outerShdw blurRad="63500" sx="102000" sy="102000" algn="ctr" rotWithShape="0">
                    <a:schemeClr val="bg1">
                      <a:lumMod val="95000"/>
                      <a:alpha val="40000"/>
                    </a:schemeClr>
                  </a:outerShdw>
                </a:effectLst>
                <a:latin typeface="Arial"/>
                <a:ea typeface="Segoe UI Black" panose="020B0A02040204020203" pitchFamily="34" charset="0"/>
                <a:cs typeface="Arial"/>
              </a:rPr>
              <a:pPr algn="ctr"/>
              <a:t>n.a</a:t>
            </a:fld>
            <a:endParaRPr lang="en-US" sz="2000" b="1" i="0" u="none" strike="noStrike">
              <a:solidFill>
                <a:schemeClr val="tx1">
                  <a:lumMod val="75000"/>
                  <a:lumOff val="25000"/>
                </a:schemeClr>
              </a:solidFill>
              <a:effectLst>
                <a:outerShdw blurRad="63500" sx="102000" sy="102000" algn="ctr" rotWithShape="0">
                  <a:schemeClr val="bg1">
                    <a:lumMod val="95000"/>
                    <a:alpha val="40000"/>
                  </a:schemeClr>
                </a:outerShdw>
              </a:effectLst>
              <a:latin typeface="Arial"/>
              <a:ea typeface="Segoe UI Black" panose="020B0A02040204020203" pitchFamily="34" charset="0"/>
              <a:cs typeface="Arial"/>
            </a:endParaRPr>
          </a:p>
        </xdr:txBody>
      </xdr:sp>
    </xdr:grpSp>
    <xdr:clientData/>
  </xdr:twoCellAnchor>
  <xdr:twoCellAnchor>
    <xdr:from>
      <xdr:col>16</xdr:col>
      <xdr:colOff>171450</xdr:colOff>
      <xdr:row>57</xdr:row>
      <xdr:rowOff>139944</xdr:rowOff>
    </xdr:from>
    <xdr:to>
      <xdr:col>22</xdr:col>
      <xdr:colOff>171450</xdr:colOff>
      <xdr:row>60</xdr:row>
      <xdr:rowOff>26406</xdr:rowOff>
    </xdr:to>
    <xdr:grpSp>
      <xdr:nvGrpSpPr>
        <xdr:cNvPr id="59" name="Group 58">
          <a:extLst>
            <a:ext uri="{FF2B5EF4-FFF2-40B4-BE49-F238E27FC236}">
              <a16:creationId xmlns:a16="http://schemas.microsoft.com/office/drawing/2014/main" id="{00000000-0008-0000-0000-00003B000000}"/>
            </a:ext>
          </a:extLst>
        </xdr:cNvPr>
        <xdr:cNvGrpSpPr>
          <a:grpSpLocks/>
        </xdr:cNvGrpSpPr>
      </xdr:nvGrpSpPr>
      <xdr:grpSpPr>
        <a:xfrm>
          <a:off x="3341370" y="10754604"/>
          <a:ext cx="1188720" cy="412242"/>
          <a:chOff x="6324600" y="7810499"/>
          <a:chExt cx="1495425" cy="457201"/>
        </a:xfrm>
      </xdr:grpSpPr>
      <xdr:sp macro="" textlink="">
        <xdr:nvSpPr>
          <xdr:cNvPr id="60" name="Rectangle: Rounded Corners 59">
            <a:extLst>
              <a:ext uri="{FF2B5EF4-FFF2-40B4-BE49-F238E27FC236}">
                <a16:creationId xmlns:a16="http://schemas.microsoft.com/office/drawing/2014/main" id="{00000000-0008-0000-0000-00003C000000}"/>
              </a:ext>
            </a:extLst>
          </xdr:cNvPr>
          <xdr:cNvSpPr/>
        </xdr:nvSpPr>
        <xdr:spPr>
          <a:xfrm>
            <a:off x="6324600" y="7858126"/>
            <a:ext cx="1495425" cy="409574"/>
          </a:xfrm>
          <a:prstGeom prst="roundRect">
            <a:avLst>
              <a:gd name="adj" fmla="val 7667"/>
            </a:avLst>
          </a:prstGeom>
          <a:solidFill>
            <a:srgbClr val="EEF3F8"/>
          </a:solidFill>
          <a:ln>
            <a:solidFill>
              <a:schemeClr val="bg2">
                <a:lumMod val="90000"/>
              </a:schemeClr>
            </a:solidFill>
          </a:ln>
          <a:effectLst/>
        </xdr:spPr>
        <xdr:style>
          <a:lnRef idx="1">
            <a:schemeClr val="accent4"/>
          </a:lnRef>
          <a:fillRef idx="3">
            <a:schemeClr val="accent4"/>
          </a:fillRef>
          <a:effectRef idx="2">
            <a:schemeClr val="accent4"/>
          </a:effectRef>
          <a:fontRef idx="minor">
            <a:schemeClr val="lt1"/>
          </a:fontRef>
        </xdr:style>
        <xdr:txBody>
          <a:bodyPr vertOverflow="clip" horzOverflow="clip" lIns="0" rIns="0" bIns="0" rtlCol="0" anchor="b"/>
          <a:lstStyle/>
          <a:p>
            <a:pPr algn="ctr"/>
            <a:r>
              <a:rPr lang="en-US" sz="800">
                <a:solidFill>
                  <a:schemeClr val="tx1">
                    <a:lumMod val="75000"/>
                    <a:lumOff val="25000"/>
                  </a:schemeClr>
                </a:solidFill>
                <a:latin typeface="Open Sans" panose="020B0606030504020204" pitchFamily="34" charset="0"/>
                <a:ea typeface="Open Sans" panose="020B0606030504020204" pitchFamily="34" charset="0"/>
                <a:cs typeface="Open Sans" panose="020B0606030504020204" pitchFamily="34" charset="0"/>
              </a:rPr>
              <a:t>LEVERED</a:t>
            </a:r>
            <a:r>
              <a:rPr lang="en-US" sz="800" baseline="0">
                <a:solidFill>
                  <a:schemeClr val="tx1">
                    <a:lumMod val="75000"/>
                    <a:lumOff val="25000"/>
                  </a:schemeClr>
                </a:solidFill>
                <a:latin typeface="Open Sans" panose="020B0606030504020204" pitchFamily="34" charset="0"/>
                <a:ea typeface="Open Sans" panose="020B0606030504020204" pitchFamily="34" charset="0"/>
                <a:cs typeface="Open Sans" panose="020B0606030504020204" pitchFamily="34" charset="0"/>
              </a:rPr>
              <a:t> MIRR</a:t>
            </a:r>
            <a:endParaRPr lang="en-US" sz="800">
              <a:solidFill>
                <a:schemeClr val="tx1">
                  <a:lumMod val="75000"/>
                  <a:lumOff val="25000"/>
                </a:schemeClr>
              </a:solidFill>
              <a:latin typeface="Open Sans" panose="020B0606030504020204" pitchFamily="34" charset="0"/>
              <a:ea typeface="Open Sans" panose="020B0606030504020204" pitchFamily="34" charset="0"/>
              <a:cs typeface="Open Sans" panose="020B0606030504020204" pitchFamily="34" charset="0"/>
            </a:endParaRPr>
          </a:p>
        </xdr:txBody>
      </xdr:sp>
      <xdr:sp macro="" textlink="FORECASTS!W3">
        <xdr:nvSpPr>
          <xdr:cNvPr id="61" name="TextBox 60">
            <a:extLst>
              <a:ext uri="{FF2B5EF4-FFF2-40B4-BE49-F238E27FC236}">
                <a16:creationId xmlns:a16="http://schemas.microsoft.com/office/drawing/2014/main" id="{00000000-0008-0000-0000-00003D000000}"/>
              </a:ext>
            </a:extLst>
          </xdr:cNvPr>
          <xdr:cNvSpPr txBox="1"/>
        </xdr:nvSpPr>
        <xdr:spPr>
          <a:xfrm>
            <a:off x="6372225" y="7810499"/>
            <a:ext cx="1381125" cy="306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bIns="0" rtlCol="0" anchor="ctr">
            <a:noAutofit/>
          </a:bodyPr>
          <a:lstStyle/>
          <a:p>
            <a:pPr algn="ctr"/>
            <a:fld id="{99299C64-5BD1-454D-B983-48E988771FB2}" type="TxLink">
              <a:rPr lang="en-US" sz="1200" b="1" i="0" u="none" strike="noStrike">
                <a:solidFill>
                  <a:schemeClr val="tx1">
                    <a:lumMod val="75000"/>
                    <a:lumOff val="25000"/>
                  </a:schemeClr>
                </a:solidFill>
                <a:effectLst>
                  <a:outerShdw blurRad="63500" sx="102000" sy="102000" algn="ctr" rotWithShape="0">
                    <a:schemeClr val="bg1">
                      <a:lumMod val="95000"/>
                      <a:alpha val="40000"/>
                    </a:schemeClr>
                  </a:outerShdw>
                </a:effectLst>
                <a:latin typeface="Arial"/>
                <a:ea typeface="Segoe UI Black" panose="020B0A02040204020203" pitchFamily="34" charset="0"/>
                <a:cs typeface="Arial"/>
              </a:rPr>
              <a:pPr algn="ctr"/>
              <a:t>3138.3%</a:t>
            </a:fld>
            <a:endParaRPr lang="en-US" sz="16600" b="1">
              <a:solidFill>
                <a:schemeClr val="tx1">
                  <a:lumMod val="75000"/>
                  <a:lumOff val="25000"/>
                </a:schemeClr>
              </a:solidFill>
              <a:effectLst>
                <a:outerShdw blurRad="63500" sx="102000" sy="102000" algn="ctr" rotWithShape="0">
                  <a:schemeClr val="bg1">
                    <a:lumMod val="95000"/>
                    <a:alpha val="40000"/>
                  </a:schemeClr>
                </a:outerShdw>
              </a:effectLst>
              <a:ea typeface="Segoe UI Black" panose="020B0A02040204020203" pitchFamily="34" charset="0"/>
            </a:endParaRPr>
          </a:p>
        </xdr:txBody>
      </xdr:sp>
    </xdr:grpSp>
    <xdr:clientData/>
  </xdr:twoCellAnchor>
  <xdr:twoCellAnchor>
    <xdr:from>
      <xdr:col>23</xdr:col>
      <xdr:colOff>62603</xdr:colOff>
      <xdr:row>54</xdr:row>
      <xdr:rowOff>158995</xdr:rowOff>
    </xdr:from>
    <xdr:to>
      <xdr:col>29</xdr:col>
      <xdr:colOff>62603</xdr:colOff>
      <xdr:row>57</xdr:row>
      <xdr:rowOff>56418</xdr:rowOff>
    </xdr:to>
    <xdr:grpSp>
      <xdr:nvGrpSpPr>
        <xdr:cNvPr id="62" name="Group 61">
          <a:extLst>
            <a:ext uri="{FF2B5EF4-FFF2-40B4-BE49-F238E27FC236}">
              <a16:creationId xmlns:a16="http://schemas.microsoft.com/office/drawing/2014/main" id="{00000000-0008-0000-0000-00003E000000}"/>
            </a:ext>
          </a:extLst>
        </xdr:cNvPr>
        <xdr:cNvGrpSpPr>
          <a:grpSpLocks/>
        </xdr:cNvGrpSpPr>
      </xdr:nvGrpSpPr>
      <xdr:grpSpPr>
        <a:xfrm>
          <a:off x="4619363" y="10247875"/>
          <a:ext cx="1188720" cy="423203"/>
          <a:chOff x="6324600" y="7810499"/>
          <a:chExt cx="1495425" cy="457201"/>
        </a:xfrm>
      </xdr:grpSpPr>
      <xdr:sp macro="" textlink="">
        <xdr:nvSpPr>
          <xdr:cNvPr id="63" name="Rectangle: Rounded Corners 62">
            <a:extLst>
              <a:ext uri="{FF2B5EF4-FFF2-40B4-BE49-F238E27FC236}">
                <a16:creationId xmlns:a16="http://schemas.microsoft.com/office/drawing/2014/main" id="{00000000-0008-0000-0000-00003F000000}"/>
              </a:ext>
            </a:extLst>
          </xdr:cNvPr>
          <xdr:cNvSpPr/>
        </xdr:nvSpPr>
        <xdr:spPr>
          <a:xfrm>
            <a:off x="6324600" y="7858126"/>
            <a:ext cx="1495425" cy="409574"/>
          </a:xfrm>
          <a:prstGeom prst="roundRect">
            <a:avLst>
              <a:gd name="adj" fmla="val 7667"/>
            </a:avLst>
          </a:prstGeom>
          <a:solidFill>
            <a:srgbClr val="EEF3F8"/>
          </a:solidFill>
          <a:ln>
            <a:solidFill>
              <a:schemeClr val="bg2">
                <a:lumMod val="90000"/>
              </a:schemeClr>
            </a:solidFill>
          </a:ln>
          <a:effectLst/>
        </xdr:spPr>
        <xdr:style>
          <a:lnRef idx="1">
            <a:schemeClr val="accent4"/>
          </a:lnRef>
          <a:fillRef idx="3">
            <a:schemeClr val="accent4"/>
          </a:fillRef>
          <a:effectRef idx="2">
            <a:schemeClr val="accent4"/>
          </a:effectRef>
          <a:fontRef idx="minor">
            <a:schemeClr val="lt1"/>
          </a:fontRef>
        </xdr:style>
        <xdr:txBody>
          <a:bodyPr vertOverflow="clip" horzOverflow="clip" bIns="0" rtlCol="0" anchor="b"/>
          <a:lstStyle/>
          <a:p>
            <a:pPr algn="ctr"/>
            <a:r>
              <a:rPr lang="en-US" sz="800">
                <a:solidFill>
                  <a:schemeClr val="tx1">
                    <a:lumMod val="75000"/>
                    <a:lumOff val="25000"/>
                  </a:schemeClr>
                </a:solidFill>
                <a:latin typeface="Open Sans" panose="020B0606030504020204" pitchFamily="34" charset="0"/>
                <a:ea typeface="Open Sans" panose="020B0606030504020204" pitchFamily="34" charset="0"/>
                <a:cs typeface="Open Sans" panose="020B0606030504020204" pitchFamily="34" charset="0"/>
              </a:rPr>
              <a:t>LEVERED</a:t>
            </a:r>
            <a:r>
              <a:rPr lang="en-US" sz="800" baseline="0">
                <a:solidFill>
                  <a:schemeClr val="tx1">
                    <a:lumMod val="75000"/>
                    <a:lumOff val="25000"/>
                  </a:schemeClr>
                </a:solidFill>
                <a:latin typeface="Open Sans" panose="020B0606030504020204" pitchFamily="34" charset="0"/>
                <a:ea typeface="Open Sans" panose="020B0606030504020204" pitchFamily="34" charset="0"/>
                <a:cs typeface="Open Sans" panose="020B0606030504020204" pitchFamily="34" charset="0"/>
              </a:rPr>
              <a:t> EMX</a:t>
            </a:r>
            <a:endParaRPr lang="en-US" sz="800">
              <a:solidFill>
                <a:schemeClr val="tx1">
                  <a:lumMod val="75000"/>
                  <a:lumOff val="25000"/>
                </a:schemeClr>
              </a:solidFill>
              <a:latin typeface="Open Sans" panose="020B0606030504020204" pitchFamily="34" charset="0"/>
              <a:ea typeface="Open Sans" panose="020B0606030504020204" pitchFamily="34" charset="0"/>
              <a:cs typeface="Open Sans" panose="020B0606030504020204" pitchFamily="34" charset="0"/>
            </a:endParaRPr>
          </a:p>
        </xdr:txBody>
      </xdr:sp>
      <xdr:sp macro="" textlink="FORECASTS!Y3">
        <xdr:nvSpPr>
          <xdr:cNvPr id="64" name="TextBox 63">
            <a:extLst>
              <a:ext uri="{FF2B5EF4-FFF2-40B4-BE49-F238E27FC236}">
                <a16:creationId xmlns:a16="http://schemas.microsoft.com/office/drawing/2014/main" id="{00000000-0008-0000-0000-000040000000}"/>
              </a:ext>
            </a:extLst>
          </xdr:cNvPr>
          <xdr:cNvSpPr txBox="1"/>
        </xdr:nvSpPr>
        <xdr:spPr>
          <a:xfrm>
            <a:off x="6372225" y="7810499"/>
            <a:ext cx="1381125" cy="306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bIns="0" rtlCol="0" anchor="ctr">
            <a:noAutofit/>
          </a:bodyPr>
          <a:lstStyle/>
          <a:p>
            <a:pPr algn="ctr"/>
            <a:fld id="{0307005A-5888-4C19-8C08-297EEE3283A2}" type="TxLink">
              <a:rPr lang="en-US" sz="1100" b="1" i="0" u="none" strike="noStrike">
                <a:solidFill>
                  <a:schemeClr val="tx1">
                    <a:lumMod val="75000"/>
                    <a:lumOff val="25000"/>
                  </a:schemeClr>
                </a:solidFill>
                <a:effectLst>
                  <a:outerShdw blurRad="63500" sx="102000" sy="102000" algn="ctr" rotWithShape="0">
                    <a:schemeClr val="bg1">
                      <a:lumMod val="95000"/>
                      <a:alpha val="40000"/>
                    </a:schemeClr>
                  </a:outerShdw>
                </a:effectLst>
                <a:latin typeface="Arial"/>
                <a:ea typeface="Segoe UI Black" panose="020B0A02040204020203" pitchFamily="34" charset="0"/>
                <a:cs typeface="Arial"/>
              </a:rPr>
              <a:pPr algn="ctr"/>
              <a:t>32.38x</a:t>
            </a:fld>
            <a:endParaRPr lang="en-US" sz="3200" b="1" i="0" u="none" strike="noStrike">
              <a:solidFill>
                <a:schemeClr val="tx1">
                  <a:lumMod val="75000"/>
                  <a:lumOff val="25000"/>
                </a:schemeClr>
              </a:solidFill>
              <a:effectLst>
                <a:outerShdw blurRad="63500" sx="102000" sy="102000" algn="ctr" rotWithShape="0">
                  <a:schemeClr val="bg1">
                    <a:lumMod val="95000"/>
                    <a:alpha val="40000"/>
                  </a:schemeClr>
                </a:outerShdw>
              </a:effectLst>
              <a:latin typeface="Arial" panose="020B0604020202020204" pitchFamily="34" charset="0"/>
              <a:ea typeface="Segoe UI Black" panose="020B0A02040204020203" pitchFamily="34" charset="0"/>
              <a:cs typeface="Arial" panose="020B0604020202020204" pitchFamily="34" charset="0"/>
            </a:endParaRPr>
          </a:p>
        </xdr:txBody>
      </xdr:sp>
    </xdr:grpSp>
    <xdr:clientData/>
  </xdr:twoCellAnchor>
  <xdr:twoCellAnchor>
    <xdr:from>
      <xdr:col>23</xdr:col>
      <xdr:colOff>62603</xdr:colOff>
      <xdr:row>57</xdr:row>
      <xdr:rowOff>138507</xdr:rowOff>
    </xdr:from>
    <xdr:to>
      <xdr:col>29</xdr:col>
      <xdr:colOff>62603</xdr:colOff>
      <xdr:row>60</xdr:row>
      <xdr:rowOff>26406</xdr:rowOff>
    </xdr:to>
    <xdr:grpSp>
      <xdr:nvGrpSpPr>
        <xdr:cNvPr id="65" name="Group 64">
          <a:extLst>
            <a:ext uri="{FF2B5EF4-FFF2-40B4-BE49-F238E27FC236}">
              <a16:creationId xmlns:a16="http://schemas.microsoft.com/office/drawing/2014/main" id="{00000000-0008-0000-0000-000041000000}"/>
            </a:ext>
          </a:extLst>
        </xdr:cNvPr>
        <xdr:cNvGrpSpPr>
          <a:grpSpLocks/>
        </xdr:cNvGrpSpPr>
      </xdr:nvGrpSpPr>
      <xdr:grpSpPr>
        <a:xfrm>
          <a:off x="4619363" y="10753167"/>
          <a:ext cx="1188720" cy="413679"/>
          <a:chOff x="6324600" y="7810499"/>
          <a:chExt cx="1495425" cy="457201"/>
        </a:xfrm>
      </xdr:grpSpPr>
      <xdr:sp macro="" textlink="">
        <xdr:nvSpPr>
          <xdr:cNvPr id="66" name="Rectangle: Rounded Corners 65">
            <a:extLst>
              <a:ext uri="{FF2B5EF4-FFF2-40B4-BE49-F238E27FC236}">
                <a16:creationId xmlns:a16="http://schemas.microsoft.com/office/drawing/2014/main" id="{00000000-0008-0000-0000-000042000000}"/>
              </a:ext>
            </a:extLst>
          </xdr:cNvPr>
          <xdr:cNvSpPr/>
        </xdr:nvSpPr>
        <xdr:spPr>
          <a:xfrm>
            <a:off x="6324600" y="7858126"/>
            <a:ext cx="1495425" cy="409574"/>
          </a:xfrm>
          <a:prstGeom prst="roundRect">
            <a:avLst>
              <a:gd name="adj" fmla="val 7667"/>
            </a:avLst>
          </a:prstGeom>
          <a:solidFill>
            <a:srgbClr val="EEF3F8"/>
          </a:solidFill>
          <a:ln>
            <a:solidFill>
              <a:schemeClr val="bg2">
                <a:lumMod val="90000"/>
              </a:schemeClr>
            </a:solidFill>
          </a:ln>
          <a:effectLst/>
        </xdr:spPr>
        <xdr:style>
          <a:lnRef idx="1">
            <a:schemeClr val="accent4"/>
          </a:lnRef>
          <a:fillRef idx="3">
            <a:schemeClr val="accent4"/>
          </a:fillRef>
          <a:effectRef idx="2">
            <a:schemeClr val="accent4"/>
          </a:effectRef>
          <a:fontRef idx="minor">
            <a:schemeClr val="lt1"/>
          </a:fontRef>
        </xdr:style>
        <xdr:txBody>
          <a:bodyPr vertOverflow="clip" horzOverflow="clip" bIns="0" rtlCol="0" anchor="b"/>
          <a:lstStyle/>
          <a:p>
            <a:pPr algn="ctr"/>
            <a:r>
              <a:rPr lang="en-US" sz="800">
                <a:solidFill>
                  <a:schemeClr val="tx1">
                    <a:lumMod val="75000"/>
                    <a:lumOff val="25000"/>
                  </a:schemeClr>
                </a:solidFill>
                <a:latin typeface="Open Sans" panose="020B0606030504020204" pitchFamily="34" charset="0"/>
                <a:ea typeface="Open Sans" panose="020B0606030504020204" pitchFamily="34" charset="0"/>
                <a:cs typeface="Open Sans" panose="020B0606030504020204" pitchFamily="34" charset="0"/>
              </a:rPr>
              <a:t>LEVERED PROFITS</a:t>
            </a:r>
          </a:p>
        </xdr:txBody>
      </xdr:sp>
      <xdr:sp macro="" textlink="FORECASTS!AA3">
        <xdr:nvSpPr>
          <xdr:cNvPr id="67" name="TextBox 66">
            <a:extLst>
              <a:ext uri="{FF2B5EF4-FFF2-40B4-BE49-F238E27FC236}">
                <a16:creationId xmlns:a16="http://schemas.microsoft.com/office/drawing/2014/main" id="{00000000-0008-0000-0000-000043000000}"/>
              </a:ext>
            </a:extLst>
          </xdr:cNvPr>
          <xdr:cNvSpPr txBox="1"/>
        </xdr:nvSpPr>
        <xdr:spPr>
          <a:xfrm>
            <a:off x="6372225" y="7810499"/>
            <a:ext cx="1381125" cy="306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bIns="0" rtlCol="0" anchor="ctr">
            <a:noAutofit/>
          </a:bodyPr>
          <a:lstStyle/>
          <a:p>
            <a:pPr algn="ctr"/>
            <a:fld id="{1DAB6050-2819-431F-883E-9049AEAD5CEF}" type="TxLink">
              <a:rPr lang="en-US" sz="1100" b="1" i="0" u="none" strike="noStrike">
                <a:solidFill>
                  <a:schemeClr val="tx1">
                    <a:lumMod val="75000"/>
                    <a:lumOff val="25000"/>
                  </a:schemeClr>
                </a:solidFill>
                <a:effectLst>
                  <a:outerShdw blurRad="63500" sx="102000" sy="102000" algn="ctr" rotWithShape="0">
                    <a:schemeClr val="bg1">
                      <a:lumMod val="95000"/>
                      <a:alpha val="40000"/>
                    </a:schemeClr>
                  </a:outerShdw>
                </a:effectLst>
                <a:latin typeface="Arial"/>
                <a:ea typeface="Segoe UI Black" panose="020B0A02040204020203" pitchFamily="34" charset="0"/>
                <a:cs typeface="Arial"/>
              </a:rPr>
              <a:pPr algn="ctr"/>
              <a:t>$ 221,231</a:t>
            </a:fld>
            <a:endParaRPr lang="en-US" sz="1800" b="1" i="0" u="none" strike="noStrike">
              <a:solidFill>
                <a:schemeClr val="tx1">
                  <a:lumMod val="75000"/>
                  <a:lumOff val="25000"/>
                </a:schemeClr>
              </a:solidFill>
              <a:effectLst>
                <a:outerShdw blurRad="63500" sx="102000" sy="102000" algn="ctr" rotWithShape="0">
                  <a:schemeClr val="bg1">
                    <a:lumMod val="95000"/>
                    <a:alpha val="40000"/>
                  </a:schemeClr>
                </a:outerShdw>
              </a:effectLst>
              <a:latin typeface="Arial"/>
              <a:ea typeface="Segoe UI Black" panose="020B0A02040204020203" pitchFamily="34" charset="0"/>
              <a:cs typeface="Arial"/>
            </a:endParaRPr>
          </a:p>
        </xdr:txBody>
      </xdr:sp>
    </xdr:grpSp>
    <xdr:clientData/>
  </xdr:twoCellAnchor>
  <xdr:twoCellAnchor>
    <xdr:from>
      <xdr:col>29</xdr:col>
      <xdr:colOff>144256</xdr:colOff>
      <xdr:row>57</xdr:row>
      <xdr:rowOff>138507</xdr:rowOff>
    </xdr:from>
    <xdr:to>
      <xdr:col>35</xdr:col>
      <xdr:colOff>144256</xdr:colOff>
      <xdr:row>60</xdr:row>
      <xdr:rowOff>26406</xdr:rowOff>
    </xdr:to>
    <xdr:grpSp>
      <xdr:nvGrpSpPr>
        <xdr:cNvPr id="68" name="Group 67">
          <a:extLst>
            <a:ext uri="{FF2B5EF4-FFF2-40B4-BE49-F238E27FC236}">
              <a16:creationId xmlns:a16="http://schemas.microsoft.com/office/drawing/2014/main" id="{00000000-0008-0000-0000-000044000000}"/>
            </a:ext>
          </a:extLst>
        </xdr:cNvPr>
        <xdr:cNvGrpSpPr>
          <a:grpSpLocks noChangeAspect="1"/>
        </xdr:cNvGrpSpPr>
      </xdr:nvGrpSpPr>
      <xdr:grpSpPr>
        <a:xfrm>
          <a:off x="5889736" y="10753167"/>
          <a:ext cx="1188720" cy="413679"/>
          <a:chOff x="6324600" y="7810499"/>
          <a:chExt cx="1495425" cy="457201"/>
        </a:xfrm>
      </xdr:grpSpPr>
      <xdr:sp macro="" textlink="">
        <xdr:nvSpPr>
          <xdr:cNvPr id="69" name="Rectangle: Rounded Corners 68">
            <a:extLst>
              <a:ext uri="{FF2B5EF4-FFF2-40B4-BE49-F238E27FC236}">
                <a16:creationId xmlns:a16="http://schemas.microsoft.com/office/drawing/2014/main" id="{00000000-0008-0000-0000-000045000000}"/>
              </a:ext>
            </a:extLst>
          </xdr:cNvPr>
          <xdr:cNvSpPr/>
        </xdr:nvSpPr>
        <xdr:spPr>
          <a:xfrm>
            <a:off x="6324600" y="7858126"/>
            <a:ext cx="1495425" cy="409574"/>
          </a:xfrm>
          <a:prstGeom prst="roundRect">
            <a:avLst>
              <a:gd name="adj" fmla="val 7667"/>
            </a:avLst>
          </a:prstGeom>
          <a:solidFill>
            <a:schemeClr val="bg1">
              <a:lumMod val="95000"/>
            </a:schemeClr>
          </a:solidFill>
          <a:ln>
            <a:solidFill>
              <a:schemeClr val="bg2">
                <a:lumMod val="90000"/>
              </a:schemeClr>
            </a:solidFill>
          </a:ln>
          <a:effectLst/>
        </xdr:spPr>
        <xdr:style>
          <a:lnRef idx="1">
            <a:schemeClr val="accent4"/>
          </a:lnRef>
          <a:fillRef idx="3">
            <a:schemeClr val="accent4"/>
          </a:fillRef>
          <a:effectRef idx="2">
            <a:schemeClr val="accent4"/>
          </a:effectRef>
          <a:fontRef idx="minor">
            <a:schemeClr val="lt1"/>
          </a:fontRef>
        </xdr:style>
        <xdr:txBody>
          <a:bodyPr vertOverflow="clip" horzOverflow="clip" bIns="18288" rtlCol="0" anchor="b"/>
          <a:lstStyle/>
          <a:p>
            <a:pPr algn="ctr"/>
            <a:r>
              <a:rPr lang="en-US" sz="800">
                <a:solidFill>
                  <a:schemeClr val="tx1">
                    <a:lumMod val="75000"/>
                    <a:lumOff val="25000"/>
                  </a:schemeClr>
                </a:solidFill>
                <a:latin typeface="Open Sans" panose="020B0606030504020204" pitchFamily="34" charset="0"/>
                <a:ea typeface="Open Sans" panose="020B0606030504020204" pitchFamily="34" charset="0"/>
                <a:cs typeface="Open Sans" panose="020B0606030504020204" pitchFamily="34" charset="0"/>
              </a:rPr>
              <a:t>CASH OUT DATE</a:t>
            </a:r>
            <a:endParaRPr lang="en-US" sz="1000">
              <a:solidFill>
                <a:schemeClr val="tx1">
                  <a:lumMod val="75000"/>
                  <a:lumOff val="25000"/>
                </a:schemeClr>
              </a:solidFill>
              <a:latin typeface="Open Sans" panose="020B0606030504020204" pitchFamily="34" charset="0"/>
              <a:ea typeface="Open Sans" panose="020B0606030504020204" pitchFamily="34" charset="0"/>
              <a:cs typeface="Open Sans" panose="020B0606030504020204" pitchFamily="34" charset="0"/>
            </a:endParaRPr>
          </a:p>
        </xdr:txBody>
      </xdr:sp>
      <xdr:sp macro="" textlink="DASHBOARD!AY245">
        <xdr:nvSpPr>
          <xdr:cNvPr id="70" name="TextBox 69">
            <a:extLst>
              <a:ext uri="{FF2B5EF4-FFF2-40B4-BE49-F238E27FC236}">
                <a16:creationId xmlns:a16="http://schemas.microsoft.com/office/drawing/2014/main" id="{00000000-0008-0000-0000-000046000000}"/>
              </a:ext>
            </a:extLst>
          </xdr:cNvPr>
          <xdr:cNvSpPr txBox="1"/>
        </xdr:nvSpPr>
        <xdr:spPr>
          <a:xfrm>
            <a:off x="6372225" y="7810499"/>
            <a:ext cx="1381125" cy="306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fld id="{260DCC0B-920B-4331-9554-EAE5C5E2D0B7}" type="TxLink">
              <a:rPr lang="en-US" sz="1100" b="1" i="0" u="none" strike="noStrike">
                <a:solidFill>
                  <a:srgbClr val="404040"/>
                </a:solidFill>
                <a:effectLst>
                  <a:outerShdw blurRad="63500" sx="102000" sy="102000" algn="ctr" rotWithShape="0">
                    <a:schemeClr val="bg1">
                      <a:lumMod val="95000"/>
                      <a:alpha val="40000"/>
                    </a:schemeClr>
                  </a:outerShdw>
                </a:effectLst>
                <a:latin typeface="Arial"/>
                <a:ea typeface="Segoe UI Black" panose="020B0A02040204020203" pitchFamily="34" charset="0"/>
                <a:cs typeface="Arial"/>
              </a:rPr>
              <a:pPr algn="ctr"/>
              <a:t>n.a</a:t>
            </a:fld>
            <a:endParaRPr lang="en-US" sz="123400" b="1">
              <a:solidFill>
                <a:schemeClr val="tx1">
                  <a:lumMod val="75000"/>
                  <a:lumOff val="25000"/>
                </a:schemeClr>
              </a:solidFill>
              <a:effectLst>
                <a:outerShdw blurRad="63500" sx="102000" sy="102000" algn="ctr" rotWithShape="0">
                  <a:schemeClr val="bg1">
                    <a:lumMod val="95000"/>
                    <a:alpha val="40000"/>
                  </a:schemeClr>
                </a:outerShdw>
              </a:effectLst>
              <a:ea typeface="Segoe UI Black" panose="020B0A02040204020203" pitchFamily="34" charset="0"/>
            </a:endParaRPr>
          </a:p>
        </xdr:txBody>
      </xdr:sp>
    </xdr:grpSp>
    <xdr:clientData/>
  </xdr:twoCellAnchor>
  <xdr:twoCellAnchor>
    <xdr:from>
      <xdr:col>16</xdr:col>
      <xdr:colOff>123825</xdr:colOff>
      <xdr:row>34</xdr:row>
      <xdr:rowOff>180975</xdr:rowOff>
    </xdr:from>
    <xdr:to>
      <xdr:col>36</xdr:col>
      <xdr:colOff>42230</xdr:colOff>
      <xdr:row>54</xdr:row>
      <xdr:rowOff>161925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66675</xdr:colOff>
      <xdr:row>83</xdr:row>
      <xdr:rowOff>85725</xdr:rowOff>
    </xdr:from>
    <xdr:to>
      <xdr:col>35</xdr:col>
      <xdr:colOff>142875</xdr:colOff>
      <xdr:row>96</xdr:row>
      <xdr:rowOff>171450</xdr:rowOff>
    </xdr:to>
    <xdr:graphicFrame macro="">
      <xdr:nvGraphicFramePr>
        <xdr:cNvPr id="47" name="Chart 46">
          <a:extLst>
            <a:ext uri="{FF2B5EF4-FFF2-40B4-BE49-F238E27FC236}">
              <a16:creationId xmlns:a16="http://schemas.microsoft.com/office/drawing/2014/main" id="{00000000-0008-0000-0000-00002F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66675</xdr:colOff>
          <xdr:row>64</xdr:row>
          <xdr:rowOff>15634</xdr:rowOff>
        </xdr:from>
        <xdr:to>
          <xdr:col>35</xdr:col>
          <xdr:colOff>171450</xdr:colOff>
          <xdr:row>81</xdr:row>
          <xdr:rowOff>60959</xdr:rowOff>
        </xdr:to>
        <xdr:pic>
          <xdr:nvPicPr>
            <xdr:cNvPr id="33103" name="Picture 44">
              <a:extLst>
                <a:ext uri="{FF2B5EF4-FFF2-40B4-BE49-F238E27FC236}">
                  <a16:creationId xmlns:a16="http://schemas.microsoft.com/office/drawing/2014/main" id="{AB24380B-A920-4C92-8FE4-DAB1362DF10F}"/>
                </a:ext>
              </a:extLst>
            </xdr:cNvPr>
            <xdr:cNvPicPr>
              <a:picLocks noChangeAspect="1" noChangeArrowheads="1"/>
              <a:extLst>
                <a:ext uri="{84589F7E-364E-4C9E-8A38-B11213B215E9}">
                  <a14:cameraTool cellRange="HIDE1!$C$4:$L$23" spid="_x0000_s177960"/>
                </a:ext>
              </a:extLst>
            </xdr:cNvPicPr>
          </xdr:nvPicPr>
          <xdr:blipFill>
            <a:blip xmlns:r="http://schemas.openxmlformats.org/officeDocument/2006/relationships" r:embed="rId3"/>
            <a:srcRect/>
            <a:stretch>
              <a:fillRect/>
            </a:stretch>
          </xdr:blipFill>
          <xdr:spPr bwMode="auto">
            <a:xfrm>
              <a:off x="257175" y="12579109"/>
              <a:ext cx="6581775" cy="3146665"/>
            </a:xfrm>
            <a:prstGeom prst="rect">
              <a:avLst/>
            </a:prstGeom>
            <a:solidFill>
              <a:srgbClr val="FFFFFF" mc:Ignorable="a14" a14:legacySpreadsheetColorIndex="9"/>
            </a:solidFill>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64</xdr:row>
          <xdr:rowOff>15240</xdr:rowOff>
        </xdr:from>
        <xdr:to>
          <xdr:col>35</xdr:col>
          <xdr:colOff>175260</xdr:colOff>
          <xdr:row>81</xdr:row>
          <xdr:rowOff>60960</xdr:rowOff>
        </xdr:to>
        <xdr:pic>
          <xdr:nvPicPr>
            <xdr:cNvPr id="1438" name="Picture 44">
              <a:extLst>
                <a:ext uri="{FF2B5EF4-FFF2-40B4-BE49-F238E27FC236}">
                  <a16:creationId xmlns:a16="http://schemas.microsoft.com/office/drawing/2014/main" id="{DE9A3078-72C9-7B71-E768-2FA5D4E24948}"/>
                </a:ext>
              </a:extLst>
            </xdr:cNvPr>
            <xdr:cNvPicPr>
              <a:picLocks noChangeAspect="1" noChangeArrowheads="1"/>
              <a:extLst>
                <a:ext uri="{84589F7E-364E-4C9E-8A38-B11213B215E9}">
                  <a14:cameraTool cellRange="HIDE1!$C$4:$L$23" spid="_x0000_s177961"/>
                </a:ext>
              </a:extLst>
            </xdr:cNvPicPr>
          </xdr:nvPicPr>
          <xdr:blipFill>
            <a:blip xmlns:r="http://schemas.openxmlformats.org/officeDocument/2006/relationships" r:embed="rId3"/>
            <a:srcRect/>
            <a:stretch>
              <a:fillRect/>
            </a:stretch>
          </xdr:blipFill>
          <xdr:spPr bwMode="auto">
            <a:xfrm>
              <a:off x="266700" y="11856720"/>
              <a:ext cx="6842760" cy="3040380"/>
            </a:xfrm>
            <a:prstGeom prst="rect">
              <a:avLst/>
            </a:prstGeom>
            <a:solidFill>
              <a:srgbClr val="FFFFFF" mc:Ignorable="a14" a14:legacySpreadsheetColorIndex="9"/>
            </a:solidFill>
          </xdr:spPr>
        </xdr:pic>
        <xdr:clientData/>
      </xdr:twoCellAnchor>
    </mc:Choice>
    <mc:Fallback/>
  </mc:AlternateContent>
  <xdr:twoCellAnchor>
    <xdr:from>
      <xdr:col>5</xdr:col>
      <xdr:colOff>99060</xdr:colOff>
      <xdr:row>0</xdr:row>
      <xdr:rowOff>0</xdr:rowOff>
    </xdr:from>
    <xdr:to>
      <xdr:col>46</xdr:col>
      <xdr:colOff>30237</xdr:colOff>
      <xdr:row>3</xdr:row>
      <xdr:rowOff>76200</xdr:rowOff>
    </xdr:to>
    <xdr:grpSp>
      <xdr:nvGrpSpPr>
        <xdr:cNvPr id="52" name="Group 51">
          <a:extLst>
            <a:ext uri="{FF2B5EF4-FFF2-40B4-BE49-F238E27FC236}">
              <a16:creationId xmlns:a16="http://schemas.microsoft.com/office/drawing/2014/main" id="{4F679076-329F-43C6-B9E6-FD139B02AF1C}"/>
            </a:ext>
          </a:extLst>
        </xdr:cNvPr>
        <xdr:cNvGrpSpPr/>
      </xdr:nvGrpSpPr>
      <xdr:grpSpPr>
        <a:xfrm>
          <a:off x="1089660" y="0"/>
          <a:ext cx="11894577" cy="815340"/>
          <a:chOff x="2194560" y="0"/>
          <a:chExt cx="11894577" cy="815340"/>
        </a:xfrm>
      </xdr:grpSpPr>
      <xdr:grpSp>
        <xdr:nvGrpSpPr>
          <xdr:cNvPr id="71" name="Group 70">
            <a:extLst>
              <a:ext uri="{FF2B5EF4-FFF2-40B4-BE49-F238E27FC236}">
                <a16:creationId xmlns:a16="http://schemas.microsoft.com/office/drawing/2014/main" id="{BFE6D365-72DB-AC18-6C27-6FB359B59A12}"/>
              </a:ext>
            </a:extLst>
          </xdr:cNvPr>
          <xdr:cNvGrpSpPr/>
        </xdr:nvGrpSpPr>
        <xdr:grpSpPr>
          <a:xfrm>
            <a:off x="2194560" y="0"/>
            <a:ext cx="11894577" cy="815340"/>
            <a:chOff x="2194560" y="0"/>
            <a:chExt cx="11894577" cy="815340"/>
          </a:xfrm>
        </xdr:grpSpPr>
        <xdr:grpSp>
          <xdr:nvGrpSpPr>
            <xdr:cNvPr id="73" name="Group 72">
              <a:extLst>
                <a:ext uri="{FF2B5EF4-FFF2-40B4-BE49-F238E27FC236}">
                  <a16:creationId xmlns:a16="http://schemas.microsoft.com/office/drawing/2014/main" id="{6466DEE8-5505-A361-AB79-16B92687C6FA}"/>
                </a:ext>
              </a:extLst>
            </xdr:cNvPr>
            <xdr:cNvGrpSpPr/>
          </xdr:nvGrpSpPr>
          <xdr:grpSpPr>
            <a:xfrm>
              <a:off x="2194560" y="0"/>
              <a:ext cx="11894577" cy="773812"/>
              <a:chOff x="2160046" y="0"/>
              <a:chExt cx="11894577" cy="773812"/>
            </a:xfrm>
          </xdr:grpSpPr>
          <xdr:grpSp>
            <xdr:nvGrpSpPr>
              <xdr:cNvPr id="77" name="Group 76">
                <a:extLst>
                  <a:ext uri="{FF2B5EF4-FFF2-40B4-BE49-F238E27FC236}">
                    <a16:creationId xmlns:a16="http://schemas.microsoft.com/office/drawing/2014/main" id="{2704B916-F9A0-3491-F72D-E80E6DDA4FFC}"/>
                  </a:ext>
                </a:extLst>
              </xdr:cNvPr>
              <xdr:cNvGrpSpPr/>
            </xdr:nvGrpSpPr>
            <xdr:grpSpPr>
              <a:xfrm>
                <a:off x="2160046" y="0"/>
                <a:ext cx="11894577" cy="773812"/>
                <a:chOff x="1310640" y="0"/>
                <a:chExt cx="11549013" cy="764847"/>
              </a:xfrm>
            </xdr:grpSpPr>
            <xdr:pic>
              <xdr:nvPicPr>
                <xdr:cNvPr id="81" name="Picture 80">
                  <a:hlinkClick xmlns:r="http://schemas.openxmlformats.org/officeDocument/2006/relationships" r:id="rId4"/>
                  <a:extLst>
                    <a:ext uri="{FF2B5EF4-FFF2-40B4-BE49-F238E27FC236}">
                      <a16:creationId xmlns:a16="http://schemas.microsoft.com/office/drawing/2014/main" id="{CF49E88C-A641-958B-148B-76E2A525500F}"/>
                    </a:ext>
                  </a:extLst>
                </xdr:cNvPr>
                <xdr:cNvPicPr>
                  <a:picLocks/>
                </xdr:cNvPicPr>
              </xdr:nvPicPr>
              <xdr:blipFill>
                <a:blip xmlns:r="http://schemas.openxmlformats.org/officeDocument/2006/relationships" r:embed="rId5" cstate="print">
                  <a:alphaModFix/>
                  <a:extLst>
                    <a:ext uri="{28A0092B-C50C-407E-A947-70E740481C1C}">
                      <a14:useLocalDpi xmlns:a14="http://schemas.microsoft.com/office/drawing/2010/main" val="0"/>
                    </a:ext>
                  </a:extLst>
                </a:blip>
                <a:srcRect/>
                <a:stretch/>
              </xdr:blipFill>
              <xdr:spPr>
                <a:xfrm>
                  <a:off x="1310640" y="46180"/>
                  <a:ext cx="499211" cy="554546"/>
                </a:xfrm>
                <a:prstGeom prst="rect">
                  <a:avLst/>
                </a:prstGeom>
              </xdr:spPr>
            </xdr:pic>
            <xdr:pic>
              <xdr:nvPicPr>
                <xdr:cNvPr id="82" name="Picture 81">
                  <a:hlinkClick xmlns:r="http://schemas.openxmlformats.org/officeDocument/2006/relationships" r:id="rId6"/>
                  <a:extLst>
                    <a:ext uri="{FF2B5EF4-FFF2-40B4-BE49-F238E27FC236}">
                      <a16:creationId xmlns:a16="http://schemas.microsoft.com/office/drawing/2014/main" id="{2D941A0C-BA5B-DD0C-2F81-971C7D39DD7D}"/>
                    </a:ext>
                  </a:extLst>
                </xdr:cNvPr>
                <xdr:cNvPicPr>
                  <a:picLocks noChangeAspect="1" noChangeArrowheads="1"/>
                </xdr:cNvPicPr>
              </xdr:nvPicPr>
              <xdr:blipFill>
                <a:blip xmlns:r="http://schemas.openxmlformats.org/officeDocument/2006/relationships" r:embed="rId7" cstate="print">
                  <a:alphaModFix/>
                  <a:extLst>
                    <a:ext uri="{28A0092B-C50C-407E-A947-70E740481C1C}">
                      <a14:useLocalDpi xmlns:a14="http://schemas.microsoft.com/office/drawing/2010/main" val="0"/>
                    </a:ext>
                  </a:extLst>
                </a:blip>
                <a:srcRect/>
                <a:stretch>
                  <a:fillRect/>
                </a:stretch>
              </xdr:blipFill>
              <xdr:spPr bwMode="auto">
                <a:xfrm>
                  <a:off x="2163693" y="30823"/>
                  <a:ext cx="214188" cy="2260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3" name="TextBox 82">
                  <a:hlinkClick xmlns:r="http://schemas.openxmlformats.org/officeDocument/2006/relationships" r:id="rId6"/>
                  <a:extLst>
                    <a:ext uri="{FF2B5EF4-FFF2-40B4-BE49-F238E27FC236}">
                      <a16:creationId xmlns:a16="http://schemas.microsoft.com/office/drawing/2014/main" id="{EFAD0ABA-7E15-19F7-7CE0-8FC66CF6EA12}"/>
                    </a:ext>
                  </a:extLst>
                </xdr:cNvPr>
                <xdr:cNvSpPr txBox="1"/>
              </xdr:nvSpPr>
              <xdr:spPr>
                <a:xfrm>
                  <a:off x="2369194" y="17046"/>
                  <a:ext cx="846446" cy="25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US" sz="900" b="1">
                      <a:solidFill>
                        <a:schemeClr val="bg1"/>
                      </a:solidFill>
                    </a:rPr>
                    <a:t>DASHBOARD</a:t>
                  </a:r>
                </a:p>
              </xdr:txBody>
            </xdr:sp>
            <xdr:pic>
              <xdr:nvPicPr>
                <xdr:cNvPr id="84" name="Picture 83">
                  <a:hlinkClick xmlns:r="http://schemas.openxmlformats.org/officeDocument/2006/relationships" r:id="rId8"/>
                  <a:extLst>
                    <a:ext uri="{FF2B5EF4-FFF2-40B4-BE49-F238E27FC236}">
                      <a16:creationId xmlns:a16="http://schemas.microsoft.com/office/drawing/2014/main" id="{537FF87B-83E6-297E-24C3-568AE6A824A7}"/>
                    </a:ext>
                  </a:extLst>
                </xdr:cNvPr>
                <xdr:cNvPicPr>
                  <a:picLocks noChangeAspect="1" noChangeArrowheads="1"/>
                </xdr:cNvPicPr>
              </xdr:nvPicPr>
              <xdr:blipFill>
                <a:blip xmlns:r="http://schemas.openxmlformats.org/officeDocument/2006/relationships" r:embed="rId9" cstate="print">
                  <a:alphaModFix/>
                  <a:extLst>
                    <a:ext uri="{28A0092B-C50C-407E-A947-70E740481C1C}">
                      <a14:useLocalDpi xmlns:a14="http://schemas.microsoft.com/office/drawing/2010/main" val="0"/>
                    </a:ext>
                  </a:extLst>
                </a:blip>
                <a:srcRect/>
                <a:stretch>
                  <a:fillRect/>
                </a:stretch>
              </xdr:blipFill>
              <xdr:spPr bwMode="auto">
                <a:xfrm>
                  <a:off x="8461655" y="433462"/>
                  <a:ext cx="214188" cy="20819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5" name="TextBox 84">
                  <a:hlinkClick xmlns:r="http://schemas.openxmlformats.org/officeDocument/2006/relationships" r:id="rId8"/>
                  <a:extLst>
                    <a:ext uri="{FF2B5EF4-FFF2-40B4-BE49-F238E27FC236}">
                      <a16:creationId xmlns:a16="http://schemas.microsoft.com/office/drawing/2014/main" id="{3D5FF3D0-A39E-00C8-B872-EF90B01B16AA}"/>
                    </a:ext>
                  </a:extLst>
                </xdr:cNvPr>
                <xdr:cNvSpPr txBox="1"/>
              </xdr:nvSpPr>
              <xdr:spPr>
                <a:xfrm>
                  <a:off x="8647283" y="413913"/>
                  <a:ext cx="56836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REPORTS</a:t>
                  </a:r>
                </a:p>
              </xdr:txBody>
            </xdr:sp>
            <xdr:pic>
              <xdr:nvPicPr>
                <xdr:cNvPr id="86" name="Picture 85">
                  <a:hlinkClick xmlns:r="http://schemas.openxmlformats.org/officeDocument/2006/relationships" r:id="rId10"/>
                  <a:extLst>
                    <a:ext uri="{FF2B5EF4-FFF2-40B4-BE49-F238E27FC236}">
                      <a16:creationId xmlns:a16="http://schemas.microsoft.com/office/drawing/2014/main" id="{FA35F813-E716-3838-CD1F-8ABFF2DA7EAB}"/>
                    </a:ext>
                  </a:extLst>
                </xdr:cNvPr>
                <xdr:cNvPicPr>
                  <a:picLocks noChangeAspect="1"/>
                </xdr:cNvPicPr>
              </xdr:nvPicPr>
              <xdr:blipFill>
                <a:blip xmlns:r="http://schemas.openxmlformats.org/officeDocument/2006/relationships" r:embed="rId11" cstate="print">
                  <a:alphaModFix/>
                  <a:extLst>
                    <a:ext uri="{28A0092B-C50C-407E-A947-70E740481C1C}">
                      <a14:useLocalDpi xmlns:a14="http://schemas.microsoft.com/office/drawing/2010/main" val="0"/>
                    </a:ext>
                  </a:extLst>
                </a:blip>
                <a:stretch>
                  <a:fillRect/>
                </a:stretch>
              </xdr:blipFill>
              <xdr:spPr>
                <a:xfrm>
                  <a:off x="6903860" y="19549"/>
                  <a:ext cx="214187" cy="248554"/>
                </a:xfrm>
                <a:prstGeom prst="rect">
                  <a:avLst/>
                </a:prstGeom>
              </xdr:spPr>
            </xdr:pic>
            <xdr:sp macro="" textlink="">
              <xdr:nvSpPr>
                <xdr:cNvPr id="87" name="TextBox 86">
                  <a:hlinkClick xmlns:r="http://schemas.openxmlformats.org/officeDocument/2006/relationships" r:id="rId10"/>
                  <a:extLst>
                    <a:ext uri="{FF2B5EF4-FFF2-40B4-BE49-F238E27FC236}">
                      <a16:creationId xmlns:a16="http://schemas.microsoft.com/office/drawing/2014/main" id="{257F6373-708F-768C-8F5A-BE6748ADB0D0}"/>
                    </a:ext>
                  </a:extLst>
                </xdr:cNvPr>
                <xdr:cNvSpPr txBox="1"/>
              </xdr:nvSpPr>
              <xdr:spPr>
                <a:xfrm>
                  <a:off x="7099062" y="0"/>
                  <a:ext cx="67589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MORTGAGE</a:t>
                  </a:r>
                </a:p>
              </xdr:txBody>
            </xdr:sp>
            <xdr:sp macro="" textlink="">
              <xdr:nvSpPr>
                <xdr:cNvPr id="88" name="TextBox 87">
                  <a:hlinkClick xmlns:r="http://schemas.openxmlformats.org/officeDocument/2006/relationships" r:id="rId12"/>
                  <a:extLst>
                    <a:ext uri="{FF2B5EF4-FFF2-40B4-BE49-F238E27FC236}">
                      <a16:creationId xmlns:a16="http://schemas.microsoft.com/office/drawing/2014/main" id="{A48FF41B-0F88-BB1C-DCD5-507B1A45DA58}"/>
                    </a:ext>
                  </a:extLst>
                </xdr:cNvPr>
                <xdr:cNvSpPr txBox="1"/>
              </xdr:nvSpPr>
              <xdr:spPr>
                <a:xfrm>
                  <a:off x="6375474" y="0"/>
                  <a:ext cx="381400"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DEBT</a:t>
                  </a:r>
                </a:p>
              </xdr:txBody>
            </xdr:sp>
            <xdr:pic>
              <xdr:nvPicPr>
                <xdr:cNvPr id="89" name="Picture 88">
                  <a:hlinkClick xmlns:r="http://schemas.openxmlformats.org/officeDocument/2006/relationships" r:id="rId12"/>
                  <a:extLst>
                    <a:ext uri="{FF2B5EF4-FFF2-40B4-BE49-F238E27FC236}">
                      <a16:creationId xmlns:a16="http://schemas.microsoft.com/office/drawing/2014/main" id="{8F142BC7-5E82-DBE6-B49F-3B8EC22A2EA3}"/>
                    </a:ext>
                  </a:extLst>
                </xdr:cNvPr>
                <xdr:cNvPicPr>
                  <a:picLocks noChangeAspect="1"/>
                </xdr:cNvPicPr>
              </xdr:nvPicPr>
              <xdr:blipFill>
                <a:blip xmlns:r="http://schemas.openxmlformats.org/officeDocument/2006/relationships" r:embed="rId13" cstate="print">
                  <a:alphaModFix/>
                  <a:extLst>
                    <a:ext uri="{28A0092B-C50C-407E-A947-70E740481C1C}">
                      <a14:useLocalDpi xmlns:a14="http://schemas.microsoft.com/office/drawing/2010/main" val="0"/>
                    </a:ext>
                  </a:extLst>
                </a:blip>
                <a:stretch>
                  <a:fillRect/>
                </a:stretch>
              </xdr:blipFill>
              <xdr:spPr>
                <a:xfrm>
                  <a:off x="6158378" y="19549"/>
                  <a:ext cx="214188" cy="248554"/>
                </a:xfrm>
                <a:prstGeom prst="rect">
                  <a:avLst/>
                </a:prstGeom>
              </xdr:spPr>
            </xdr:pic>
            <xdr:sp macro="" textlink="">
              <xdr:nvSpPr>
                <xdr:cNvPr id="90" name="TextBox 89">
                  <a:hlinkClick xmlns:r="http://schemas.openxmlformats.org/officeDocument/2006/relationships" r:id="rId14"/>
                  <a:extLst>
                    <a:ext uri="{FF2B5EF4-FFF2-40B4-BE49-F238E27FC236}">
                      <a16:creationId xmlns:a16="http://schemas.microsoft.com/office/drawing/2014/main" id="{FCA954E7-B19F-B0FB-B777-F0901D3C9802}"/>
                    </a:ext>
                  </a:extLst>
                </xdr:cNvPr>
                <xdr:cNvSpPr txBox="1"/>
              </xdr:nvSpPr>
              <xdr:spPr>
                <a:xfrm>
                  <a:off x="5370816" y="37659"/>
                  <a:ext cx="64057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FORECASTS</a:t>
                  </a:r>
                </a:p>
              </xdr:txBody>
            </xdr:sp>
            <xdr:sp macro="" textlink="">
              <xdr:nvSpPr>
                <xdr:cNvPr id="91" name="TextBox 90">
                  <a:hlinkClick xmlns:r="http://schemas.openxmlformats.org/officeDocument/2006/relationships" r:id="rId15"/>
                  <a:extLst>
                    <a:ext uri="{FF2B5EF4-FFF2-40B4-BE49-F238E27FC236}">
                      <a16:creationId xmlns:a16="http://schemas.microsoft.com/office/drawing/2014/main" id="{44EA00ED-37A2-8746-03F7-75A0735E4509}"/>
                    </a:ext>
                  </a:extLst>
                </xdr:cNvPr>
                <xdr:cNvSpPr txBox="1"/>
              </xdr:nvSpPr>
              <xdr:spPr>
                <a:xfrm>
                  <a:off x="8104032" y="0"/>
                  <a:ext cx="7732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a:t>
                  </a:r>
                  <a:r>
                    <a:rPr lang="en-US" sz="900" b="1" baseline="0">
                      <a:solidFill>
                        <a:schemeClr val="bg1"/>
                      </a:solidFill>
                    </a:rPr>
                    <a:t> (M)</a:t>
                  </a:r>
                  <a:endParaRPr lang="en-US" sz="900" b="1">
                    <a:solidFill>
                      <a:schemeClr val="bg1"/>
                    </a:solidFill>
                  </a:endParaRPr>
                </a:p>
              </xdr:txBody>
            </xdr:sp>
            <xdr:pic>
              <xdr:nvPicPr>
                <xdr:cNvPr id="92" name="Picture 91">
                  <a:hlinkClick xmlns:r="http://schemas.openxmlformats.org/officeDocument/2006/relationships" r:id="rId15"/>
                  <a:extLst>
                    <a:ext uri="{FF2B5EF4-FFF2-40B4-BE49-F238E27FC236}">
                      <a16:creationId xmlns:a16="http://schemas.microsoft.com/office/drawing/2014/main" id="{BCBDDC37-73C9-7720-FAB8-BE7831E66CBD}"/>
                    </a:ext>
                  </a:extLst>
                </xdr:cNvPr>
                <xdr:cNvPicPr>
                  <a:picLocks noChangeAspect="1"/>
                </xdr:cNvPicPr>
              </xdr:nvPicPr>
              <xdr:blipFill>
                <a:blip xmlns:r="http://schemas.openxmlformats.org/officeDocument/2006/relationships" r:embed="rId16" cstate="print">
                  <a:alphaModFix/>
                  <a:extLst>
                    <a:ext uri="{28A0092B-C50C-407E-A947-70E740481C1C}">
                      <a14:useLocalDpi xmlns:a14="http://schemas.microsoft.com/office/drawing/2010/main" val="0"/>
                    </a:ext>
                  </a:extLst>
                </a:blip>
                <a:stretch>
                  <a:fillRect/>
                </a:stretch>
              </xdr:blipFill>
              <xdr:spPr>
                <a:xfrm>
                  <a:off x="7921943" y="19549"/>
                  <a:ext cx="214188" cy="248554"/>
                </a:xfrm>
                <a:prstGeom prst="rect">
                  <a:avLst/>
                </a:prstGeom>
              </xdr:spPr>
            </xdr:pic>
            <xdr:sp macro="" textlink="">
              <xdr:nvSpPr>
                <xdr:cNvPr id="93" name="TextBox 92">
                  <a:hlinkClick xmlns:r="http://schemas.openxmlformats.org/officeDocument/2006/relationships" r:id="rId17"/>
                  <a:extLst>
                    <a:ext uri="{FF2B5EF4-FFF2-40B4-BE49-F238E27FC236}">
                      <a16:creationId xmlns:a16="http://schemas.microsoft.com/office/drawing/2014/main" id="{3CF016DB-1797-576A-FDEF-3E1297A52E6E}"/>
                    </a:ext>
                  </a:extLst>
                </xdr:cNvPr>
                <xdr:cNvSpPr txBox="1"/>
              </xdr:nvSpPr>
              <xdr:spPr>
                <a:xfrm>
                  <a:off x="9978309" y="0"/>
                  <a:ext cx="687187"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 (Y)</a:t>
                  </a:r>
                </a:p>
              </xdr:txBody>
            </xdr:sp>
            <xdr:pic>
              <xdr:nvPicPr>
                <xdr:cNvPr id="94" name="Picture 93">
                  <a:hlinkClick xmlns:r="http://schemas.openxmlformats.org/officeDocument/2006/relationships" r:id="rId17"/>
                  <a:extLst>
                    <a:ext uri="{FF2B5EF4-FFF2-40B4-BE49-F238E27FC236}">
                      <a16:creationId xmlns:a16="http://schemas.microsoft.com/office/drawing/2014/main" id="{0DCD2FE1-01A0-F620-86AF-EB8A241F4100}"/>
                    </a:ext>
                  </a:extLst>
                </xdr:cNvPr>
                <xdr:cNvPicPr>
                  <a:picLocks noChangeAspect="1"/>
                </xdr:cNvPicPr>
              </xdr:nvPicPr>
              <xdr:blipFill>
                <a:blip xmlns:r="http://schemas.openxmlformats.org/officeDocument/2006/relationships" r:embed="rId18" cstate="print">
                  <a:alphaModFix/>
                  <a:extLst>
                    <a:ext uri="{28A0092B-C50C-407E-A947-70E740481C1C}">
                      <a14:useLocalDpi xmlns:a14="http://schemas.microsoft.com/office/drawing/2010/main" val="0"/>
                    </a:ext>
                  </a:extLst>
                </a:blip>
                <a:stretch>
                  <a:fillRect/>
                </a:stretch>
              </xdr:blipFill>
              <xdr:spPr>
                <a:xfrm>
                  <a:off x="9777770" y="19549"/>
                  <a:ext cx="214188" cy="248554"/>
                </a:xfrm>
                <a:prstGeom prst="rect">
                  <a:avLst/>
                </a:prstGeom>
              </xdr:spPr>
            </xdr:pic>
            <xdr:sp macro="" textlink="">
              <xdr:nvSpPr>
                <xdr:cNvPr id="95" name="TextBox 94">
                  <a:hlinkClick xmlns:r="http://schemas.openxmlformats.org/officeDocument/2006/relationships" r:id="rId19"/>
                  <a:extLst>
                    <a:ext uri="{FF2B5EF4-FFF2-40B4-BE49-F238E27FC236}">
                      <a16:creationId xmlns:a16="http://schemas.microsoft.com/office/drawing/2014/main" id="{BA5EB69D-45CC-2A75-602E-C4AA282EE97F}"/>
                    </a:ext>
                  </a:extLst>
                </xdr:cNvPr>
                <xdr:cNvSpPr txBox="1"/>
              </xdr:nvSpPr>
              <xdr:spPr>
                <a:xfrm>
                  <a:off x="9133984" y="0"/>
                  <a:ext cx="49680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VERSUS</a:t>
                  </a:r>
                </a:p>
              </xdr:txBody>
            </xdr:sp>
            <xdr:pic>
              <xdr:nvPicPr>
                <xdr:cNvPr id="96" name="Picture 95">
                  <a:hlinkClick xmlns:r="http://schemas.openxmlformats.org/officeDocument/2006/relationships" r:id="rId19"/>
                  <a:extLst>
                    <a:ext uri="{FF2B5EF4-FFF2-40B4-BE49-F238E27FC236}">
                      <a16:creationId xmlns:a16="http://schemas.microsoft.com/office/drawing/2014/main" id="{2D10C710-FF94-FF74-2623-E37D068D76C9}"/>
                    </a:ext>
                  </a:extLst>
                </xdr:cNvPr>
                <xdr:cNvPicPr>
                  <a:picLocks noChangeAspect="1"/>
                </xdr:cNvPicPr>
              </xdr:nvPicPr>
              <xdr:blipFill>
                <a:blip xmlns:r="http://schemas.openxmlformats.org/officeDocument/2006/relationships" r:embed="rId20" cstate="print">
                  <a:alphaModFix/>
                  <a:extLst>
                    <a:ext uri="{28A0092B-C50C-407E-A947-70E740481C1C}">
                      <a14:useLocalDpi xmlns:a14="http://schemas.microsoft.com/office/drawing/2010/main" val="0"/>
                    </a:ext>
                  </a:extLst>
                </a:blip>
                <a:stretch>
                  <a:fillRect/>
                </a:stretch>
              </xdr:blipFill>
              <xdr:spPr>
                <a:xfrm>
                  <a:off x="8938203" y="19549"/>
                  <a:ext cx="214187" cy="248554"/>
                </a:xfrm>
                <a:prstGeom prst="rect">
                  <a:avLst/>
                </a:prstGeom>
              </xdr:spPr>
            </xdr:pic>
            <xdr:sp macro="" textlink="">
              <xdr:nvSpPr>
                <xdr:cNvPr id="97" name="TextBox 96">
                  <a:hlinkClick xmlns:r="http://schemas.openxmlformats.org/officeDocument/2006/relationships" r:id="rId21"/>
                  <a:extLst>
                    <a:ext uri="{FF2B5EF4-FFF2-40B4-BE49-F238E27FC236}">
                      <a16:creationId xmlns:a16="http://schemas.microsoft.com/office/drawing/2014/main" id="{EE6DA82E-D7EA-1BDC-A849-87217D9C31A1}"/>
                    </a:ext>
                  </a:extLst>
                </xdr:cNvPr>
                <xdr:cNvSpPr txBox="1"/>
              </xdr:nvSpPr>
              <xdr:spPr>
                <a:xfrm>
                  <a:off x="3510385" y="0"/>
                  <a:ext cx="52312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REPAIRS</a:t>
                  </a:r>
                </a:p>
              </xdr:txBody>
            </xdr:sp>
            <xdr:pic>
              <xdr:nvPicPr>
                <xdr:cNvPr id="98" name="Picture 97">
                  <a:hlinkClick xmlns:r="http://schemas.openxmlformats.org/officeDocument/2006/relationships" r:id="rId21"/>
                  <a:extLst>
                    <a:ext uri="{FF2B5EF4-FFF2-40B4-BE49-F238E27FC236}">
                      <a16:creationId xmlns:a16="http://schemas.microsoft.com/office/drawing/2014/main" id="{E854A2CD-5E8C-9F24-EAFD-5A510BAE1BB1}"/>
                    </a:ext>
                  </a:extLst>
                </xdr:cNvPr>
                <xdr:cNvPicPr>
                  <a:picLocks noChangeAspect="1"/>
                </xdr:cNvPicPr>
              </xdr:nvPicPr>
              <xdr:blipFill>
                <a:blip xmlns:r="http://schemas.openxmlformats.org/officeDocument/2006/relationships" r:embed="rId22" cstate="print">
                  <a:alphaModFix/>
                  <a:extLst>
                    <a:ext uri="{28A0092B-C50C-407E-A947-70E740481C1C}">
                      <a14:useLocalDpi xmlns:a14="http://schemas.microsoft.com/office/drawing/2010/main" val="0"/>
                    </a:ext>
                  </a:extLst>
                </a:blip>
                <a:stretch>
                  <a:fillRect/>
                </a:stretch>
              </xdr:blipFill>
              <xdr:spPr>
                <a:xfrm>
                  <a:off x="3296296" y="28376"/>
                  <a:ext cx="214435" cy="230900"/>
                </a:xfrm>
                <a:prstGeom prst="rect">
                  <a:avLst/>
                </a:prstGeom>
              </xdr:spPr>
            </xdr:pic>
            <xdr:sp macro="" textlink="">
              <xdr:nvSpPr>
                <xdr:cNvPr id="99" name="TextBox 98">
                  <a:hlinkClick xmlns:r="http://schemas.openxmlformats.org/officeDocument/2006/relationships" r:id="rId23"/>
                  <a:extLst>
                    <a:ext uri="{FF2B5EF4-FFF2-40B4-BE49-F238E27FC236}">
                      <a16:creationId xmlns:a16="http://schemas.microsoft.com/office/drawing/2014/main" id="{0A00E1A3-CC8E-D950-0CFD-C3F6790A8983}"/>
                    </a:ext>
                  </a:extLst>
                </xdr:cNvPr>
                <xdr:cNvSpPr txBox="1"/>
              </xdr:nvSpPr>
              <xdr:spPr>
                <a:xfrm>
                  <a:off x="4388587" y="0"/>
                  <a:ext cx="63170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FURNITURE</a:t>
                  </a:r>
                </a:p>
              </xdr:txBody>
            </xdr:sp>
            <xdr:pic>
              <xdr:nvPicPr>
                <xdr:cNvPr id="100" name="Picture 99">
                  <a:hlinkClick xmlns:r="http://schemas.openxmlformats.org/officeDocument/2006/relationships" r:id="rId23"/>
                  <a:extLst>
                    <a:ext uri="{FF2B5EF4-FFF2-40B4-BE49-F238E27FC236}">
                      <a16:creationId xmlns:a16="http://schemas.microsoft.com/office/drawing/2014/main" id="{9CE072CE-DA0A-FAE0-0690-6BA5C2164DC7}"/>
                    </a:ext>
                  </a:extLst>
                </xdr:cNvPr>
                <xdr:cNvPicPr>
                  <a:picLocks noChangeAspect="1"/>
                </xdr:cNvPicPr>
              </xdr:nvPicPr>
              <xdr:blipFill>
                <a:blip xmlns:r="http://schemas.openxmlformats.org/officeDocument/2006/relationships" r:embed="rId24" cstate="print">
                  <a:alphaModFix/>
                  <a:extLst>
                    <a:ext uri="{28A0092B-C50C-407E-A947-70E740481C1C}">
                      <a14:useLocalDpi xmlns:a14="http://schemas.microsoft.com/office/drawing/2010/main" val="0"/>
                    </a:ext>
                  </a:extLst>
                </a:blip>
                <a:stretch>
                  <a:fillRect/>
                </a:stretch>
              </xdr:blipFill>
              <xdr:spPr>
                <a:xfrm>
                  <a:off x="4180491" y="28376"/>
                  <a:ext cx="214435" cy="230900"/>
                </a:xfrm>
                <a:prstGeom prst="rect">
                  <a:avLst/>
                </a:prstGeom>
              </xdr:spPr>
            </xdr:pic>
            <xdr:pic>
              <xdr:nvPicPr>
                <xdr:cNvPr id="101" name="Picture 100">
                  <a:hlinkClick xmlns:r="http://schemas.openxmlformats.org/officeDocument/2006/relationships" r:id="rId25"/>
                  <a:extLst>
                    <a:ext uri="{FF2B5EF4-FFF2-40B4-BE49-F238E27FC236}">
                      <a16:creationId xmlns:a16="http://schemas.microsoft.com/office/drawing/2014/main" id="{2F948998-E9B7-F6A4-BE92-D0AB17BC2966}"/>
                    </a:ext>
                  </a:extLst>
                </xdr:cNvPr>
                <xdr:cNvPicPr>
                  <a:picLocks noChangeAspect="1"/>
                </xdr:cNvPicPr>
              </xdr:nvPicPr>
              <xdr:blipFill>
                <a:blip xmlns:r="http://schemas.openxmlformats.org/officeDocument/2006/relationships" r:embed="rId26" cstate="print">
                  <a:alphaModFix/>
                  <a:extLst>
                    <a:ext uri="{28A0092B-C50C-407E-A947-70E740481C1C}">
                      <a14:useLocalDpi xmlns:a14="http://schemas.microsoft.com/office/drawing/2010/main" val="0"/>
                    </a:ext>
                  </a:extLst>
                </a:blip>
                <a:stretch>
                  <a:fillRect/>
                </a:stretch>
              </xdr:blipFill>
              <xdr:spPr>
                <a:xfrm>
                  <a:off x="10812480" y="19549"/>
                  <a:ext cx="214188" cy="248554"/>
                </a:xfrm>
                <a:prstGeom prst="rect">
                  <a:avLst/>
                </a:prstGeom>
              </xdr:spPr>
            </xdr:pic>
            <xdr:sp macro="" textlink="">
              <xdr:nvSpPr>
                <xdr:cNvPr id="102" name="TextBox 101">
                  <a:hlinkClick xmlns:r="http://schemas.openxmlformats.org/officeDocument/2006/relationships" r:id="rId25"/>
                  <a:extLst>
                    <a:ext uri="{FF2B5EF4-FFF2-40B4-BE49-F238E27FC236}">
                      <a16:creationId xmlns:a16="http://schemas.microsoft.com/office/drawing/2014/main" id="{B139F67D-3FFA-6C6F-0F1B-7ADB8A77CBB0}"/>
                    </a:ext>
                  </a:extLst>
                </xdr:cNvPr>
                <xdr:cNvSpPr txBox="1"/>
              </xdr:nvSpPr>
              <xdr:spPr>
                <a:xfrm>
                  <a:off x="11008843" y="0"/>
                  <a:ext cx="40705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PEERS</a:t>
                  </a:r>
                </a:p>
              </xdr:txBody>
            </xdr:sp>
            <xdr:sp macro="" textlink="">
              <xdr:nvSpPr>
                <xdr:cNvPr id="103" name="TextBox 102">
                  <a:hlinkClick xmlns:r="http://schemas.openxmlformats.org/officeDocument/2006/relationships" r:id="rId27"/>
                  <a:extLst>
                    <a:ext uri="{FF2B5EF4-FFF2-40B4-BE49-F238E27FC236}">
                      <a16:creationId xmlns:a16="http://schemas.microsoft.com/office/drawing/2014/main" id="{A8625165-3697-F6D4-723D-EE66E95E655A}"/>
                    </a:ext>
                  </a:extLst>
                </xdr:cNvPr>
                <xdr:cNvSpPr txBox="1"/>
              </xdr:nvSpPr>
              <xdr:spPr>
                <a:xfrm>
                  <a:off x="9581756" y="397481"/>
                  <a:ext cx="656781"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MAX PRICE</a:t>
                  </a:r>
                </a:p>
              </xdr:txBody>
            </xdr:sp>
            <xdr:pic>
              <xdr:nvPicPr>
                <xdr:cNvPr id="104" name="Picture 103">
                  <a:hlinkClick xmlns:r="http://schemas.openxmlformats.org/officeDocument/2006/relationships" r:id="rId27"/>
                  <a:extLst>
                    <a:ext uri="{FF2B5EF4-FFF2-40B4-BE49-F238E27FC236}">
                      <a16:creationId xmlns:a16="http://schemas.microsoft.com/office/drawing/2014/main" id="{003290B2-92C9-34E9-107F-836DCE3CDFA5}"/>
                    </a:ext>
                  </a:extLst>
                </xdr:cNvPr>
                <xdr:cNvPicPr>
                  <a:picLocks noChangeAspect="1"/>
                </xdr:cNvPicPr>
              </xdr:nvPicPr>
              <xdr:blipFill>
                <a:blip xmlns:r="http://schemas.openxmlformats.org/officeDocument/2006/relationships" r:embed="rId28" cstate="print">
                  <a:alphaModFix/>
                  <a:extLst>
                    <a:ext uri="{28A0092B-C50C-407E-A947-70E740481C1C}">
                      <a14:useLocalDpi xmlns:a14="http://schemas.microsoft.com/office/drawing/2010/main" val="0"/>
                    </a:ext>
                  </a:extLst>
                </a:blip>
                <a:stretch>
                  <a:fillRect/>
                </a:stretch>
              </xdr:blipFill>
              <xdr:spPr>
                <a:xfrm>
                  <a:off x="9433997" y="425857"/>
                  <a:ext cx="214435" cy="230900"/>
                </a:xfrm>
                <a:prstGeom prst="rect">
                  <a:avLst/>
                </a:prstGeom>
              </xdr:spPr>
            </xdr:pic>
            <xdr:sp macro="" textlink="">
              <xdr:nvSpPr>
                <xdr:cNvPr id="105" name="TextBox 104">
                  <a:hlinkClick xmlns:r="http://schemas.openxmlformats.org/officeDocument/2006/relationships" r:id="rId29"/>
                  <a:extLst>
                    <a:ext uri="{FF2B5EF4-FFF2-40B4-BE49-F238E27FC236}">
                      <a16:creationId xmlns:a16="http://schemas.microsoft.com/office/drawing/2014/main" id="{FAF4389F-29AB-8666-2CA8-4E35C42AA3F4}"/>
                    </a:ext>
                  </a:extLst>
                </xdr:cNvPr>
                <xdr:cNvSpPr txBox="1"/>
              </xdr:nvSpPr>
              <xdr:spPr>
                <a:xfrm>
                  <a:off x="7733272" y="389861"/>
                  <a:ext cx="6384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SCENARIOS</a:t>
                  </a:r>
                </a:p>
              </xdr:txBody>
            </xdr:sp>
            <xdr:pic>
              <xdr:nvPicPr>
                <xdr:cNvPr id="106" name="Picture 105">
                  <a:hlinkClick xmlns:r="http://schemas.openxmlformats.org/officeDocument/2006/relationships" r:id="rId29"/>
                  <a:extLst>
                    <a:ext uri="{FF2B5EF4-FFF2-40B4-BE49-F238E27FC236}">
                      <a16:creationId xmlns:a16="http://schemas.microsoft.com/office/drawing/2014/main" id="{93FFAC1B-DC55-A508-0F51-7D2AA0CFD4B9}"/>
                    </a:ext>
                  </a:extLst>
                </xdr:cNvPr>
                <xdr:cNvPicPr>
                  <a:picLocks noChangeAspect="1"/>
                </xdr:cNvPicPr>
              </xdr:nvPicPr>
              <xdr:blipFill>
                <a:blip xmlns:r="http://schemas.openxmlformats.org/officeDocument/2006/relationships" r:embed="rId30" cstate="print">
                  <a:alphaModFix/>
                  <a:extLst>
                    <a:ext uri="{28A0092B-C50C-407E-A947-70E740481C1C}">
                      <a14:useLocalDpi xmlns:a14="http://schemas.microsoft.com/office/drawing/2010/main" val="0"/>
                    </a:ext>
                  </a:extLst>
                </a:blip>
                <a:stretch>
                  <a:fillRect/>
                </a:stretch>
              </xdr:blipFill>
              <xdr:spPr>
                <a:xfrm>
                  <a:off x="7536090" y="418237"/>
                  <a:ext cx="214435" cy="230900"/>
                </a:xfrm>
                <a:prstGeom prst="rect">
                  <a:avLst/>
                </a:prstGeom>
              </xdr:spPr>
            </xdr:pic>
            <xdr:sp macro="" textlink="">
              <xdr:nvSpPr>
                <xdr:cNvPr id="107" name="TextBox 106">
                  <a:hlinkClick xmlns:r="http://schemas.openxmlformats.org/officeDocument/2006/relationships" r:id="rId31"/>
                  <a:extLst>
                    <a:ext uri="{FF2B5EF4-FFF2-40B4-BE49-F238E27FC236}">
                      <a16:creationId xmlns:a16="http://schemas.microsoft.com/office/drawing/2014/main" id="{BA411236-57D9-4CA6-E011-B372F988191F}"/>
                    </a:ext>
                  </a:extLst>
                </xdr:cNvPr>
                <xdr:cNvSpPr txBox="1"/>
              </xdr:nvSpPr>
              <xdr:spPr>
                <a:xfrm>
                  <a:off x="11757467" y="49286"/>
                  <a:ext cx="110218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MARKET RESEARCH</a:t>
                  </a:r>
                </a:p>
              </xdr:txBody>
            </xdr:sp>
            <xdr:pic>
              <xdr:nvPicPr>
                <xdr:cNvPr id="108" name="Picture 107" descr="A white and brown hourglass&#10;&#10;AI-generated content may be incorrect.">
                  <a:hlinkClick xmlns:r="http://schemas.openxmlformats.org/officeDocument/2006/relationships" r:id="rId31"/>
                  <a:extLst>
                    <a:ext uri="{FF2B5EF4-FFF2-40B4-BE49-F238E27FC236}">
                      <a16:creationId xmlns:a16="http://schemas.microsoft.com/office/drawing/2014/main" id="{9E3BF172-8A54-D7EA-1DDA-5E5037F84C7B}"/>
                    </a:ext>
                  </a:extLst>
                </xdr:cNvPr>
                <xdr:cNvPicPr>
                  <a:picLocks noChangeAspect="1"/>
                </xdr:cNvPicPr>
              </xdr:nvPicPr>
              <xdr:blipFill>
                <a:blip xmlns:r="http://schemas.openxmlformats.org/officeDocument/2006/relationships" r:embed="rId32" cstate="print">
                  <a:alphaModFix/>
                  <a:extLst>
                    <a:ext uri="{28A0092B-C50C-407E-A947-70E740481C1C}">
                      <a14:useLocalDpi xmlns:a14="http://schemas.microsoft.com/office/drawing/2010/main" val="0"/>
                    </a:ext>
                  </a:extLst>
                </a:blip>
                <a:stretch>
                  <a:fillRect/>
                </a:stretch>
              </xdr:blipFill>
              <xdr:spPr>
                <a:xfrm>
                  <a:off x="11563464" y="33893"/>
                  <a:ext cx="235575" cy="261687"/>
                </a:xfrm>
                <a:prstGeom prst="rect">
                  <a:avLst/>
                </a:prstGeom>
              </xdr:spPr>
            </xdr:pic>
            <xdr:pic>
              <xdr:nvPicPr>
                <xdr:cNvPr id="109" name="Picture 108">
                  <a:hlinkClick xmlns:r="http://schemas.openxmlformats.org/officeDocument/2006/relationships" r:id="rId33"/>
                  <a:extLst>
                    <a:ext uri="{FF2B5EF4-FFF2-40B4-BE49-F238E27FC236}">
                      <a16:creationId xmlns:a16="http://schemas.microsoft.com/office/drawing/2014/main" id="{CD48F0FA-8801-03ED-9ED6-F9CEB20D8022}"/>
                    </a:ext>
                  </a:extLst>
                </xdr:cNvPr>
                <xdr:cNvPicPr>
                  <a:picLocks noChangeAspect="1" noChangeArrowheads="1"/>
                </xdr:cNvPicPr>
              </xdr:nvPicPr>
              <xdr:blipFill>
                <a:blip xmlns:r="http://schemas.openxmlformats.org/officeDocument/2006/relationships" r:embed="rId3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33032" y="384834"/>
                  <a:ext cx="261600" cy="33288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0" name="TextBox 109">
                  <a:hlinkClick xmlns:r="http://schemas.openxmlformats.org/officeDocument/2006/relationships" r:id="rId33"/>
                  <a:extLst>
                    <a:ext uri="{FF2B5EF4-FFF2-40B4-BE49-F238E27FC236}">
                      <a16:creationId xmlns:a16="http://schemas.microsoft.com/office/drawing/2014/main" id="{0FF66525-6488-2DAB-9F97-A5CA19E38FB0}"/>
                    </a:ext>
                  </a:extLst>
                </xdr:cNvPr>
                <xdr:cNvSpPr txBox="1"/>
              </xdr:nvSpPr>
              <xdr:spPr>
                <a:xfrm>
                  <a:off x="3637195" y="315564"/>
                  <a:ext cx="914586" cy="433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BALANCE SHEET</a:t>
                  </a:r>
                </a:p>
                <a:p>
                  <a:pPr algn="ctr"/>
                  <a:r>
                    <a:rPr lang="en-US" sz="900" b="1">
                      <a:solidFill>
                        <a:schemeClr val="bg1"/>
                      </a:solidFill>
                    </a:rPr>
                    <a:t>SUMMARY</a:t>
                  </a:r>
                </a:p>
              </xdr:txBody>
            </xdr:sp>
            <xdr:pic>
              <xdr:nvPicPr>
                <xdr:cNvPr id="111" name="Picture 110">
                  <a:hlinkClick xmlns:r="http://schemas.openxmlformats.org/officeDocument/2006/relationships" r:id="rId35"/>
                  <a:extLst>
                    <a:ext uri="{FF2B5EF4-FFF2-40B4-BE49-F238E27FC236}">
                      <a16:creationId xmlns:a16="http://schemas.microsoft.com/office/drawing/2014/main" id="{B687D072-E88E-1B60-66FF-7771BF4E78DC}"/>
                    </a:ext>
                  </a:extLst>
                </xdr:cNvPr>
                <xdr:cNvPicPr>
                  <a:picLocks noChangeAspect="1" noChangeArrowheads="1"/>
                </xdr:cNvPicPr>
              </xdr:nvPicPr>
              <xdr:blipFill>
                <a:blip xmlns:r="http://schemas.openxmlformats.org/officeDocument/2006/relationships" r:embed="rId36" cstate="print">
                  <a:clrChange>
                    <a:clrFrom>
                      <a:srgbClr val="F8F8F8"/>
                    </a:clrFrom>
                    <a:clrTo>
                      <a:srgbClr val="F8F8F8">
                        <a:alpha val="0"/>
                      </a:srgbClr>
                    </a:clrTo>
                  </a:clrChange>
                  <a:extLst>
                    <a:ext uri="{28A0092B-C50C-407E-A947-70E740481C1C}">
                      <a14:useLocalDpi xmlns:a14="http://schemas.microsoft.com/office/drawing/2010/main" val="0"/>
                    </a:ext>
                  </a:extLst>
                </a:blip>
                <a:srcRect/>
                <a:stretch>
                  <a:fillRect/>
                </a:stretch>
              </xdr:blipFill>
              <xdr:spPr bwMode="auto">
                <a:xfrm>
                  <a:off x="4602713" y="384834"/>
                  <a:ext cx="326621" cy="3113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2" name="TextBox 111">
                  <a:hlinkClick xmlns:r="http://schemas.openxmlformats.org/officeDocument/2006/relationships" r:id="rId35"/>
                  <a:extLst>
                    <a:ext uri="{FF2B5EF4-FFF2-40B4-BE49-F238E27FC236}">
                      <a16:creationId xmlns:a16="http://schemas.microsoft.com/office/drawing/2014/main" id="{6AB2AE0C-3B70-D6FD-A4EE-E08F5F97ECCD}"/>
                    </a:ext>
                  </a:extLst>
                </xdr:cNvPr>
                <xdr:cNvSpPr txBox="1"/>
              </xdr:nvSpPr>
              <xdr:spPr>
                <a:xfrm>
                  <a:off x="4880678" y="423317"/>
                  <a:ext cx="56334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ASSETS</a:t>
                  </a:r>
                </a:p>
              </xdr:txBody>
            </xdr:sp>
            <xdr:pic>
              <xdr:nvPicPr>
                <xdr:cNvPr id="113" name="Picture 112">
                  <a:hlinkClick xmlns:r="http://schemas.openxmlformats.org/officeDocument/2006/relationships" r:id="rId37"/>
                  <a:extLst>
                    <a:ext uri="{FF2B5EF4-FFF2-40B4-BE49-F238E27FC236}">
                      <a16:creationId xmlns:a16="http://schemas.microsoft.com/office/drawing/2014/main" id="{838623F6-7B28-73F9-5843-07350BB804BE}"/>
                    </a:ext>
                  </a:extLst>
                </xdr:cNvPr>
                <xdr:cNvPicPr>
                  <a:picLocks noChangeAspect="1" noChangeArrowheads="1"/>
                </xdr:cNvPicPr>
              </xdr:nvPicPr>
              <xdr:blipFill>
                <a:blip xmlns:r="http://schemas.openxmlformats.org/officeDocument/2006/relationships" r:embed="rId3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35903" y="354046"/>
                  <a:ext cx="278234" cy="3540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4" name="TextBox 113">
                  <a:hlinkClick xmlns:r="http://schemas.openxmlformats.org/officeDocument/2006/relationships" r:id="rId37"/>
                  <a:extLst>
                    <a:ext uri="{FF2B5EF4-FFF2-40B4-BE49-F238E27FC236}">
                      <a16:creationId xmlns:a16="http://schemas.microsoft.com/office/drawing/2014/main" id="{EFC878AB-9A14-F5A1-5955-D7F59CFD39FD}"/>
                    </a:ext>
                  </a:extLst>
                </xdr:cNvPr>
                <xdr:cNvSpPr txBox="1"/>
              </xdr:nvSpPr>
              <xdr:spPr>
                <a:xfrm>
                  <a:off x="5717678" y="431014"/>
                  <a:ext cx="750091"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LIABILITIES</a:t>
                  </a:r>
                </a:p>
              </xdr:txBody>
            </xdr:sp>
            <xdr:pic>
              <xdr:nvPicPr>
                <xdr:cNvPr id="115" name="Picture 114">
                  <a:hlinkClick xmlns:r="http://schemas.openxmlformats.org/officeDocument/2006/relationships" r:id="rId39"/>
                  <a:extLst>
                    <a:ext uri="{FF2B5EF4-FFF2-40B4-BE49-F238E27FC236}">
                      <a16:creationId xmlns:a16="http://schemas.microsoft.com/office/drawing/2014/main" id="{02E2D15F-55CB-C215-C622-67A2DDC0660F}"/>
                    </a:ext>
                  </a:extLst>
                </xdr:cNvPr>
                <xdr:cNvPicPr>
                  <a:picLocks noChangeAspect="1"/>
                </xdr:cNvPicPr>
              </xdr:nvPicPr>
              <xdr:blipFill>
                <a:blip xmlns:r="http://schemas.openxmlformats.org/officeDocument/2006/relationships" r:embed="rId40">
                  <a:clrChange>
                    <a:clrFrom>
                      <a:srgbClr val="FFFFFF"/>
                    </a:clrFrom>
                    <a:clrTo>
                      <a:srgbClr val="FFFFFF">
                        <a:alpha val="0"/>
                      </a:srgbClr>
                    </a:clrTo>
                  </a:clrChange>
                </a:blip>
                <a:stretch>
                  <a:fillRect/>
                </a:stretch>
              </xdr:blipFill>
              <xdr:spPr>
                <a:xfrm>
                  <a:off x="6454424" y="361268"/>
                  <a:ext cx="368693" cy="354523"/>
                </a:xfrm>
                <a:prstGeom prst="rect">
                  <a:avLst/>
                </a:prstGeom>
              </xdr:spPr>
            </xdr:pic>
            <xdr:sp macro="" textlink="">
              <xdr:nvSpPr>
                <xdr:cNvPr id="116" name="TextBox 115">
                  <a:hlinkClick xmlns:r="http://schemas.openxmlformats.org/officeDocument/2006/relationships" r:id="rId39"/>
                  <a:extLst>
                    <a:ext uri="{FF2B5EF4-FFF2-40B4-BE49-F238E27FC236}">
                      <a16:creationId xmlns:a16="http://schemas.microsoft.com/office/drawing/2014/main" id="{808E1542-3BEB-3A6E-5328-3E70D48D1CD0}"/>
                    </a:ext>
                  </a:extLst>
                </xdr:cNvPr>
                <xdr:cNvSpPr txBox="1"/>
              </xdr:nvSpPr>
              <xdr:spPr>
                <a:xfrm>
                  <a:off x="6742924" y="369440"/>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EDIT</a:t>
                  </a:r>
                </a:p>
                <a:p>
                  <a:r>
                    <a:rPr lang="en-US" sz="900" b="1">
                      <a:solidFill>
                        <a:schemeClr val="bg1"/>
                      </a:solidFill>
                    </a:rPr>
                    <a:t>CATEGORIES</a:t>
                  </a:r>
                </a:p>
              </xdr:txBody>
            </xdr:sp>
            <xdr:grpSp>
              <xdr:nvGrpSpPr>
                <xdr:cNvPr id="117" name="Group 116">
                  <a:hlinkClick xmlns:r="http://schemas.openxmlformats.org/officeDocument/2006/relationships" r:id="rId41"/>
                  <a:extLst>
                    <a:ext uri="{FF2B5EF4-FFF2-40B4-BE49-F238E27FC236}">
                      <a16:creationId xmlns:a16="http://schemas.microsoft.com/office/drawing/2014/main" id="{8EFC22E8-4ED4-0D2C-CEEB-D40AD54272AC}"/>
                    </a:ext>
                  </a:extLst>
                </xdr:cNvPr>
                <xdr:cNvGrpSpPr/>
              </xdr:nvGrpSpPr>
              <xdr:grpSpPr>
                <a:xfrm>
                  <a:off x="10231249" y="237461"/>
                  <a:ext cx="1281586" cy="502920"/>
                  <a:chOff x="11732389" y="237461"/>
                  <a:chExt cx="1281586" cy="502920"/>
                </a:xfrm>
              </xdr:grpSpPr>
              <xdr:pic>
                <xdr:nvPicPr>
                  <xdr:cNvPr id="118" name="Picture 117">
                    <a:hlinkClick xmlns:r="http://schemas.openxmlformats.org/officeDocument/2006/relationships" r:id="rId42"/>
                    <a:extLst>
                      <a:ext uri="{FF2B5EF4-FFF2-40B4-BE49-F238E27FC236}">
                        <a16:creationId xmlns:a16="http://schemas.microsoft.com/office/drawing/2014/main" id="{2F7864F0-D74F-21A3-3E25-838712ABD357}"/>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1732389" y="237461"/>
                    <a:ext cx="502920" cy="502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9" name="TextBox 118">
                    <a:hlinkClick xmlns:r="http://schemas.openxmlformats.org/officeDocument/2006/relationships" r:id="rId42"/>
                    <a:extLst>
                      <a:ext uri="{FF2B5EF4-FFF2-40B4-BE49-F238E27FC236}">
                        <a16:creationId xmlns:a16="http://schemas.microsoft.com/office/drawing/2014/main" id="{5DA009C4-835A-F705-3E50-93836CEE6484}"/>
                      </a:ext>
                    </a:extLst>
                  </xdr:cNvPr>
                  <xdr:cNvSpPr txBox="1"/>
                </xdr:nvSpPr>
                <xdr:spPr>
                  <a:xfrm>
                    <a:off x="12197209" y="344142"/>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 GAME APPS</a:t>
                    </a:r>
                  </a:p>
                </xdr:txBody>
              </xdr:sp>
            </xdr:grpSp>
          </xdr:grpSp>
          <xdr:grpSp>
            <xdr:nvGrpSpPr>
              <xdr:cNvPr id="78" name="Group 77">
                <a:extLst>
                  <a:ext uri="{FF2B5EF4-FFF2-40B4-BE49-F238E27FC236}">
                    <a16:creationId xmlns:a16="http://schemas.microsoft.com/office/drawing/2014/main" id="{5EBDF165-8A03-3FC1-80CC-2D92A26205C9}"/>
                  </a:ext>
                </a:extLst>
              </xdr:cNvPr>
              <xdr:cNvGrpSpPr/>
            </xdr:nvGrpSpPr>
            <xdr:grpSpPr>
              <a:xfrm>
                <a:off x="3030070" y="313765"/>
                <a:ext cx="1219410" cy="438976"/>
                <a:chOff x="3030070" y="313765"/>
                <a:chExt cx="1219410" cy="438976"/>
              </a:xfrm>
            </xdr:grpSpPr>
            <xdr:sp macro="" textlink="">
              <xdr:nvSpPr>
                <xdr:cNvPr id="79" name="TextBox 78">
                  <a:hlinkClick xmlns:r="http://schemas.openxmlformats.org/officeDocument/2006/relationships" r:id="rId44"/>
                  <a:extLst>
                    <a:ext uri="{FF2B5EF4-FFF2-40B4-BE49-F238E27FC236}">
                      <a16:creationId xmlns:a16="http://schemas.microsoft.com/office/drawing/2014/main" id="{77A08F7D-CEA0-1307-F9A7-FB5B4AEE987B}"/>
                    </a:ext>
                  </a:extLst>
                </xdr:cNvPr>
                <xdr:cNvSpPr txBox="1"/>
              </xdr:nvSpPr>
              <xdr:spPr>
                <a:xfrm>
                  <a:off x="3307528" y="313765"/>
                  <a:ext cx="941952" cy="43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BOOK KEEPING</a:t>
                  </a:r>
                </a:p>
                <a:p>
                  <a:pPr algn="ctr"/>
                  <a:r>
                    <a:rPr lang="en-US" sz="900" b="1">
                      <a:solidFill>
                        <a:schemeClr val="bg1"/>
                      </a:solidFill>
                    </a:rPr>
                    <a:t>LEDGER</a:t>
                  </a:r>
                </a:p>
              </xdr:txBody>
            </xdr:sp>
            <xdr:pic>
              <xdr:nvPicPr>
                <xdr:cNvPr id="80" name="Picture 79">
                  <a:hlinkClick xmlns:r="http://schemas.openxmlformats.org/officeDocument/2006/relationships" r:id="rId44"/>
                  <a:extLst>
                    <a:ext uri="{FF2B5EF4-FFF2-40B4-BE49-F238E27FC236}">
                      <a16:creationId xmlns:a16="http://schemas.microsoft.com/office/drawing/2014/main" id="{BE7409CA-85AF-074F-4493-BA82E02C9D90}"/>
                    </a:ext>
                  </a:extLst>
                </xdr:cNvPr>
                <xdr:cNvPicPr>
                  <a:picLocks noChangeAspect="1"/>
                </xdr:cNvPicPr>
              </xdr:nvPicPr>
              <xdr:blipFill>
                <a:blip xmlns:r="http://schemas.openxmlformats.org/officeDocument/2006/relationships" r:embed="rId4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0070" y="367554"/>
                  <a:ext cx="327770" cy="349622"/>
                </a:xfrm>
                <a:prstGeom prst="rect">
                  <a:avLst/>
                </a:prstGeom>
              </xdr:spPr>
            </xdr:pic>
          </xdr:grpSp>
        </xdr:grpSp>
        <xdr:grpSp>
          <xdr:nvGrpSpPr>
            <xdr:cNvPr id="74" name="Group 73">
              <a:extLst>
                <a:ext uri="{FF2B5EF4-FFF2-40B4-BE49-F238E27FC236}">
                  <a16:creationId xmlns:a16="http://schemas.microsoft.com/office/drawing/2014/main" id="{4306616E-3997-80B7-C945-3C4C74161F08}"/>
                </a:ext>
              </a:extLst>
            </xdr:cNvPr>
            <xdr:cNvGrpSpPr/>
          </xdr:nvGrpSpPr>
          <xdr:grpSpPr>
            <a:xfrm>
              <a:off x="12626340" y="243840"/>
              <a:ext cx="1344125" cy="571500"/>
              <a:chOff x="12626340" y="243840"/>
              <a:chExt cx="1344125" cy="571500"/>
            </a:xfrm>
          </xdr:grpSpPr>
          <xdr:pic>
            <xdr:nvPicPr>
              <xdr:cNvPr id="75" name="Picture 74">
                <a:hlinkClick xmlns:r="http://schemas.openxmlformats.org/officeDocument/2006/relationships" r:id="rId46"/>
                <a:extLst>
                  <a:ext uri="{FF2B5EF4-FFF2-40B4-BE49-F238E27FC236}">
                    <a16:creationId xmlns:a16="http://schemas.microsoft.com/office/drawing/2014/main" id="{19DDE290-39DE-0E54-C05D-2916A9C25611}"/>
                  </a:ext>
                </a:extLst>
              </xdr:cNvPr>
              <xdr:cNvPicPr>
                <a:picLocks noChangeAspect="1" noChangeArrowheads="1"/>
              </xdr:cNvPicPr>
            </xdr:nvPicPr>
            <xdr:blipFill>
              <a:blip xmlns:r="http://schemas.openxmlformats.org/officeDocument/2006/relationships" r:embed="rId47"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26340" y="243840"/>
                <a:ext cx="571500" cy="571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6" name="TextBox 75">
                <a:hlinkClick xmlns:r="http://schemas.openxmlformats.org/officeDocument/2006/relationships" r:id="rId46"/>
                <a:extLst>
                  <a:ext uri="{FF2B5EF4-FFF2-40B4-BE49-F238E27FC236}">
                    <a16:creationId xmlns:a16="http://schemas.microsoft.com/office/drawing/2014/main" id="{F7B7DE37-7E13-A647-4A22-D371DDF18761}"/>
                  </a:ext>
                </a:extLst>
              </xdr:cNvPr>
              <xdr:cNvSpPr txBox="1"/>
            </xdr:nvSpPr>
            <xdr:spPr>
              <a:xfrm>
                <a:off x="13129260" y="327660"/>
                <a:ext cx="841205" cy="4000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TRAVEL</a:t>
                </a:r>
              </a:p>
              <a:p>
                <a:pPr algn="ctr"/>
                <a:r>
                  <a:rPr lang="en-US" sz="900" b="1">
                    <a:solidFill>
                      <a:schemeClr val="bg1"/>
                    </a:solidFill>
                  </a:rPr>
                  <a:t>SANDBOX</a:t>
                </a:r>
              </a:p>
            </xdr:txBody>
          </xdr:sp>
        </xdr:grpSp>
      </xdr:grpSp>
      <xdr:pic>
        <xdr:nvPicPr>
          <xdr:cNvPr id="72" name="Picture 71">
            <a:hlinkClick xmlns:r="http://schemas.openxmlformats.org/officeDocument/2006/relationships" r:id="rId14"/>
            <a:extLst>
              <a:ext uri="{FF2B5EF4-FFF2-40B4-BE49-F238E27FC236}">
                <a16:creationId xmlns:a16="http://schemas.microsoft.com/office/drawing/2014/main" id="{E501CC73-7A40-DF0F-8531-C582B542451F}"/>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6134100" y="30480"/>
            <a:ext cx="234698" cy="246078"/>
          </a:xfrm>
          <a:prstGeom prst="rect">
            <a:avLst/>
          </a:prstGeom>
          <a:solidFill>
            <a:srgbClr val="7FA6C7"/>
          </a:solidFill>
        </xdr:spPr>
      </xdr:pic>
    </xdr:grpSp>
    <xdr:clientData/>
  </xdr:twoCellAnchor>
</xdr:wsDr>
</file>

<file path=xl/drawings/drawing26.xml><?xml version="1.0" encoding="utf-8"?>
<c:userShapes xmlns:c="http://schemas.openxmlformats.org/drawingml/2006/chart">
  <cdr:relSizeAnchor xmlns:cdr="http://schemas.openxmlformats.org/drawingml/2006/chartDrawing">
    <cdr:from>
      <cdr:x>0.00728</cdr:x>
      <cdr:y>0.88239</cdr:y>
    </cdr:from>
    <cdr:to>
      <cdr:x>0.10693</cdr:x>
      <cdr:y>0.97106</cdr:y>
    </cdr:to>
    <cdr:sp macro="" textlink="">
      <cdr:nvSpPr>
        <cdr:cNvPr id="2" name="TextBox 1">
          <a:extLst xmlns:a="http://schemas.openxmlformats.org/drawingml/2006/main">
            <a:ext uri="{FF2B5EF4-FFF2-40B4-BE49-F238E27FC236}">
              <a16:creationId xmlns:a16="http://schemas.microsoft.com/office/drawing/2014/main" id="{64A52ED4-83AF-4309-962E-DF095D746710}"/>
            </a:ext>
          </a:extLst>
        </cdr:cNvPr>
        <cdr:cNvSpPr txBox="1"/>
      </cdr:nvSpPr>
      <cdr:spPr>
        <a:xfrm xmlns:a="http://schemas.openxmlformats.org/drawingml/2006/main">
          <a:off x="50800" y="2155825"/>
          <a:ext cx="695274" cy="2166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chemeClr val="tx1">
                  <a:lumMod val="50000"/>
                  <a:lumOff val="50000"/>
                </a:schemeClr>
              </a:solidFill>
              <a:latin typeface="Segoe UI" panose="020B0502040204020203" pitchFamily="34" charset="0"/>
              <a:cs typeface="Segoe UI" panose="020B0502040204020203" pitchFamily="34" charset="0"/>
            </a:rPr>
            <a:t>Year:</a:t>
          </a:r>
        </a:p>
      </cdr:txBody>
    </cdr:sp>
  </cdr:relSizeAnchor>
</c:userShapes>
</file>

<file path=xl/drawings/drawing27.xml><?xml version="1.0" encoding="utf-8"?>
<xdr:wsDr xmlns:xdr="http://schemas.openxmlformats.org/drawingml/2006/spreadsheetDrawing" xmlns:a="http://schemas.openxmlformats.org/drawingml/2006/main">
  <xdr:twoCellAnchor>
    <xdr:from>
      <xdr:col>1</xdr:col>
      <xdr:colOff>2</xdr:colOff>
      <xdr:row>23</xdr:row>
      <xdr:rowOff>133350</xdr:rowOff>
    </xdr:from>
    <xdr:to>
      <xdr:col>12</xdr:col>
      <xdr:colOff>161925</xdr:colOff>
      <xdr:row>29</xdr:row>
      <xdr:rowOff>104775</xdr:rowOff>
    </xdr:to>
    <xdr:graphicFrame macro="">
      <xdr:nvGraphicFramePr>
        <xdr:cNvPr id="3" name="Chart 2">
          <a:extLst>
            <a:ext uri="{FF2B5EF4-FFF2-40B4-BE49-F238E27FC236}">
              <a16:creationId xmlns:a16="http://schemas.microsoft.com/office/drawing/2014/main" id="{C4BC2512-EB84-496D-B0D6-975F31FB8B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13</xdr:row>
      <xdr:rowOff>142875</xdr:rowOff>
    </xdr:from>
    <xdr:to>
      <xdr:col>40</xdr:col>
      <xdr:colOff>152400</xdr:colOff>
      <xdr:row>21</xdr:row>
      <xdr:rowOff>76200</xdr:rowOff>
    </xdr:to>
    <xdr:graphicFrame macro="">
      <xdr:nvGraphicFramePr>
        <xdr:cNvPr id="6" name="Diagramm 12">
          <a:extLst>
            <a:ext uri="{FF2B5EF4-FFF2-40B4-BE49-F238E27FC236}">
              <a16:creationId xmlns:a16="http://schemas.microsoft.com/office/drawing/2014/main" id="{BFA47201-D0BD-4ED2-95C8-8CD9FB24C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9525</xdr:colOff>
      <xdr:row>23</xdr:row>
      <xdr:rowOff>133350</xdr:rowOff>
    </xdr:from>
    <xdr:to>
      <xdr:col>26</xdr:col>
      <xdr:colOff>171448</xdr:colOff>
      <xdr:row>29</xdr:row>
      <xdr:rowOff>104775</xdr:rowOff>
    </xdr:to>
    <xdr:graphicFrame macro="">
      <xdr:nvGraphicFramePr>
        <xdr:cNvPr id="2" name="Chart 1">
          <a:extLst>
            <a:ext uri="{FF2B5EF4-FFF2-40B4-BE49-F238E27FC236}">
              <a16:creationId xmlns:a16="http://schemas.microsoft.com/office/drawing/2014/main" id="{13D7F6B7-9BDF-46CF-90AF-F97BF0ADA0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0</xdr:colOff>
      <xdr:row>23</xdr:row>
      <xdr:rowOff>133350</xdr:rowOff>
    </xdr:from>
    <xdr:to>
      <xdr:col>40</xdr:col>
      <xdr:colOff>161923</xdr:colOff>
      <xdr:row>29</xdr:row>
      <xdr:rowOff>104775</xdr:rowOff>
    </xdr:to>
    <xdr:graphicFrame macro="">
      <xdr:nvGraphicFramePr>
        <xdr:cNvPr id="7" name="Chart 6">
          <a:extLst>
            <a:ext uri="{FF2B5EF4-FFF2-40B4-BE49-F238E27FC236}">
              <a16:creationId xmlns:a16="http://schemas.microsoft.com/office/drawing/2014/main" id="{DEFDA6BB-FEB9-426C-BADF-86F35FC50C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0</xdr:row>
      <xdr:rowOff>0</xdr:rowOff>
    </xdr:from>
    <xdr:to>
      <xdr:col>49</xdr:col>
      <xdr:colOff>388377</xdr:colOff>
      <xdr:row>3</xdr:row>
      <xdr:rowOff>0</xdr:rowOff>
    </xdr:to>
    <xdr:grpSp>
      <xdr:nvGrpSpPr>
        <xdr:cNvPr id="54" name="Group 53">
          <a:extLst>
            <a:ext uri="{FF2B5EF4-FFF2-40B4-BE49-F238E27FC236}">
              <a16:creationId xmlns:a16="http://schemas.microsoft.com/office/drawing/2014/main" id="{D97B8E23-75B7-4378-9F30-6AAF86E50977}"/>
            </a:ext>
          </a:extLst>
        </xdr:cNvPr>
        <xdr:cNvGrpSpPr/>
      </xdr:nvGrpSpPr>
      <xdr:grpSpPr>
        <a:xfrm>
          <a:off x="1188720" y="0"/>
          <a:ext cx="11894577" cy="815340"/>
          <a:chOff x="2194560" y="0"/>
          <a:chExt cx="11894577" cy="815340"/>
        </a:xfrm>
      </xdr:grpSpPr>
      <xdr:grpSp>
        <xdr:nvGrpSpPr>
          <xdr:cNvPr id="55" name="Group 54">
            <a:extLst>
              <a:ext uri="{FF2B5EF4-FFF2-40B4-BE49-F238E27FC236}">
                <a16:creationId xmlns:a16="http://schemas.microsoft.com/office/drawing/2014/main" id="{D13E4DDD-2111-2A27-D1E3-AD38B5D1A1AD}"/>
              </a:ext>
            </a:extLst>
          </xdr:cNvPr>
          <xdr:cNvGrpSpPr/>
        </xdr:nvGrpSpPr>
        <xdr:grpSpPr>
          <a:xfrm>
            <a:off x="2194560" y="0"/>
            <a:ext cx="11894577" cy="815340"/>
            <a:chOff x="2194560" y="0"/>
            <a:chExt cx="11894577" cy="815340"/>
          </a:xfrm>
        </xdr:grpSpPr>
        <xdr:grpSp>
          <xdr:nvGrpSpPr>
            <xdr:cNvPr id="57" name="Group 56">
              <a:extLst>
                <a:ext uri="{FF2B5EF4-FFF2-40B4-BE49-F238E27FC236}">
                  <a16:creationId xmlns:a16="http://schemas.microsoft.com/office/drawing/2014/main" id="{110DB3E9-577E-1241-206D-E77A090059CB}"/>
                </a:ext>
              </a:extLst>
            </xdr:cNvPr>
            <xdr:cNvGrpSpPr/>
          </xdr:nvGrpSpPr>
          <xdr:grpSpPr>
            <a:xfrm>
              <a:off x="2194560" y="0"/>
              <a:ext cx="11894577" cy="773812"/>
              <a:chOff x="2160046" y="0"/>
              <a:chExt cx="11894577" cy="773812"/>
            </a:xfrm>
          </xdr:grpSpPr>
          <xdr:grpSp>
            <xdr:nvGrpSpPr>
              <xdr:cNvPr id="61" name="Group 60">
                <a:extLst>
                  <a:ext uri="{FF2B5EF4-FFF2-40B4-BE49-F238E27FC236}">
                    <a16:creationId xmlns:a16="http://schemas.microsoft.com/office/drawing/2014/main" id="{EC0E1CC5-9A74-E80A-3030-D2CC641BF0E1}"/>
                  </a:ext>
                </a:extLst>
              </xdr:cNvPr>
              <xdr:cNvGrpSpPr/>
            </xdr:nvGrpSpPr>
            <xdr:grpSpPr>
              <a:xfrm>
                <a:off x="2160046" y="0"/>
                <a:ext cx="11894577" cy="773812"/>
                <a:chOff x="1310640" y="0"/>
                <a:chExt cx="11549013" cy="764847"/>
              </a:xfrm>
            </xdr:grpSpPr>
            <xdr:pic>
              <xdr:nvPicPr>
                <xdr:cNvPr id="65" name="Picture 64">
                  <a:hlinkClick xmlns:r="http://schemas.openxmlformats.org/officeDocument/2006/relationships" r:id="rId5"/>
                  <a:extLst>
                    <a:ext uri="{FF2B5EF4-FFF2-40B4-BE49-F238E27FC236}">
                      <a16:creationId xmlns:a16="http://schemas.microsoft.com/office/drawing/2014/main" id="{638ED905-8D9C-5993-C4BA-5C2E0DD85948}"/>
                    </a:ext>
                  </a:extLst>
                </xdr:cNvPr>
                <xdr:cNvPicPr>
                  <a:picLocks/>
                </xdr:cNvPicPr>
              </xdr:nvPicPr>
              <xdr:blipFill>
                <a:blip xmlns:r="http://schemas.openxmlformats.org/officeDocument/2006/relationships" r:embed="rId6" cstate="print">
                  <a:alphaModFix/>
                  <a:extLst>
                    <a:ext uri="{28A0092B-C50C-407E-A947-70E740481C1C}">
                      <a14:useLocalDpi xmlns:a14="http://schemas.microsoft.com/office/drawing/2010/main" val="0"/>
                    </a:ext>
                  </a:extLst>
                </a:blip>
                <a:srcRect/>
                <a:stretch/>
              </xdr:blipFill>
              <xdr:spPr>
                <a:xfrm>
                  <a:off x="1310640" y="46180"/>
                  <a:ext cx="499211" cy="554546"/>
                </a:xfrm>
                <a:prstGeom prst="rect">
                  <a:avLst/>
                </a:prstGeom>
              </xdr:spPr>
            </xdr:pic>
            <xdr:pic>
              <xdr:nvPicPr>
                <xdr:cNvPr id="66" name="Picture 65">
                  <a:hlinkClick xmlns:r="http://schemas.openxmlformats.org/officeDocument/2006/relationships" r:id="rId7"/>
                  <a:extLst>
                    <a:ext uri="{FF2B5EF4-FFF2-40B4-BE49-F238E27FC236}">
                      <a16:creationId xmlns:a16="http://schemas.microsoft.com/office/drawing/2014/main" id="{1D557B56-6536-833A-3085-6DDF787FCDB6}"/>
                    </a:ext>
                  </a:extLst>
                </xdr:cNvPr>
                <xdr:cNvPicPr>
                  <a:picLocks noChangeAspect="1" noChangeArrowheads="1"/>
                </xdr:cNvPicPr>
              </xdr:nvPicPr>
              <xdr:blipFill>
                <a:blip xmlns:r="http://schemas.openxmlformats.org/officeDocument/2006/relationships" r:embed="rId8" cstate="print">
                  <a:alphaModFix/>
                  <a:extLst>
                    <a:ext uri="{28A0092B-C50C-407E-A947-70E740481C1C}">
                      <a14:useLocalDpi xmlns:a14="http://schemas.microsoft.com/office/drawing/2010/main" val="0"/>
                    </a:ext>
                  </a:extLst>
                </a:blip>
                <a:srcRect/>
                <a:stretch>
                  <a:fillRect/>
                </a:stretch>
              </xdr:blipFill>
              <xdr:spPr bwMode="auto">
                <a:xfrm>
                  <a:off x="2163693" y="30823"/>
                  <a:ext cx="214188" cy="2260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7" name="TextBox 66">
                  <a:hlinkClick xmlns:r="http://schemas.openxmlformats.org/officeDocument/2006/relationships" r:id="rId7"/>
                  <a:extLst>
                    <a:ext uri="{FF2B5EF4-FFF2-40B4-BE49-F238E27FC236}">
                      <a16:creationId xmlns:a16="http://schemas.microsoft.com/office/drawing/2014/main" id="{B30C9052-4DBE-8AA4-72F5-CC1C833BBD46}"/>
                    </a:ext>
                  </a:extLst>
                </xdr:cNvPr>
                <xdr:cNvSpPr txBox="1"/>
              </xdr:nvSpPr>
              <xdr:spPr>
                <a:xfrm>
                  <a:off x="2369194" y="17046"/>
                  <a:ext cx="846446" cy="25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US" sz="900" b="1">
                      <a:solidFill>
                        <a:schemeClr val="bg1"/>
                      </a:solidFill>
                    </a:rPr>
                    <a:t>DASHBOARD</a:t>
                  </a:r>
                </a:p>
              </xdr:txBody>
            </xdr:sp>
            <xdr:pic>
              <xdr:nvPicPr>
                <xdr:cNvPr id="68" name="Picture 67">
                  <a:hlinkClick xmlns:r="http://schemas.openxmlformats.org/officeDocument/2006/relationships" r:id="rId9"/>
                  <a:extLst>
                    <a:ext uri="{FF2B5EF4-FFF2-40B4-BE49-F238E27FC236}">
                      <a16:creationId xmlns:a16="http://schemas.microsoft.com/office/drawing/2014/main" id="{CA949420-86CF-0B7B-FA12-3ABA3147B15D}"/>
                    </a:ext>
                  </a:extLst>
                </xdr:cNvPr>
                <xdr:cNvPicPr>
                  <a:picLocks noChangeAspect="1" noChangeArrowheads="1"/>
                </xdr:cNvPicPr>
              </xdr:nvPicPr>
              <xdr:blipFill>
                <a:blip xmlns:r="http://schemas.openxmlformats.org/officeDocument/2006/relationships" r:embed="rId10" cstate="print">
                  <a:alphaModFix/>
                  <a:extLst>
                    <a:ext uri="{28A0092B-C50C-407E-A947-70E740481C1C}">
                      <a14:useLocalDpi xmlns:a14="http://schemas.microsoft.com/office/drawing/2010/main" val="0"/>
                    </a:ext>
                  </a:extLst>
                </a:blip>
                <a:srcRect/>
                <a:stretch>
                  <a:fillRect/>
                </a:stretch>
              </xdr:blipFill>
              <xdr:spPr bwMode="auto">
                <a:xfrm>
                  <a:off x="8461655" y="433462"/>
                  <a:ext cx="214188" cy="20819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9" name="TextBox 68">
                  <a:hlinkClick xmlns:r="http://schemas.openxmlformats.org/officeDocument/2006/relationships" r:id="rId9"/>
                  <a:extLst>
                    <a:ext uri="{FF2B5EF4-FFF2-40B4-BE49-F238E27FC236}">
                      <a16:creationId xmlns:a16="http://schemas.microsoft.com/office/drawing/2014/main" id="{1DD23448-C480-9453-5B59-759A517CB37E}"/>
                    </a:ext>
                  </a:extLst>
                </xdr:cNvPr>
                <xdr:cNvSpPr txBox="1"/>
              </xdr:nvSpPr>
              <xdr:spPr>
                <a:xfrm>
                  <a:off x="8647283" y="413913"/>
                  <a:ext cx="56836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REPORTS</a:t>
                  </a:r>
                </a:p>
              </xdr:txBody>
            </xdr:sp>
            <xdr:pic>
              <xdr:nvPicPr>
                <xdr:cNvPr id="70" name="Picture 69">
                  <a:hlinkClick xmlns:r="http://schemas.openxmlformats.org/officeDocument/2006/relationships" r:id="rId11"/>
                  <a:extLst>
                    <a:ext uri="{FF2B5EF4-FFF2-40B4-BE49-F238E27FC236}">
                      <a16:creationId xmlns:a16="http://schemas.microsoft.com/office/drawing/2014/main" id="{272AB881-4246-DD99-E546-F7D587426108}"/>
                    </a:ext>
                  </a:extLst>
                </xdr:cNvPr>
                <xdr:cNvPicPr>
                  <a:picLocks noChangeAspect="1"/>
                </xdr:cNvPicPr>
              </xdr:nvPicPr>
              <xdr:blipFill>
                <a:blip xmlns:r="http://schemas.openxmlformats.org/officeDocument/2006/relationships" r:embed="rId12" cstate="print">
                  <a:alphaModFix/>
                  <a:extLst>
                    <a:ext uri="{28A0092B-C50C-407E-A947-70E740481C1C}">
                      <a14:useLocalDpi xmlns:a14="http://schemas.microsoft.com/office/drawing/2010/main" val="0"/>
                    </a:ext>
                  </a:extLst>
                </a:blip>
                <a:stretch>
                  <a:fillRect/>
                </a:stretch>
              </xdr:blipFill>
              <xdr:spPr>
                <a:xfrm>
                  <a:off x="6903860" y="19549"/>
                  <a:ext cx="214187" cy="248554"/>
                </a:xfrm>
                <a:prstGeom prst="rect">
                  <a:avLst/>
                </a:prstGeom>
              </xdr:spPr>
            </xdr:pic>
            <xdr:sp macro="" textlink="">
              <xdr:nvSpPr>
                <xdr:cNvPr id="71" name="TextBox 70">
                  <a:hlinkClick xmlns:r="http://schemas.openxmlformats.org/officeDocument/2006/relationships" r:id="rId11"/>
                  <a:extLst>
                    <a:ext uri="{FF2B5EF4-FFF2-40B4-BE49-F238E27FC236}">
                      <a16:creationId xmlns:a16="http://schemas.microsoft.com/office/drawing/2014/main" id="{14BEC88D-34E6-DE9B-66E2-54785EC2CA1D}"/>
                    </a:ext>
                  </a:extLst>
                </xdr:cNvPr>
                <xdr:cNvSpPr txBox="1"/>
              </xdr:nvSpPr>
              <xdr:spPr>
                <a:xfrm>
                  <a:off x="7099062" y="0"/>
                  <a:ext cx="67589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MORTGAGE</a:t>
                  </a:r>
                </a:p>
              </xdr:txBody>
            </xdr:sp>
            <xdr:sp macro="" textlink="">
              <xdr:nvSpPr>
                <xdr:cNvPr id="72" name="TextBox 71">
                  <a:hlinkClick xmlns:r="http://schemas.openxmlformats.org/officeDocument/2006/relationships" r:id="rId13"/>
                  <a:extLst>
                    <a:ext uri="{FF2B5EF4-FFF2-40B4-BE49-F238E27FC236}">
                      <a16:creationId xmlns:a16="http://schemas.microsoft.com/office/drawing/2014/main" id="{077BB707-7093-140F-1EE7-3BFBE242D53D}"/>
                    </a:ext>
                  </a:extLst>
                </xdr:cNvPr>
                <xdr:cNvSpPr txBox="1"/>
              </xdr:nvSpPr>
              <xdr:spPr>
                <a:xfrm>
                  <a:off x="6375474" y="0"/>
                  <a:ext cx="381400"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DEBT</a:t>
                  </a:r>
                </a:p>
              </xdr:txBody>
            </xdr:sp>
            <xdr:pic>
              <xdr:nvPicPr>
                <xdr:cNvPr id="73" name="Picture 72">
                  <a:hlinkClick xmlns:r="http://schemas.openxmlformats.org/officeDocument/2006/relationships" r:id="rId13"/>
                  <a:extLst>
                    <a:ext uri="{FF2B5EF4-FFF2-40B4-BE49-F238E27FC236}">
                      <a16:creationId xmlns:a16="http://schemas.microsoft.com/office/drawing/2014/main" id="{4FB4E33C-B29C-E7D9-87AC-340E3BE9F6FE}"/>
                    </a:ext>
                  </a:extLst>
                </xdr:cNvPr>
                <xdr:cNvPicPr>
                  <a:picLocks noChangeAspect="1"/>
                </xdr:cNvPicPr>
              </xdr:nvPicPr>
              <xdr:blipFill>
                <a:blip xmlns:r="http://schemas.openxmlformats.org/officeDocument/2006/relationships" r:embed="rId14" cstate="print">
                  <a:alphaModFix/>
                  <a:extLst>
                    <a:ext uri="{28A0092B-C50C-407E-A947-70E740481C1C}">
                      <a14:useLocalDpi xmlns:a14="http://schemas.microsoft.com/office/drawing/2010/main" val="0"/>
                    </a:ext>
                  </a:extLst>
                </a:blip>
                <a:stretch>
                  <a:fillRect/>
                </a:stretch>
              </xdr:blipFill>
              <xdr:spPr>
                <a:xfrm>
                  <a:off x="6158378" y="19549"/>
                  <a:ext cx="214188" cy="248554"/>
                </a:xfrm>
                <a:prstGeom prst="rect">
                  <a:avLst/>
                </a:prstGeom>
              </xdr:spPr>
            </xdr:pic>
            <xdr:sp macro="" textlink="">
              <xdr:nvSpPr>
                <xdr:cNvPr id="74" name="TextBox 73">
                  <a:hlinkClick xmlns:r="http://schemas.openxmlformats.org/officeDocument/2006/relationships" r:id="rId15"/>
                  <a:extLst>
                    <a:ext uri="{FF2B5EF4-FFF2-40B4-BE49-F238E27FC236}">
                      <a16:creationId xmlns:a16="http://schemas.microsoft.com/office/drawing/2014/main" id="{3E99C47D-1F28-C6BA-9887-4693A102D040}"/>
                    </a:ext>
                  </a:extLst>
                </xdr:cNvPr>
                <xdr:cNvSpPr txBox="1"/>
              </xdr:nvSpPr>
              <xdr:spPr>
                <a:xfrm>
                  <a:off x="5370816" y="37659"/>
                  <a:ext cx="64057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FORECASTS</a:t>
                  </a:r>
                </a:p>
              </xdr:txBody>
            </xdr:sp>
            <xdr:sp macro="" textlink="">
              <xdr:nvSpPr>
                <xdr:cNvPr id="75" name="TextBox 74">
                  <a:hlinkClick xmlns:r="http://schemas.openxmlformats.org/officeDocument/2006/relationships" r:id="rId16"/>
                  <a:extLst>
                    <a:ext uri="{FF2B5EF4-FFF2-40B4-BE49-F238E27FC236}">
                      <a16:creationId xmlns:a16="http://schemas.microsoft.com/office/drawing/2014/main" id="{4F758DE3-E477-E63E-5A50-536B1BA1A813}"/>
                    </a:ext>
                  </a:extLst>
                </xdr:cNvPr>
                <xdr:cNvSpPr txBox="1"/>
              </xdr:nvSpPr>
              <xdr:spPr>
                <a:xfrm>
                  <a:off x="8104032" y="0"/>
                  <a:ext cx="7732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a:t>
                  </a:r>
                  <a:r>
                    <a:rPr lang="en-US" sz="900" b="1" baseline="0">
                      <a:solidFill>
                        <a:schemeClr val="bg1"/>
                      </a:solidFill>
                    </a:rPr>
                    <a:t> (M)</a:t>
                  </a:r>
                  <a:endParaRPr lang="en-US" sz="900" b="1">
                    <a:solidFill>
                      <a:schemeClr val="bg1"/>
                    </a:solidFill>
                  </a:endParaRPr>
                </a:p>
              </xdr:txBody>
            </xdr:sp>
            <xdr:pic>
              <xdr:nvPicPr>
                <xdr:cNvPr id="76" name="Picture 75">
                  <a:hlinkClick xmlns:r="http://schemas.openxmlformats.org/officeDocument/2006/relationships" r:id="rId16"/>
                  <a:extLst>
                    <a:ext uri="{FF2B5EF4-FFF2-40B4-BE49-F238E27FC236}">
                      <a16:creationId xmlns:a16="http://schemas.microsoft.com/office/drawing/2014/main" id="{80D2C2A7-6106-0453-AB6A-93DD56ADF593}"/>
                    </a:ext>
                  </a:extLst>
                </xdr:cNvPr>
                <xdr:cNvPicPr>
                  <a:picLocks noChangeAspect="1"/>
                </xdr:cNvPicPr>
              </xdr:nvPicPr>
              <xdr:blipFill>
                <a:blip xmlns:r="http://schemas.openxmlformats.org/officeDocument/2006/relationships" r:embed="rId17" cstate="print">
                  <a:alphaModFix/>
                  <a:extLst>
                    <a:ext uri="{28A0092B-C50C-407E-A947-70E740481C1C}">
                      <a14:useLocalDpi xmlns:a14="http://schemas.microsoft.com/office/drawing/2010/main" val="0"/>
                    </a:ext>
                  </a:extLst>
                </a:blip>
                <a:stretch>
                  <a:fillRect/>
                </a:stretch>
              </xdr:blipFill>
              <xdr:spPr>
                <a:xfrm>
                  <a:off x="7921943" y="19549"/>
                  <a:ext cx="214188" cy="248554"/>
                </a:xfrm>
                <a:prstGeom prst="rect">
                  <a:avLst/>
                </a:prstGeom>
              </xdr:spPr>
            </xdr:pic>
            <xdr:sp macro="" textlink="">
              <xdr:nvSpPr>
                <xdr:cNvPr id="77" name="TextBox 76">
                  <a:hlinkClick xmlns:r="http://schemas.openxmlformats.org/officeDocument/2006/relationships" r:id="rId18"/>
                  <a:extLst>
                    <a:ext uri="{FF2B5EF4-FFF2-40B4-BE49-F238E27FC236}">
                      <a16:creationId xmlns:a16="http://schemas.microsoft.com/office/drawing/2014/main" id="{6480A17D-658E-2BA3-BD54-D87EB0E24547}"/>
                    </a:ext>
                  </a:extLst>
                </xdr:cNvPr>
                <xdr:cNvSpPr txBox="1"/>
              </xdr:nvSpPr>
              <xdr:spPr>
                <a:xfrm>
                  <a:off x="9978309" y="0"/>
                  <a:ext cx="687187"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 (Y)</a:t>
                  </a:r>
                </a:p>
              </xdr:txBody>
            </xdr:sp>
            <xdr:pic>
              <xdr:nvPicPr>
                <xdr:cNvPr id="78" name="Picture 77">
                  <a:hlinkClick xmlns:r="http://schemas.openxmlformats.org/officeDocument/2006/relationships" r:id="rId18"/>
                  <a:extLst>
                    <a:ext uri="{FF2B5EF4-FFF2-40B4-BE49-F238E27FC236}">
                      <a16:creationId xmlns:a16="http://schemas.microsoft.com/office/drawing/2014/main" id="{1EA80B97-BB5F-6710-79C1-FAFD986E1AEA}"/>
                    </a:ext>
                  </a:extLst>
                </xdr:cNvPr>
                <xdr:cNvPicPr>
                  <a:picLocks noChangeAspect="1"/>
                </xdr:cNvPicPr>
              </xdr:nvPicPr>
              <xdr:blipFill>
                <a:blip xmlns:r="http://schemas.openxmlformats.org/officeDocument/2006/relationships" r:embed="rId19" cstate="print">
                  <a:alphaModFix/>
                  <a:extLst>
                    <a:ext uri="{28A0092B-C50C-407E-A947-70E740481C1C}">
                      <a14:useLocalDpi xmlns:a14="http://schemas.microsoft.com/office/drawing/2010/main" val="0"/>
                    </a:ext>
                  </a:extLst>
                </a:blip>
                <a:stretch>
                  <a:fillRect/>
                </a:stretch>
              </xdr:blipFill>
              <xdr:spPr>
                <a:xfrm>
                  <a:off x="9777770" y="19549"/>
                  <a:ext cx="214188" cy="248554"/>
                </a:xfrm>
                <a:prstGeom prst="rect">
                  <a:avLst/>
                </a:prstGeom>
              </xdr:spPr>
            </xdr:pic>
            <xdr:sp macro="" textlink="">
              <xdr:nvSpPr>
                <xdr:cNvPr id="79" name="TextBox 78">
                  <a:hlinkClick xmlns:r="http://schemas.openxmlformats.org/officeDocument/2006/relationships" r:id="rId20"/>
                  <a:extLst>
                    <a:ext uri="{FF2B5EF4-FFF2-40B4-BE49-F238E27FC236}">
                      <a16:creationId xmlns:a16="http://schemas.microsoft.com/office/drawing/2014/main" id="{4F7A9E9A-5CA7-649B-AAEA-F54097622E2F}"/>
                    </a:ext>
                  </a:extLst>
                </xdr:cNvPr>
                <xdr:cNvSpPr txBox="1"/>
              </xdr:nvSpPr>
              <xdr:spPr>
                <a:xfrm>
                  <a:off x="9133984" y="0"/>
                  <a:ext cx="49680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VERSUS</a:t>
                  </a:r>
                </a:p>
              </xdr:txBody>
            </xdr:sp>
            <xdr:pic>
              <xdr:nvPicPr>
                <xdr:cNvPr id="80" name="Picture 79">
                  <a:hlinkClick xmlns:r="http://schemas.openxmlformats.org/officeDocument/2006/relationships" r:id="rId20"/>
                  <a:extLst>
                    <a:ext uri="{FF2B5EF4-FFF2-40B4-BE49-F238E27FC236}">
                      <a16:creationId xmlns:a16="http://schemas.microsoft.com/office/drawing/2014/main" id="{B9185B32-8E48-2D89-4085-189BA09EDB34}"/>
                    </a:ext>
                  </a:extLst>
                </xdr:cNvPr>
                <xdr:cNvPicPr>
                  <a:picLocks noChangeAspect="1"/>
                </xdr:cNvPicPr>
              </xdr:nvPicPr>
              <xdr:blipFill>
                <a:blip xmlns:r="http://schemas.openxmlformats.org/officeDocument/2006/relationships" r:embed="rId21" cstate="print">
                  <a:alphaModFix/>
                  <a:extLst>
                    <a:ext uri="{28A0092B-C50C-407E-A947-70E740481C1C}">
                      <a14:useLocalDpi xmlns:a14="http://schemas.microsoft.com/office/drawing/2010/main" val="0"/>
                    </a:ext>
                  </a:extLst>
                </a:blip>
                <a:stretch>
                  <a:fillRect/>
                </a:stretch>
              </xdr:blipFill>
              <xdr:spPr>
                <a:xfrm>
                  <a:off x="8938203" y="19549"/>
                  <a:ext cx="214187" cy="248554"/>
                </a:xfrm>
                <a:prstGeom prst="rect">
                  <a:avLst/>
                </a:prstGeom>
              </xdr:spPr>
            </xdr:pic>
            <xdr:sp macro="" textlink="">
              <xdr:nvSpPr>
                <xdr:cNvPr id="81" name="TextBox 80">
                  <a:hlinkClick xmlns:r="http://schemas.openxmlformats.org/officeDocument/2006/relationships" r:id="rId22"/>
                  <a:extLst>
                    <a:ext uri="{FF2B5EF4-FFF2-40B4-BE49-F238E27FC236}">
                      <a16:creationId xmlns:a16="http://schemas.microsoft.com/office/drawing/2014/main" id="{9C9CDC36-67DC-AF21-9BC1-7029991C7BC4}"/>
                    </a:ext>
                  </a:extLst>
                </xdr:cNvPr>
                <xdr:cNvSpPr txBox="1"/>
              </xdr:nvSpPr>
              <xdr:spPr>
                <a:xfrm>
                  <a:off x="3510385" y="0"/>
                  <a:ext cx="52312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REPAIRS</a:t>
                  </a:r>
                </a:p>
              </xdr:txBody>
            </xdr:sp>
            <xdr:pic>
              <xdr:nvPicPr>
                <xdr:cNvPr id="82" name="Picture 81">
                  <a:hlinkClick xmlns:r="http://schemas.openxmlformats.org/officeDocument/2006/relationships" r:id="rId22"/>
                  <a:extLst>
                    <a:ext uri="{FF2B5EF4-FFF2-40B4-BE49-F238E27FC236}">
                      <a16:creationId xmlns:a16="http://schemas.microsoft.com/office/drawing/2014/main" id="{750F78EC-9A31-833A-F63F-E23C4E15CCCE}"/>
                    </a:ext>
                  </a:extLst>
                </xdr:cNvPr>
                <xdr:cNvPicPr>
                  <a:picLocks noChangeAspect="1"/>
                </xdr:cNvPicPr>
              </xdr:nvPicPr>
              <xdr:blipFill>
                <a:blip xmlns:r="http://schemas.openxmlformats.org/officeDocument/2006/relationships" r:embed="rId23" cstate="print">
                  <a:alphaModFix/>
                  <a:extLst>
                    <a:ext uri="{28A0092B-C50C-407E-A947-70E740481C1C}">
                      <a14:useLocalDpi xmlns:a14="http://schemas.microsoft.com/office/drawing/2010/main" val="0"/>
                    </a:ext>
                  </a:extLst>
                </a:blip>
                <a:stretch>
                  <a:fillRect/>
                </a:stretch>
              </xdr:blipFill>
              <xdr:spPr>
                <a:xfrm>
                  <a:off x="3296296" y="28376"/>
                  <a:ext cx="214435" cy="230900"/>
                </a:xfrm>
                <a:prstGeom prst="rect">
                  <a:avLst/>
                </a:prstGeom>
              </xdr:spPr>
            </xdr:pic>
            <xdr:sp macro="" textlink="">
              <xdr:nvSpPr>
                <xdr:cNvPr id="83" name="TextBox 82">
                  <a:hlinkClick xmlns:r="http://schemas.openxmlformats.org/officeDocument/2006/relationships" r:id="rId24"/>
                  <a:extLst>
                    <a:ext uri="{FF2B5EF4-FFF2-40B4-BE49-F238E27FC236}">
                      <a16:creationId xmlns:a16="http://schemas.microsoft.com/office/drawing/2014/main" id="{105CE21A-8CE8-23CB-71D3-DF05938FAC3E}"/>
                    </a:ext>
                  </a:extLst>
                </xdr:cNvPr>
                <xdr:cNvSpPr txBox="1"/>
              </xdr:nvSpPr>
              <xdr:spPr>
                <a:xfrm>
                  <a:off x="4388587" y="0"/>
                  <a:ext cx="63170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FURNITURE</a:t>
                  </a:r>
                </a:p>
              </xdr:txBody>
            </xdr:sp>
            <xdr:pic>
              <xdr:nvPicPr>
                <xdr:cNvPr id="84" name="Picture 83">
                  <a:hlinkClick xmlns:r="http://schemas.openxmlformats.org/officeDocument/2006/relationships" r:id="rId24"/>
                  <a:extLst>
                    <a:ext uri="{FF2B5EF4-FFF2-40B4-BE49-F238E27FC236}">
                      <a16:creationId xmlns:a16="http://schemas.microsoft.com/office/drawing/2014/main" id="{AE327C55-B721-2628-F187-71C88F9477B4}"/>
                    </a:ext>
                  </a:extLst>
                </xdr:cNvPr>
                <xdr:cNvPicPr>
                  <a:picLocks noChangeAspect="1"/>
                </xdr:cNvPicPr>
              </xdr:nvPicPr>
              <xdr:blipFill>
                <a:blip xmlns:r="http://schemas.openxmlformats.org/officeDocument/2006/relationships" r:embed="rId25" cstate="print">
                  <a:alphaModFix/>
                  <a:extLst>
                    <a:ext uri="{28A0092B-C50C-407E-A947-70E740481C1C}">
                      <a14:useLocalDpi xmlns:a14="http://schemas.microsoft.com/office/drawing/2010/main" val="0"/>
                    </a:ext>
                  </a:extLst>
                </a:blip>
                <a:stretch>
                  <a:fillRect/>
                </a:stretch>
              </xdr:blipFill>
              <xdr:spPr>
                <a:xfrm>
                  <a:off x="4180491" y="28376"/>
                  <a:ext cx="214435" cy="230900"/>
                </a:xfrm>
                <a:prstGeom prst="rect">
                  <a:avLst/>
                </a:prstGeom>
              </xdr:spPr>
            </xdr:pic>
            <xdr:pic>
              <xdr:nvPicPr>
                <xdr:cNvPr id="85" name="Picture 84">
                  <a:hlinkClick xmlns:r="http://schemas.openxmlformats.org/officeDocument/2006/relationships" r:id="rId26"/>
                  <a:extLst>
                    <a:ext uri="{FF2B5EF4-FFF2-40B4-BE49-F238E27FC236}">
                      <a16:creationId xmlns:a16="http://schemas.microsoft.com/office/drawing/2014/main" id="{FF1800C6-DFD6-6D10-F61E-07AE58C0521D}"/>
                    </a:ext>
                  </a:extLst>
                </xdr:cNvPr>
                <xdr:cNvPicPr>
                  <a:picLocks noChangeAspect="1"/>
                </xdr:cNvPicPr>
              </xdr:nvPicPr>
              <xdr:blipFill>
                <a:blip xmlns:r="http://schemas.openxmlformats.org/officeDocument/2006/relationships" r:embed="rId27" cstate="print">
                  <a:alphaModFix/>
                  <a:extLst>
                    <a:ext uri="{28A0092B-C50C-407E-A947-70E740481C1C}">
                      <a14:useLocalDpi xmlns:a14="http://schemas.microsoft.com/office/drawing/2010/main" val="0"/>
                    </a:ext>
                  </a:extLst>
                </a:blip>
                <a:stretch>
                  <a:fillRect/>
                </a:stretch>
              </xdr:blipFill>
              <xdr:spPr>
                <a:xfrm>
                  <a:off x="10812480" y="19549"/>
                  <a:ext cx="214188" cy="248554"/>
                </a:xfrm>
                <a:prstGeom prst="rect">
                  <a:avLst/>
                </a:prstGeom>
              </xdr:spPr>
            </xdr:pic>
            <xdr:sp macro="" textlink="">
              <xdr:nvSpPr>
                <xdr:cNvPr id="86" name="TextBox 85">
                  <a:hlinkClick xmlns:r="http://schemas.openxmlformats.org/officeDocument/2006/relationships" r:id="rId26"/>
                  <a:extLst>
                    <a:ext uri="{FF2B5EF4-FFF2-40B4-BE49-F238E27FC236}">
                      <a16:creationId xmlns:a16="http://schemas.microsoft.com/office/drawing/2014/main" id="{4DF18CBC-F44F-99B4-2EF5-4432CCFD1218}"/>
                    </a:ext>
                  </a:extLst>
                </xdr:cNvPr>
                <xdr:cNvSpPr txBox="1"/>
              </xdr:nvSpPr>
              <xdr:spPr>
                <a:xfrm>
                  <a:off x="11008843" y="0"/>
                  <a:ext cx="40705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PEERS</a:t>
                  </a:r>
                </a:p>
              </xdr:txBody>
            </xdr:sp>
            <xdr:sp macro="" textlink="">
              <xdr:nvSpPr>
                <xdr:cNvPr id="87" name="TextBox 86">
                  <a:hlinkClick xmlns:r="http://schemas.openxmlformats.org/officeDocument/2006/relationships" r:id="rId28"/>
                  <a:extLst>
                    <a:ext uri="{FF2B5EF4-FFF2-40B4-BE49-F238E27FC236}">
                      <a16:creationId xmlns:a16="http://schemas.microsoft.com/office/drawing/2014/main" id="{F25E0281-AE20-E7F5-5BFF-54C06B675C18}"/>
                    </a:ext>
                  </a:extLst>
                </xdr:cNvPr>
                <xdr:cNvSpPr txBox="1"/>
              </xdr:nvSpPr>
              <xdr:spPr>
                <a:xfrm>
                  <a:off x="9581756" y="397481"/>
                  <a:ext cx="656781"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MAX PRICE</a:t>
                  </a:r>
                </a:p>
              </xdr:txBody>
            </xdr:sp>
            <xdr:pic>
              <xdr:nvPicPr>
                <xdr:cNvPr id="88" name="Picture 87">
                  <a:hlinkClick xmlns:r="http://schemas.openxmlformats.org/officeDocument/2006/relationships" r:id="rId28"/>
                  <a:extLst>
                    <a:ext uri="{FF2B5EF4-FFF2-40B4-BE49-F238E27FC236}">
                      <a16:creationId xmlns:a16="http://schemas.microsoft.com/office/drawing/2014/main" id="{1B8C52FD-1F3A-9B85-A033-B6DEA9ABFD7C}"/>
                    </a:ext>
                  </a:extLst>
                </xdr:cNvPr>
                <xdr:cNvPicPr>
                  <a:picLocks noChangeAspect="1"/>
                </xdr:cNvPicPr>
              </xdr:nvPicPr>
              <xdr:blipFill>
                <a:blip xmlns:r="http://schemas.openxmlformats.org/officeDocument/2006/relationships" r:embed="rId29" cstate="print">
                  <a:alphaModFix/>
                  <a:extLst>
                    <a:ext uri="{28A0092B-C50C-407E-A947-70E740481C1C}">
                      <a14:useLocalDpi xmlns:a14="http://schemas.microsoft.com/office/drawing/2010/main" val="0"/>
                    </a:ext>
                  </a:extLst>
                </a:blip>
                <a:stretch>
                  <a:fillRect/>
                </a:stretch>
              </xdr:blipFill>
              <xdr:spPr>
                <a:xfrm>
                  <a:off x="9433997" y="425857"/>
                  <a:ext cx="214435" cy="230900"/>
                </a:xfrm>
                <a:prstGeom prst="rect">
                  <a:avLst/>
                </a:prstGeom>
              </xdr:spPr>
            </xdr:pic>
            <xdr:sp macro="" textlink="">
              <xdr:nvSpPr>
                <xdr:cNvPr id="89" name="TextBox 88">
                  <a:hlinkClick xmlns:r="http://schemas.openxmlformats.org/officeDocument/2006/relationships" r:id="rId30"/>
                  <a:extLst>
                    <a:ext uri="{FF2B5EF4-FFF2-40B4-BE49-F238E27FC236}">
                      <a16:creationId xmlns:a16="http://schemas.microsoft.com/office/drawing/2014/main" id="{56924E97-D820-C2AF-5F91-9A00F7B4FE58}"/>
                    </a:ext>
                  </a:extLst>
                </xdr:cNvPr>
                <xdr:cNvSpPr txBox="1"/>
              </xdr:nvSpPr>
              <xdr:spPr>
                <a:xfrm>
                  <a:off x="7733272" y="389861"/>
                  <a:ext cx="6384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SCENARIOS</a:t>
                  </a:r>
                </a:p>
              </xdr:txBody>
            </xdr:sp>
            <xdr:pic>
              <xdr:nvPicPr>
                <xdr:cNvPr id="90" name="Picture 89">
                  <a:hlinkClick xmlns:r="http://schemas.openxmlformats.org/officeDocument/2006/relationships" r:id="rId30"/>
                  <a:extLst>
                    <a:ext uri="{FF2B5EF4-FFF2-40B4-BE49-F238E27FC236}">
                      <a16:creationId xmlns:a16="http://schemas.microsoft.com/office/drawing/2014/main" id="{ABA85DA9-117A-8AA9-9A6B-74B7436F6469}"/>
                    </a:ext>
                  </a:extLst>
                </xdr:cNvPr>
                <xdr:cNvPicPr>
                  <a:picLocks noChangeAspect="1"/>
                </xdr:cNvPicPr>
              </xdr:nvPicPr>
              <xdr:blipFill>
                <a:blip xmlns:r="http://schemas.openxmlformats.org/officeDocument/2006/relationships" r:embed="rId31" cstate="print">
                  <a:alphaModFix/>
                  <a:extLst>
                    <a:ext uri="{28A0092B-C50C-407E-A947-70E740481C1C}">
                      <a14:useLocalDpi xmlns:a14="http://schemas.microsoft.com/office/drawing/2010/main" val="0"/>
                    </a:ext>
                  </a:extLst>
                </a:blip>
                <a:stretch>
                  <a:fillRect/>
                </a:stretch>
              </xdr:blipFill>
              <xdr:spPr>
                <a:xfrm>
                  <a:off x="7536090" y="418237"/>
                  <a:ext cx="214435" cy="230900"/>
                </a:xfrm>
                <a:prstGeom prst="rect">
                  <a:avLst/>
                </a:prstGeom>
              </xdr:spPr>
            </xdr:pic>
            <xdr:sp macro="" textlink="">
              <xdr:nvSpPr>
                <xdr:cNvPr id="91" name="TextBox 90">
                  <a:hlinkClick xmlns:r="http://schemas.openxmlformats.org/officeDocument/2006/relationships" r:id="rId32"/>
                  <a:extLst>
                    <a:ext uri="{FF2B5EF4-FFF2-40B4-BE49-F238E27FC236}">
                      <a16:creationId xmlns:a16="http://schemas.microsoft.com/office/drawing/2014/main" id="{29D636CF-1D86-C496-C6DB-74A6196314BA}"/>
                    </a:ext>
                  </a:extLst>
                </xdr:cNvPr>
                <xdr:cNvSpPr txBox="1"/>
              </xdr:nvSpPr>
              <xdr:spPr>
                <a:xfrm>
                  <a:off x="11757467" y="49286"/>
                  <a:ext cx="110218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MARKET RESEARCH</a:t>
                  </a:r>
                </a:p>
              </xdr:txBody>
            </xdr:sp>
            <xdr:pic>
              <xdr:nvPicPr>
                <xdr:cNvPr id="92" name="Picture 91" descr="A white and brown hourglass&#10;&#10;AI-generated content may be incorrect.">
                  <a:hlinkClick xmlns:r="http://schemas.openxmlformats.org/officeDocument/2006/relationships" r:id="rId32"/>
                  <a:extLst>
                    <a:ext uri="{FF2B5EF4-FFF2-40B4-BE49-F238E27FC236}">
                      <a16:creationId xmlns:a16="http://schemas.microsoft.com/office/drawing/2014/main" id="{A8F66895-B207-DB29-8775-B688248F78CB}"/>
                    </a:ext>
                  </a:extLst>
                </xdr:cNvPr>
                <xdr:cNvPicPr>
                  <a:picLocks noChangeAspect="1"/>
                </xdr:cNvPicPr>
              </xdr:nvPicPr>
              <xdr:blipFill>
                <a:blip xmlns:r="http://schemas.openxmlformats.org/officeDocument/2006/relationships" r:embed="rId33" cstate="print">
                  <a:alphaModFix/>
                  <a:extLst>
                    <a:ext uri="{28A0092B-C50C-407E-A947-70E740481C1C}">
                      <a14:useLocalDpi xmlns:a14="http://schemas.microsoft.com/office/drawing/2010/main" val="0"/>
                    </a:ext>
                  </a:extLst>
                </a:blip>
                <a:stretch>
                  <a:fillRect/>
                </a:stretch>
              </xdr:blipFill>
              <xdr:spPr>
                <a:xfrm>
                  <a:off x="11563464" y="33893"/>
                  <a:ext cx="235575" cy="261687"/>
                </a:xfrm>
                <a:prstGeom prst="rect">
                  <a:avLst/>
                </a:prstGeom>
              </xdr:spPr>
            </xdr:pic>
            <xdr:pic>
              <xdr:nvPicPr>
                <xdr:cNvPr id="93" name="Picture 92">
                  <a:hlinkClick xmlns:r="http://schemas.openxmlformats.org/officeDocument/2006/relationships" r:id="rId34"/>
                  <a:extLst>
                    <a:ext uri="{FF2B5EF4-FFF2-40B4-BE49-F238E27FC236}">
                      <a16:creationId xmlns:a16="http://schemas.microsoft.com/office/drawing/2014/main" id="{FA7097FF-EEB6-AA4F-F293-DCECCB819E1F}"/>
                    </a:ext>
                  </a:extLst>
                </xdr:cNvPr>
                <xdr:cNvPicPr>
                  <a:picLocks noChangeAspect="1" noChangeArrowheads="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33032" y="384834"/>
                  <a:ext cx="261600" cy="33288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4" name="TextBox 93">
                  <a:hlinkClick xmlns:r="http://schemas.openxmlformats.org/officeDocument/2006/relationships" r:id="rId34"/>
                  <a:extLst>
                    <a:ext uri="{FF2B5EF4-FFF2-40B4-BE49-F238E27FC236}">
                      <a16:creationId xmlns:a16="http://schemas.microsoft.com/office/drawing/2014/main" id="{BCD25CE2-2B28-47CB-C0F2-0332E977F98B}"/>
                    </a:ext>
                  </a:extLst>
                </xdr:cNvPr>
                <xdr:cNvSpPr txBox="1"/>
              </xdr:nvSpPr>
              <xdr:spPr>
                <a:xfrm>
                  <a:off x="3637195" y="315564"/>
                  <a:ext cx="914586" cy="433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BALANCE SHEET</a:t>
                  </a:r>
                </a:p>
                <a:p>
                  <a:pPr algn="ctr"/>
                  <a:r>
                    <a:rPr lang="en-US" sz="900" b="1">
                      <a:solidFill>
                        <a:schemeClr val="bg1"/>
                      </a:solidFill>
                    </a:rPr>
                    <a:t>SUMMARY</a:t>
                  </a:r>
                </a:p>
              </xdr:txBody>
            </xdr:sp>
            <xdr:pic>
              <xdr:nvPicPr>
                <xdr:cNvPr id="95" name="Picture 94">
                  <a:hlinkClick xmlns:r="http://schemas.openxmlformats.org/officeDocument/2006/relationships" r:id="rId36"/>
                  <a:extLst>
                    <a:ext uri="{FF2B5EF4-FFF2-40B4-BE49-F238E27FC236}">
                      <a16:creationId xmlns:a16="http://schemas.microsoft.com/office/drawing/2014/main" id="{1D29C4AF-EEF3-DC1A-223B-99AA3C947CD1}"/>
                    </a:ext>
                  </a:extLst>
                </xdr:cNvPr>
                <xdr:cNvPicPr>
                  <a:picLocks noChangeAspect="1" noChangeArrowheads="1"/>
                </xdr:cNvPicPr>
              </xdr:nvPicPr>
              <xdr:blipFill>
                <a:blip xmlns:r="http://schemas.openxmlformats.org/officeDocument/2006/relationships" r:embed="rId37" cstate="print">
                  <a:clrChange>
                    <a:clrFrom>
                      <a:srgbClr val="F8F8F8"/>
                    </a:clrFrom>
                    <a:clrTo>
                      <a:srgbClr val="F8F8F8">
                        <a:alpha val="0"/>
                      </a:srgbClr>
                    </a:clrTo>
                  </a:clrChange>
                  <a:extLst>
                    <a:ext uri="{28A0092B-C50C-407E-A947-70E740481C1C}">
                      <a14:useLocalDpi xmlns:a14="http://schemas.microsoft.com/office/drawing/2010/main" val="0"/>
                    </a:ext>
                  </a:extLst>
                </a:blip>
                <a:srcRect/>
                <a:stretch>
                  <a:fillRect/>
                </a:stretch>
              </xdr:blipFill>
              <xdr:spPr bwMode="auto">
                <a:xfrm>
                  <a:off x="4602713" y="384834"/>
                  <a:ext cx="326621" cy="3113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6" name="TextBox 95">
                  <a:hlinkClick xmlns:r="http://schemas.openxmlformats.org/officeDocument/2006/relationships" r:id="rId36"/>
                  <a:extLst>
                    <a:ext uri="{FF2B5EF4-FFF2-40B4-BE49-F238E27FC236}">
                      <a16:creationId xmlns:a16="http://schemas.microsoft.com/office/drawing/2014/main" id="{637B8EC2-C888-D753-C4FE-FF361442E0D0}"/>
                    </a:ext>
                  </a:extLst>
                </xdr:cNvPr>
                <xdr:cNvSpPr txBox="1"/>
              </xdr:nvSpPr>
              <xdr:spPr>
                <a:xfrm>
                  <a:off x="4880678" y="423317"/>
                  <a:ext cx="56334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ASSETS</a:t>
                  </a:r>
                </a:p>
              </xdr:txBody>
            </xdr:sp>
            <xdr:pic>
              <xdr:nvPicPr>
                <xdr:cNvPr id="97" name="Picture 96">
                  <a:hlinkClick xmlns:r="http://schemas.openxmlformats.org/officeDocument/2006/relationships" r:id="rId38"/>
                  <a:extLst>
                    <a:ext uri="{FF2B5EF4-FFF2-40B4-BE49-F238E27FC236}">
                      <a16:creationId xmlns:a16="http://schemas.microsoft.com/office/drawing/2014/main" id="{A0D38086-862F-DEDD-3AA9-DACE56C61258}"/>
                    </a:ext>
                  </a:extLst>
                </xdr:cNvPr>
                <xdr:cNvPicPr>
                  <a:picLocks noChangeAspect="1" noChangeArrowheads="1"/>
                </xdr:cNvPicPr>
              </xdr:nvPicPr>
              <xdr:blipFill>
                <a:blip xmlns:r="http://schemas.openxmlformats.org/officeDocument/2006/relationships" r:embed="rId39"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35903" y="354046"/>
                  <a:ext cx="278234" cy="3540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8" name="TextBox 97">
                  <a:hlinkClick xmlns:r="http://schemas.openxmlformats.org/officeDocument/2006/relationships" r:id="rId38"/>
                  <a:extLst>
                    <a:ext uri="{FF2B5EF4-FFF2-40B4-BE49-F238E27FC236}">
                      <a16:creationId xmlns:a16="http://schemas.microsoft.com/office/drawing/2014/main" id="{98930416-61E9-BA63-21FA-D5A1E8750CE0}"/>
                    </a:ext>
                  </a:extLst>
                </xdr:cNvPr>
                <xdr:cNvSpPr txBox="1"/>
              </xdr:nvSpPr>
              <xdr:spPr>
                <a:xfrm>
                  <a:off x="5717678" y="431014"/>
                  <a:ext cx="750091"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LIABILITIES</a:t>
                  </a:r>
                </a:p>
              </xdr:txBody>
            </xdr:sp>
            <xdr:pic>
              <xdr:nvPicPr>
                <xdr:cNvPr id="99" name="Picture 98">
                  <a:hlinkClick xmlns:r="http://schemas.openxmlformats.org/officeDocument/2006/relationships" r:id="rId40"/>
                  <a:extLst>
                    <a:ext uri="{FF2B5EF4-FFF2-40B4-BE49-F238E27FC236}">
                      <a16:creationId xmlns:a16="http://schemas.microsoft.com/office/drawing/2014/main" id="{3558E27E-93AF-F0EE-C3B6-DF95F8348AE5}"/>
                    </a:ext>
                  </a:extLst>
                </xdr:cNvPr>
                <xdr:cNvPicPr>
                  <a:picLocks noChangeAspect="1"/>
                </xdr:cNvPicPr>
              </xdr:nvPicPr>
              <xdr:blipFill>
                <a:blip xmlns:r="http://schemas.openxmlformats.org/officeDocument/2006/relationships" r:embed="rId41">
                  <a:clrChange>
                    <a:clrFrom>
                      <a:srgbClr val="FFFFFF"/>
                    </a:clrFrom>
                    <a:clrTo>
                      <a:srgbClr val="FFFFFF">
                        <a:alpha val="0"/>
                      </a:srgbClr>
                    </a:clrTo>
                  </a:clrChange>
                </a:blip>
                <a:stretch>
                  <a:fillRect/>
                </a:stretch>
              </xdr:blipFill>
              <xdr:spPr>
                <a:xfrm>
                  <a:off x="6454424" y="361268"/>
                  <a:ext cx="368693" cy="354523"/>
                </a:xfrm>
                <a:prstGeom prst="rect">
                  <a:avLst/>
                </a:prstGeom>
              </xdr:spPr>
            </xdr:pic>
            <xdr:sp macro="" textlink="">
              <xdr:nvSpPr>
                <xdr:cNvPr id="100" name="TextBox 99">
                  <a:hlinkClick xmlns:r="http://schemas.openxmlformats.org/officeDocument/2006/relationships" r:id="rId40"/>
                  <a:extLst>
                    <a:ext uri="{FF2B5EF4-FFF2-40B4-BE49-F238E27FC236}">
                      <a16:creationId xmlns:a16="http://schemas.microsoft.com/office/drawing/2014/main" id="{664C7546-351E-4C29-D8DC-47827A4F2809}"/>
                    </a:ext>
                  </a:extLst>
                </xdr:cNvPr>
                <xdr:cNvSpPr txBox="1"/>
              </xdr:nvSpPr>
              <xdr:spPr>
                <a:xfrm>
                  <a:off x="6742924" y="369440"/>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EDIT</a:t>
                  </a:r>
                </a:p>
                <a:p>
                  <a:r>
                    <a:rPr lang="en-US" sz="900" b="1">
                      <a:solidFill>
                        <a:schemeClr val="bg1"/>
                      </a:solidFill>
                    </a:rPr>
                    <a:t>CATEGORIES</a:t>
                  </a:r>
                </a:p>
              </xdr:txBody>
            </xdr:sp>
            <xdr:grpSp>
              <xdr:nvGrpSpPr>
                <xdr:cNvPr id="101" name="Group 100">
                  <a:hlinkClick xmlns:r="http://schemas.openxmlformats.org/officeDocument/2006/relationships" r:id="rId42"/>
                  <a:extLst>
                    <a:ext uri="{FF2B5EF4-FFF2-40B4-BE49-F238E27FC236}">
                      <a16:creationId xmlns:a16="http://schemas.microsoft.com/office/drawing/2014/main" id="{E5A0321B-A05E-2B20-A727-8E01D4B00724}"/>
                    </a:ext>
                  </a:extLst>
                </xdr:cNvPr>
                <xdr:cNvGrpSpPr/>
              </xdr:nvGrpSpPr>
              <xdr:grpSpPr>
                <a:xfrm>
                  <a:off x="10231249" y="237461"/>
                  <a:ext cx="1281586" cy="502920"/>
                  <a:chOff x="11732389" y="237461"/>
                  <a:chExt cx="1281586" cy="502920"/>
                </a:xfrm>
              </xdr:grpSpPr>
              <xdr:pic>
                <xdr:nvPicPr>
                  <xdr:cNvPr id="102" name="Picture 101">
                    <a:hlinkClick xmlns:r="http://schemas.openxmlformats.org/officeDocument/2006/relationships" r:id="rId43"/>
                    <a:extLst>
                      <a:ext uri="{FF2B5EF4-FFF2-40B4-BE49-F238E27FC236}">
                        <a16:creationId xmlns:a16="http://schemas.microsoft.com/office/drawing/2014/main" id="{677B354F-9E25-9AA0-A6DD-05D827B9665A}"/>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1732389" y="237461"/>
                    <a:ext cx="502920" cy="502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3" name="TextBox 102">
                    <a:hlinkClick xmlns:r="http://schemas.openxmlformats.org/officeDocument/2006/relationships" r:id="rId43"/>
                    <a:extLst>
                      <a:ext uri="{FF2B5EF4-FFF2-40B4-BE49-F238E27FC236}">
                        <a16:creationId xmlns:a16="http://schemas.microsoft.com/office/drawing/2014/main" id="{002D4E5A-4393-50D5-1825-C44FC1CA8A75}"/>
                      </a:ext>
                    </a:extLst>
                  </xdr:cNvPr>
                  <xdr:cNvSpPr txBox="1"/>
                </xdr:nvSpPr>
                <xdr:spPr>
                  <a:xfrm>
                    <a:off x="12197209" y="344142"/>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 GAME APPS</a:t>
                    </a:r>
                  </a:p>
                </xdr:txBody>
              </xdr:sp>
            </xdr:grpSp>
          </xdr:grpSp>
          <xdr:grpSp>
            <xdr:nvGrpSpPr>
              <xdr:cNvPr id="62" name="Group 61">
                <a:extLst>
                  <a:ext uri="{FF2B5EF4-FFF2-40B4-BE49-F238E27FC236}">
                    <a16:creationId xmlns:a16="http://schemas.microsoft.com/office/drawing/2014/main" id="{37463D25-0E8C-5D58-CB28-B04A3BF59CC8}"/>
                  </a:ext>
                </a:extLst>
              </xdr:cNvPr>
              <xdr:cNvGrpSpPr/>
            </xdr:nvGrpSpPr>
            <xdr:grpSpPr>
              <a:xfrm>
                <a:off x="3030070" y="313765"/>
                <a:ext cx="1219410" cy="438976"/>
                <a:chOff x="3030070" y="313765"/>
                <a:chExt cx="1219410" cy="438976"/>
              </a:xfrm>
            </xdr:grpSpPr>
            <xdr:sp macro="" textlink="">
              <xdr:nvSpPr>
                <xdr:cNvPr id="63" name="TextBox 62">
                  <a:hlinkClick xmlns:r="http://schemas.openxmlformats.org/officeDocument/2006/relationships" r:id="rId45"/>
                  <a:extLst>
                    <a:ext uri="{FF2B5EF4-FFF2-40B4-BE49-F238E27FC236}">
                      <a16:creationId xmlns:a16="http://schemas.microsoft.com/office/drawing/2014/main" id="{C564B553-FE99-7A7A-666B-A73A130D342C}"/>
                    </a:ext>
                  </a:extLst>
                </xdr:cNvPr>
                <xdr:cNvSpPr txBox="1"/>
              </xdr:nvSpPr>
              <xdr:spPr>
                <a:xfrm>
                  <a:off x="3307528" y="313765"/>
                  <a:ext cx="941952" cy="43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BOOK KEEPING</a:t>
                  </a:r>
                </a:p>
                <a:p>
                  <a:pPr algn="ctr"/>
                  <a:r>
                    <a:rPr lang="en-US" sz="900" b="1">
                      <a:solidFill>
                        <a:schemeClr val="bg1"/>
                      </a:solidFill>
                    </a:rPr>
                    <a:t>LEDGER</a:t>
                  </a:r>
                </a:p>
              </xdr:txBody>
            </xdr:sp>
            <xdr:pic>
              <xdr:nvPicPr>
                <xdr:cNvPr id="64" name="Picture 63">
                  <a:hlinkClick xmlns:r="http://schemas.openxmlformats.org/officeDocument/2006/relationships" r:id="rId45"/>
                  <a:extLst>
                    <a:ext uri="{FF2B5EF4-FFF2-40B4-BE49-F238E27FC236}">
                      <a16:creationId xmlns:a16="http://schemas.microsoft.com/office/drawing/2014/main" id="{8333651C-968B-7120-57E8-EE0F37098EC5}"/>
                    </a:ext>
                  </a:extLst>
                </xdr:cNvPr>
                <xdr:cNvPicPr>
                  <a:picLocks noChangeAspect="1"/>
                </xdr:cNvPicPr>
              </xdr:nvPicPr>
              <xdr:blipFill>
                <a:blip xmlns:r="http://schemas.openxmlformats.org/officeDocument/2006/relationships" r:embed="rId4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0070" y="367554"/>
                  <a:ext cx="327770" cy="349622"/>
                </a:xfrm>
                <a:prstGeom prst="rect">
                  <a:avLst/>
                </a:prstGeom>
              </xdr:spPr>
            </xdr:pic>
          </xdr:grpSp>
        </xdr:grpSp>
        <xdr:grpSp>
          <xdr:nvGrpSpPr>
            <xdr:cNvPr id="58" name="Group 57">
              <a:extLst>
                <a:ext uri="{FF2B5EF4-FFF2-40B4-BE49-F238E27FC236}">
                  <a16:creationId xmlns:a16="http://schemas.microsoft.com/office/drawing/2014/main" id="{5E4D4CA3-2B52-D1C7-8FA4-579428057812}"/>
                </a:ext>
              </a:extLst>
            </xdr:cNvPr>
            <xdr:cNvGrpSpPr/>
          </xdr:nvGrpSpPr>
          <xdr:grpSpPr>
            <a:xfrm>
              <a:off x="12626340" y="243840"/>
              <a:ext cx="1344125" cy="571500"/>
              <a:chOff x="12626340" y="243840"/>
              <a:chExt cx="1344125" cy="571500"/>
            </a:xfrm>
          </xdr:grpSpPr>
          <xdr:pic>
            <xdr:nvPicPr>
              <xdr:cNvPr id="59" name="Picture 58">
                <a:hlinkClick xmlns:r="http://schemas.openxmlformats.org/officeDocument/2006/relationships" r:id="rId47"/>
                <a:extLst>
                  <a:ext uri="{FF2B5EF4-FFF2-40B4-BE49-F238E27FC236}">
                    <a16:creationId xmlns:a16="http://schemas.microsoft.com/office/drawing/2014/main" id="{5BE10CA6-F2D6-073E-4DAB-13D6792F9235}"/>
                  </a:ext>
                </a:extLst>
              </xdr:cNvPr>
              <xdr:cNvPicPr>
                <a:picLocks noChangeAspect="1" noChangeArrowheads="1"/>
              </xdr:cNvPicPr>
            </xdr:nvPicPr>
            <xdr:blipFill>
              <a:blip xmlns:r="http://schemas.openxmlformats.org/officeDocument/2006/relationships" r:embed="rId4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26340" y="243840"/>
                <a:ext cx="571500" cy="571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0" name="TextBox 59">
                <a:hlinkClick xmlns:r="http://schemas.openxmlformats.org/officeDocument/2006/relationships" r:id="rId47"/>
                <a:extLst>
                  <a:ext uri="{FF2B5EF4-FFF2-40B4-BE49-F238E27FC236}">
                    <a16:creationId xmlns:a16="http://schemas.microsoft.com/office/drawing/2014/main" id="{E827E4E5-E9AE-E806-EC8E-42B852D2BAEB}"/>
                  </a:ext>
                </a:extLst>
              </xdr:cNvPr>
              <xdr:cNvSpPr txBox="1"/>
            </xdr:nvSpPr>
            <xdr:spPr>
              <a:xfrm>
                <a:off x="13129260" y="327660"/>
                <a:ext cx="841205" cy="4000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TRAVEL</a:t>
                </a:r>
              </a:p>
              <a:p>
                <a:pPr algn="ctr"/>
                <a:r>
                  <a:rPr lang="en-US" sz="900" b="1">
                    <a:solidFill>
                      <a:schemeClr val="bg1"/>
                    </a:solidFill>
                  </a:rPr>
                  <a:t>SANDBOX</a:t>
                </a:r>
              </a:p>
            </xdr:txBody>
          </xdr:sp>
        </xdr:grpSp>
      </xdr:grpSp>
      <xdr:pic>
        <xdr:nvPicPr>
          <xdr:cNvPr id="56" name="Picture 55">
            <a:hlinkClick xmlns:r="http://schemas.openxmlformats.org/officeDocument/2006/relationships" r:id="rId15"/>
            <a:extLst>
              <a:ext uri="{FF2B5EF4-FFF2-40B4-BE49-F238E27FC236}">
                <a16:creationId xmlns:a16="http://schemas.microsoft.com/office/drawing/2014/main" id="{1ABF6ED0-7C2E-38B7-707D-85EE09124D3C}"/>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6134100" y="30480"/>
            <a:ext cx="234698" cy="246078"/>
          </a:xfrm>
          <a:prstGeom prst="rect">
            <a:avLst/>
          </a:prstGeom>
          <a:solidFill>
            <a:srgbClr val="7FA6C7"/>
          </a:solidFill>
        </xdr:spPr>
      </xdr:pic>
    </xdr:grp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13</xdr:row>
      <xdr:rowOff>104774</xdr:rowOff>
    </xdr:from>
    <xdr:to>
      <xdr:col>40</xdr:col>
      <xdr:colOff>133350</xdr:colOff>
      <xdr:row>21</xdr:row>
      <xdr:rowOff>114300</xdr:rowOff>
    </xdr:to>
    <xdr:graphicFrame macro="">
      <xdr:nvGraphicFramePr>
        <xdr:cNvPr id="3" name="Diagramm 12">
          <a:extLst>
            <a:ext uri="{FF2B5EF4-FFF2-40B4-BE49-F238E27FC236}">
              <a16:creationId xmlns:a16="http://schemas.microsoft.com/office/drawing/2014/main" id="{943D59C6-EC5B-46E8-AC1B-6D3096ED58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219075</xdr:colOff>
      <xdr:row>23</xdr:row>
      <xdr:rowOff>142875</xdr:rowOff>
    </xdr:from>
    <xdr:to>
      <xdr:col>40</xdr:col>
      <xdr:colOff>180975</xdr:colOff>
      <xdr:row>29</xdr:row>
      <xdr:rowOff>114300</xdr:rowOff>
    </xdr:to>
    <xdr:graphicFrame macro="">
      <xdr:nvGraphicFramePr>
        <xdr:cNvPr id="4" name="Chart 3">
          <a:extLst>
            <a:ext uri="{FF2B5EF4-FFF2-40B4-BE49-F238E27FC236}">
              <a16:creationId xmlns:a16="http://schemas.microsoft.com/office/drawing/2014/main" id="{AC063F3C-9BB8-B77E-C7C8-CCB6A8E921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31</xdr:row>
      <xdr:rowOff>95250</xdr:rowOff>
    </xdr:from>
    <xdr:to>
      <xdr:col>40</xdr:col>
      <xdr:colOff>180975</xdr:colOff>
      <xdr:row>38</xdr:row>
      <xdr:rowOff>47625</xdr:rowOff>
    </xdr:to>
    <xdr:graphicFrame macro="">
      <xdr:nvGraphicFramePr>
        <xdr:cNvPr id="5" name="Chart 4">
          <a:extLst>
            <a:ext uri="{FF2B5EF4-FFF2-40B4-BE49-F238E27FC236}">
              <a16:creationId xmlns:a16="http://schemas.microsoft.com/office/drawing/2014/main" id="{385994F7-2055-47B6-A9CA-A963C05048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219075</xdr:colOff>
      <xdr:row>40</xdr:row>
      <xdr:rowOff>95250</xdr:rowOff>
    </xdr:from>
    <xdr:to>
      <xdr:col>40</xdr:col>
      <xdr:colOff>180975</xdr:colOff>
      <xdr:row>47</xdr:row>
      <xdr:rowOff>171450</xdr:rowOff>
    </xdr:to>
    <xdr:graphicFrame macro="">
      <xdr:nvGraphicFramePr>
        <xdr:cNvPr id="6" name="Chart 5">
          <a:extLst>
            <a:ext uri="{FF2B5EF4-FFF2-40B4-BE49-F238E27FC236}">
              <a16:creationId xmlns:a16="http://schemas.microsoft.com/office/drawing/2014/main" id="{864F70AA-E366-49EA-90F8-FD4CCD38B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49</xdr:col>
      <xdr:colOff>784617</xdr:colOff>
      <xdr:row>3</xdr:row>
      <xdr:rowOff>0</xdr:rowOff>
    </xdr:to>
    <xdr:grpSp>
      <xdr:nvGrpSpPr>
        <xdr:cNvPr id="54" name="Group 53">
          <a:extLst>
            <a:ext uri="{FF2B5EF4-FFF2-40B4-BE49-F238E27FC236}">
              <a16:creationId xmlns:a16="http://schemas.microsoft.com/office/drawing/2014/main" id="{C2E538FF-04E4-4DD5-8164-748EC0AAF6BA}"/>
            </a:ext>
          </a:extLst>
        </xdr:cNvPr>
        <xdr:cNvGrpSpPr/>
      </xdr:nvGrpSpPr>
      <xdr:grpSpPr>
        <a:xfrm>
          <a:off x="1584960" y="0"/>
          <a:ext cx="11894577" cy="815340"/>
          <a:chOff x="2194560" y="0"/>
          <a:chExt cx="11894577" cy="815340"/>
        </a:xfrm>
      </xdr:grpSpPr>
      <xdr:grpSp>
        <xdr:nvGrpSpPr>
          <xdr:cNvPr id="55" name="Group 54">
            <a:extLst>
              <a:ext uri="{FF2B5EF4-FFF2-40B4-BE49-F238E27FC236}">
                <a16:creationId xmlns:a16="http://schemas.microsoft.com/office/drawing/2014/main" id="{A7B68C7A-106D-8EAE-31DD-DA5A71041E43}"/>
              </a:ext>
            </a:extLst>
          </xdr:cNvPr>
          <xdr:cNvGrpSpPr/>
        </xdr:nvGrpSpPr>
        <xdr:grpSpPr>
          <a:xfrm>
            <a:off x="2194560" y="0"/>
            <a:ext cx="11894577" cy="815340"/>
            <a:chOff x="2194560" y="0"/>
            <a:chExt cx="11894577" cy="815340"/>
          </a:xfrm>
        </xdr:grpSpPr>
        <xdr:grpSp>
          <xdr:nvGrpSpPr>
            <xdr:cNvPr id="57" name="Group 56">
              <a:extLst>
                <a:ext uri="{FF2B5EF4-FFF2-40B4-BE49-F238E27FC236}">
                  <a16:creationId xmlns:a16="http://schemas.microsoft.com/office/drawing/2014/main" id="{D7728FA2-2802-E2BB-173D-7957DFCCBAA2}"/>
                </a:ext>
              </a:extLst>
            </xdr:cNvPr>
            <xdr:cNvGrpSpPr/>
          </xdr:nvGrpSpPr>
          <xdr:grpSpPr>
            <a:xfrm>
              <a:off x="2194560" y="0"/>
              <a:ext cx="11894577" cy="773812"/>
              <a:chOff x="2160046" y="0"/>
              <a:chExt cx="11894577" cy="773812"/>
            </a:xfrm>
          </xdr:grpSpPr>
          <xdr:grpSp>
            <xdr:nvGrpSpPr>
              <xdr:cNvPr id="61" name="Group 60">
                <a:extLst>
                  <a:ext uri="{FF2B5EF4-FFF2-40B4-BE49-F238E27FC236}">
                    <a16:creationId xmlns:a16="http://schemas.microsoft.com/office/drawing/2014/main" id="{D1481F00-1462-3C5B-AFAE-1F967621D39A}"/>
                  </a:ext>
                </a:extLst>
              </xdr:cNvPr>
              <xdr:cNvGrpSpPr/>
            </xdr:nvGrpSpPr>
            <xdr:grpSpPr>
              <a:xfrm>
                <a:off x="2160046" y="0"/>
                <a:ext cx="11894577" cy="773812"/>
                <a:chOff x="1310640" y="0"/>
                <a:chExt cx="11549013" cy="764847"/>
              </a:xfrm>
            </xdr:grpSpPr>
            <xdr:pic>
              <xdr:nvPicPr>
                <xdr:cNvPr id="65" name="Picture 64">
                  <a:hlinkClick xmlns:r="http://schemas.openxmlformats.org/officeDocument/2006/relationships" r:id="rId5"/>
                  <a:extLst>
                    <a:ext uri="{FF2B5EF4-FFF2-40B4-BE49-F238E27FC236}">
                      <a16:creationId xmlns:a16="http://schemas.microsoft.com/office/drawing/2014/main" id="{C3696CA8-D43B-3F58-F7F3-7EB195BDD574}"/>
                    </a:ext>
                  </a:extLst>
                </xdr:cNvPr>
                <xdr:cNvPicPr>
                  <a:picLocks/>
                </xdr:cNvPicPr>
              </xdr:nvPicPr>
              <xdr:blipFill>
                <a:blip xmlns:r="http://schemas.openxmlformats.org/officeDocument/2006/relationships" r:embed="rId6" cstate="print">
                  <a:alphaModFix/>
                  <a:extLst>
                    <a:ext uri="{28A0092B-C50C-407E-A947-70E740481C1C}">
                      <a14:useLocalDpi xmlns:a14="http://schemas.microsoft.com/office/drawing/2010/main" val="0"/>
                    </a:ext>
                  </a:extLst>
                </a:blip>
                <a:srcRect/>
                <a:stretch/>
              </xdr:blipFill>
              <xdr:spPr>
                <a:xfrm>
                  <a:off x="1310640" y="46180"/>
                  <a:ext cx="499211" cy="554546"/>
                </a:xfrm>
                <a:prstGeom prst="rect">
                  <a:avLst/>
                </a:prstGeom>
              </xdr:spPr>
            </xdr:pic>
            <xdr:pic>
              <xdr:nvPicPr>
                <xdr:cNvPr id="66" name="Picture 65">
                  <a:hlinkClick xmlns:r="http://schemas.openxmlformats.org/officeDocument/2006/relationships" r:id="rId7"/>
                  <a:extLst>
                    <a:ext uri="{FF2B5EF4-FFF2-40B4-BE49-F238E27FC236}">
                      <a16:creationId xmlns:a16="http://schemas.microsoft.com/office/drawing/2014/main" id="{0C049375-D1D6-802F-F518-C62B90427438}"/>
                    </a:ext>
                  </a:extLst>
                </xdr:cNvPr>
                <xdr:cNvPicPr>
                  <a:picLocks noChangeAspect="1" noChangeArrowheads="1"/>
                </xdr:cNvPicPr>
              </xdr:nvPicPr>
              <xdr:blipFill>
                <a:blip xmlns:r="http://schemas.openxmlformats.org/officeDocument/2006/relationships" r:embed="rId8" cstate="print">
                  <a:alphaModFix/>
                  <a:extLst>
                    <a:ext uri="{28A0092B-C50C-407E-A947-70E740481C1C}">
                      <a14:useLocalDpi xmlns:a14="http://schemas.microsoft.com/office/drawing/2010/main" val="0"/>
                    </a:ext>
                  </a:extLst>
                </a:blip>
                <a:srcRect/>
                <a:stretch>
                  <a:fillRect/>
                </a:stretch>
              </xdr:blipFill>
              <xdr:spPr bwMode="auto">
                <a:xfrm>
                  <a:off x="2163693" y="30823"/>
                  <a:ext cx="214188" cy="2260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7" name="TextBox 66">
                  <a:hlinkClick xmlns:r="http://schemas.openxmlformats.org/officeDocument/2006/relationships" r:id="rId7"/>
                  <a:extLst>
                    <a:ext uri="{FF2B5EF4-FFF2-40B4-BE49-F238E27FC236}">
                      <a16:creationId xmlns:a16="http://schemas.microsoft.com/office/drawing/2014/main" id="{AEED158C-5D1B-A08B-29BF-695999C48265}"/>
                    </a:ext>
                  </a:extLst>
                </xdr:cNvPr>
                <xdr:cNvSpPr txBox="1"/>
              </xdr:nvSpPr>
              <xdr:spPr>
                <a:xfrm>
                  <a:off x="2369194" y="17046"/>
                  <a:ext cx="846446" cy="25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US" sz="900" b="1">
                      <a:solidFill>
                        <a:schemeClr val="bg1"/>
                      </a:solidFill>
                    </a:rPr>
                    <a:t>DASHBOARD</a:t>
                  </a:r>
                </a:p>
              </xdr:txBody>
            </xdr:sp>
            <xdr:pic>
              <xdr:nvPicPr>
                <xdr:cNvPr id="68" name="Picture 67">
                  <a:hlinkClick xmlns:r="http://schemas.openxmlformats.org/officeDocument/2006/relationships" r:id="rId9"/>
                  <a:extLst>
                    <a:ext uri="{FF2B5EF4-FFF2-40B4-BE49-F238E27FC236}">
                      <a16:creationId xmlns:a16="http://schemas.microsoft.com/office/drawing/2014/main" id="{DCE3833F-2301-8BC6-D2F3-22E461C5CE41}"/>
                    </a:ext>
                  </a:extLst>
                </xdr:cNvPr>
                <xdr:cNvPicPr>
                  <a:picLocks noChangeAspect="1" noChangeArrowheads="1"/>
                </xdr:cNvPicPr>
              </xdr:nvPicPr>
              <xdr:blipFill>
                <a:blip xmlns:r="http://schemas.openxmlformats.org/officeDocument/2006/relationships" r:embed="rId10" cstate="print">
                  <a:alphaModFix/>
                  <a:extLst>
                    <a:ext uri="{28A0092B-C50C-407E-A947-70E740481C1C}">
                      <a14:useLocalDpi xmlns:a14="http://schemas.microsoft.com/office/drawing/2010/main" val="0"/>
                    </a:ext>
                  </a:extLst>
                </a:blip>
                <a:srcRect/>
                <a:stretch>
                  <a:fillRect/>
                </a:stretch>
              </xdr:blipFill>
              <xdr:spPr bwMode="auto">
                <a:xfrm>
                  <a:off x="8461655" y="433462"/>
                  <a:ext cx="214188" cy="20819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9" name="TextBox 68">
                  <a:hlinkClick xmlns:r="http://schemas.openxmlformats.org/officeDocument/2006/relationships" r:id="rId9"/>
                  <a:extLst>
                    <a:ext uri="{FF2B5EF4-FFF2-40B4-BE49-F238E27FC236}">
                      <a16:creationId xmlns:a16="http://schemas.microsoft.com/office/drawing/2014/main" id="{EC9F777B-5C91-C3CE-EF6B-1C26637EC799}"/>
                    </a:ext>
                  </a:extLst>
                </xdr:cNvPr>
                <xdr:cNvSpPr txBox="1"/>
              </xdr:nvSpPr>
              <xdr:spPr>
                <a:xfrm>
                  <a:off x="8647283" y="413913"/>
                  <a:ext cx="56836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REPORTS</a:t>
                  </a:r>
                </a:p>
              </xdr:txBody>
            </xdr:sp>
            <xdr:pic>
              <xdr:nvPicPr>
                <xdr:cNvPr id="70" name="Picture 69">
                  <a:hlinkClick xmlns:r="http://schemas.openxmlformats.org/officeDocument/2006/relationships" r:id="rId11"/>
                  <a:extLst>
                    <a:ext uri="{FF2B5EF4-FFF2-40B4-BE49-F238E27FC236}">
                      <a16:creationId xmlns:a16="http://schemas.microsoft.com/office/drawing/2014/main" id="{D9A65730-A01F-DAAF-959D-F87A4892A1CA}"/>
                    </a:ext>
                  </a:extLst>
                </xdr:cNvPr>
                <xdr:cNvPicPr>
                  <a:picLocks noChangeAspect="1"/>
                </xdr:cNvPicPr>
              </xdr:nvPicPr>
              <xdr:blipFill>
                <a:blip xmlns:r="http://schemas.openxmlformats.org/officeDocument/2006/relationships" r:embed="rId12" cstate="print">
                  <a:alphaModFix/>
                  <a:extLst>
                    <a:ext uri="{28A0092B-C50C-407E-A947-70E740481C1C}">
                      <a14:useLocalDpi xmlns:a14="http://schemas.microsoft.com/office/drawing/2010/main" val="0"/>
                    </a:ext>
                  </a:extLst>
                </a:blip>
                <a:stretch>
                  <a:fillRect/>
                </a:stretch>
              </xdr:blipFill>
              <xdr:spPr>
                <a:xfrm>
                  <a:off x="6903860" y="19549"/>
                  <a:ext cx="214187" cy="248554"/>
                </a:xfrm>
                <a:prstGeom prst="rect">
                  <a:avLst/>
                </a:prstGeom>
              </xdr:spPr>
            </xdr:pic>
            <xdr:sp macro="" textlink="">
              <xdr:nvSpPr>
                <xdr:cNvPr id="71" name="TextBox 70">
                  <a:hlinkClick xmlns:r="http://schemas.openxmlformats.org/officeDocument/2006/relationships" r:id="rId11"/>
                  <a:extLst>
                    <a:ext uri="{FF2B5EF4-FFF2-40B4-BE49-F238E27FC236}">
                      <a16:creationId xmlns:a16="http://schemas.microsoft.com/office/drawing/2014/main" id="{164F8BCF-ECF8-D5CA-652F-7278E92AD2E9}"/>
                    </a:ext>
                  </a:extLst>
                </xdr:cNvPr>
                <xdr:cNvSpPr txBox="1"/>
              </xdr:nvSpPr>
              <xdr:spPr>
                <a:xfrm>
                  <a:off x="7099062" y="0"/>
                  <a:ext cx="67589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MORTGAGE</a:t>
                  </a:r>
                </a:p>
              </xdr:txBody>
            </xdr:sp>
            <xdr:sp macro="" textlink="">
              <xdr:nvSpPr>
                <xdr:cNvPr id="72" name="TextBox 71">
                  <a:hlinkClick xmlns:r="http://schemas.openxmlformats.org/officeDocument/2006/relationships" r:id="rId13"/>
                  <a:extLst>
                    <a:ext uri="{FF2B5EF4-FFF2-40B4-BE49-F238E27FC236}">
                      <a16:creationId xmlns:a16="http://schemas.microsoft.com/office/drawing/2014/main" id="{881FB3F6-8729-B794-01E7-8E4B282B06E1}"/>
                    </a:ext>
                  </a:extLst>
                </xdr:cNvPr>
                <xdr:cNvSpPr txBox="1"/>
              </xdr:nvSpPr>
              <xdr:spPr>
                <a:xfrm>
                  <a:off x="6375474" y="0"/>
                  <a:ext cx="381400"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DEBT</a:t>
                  </a:r>
                </a:p>
              </xdr:txBody>
            </xdr:sp>
            <xdr:pic>
              <xdr:nvPicPr>
                <xdr:cNvPr id="73" name="Picture 72">
                  <a:hlinkClick xmlns:r="http://schemas.openxmlformats.org/officeDocument/2006/relationships" r:id="rId13"/>
                  <a:extLst>
                    <a:ext uri="{FF2B5EF4-FFF2-40B4-BE49-F238E27FC236}">
                      <a16:creationId xmlns:a16="http://schemas.microsoft.com/office/drawing/2014/main" id="{6FC6219D-497A-25BE-AB39-7DCEFAA89541}"/>
                    </a:ext>
                  </a:extLst>
                </xdr:cNvPr>
                <xdr:cNvPicPr>
                  <a:picLocks noChangeAspect="1"/>
                </xdr:cNvPicPr>
              </xdr:nvPicPr>
              <xdr:blipFill>
                <a:blip xmlns:r="http://schemas.openxmlformats.org/officeDocument/2006/relationships" r:embed="rId14" cstate="print">
                  <a:alphaModFix/>
                  <a:extLst>
                    <a:ext uri="{28A0092B-C50C-407E-A947-70E740481C1C}">
                      <a14:useLocalDpi xmlns:a14="http://schemas.microsoft.com/office/drawing/2010/main" val="0"/>
                    </a:ext>
                  </a:extLst>
                </a:blip>
                <a:stretch>
                  <a:fillRect/>
                </a:stretch>
              </xdr:blipFill>
              <xdr:spPr>
                <a:xfrm>
                  <a:off x="6158378" y="19549"/>
                  <a:ext cx="214188" cy="248554"/>
                </a:xfrm>
                <a:prstGeom prst="rect">
                  <a:avLst/>
                </a:prstGeom>
              </xdr:spPr>
            </xdr:pic>
            <xdr:sp macro="" textlink="">
              <xdr:nvSpPr>
                <xdr:cNvPr id="74" name="TextBox 73">
                  <a:hlinkClick xmlns:r="http://schemas.openxmlformats.org/officeDocument/2006/relationships" r:id="rId15"/>
                  <a:extLst>
                    <a:ext uri="{FF2B5EF4-FFF2-40B4-BE49-F238E27FC236}">
                      <a16:creationId xmlns:a16="http://schemas.microsoft.com/office/drawing/2014/main" id="{41A7AA16-143F-0456-7658-9C617AF5A120}"/>
                    </a:ext>
                  </a:extLst>
                </xdr:cNvPr>
                <xdr:cNvSpPr txBox="1"/>
              </xdr:nvSpPr>
              <xdr:spPr>
                <a:xfrm>
                  <a:off x="5370816" y="37659"/>
                  <a:ext cx="64057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FORECASTS</a:t>
                  </a:r>
                </a:p>
              </xdr:txBody>
            </xdr:sp>
            <xdr:sp macro="" textlink="">
              <xdr:nvSpPr>
                <xdr:cNvPr id="75" name="TextBox 74">
                  <a:hlinkClick xmlns:r="http://schemas.openxmlformats.org/officeDocument/2006/relationships" r:id="rId16"/>
                  <a:extLst>
                    <a:ext uri="{FF2B5EF4-FFF2-40B4-BE49-F238E27FC236}">
                      <a16:creationId xmlns:a16="http://schemas.microsoft.com/office/drawing/2014/main" id="{2298AEB6-FB61-54F9-DB49-B8F6E26CF55A}"/>
                    </a:ext>
                  </a:extLst>
                </xdr:cNvPr>
                <xdr:cNvSpPr txBox="1"/>
              </xdr:nvSpPr>
              <xdr:spPr>
                <a:xfrm>
                  <a:off x="8104032" y="0"/>
                  <a:ext cx="7732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a:t>
                  </a:r>
                  <a:r>
                    <a:rPr lang="en-US" sz="900" b="1" baseline="0">
                      <a:solidFill>
                        <a:schemeClr val="bg1"/>
                      </a:solidFill>
                    </a:rPr>
                    <a:t> (M)</a:t>
                  </a:r>
                  <a:endParaRPr lang="en-US" sz="900" b="1">
                    <a:solidFill>
                      <a:schemeClr val="bg1"/>
                    </a:solidFill>
                  </a:endParaRPr>
                </a:p>
              </xdr:txBody>
            </xdr:sp>
            <xdr:pic>
              <xdr:nvPicPr>
                <xdr:cNvPr id="76" name="Picture 75">
                  <a:hlinkClick xmlns:r="http://schemas.openxmlformats.org/officeDocument/2006/relationships" r:id="rId16"/>
                  <a:extLst>
                    <a:ext uri="{FF2B5EF4-FFF2-40B4-BE49-F238E27FC236}">
                      <a16:creationId xmlns:a16="http://schemas.microsoft.com/office/drawing/2014/main" id="{E1DDE468-0AA4-D50B-4E03-E4831A90819D}"/>
                    </a:ext>
                  </a:extLst>
                </xdr:cNvPr>
                <xdr:cNvPicPr>
                  <a:picLocks noChangeAspect="1"/>
                </xdr:cNvPicPr>
              </xdr:nvPicPr>
              <xdr:blipFill>
                <a:blip xmlns:r="http://schemas.openxmlformats.org/officeDocument/2006/relationships" r:embed="rId17" cstate="print">
                  <a:alphaModFix/>
                  <a:extLst>
                    <a:ext uri="{28A0092B-C50C-407E-A947-70E740481C1C}">
                      <a14:useLocalDpi xmlns:a14="http://schemas.microsoft.com/office/drawing/2010/main" val="0"/>
                    </a:ext>
                  </a:extLst>
                </a:blip>
                <a:stretch>
                  <a:fillRect/>
                </a:stretch>
              </xdr:blipFill>
              <xdr:spPr>
                <a:xfrm>
                  <a:off x="7921943" y="19549"/>
                  <a:ext cx="214188" cy="248554"/>
                </a:xfrm>
                <a:prstGeom prst="rect">
                  <a:avLst/>
                </a:prstGeom>
              </xdr:spPr>
            </xdr:pic>
            <xdr:sp macro="" textlink="">
              <xdr:nvSpPr>
                <xdr:cNvPr id="77" name="TextBox 76">
                  <a:hlinkClick xmlns:r="http://schemas.openxmlformats.org/officeDocument/2006/relationships" r:id="rId18"/>
                  <a:extLst>
                    <a:ext uri="{FF2B5EF4-FFF2-40B4-BE49-F238E27FC236}">
                      <a16:creationId xmlns:a16="http://schemas.microsoft.com/office/drawing/2014/main" id="{1E95BF3C-19E5-A5B6-90D2-F273D60239A0}"/>
                    </a:ext>
                  </a:extLst>
                </xdr:cNvPr>
                <xdr:cNvSpPr txBox="1"/>
              </xdr:nvSpPr>
              <xdr:spPr>
                <a:xfrm>
                  <a:off x="9978309" y="0"/>
                  <a:ext cx="687187"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 (Y)</a:t>
                  </a:r>
                </a:p>
              </xdr:txBody>
            </xdr:sp>
            <xdr:pic>
              <xdr:nvPicPr>
                <xdr:cNvPr id="78" name="Picture 77">
                  <a:hlinkClick xmlns:r="http://schemas.openxmlformats.org/officeDocument/2006/relationships" r:id="rId18"/>
                  <a:extLst>
                    <a:ext uri="{FF2B5EF4-FFF2-40B4-BE49-F238E27FC236}">
                      <a16:creationId xmlns:a16="http://schemas.microsoft.com/office/drawing/2014/main" id="{BA918E1A-0BC3-D609-68E9-67C0FFF3128F}"/>
                    </a:ext>
                  </a:extLst>
                </xdr:cNvPr>
                <xdr:cNvPicPr>
                  <a:picLocks noChangeAspect="1"/>
                </xdr:cNvPicPr>
              </xdr:nvPicPr>
              <xdr:blipFill>
                <a:blip xmlns:r="http://schemas.openxmlformats.org/officeDocument/2006/relationships" r:embed="rId19" cstate="print">
                  <a:alphaModFix/>
                  <a:extLst>
                    <a:ext uri="{28A0092B-C50C-407E-A947-70E740481C1C}">
                      <a14:useLocalDpi xmlns:a14="http://schemas.microsoft.com/office/drawing/2010/main" val="0"/>
                    </a:ext>
                  </a:extLst>
                </a:blip>
                <a:stretch>
                  <a:fillRect/>
                </a:stretch>
              </xdr:blipFill>
              <xdr:spPr>
                <a:xfrm>
                  <a:off x="9777770" y="19549"/>
                  <a:ext cx="214188" cy="248554"/>
                </a:xfrm>
                <a:prstGeom prst="rect">
                  <a:avLst/>
                </a:prstGeom>
              </xdr:spPr>
            </xdr:pic>
            <xdr:sp macro="" textlink="">
              <xdr:nvSpPr>
                <xdr:cNvPr id="79" name="TextBox 78">
                  <a:hlinkClick xmlns:r="http://schemas.openxmlformats.org/officeDocument/2006/relationships" r:id="rId20"/>
                  <a:extLst>
                    <a:ext uri="{FF2B5EF4-FFF2-40B4-BE49-F238E27FC236}">
                      <a16:creationId xmlns:a16="http://schemas.microsoft.com/office/drawing/2014/main" id="{D33BEF16-B9BF-C622-9BBA-EF6745889548}"/>
                    </a:ext>
                  </a:extLst>
                </xdr:cNvPr>
                <xdr:cNvSpPr txBox="1"/>
              </xdr:nvSpPr>
              <xdr:spPr>
                <a:xfrm>
                  <a:off x="9133984" y="0"/>
                  <a:ext cx="49680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VERSUS</a:t>
                  </a:r>
                </a:p>
              </xdr:txBody>
            </xdr:sp>
            <xdr:pic>
              <xdr:nvPicPr>
                <xdr:cNvPr id="80" name="Picture 79">
                  <a:hlinkClick xmlns:r="http://schemas.openxmlformats.org/officeDocument/2006/relationships" r:id="rId20"/>
                  <a:extLst>
                    <a:ext uri="{FF2B5EF4-FFF2-40B4-BE49-F238E27FC236}">
                      <a16:creationId xmlns:a16="http://schemas.microsoft.com/office/drawing/2014/main" id="{F952A96D-1DBD-88BB-45E7-6C7CC3F7C9E1}"/>
                    </a:ext>
                  </a:extLst>
                </xdr:cNvPr>
                <xdr:cNvPicPr>
                  <a:picLocks noChangeAspect="1"/>
                </xdr:cNvPicPr>
              </xdr:nvPicPr>
              <xdr:blipFill>
                <a:blip xmlns:r="http://schemas.openxmlformats.org/officeDocument/2006/relationships" r:embed="rId21" cstate="print">
                  <a:alphaModFix/>
                  <a:extLst>
                    <a:ext uri="{28A0092B-C50C-407E-A947-70E740481C1C}">
                      <a14:useLocalDpi xmlns:a14="http://schemas.microsoft.com/office/drawing/2010/main" val="0"/>
                    </a:ext>
                  </a:extLst>
                </a:blip>
                <a:stretch>
                  <a:fillRect/>
                </a:stretch>
              </xdr:blipFill>
              <xdr:spPr>
                <a:xfrm>
                  <a:off x="8938203" y="19549"/>
                  <a:ext cx="214187" cy="248554"/>
                </a:xfrm>
                <a:prstGeom prst="rect">
                  <a:avLst/>
                </a:prstGeom>
              </xdr:spPr>
            </xdr:pic>
            <xdr:sp macro="" textlink="">
              <xdr:nvSpPr>
                <xdr:cNvPr id="81" name="TextBox 80">
                  <a:hlinkClick xmlns:r="http://schemas.openxmlformats.org/officeDocument/2006/relationships" r:id="rId22"/>
                  <a:extLst>
                    <a:ext uri="{FF2B5EF4-FFF2-40B4-BE49-F238E27FC236}">
                      <a16:creationId xmlns:a16="http://schemas.microsoft.com/office/drawing/2014/main" id="{269F3E14-802F-C5B8-4465-0A27ED4838A9}"/>
                    </a:ext>
                  </a:extLst>
                </xdr:cNvPr>
                <xdr:cNvSpPr txBox="1"/>
              </xdr:nvSpPr>
              <xdr:spPr>
                <a:xfrm>
                  <a:off x="3510385" y="0"/>
                  <a:ext cx="52312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REPAIRS</a:t>
                  </a:r>
                </a:p>
              </xdr:txBody>
            </xdr:sp>
            <xdr:pic>
              <xdr:nvPicPr>
                <xdr:cNvPr id="82" name="Picture 81">
                  <a:hlinkClick xmlns:r="http://schemas.openxmlformats.org/officeDocument/2006/relationships" r:id="rId22"/>
                  <a:extLst>
                    <a:ext uri="{FF2B5EF4-FFF2-40B4-BE49-F238E27FC236}">
                      <a16:creationId xmlns:a16="http://schemas.microsoft.com/office/drawing/2014/main" id="{B0453378-1F4F-3E38-F47A-30B9229E87E2}"/>
                    </a:ext>
                  </a:extLst>
                </xdr:cNvPr>
                <xdr:cNvPicPr>
                  <a:picLocks noChangeAspect="1"/>
                </xdr:cNvPicPr>
              </xdr:nvPicPr>
              <xdr:blipFill>
                <a:blip xmlns:r="http://schemas.openxmlformats.org/officeDocument/2006/relationships" r:embed="rId23" cstate="print">
                  <a:alphaModFix/>
                  <a:extLst>
                    <a:ext uri="{28A0092B-C50C-407E-A947-70E740481C1C}">
                      <a14:useLocalDpi xmlns:a14="http://schemas.microsoft.com/office/drawing/2010/main" val="0"/>
                    </a:ext>
                  </a:extLst>
                </a:blip>
                <a:stretch>
                  <a:fillRect/>
                </a:stretch>
              </xdr:blipFill>
              <xdr:spPr>
                <a:xfrm>
                  <a:off x="3296296" y="28376"/>
                  <a:ext cx="214435" cy="230900"/>
                </a:xfrm>
                <a:prstGeom prst="rect">
                  <a:avLst/>
                </a:prstGeom>
              </xdr:spPr>
            </xdr:pic>
            <xdr:sp macro="" textlink="">
              <xdr:nvSpPr>
                <xdr:cNvPr id="83" name="TextBox 82">
                  <a:hlinkClick xmlns:r="http://schemas.openxmlformats.org/officeDocument/2006/relationships" r:id="rId24"/>
                  <a:extLst>
                    <a:ext uri="{FF2B5EF4-FFF2-40B4-BE49-F238E27FC236}">
                      <a16:creationId xmlns:a16="http://schemas.microsoft.com/office/drawing/2014/main" id="{3BDE7E09-2516-AC7D-77BA-A62FFC7B5BA7}"/>
                    </a:ext>
                  </a:extLst>
                </xdr:cNvPr>
                <xdr:cNvSpPr txBox="1"/>
              </xdr:nvSpPr>
              <xdr:spPr>
                <a:xfrm>
                  <a:off x="4388587" y="0"/>
                  <a:ext cx="63170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FURNITURE</a:t>
                  </a:r>
                </a:p>
              </xdr:txBody>
            </xdr:sp>
            <xdr:pic>
              <xdr:nvPicPr>
                <xdr:cNvPr id="84" name="Picture 83">
                  <a:hlinkClick xmlns:r="http://schemas.openxmlformats.org/officeDocument/2006/relationships" r:id="rId24"/>
                  <a:extLst>
                    <a:ext uri="{FF2B5EF4-FFF2-40B4-BE49-F238E27FC236}">
                      <a16:creationId xmlns:a16="http://schemas.microsoft.com/office/drawing/2014/main" id="{811F01C9-CE74-5C14-1E1E-3827CCD3A1DF}"/>
                    </a:ext>
                  </a:extLst>
                </xdr:cNvPr>
                <xdr:cNvPicPr>
                  <a:picLocks noChangeAspect="1"/>
                </xdr:cNvPicPr>
              </xdr:nvPicPr>
              <xdr:blipFill>
                <a:blip xmlns:r="http://schemas.openxmlformats.org/officeDocument/2006/relationships" r:embed="rId25" cstate="print">
                  <a:alphaModFix/>
                  <a:extLst>
                    <a:ext uri="{28A0092B-C50C-407E-A947-70E740481C1C}">
                      <a14:useLocalDpi xmlns:a14="http://schemas.microsoft.com/office/drawing/2010/main" val="0"/>
                    </a:ext>
                  </a:extLst>
                </a:blip>
                <a:stretch>
                  <a:fillRect/>
                </a:stretch>
              </xdr:blipFill>
              <xdr:spPr>
                <a:xfrm>
                  <a:off x="4180491" y="28376"/>
                  <a:ext cx="214435" cy="230900"/>
                </a:xfrm>
                <a:prstGeom prst="rect">
                  <a:avLst/>
                </a:prstGeom>
              </xdr:spPr>
            </xdr:pic>
            <xdr:pic>
              <xdr:nvPicPr>
                <xdr:cNvPr id="85" name="Picture 84">
                  <a:hlinkClick xmlns:r="http://schemas.openxmlformats.org/officeDocument/2006/relationships" r:id="rId26"/>
                  <a:extLst>
                    <a:ext uri="{FF2B5EF4-FFF2-40B4-BE49-F238E27FC236}">
                      <a16:creationId xmlns:a16="http://schemas.microsoft.com/office/drawing/2014/main" id="{F0FA7EAE-E77E-3172-96A8-3BFB099070B8}"/>
                    </a:ext>
                  </a:extLst>
                </xdr:cNvPr>
                <xdr:cNvPicPr>
                  <a:picLocks noChangeAspect="1"/>
                </xdr:cNvPicPr>
              </xdr:nvPicPr>
              <xdr:blipFill>
                <a:blip xmlns:r="http://schemas.openxmlformats.org/officeDocument/2006/relationships" r:embed="rId27" cstate="print">
                  <a:alphaModFix/>
                  <a:extLst>
                    <a:ext uri="{28A0092B-C50C-407E-A947-70E740481C1C}">
                      <a14:useLocalDpi xmlns:a14="http://schemas.microsoft.com/office/drawing/2010/main" val="0"/>
                    </a:ext>
                  </a:extLst>
                </a:blip>
                <a:stretch>
                  <a:fillRect/>
                </a:stretch>
              </xdr:blipFill>
              <xdr:spPr>
                <a:xfrm>
                  <a:off x="10812480" y="19549"/>
                  <a:ext cx="214188" cy="248554"/>
                </a:xfrm>
                <a:prstGeom prst="rect">
                  <a:avLst/>
                </a:prstGeom>
              </xdr:spPr>
            </xdr:pic>
            <xdr:sp macro="" textlink="">
              <xdr:nvSpPr>
                <xdr:cNvPr id="86" name="TextBox 85">
                  <a:hlinkClick xmlns:r="http://schemas.openxmlformats.org/officeDocument/2006/relationships" r:id="rId26"/>
                  <a:extLst>
                    <a:ext uri="{FF2B5EF4-FFF2-40B4-BE49-F238E27FC236}">
                      <a16:creationId xmlns:a16="http://schemas.microsoft.com/office/drawing/2014/main" id="{405F5FA7-6F2B-1DE6-0803-08E3BBFECE5F}"/>
                    </a:ext>
                  </a:extLst>
                </xdr:cNvPr>
                <xdr:cNvSpPr txBox="1"/>
              </xdr:nvSpPr>
              <xdr:spPr>
                <a:xfrm>
                  <a:off x="11008843" y="0"/>
                  <a:ext cx="40705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PEERS</a:t>
                  </a:r>
                </a:p>
              </xdr:txBody>
            </xdr:sp>
            <xdr:sp macro="" textlink="">
              <xdr:nvSpPr>
                <xdr:cNvPr id="87" name="TextBox 86">
                  <a:hlinkClick xmlns:r="http://schemas.openxmlformats.org/officeDocument/2006/relationships" r:id="rId28"/>
                  <a:extLst>
                    <a:ext uri="{FF2B5EF4-FFF2-40B4-BE49-F238E27FC236}">
                      <a16:creationId xmlns:a16="http://schemas.microsoft.com/office/drawing/2014/main" id="{6EF9D521-58BE-7D09-85FD-05942367AFB2}"/>
                    </a:ext>
                  </a:extLst>
                </xdr:cNvPr>
                <xdr:cNvSpPr txBox="1"/>
              </xdr:nvSpPr>
              <xdr:spPr>
                <a:xfrm>
                  <a:off x="9581756" y="397481"/>
                  <a:ext cx="656781"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MAX PRICE</a:t>
                  </a:r>
                </a:p>
              </xdr:txBody>
            </xdr:sp>
            <xdr:pic>
              <xdr:nvPicPr>
                <xdr:cNvPr id="88" name="Picture 87">
                  <a:hlinkClick xmlns:r="http://schemas.openxmlformats.org/officeDocument/2006/relationships" r:id="rId28"/>
                  <a:extLst>
                    <a:ext uri="{FF2B5EF4-FFF2-40B4-BE49-F238E27FC236}">
                      <a16:creationId xmlns:a16="http://schemas.microsoft.com/office/drawing/2014/main" id="{AC1BA5A4-12A5-D12A-1D2B-AB69ECF73E87}"/>
                    </a:ext>
                  </a:extLst>
                </xdr:cNvPr>
                <xdr:cNvPicPr>
                  <a:picLocks noChangeAspect="1"/>
                </xdr:cNvPicPr>
              </xdr:nvPicPr>
              <xdr:blipFill>
                <a:blip xmlns:r="http://schemas.openxmlformats.org/officeDocument/2006/relationships" r:embed="rId29" cstate="print">
                  <a:alphaModFix/>
                  <a:extLst>
                    <a:ext uri="{28A0092B-C50C-407E-A947-70E740481C1C}">
                      <a14:useLocalDpi xmlns:a14="http://schemas.microsoft.com/office/drawing/2010/main" val="0"/>
                    </a:ext>
                  </a:extLst>
                </a:blip>
                <a:stretch>
                  <a:fillRect/>
                </a:stretch>
              </xdr:blipFill>
              <xdr:spPr>
                <a:xfrm>
                  <a:off x="9433997" y="425857"/>
                  <a:ext cx="214435" cy="230900"/>
                </a:xfrm>
                <a:prstGeom prst="rect">
                  <a:avLst/>
                </a:prstGeom>
              </xdr:spPr>
            </xdr:pic>
            <xdr:sp macro="" textlink="">
              <xdr:nvSpPr>
                <xdr:cNvPr id="89" name="TextBox 88">
                  <a:hlinkClick xmlns:r="http://schemas.openxmlformats.org/officeDocument/2006/relationships" r:id="rId30"/>
                  <a:extLst>
                    <a:ext uri="{FF2B5EF4-FFF2-40B4-BE49-F238E27FC236}">
                      <a16:creationId xmlns:a16="http://schemas.microsoft.com/office/drawing/2014/main" id="{2ACBCB30-3EE3-7C57-AAE8-616975DDA57C}"/>
                    </a:ext>
                  </a:extLst>
                </xdr:cNvPr>
                <xdr:cNvSpPr txBox="1"/>
              </xdr:nvSpPr>
              <xdr:spPr>
                <a:xfrm>
                  <a:off x="7733272" y="389861"/>
                  <a:ext cx="6384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SCENARIOS</a:t>
                  </a:r>
                </a:p>
              </xdr:txBody>
            </xdr:sp>
            <xdr:pic>
              <xdr:nvPicPr>
                <xdr:cNvPr id="90" name="Picture 89">
                  <a:hlinkClick xmlns:r="http://schemas.openxmlformats.org/officeDocument/2006/relationships" r:id="rId30"/>
                  <a:extLst>
                    <a:ext uri="{FF2B5EF4-FFF2-40B4-BE49-F238E27FC236}">
                      <a16:creationId xmlns:a16="http://schemas.microsoft.com/office/drawing/2014/main" id="{A8F75737-A9C3-A154-405F-5164A97CABC2}"/>
                    </a:ext>
                  </a:extLst>
                </xdr:cNvPr>
                <xdr:cNvPicPr>
                  <a:picLocks noChangeAspect="1"/>
                </xdr:cNvPicPr>
              </xdr:nvPicPr>
              <xdr:blipFill>
                <a:blip xmlns:r="http://schemas.openxmlformats.org/officeDocument/2006/relationships" r:embed="rId31" cstate="print">
                  <a:alphaModFix/>
                  <a:extLst>
                    <a:ext uri="{28A0092B-C50C-407E-A947-70E740481C1C}">
                      <a14:useLocalDpi xmlns:a14="http://schemas.microsoft.com/office/drawing/2010/main" val="0"/>
                    </a:ext>
                  </a:extLst>
                </a:blip>
                <a:stretch>
                  <a:fillRect/>
                </a:stretch>
              </xdr:blipFill>
              <xdr:spPr>
                <a:xfrm>
                  <a:off x="7536090" y="418237"/>
                  <a:ext cx="214435" cy="230900"/>
                </a:xfrm>
                <a:prstGeom prst="rect">
                  <a:avLst/>
                </a:prstGeom>
              </xdr:spPr>
            </xdr:pic>
            <xdr:sp macro="" textlink="">
              <xdr:nvSpPr>
                <xdr:cNvPr id="91" name="TextBox 90">
                  <a:hlinkClick xmlns:r="http://schemas.openxmlformats.org/officeDocument/2006/relationships" r:id="rId32"/>
                  <a:extLst>
                    <a:ext uri="{FF2B5EF4-FFF2-40B4-BE49-F238E27FC236}">
                      <a16:creationId xmlns:a16="http://schemas.microsoft.com/office/drawing/2014/main" id="{BCE375F8-C996-6321-9A63-6780247BCAC6}"/>
                    </a:ext>
                  </a:extLst>
                </xdr:cNvPr>
                <xdr:cNvSpPr txBox="1"/>
              </xdr:nvSpPr>
              <xdr:spPr>
                <a:xfrm>
                  <a:off x="11757467" y="49286"/>
                  <a:ext cx="110218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MARKET RESEARCH</a:t>
                  </a:r>
                </a:p>
              </xdr:txBody>
            </xdr:sp>
            <xdr:pic>
              <xdr:nvPicPr>
                <xdr:cNvPr id="92" name="Picture 91" descr="A white and brown hourglass&#10;&#10;AI-generated content may be incorrect.">
                  <a:hlinkClick xmlns:r="http://schemas.openxmlformats.org/officeDocument/2006/relationships" r:id="rId32"/>
                  <a:extLst>
                    <a:ext uri="{FF2B5EF4-FFF2-40B4-BE49-F238E27FC236}">
                      <a16:creationId xmlns:a16="http://schemas.microsoft.com/office/drawing/2014/main" id="{59DAA3FD-F11F-1805-EFDB-DA0108248B19}"/>
                    </a:ext>
                  </a:extLst>
                </xdr:cNvPr>
                <xdr:cNvPicPr>
                  <a:picLocks noChangeAspect="1"/>
                </xdr:cNvPicPr>
              </xdr:nvPicPr>
              <xdr:blipFill>
                <a:blip xmlns:r="http://schemas.openxmlformats.org/officeDocument/2006/relationships" r:embed="rId33" cstate="print">
                  <a:alphaModFix/>
                  <a:extLst>
                    <a:ext uri="{28A0092B-C50C-407E-A947-70E740481C1C}">
                      <a14:useLocalDpi xmlns:a14="http://schemas.microsoft.com/office/drawing/2010/main" val="0"/>
                    </a:ext>
                  </a:extLst>
                </a:blip>
                <a:stretch>
                  <a:fillRect/>
                </a:stretch>
              </xdr:blipFill>
              <xdr:spPr>
                <a:xfrm>
                  <a:off x="11563464" y="33893"/>
                  <a:ext cx="235575" cy="261687"/>
                </a:xfrm>
                <a:prstGeom prst="rect">
                  <a:avLst/>
                </a:prstGeom>
              </xdr:spPr>
            </xdr:pic>
            <xdr:pic>
              <xdr:nvPicPr>
                <xdr:cNvPr id="93" name="Picture 92">
                  <a:hlinkClick xmlns:r="http://schemas.openxmlformats.org/officeDocument/2006/relationships" r:id="rId34"/>
                  <a:extLst>
                    <a:ext uri="{FF2B5EF4-FFF2-40B4-BE49-F238E27FC236}">
                      <a16:creationId xmlns:a16="http://schemas.microsoft.com/office/drawing/2014/main" id="{40A6BE6D-25FD-2CE7-B213-C9D449E89561}"/>
                    </a:ext>
                  </a:extLst>
                </xdr:cNvPr>
                <xdr:cNvPicPr>
                  <a:picLocks noChangeAspect="1" noChangeArrowheads="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33032" y="384834"/>
                  <a:ext cx="261600" cy="33288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4" name="TextBox 93">
                  <a:hlinkClick xmlns:r="http://schemas.openxmlformats.org/officeDocument/2006/relationships" r:id="rId34"/>
                  <a:extLst>
                    <a:ext uri="{FF2B5EF4-FFF2-40B4-BE49-F238E27FC236}">
                      <a16:creationId xmlns:a16="http://schemas.microsoft.com/office/drawing/2014/main" id="{90D12732-0C92-02EF-E4CA-327DE1ABBC4B}"/>
                    </a:ext>
                  </a:extLst>
                </xdr:cNvPr>
                <xdr:cNvSpPr txBox="1"/>
              </xdr:nvSpPr>
              <xdr:spPr>
                <a:xfrm>
                  <a:off x="3637195" y="315564"/>
                  <a:ext cx="914586" cy="433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BALANCE SHEET</a:t>
                  </a:r>
                </a:p>
                <a:p>
                  <a:pPr algn="ctr"/>
                  <a:r>
                    <a:rPr lang="en-US" sz="900" b="1">
                      <a:solidFill>
                        <a:schemeClr val="bg1"/>
                      </a:solidFill>
                    </a:rPr>
                    <a:t>SUMMARY</a:t>
                  </a:r>
                </a:p>
              </xdr:txBody>
            </xdr:sp>
            <xdr:pic>
              <xdr:nvPicPr>
                <xdr:cNvPr id="95" name="Picture 94">
                  <a:hlinkClick xmlns:r="http://schemas.openxmlformats.org/officeDocument/2006/relationships" r:id="rId36"/>
                  <a:extLst>
                    <a:ext uri="{FF2B5EF4-FFF2-40B4-BE49-F238E27FC236}">
                      <a16:creationId xmlns:a16="http://schemas.microsoft.com/office/drawing/2014/main" id="{3FCE2EFB-FE0C-D8E9-2168-F2EEFD1D4359}"/>
                    </a:ext>
                  </a:extLst>
                </xdr:cNvPr>
                <xdr:cNvPicPr>
                  <a:picLocks noChangeAspect="1" noChangeArrowheads="1"/>
                </xdr:cNvPicPr>
              </xdr:nvPicPr>
              <xdr:blipFill>
                <a:blip xmlns:r="http://schemas.openxmlformats.org/officeDocument/2006/relationships" r:embed="rId37" cstate="print">
                  <a:clrChange>
                    <a:clrFrom>
                      <a:srgbClr val="F8F8F8"/>
                    </a:clrFrom>
                    <a:clrTo>
                      <a:srgbClr val="F8F8F8">
                        <a:alpha val="0"/>
                      </a:srgbClr>
                    </a:clrTo>
                  </a:clrChange>
                  <a:extLst>
                    <a:ext uri="{28A0092B-C50C-407E-A947-70E740481C1C}">
                      <a14:useLocalDpi xmlns:a14="http://schemas.microsoft.com/office/drawing/2010/main" val="0"/>
                    </a:ext>
                  </a:extLst>
                </a:blip>
                <a:srcRect/>
                <a:stretch>
                  <a:fillRect/>
                </a:stretch>
              </xdr:blipFill>
              <xdr:spPr bwMode="auto">
                <a:xfrm>
                  <a:off x="4602713" y="384834"/>
                  <a:ext cx="326621" cy="3113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6" name="TextBox 95">
                  <a:hlinkClick xmlns:r="http://schemas.openxmlformats.org/officeDocument/2006/relationships" r:id="rId36"/>
                  <a:extLst>
                    <a:ext uri="{FF2B5EF4-FFF2-40B4-BE49-F238E27FC236}">
                      <a16:creationId xmlns:a16="http://schemas.microsoft.com/office/drawing/2014/main" id="{C12B1A5D-2CE4-C658-74CF-0A7BDA91DBA4}"/>
                    </a:ext>
                  </a:extLst>
                </xdr:cNvPr>
                <xdr:cNvSpPr txBox="1"/>
              </xdr:nvSpPr>
              <xdr:spPr>
                <a:xfrm>
                  <a:off x="4880678" y="423317"/>
                  <a:ext cx="56334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ASSETS</a:t>
                  </a:r>
                </a:p>
              </xdr:txBody>
            </xdr:sp>
            <xdr:pic>
              <xdr:nvPicPr>
                <xdr:cNvPr id="97" name="Picture 96">
                  <a:hlinkClick xmlns:r="http://schemas.openxmlformats.org/officeDocument/2006/relationships" r:id="rId38"/>
                  <a:extLst>
                    <a:ext uri="{FF2B5EF4-FFF2-40B4-BE49-F238E27FC236}">
                      <a16:creationId xmlns:a16="http://schemas.microsoft.com/office/drawing/2014/main" id="{98C7351C-F391-59A7-7825-A3E0F76CF5F7}"/>
                    </a:ext>
                  </a:extLst>
                </xdr:cNvPr>
                <xdr:cNvPicPr>
                  <a:picLocks noChangeAspect="1" noChangeArrowheads="1"/>
                </xdr:cNvPicPr>
              </xdr:nvPicPr>
              <xdr:blipFill>
                <a:blip xmlns:r="http://schemas.openxmlformats.org/officeDocument/2006/relationships" r:embed="rId39"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35903" y="354046"/>
                  <a:ext cx="278234" cy="3540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8" name="TextBox 97">
                  <a:hlinkClick xmlns:r="http://schemas.openxmlformats.org/officeDocument/2006/relationships" r:id="rId38"/>
                  <a:extLst>
                    <a:ext uri="{FF2B5EF4-FFF2-40B4-BE49-F238E27FC236}">
                      <a16:creationId xmlns:a16="http://schemas.microsoft.com/office/drawing/2014/main" id="{EBF90D72-6DF1-0F37-6957-4CC3A4B8C50B}"/>
                    </a:ext>
                  </a:extLst>
                </xdr:cNvPr>
                <xdr:cNvSpPr txBox="1"/>
              </xdr:nvSpPr>
              <xdr:spPr>
                <a:xfrm>
                  <a:off x="5717678" y="431014"/>
                  <a:ext cx="750091"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LIABILITIES</a:t>
                  </a:r>
                </a:p>
              </xdr:txBody>
            </xdr:sp>
            <xdr:pic>
              <xdr:nvPicPr>
                <xdr:cNvPr id="99" name="Picture 98">
                  <a:hlinkClick xmlns:r="http://schemas.openxmlformats.org/officeDocument/2006/relationships" r:id="rId40"/>
                  <a:extLst>
                    <a:ext uri="{FF2B5EF4-FFF2-40B4-BE49-F238E27FC236}">
                      <a16:creationId xmlns:a16="http://schemas.microsoft.com/office/drawing/2014/main" id="{86153D6D-9663-DED9-B6C1-198A393999B9}"/>
                    </a:ext>
                  </a:extLst>
                </xdr:cNvPr>
                <xdr:cNvPicPr>
                  <a:picLocks noChangeAspect="1"/>
                </xdr:cNvPicPr>
              </xdr:nvPicPr>
              <xdr:blipFill>
                <a:blip xmlns:r="http://schemas.openxmlformats.org/officeDocument/2006/relationships" r:embed="rId41">
                  <a:clrChange>
                    <a:clrFrom>
                      <a:srgbClr val="FFFFFF"/>
                    </a:clrFrom>
                    <a:clrTo>
                      <a:srgbClr val="FFFFFF">
                        <a:alpha val="0"/>
                      </a:srgbClr>
                    </a:clrTo>
                  </a:clrChange>
                </a:blip>
                <a:stretch>
                  <a:fillRect/>
                </a:stretch>
              </xdr:blipFill>
              <xdr:spPr>
                <a:xfrm>
                  <a:off x="6454424" y="361268"/>
                  <a:ext cx="368693" cy="354523"/>
                </a:xfrm>
                <a:prstGeom prst="rect">
                  <a:avLst/>
                </a:prstGeom>
              </xdr:spPr>
            </xdr:pic>
            <xdr:sp macro="" textlink="">
              <xdr:nvSpPr>
                <xdr:cNvPr id="100" name="TextBox 99">
                  <a:hlinkClick xmlns:r="http://schemas.openxmlformats.org/officeDocument/2006/relationships" r:id="rId40"/>
                  <a:extLst>
                    <a:ext uri="{FF2B5EF4-FFF2-40B4-BE49-F238E27FC236}">
                      <a16:creationId xmlns:a16="http://schemas.microsoft.com/office/drawing/2014/main" id="{7051CB6E-8DD5-996B-D812-944A3A2A6893}"/>
                    </a:ext>
                  </a:extLst>
                </xdr:cNvPr>
                <xdr:cNvSpPr txBox="1"/>
              </xdr:nvSpPr>
              <xdr:spPr>
                <a:xfrm>
                  <a:off x="6742924" y="369440"/>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EDIT</a:t>
                  </a:r>
                </a:p>
                <a:p>
                  <a:r>
                    <a:rPr lang="en-US" sz="900" b="1">
                      <a:solidFill>
                        <a:schemeClr val="bg1"/>
                      </a:solidFill>
                    </a:rPr>
                    <a:t>CATEGORIES</a:t>
                  </a:r>
                </a:p>
              </xdr:txBody>
            </xdr:sp>
            <xdr:grpSp>
              <xdr:nvGrpSpPr>
                <xdr:cNvPr id="101" name="Group 100">
                  <a:hlinkClick xmlns:r="http://schemas.openxmlformats.org/officeDocument/2006/relationships" r:id="rId42"/>
                  <a:extLst>
                    <a:ext uri="{FF2B5EF4-FFF2-40B4-BE49-F238E27FC236}">
                      <a16:creationId xmlns:a16="http://schemas.microsoft.com/office/drawing/2014/main" id="{5B14A0F7-3443-51D4-3331-E338C70B509F}"/>
                    </a:ext>
                  </a:extLst>
                </xdr:cNvPr>
                <xdr:cNvGrpSpPr/>
              </xdr:nvGrpSpPr>
              <xdr:grpSpPr>
                <a:xfrm>
                  <a:off x="10231249" y="237461"/>
                  <a:ext cx="1281586" cy="502920"/>
                  <a:chOff x="11732389" y="237461"/>
                  <a:chExt cx="1281586" cy="502920"/>
                </a:xfrm>
              </xdr:grpSpPr>
              <xdr:pic>
                <xdr:nvPicPr>
                  <xdr:cNvPr id="102" name="Picture 101">
                    <a:hlinkClick xmlns:r="http://schemas.openxmlformats.org/officeDocument/2006/relationships" r:id="rId43"/>
                    <a:extLst>
                      <a:ext uri="{FF2B5EF4-FFF2-40B4-BE49-F238E27FC236}">
                        <a16:creationId xmlns:a16="http://schemas.microsoft.com/office/drawing/2014/main" id="{5648AE60-92F5-F674-6EA4-26EFB39964FB}"/>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1732389" y="237461"/>
                    <a:ext cx="502920" cy="502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3" name="TextBox 102">
                    <a:hlinkClick xmlns:r="http://schemas.openxmlformats.org/officeDocument/2006/relationships" r:id="rId43"/>
                    <a:extLst>
                      <a:ext uri="{FF2B5EF4-FFF2-40B4-BE49-F238E27FC236}">
                        <a16:creationId xmlns:a16="http://schemas.microsoft.com/office/drawing/2014/main" id="{961CB32E-8E6F-42E3-547C-EB511353BDE0}"/>
                      </a:ext>
                    </a:extLst>
                  </xdr:cNvPr>
                  <xdr:cNvSpPr txBox="1"/>
                </xdr:nvSpPr>
                <xdr:spPr>
                  <a:xfrm>
                    <a:off x="12197209" y="344142"/>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 GAME APPS</a:t>
                    </a:r>
                  </a:p>
                </xdr:txBody>
              </xdr:sp>
            </xdr:grpSp>
          </xdr:grpSp>
          <xdr:grpSp>
            <xdr:nvGrpSpPr>
              <xdr:cNvPr id="62" name="Group 61">
                <a:extLst>
                  <a:ext uri="{FF2B5EF4-FFF2-40B4-BE49-F238E27FC236}">
                    <a16:creationId xmlns:a16="http://schemas.microsoft.com/office/drawing/2014/main" id="{26BD4AA2-8599-99E6-7597-EC1FD040A400}"/>
                  </a:ext>
                </a:extLst>
              </xdr:cNvPr>
              <xdr:cNvGrpSpPr/>
            </xdr:nvGrpSpPr>
            <xdr:grpSpPr>
              <a:xfrm>
                <a:off x="3030070" y="313765"/>
                <a:ext cx="1219410" cy="438976"/>
                <a:chOff x="3030070" y="313765"/>
                <a:chExt cx="1219410" cy="438976"/>
              </a:xfrm>
            </xdr:grpSpPr>
            <xdr:sp macro="" textlink="">
              <xdr:nvSpPr>
                <xdr:cNvPr id="63" name="TextBox 62">
                  <a:hlinkClick xmlns:r="http://schemas.openxmlformats.org/officeDocument/2006/relationships" r:id="rId45"/>
                  <a:extLst>
                    <a:ext uri="{FF2B5EF4-FFF2-40B4-BE49-F238E27FC236}">
                      <a16:creationId xmlns:a16="http://schemas.microsoft.com/office/drawing/2014/main" id="{AF37A1B1-D989-7108-4776-6DC898AA2738}"/>
                    </a:ext>
                  </a:extLst>
                </xdr:cNvPr>
                <xdr:cNvSpPr txBox="1"/>
              </xdr:nvSpPr>
              <xdr:spPr>
                <a:xfrm>
                  <a:off x="3307528" y="313765"/>
                  <a:ext cx="941952" cy="43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BOOK KEEPING</a:t>
                  </a:r>
                </a:p>
                <a:p>
                  <a:pPr algn="ctr"/>
                  <a:r>
                    <a:rPr lang="en-US" sz="900" b="1">
                      <a:solidFill>
                        <a:schemeClr val="bg1"/>
                      </a:solidFill>
                    </a:rPr>
                    <a:t>LEDGER</a:t>
                  </a:r>
                </a:p>
              </xdr:txBody>
            </xdr:sp>
            <xdr:pic>
              <xdr:nvPicPr>
                <xdr:cNvPr id="64" name="Picture 63">
                  <a:hlinkClick xmlns:r="http://schemas.openxmlformats.org/officeDocument/2006/relationships" r:id="rId45"/>
                  <a:extLst>
                    <a:ext uri="{FF2B5EF4-FFF2-40B4-BE49-F238E27FC236}">
                      <a16:creationId xmlns:a16="http://schemas.microsoft.com/office/drawing/2014/main" id="{E2120B98-4EE9-B60A-4920-C2E55516905B}"/>
                    </a:ext>
                  </a:extLst>
                </xdr:cNvPr>
                <xdr:cNvPicPr>
                  <a:picLocks noChangeAspect="1"/>
                </xdr:cNvPicPr>
              </xdr:nvPicPr>
              <xdr:blipFill>
                <a:blip xmlns:r="http://schemas.openxmlformats.org/officeDocument/2006/relationships" r:embed="rId4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0070" y="367554"/>
                  <a:ext cx="327770" cy="349622"/>
                </a:xfrm>
                <a:prstGeom prst="rect">
                  <a:avLst/>
                </a:prstGeom>
              </xdr:spPr>
            </xdr:pic>
          </xdr:grpSp>
        </xdr:grpSp>
        <xdr:grpSp>
          <xdr:nvGrpSpPr>
            <xdr:cNvPr id="58" name="Group 57">
              <a:extLst>
                <a:ext uri="{FF2B5EF4-FFF2-40B4-BE49-F238E27FC236}">
                  <a16:creationId xmlns:a16="http://schemas.microsoft.com/office/drawing/2014/main" id="{5E2E1C35-9DC1-8FAA-C64A-0F746EE23A7B}"/>
                </a:ext>
              </a:extLst>
            </xdr:cNvPr>
            <xdr:cNvGrpSpPr/>
          </xdr:nvGrpSpPr>
          <xdr:grpSpPr>
            <a:xfrm>
              <a:off x="12626340" y="243840"/>
              <a:ext cx="1344125" cy="571500"/>
              <a:chOff x="12626340" y="243840"/>
              <a:chExt cx="1344125" cy="571500"/>
            </a:xfrm>
          </xdr:grpSpPr>
          <xdr:pic>
            <xdr:nvPicPr>
              <xdr:cNvPr id="59" name="Picture 58">
                <a:hlinkClick xmlns:r="http://schemas.openxmlformats.org/officeDocument/2006/relationships" r:id="rId47"/>
                <a:extLst>
                  <a:ext uri="{FF2B5EF4-FFF2-40B4-BE49-F238E27FC236}">
                    <a16:creationId xmlns:a16="http://schemas.microsoft.com/office/drawing/2014/main" id="{59ED5A1D-23E4-F903-B401-CFB4650908D8}"/>
                  </a:ext>
                </a:extLst>
              </xdr:cNvPr>
              <xdr:cNvPicPr>
                <a:picLocks noChangeAspect="1" noChangeArrowheads="1"/>
              </xdr:cNvPicPr>
            </xdr:nvPicPr>
            <xdr:blipFill>
              <a:blip xmlns:r="http://schemas.openxmlformats.org/officeDocument/2006/relationships" r:embed="rId4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26340" y="243840"/>
                <a:ext cx="571500" cy="571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0" name="TextBox 59">
                <a:hlinkClick xmlns:r="http://schemas.openxmlformats.org/officeDocument/2006/relationships" r:id="rId47"/>
                <a:extLst>
                  <a:ext uri="{FF2B5EF4-FFF2-40B4-BE49-F238E27FC236}">
                    <a16:creationId xmlns:a16="http://schemas.microsoft.com/office/drawing/2014/main" id="{7DB2A0DA-C71F-63B4-0463-C57B9773D668}"/>
                  </a:ext>
                </a:extLst>
              </xdr:cNvPr>
              <xdr:cNvSpPr txBox="1"/>
            </xdr:nvSpPr>
            <xdr:spPr>
              <a:xfrm>
                <a:off x="13129260" y="327660"/>
                <a:ext cx="841205" cy="4000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TRAVEL</a:t>
                </a:r>
              </a:p>
              <a:p>
                <a:pPr algn="ctr"/>
                <a:r>
                  <a:rPr lang="en-US" sz="900" b="1">
                    <a:solidFill>
                      <a:schemeClr val="bg1"/>
                    </a:solidFill>
                  </a:rPr>
                  <a:t>SANDBOX</a:t>
                </a:r>
              </a:p>
            </xdr:txBody>
          </xdr:sp>
        </xdr:grpSp>
      </xdr:grpSp>
      <xdr:pic>
        <xdr:nvPicPr>
          <xdr:cNvPr id="56" name="Picture 55">
            <a:hlinkClick xmlns:r="http://schemas.openxmlformats.org/officeDocument/2006/relationships" r:id="rId15"/>
            <a:extLst>
              <a:ext uri="{FF2B5EF4-FFF2-40B4-BE49-F238E27FC236}">
                <a16:creationId xmlns:a16="http://schemas.microsoft.com/office/drawing/2014/main" id="{A334C9F9-E4CC-AED5-FB14-F05802D47614}"/>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6134100" y="30480"/>
            <a:ext cx="234698" cy="246078"/>
          </a:xfrm>
          <a:prstGeom prst="rect">
            <a:avLst/>
          </a:prstGeom>
          <a:solidFill>
            <a:srgbClr val="7FA6C7"/>
          </a:solidFill>
        </xdr:spPr>
      </xdr:pic>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152400</xdr:colOff>
      <xdr:row>30</xdr:row>
      <xdr:rowOff>28575</xdr:rowOff>
    </xdr:from>
    <xdr:to>
      <xdr:col>40</xdr:col>
      <xdr:colOff>152400</xdr:colOff>
      <xdr:row>36</xdr:row>
      <xdr:rowOff>161925</xdr:rowOff>
    </xdr:to>
    <xdr:graphicFrame macro="">
      <xdr:nvGraphicFramePr>
        <xdr:cNvPr id="6" name="Chart 5">
          <a:extLst>
            <a:ext uri="{FF2B5EF4-FFF2-40B4-BE49-F238E27FC236}">
              <a16:creationId xmlns:a16="http://schemas.microsoft.com/office/drawing/2014/main" id="{10E9169A-AD56-4043-8D9C-A855EE7E74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19</xdr:row>
      <xdr:rowOff>0</xdr:rowOff>
    </xdr:from>
    <xdr:to>
      <xdr:col>40</xdr:col>
      <xdr:colOff>104775</xdr:colOff>
      <xdr:row>28</xdr:row>
      <xdr:rowOff>0</xdr:rowOff>
    </xdr:to>
    <xdr:graphicFrame macro="">
      <xdr:nvGraphicFramePr>
        <xdr:cNvPr id="9" name="Diagramm 12">
          <a:extLst>
            <a:ext uri="{FF2B5EF4-FFF2-40B4-BE49-F238E27FC236}">
              <a16:creationId xmlns:a16="http://schemas.microsoft.com/office/drawing/2014/main" id="{9C013423-5F76-4F5C-B828-8FC1FBA89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152400</xdr:colOff>
      <xdr:row>38</xdr:row>
      <xdr:rowOff>28574</xdr:rowOff>
    </xdr:from>
    <xdr:to>
      <xdr:col>40</xdr:col>
      <xdr:colOff>152400</xdr:colOff>
      <xdr:row>44</xdr:row>
      <xdr:rowOff>161162</xdr:rowOff>
    </xdr:to>
    <xdr:graphicFrame macro="">
      <xdr:nvGraphicFramePr>
        <xdr:cNvPr id="2" name="Chart 1">
          <a:extLst>
            <a:ext uri="{FF2B5EF4-FFF2-40B4-BE49-F238E27FC236}">
              <a16:creationId xmlns:a16="http://schemas.microsoft.com/office/drawing/2014/main" id="{F224E0F8-2279-48A6-96B0-FE0CED5D2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152400</xdr:colOff>
      <xdr:row>46</xdr:row>
      <xdr:rowOff>28574</xdr:rowOff>
    </xdr:from>
    <xdr:to>
      <xdr:col>40</xdr:col>
      <xdr:colOff>152400</xdr:colOff>
      <xdr:row>52</xdr:row>
      <xdr:rowOff>161162</xdr:rowOff>
    </xdr:to>
    <xdr:graphicFrame macro="">
      <xdr:nvGraphicFramePr>
        <xdr:cNvPr id="3" name="Chart 2">
          <a:extLst>
            <a:ext uri="{FF2B5EF4-FFF2-40B4-BE49-F238E27FC236}">
              <a16:creationId xmlns:a16="http://schemas.microsoft.com/office/drawing/2014/main" id="{C83822E0-BE1B-4A21-BCEE-1E7697300D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0</xdr:row>
      <xdr:rowOff>0</xdr:rowOff>
    </xdr:from>
    <xdr:to>
      <xdr:col>49</xdr:col>
      <xdr:colOff>190257</xdr:colOff>
      <xdr:row>3</xdr:row>
      <xdr:rowOff>0</xdr:rowOff>
    </xdr:to>
    <xdr:grpSp>
      <xdr:nvGrpSpPr>
        <xdr:cNvPr id="54" name="Group 53">
          <a:extLst>
            <a:ext uri="{FF2B5EF4-FFF2-40B4-BE49-F238E27FC236}">
              <a16:creationId xmlns:a16="http://schemas.microsoft.com/office/drawing/2014/main" id="{9CC97043-1ADF-4C53-BFAB-1C20DDD3C47E}"/>
            </a:ext>
          </a:extLst>
        </xdr:cNvPr>
        <xdr:cNvGrpSpPr/>
      </xdr:nvGrpSpPr>
      <xdr:grpSpPr>
        <a:xfrm>
          <a:off x="990600" y="0"/>
          <a:ext cx="11894577" cy="815340"/>
          <a:chOff x="2194560" y="0"/>
          <a:chExt cx="11894577" cy="815340"/>
        </a:xfrm>
      </xdr:grpSpPr>
      <xdr:grpSp>
        <xdr:nvGrpSpPr>
          <xdr:cNvPr id="55" name="Group 54">
            <a:extLst>
              <a:ext uri="{FF2B5EF4-FFF2-40B4-BE49-F238E27FC236}">
                <a16:creationId xmlns:a16="http://schemas.microsoft.com/office/drawing/2014/main" id="{639E15BF-3AC2-A040-83B8-4FA047D8334B}"/>
              </a:ext>
            </a:extLst>
          </xdr:cNvPr>
          <xdr:cNvGrpSpPr/>
        </xdr:nvGrpSpPr>
        <xdr:grpSpPr>
          <a:xfrm>
            <a:off x="2194560" y="0"/>
            <a:ext cx="11894577" cy="815340"/>
            <a:chOff x="2194560" y="0"/>
            <a:chExt cx="11894577" cy="815340"/>
          </a:xfrm>
        </xdr:grpSpPr>
        <xdr:grpSp>
          <xdr:nvGrpSpPr>
            <xdr:cNvPr id="57" name="Group 56">
              <a:extLst>
                <a:ext uri="{FF2B5EF4-FFF2-40B4-BE49-F238E27FC236}">
                  <a16:creationId xmlns:a16="http://schemas.microsoft.com/office/drawing/2014/main" id="{D6AEFECF-AF6D-213B-3915-1816FA5780DF}"/>
                </a:ext>
              </a:extLst>
            </xdr:cNvPr>
            <xdr:cNvGrpSpPr/>
          </xdr:nvGrpSpPr>
          <xdr:grpSpPr>
            <a:xfrm>
              <a:off x="2194560" y="0"/>
              <a:ext cx="11894577" cy="773812"/>
              <a:chOff x="2160046" y="0"/>
              <a:chExt cx="11894577" cy="773812"/>
            </a:xfrm>
          </xdr:grpSpPr>
          <xdr:grpSp>
            <xdr:nvGrpSpPr>
              <xdr:cNvPr id="61" name="Group 60">
                <a:extLst>
                  <a:ext uri="{FF2B5EF4-FFF2-40B4-BE49-F238E27FC236}">
                    <a16:creationId xmlns:a16="http://schemas.microsoft.com/office/drawing/2014/main" id="{4223D05A-1E44-DAB7-3755-8769464EE5CC}"/>
                  </a:ext>
                </a:extLst>
              </xdr:cNvPr>
              <xdr:cNvGrpSpPr/>
            </xdr:nvGrpSpPr>
            <xdr:grpSpPr>
              <a:xfrm>
                <a:off x="2160046" y="0"/>
                <a:ext cx="11894577" cy="773812"/>
                <a:chOff x="1310640" y="0"/>
                <a:chExt cx="11549013" cy="764847"/>
              </a:xfrm>
            </xdr:grpSpPr>
            <xdr:pic>
              <xdr:nvPicPr>
                <xdr:cNvPr id="65" name="Picture 64">
                  <a:hlinkClick xmlns:r="http://schemas.openxmlformats.org/officeDocument/2006/relationships" r:id="rId5"/>
                  <a:extLst>
                    <a:ext uri="{FF2B5EF4-FFF2-40B4-BE49-F238E27FC236}">
                      <a16:creationId xmlns:a16="http://schemas.microsoft.com/office/drawing/2014/main" id="{C29C9F6E-F038-777A-0A5B-980C1B0368C1}"/>
                    </a:ext>
                  </a:extLst>
                </xdr:cNvPr>
                <xdr:cNvPicPr>
                  <a:picLocks/>
                </xdr:cNvPicPr>
              </xdr:nvPicPr>
              <xdr:blipFill>
                <a:blip xmlns:r="http://schemas.openxmlformats.org/officeDocument/2006/relationships" r:embed="rId6" cstate="print">
                  <a:alphaModFix/>
                  <a:extLst>
                    <a:ext uri="{28A0092B-C50C-407E-A947-70E740481C1C}">
                      <a14:useLocalDpi xmlns:a14="http://schemas.microsoft.com/office/drawing/2010/main" val="0"/>
                    </a:ext>
                  </a:extLst>
                </a:blip>
                <a:srcRect/>
                <a:stretch/>
              </xdr:blipFill>
              <xdr:spPr>
                <a:xfrm>
                  <a:off x="1310640" y="46180"/>
                  <a:ext cx="499211" cy="554546"/>
                </a:xfrm>
                <a:prstGeom prst="rect">
                  <a:avLst/>
                </a:prstGeom>
              </xdr:spPr>
            </xdr:pic>
            <xdr:pic>
              <xdr:nvPicPr>
                <xdr:cNvPr id="66" name="Picture 65">
                  <a:hlinkClick xmlns:r="http://schemas.openxmlformats.org/officeDocument/2006/relationships" r:id="rId7"/>
                  <a:extLst>
                    <a:ext uri="{FF2B5EF4-FFF2-40B4-BE49-F238E27FC236}">
                      <a16:creationId xmlns:a16="http://schemas.microsoft.com/office/drawing/2014/main" id="{2117741C-6E58-85F0-4910-8F2D087CFEF9}"/>
                    </a:ext>
                  </a:extLst>
                </xdr:cNvPr>
                <xdr:cNvPicPr>
                  <a:picLocks noChangeAspect="1" noChangeArrowheads="1"/>
                </xdr:cNvPicPr>
              </xdr:nvPicPr>
              <xdr:blipFill>
                <a:blip xmlns:r="http://schemas.openxmlformats.org/officeDocument/2006/relationships" r:embed="rId8" cstate="print">
                  <a:alphaModFix/>
                  <a:extLst>
                    <a:ext uri="{28A0092B-C50C-407E-A947-70E740481C1C}">
                      <a14:useLocalDpi xmlns:a14="http://schemas.microsoft.com/office/drawing/2010/main" val="0"/>
                    </a:ext>
                  </a:extLst>
                </a:blip>
                <a:srcRect/>
                <a:stretch>
                  <a:fillRect/>
                </a:stretch>
              </xdr:blipFill>
              <xdr:spPr bwMode="auto">
                <a:xfrm>
                  <a:off x="2163693" y="30823"/>
                  <a:ext cx="214188" cy="2260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7" name="TextBox 66">
                  <a:hlinkClick xmlns:r="http://schemas.openxmlformats.org/officeDocument/2006/relationships" r:id="rId7"/>
                  <a:extLst>
                    <a:ext uri="{FF2B5EF4-FFF2-40B4-BE49-F238E27FC236}">
                      <a16:creationId xmlns:a16="http://schemas.microsoft.com/office/drawing/2014/main" id="{41B40688-8024-6762-AF7B-F7306776B948}"/>
                    </a:ext>
                  </a:extLst>
                </xdr:cNvPr>
                <xdr:cNvSpPr txBox="1"/>
              </xdr:nvSpPr>
              <xdr:spPr>
                <a:xfrm>
                  <a:off x="2369194" y="17046"/>
                  <a:ext cx="846446" cy="25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US" sz="900" b="1">
                      <a:solidFill>
                        <a:schemeClr val="bg1"/>
                      </a:solidFill>
                    </a:rPr>
                    <a:t>DASHBOARD</a:t>
                  </a:r>
                </a:p>
              </xdr:txBody>
            </xdr:sp>
            <xdr:pic>
              <xdr:nvPicPr>
                <xdr:cNvPr id="68" name="Picture 67">
                  <a:hlinkClick xmlns:r="http://schemas.openxmlformats.org/officeDocument/2006/relationships" r:id="rId9"/>
                  <a:extLst>
                    <a:ext uri="{FF2B5EF4-FFF2-40B4-BE49-F238E27FC236}">
                      <a16:creationId xmlns:a16="http://schemas.microsoft.com/office/drawing/2014/main" id="{A861A834-CD54-2098-F3BD-DC71B8656448}"/>
                    </a:ext>
                  </a:extLst>
                </xdr:cNvPr>
                <xdr:cNvPicPr>
                  <a:picLocks noChangeAspect="1" noChangeArrowheads="1"/>
                </xdr:cNvPicPr>
              </xdr:nvPicPr>
              <xdr:blipFill>
                <a:blip xmlns:r="http://schemas.openxmlformats.org/officeDocument/2006/relationships" r:embed="rId10" cstate="print">
                  <a:alphaModFix/>
                  <a:extLst>
                    <a:ext uri="{28A0092B-C50C-407E-A947-70E740481C1C}">
                      <a14:useLocalDpi xmlns:a14="http://schemas.microsoft.com/office/drawing/2010/main" val="0"/>
                    </a:ext>
                  </a:extLst>
                </a:blip>
                <a:srcRect/>
                <a:stretch>
                  <a:fillRect/>
                </a:stretch>
              </xdr:blipFill>
              <xdr:spPr bwMode="auto">
                <a:xfrm>
                  <a:off x="8461655" y="433462"/>
                  <a:ext cx="214188" cy="20819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9" name="TextBox 68">
                  <a:hlinkClick xmlns:r="http://schemas.openxmlformats.org/officeDocument/2006/relationships" r:id="rId9"/>
                  <a:extLst>
                    <a:ext uri="{FF2B5EF4-FFF2-40B4-BE49-F238E27FC236}">
                      <a16:creationId xmlns:a16="http://schemas.microsoft.com/office/drawing/2014/main" id="{F26B2D05-B6D0-25D1-BE5D-CFBEB6BA6A51}"/>
                    </a:ext>
                  </a:extLst>
                </xdr:cNvPr>
                <xdr:cNvSpPr txBox="1"/>
              </xdr:nvSpPr>
              <xdr:spPr>
                <a:xfrm>
                  <a:off x="8647283" y="413913"/>
                  <a:ext cx="56836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REPORTS</a:t>
                  </a:r>
                </a:p>
              </xdr:txBody>
            </xdr:sp>
            <xdr:pic>
              <xdr:nvPicPr>
                <xdr:cNvPr id="70" name="Picture 69">
                  <a:hlinkClick xmlns:r="http://schemas.openxmlformats.org/officeDocument/2006/relationships" r:id="rId11"/>
                  <a:extLst>
                    <a:ext uri="{FF2B5EF4-FFF2-40B4-BE49-F238E27FC236}">
                      <a16:creationId xmlns:a16="http://schemas.microsoft.com/office/drawing/2014/main" id="{0EBA839A-334B-7A28-61A0-3D66969514FE}"/>
                    </a:ext>
                  </a:extLst>
                </xdr:cNvPr>
                <xdr:cNvPicPr>
                  <a:picLocks noChangeAspect="1"/>
                </xdr:cNvPicPr>
              </xdr:nvPicPr>
              <xdr:blipFill>
                <a:blip xmlns:r="http://schemas.openxmlformats.org/officeDocument/2006/relationships" r:embed="rId12" cstate="print">
                  <a:alphaModFix/>
                  <a:extLst>
                    <a:ext uri="{28A0092B-C50C-407E-A947-70E740481C1C}">
                      <a14:useLocalDpi xmlns:a14="http://schemas.microsoft.com/office/drawing/2010/main" val="0"/>
                    </a:ext>
                  </a:extLst>
                </a:blip>
                <a:stretch>
                  <a:fillRect/>
                </a:stretch>
              </xdr:blipFill>
              <xdr:spPr>
                <a:xfrm>
                  <a:off x="6903860" y="19549"/>
                  <a:ext cx="214187" cy="248554"/>
                </a:xfrm>
                <a:prstGeom prst="rect">
                  <a:avLst/>
                </a:prstGeom>
              </xdr:spPr>
            </xdr:pic>
            <xdr:sp macro="" textlink="">
              <xdr:nvSpPr>
                <xdr:cNvPr id="71" name="TextBox 70">
                  <a:hlinkClick xmlns:r="http://schemas.openxmlformats.org/officeDocument/2006/relationships" r:id="rId11"/>
                  <a:extLst>
                    <a:ext uri="{FF2B5EF4-FFF2-40B4-BE49-F238E27FC236}">
                      <a16:creationId xmlns:a16="http://schemas.microsoft.com/office/drawing/2014/main" id="{C9B30F44-DE9D-9ABE-7D12-105BF1CDED83}"/>
                    </a:ext>
                  </a:extLst>
                </xdr:cNvPr>
                <xdr:cNvSpPr txBox="1"/>
              </xdr:nvSpPr>
              <xdr:spPr>
                <a:xfrm>
                  <a:off x="7099062" y="0"/>
                  <a:ext cx="67589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MORTGAGE</a:t>
                  </a:r>
                </a:p>
              </xdr:txBody>
            </xdr:sp>
            <xdr:sp macro="" textlink="">
              <xdr:nvSpPr>
                <xdr:cNvPr id="72" name="TextBox 71">
                  <a:hlinkClick xmlns:r="http://schemas.openxmlformats.org/officeDocument/2006/relationships" r:id="rId13"/>
                  <a:extLst>
                    <a:ext uri="{FF2B5EF4-FFF2-40B4-BE49-F238E27FC236}">
                      <a16:creationId xmlns:a16="http://schemas.microsoft.com/office/drawing/2014/main" id="{DF1CFF02-6AF6-2B6E-76EA-482C218A71E4}"/>
                    </a:ext>
                  </a:extLst>
                </xdr:cNvPr>
                <xdr:cNvSpPr txBox="1"/>
              </xdr:nvSpPr>
              <xdr:spPr>
                <a:xfrm>
                  <a:off x="6375474" y="0"/>
                  <a:ext cx="381400"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DEBT</a:t>
                  </a:r>
                </a:p>
              </xdr:txBody>
            </xdr:sp>
            <xdr:pic>
              <xdr:nvPicPr>
                <xdr:cNvPr id="73" name="Picture 72">
                  <a:hlinkClick xmlns:r="http://schemas.openxmlformats.org/officeDocument/2006/relationships" r:id="rId13"/>
                  <a:extLst>
                    <a:ext uri="{FF2B5EF4-FFF2-40B4-BE49-F238E27FC236}">
                      <a16:creationId xmlns:a16="http://schemas.microsoft.com/office/drawing/2014/main" id="{95275AD6-4011-D97E-A57F-8EC3837F448C}"/>
                    </a:ext>
                  </a:extLst>
                </xdr:cNvPr>
                <xdr:cNvPicPr>
                  <a:picLocks noChangeAspect="1"/>
                </xdr:cNvPicPr>
              </xdr:nvPicPr>
              <xdr:blipFill>
                <a:blip xmlns:r="http://schemas.openxmlformats.org/officeDocument/2006/relationships" r:embed="rId14" cstate="print">
                  <a:alphaModFix/>
                  <a:extLst>
                    <a:ext uri="{28A0092B-C50C-407E-A947-70E740481C1C}">
                      <a14:useLocalDpi xmlns:a14="http://schemas.microsoft.com/office/drawing/2010/main" val="0"/>
                    </a:ext>
                  </a:extLst>
                </a:blip>
                <a:stretch>
                  <a:fillRect/>
                </a:stretch>
              </xdr:blipFill>
              <xdr:spPr>
                <a:xfrm>
                  <a:off x="6158378" y="19549"/>
                  <a:ext cx="214188" cy="248554"/>
                </a:xfrm>
                <a:prstGeom prst="rect">
                  <a:avLst/>
                </a:prstGeom>
              </xdr:spPr>
            </xdr:pic>
            <xdr:sp macro="" textlink="">
              <xdr:nvSpPr>
                <xdr:cNvPr id="74" name="TextBox 73">
                  <a:hlinkClick xmlns:r="http://schemas.openxmlformats.org/officeDocument/2006/relationships" r:id="rId15"/>
                  <a:extLst>
                    <a:ext uri="{FF2B5EF4-FFF2-40B4-BE49-F238E27FC236}">
                      <a16:creationId xmlns:a16="http://schemas.microsoft.com/office/drawing/2014/main" id="{FB86F572-7213-BC39-951A-70DF2818B473}"/>
                    </a:ext>
                  </a:extLst>
                </xdr:cNvPr>
                <xdr:cNvSpPr txBox="1"/>
              </xdr:nvSpPr>
              <xdr:spPr>
                <a:xfrm>
                  <a:off x="5370816" y="37659"/>
                  <a:ext cx="64057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FORECASTS</a:t>
                  </a:r>
                </a:p>
              </xdr:txBody>
            </xdr:sp>
            <xdr:sp macro="" textlink="">
              <xdr:nvSpPr>
                <xdr:cNvPr id="75" name="TextBox 74">
                  <a:hlinkClick xmlns:r="http://schemas.openxmlformats.org/officeDocument/2006/relationships" r:id="rId16"/>
                  <a:extLst>
                    <a:ext uri="{FF2B5EF4-FFF2-40B4-BE49-F238E27FC236}">
                      <a16:creationId xmlns:a16="http://schemas.microsoft.com/office/drawing/2014/main" id="{A29E82AD-47AF-94DA-816E-E20F5274D572}"/>
                    </a:ext>
                  </a:extLst>
                </xdr:cNvPr>
                <xdr:cNvSpPr txBox="1"/>
              </xdr:nvSpPr>
              <xdr:spPr>
                <a:xfrm>
                  <a:off x="8104032" y="0"/>
                  <a:ext cx="7732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a:t>
                  </a:r>
                  <a:r>
                    <a:rPr lang="en-US" sz="900" b="1" baseline="0">
                      <a:solidFill>
                        <a:schemeClr val="bg1"/>
                      </a:solidFill>
                    </a:rPr>
                    <a:t> (M)</a:t>
                  </a:r>
                  <a:endParaRPr lang="en-US" sz="900" b="1">
                    <a:solidFill>
                      <a:schemeClr val="bg1"/>
                    </a:solidFill>
                  </a:endParaRPr>
                </a:p>
              </xdr:txBody>
            </xdr:sp>
            <xdr:pic>
              <xdr:nvPicPr>
                <xdr:cNvPr id="76" name="Picture 75">
                  <a:hlinkClick xmlns:r="http://schemas.openxmlformats.org/officeDocument/2006/relationships" r:id="rId16"/>
                  <a:extLst>
                    <a:ext uri="{FF2B5EF4-FFF2-40B4-BE49-F238E27FC236}">
                      <a16:creationId xmlns:a16="http://schemas.microsoft.com/office/drawing/2014/main" id="{B1C784EE-5F9B-0149-96F7-A0D51A35F5BC}"/>
                    </a:ext>
                  </a:extLst>
                </xdr:cNvPr>
                <xdr:cNvPicPr>
                  <a:picLocks noChangeAspect="1"/>
                </xdr:cNvPicPr>
              </xdr:nvPicPr>
              <xdr:blipFill>
                <a:blip xmlns:r="http://schemas.openxmlformats.org/officeDocument/2006/relationships" r:embed="rId17" cstate="print">
                  <a:alphaModFix/>
                  <a:extLst>
                    <a:ext uri="{28A0092B-C50C-407E-A947-70E740481C1C}">
                      <a14:useLocalDpi xmlns:a14="http://schemas.microsoft.com/office/drawing/2010/main" val="0"/>
                    </a:ext>
                  </a:extLst>
                </a:blip>
                <a:stretch>
                  <a:fillRect/>
                </a:stretch>
              </xdr:blipFill>
              <xdr:spPr>
                <a:xfrm>
                  <a:off x="7921943" y="19549"/>
                  <a:ext cx="214188" cy="248554"/>
                </a:xfrm>
                <a:prstGeom prst="rect">
                  <a:avLst/>
                </a:prstGeom>
              </xdr:spPr>
            </xdr:pic>
            <xdr:sp macro="" textlink="">
              <xdr:nvSpPr>
                <xdr:cNvPr id="77" name="TextBox 76">
                  <a:hlinkClick xmlns:r="http://schemas.openxmlformats.org/officeDocument/2006/relationships" r:id="rId18"/>
                  <a:extLst>
                    <a:ext uri="{FF2B5EF4-FFF2-40B4-BE49-F238E27FC236}">
                      <a16:creationId xmlns:a16="http://schemas.microsoft.com/office/drawing/2014/main" id="{7B5E3F17-494E-A63D-64D7-F9F91A70E4F7}"/>
                    </a:ext>
                  </a:extLst>
                </xdr:cNvPr>
                <xdr:cNvSpPr txBox="1"/>
              </xdr:nvSpPr>
              <xdr:spPr>
                <a:xfrm>
                  <a:off x="9978309" y="0"/>
                  <a:ext cx="687187"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 (Y)</a:t>
                  </a:r>
                </a:p>
              </xdr:txBody>
            </xdr:sp>
            <xdr:pic>
              <xdr:nvPicPr>
                <xdr:cNvPr id="78" name="Picture 77">
                  <a:hlinkClick xmlns:r="http://schemas.openxmlformats.org/officeDocument/2006/relationships" r:id="rId18"/>
                  <a:extLst>
                    <a:ext uri="{FF2B5EF4-FFF2-40B4-BE49-F238E27FC236}">
                      <a16:creationId xmlns:a16="http://schemas.microsoft.com/office/drawing/2014/main" id="{069FEF2A-9A2D-0574-6DCF-EDC99CA4AC39}"/>
                    </a:ext>
                  </a:extLst>
                </xdr:cNvPr>
                <xdr:cNvPicPr>
                  <a:picLocks noChangeAspect="1"/>
                </xdr:cNvPicPr>
              </xdr:nvPicPr>
              <xdr:blipFill>
                <a:blip xmlns:r="http://schemas.openxmlformats.org/officeDocument/2006/relationships" r:embed="rId19" cstate="print">
                  <a:alphaModFix/>
                  <a:extLst>
                    <a:ext uri="{28A0092B-C50C-407E-A947-70E740481C1C}">
                      <a14:useLocalDpi xmlns:a14="http://schemas.microsoft.com/office/drawing/2010/main" val="0"/>
                    </a:ext>
                  </a:extLst>
                </a:blip>
                <a:stretch>
                  <a:fillRect/>
                </a:stretch>
              </xdr:blipFill>
              <xdr:spPr>
                <a:xfrm>
                  <a:off x="9777770" y="19549"/>
                  <a:ext cx="214188" cy="248554"/>
                </a:xfrm>
                <a:prstGeom prst="rect">
                  <a:avLst/>
                </a:prstGeom>
              </xdr:spPr>
            </xdr:pic>
            <xdr:sp macro="" textlink="">
              <xdr:nvSpPr>
                <xdr:cNvPr id="79" name="TextBox 78">
                  <a:hlinkClick xmlns:r="http://schemas.openxmlformats.org/officeDocument/2006/relationships" r:id="rId20"/>
                  <a:extLst>
                    <a:ext uri="{FF2B5EF4-FFF2-40B4-BE49-F238E27FC236}">
                      <a16:creationId xmlns:a16="http://schemas.microsoft.com/office/drawing/2014/main" id="{6D611C60-46C5-0948-AC0C-9EEAA92594DE}"/>
                    </a:ext>
                  </a:extLst>
                </xdr:cNvPr>
                <xdr:cNvSpPr txBox="1"/>
              </xdr:nvSpPr>
              <xdr:spPr>
                <a:xfrm>
                  <a:off x="9133984" y="0"/>
                  <a:ext cx="49680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VERSUS</a:t>
                  </a:r>
                </a:p>
              </xdr:txBody>
            </xdr:sp>
            <xdr:pic>
              <xdr:nvPicPr>
                <xdr:cNvPr id="80" name="Picture 79">
                  <a:hlinkClick xmlns:r="http://schemas.openxmlformats.org/officeDocument/2006/relationships" r:id="rId20"/>
                  <a:extLst>
                    <a:ext uri="{FF2B5EF4-FFF2-40B4-BE49-F238E27FC236}">
                      <a16:creationId xmlns:a16="http://schemas.microsoft.com/office/drawing/2014/main" id="{0B0C62BB-0643-9C00-0238-F1E1ECDC9920}"/>
                    </a:ext>
                  </a:extLst>
                </xdr:cNvPr>
                <xdr:cNvPicPr>
                  <a:picLocks noChangeAspect="1"/>
                </xdr:cNvPicPr>
              </xdr:nvPicPr>
              <xdr:blipFill>
                <a:blip xmlns:r="http://schemas.openxmlformats.org/officeDocument/2006/relationships" r:embed="rId21" cstate="print">
                  <a:alphaModFix/>
                  <a:extLst>
                    <a:ext uri="{28A0092B-C50C-407E-A947-70E740481C1C}">
                      <a14:useLocalDpi xmlns:a14="http://schemas.microsoft.com/office/drawing/2010/main" val="0"/>
                    </a:ext>
                  </a:extLst>
                </a:blip>
                <a:stretch>
                  <a:fillRect/>
                </a:stretch>
              </xdr:blipFill>
              <xdr:spPr>
                <a:xfrm>
                  <a:off x="8938203" y="19549"/>
                  <a:ext cx="214187" cy="248554"/>
                </a:xfrm>
                <a:prstGeom prst="rect">
                  <a:avLst/>
                </a:prstGeom>
              </xdr:spPr>
            </xdr:pic>
            <xdr:sp macro="" textlink="">
              <xdr:nvSpPr>
                <xdr:cNvPr id="81" name="TextBox 80">
                  <a:hlinkClick xmlns:r="http://schemas.openxmlformats.org/officeDocument/2006/relationships" r:id="rId22"/>
                  <a:extLst>
                    <a:ext uri="{FF2B5EF4-FFF2-40B4-BE49-F238E27FC236}">
                      <a16:creationId xmlns:a16="http://schemas.microsoft.com/office/drawing/2014/main" id="{45FE3773-2F7F-4605-A060-0AA2EA1F746F}"/>
                    </a:ext>
                  </a:extLst>
                </xdr:cNvPr>
                <xdr:cNvSpPr txBox="1"/>
              </xdr:nvSpPr>
              <xdr:spPr>
                <a:xfrm>
                  <a:off x="3510385" y="0"/>
                  <a:ext cx="52312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REPAIRS</a:t>
                  </a:r>
                </a:p>
              </xdr:txBody>
            </xdr:sp>
            <xdr:pic>
              <xdr:nvPicPr>
                <xdr:cNvPr id="82" name="Picture 81">
                  <a:hlinkClick xmlns:r="http://schemas.openxmlformats.org/officeDocument/2006/relationships" r:id="rId22"/>
                  <a:extLst>
                    <a:ext uri="{FF2B5EF4-FFF2-40B4-BE49-F238E27FC236}">
                      <a16:creationId xmlns:a16="http://schemas.microsoft.com/office/drawing/2014/main" id="{44919227-24CB-83A4-F5F2-E640992003C8}"/>
                    </a:ext>
                  </a:extLst>
                </xdr:cNvPr>
                <xdr:cNvPicPr>
                  <a:picLocks noChangeAspect="1"/>
                </xdr:cNvPicPr>
              </xdr:nvPicPr>
              <xdr:blipFill>
                <a:blip xmlns:r="http://schemas.openxmlformats.org/officeDocument/2006/relationships" r:embed="rId23" cstate="print">
                  <a:alphaModFix/>
                  <a:extLst>
                    <a:ext uri="{28A0092B-C50C-407E-A947-70E740481C1C}">
                      <a14:useLocalDpi xmlns:a14="http://schemas.microsoft.com/office/drawing/2010/main" val="0"/>
                    </a:ext>
                  </a:extLst>
                </a:blip>
                <a:stretch>
                  <a:fillRect/>
                </a:stretch>
              </xdr:blipFill>
              <xdr:spPr>
                <a:xfrm>
                  <a:off x="3296296" y="28376"/>
                  <a:ext cx="214435" cy="230900"/>
                </a:xfrm>
                <a:prstGeom prst="rect">
                  <a:avLst/>
                </a:prstGeom>
              </xdr:spPr>
            </xdr:pic>
            <xdr:sp macro="" textlink="">
              <xdr:nvSpPr>
                <xdr:cNvPr id="83" name="TextBox 82">
                  <a:hlinkClick xmlns:r="http://schemas.openxmlformats.org/officeDocument/2006/relationships" r:id="rId24"/>
                  <a:extLst>
                    <a:ext uri="{FF2B5EF4-FFF2-40B4-BE49-F238E27FC236}">
                      <a16:creationId xmlns:a16="http://schemas.microsoft.com/office/drawing/2014/main" id="{F21A6431-509F-1503-0BAF-B0EF8F99D2E4}"/>
                    </a:ext>
                  </a:extLst>
                </xdr:cNvPr>
                <xdr:cNvSpPr txBox="1"/>
              </xdr:nvSpPr>
              <xdr:spPr>
                <a:xfrm>
                  <a:off x="4388587" y="0"/>
                  <a:ext cx="63170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FURNITURE</a:t>
                  </a:r>
                </a:p>
              </xdr:txBody>
            </xdr:sp>
            <xdr:pic>
              <xdr:nvPicPr>
                <xdr:cNvPr id="84" name="Picture 83">
                  <a:hlinkClick xmlns:r="http://schemas.openxmlformats.org/officeDocument/2006/relationships" r:id="rId24"/>
                  <a:extLst>
                    <a:ext uri="{FF2B5EF4-FFF2-40B4-BE49-F238E27FC236}">
                      <a16:creationId xmlns:a16="http://schemas.microsoft.com/office/drawing/2014/main" id="{577586D5-1768-9A6E-F4CD-801D6B275D80}"/>
                    </a:ext>
                  </a:extLst>
                </xdr:cNvPr>
                <xdr:cNvPicPr>
                  <a:picLocks noChangeAspect="1"/>
                </xdr:cNvPicPr>
              </xdr:nvPicPr>
              <xdr:blipFill>
                <a:blip xmlns:r="http://schemas.openxmlformats.org/officeDocument/2006/relationships" r:embed="rId25" cstate="print">
                  <a:alphaModFix/>
                  <a:extLst>
                    <a:ext uri="{28A0092B-C50C-407E-A947-70E740481C1C}">
                      <a14:useLocalDpi xmlns:a14="http://schemas.microsoft.com/office/drawing/2010/main" val="0"/>
                    </a:ext>
                  </a:extLst>
                </a:blip>
                <a:stretch>
                  <a:fillRect/>
                </a:stretch>
              </xdr:blipFill>
              <xdr:spPr>
                <a:xfrm>
                  <a:off x="4180491" y="28376"/>
                  <a:ext cx="214435" cy="230900"/>
                </a:xfrm>
                <a:prstGeom prst="rect">
                  <a:avLst/>
                </a:prstGeom>
              </xdr:spPr>
            </xdr:pic>
            <xdr:pic>
              <xdr:nvPicPr>
                <xdr:cNvPr id="85" name="Picture 84">
                  <a:hlinkClick xmlns:r="http://schemas.openxmlformats.org/officeDocument/2006/relationships" r:id="rId26"/>
                  <a:extLst>
                    <a:ext uri="{FF2B5EF4-FFF2-40B4-BE49-F238E27FC236}">
                      <a16:creationId xmlns:a16="http://schemas.microsoft.com/office/drawing/2014/main" id="{0B2EFD2C-BD67-CF56-49D5-9198F6080BDE}"/>
                    </a:ext>
                  </a:extLst>
                </xdr:cNvPr>
                <xdr:cNvPicPr>
                  <a:picLocks noChangeAspect="1"/>
                </xdr:cNvPicPr>
              </xdr:nvPicPr>
              <xdr:blipFill>
                <a:blip xmlns:r="http://schemas.openxmlformats.org/officeDocument/2006/relationships" r:embed="rId27" cstate="print">
                  <a:alphaModFix/>
                  <a:extLst>
                    <a:ext uri="{28A0092B-C50C-407E-A947-70E740481C1C}">
                      <a14:useLocalDpi xmlns:a14="http://schemas.microsoft.com/office/drawing/2010/main" val="0"/>
                    </a:ext>
                  </a:extLst>
                </a:blip>
                <a:stretch>
                  <a:fillRect/>
                </a:stretch>
              </xdr:blipFill>
              <xdr:spPr>
                <a:xfrm>
                  <a:off x="10812480" y="19549"/>
                  <a:ext cx="214188" cy="248554"/>
                </a:xfrm>
                <a:prstGeom prst="rect">
                  <a:avLst/>
                </a:prstGeom>
              </xdr:spPr>
            </xdr:pic>
            <xdr:sp macro="" textlink="">
              <xdr:nvSpPr>
                <xdr:cNvPr id="86" name="TextBox 85">
                  <a:hlinkClick xmlns:r="http://schemas.openxmlformats.org/officeDocument/2006/relationships" r:id="rId26"/>
                  <a:extLst>
                    <a:ext uri="{FF2B5EF4-FFF2-40B4-BE49-F238E27FC236}">
                      <a16:creationId xmlns:a16="http://schemas.microsoft.com/office/drawing/2014/main" id="{8A7886AE-C5FC-DD9E-2900-078D274A4147}"/>
                    </a:ext>
                  </a:extLst>
                </xdr:cNvPr>
                <xdr:cNvSpPr txBox="1"/>
              </xdr:nvSpPr>
              <xdr:spPr>
                <a:xfrm>
                  <a:off x="11008843" y="0"/>
                  <a:ext cx="40705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PEERS</a:t>
                  </a:r>
                </a:p>
              </xdr:txBody>
            </xdr:sp>
            <xdr:sp macro="" textlink="">
              <xdr:nvSpPr>
                <xdr:cNvPr id="87" name="TextBox 86">
                  <a:hlinkClick xmlns:r="http://schemas.openxmlformats.org/officeDocument/2006/relationships" r:id="rId28"/>
                  <a:extLst>
                    <a:ext uri="{FF2B5EF4-FFF2-40B4-BE49-F238E27FC236}">
                      <a16:creationId xmlns:a16="http://schemas.microsoft.com/office/drawing/2014/main" id="{AC418AB3-50F5-EC9A-46D2-1A1386E57011}"/>
                    </a:ext>
                  </a:extLst>
                </xdr:cNvPr>
                <xdr:cNvSpPr txBox="1"/>
              </xdr:nvSpPr>
              <xdr:spPr>
                <a:xfrm>
                  <a:off x="9581756" y="397481"/>
                  <a:ext cx="656781"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MAX PRICE</a:t>
                  </a:r>
                </a:p>
              </xdr:txBody>
            </xdr:sp>
            <xdr:pic>
              <xdr:nvPicPr>
                <xdr:cNvPr id="88" name="Picture 87">
                  <a:hlinkClick xmlns:r="http://schemas.openxmlformats.org/officeDocument/2006/relationships" r:id="rId28"/>
                  <a:extLst>
                    <a:ext uri="{FF2B5EF4-FFF2-40B4-BE49-F238E27FC236}">
                      <a16:creationId xmlns:a16="http://schemas.microsoft.com/office/drawing/2014/main" id="{715C2B3E-F405-CA28-B6A6-4C8EEB2655A3}"/>
                    </a:ext>
                  </a:extLst>
                </xdr:cNvPr>
                <xdr:cNvPicPr>
                  <a:picLocks noChangeAspect="1"/>
                </xdr:cNvPicPr>
              </xdr:nvPicPr>
              <xdr:blipFill>
                <a:blip xmlns:r="http://schemas.openxmlformats.org/officeDocument/2006/relationships" r:embed="rId29" cstate="print">
                  <a:alphaModFix/>
                  <a:extLst>
                    <a:ext uri="{28A0092B-C50C-407E-A947-70E740481C1C}">
                      <a14:useLocalDpi xmlns:a14="http://schemas.microsoft.com/office/drawing/2010/main" val="0"/>
                    </a:ext>
                  </a:extLst>
                </a:blip>
                <a:stretch>
                  <a:fillRect/>
                </a:stretch>
              </xdr:blipFill>
              <xdr:spPr>
                <a:xfrm>
                  <a:off x="9433997" y="425857"/>
                  <a:ext cx="214435" cy="230900"/>
                </a:xfrm>
                <a:prstGeom prst="rect">
                  <a:avLst/>
                </a:prstGeom>
              </xdr:spPr>
            </xdr:pic>
            <xdr:sp macro="" textlink="">
              <xdr:nvSpPr>
                <xdr:cNvPr id="89" name="TextBox 88">
                  <a:hlinkClick xmlns:r="http://schemas.openxmlformats.org/officeDocument/2006/relationships" r:id="rId30"/>
                  <a:extLst>
                    <a:ext uri="{FF2B5EF4-FFF2-40B4-BE49-F238E27FC236}">
                      <a16:creationId xmlns:a16="http://schemas.microsoft.com/office/drawing/2014/main" id="{4DE500A8-8E82-E360-D989-321FA1FF61C7}"/>
                    </a:ext>
                  </a:extLst>
                </xdr:cNvPr>
                <xdr:cNvSpPr txBox="1"/>
              </xdr:nvSpPr>
              <xdr:spPr>
                <a:xfrm>
                  <a:off x="7733272" y="389861"/>
                  <a:ext cx="6384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SCENARIOS</a:t>
                  </a:r>
                </a:p>
              </xdr:txBody>
            </xdr:sp>
            <xdr:pic>
              <xdr:nvPicPr>
                <xdr:cNvPr id="90" name="Picture 89">
                  <a:hlinkClick xmlns:r="http://schemas.openxmlformats.org/officeDocument/2006/relationships" r:id="rId30"/>
                  <a:extLst>
                    <a:ext uri="{FF2B5EF4-FFF2-40B4-BE49-F238E27FC236}">
                      <a16:creationId xmlns:a16="http://schemas.microsoft.com/office/drawing/2014/main" id="{B7F80AE9-3BB9-462B-E953-EEA108337484}"/>
                    </a:ext>
                  </a:extLst>
                </xdr:cNvPr>
                <xdr:cNvPicPr>
                  <a:picLocks noChangeAspect="1"/>
                </xdr:cNvPicPr>
              </xdr:nvPicPr>
              <xdr:blipFill>
                <a:blip xmlns:r="http://schemas.openxmlformats.org/officeDocument/2006/relationships" r:embed="rId31" cstate="print">
                  <a:alphaModFix/>
                  <a:extLst>
                    <a:ext uri="{28A0092B-C50C-407E-A947-70E740481C1C}">
                      <a14:useLocalDpi xmlns:a14="http://schemas.microsoft.com/office/drawing/2010/main" val="0"/>
                    </a:ext>
                  </a:extLst>
                </a:blip>
                <a:stretch>
                  <a:fillRect/>
                </a:stretch>
              </xdr:blipFill>
              <xdr:spPr>
                <a:xfrm>
                  <a:off x="7536090" y="418237"/>
                  <a:ext cx="214435" cy="230900"/>
                </a:xfrm>
                <a:prstGeom prst="rect">
                  <a:avLst/>
                </a:prstGeom>
              </xdr:spPr>
            </xdr:pic>
            <xdr:sp macro="" textlink="">
              <xdr:nvSpPr>
                <xdr:cNvPr id="91" name="TextBox 90">
                  <a:hlinkClick xmlns:r="http://schemas.openxmlformats.org/officeDocument/2006/relationships" r:id="rId32"/>
                  <a:extLst>
                    <a:ext uri="{FF2B5EF4-FFF2-40B4-BE49-F238E27FC236}">
                      <a16:creationId xmlns:a16="http://schemas.microsoft.com/office/drawing/2014/main" id="{1A612BD7-2EC8-DB38-05E5-2AB9F65F65B3}"/>
                    </a:ext>
                  </a:extLst>
                </xdr:cNvPr>
                <xdr:cNvSpPr txBox="1"/>
              </xdr:nvSpPr>
              <xdr:spPr>
                <a:xfrm>
                  <a:off x="11757467" y="49286"/>
                  <a:ext cx="110218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MARKET RESEARCH</a:t>
                  </a:r>
                </a:p>
              </xdr:txBody>
            </xdr:sp>
            <xdr:pic>
              <xdr:nvPicPr>
                <xdr:cNvPr id="92" name="Picture 91" descr="A white and brown hourglass&#10;&#10;AI-generated content may be incorrect.">
                  <a:hlinkClick xmlns:r="http://schemas.openxmlformats.org/officeDocument/2006/relationships" r:id="rId32"/>
                  <a:extLst>
                    <a:ext uri="{FF2B5EF4-FFF2-40B4-BE49-F238E27FC236}">
                      <a16:creationId xmlns:a16="http://schemas.microsoft.com/office/drawing/2014/main" id="{FEE45EA0-2FE3-E4DC-B190-D22C0D50AB9D}"/>
                    </a:ext>
                  </a:extLst>
                </xdr:cNvPr>
                <xdr:cNvPicPr>
                  <a:picLocks noChangeAspect="1"/>
                </xdr:cNvPicPr>
              </xdr:nvPicPr>
              <xdr:blipFill>
                <a:blip xmlns:r="http://schemas.openxmlformats.org/officeDocument/2006/relationships" r:embed="rId33" cstate="print">
                  <a:alphaModFix/>
                  <a:extLst>
                    <a:ext uri="{28A0092B-C50C-407E-A947-70E740481C1C}">
                      <a14:useLocalDpi xmlns:a14="http://schemas.microsoft.com/office/drawing/2010/main" val="0"/>
                    </a:ext>
                  </a:extLst>
                </a:blip>
                <a:stretch>
                  <a:fillRect/>
                </a:stretch>
              </xdr:blipFill>
              <xdr:spPr>
                <a:xfrm>
                  <a:off x="11563464" y="33893"/>
                  <a:ext cx="235575" cy="261687"/>
                </a:xfrm>
                <a:prstGeom prst="rect">
                  <a:avLst/>
                </a:prstGeom>
              </xdr:spPr>
            </xdr:pic>
            <xdr:pic>
              <xdr:nvPicPr>
                <xdr:cNvPr id="93" name="Picture 92">
                  <a:hlinkClick xmlns:r="http://schemas.openxmlformats.org/officeDocument/2006/relationships" r:id="rId34"/>
                  <a:extLst>
                    <a:ext uri="{FF2B5EF4-FFF2-40B4-BE49-F238E27FC236}">
                      <a16:creationId xmlns:a16="http://schemas.microsoft.com/office/drawing/2014/main" id="{2FFCA013-A980-1160-9792-31B278ECE54C}"/>
                    </a:ext>
                  </a:extLst>
                </xdr:cNvPr>
                <xdr:cNvPicPr>
                  <a:picLocks noChangeAspect="1" noChangeArrowheads="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33032" y="384834"/>
                  <a:ext cx="261600" cy="33288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4" name="TextBox 93">
                  <a:hlinkClick xmlns:r="http://schemas.openxmlformats.org/officeDocument/2006/relationships" r:id="rId34"/>
                  <a:extLst>
                    <a:ext uri="{FF2B5EF4-FFF2-40B4-BE49-F238E27FC236}">
                      <a16:creationId xmlns:a16="http://schemas.microsoft.com/office/drawing/2014/main" id="{FD6BDFC0-624A-89D8-2B95-1CCFCEE593B5}"/>
                    </a:ext>
                  </a:extLst>
                </xdr:cNvPr>
                <xdr:cNvSpPr txBox="1"/>
              </xdr:nvSpPr>
              <xdr:spPr>
                <a:xfrm>
                  <a:off x="3637195" y="315564"/>
                  <a:ext cx="914586" cy="433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BALANCE SHEET</a:t>
                  </a:r>
                </a:p>
                <a:p>
                  <a:pPr algn="ctr"/>
                  <a:r>
                    <a:rPr lang="en-US" sz="900" b="1">
                      <a:solidFill>
                        <a:schemeClr val="bg1"/>
                      </a:solidFill>
                    </a:rPr>
                    <a:t>SUMMARY</a:t>
                  </a:r>
                </a:p>
              </xdr:txBody>
            </xdr:sp>
            <xdr:pic>
              <xdr:nvPicPr>
                <xdr:cNvPr id="95" name="Picture 94">
                  <a:hlinkClick xmlns:r="http://schemas.openxmlformats.org/officeDocument/2006/relationships" r:id="rId36"/>
                  <a:extLst>
                    <a:ext uri="{FF2B5EF4-FFF2-40B4-BE49-F238E27FC236}">
                      <a16:creationId xmlns:a16="http://schemas.microsoft.com/office/drawing/2014/main" id="{E3C36CF2-7B7D-7235-6E9B-8334DA5E9784}"/>
                    </a:ext>
                  </a:extLst>
                </xdr:cNvPr>
                <xdr:cNvPicPr>
                  <a:picLocks noChangeAspect="1" noChangeArrowheads="1"/>
                </xdr:cNvPicPr>
              </xdr:nvPicPr>
              <xdr:blipFill>
                <a:blip xmlns:r="http://schemas.openxmlformats.org/officeDocument/2006/relationships" r:embed="rId37" cstate="print">
                  <a:clrChange>
                    <a:clrFrom>
                      <a:srgbClr val="F8F8F8"/>
                    </a:clrFrom>
                    <a:clrTo>
                      <a:srgbClr val="F8F8F8">
                        <a:alpha val="0"/>
                      </a:srgbClr>
                    </a:clrTo>
                  </a:clrChange>
                  <a:extLst>
                    <a:ext uri="{28A0092B-C50C-407E-A947-70E740481C1C}">
                      <a14:useLocalDpi xmlns:a14="http://schemas.microsoft.com/office/drawing/2010/main" val="0"/>
                    </a:ext>
                  </a:extLst>
                </a:blip>
                <a:srcRect/>
                <a:stretch>
                  <a:fillRect/>
                </a:stretch>
              </xdr:blipFill>
              <xdr:spPr bwMode="auto">
                <a:xfrm>
                  <a:off x="4602713" y="384834"/>
                  <a:ext cx="326621" cy="3113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6" name="TextBox 95">
                  <a:hlinkClick xmlns:r="http://schemas.openxmlformats.org/officeDocument/2006/relationships" r:id="rId36"/>
                  <a:extLst>
                    <a:ext uri="{FF2B5EF4-FFF2-40B4-BE49-F238E27FC236}">
                      <a16:creationId xmlns:a16="http://schemas.microsoft.com/office/drawing/2014/main" id="{E6B5AD38-54C7-5889-77AB-971EF9BF1C9C}"/>
                    </a:ext>
                  </a:extLst>
                </xdr:cNvPr>
                <xdr:cNvSpPr txBox="1"/>
              </xdr:nvSpPr>
              <xdr:spPr>
                <a:xfrm>
                  <a:off x="4880678" y="423317"/>
                  <a:ext cx="56334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ASSETS</a:t>
                  </a:r>
                </a:p>
              </xdr:txBody>
            </xdr:sp>
            <xdr:pic>
              <xdr:nvPicPr>
                <xdr:cNvPr id="97" name="Picture 96">
                  <a:hlinkClick xmlns:r="http://schemas.openxmlformats.org/officeDocument/2006/relationships" r:id="rId38"/>
                  <a:extLst>
                    <a:ext uri="{FF2B5EF4-FFF2-40B4-BE49-F238E27FC236}">
                      <a16:creationId xmlns:a16="http://schemas.microsoft.com/office/drawing/2014/main" id="{5102132B-0803-3226-2374-D8923BCC2406}"/>
                    </a:ext>
                  </a:extLst>
                </xdr:cNvPr>
                <xdr:cNvPicPr>
                  <a:picLocks noChangeAspect="1" noChangeArrowheads="1"/>
                </xdr:cNvPicPr>
              </xdr:nvPicPr>
              <xdr:blipFill>
                <a:blip xmlns:r="http://schemas.openxmlformats.org/officeDocument/2006/relationships" r:embed="rId39"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35903" y="354046"/>
                  <a:ext cx="278234" cy="3540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8" name="TextBox 97">
                  <a:hlinkClick xmlns:r="http://schemas.openxmlformats.org/officeDocument/2006/relationships" r:id="rId38"/>
                  <a:extLst>
                    <a:ext uri="{FF2B5EF4-FFF2-40B4-BE49-F238E27FC236}">
                      <a16:creationId xmlns:a16="http://schemas.microsoft.com/office/drawing/2014/main" id="{DDFD54AD-4302-0057-0280-E177C6ACD3F7}"/>
                    </a:ext>
                  </a:extLst>
                </xdr:cNvPr>
                <xdr:cNvSpPr txBox="1"/>
              </xdr:nvSpPr>
              <xdr:spPr>
                <a:xfrm>
                  <a:off x="5717678" y="431014"/>
                  <a:ext cx="750091"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LIABILITIES</a:t>
                  </a:r>
                </a:p>
              </xdr:txBody>
            </xdr:sp>
            <xdr:pic>
              <xdr:nvPicPr>
                <xdr:cNvPr id="99" name="Picture 98">
                  <a:hlinkClick xmlns:r="http://schemas.openxmlformats.org/officeDocument/2006/relationships" r:id="rId40"/>
                  <a:extLst>
                    <a:ext uri="{FF2B5EF4-FFF2-40B4-BE49-F238E27FC236}">
                      <a16:creationId xmlns:a16="http://schemas.microsoft.com/office/drawing/2014/main" id="{2AD51D51-33D8-FA1F-25A1-27FCF8529E92}"/>
                    </a:ext>
                  </a:extLst>
                </xdr:cNvPr>
                <xdr:cNvPicPr>
                  <a:picLocks noChangeAspect="1"/>
                </xdr:cNvPicPr>
              </xdr:nvPicPr>
              <xdr:blipFill>
                <a:blip xmlns:r="http://schemas.openxmlformats.org/officeDocument/2006/relationships" r:embed="rId41">
                  <a:clrChange>
                    <a:clrFrom>
                      <a:srgbClr val="FFFFFF"/>
                    </a:clrFrom>
                    <a:clrTo>
                      <a:srgbClr val="FFFFFF">
                        <a:alpha val="0"/>
                      </a:srgbClr>
                    </a:clrTo>
                  </a:clrChange>
                </a:blip>
                <a:stretch>
                  <a:fillRect/>
                </a:stretch>
              </xdr:blipFill>
              <xdr:spPr>
                <a:xfrm>
                  <a:off x="6454424" y="361268"/>
                  <a:ext cx="368693" cy="354523"/>
                </a:xfrm>
                <a:prstGeom prst="rect">
                  <a:avLst/>
                </a:prstGeom>
              </xdr:spPr>
            </xdr:pic>
            <xdr:sp macro="" textlink="">
              <xdr:nvSpPr>
                <xdr:cNvPr id="100" name="TextBox 99">
                  <a:hlinkClick xmlns:r="http://schemas.openxmlformats.org/officeDocument/2006/relationships" r:id="rId40"/>
                  <a:extLst>
                    <a:ext uri="{FF2B5EF4-FFF2-40B4-BE49-F238E27FC236}">
                      <a16:creationId xmlns:a16="http://schemas.microsoft.com/office/drawing/2014/main" id="{3330A826-D93A-7370-49C5-E34E4C487411}"/>
                    </a:ext>
                  </a:extLst>
                </xdr:cNvPr>
                <xdr:cNvSpPr txBox="1"/>
              </xdr:nvSpPr>
              <xdr:spPr>
                <a:xfrm>
                  <a:off x="6742924" y="369440"/>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EDIT</a:t>
                  </a:r>
                </a:p>
                <a:p>
                  <a:r>
                    <a:rPr lang="en-US" sz="900" b="1">
                      <a:solidFill>
                        <a:schemeClr val="bg1"/>
                      </a:solidFill>
                    </a:rPr>
                    <a:t>CATEGORIES</a:t>
                  </a:r>
                </a:p>
              </xdr:txBody>
            </xdr:sp>
            <xdr:grpSp>
              <xdr:nvGrpSpPr>
                <xdr:cNvPr id="101" name="Group 100">
                  <a:hlinkClick xmlns:r="http://schemas.openxmlformats.org/officeDocument/2006/relationships" r:id="rId42"/>
                  <a:extLst>
                    <a:ext uri="{FF2B5EF4-FFF2-40B4-BE49-F238E27FC236}">
                      <a16:creationId xmlns:a16="http://schemas.microsoft.com/office/drawing/2014/main" id="{1F8E7E09-1E79-5E92-A9DF-89621B63EADE}"/>
                    </a:ext>
                  </a:extLst>
                </xdr:cNvPr>
                <xdr:cNvGrpSpPr/>
              </xdr:nvGrpSpPr>
              <xdr:grpSpPr>
                <a:xfrm>
                  <a:off x="10231249" y="237461"/>
                  <a:ext cx="1281586" cy="502920"/>
                  <a:chOff x="11732389" y="237461"/>
                  <a:chExt cx="1281586" cy="502920"/>
                </a:xfrm>
              </xdr:grpSpPr>
              <xdr:pic>
                <xdr:nvPicPr>
                  <xdr:cNvPr id="102" name="Picture 101">
                    <a:hlinkClick xmlns:r="http://schemas.openxmlformats.org/officeDocument/2006/relationships" r:id="rId43"/>
                    <a:extLst>
                      <a:ext uri="{FF2B5EF4-FFF2-40B4-BE49-F238E27FC236}">
                        <a16:creationId xmlns:a16="http://schemas.microsoft.com/office/drawing/2014/main" id="{86FFFCF8-5117-3B25-75F6-3C4889FD4C64}"/>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1732389" y="237461"/>
                    <a:ext cx="502920" cy="502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3" name="TextBox 102">
                    <a:hlinkClick xmlns:r="http://schemas.openxmlformats.org/officeDocument/2006/relationships" r:id="rId43"/>
                    <a:extLst>
                      <a:ext uri="{FF2B5EF4-FFF2-40B4-BE49-F238E27FC236}">
                        <a16:creationId xmlns:a16="http://schemas.microsoft.com/office/drawing/2014/main" id="{3C9FA66A-3A65-5E26-FD24-90E1840566B3}"/>
                      </a:ext>
                    </a:extLst>
                  </xdr:cNvPr>
                  <xdr:cNvSpPr txBox="1"/>
                </xdr:nvSpPr>
                <xdr:spPr>
                  <a:xfrm>
                    <a:off x="12197209" y="344142"/>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 GAME APPS</a:t>
                    </a:r>
                  </a:p>
                </xdr:txBody>
              </xdr:sp>
            </xdr:grpSp>
          </xdr:grpSp>
          <xdr:grpSp>
            <xdr:nvGrpSpPr>
              <xdr:cNvPr id="62" name="Group 61">
                <a:extLst>
                  <a:ext uri="{FF2B5EF4-FFF2-40B4-BE49-F238E27FC236}">
                    <a16:creationId xmlns:a16="http://schemas.microsoft.com/office/drawing/2014/main" id="{090197EC-5806-7244-839F-68BB4945205A}"/>
                  </a:ext>
                </a:extLst>
              </xdr:cNvPr>
              <xdr:cNvGrpSpPr/>
            </xdr:nvGrpSpPr>
            <xdr:grpSpPr>
              <a:xfrm>
                <a:off x="3030070" y="313765"/>
                <a:ext cx="1219410" cy="438976"/>
                <a:chOff x="3030070" y="313765"/>
                <a:chExt cx="1219410" cy="438976"/>
              </a:xfrm>
            </xdr:grpSpPr>
            <xdr:sp macro="" textlink="">
              <xdr:nvSpPr>
                <xdr:cNvPr id="63" name="TextBox 62">
                  <a:hlinkClick xmlns:r="http://schemas.openxmlformats.org/officeDocument/2006/relationships" r:id="rId45"/>
                  <a:extLst>
                    <a:ext uri="{FF2B5EF4-FFF2-40B4-BE49-F238E27FC236}">
                      <a16:creationId xmlns:a16="http://schemas.microsoft.com/office/drawing/2014/main" id="{9C48B88A-87BE-C8B4-B261-F821EF82EA80}"/>
                    </a:ext>
                  </a:extLst>
                </xdr:cNvPr>
                <xdr:cNvSpPr txBox="1"/>
              </xdr:nvSpPr>
              <xdr:spPr>
                <a:xfrm>
                  <a:off x="3307528" y="313765"/>
                  <a:ext cx="941952" cy="43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BOOK KEEPING</a:t>
                  </a:r>
                </a:p>
                <a:p>
                  <a:pPr algn="ctr"/>
                  <a:r>
                    <a:rPr lang="en-US" sz="900" b="1">
                      <a:solidFill>
                        <a:schemeClr val="bg1"/>
                      </a:solidFill>
                    </a:rPr>
                    <a:t>LEDGER</a:t>
                  </a:r>
                </a:p>
              </xdr:txBody>
            </xdr:sp>
            <xdr:pic>
              <xdr:nvPicPr>
                <xdr:cNvPr id="64" name="Picture 63">
                  <a:hlinkClick xmlns:r="http://schemas.openxmlformats.org/officeDocument/2006/relationships" r:id="rId45"/>
                  <a:extLst>
                    <a:ext uri="{FF2B5EF4-FFF2-40B4-BE49-F238E27FC236}">
                      <a16:creationId xmlns:a16="http://schemas.microsoft.com/office/drawing/2014/main" id="{52928073-9423-DB7A-9022-53C75C1569BB}"/>
                    </a:ext>
                  </a:extLst>
                </xdr:cNvPr>
                <xdr:cNvPicPr>
                  <a:picLocks noChangeAspect="1"/>
                </xdr:cNvPicPr>
              </xdr:nvPicPr>
              <xdr:blipFill>
                <a:blip xmlns:r="http://schemas.openxmlformats.org/officeDocument/2006/relationships" r:embed="rId4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0070" y="367554"/>
                  <a:ext cx="327770" cy="349622"/>
                </a:xfrm>
                <a:prstGeom prst="rect">
                  <a:avLst/>
                </a:prstGeom>
              </xdr:spPr>
            </xdr:pic>
          </xdr:grpSp>
        </xdr:grpSp>
        <xdr:grpSp>
          <xdr:nvGrpSpPr>
            <xdr:cNvPr id="58" name="Group 57">
              <a:extLst>
                <a:ext uri="{FF2B5EF4-FFF2-40B4-BE49-F238E27FC236}">
                  <a16:creationId xmlns:a16="http://schemas.microsoft.com/office/drawing/2014/main" id="{1997BD58-F8E6-BE3F-FAEF-03AAFF007D74}"/>
                </a:ext>
              </a:extLst>
            </xdr:cNvPr>
            <xdr:cNvGrpSpPr/>
          </xdr:nvGrpSpPr>
          <xdr:grpSpPr>
            <a:xfrm>
              <a:off x="12626340" y="243840"/>
              <a:ext cx="1344125" cy="571500"/>
              <a:chOff x="12626340" y="243840"/>
              <a:chExt cx="1344125" cy="571500"/>
            </a:xfrm>
          </xdr:grpSpPr>
          <xdr:pic>
            <xdr:nvPicPr>
              <xdr:cNvPr id="59" name="Picture 58">
                <a:hlinkClick xmlns:r="http://schemas.openxmlformats.org/officeDocument/2006/relationships" r:id="rId47"/>
                <a:extLst>
                  <a:ext uri="{FF2B5EF4-FFF2-40B4-BE49-F238E27FC236}">
                    <a16:creationId xmlns:a16="http://schemas.microsoft.com/office/drawing/2014/main" id="{B27D30B5-5A2F-82E2-FB02-9AE0D31B5A0E}"/>
                  </a:ext>
                </a:extLst>
              </xdr:cNvPr>
              <xdr:cNvPicPr>
                <a:picLocks noChangeAspect="1" noChangeArrowheads="1"/>
              </xdr:cNvPicPr>
            </xdr:nvPicPr>
            <xdr:blipFill>
              <a:blip xmlns:r="http://schemas.openxmlformats.org/officeDocument/2006/relationships" r:embed="rId4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26340" y="243840"/>
                <a:ext cx="571500" cy="571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0" name="TextBox 59">
                <a:hlinkClick xmlns:r="http://schemas.openxmlformats.org/officeDocument/2006/relationships" r:id="rId47"/>
                <a:extLst>
                  <a:ext uri="{FF2B5EF4-FFF2-40B4-BE49-F238E27FC236}">
                    <a16:creationId xmlns:a16="http://schemas.microsoft.com/office/drawing/2014/main" id="{3A3FA609-D084-90FF-8FA8-6E1128074876}"/>
                  </a:ext>
                </a:extLst>
              </xdr:cNvPr>
              <xdr:cNvSpPr txBox="1"/>
            </xdr:nvSpPr>
            <xdr:spPr>
              <a:xfrm>
                <a:off x="13129260" y="327660"/>
                <a:ext cx="841205" cy="4000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TRAVEL</a:t>
                </a:r>
              </a:p>
              <a:p>
                <a:pPr algn="ctr"/>
                <a:r>
                  <a:rPr lang="en-US" sz="900" b="1">
                    <a:solidFill>
                      <a:schemeClr val="bg1"/>
                    </a:solidFill>
                  </a:rPr>
                  <a:t>SANDBOX</a:t>
                </a:r>
              </a:p>
            </xdr:txBody>
          </xdr:sp>
        </xdr:grpSp>
      </xdr:grpSp>
      <xdr:pic>
        <xdr:nvPicPr>
          <xdr:cNvPr id="56" name="Picture 55">
            <a:hlinkClick xmlns:r="http://schemas.openxmlformats.org/officeDocument/2006/relationships" r:id="rId15"/>
            <a:extLst>
              <a:ext uri="{FF2B5EF4-FFF2-40B4-BE49-F238E27FC236}">
                <a16:creationId xmlns:a16="http://schemas.microsoft.com/office/drawing/2014/main" id="{E0AD7386-0795-CF6E-4241-4BDAFDAD2C27}"/>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6134100" y="30480"/>
            <a:ext cx="234698" cy="246078"/>
          </a:xfrm>
          <a:prstGeom prst="rect">
            <a:avLst/>
          </a:prstGeom>
          <a:solidFill>
            <a:srgbClr val="7FA6C7"/>
          </a:solidFill>
        </xdr:spPr>
      </xdr:pic>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11</xdr:col>
      <xdr:colOff>83248</xdr:colOff>
      <xdr:row>0</xdr:row>
      <xdr:rowOff>68580</xdr:rowOff>
    </xdr:from>
    <xdr:to>
      <xdr:col>12</xdr:col>
      <xdr:colOff>7429</xdr:colOff>
      <xdr:row>3</xdr:row>
      <xdr:rowOff>68961</xdr:rowOff>
    </xdr:to>
    <xdr:pic>
      <xdr:nvPicPr>
        <xdr:cNvPr id="2" name="Picture 1">
          <a:hlinkClick xmlns:r="http://schemas.openxmlformats.org/officeDocument/2006/relationships" r:id="rId1"/>
          <a:extLst>
            <a:ext uri="{FF2B5EF4-FFF2-40B4-BE49-F238E27FC236}">
              <a16:creationId xmlns:a16="http://schemas.microsoft.com/office/drawing/2014/main" id="{A131D3E2-7676-4704-82CF-A07B165DFF8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575488" y="68580"/>
          <a:ext cx="549021" cy="549021"/>
        </a:xfrm>
        <a:prstGeom prst="rect">
          <a:avLst/>
        </a:prstGeom>
      </xdr:spPr>
    </xdr:pic>
    <xdr:clientData/>
  </xdr:twoCellAnchor>
  <xdr:twoCellAnchor editAs="oneCell">
    <xdr:from>
      <xdr:col>14</xdr:col>
      <xdr:colOff>53340</xdr:colOff>
      <xdr:row>10</xdr:row>
      <xdr:rowOff>19050</xdr:rowOff>
    </xdr:from>
    <xdr:to>
      <xdr:col>16</xdr:col>
      <xdr:colOff>563880</xdr:colOff>
      <xdr:row>12</xdr:row>
      <xdr:rowOff>281940</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892E0C8D-C77D-49F3-83D5-43DAAB790F20}"/>
            </a:ext>
          </a:extLst>
        </xdr:cNvPr>
        <xdr:cNvSpPr/>
      </xdr:nvSpPr>
      <xdr:spPr>
        <a:xfrm>
          <a:off x="7726680" y="1901190"/>
          <a:ext cx="1744980" cy="643890"/>
        </a:xfrm>
        <a:prstGeom prst="roundRect">
          <a:avLst/>
        </a:prstGeom>
        <a:solidFill>
          <a:srgbClr val="A2BED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latin typeface="+mn-lt"/>
              <a:cs typeface="Arial" panose="020B0604020202020204" pitchFamily="34" charset="0"/>
            </a:rPr>
            <a:t>Check Update</a:t>
          </a:r>
        </a:p>
      </xdr:txBody>
    </xdr:sp>
    <xdr:clientData/>
  </xdr:twoCellAnchor>
  <xdr:twoCellAnchor editAs="oneCell">
    <xdr:from>
      <xdr:col>17</xdr:col>
      <xdr:colOff>381000</xdr:colOff>
      <xdr:row>10</xdr:row>
      <xdr:rowOff>30480</xdr:rowOff>
    </xdr:from>
    <xdr:to>
      <xdr:col>20</xdr:col>
      <xdr:colOff>605409</xdr:colOff>
      <xdr:row>12</xdr:row>
      <xdr:rowOff>297180</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0E1ADB73-DDD0-4A86-BBF5-BD40D9446364}"/>
            </a:ext>
          </a:extLst>
        </xdr:cNvPr>
        <xdr:cNvSpPr/>
      </xdr:nvSpPr>
      <xdr:spPr>
        <a:xfrm>
          <a:off x="10477500" y="1912620"/>
          <a:ext cx="1756029" cy="647700"/>
        </a:xfrm>
        <a:prstGeom prst="roundRect">
          <a:avLst/>
        </a:prstGeom>
        <a:solidFill>
          <a:srgbClr val="A2BED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latin typeface="+mn-lt"/>
              <a:cs typeface="Arial" panose="020B0604020202020204" pitchFamily="34" charset="0"/>
            </a:rPr>
            <a:t>Book</a:t>
          </a:r>
          <a:r>
            <a:rPr lang="en-US" sz="1050" b="1" baseline="0">
              <a:solidFill>
                <a:schemeClr val="bg1"/>
              </a:solidFill>
              <a:latin typeface="+mn-lt"/>
              <a:cs typeface="Arial" panose="020B0604020202020204" pitchFamily="34" charset="0"/>
            </a:rPr>
            <a:t> My AirBnb</a:t>
          </a:r>
          <a:endParaRPr lang="en-US" sz="1050" b="1">
            <a:solidFill>
              <a:schemeClr val="bg1"/>
            </a:solidFill>
            <a:latin typeface="+mn-lt"/>
            <a:cs typeface="Arial" panose="020B0604020202020204" pitchFamily="34" charset="0"/>
          </a:endParaRPr>
        </a:p>
      </xdr:txBody>
    </xdr:sp>
    <xdr:clientData/>
  </xdr:twoCellAnchor>
  <xdr:twoCellAnchor editAs="absolute">
    <xdr:from>
      <xdr:col>14</xdr:col>
      <xdr:colOff>7048</xdr:colOff>
      <xdr:row>13</xdr:row>
      <xdr:rowOff>167734</xdr:rowOff>
    </xdr:from>
    <xdr:to>
      <xdr:col>20</xdr:col>
      <xdr:colOff>609600</xdr:colOff>
      <xdr:row>26</xdr:row>
      <xdr:rowOff>7619</xdr:rowOff>
    </xdr:to>
    <xdr:pic>
      <xdr:nvPicPr>
        <xdr:cNvPr id="5" name="Picture 4">
          <a:hlinkClick xmlns:r="http://schemas.openxmlformats.org/officeDocument/2006/relationships" r:id="rId1"/>
          <a:extLst>
            <a:ext uri="{FF2B5EF4-FFF2-40B4-BE49-F238E27FC236}">
              <a16:creationId xmlns:a16="http://schemas.microsoft.com/office/drawing/2014/main" id="{5825B485-4770-426B-8BCC-B6E32A6B1047}"/>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680388" y="2758534"/>
          <a:ext cx="4557332" cy="23163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28575</xdr:colOff>
      <xdr:row>13</xdr:row>
      <xdr:rowOff>66675</xdr:rowOff>
    </xdr:from>
    <xdr:to>
      <xdr:col>42</xdr:col>
      <xdr:colOff>0</xdr:colOff>
      <xdr:row>25</xdr:row>
      <xdr:rowOff>66674</xdr:rowOff>
    </xdr:to>
    <xdr:graphicFrame macro="">
      <xdr:nvGraphicFramePr>
        <xdr:cNvPr id="7" name="Chart 6">
          <a:extLst>
            <a:ext uri="{FF2B5EF4-FFF2-40B4-BE49-F238E27FC236}">
              <a16:creationId xmlns:a16="http://schemas.microsoft.com/office/drawing/2014/main" id="{3C752608-30D5-4616-BC60-14606CCFE4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0</xdr:row>
      <xdr:rowOff>0</xdr:rowOff>
    </xdr:from>
    <xdr:to>
      <xdr:col>50</xdr:col>
      <xdr:colOff>182637</xdr:colOff>
      <xdr:row>2</xdr:row>
      <xdr:rowOff>53340</xdr:rowOff>
    </xdr:to>
    <xdr:grpSp>
      <xdr:nvGrpSpPr>
        <xdr:cNvPr id="51" name="Group 50">
          <a:extLst>
            <a:ext uri="{FF2B5EF4-FFF2-40B4-BE49-F238E27FC236}">
              <a16:creationId xmlns:a16="http://schemas.microsoft.com/office/drawing/2014/main" id="{566EAB20-12C3-4D20-B871-8ED4A9EDDFB1}"/>
            </a:ext>
          </a:extLst>
        </xdr:cNvPr>
        <xdr:cNvGrpSpPr/>
      </xdr:nvGrpSpPr>
      <xdr:grpSpPr>
        <a:xfrm>
          <a:off x="1584960" y="0"/>
          <a:ext cx="11894577" cy="815340"/>
          <a:chOff x="2194560" y="0"/>
          <a:chExt cx="11894577" cy="815340"/>
        </a:xfrm>
      </xdr:grpSpPr>
      <xdr:grpSp>
        <xdr:nvGrpSpPr>
          <xdr:cNvPr id="52" name="Group 51">
            <a:extLst>
              <a:ext uri="{FF2B5EF4-FFF2-40B4-BE49-F238E27FC236}">
                <a16:creationId xmlns:a16="http://schemas.microsoft.com/office/drawing/2014/main" id="{30D38F24-1433-B76D-844A-F23CE09257D1}"/>
              </a:ext>
            </a:extLst>
          </xdr:cNvPr>
          <xdr:cNvGrpSpPr/>
        </xdr:nvGrpSpPr>
        <xdr:grpSpPr>
          <a:xfrm>
            <a:off x="2194560" y="0"/>
            <a:ext cx="11894577" cy="815340"/>
            <a:chOff x="2194560" y="0"/>
            <a:chExt cx="11894577" cy="815340"/>
          </a:xfrm>
        </xdr:grpSpPr>
        <xdr:grpSp>
          <xdr:nvGrpSpPr>
            <xdr:cNvPr id="54" name="Group 53">
              <a:extLst>
                <a:ext uri="{FF2B5EF4-FFF2-40B4-BE49-F238E27FC236}">
                  <a16:creationId xmlns:a16="http://schemas.microsoft.com/office/drawing/2014/main" id="{AA09B25A-3076-7E8D-43F8-08BD6C0C3B2D}"/>
                </a:ext>
              </a:extLst>
            </xdr:cNvPr>
            <xdr:cNvGrpSpPr/>
          </xdr:nvGrpSpPr>
          <xdr:grpSpPr>
            <a:xfrm>
              <a:off x="2194560" y="0"/>
              <a:ext cx="11894577" cy="773812"/>
              <a:chOff x="2160046" y="0"/>
              <a:chExt cx="11894577" cy="773812"/>
            </a:xfrm>
          </xdr:grpSpPr>
          <xdr:grpSp>
            <xdr:nvGrpSpPr>
              <xdr:cNvPr id="58" name="Group 57">
                <a:extLst>
                  <a:ext uri="{FF2B5EF4-FFF2-40B4-BE49-F238E27FC236}">
                    <a16:creationId xmlns:a16="http://schemas.microsoft.com/office/drawing/2014/main" id="{F208087C-C670-C424-19F2-A25A20D2028A}"/>
                  </a:ext>
                </a:extLst>
              </xdr:cNvPr>
              <xdr:cNvGrpSpPr/>
            </xdr:nvGrpSpPr>
            <xdr:grpSpPr>
              <a:xfrm>
                <a:off x="2160046" y="0"/>
                <a:ext cx="11894577" cy="773812"/>
                <a:chOff x="1310640" y="0"/>
                <a:chExt cx="11549013" cy="764847"/>
              </a:xfrm>
            </xdr:grpSpPr>
            <xdr:pic>
              <xdr:nvPicPr>
                <xdr:cNvPr id="62" name="Picture 61">
                  <a:hlinkClick xmlns:r="http://schemas.openxmlformats.org/officeDocument/2006/relationships" r:id="rId2"/>
                  <a:extLst>
                    <a:ext uri="{FF2B5EF4-FFF2-40B4-BE49-F238E27FC236}">
                      <a16:creationId xmlns:a16="http://schemas.microsoft.com/office/drawing/2014/main" id="{48D0568E-F99A-7CCF-3ADC-57D7B1326536}"/>
                    </a:ext>
                  </a:extLst>
                </xdr:cNvPr>
                <xdr:cNvPicPr>
                  <a:picLocks/>
                </xdr:cNvPicPr>
              </xdr:nvPicPr>
              <xdr:blipFill>
                <a:blip xmlns:r="http://schemas.openxmlformats.org/officeDocument/2006/relationships" r:embed="rId3" cstate="print">
                  <a:alphaModFix/>
                  <a:extLst>
                    <a:ext uri="{28A0092B-C50C-407E-A947-70E740481C1C}">
                      <a14:useLocalDpi xmlns:a14="http://schemas.microsoft.com/office/drawing/2010/main" val="0"/>
                    </a:ext>
                  </a:extLst>
                </a:blip>
                <a:srcRect/>
                <a:stretch/>
              </xdr:blipFill>
              <xdr:spPr>
                <a:xfrm>
                  <a:off x="1310640" y="46180"/>
                  <a:ext cx="499211" cy="554546"/>
                </a:xfrm>
                <a:prstGeom prst="rect">
                  <a:avLst/>
                </a:prstGeom>
              </xdr:spPr>
            </xdr:pic>
            <xdr:pic>
              <xdr:nvPicPr>
                <xdr:cNvPr id="63" name="Picture 62">
                  <a:hlinkClick xmlns:r="http://schemas.openxmlformats.org/officeDocument/2006/relationships" r:id="rId4"/>
                  <a:extLst>
                    <a:ext uri="{FF2B5EF4-FFF2-40B4-BE49-F238E27FC236}">
                      <a16:creationId xmlns:a16="http://schemas.microsoft.com/office/drawing/2014/main" id="{272A86D1-2163-0F96-6700-BB07E57AF09B}"/>
                    </a:ext>
                  </a:extLst>
                </xdr:cNvPr>
                <xdr:cNvPicPr>
                  <a:picLocks noChangeAspect="1" noChangeArrowheads="1"/>
                </xdr:cNvPicPr>
              </xdr:nvPicPr>
              <xdr:blipFill>
                <a:blip xmlns:r="http://schemas.openxmlformats.org/officeDocument/2006/relationships" r:embed="rId5" cstate="print">
                  <a:alphaModFix/>
                  <a:extLst>
                    <a:ext uri="{28A0092B-C50C-407E-A947-70E740481C1C}">
                      <a14:useLocalDpi xmlns:a14="http://schemas.microsoft.com/office/drawing/2010/main" val="0"/>
                    </a:ext>
                  </a:extLst>
                </a:blip>
                <a:srcRect/>
                <a:stretch>
                  <a:fillRect/>
                </a:stretch>
              </xdr:blipFill>
              <xdr:spPr bwMode="auto">
                <a:xfrm>
                  <a:off x="2163693" y="30823"/>
                  <a:ext cx="214188" cy="2260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4" name="TextBox 63">
                  <a:hlinkClick xmlns:r="http://schemas.openxmlformats.org/officeDocument/2006/relationships" r:id="rId4"/>
                  <a:extLst>
                    <a:ext uri="{FF2B5EF4-FFF2-40B4-BE49-F238E27FC236}">
                      <a16:creationId xmlns:a16="http://schemas.microsoft.com/office/drawing/2014/main" id="{AD042696-9EED-C8CA-8AF7-0728B1B67B91}"/>
                    </a:ext>
                  </a:extLst>
                </xdr:cNvPr>
                <xdr:cNvSpPr txBox="1"/>
              </xdr:nvSpPr>
              <xdr:spPr>
                <a:xfrm>
                  <a:off x="2369194" y="17046"/>
                  <a:ext cx="846446" cy="25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US" sz="900" b="1">
                      <a:solidFill>
                        <a:schemeClr val="bg1"/>
                      </a:solidFill>
                    </a:rPr>
                    <a:t>DASHBOARD</a:t>
                  </a:r>
                </a:p>
              </xdr:txBody>
            </xdr:sp>
            <xdr:pic>
              <xdr:nvPicPr>
                <xdr:cNvPr id="65" name="Picture 64">
                  <a:hlinkClick xmlns:r="http://schemas.openxmlformats.org/officeDocument/2006/relationships" r:id="rId6"/>
                  <a:extLst>
                    <a:ext uri="{FF2B5EF4-FFF2-40B4-BE49-F238E27FC236}">
                      <a16:creationId xmlns:a16="http://schemas.microsoft.com/office/drawing/2014/main" id="{2103BE6A-587A-DA50-168A-5F8285CD192D}"/>
                    </a:ext>
                  </a:extLst>
                </xdr:cNvPr>
                <xdr:cNvPicPr>
                  <a:picLocks noChangeAspect="1" noChangeArrowheads="1"/>
                </xdr:cNvPicPr>
              </xdr:nvPicPr>
              <xdr:blipFill>
                <a:blip xmlns:r="http://schemas.openxmlformats.org/officeDocument/2006/relationships" r:embed="rId7" cstate="print">
                  <a:alphaModFix/>
                  <a:extLst>
                    <a:ext uri="{28A0092B-C50C-407E-A947-70E740481C1C}">
                      <a14:useLocalDpi xmlns:a14="http://schemas.microsoft.com/office/drawing/2010/main" val="0"/>
                    </a:ext>
                  </a:extLst>
                </a:blip>
                <a:srcRect/>
                <a:stretch>
                  <a:fillRect/>
                </a:stretch>
              </xdr:blipFill>
              <xdr:spPr bwMode="auto">
                <a:xfrm>
                  <a:off x="8461655" y="433462"/>
                  <a:ext cx="214188" cy="20819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6" name="TextBox 65">
                  <a:hlinkClick xmlns:r="http://schemas.openxmlformats.org/officeDocument/2006/relationships" r:id="rId6"/>
                  <a:extLst>
                    <a:ext uri="{FF2B5EF4-FFF2-40B4-BE49-F238E27FC236}">
                      <a16:creationId xmlns:a16="http://schemas.microsoft.com/office/drawing/2014/main" id="{957C9B06-0C97-1B2C-8A11-F15C535C2CFB}"/>
                    </a:ext>
                  </a:extLst>
                </xdr:cNvPr>
                <xdr:cNvSpPr txBox="1"/>
              </xdr:nvSpPr>
              <xdr:spPr>
                <a:xfrm>
                  <a:off x="8647283" y="413913"/>
                  <a:ext cx="56836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REPORTS</a:t>
                  </a:r>
                </a:p>
              </xdr:txBody>
            </xdr:sp>
            <xdr:pic>
              <xdr:nvPicPr>
                <xdr:cNvPr id="67" name="Picture 66">
                  <a:hlinkClick xmlns:r="http://schemas.openxmlformats.org/officeDocument/2006/relationships" r:id="rId8"/>
                  <a:extLst>
                    <a:ext uri="{FF2B5EF4-FFF2-40B4-BE49-F238E27FC236}">
                      <a16:creationId xmlns:a16="http://schemas.microsoft.com/office/drawing/2014/main" id="{E23353D9-E217-2564-4A8F-F1038A0CE9BC}"/>
                    </a:ext>
                  </a:extLst>
                </xdr:cNvPr>
                <xdr:cNvPicPr>
                  <a:picLocks noChangeAspect="1"/>
                </xdr:cNvPicPr>
              </xdr:nvPicPr>
              <xdr:blipFill>
                <a:blip xmlns:r="http://schemas.openxmlformats.org/officeDocument/2006/relationships" r:embed="rId9" cstate="print">
                  <a:alphaModFix/>
                  <a:extLst>
                    <a:ext uri="{28A0092B-C50C-407E-A947-70E740481C1C}">
                      <a14:useLocalDpi xmlns:a14="http://schemas.microsoft.com/office/drawing/2010/main" val="0"/>
                    </a:ext>
                  </a:extLst>
                </a:blip>
                <a:stretch>
                  <a:fillRect/>
                </a:stretch>
              </xdr:blipFill>
              <xdr:spPr>
                <a:xfrm>
                  <a:off x="6903860" y="19549"/>
                  <a:ext cx="214187" cy="248554"/>
                </a:xfrm>
                <a:prstGeom prst="rect">
                  <a:avLst/>
                </a:prstGeom>
              </xdr:spPr>
            </xdr:pic>
            <xdr:sp macro="" textlink="">
              <xdr:nvSpPr>
                <xdr:cNvPr id="68" name="TextBox 67">
                  <a:hlinkClick xmlns:r="http://schemas.openxmlformats.org/officeDocument/2006/relationships" r:id="rId8"/>
                  <a:extLst>
                    <a:ext uri="{FF2B5EF4-FFF2-40B4-BE49-F238E27FC236}">
                      <a16:creationId xmlns:a16="http://schemas.microsoft.com/office/drawing/2014/main" id="{2EB00972-C939-53FE-D589-DAD06D76AC27}"/>
                    </a:ext>
                  </a:extLst>
                </xdr:cNvPr>
                <xdr:cNvSpPr txBox="1"/>
              </xdr:nvSpPr>
              <xdr:spPr>
                <a:xfrm>
                  <a:off x="7099062" y="0"/>
                  <a:ext cx="67589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MORTGAGE</a:t>
                  </a:r>
                </a:p>
              </xdr:txBody>
            </xdr:sp>
            <xdr:sp macro="" textlink="">
              <xdr:nvSpPr>
                <xdr:cNvPr id="69" name="TextBox 68">
                  <a:hlinkClick xmlns:r="http://schemas.openxmlformats.org/officeDocument/2006/relationships" r:id="rId10"/>
                  <a:extLst>
                    <a:ext uri="{FF2B5EF4-FFF2-40B4-BE49-F238E27FC236}">
                      <a16:creationId xmlns:a16="http://schemas.microsoft.com/office/drawing/2014/main" id="{711BE690-7B2E-1233-5328-C88202CD83CA}"/>
                    </a:ext>
                  </a:extLst>
                </xdr:cNvPr>
                <xdr:cNvSpPr txBox="1"/>
              </xdr:nvSpPr>
              <xdr:spPr>
                <a:xfrm>
                  <a:off x="6375474" y="0"/>
                  <a:ext cx="381400"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DEBT</a:t>
                  </a:r>
                </a:p>
              </xdr:txBody>
            </xdr:sp>
            <xdr:pic>
              <xdr:nvPicPr>
                <xdr:cNvPr id="70" name="Picture 69">
                  <a:hlinkClick xmlns:r="http://schemas.openxmlformats.org/officeDocument/2006/relationships" r:id="rId10"/>
                  <a:extLst>
                    <a:ext uri="{FF2B5EF4-FFF2-40B4-BE49-F238E27FC236}">
                      <a16:creationId xmlns:a16="http://schemas.microsoft.com/office/drawing/2014/main" id="{237693B2-B8EC-49CD-C364-55469B4A4EB5}"/>
                    </a:ext>
                  </a:extLst>
                </xdr:cNvPr>
                <xdr:cNvPicPr>
                  <a:picLocks noChangeAspect="1"/>
                </xdr:cNvPicPr>
              </xdr:nvPicPr>
              <xdr:blipFill>
                <a:blip xmlns:r="http://schemas.openxmlformats.org/officeDocument/2006/relationships" r:embed="rId11" cstate="print">
                  <a:alphaModFix/>
                  <a:extLst>
                    <a:ext uri="{28A0092B-C50C-407E-A947-70E740481C1C}">
                      <a14:useLocalDpi xmlns:a14="http://schemas.microsoft.com/office/drawing/2010/main" val="0"/>
                    </a:ext>
                  </a:extLst>
                </a:blip>
                <a:stretch>
                  <a:fillRect/>
                </a:stretch>
              </xdr:blipFill>
              <xdr:spPr>
                <a:xfrm>
                  <a:off x="6158378" y="19549"/>
                  <a:ext cx="214188" cy="248554"/>
                </a:xfrm>
                <a:prstGeom prst="rect">
                  <a:avLst/>
                </a:prstGeom>
              </xdr:spPr>
            </xdr:pic>
            <xdr:sp macro="" textlink="">
              <xdr:nvSpPr>
                <xdr:cNvPr id="71" name="TextBox 70">
                  <a:hlinkClick xmlns:r="http://schemas.openxmlformats.org/officeDocument/2006/relationships" r:id="rId12"/>
                  <a:extLst>
                    <a:ext uri="{FF2B5EF4-FFF2-40B4-BE49-F238E27FC236}">
                      <a16:creationId xmlns:a16="http://schemas.microsoft.com/office/drawing/2014/main" id="{EA9462C9-F144-B030-025A-D6DAE558790B}"/>
                    </a:ext>
                  </a:extLst>
                </xdr:cNvPr>
                <xdr:cNvSpPr txBox="1"/>
              </xdr:nvSpPr>
              <xdr:spPr>
                <a:xfrm>
                  <a:off x="5370816" y="37659"/>
                  <a:ext cx="64057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FORECASTS</a:t>
                  </a:r>
                </a:p>
              </xdr:txBody>
            </xdr:sp>
            <xdr:sp macro="" textlink="">
              <xdr:nvSpPr>
                <xdr:cNvPr id="72" name="TextBox 71">
                  <a:hlinkClick xmlns:r="http://schemas.openxmlformats.org/officeDocument/2006/relationships" r:id="rId13"/>
                  <a:extLst>
                    <a:ext uri="{FF2B5EF4-FFF2-40B4-BE49-F238E27FC236}">
                      <a16:creationId xmlns:a16="http://schemas.microsoft.com/office/drawing/2014/main" id="{7D27ED89-07E5-355A-44FC-3F7CC52EB151}"/>
                    </a:ext>
                  </a:extLst>
                </xdr:cNvPr>
                <xdr:cNvSpPr txBox="1"/>
              </xdr:nvSpPr>
              <xdr:spPr>
                <a:xfrm>
                  <a:off x="8104032" y="0"/>
                  <a:ext cx="7732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a:t>
                  </a:r>
                  <a:r>
                    <a:rPr lang="en-US" sz="900" b="1" baseline="0">
                      <a:solidFill>
                        <a:schemeClr val="bg1"/>
                      </a:solidFill>
                    </a:rPr>
                    <a:t> (M)</a:t>
                  </a:r>
                  <a:endParaRPr lang="en-US" sz="900" b="1">
                    <a:solidFill>
                      <a:schemeClr val="bg1"/>
                    </a:solidFill>
                  </a:endParaRPr>
                </a:p>
              </xdr:txBody>
            </xdr:sp>
            <xdr:pic>
              <xdr:nvPicPr>
                <xdr:cNvPr id="73" name="Picture 72">
                  <a:hlinkClick xmlns:r="http://schemas.openxmlformats.org/officeDocument/2006/relationships" r:id="rId13"/>
                  <a:extLst>
                    <a:ext uri="{FF2B5EF4-FFF2-40B4-BE49-F238E27FC236}">
                      <a16:creationId xmlns:a16="http://schemas.microsoft.com/office/drawing/2014/main" id="{D5A776A8-1677-B67A-0B2E-09625DEE74E6}"/>
                    </a:ext>
                  </a:extLst>
                </xdr:cNvPr>
                <xdr:cNvPicPr>
                  <a:picLocks noChangeAspect="1"/>
                </xdr:cNvPicPr>
              </xdr:nvPicPr>
              <xdr:blipFill>
                <a:blip xmlns:r="http://schemas.openxmlformats.org/officeDocument/2006/relationships" r:embed="rId14" cstate="print">
                  <a:alphaModFix/>
                  <a:extLst>
                    <a:ext uri="{28A0092B-C50C-407E-A947-70E740481C1C}">
                      <a14:useLocalDpi xmlns:a14="http://schemas.microsoft.com/office/drawing/2010/main" val="0"/>
                    </a:ext>
                  </a:extLst>
                </a:blip>
                <a:stretch>
                  <a:fillRect/>
                </a:stretch>
              </xdr:blipFill>
              <xdr:spPr>
                <a:xfrm>
                  <a:off x="7921943" y="19549"/>
                  <a:ext cx="214188" cy="248554"/>
                </a:xfrm>
                <a:prstGeom prst="rect">
                  <a:avLst/>
                </a:prstGeom>
              </xdr:spPr>
            </xdr:pic>
            <xdr:sp macro="" textlink="">
              <xdr:nvSpPr>
                <xdr:cNvPr id="74" name="TextBox 73">
                  <a:hlinkClick xmlns:r="http://schemas.openxmlformats.org/officeDocument/2006/relationships" r:id="rId15"/>
                  <a:extLst>
                    <a:ext uri="{FF2B5EF4-FFF2-40B4-BE49-F238E27FC236}">
                      <a16:creationId xmlns:a16="http://schemas.microsoft.com/office/drawing/2014/main" id="{7478634F-042A-450C-2572-B7CF5BC45978}"/>
                    </a:ext>
                  </a:extLst>
                </xdr:cNvPr>
                <xdr:cNvSpPr txBox="1"/>
              </xdr:nvSpPr>
              <xdr:spPr>
                <a:xfrm>
                  <a:off x="9978309" y="0"/>
                  <a:ext cx="687187"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 (Y)</a:t>
                  </a:r>
                </a:p>
              </xdr:txBody>
            </xdr:sp>
            <xdr:pic>
              <xdr:nvPicPr>
                <xdr:cNvPr id="75" name="Picture 74">
                  <a:hlinkClick xmlns:r="http://schemas.openxmlformats.org/officeDocument/2006/relationships" r:id="rId15"/>
                  <a:extLst>
                    <a:ext uri="{FF2B5EF4-FFF2-40B4-BE49-F238E27FC236}">
                      <a16:creationId xmlns:a16="http://schemas.microsoft.com/office/drawing/2014/main" id="{2F8A02A3-C158-C5DA-AA42-B7CD51AB0A40}"/>
                    </a:ext>
                  </a:extLst>
                </xdr:cNvPr>
                <xdr:cNvPicPr>
                  <a:picLocks noChangeAspect="1"/>
                </xdr:cNvPicPr>
              </xdr:nvPicPr>
              <xdr:blipFill>
                <a:blip xmlns:r="http://schemas.openxmlformats.org/officeDocument/2006/relationships" r:embed="rId16" cstate="print">
                  <a:alphaModFix/>
                  <a:extLst>
                    <a:ext uri="{28A0092B-C50C-407E-A947-70E740481C1C}">
                      <a14:useLocalDpi xmlns:a14="http://schemas.microsoft.com/office/drawing/2010/main" val="0"/>
                    </a:ext>
                  </a:extLst>
                </a:blip>
                <a:stretch>
                  <a:fillRect/>
                </a:stretch>
              </xdr:blipFill>
              <xdr:spPr>
                <a:xfrm>
                  <a:off x="9777770" y="19549"/>
                  <a:ext cx="214188" cy="248554"/>
                </a:xfrm>
                <a:prstGeom prst="rect">
                  <a:avLst/>
                </a:prstGeom>
              </xdr:spPr>
            </xdr:pic>
            <xdr:sp macro="" textlink="">
              <xdr:nvSpPr>
                <xdr:cNvPr id="76" name="TextBox 75">
                  <a:hlinkClick xmlns:r="http://schemas.openxmlformats.org/officeDocument/2006/relationships" r:id="rId17"/>
                  <a:extLst>
                    <a:ext uri="{FF2B5EF4-FFF2-40B4-BE49-F238E27FC236}">
                      <a16:creationId xmlns:a16="http://schemas.microsoft.com/office/drawing/2014/main" id="{DDDAF0B0-4000-3F76-6063-74E549BB5FD9}"/>
                    </a:ext>
                  </a:extLst>
                </xdr:cNvPr>
                <xdr:cNvSpPr txBox="1"/>
              </xdr:nvSpPr>
              <xdr:spPr>
                <a:xfrm>
                  <a:off x="9133984" y="0"/>
                  <a:ext cx="49680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VERSUS</a:t>
                  </a:r>
                </a:p>
              </xdr:txBody>
            </xdr:sp>
            <xdr:pic>
              <xdr:nvPicPr>
                <xdr:cNvPr id="77" name="Picture 76">
                  <a:hlinkClick xmlns:r="http://schemas.openxmlformats.org/officeDocument/2006/relationships" r:id="rId17"/>
                  <a:extLst>
                    <a:ext uri="{FF2B5EF4-FFF2-40B4-BE49-F238E27FC236}">
                      <a16:creationId xmlns:a16="http://schemas.microsoft.com/office/drawing/2014/main" id="{9A7D029B-4092-0FB9-5444-45EAB3C92540}"/>
                    </a:ext>
                  </a:extLst>
                </xdr:cNvPr>
                <xdr:cNvPicPr>
                  <a:picLocks noChangeAspect="1"/>
                </xdr:cNvPicPr>
              </xdr:nvPicPr>
              <xdr:blipFill>
                <a:blip xmlns:r="http://schemas.openxmlformats.org/officeDocument/2006/relationships" r:embed="rId18" cstate="print">
                  <a:alphaModFix/>
                  <a:extLst>
                    <a:ext uri="{28A0092B-C50C-407E-A947-70E740481C1C}">
                      <a14:useLocalDpi xmlns:a14="http://schemas.microsoft.com/office/drawing/2010/main" val="0"/>
                    </a:ext>
                  </a:extLst>
                </a:blip>
                <a:stretch>
                  <a:fillRect/>
                </a:stretch>
              </xdr:blipFill>
              <xdr:spPr>
                <a:xfrm>
                  <a:off x="8938203" y="19549"/>
                  <a:ext cx="214187" cy="248554"/>
                </a:xfrm>
                <a:prstGeom prst="rect">
                  <a:avLst/>
                </a:prstGeom>
              </xdr:spPr>
            </xdr:pic>
            <xdr:sp macro="" textlink="">
              <xdr:nvSpPr>
                <xdr:cNvPr id="78" name="TextBox 77">
                  <a:hlinkClick xmlns:r="http://schemas.openxmlformats.org/officeDocument/2006/relationships" r:id="rId19"/>
                  <a:extLst>
                    <a:ext uri="{FF2B5EF4-FFF2-40B4-BE49-F238E27FC236}">
                      <a16:creationId xmlns:a16="http://schemas.microsoft.com/office/drawing/2014/main" id="{104578EC-3C9D-E3F3-0F21-16ED5627069D}"/>
                    </a:ext>
                  </a:extLst>
                </xdr:cNvPr>
                <xdr:cNvSpPr txBox="1"/>
              </xdr:nvSpPr>
              <xdr:spPr>
                <a:xfrm>
                  <a:off x="3510385" y="0"/>
                  <a:ext cx="52312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REPAIRS</a:t>
                  </a:r>
                </a:p>
              </xdr:txBody>
            </xdr:sp>
            <xdr:pic>
              <xdr:nvPicPr>
                <xdr:cNvPr id="79" name="Picture 78">
                  <a:hlinkClick xmlns:r="http://schemas.openxmlformats.org/officeDocument/2006/relationships" r:id="rId19"/>
                  <a:extLst>
                    <a:ext uri="{FF2B5EF4-FFF2-40B4-BE49-F238E27FC236}">
                      <a16:creationId xmlns:a16="http://schemas.microsoft.com/office/drawing/2014/main" id="{6B8E3A0C-6A1D-580C-011E-CA7528D9EF74}"/>
                    </a:ext>
                  </a:extLst>
                </xdr:cNvPr>
                <xdr:cNvPicPr>
                  <a:picLocks noChangeAspect="1"/>
                </xdr:cNvPicPr>
              </xdr:nvPicPr>
              <xdr:blipFill>
                <a:blip xmlns:r="http://schemas.openxmlformats.org/officeDocument/2006/relationships" r:embed="rId20" cstate="print">
                  <a:alphaModFix/>
                  <a:extLst>
                    <a:ext uri="{28A0092B-C50C-407E-A947-70E740481C1C}">
                      <a14:useLocalDpi xmlns:a14="http://schemas.microsoft.com/office/drawing/2010/main" val="0"/>
                    </a:ext>
                  </a:extLst>
                </a:blip>
                <a:stretch>
                  <a:fillRect/>
                </a:stretch>
              </xdr:blipFill>
              <xdr:spPr>
                <a:xfrm>
                  <a:off x="3296296" y="28376"/>
                  <a:ext cx="214435" cy="230900"/>
                </a:xfrm>
                <a:prstGeom prst="rect">
                  <a:avLst/>
                </a:prstGeom>
              </xdr:spPr>
            </xdr:pic>
            <xdr:sp macro="" textlink="">
              <xdr:nvSpPr>
                <xdr:cNvPr id="80" name="TextBox 79">
                  <a:hlinkClick xmlns:r="http://schemas.openxmlformats.org/officeDocument/2006/relationships" r:id="rId21"/>
                  <a:extLst>
                    <a:ext uri="{FF2B5EF4-FFF2-40B4-BE49-F238E27FC236}">
                      <a16:creationId xmlns:a16="http://schemas.microsoft.com/office/drawing/2014/main" id="{4F34A42F-0D41-7721-571A-59046B56C974}"/>
                    </a:ext>
                  </a:extLst>
                </xdr:cNvPr>
                <xdr:cNvSpPr txBox="1"/>
              </xdr:nvSpPr>
              <xdr:spPr>
                <a:xfrm>
                  <a:off x="4388587" y="0"/>
                  <a:ext cx="63170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FURNITURE</a:t>
                  </a:r>
                </a:p>
              </xdr:txBody>
            </xdr:sp>
            <xdr:pic>
              <xdr:nvPicPr>
                <xdr:cNvPr id="81" name="Picture 80">
                  <a:hlinkClick xmlns:r="http://schemas.openxmlformats.org/officeDocument/2006/relationships" r:id="rId21"/>
                  <a:extLst>
                    <a:ext uri="{FF2B5EF4-FFF2-40B4-BE49-F238E27FC236}">
                      <a16:creationId xmlns:a16="http://schemas.microsoft.com/office/drawing/2014/main" id="{3C925D7E-089D-50BD-B1C6-334CBB1B3EE2}"/>
                    </a:ext>
                  </a:extLst>
                </xdr:cNvPr>
                <xdr:cNvPicPr>
                  <a:picLocks noChangeAspect="1"/>
                </xdr:cNvPicPr>
              </xdr:nvPicPr>
              <xdr:blipFill>
                <a:blip xmlns:r="http://schemas.openxmlformats.org/officeDocument/2006/relationships" r:embed="rId22" cstate="print">
                  <a:alphaModFix/>
                  <a:extLst>
                    <a:ext uri="{28A0092B-C50C-407E-A947-70E740481C1C}">
                      <a14:useLocalDpi xmlns:a14="http://schemas.microsoft.com/office/drawing/2010/main" val="0"/>
                    </a:ext>
                  </a:extLst>
                </a:blip>
                <a:stretch>
                  <a:fillRect/>
                </a:stretch>
              </xdr:blipFill>
              <xdr:spPr>
                <a:xfrm>
                  <a:off x="4180491" y="28376"/>
                  <a:ext cx="214435" cy="230900"/>
                </a:xfrm>
                <a:prstGeom prst="rect">
                  <a:avLst/>
                </a:prstGeom>
              </xdr:spPr>
            </xdr:pic>
            <xdr:pic>
              <xdr:nvPicPr>
                <xdr:cNvPr id="82" name="Picture 81">
                  <a:hlinkClick xmlns:r="http://schemas.openxmlformats.org/officeDocument/2006/relationships" r:id="rId23"/>
                  <a:extLst>
                    <a:ext uri="{FF2B5EF4-FFF2-40B4-BE49-F238E27FC236}">
                      <a16:creationId xmlns:a16="http://schemas.microsoft.com/office/drawing/2014/main" id="{98CA7D91-8470-6550-BB2E-FB0433BFB9C4}"/>
                    </a:ext>
                  </a:extLst>
                </xdr:cNvPr>
                <xdr:cNvPicPr>
                  <a:picLocks noChangeAspect="1"/>
                </xdr:cNvPicPr>
              </xdr:nvPicPr>
              <xdr:blipFill>
                <a:blip xmlns:r="http://schemas.openxmlformats.org/officeDocument/2006/relationships" r:embed="rId24" cstate="print">
                  <a:alphaModFix/>
                  <a:extLst>
                    <a:ext uri="{28A0092B-C50C-407E-A947-70E740481C1C}">
                      <a14:useLocalDpi xmlns:a14="http://schemas.microsoft.com/office/drawing/2010/main" val="0"/>
                    </a:ext>
                  </a:extLst>
                </a:blip>
                <a:stretch>
                  <a:fillRect/>
                </a:stretch>
              </xdr:blipFill>
              <xdr:spPr>
                <a:xfrm>
                  <a:off x="10812480" y="19549"/>
                  <a:ext cx="214188" cy="248554"/>
                </a:xfrm>
                <a:prstGeom prst="rect">
                  <a:avLst/>
                </a:prstGeom>
              </xdr:spPr>
            </xdr:pic>
            <xdr:sp macro="" textlink="">
              <xdr:nvSpPr>
                <xdr:cNvPr id="83" name="TextBox 82">
                  <a:hlinkClick xmlns:r="http://schemas.openxmlformats.org/officeDocument/2006/relationships" r:id="rId23"/>
                  <a:extLst>
                    <a:ext uri="{FF2B5EF4-FFF2-40B4-BE49-F238E27FC236}">
                      <a16:creationId xmlns:a16="http://schemas.microsoft.com/office/drawing/2014/main" id="{89906E12-0F36-957E-11F1-53019EE4D7FD}"/>
                    </a:ext>
                  </a:extLst>
                </xdr:cNvPr>
                <xdr:cNvSpPr txBox="1"/>
              </xdr:nvSpPr>
              <xdr:spPr>
                <a:xfrm>
                  <a:off x="11008843" y="0"/>
                  <a:ext cx="40705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PEERS</a:t>
                  </a:r>
                </a:p>
              </xdr:txBody>
            </xdr:sp>
            <xdr:sp macro="" textlink="">
              <xdr:nvSpPr>
                <xdr:cNvPr id="84" name="TextBox 83">
                  <a:hlinkClick xmlns:r="http://schemas.openxmlformats.org/officeDocument/2006/relationships" r:id="rId25"/>
                  <a:extLst>
                    <a:ext uri="{FF2B5EF4-FFF2-40B4-BE49-F238E27FC236}">
                      <a16:creationId xmlns:a16="http://schemas.microsoft.com/office/drawing/2014/main" id="{D44BB70C-AD6D-9749-B96D-8C0955367AB6}"/>
                    </a:ext>
                  </a:extLst>
                </xdr:cNvPr>
                <xdr:cNvSpPr txBox="1"/>
              </xdr:nvSpPr>
              <xdr:spPr>
                <a:xfrm>
                  <a:off x="9581756" y="397481"/>
                  <a:ext cx="656781"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MAX PRICE</a:t>
                  </a:r>
                </a:p>
              </xdr:txBody>
            </xdr:sp>
            <xdr:pic>
              <xdr:nvPicPr>
                <xdr:cNvPr id="85" name="Picture 84">
                  <a:hlinkClick xmlns:r="http://schemas.openxmlformats.org/officeDocument/2006/relationships" r:id="rId25"/>
                  <a:extLst>
                    <a:ext uri="{FF2B5EF4-FFF2-40B4-BE49-F238E27FC236}">
                      <a16:creationId xmlns:a16="http://schemas.microsoft.com/office/drawing/2014/main" id="{AD55A971-92ED-5827-CCBE-08A2A4C1F261}"/>
                    </a:ext>
                  </a:extLst>
                </xdr:cNvPr>
                <xdr:cNvPicPr>
                  <a:picLocks noChangeAspect="1"/>
                </xdr:cNvPicPr>
              </xdr:nvPicPr>
              <xdr:blipFill>
                <a:blip xmlns:r="http://schemas.openxmlformats.org/officeDocument/2006/relationships" r:embed="rId26" cstate="print">
                  <a:alphaModFix/>
                  <a:extLst>
                    <a:ext uri="{28A0092B-C50C-407E-A947-70E740481C1C}">
                      <a14:useLocalDpi xmlns:a14="http://schemas.microsoft.com/office/drawing/2010/main" val="0"/>
                    </a:ext>
                  </a:extLst>
                </a:blip>
                <a:stretch>
                  <a:fillRect/>
                </a:stretch>
              </xdr:blipFill>
              <xdr:spPr>
                <a:xfrm>
                  <a:off x="9433997" y="425857"/>
                  <a:ext cx="214435" cy="230900"/>
                </a:xfrm>
                <a:prstGeom prst="rect">
                  <a:avLst/>
                </a:prstGeom>
              </xdr:spPr>
            </xdr:pic>
            <xdr:sp macro="" textlink="">
              <xdr:nvSpPr>
                <xdr:cNvPr id="86" name="TextBox 85">
                  <a:hlinkClick xmlns:r="http://schemas.openxmlformats.org/officeDocument/2006/relationships" r:id="rId27"/>
                  <a:extLst>
                    <a:ext uri="{FF2B5EF4-FFF2-40B4-BE49-F238E27FC236}">
                      <a16:creationId xmlns:a16="http://schemas.microsoft.com/office/drawing/2014/main" id="{60658A6D-0192-DEA8-0850-CE5A9CBDC2C2}"/>
                    </a:ext>
                  </a:extLst>
                </xdr:cNvPr>
                <xdr:cNvSpPr txBox="1"/>
              </xdr:nvSpPr>
              <xdr:spPr>
                <a:xfrm>
                  <a:off x="7733272" y="389861"/>
                  <a:ext cx="6384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SCENARIOS</a:t>
                  </a:r>
                </a:p>
              </xdr:txBody>
            </xdr:sp>
            <xdr:pic>
              <xdr:nvPicPr>
                <xdr:cNvPr id="87" name="Picture 86">
                  <a:hlinkClick xmlns:r="http://schemas.openxmlformats.org/officeDocument/2006/relationships" r:id="rId27"/>
                  <a:extLst>
                    <a:ext uri="{FF2B5EF4-FFF2-40B4-BE49-F238E27FC236}">
                      <a16:creationId xmlns:a16="http://schemas.microsoft.com/office/drawing/2014/main" id="{2FCE52CE-91AB-736B-188C-A285F6EE5782}"/>
                    </a:ext>
                  </a:extLst>
                </xdr:cNvPr>
                <xdr:cNvPicPr>
                  <a:picLocks noChangeAspect="1"/>
                </xdr:cNvPicPr>
              </xdr:nvPicPr>
              <xdr:blipFill>
                <a:blip xmlns:r="http://schemas.openxmlformats.org/officeDocument/2006/relationships" r:embed="rId28" cstate="print">
                  <a:alphaModFix/>
                  <a:extLst>
                    <a:ext uri="{28A0092B-C50C-407E-A947-70E740481C1C}">
                      <a14:useLocalDpi xmlns:a14="http://schemas.microsoft.com/office/drawing/2010/main" val="0"/>
                    </a:ext>
                  </a:extLst>
                </a:blip>
                <a:stretch>
                  <a:fillRect/>
                </a:stretch>
              </xdr:blipFill>
              <xdr:spPr>
                <a:xfrm>
                  <a:off x="7536090" y="418237"/>
                  <a:ext cx="214435" cy="230900"/>
                </a:xfrm>
                <a:prstGeom prst="rect">
                  <a:avLst/>
                </a:prstGeom>
              </xdr:spPr>
            </xdr:pic>
            <xdr:sp macro="" textlink="">
              <xdr:nvSpPr>
                <xdr:cNvPr id="88" name="TextBox 87">
                  <a:hlinkClick xmlns:r="http://schemas.openxmlformats.org/officeDocument/2006/relationships" r:id="rId29"/>
                  <a:extLst>
                    <a:ext uri="{FF2B5EF4-FFF2-40B4-BE49-F238E27FC236}">
                      <a16:creationId xmlns:a16="http://schemas.microsoft.com/office/drawing/2014/main" id="{DEB7620F-0D10-5B98-C860-65953BAE6424}"/>
                    </a:ext>
                  </a:extLst>
                </xdr:cNvPr>
                <xdr:cNvSpPr txBox="1"/>
              </xdr:nvSpPr>
              <xdr:spPr>
                <a:xfrm>
                  <a:off x="11757467" y="49286"/>
                  <a:ext cx="110218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MARKET RESEARCH</a:t>
                  </a:r>
                </a:p>
              </xdr:txBody>
            </xdr:sp>
            <xdr:pic>
              <xdr:nvPicPr>
                <xdr:cNvPr id="89" name="Picture 88" descr="A white and brown hourglass&#10;&#10;AI-generated content may be incorrect.">
                  <a:hlinkClick xmlns:r="http://schemas.openxmlformats.org/officeDocument/2006/relationships" r:id="rId29"/>
                  <a:extLst>
                    <a:ext uri="{FF2B5EF4-FFF2-40B4-BE49-F238E27FC236}">
                      <a16:creationId xmlns:a16="http://schemas.microsoft.com/office/drawing/2014/main" id="{DBE40554-EBA1-C0A9-4F63-6C5D6AFF641D}"/>
                    </a:ext>
                  </a:extLst>
                </xdr:cNvPr>
                <xdr:cNvPicPr>
                  <a:picLocks noChangeAspect="1"/>
                </xdr:cNvPicPr>
              </xdr:nvPicPr>
              <xdr:blipFill>
                <a:blip xmlns:r="http://schemas.openxmlformats.org/officeDocument/2006/relationships" r:embed="rId30" cstate="print">
                  <a:alphaModFix/>
                  <a:extLst>
                    <a:ext uri="{28A0092B-C50C-407E-A947-70E740481C1C}">
                      <a14:useLocalDpi xmlns:a14="http://schemas.microsoft.com/office/drawing/2010/main" val="0"/>
                    </a:ext>
                  </a:extLst>
                </a:blip>
                <a:stretch>
                  <a:fillRect/>
                </a:stretch>
              </xdr:blipFill>
              <xdr:spPr>
                <a:xfrm>
                  <a:off x="11563464" y="33893"/>
                  <a:ext cx="235575" cy="261687"/>
                </a:xfrm>
                <a:prstGeom prst="rect">
                  <a:avLst/>
                </a:prstGeom>
              </xdr:spPr>
            </xdr:pic>
            <xdr:pic>
              <xdr:nvPicPr>
                <xdr:cNvPr id="90" name="Picture 89">
                  <a:hlinkClick xmlns:r="http://schemas.openxmlformats.org/officeDocument/2006/relationships" r:id="rId31"/>
                  <a:extLst>
                    <a:ext uri="{FF2B5EF4-FFF2-40B4-BE49-F238E27FC236}">
                      <a16:creationId xmlns:a16="http://schemas.microsoft.com/office/drawing/2014/main" id="{50DC5813-0BF9-CB2E-3BEC-EE3717D0A66F}"/>
                    </a:ext>
                  </a:extLst>
                </xdr:cNvPr>
                <xdr:cNvPicPr>
                  <a:picLocks noChangeAspect="1" noChangeArrowheads="1"/>
                </xdr:cNvPicPr>
              </xdr:nvPicPr>
              <xdr:blipFill>
                <a:blip xmlns:r="http://schemas.openxmlformats.org/officeDocument/2006/relationships" r:embed="rId3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33032" y="384834"/>
                  <a:ext cx="261600" cy="33288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1" name="TextBox 90">
                  <a:hlinkClick xmlns:r="http://schemas.openxmlformats.org/officeDocument/2006/relationships" r:id="rId31"/>
                  <a:extLst>
                    <a:ext uri="{FF2B5EF4-FFF2-40B4-BE49-F238E27FC236}">
                      <a16:creationId xmlns:a16="http://schemas.microsoft.com/office/drawing/2014/main" id="{0467E678-08E1-790D-B686-9D3A56E60452}"/>
                    </a:ext>
                  </a:extLst>
                </xdr:cNvPr>
                <xdr:cNvSpPr txBox="1"/>
              </xdr:nvSpPr>
              <xdr:spPr>
                <a:xfrm>
                  <a:off x="3637195" y="315564"/>
                  <a:ext cx="914586" cy="433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BALANCE SHEET</a:t>
                  </a:r>
                </a:p>
                <a:p>
                  <a:pPr algn="ctr"/>
                  <a:r>
                    <a:rPr lang="en-US" sz="900" b="1">
                      <a:solidFill>
                        <a:schemeClr val="bg1"/>
                      </a:solidFill>
                    </a:rPr>
                    <a:t>SUMMARY</a:t>
                  </a:r>
                </a:p>
              </xdr:txBody>
            </xdr:sp>
            <xdr:pic>
              <xdr:nvPicPr>
                <xdr:cNvPr id="92" name="Picture 91">
                  <a:hlinkClick xmlns:r="http://schemas.openxmlformats.org/officeDocument/2006/relationships" r:id="rId33"/>
                  <a:extLst>
                    <a:ext uri="{FF2B5EF4-FFF2-40B4-BE49-F238E27FC236}">
                      <a16:creationId xmlns:a16="http://schemas.microsoft.com/office/drawing/2014/main" id="{2A593327-439A-8516-5C92-C99BD5BA99AE}"/>
                    </a:ext>
                  </a:extLst>
                </xdr:cNvPr>
                <xdr:cNvPicPr>
                  <a:picLocks noChangeAspect="1" noChangeArrowheads="1"/>
                </xdr:cNvPicPr>
              </xdr:nvPicPr>
              <xdr:blipFill>
                <a:blip xmlns:r="http://schemas.openxmlformats.org/officeDocument/2006/relationships" r:embed="rId34" cstate="print">
                  <a:clrChange>
                    <a:clrFrom>
                      <a:srgbClr val="F8F8F8"/>
                    </a:clrFrom>
                    <a:clrTo>
                      <a:srgbClr val="F8F8F8">
                        <a:alpha val="0"/>
                      </a:srgbClr>
                    </a:clrTo>
                  </a:clrChange>
                  <a:extLst>
                    <a:ext uri="{28A0092B-C50C-407E-A947-70E740481C1C}">
                      <a14:useLocalDpi xmlns:a14="http://schemas.microsoft.com/office/drawing/2010/main" val="0"/>
                    </a:ext>
                  </a:extLst>
                </a:blip>
                <a:srcRect/>
                <a:stretch>
                  <a:fillRect/>
                </a:stretch>
              </xdr:blipFill>
              <xdr:spPr bwMode="auto">
                <a:xfrm>
                  <a:off x="4602713" y="384834"/>
                  <a:ext cx="326621" cy="3113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3" name="TextBox 92">
                  <a:hlinkClick xmlns:r="http://schemas.openxmlformats.org/officeDocument/2006/relationships" r:id="rId33"/>
                  <a:extLst>
                    <a:ext uri="{FF2B5EF4-FFF2-40B4-BE49-F238E27FC236}">
                      <a16:creationId xmlns:a16="http://schemas.microsoft.com/office/drawing/2014/main" id="{8CBB63C3-B2B1-03EA-1EB9-7BEDBBE1E9EE}"/>
                    </a:ext>
                  </a:extLst>
                </xdr:cNvPr>
                <xdr:cNvSpPr txBox="1"/>
              </xdr:nvSpPr>
              <xdr:spPr>
                <a:xfrm>
                  <a:off x="4880678" y="423317"/>
                  <a:ext cx="56334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ASSETS</a:t>
                  </a:r>
                </a:p>
              </xdr:txBody>
            </xdr:sp>
            <xdr:pic>
              <xdr:nvPicPr>
                <xdr:cNvPr id="94" name="Picture 93">
                  <a:hlinkClick xmlns:r="http://schemas.openxmlformats.org/officeDocument/2006/relationships" r:id="rId35"/>
                  <a:extLst>
                    <a:ext uri="{FF2B5EF4-FFF2-40B4-BE49-F238E27FC236}">
                      <a16:creationId xmlns:a16="http://schemas.microsoft.com/office/drawing/2014/main" id="{094EE31E-8327-6E5B-21D1-8AFAC50A5F12}"/>
                    </a:ext>
                  </a:extLst>
                </xdr:cNvPr>
                <xdr:cNvPicPr>
                  <a:picLocks noChangeAspect="1" noChangeArrowheads="1"/>
                </xdr:cNvPicPr>
              </xdr:nvPicPr>
              <xdr:blipFill>
                <a:blip xmlns:r="http://schemas.openxmlformats.org/officeDocument/2006/relationships" r:embed="rId3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35903" y="354046"/>
                  <a:ext cx="278234" cy="3540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5" name="TextBox 94">
                  <a:hlinkClick xmlns:r="http://schemas.openxmlformats.org/officeDocument/2006/relationships" r:id="rId35"/>
                  <a:extLst>
                    <a:ext uri="{FF2B5EF4-FFF2-40B4-BE49-F238E27FC236}">
                      <a16:creationId xmlns:a16="http://schemas.microsoft.com/office/drawing/2014/main" id="{DEC53A5E-B473-B0D2-A6CB-654F6F3D239F}"/>
                    </a:ext>
                  </a:extLst>
                </xdr:cNvPr>
                <xdr:cNvSpPr txBox="1"/>
              </xdr:nvSpPr>
              <xdr:spPr>
                <a:xfrm>
                  <a:off x="5717678" y="431014"/>
                  <a:ext cx="750091"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LIABILITIES</a:t>
                  </a:r>
                </a:p>
              </xdr:txBody>
            </xdr:sp>
            <xdr:pic>
              <xdr:nvPicPr>
                <xdr:cNvPr id="96" name="Picture 95">
                  <a:hlinkClick xmlns:r="http://schemas.openxmlformats.org/officeDocument/2006/relationships" r:id="rId37"/>
                  <a:extLst>
                    <a:ext uri="{FF2B5EF4-FFF2-40B4-BE49-F238E27FC236}">
                      <a16:creationId xmlns:a16="http://schemas.microsoft.com/office/drawing/2014/main" id="{BBC59FEF-EC6F-9D20-135A-1D4CBC696108}"/>
                    </a:ext>
                  </a:extLst>
                </xdr:cNvPr>
                <xdr:cNvPicPr>
                  <a:picLocks noChangeAspect="1"/>
                </xdr:cNvPicPr>
              </xdr:nvPicPr>
              <xdr:blipFill>
                <a:blip xmlns:r="http://schemas.openxmlformats.org/officeDocument/2006/relationships" r:embed="rId38">
                  <a:clrChange>
                    <a:clrFrom>
                      <a:srgbClr val="FFFFFF"/>
                    </a:clrFrom>
                    <a:clrTo>
                      <a:srgbClr val="FFFFFF">
                        <a:alpha val="0"/>
                      </a:srgbClr>
                    </a:clrTo>
                  </a:clrChange>
                </a:blip>
                <a:stretch>
                  <a:fillRect/>
                </a:stretch>
              </xdr:blipFill>
              <xdr:spPr>
                <a:xfrm>
                  <a:off x="6454424" y="361268"/>
                  <a:ext cx="368693" cy="354523"/>
                </a:xfrm>
                <a:prstGeom prst="rect">
                  <a:avLst/>
                </a:prstGeom>
              </xdr:spPr>
            </xdr:pic>
            <xdr:sp macro="" textlink="">
              <xdr:nvSpPr>
                <xdr:cNvPr id="97" name="TextBox 96">
                  <a:hlinkClick xmlns:r="http://schemas.openxmlformats.org/officeDocument/2006/relationships" r:id="rId37"/>
                  <a:extLst>
                    <a:ext uri="{FF2B5EF4-FFF2-40B4-BE49-F238E27FC236}">
                      <a16:creationId xmlns:a16="http://schemas.microsoft.com/office/drawing/2014/main" id="{97AE1034-6795-C355-69E0-023F5046E998}"/>
                    </a:ext>
                  </a:extLst>
                </xdr:cNvPr>
                <xdr:cNvSpPr txBox="1"/>
              </xdr:nvSpPr>
              <xdr:spPr>
                <a:xfrm>
                  <a:off x="6742924" y="369440"/>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EDIT</a:t>
                  </a:r>
                </a:p>
                <a:p>
                  <a:r>
                    <a:rPr lang="en-US" sz="900" b="1">
                      <a:solidFill>
                        <a:schemeClr val="bg1"/>
                      </a:solidFill>
                    </a:rPr>
                    <a:t>CATEGORIES</a:t>
                  </a:r>
                </a:p>
              </xdr:txBody>
            </xdr:sp>
            <xdr:grpSp>
              <xdr:nvGrpSpPr>
                <xdr:cNvPr id="98" name="Group 97">
                  <a:hlinkClick xmlns:r="http://schemas.openxmlformats.org/officeDocument/2006/relationships" r:id="rId39"/>
                  <a:extLst>
                    <a:ext uri="{FF2B5EF4-FFF2-40B4-BE49-F238E27FC236}">
                      <a16:creationId xmlns:a16="http://schemas.microsoft.com/office/drawing/2014/main" id="{5F43C7B6-4BA8-88D0-509F-93DEA540F821}"/>
                    </a:ext>
                  </a:extLst>
                </xdr:cNvPr>
                <xdr:cNvGrpSpPr/>
              </xdr:nvGrpSpPr>
              <xdr:grpSpPr>
                <a:xfrm>
                  <a:off x="10231249" y="237461"/>
                  <a:ext cx="1281586" cy="502920"/>
                  <a:chOff x="11732389" y="237461"/>
                  <a:chExt cx="1281586" cy="502920"/>
                </a:xfrm>
              </xdr:grpSpPr>
              <xdr:pic>
                <xdr:nvPicPr>
                  <xdr:cNvPr id="99" name="Picture 98">
                    <a:hlinkClick xmlns:r="http://schemas.openxmlformats.org/officeDocument/2006/relationships" r:id="rId40"/>
                    <a:extLst>
                      <a:ext uri="{FF2B5EF4-FFF2-40B4-BE49-F238E27FC236}">
                        <a16:creationId xmlns:a16="http://schemas.microsoft.com/office/drawing/2014/main" id="{EC6F0BAC-7974-83BB-32DE-E94AFE6B9E5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1732389" y="237461"/>
                    <a:ext cx="502920" cy="502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0" name="TextBox 99">
                    <a:hlinkClick xmlns:r="http://schemas.openxmlformats.org/officeDocument/2006/relationships" r:id="rId40"/>
                    <a:extLst>
                      <a:ext uri="{FF2B5EF4-FFF2-40B4-BE49-F238E27FC236}">
                        <a16:creationId xmlns:a16="http://schemas.microsoft.com/office/drawing/2014/main" id="{F5CA9D83-0F6B-92E7-F755-ABEE1CD4F3FC}"/>
                      </a:ext>
                    </a:extLst>
                  </xdr:cNvPr>
                  <xdr:cNvSpPr txBox="1"/>
                </xdr:nvSpPr>
                <xdr:spPr>
                  <a:xfrm>
                    <a:off x="12197209" y="344142"/>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 GAME APPS</a:t>
                    </a:r>
                  </a:p>
                </xdr:txBody>
              </xdr:sp>
            </xdr:grpSp>
          </xdr:grpSp>
          <xdr:grpSp>
            <xdr:nvGrpSpPr>
              <xdr:cNvPr id="59" name="Group 58">
                <a:extLst>
                  <a:ext uri="{FF2B5EF4-FFF2-40B4-BE49-F238E27FC236}">
                    <a16:creationId xmlns:a16="http://schemas.microsoft.com/office/drawing/2014/main" id="{62381EF4-CCE2-DE4E-A707-E6F02756A7EE}"/>
                  </a:ext>
                </a:extLst>
              </xdr:cNvPr>
              <xdr:cNvGrpSpPr/>
            </xdr:nvGrpSpPr>
            <xdr:grpSpPr>
              <a:xfrm>
                <a:off x="3030070" y="313765"/>
                <a:ext cx="1219410" cy="438976"/>
                <a:chOff x="3030070" y="313765"/>
                <a:chExt cx="1219410" cy="438976"/>
              </a:xfrm>
            </xdr:grpSpPr>
            <xdr:sp macro="" textlink="">
              <xdr:nvSpPr>
                <xdr:cNvPr id="60" name="TextBox 59">
                  <a:hlinkClick xmlns:r="http://schemas.openxmlformats.org/officeDocument/2006/relationships" r:id="rId42"/>
                  <a:extLst>
                    <a:ext uri="{FF2B5EF4-FFF2-40B4-BE49-F238E27FC236}">
                      <a16:creationId xmlns:a16="http://schemas.microsoft.com/office/drawing/2014/main" id="{EAD3BC59-B806-C50C-E539-9BF9BA1E5A2C}"/>
                    </a:ext>
                  </a:extLst>
                </xdr:cNvPr>
                <xdr:cNvSpPr txBox="1"/>
              </xdr:nvSpPr>
              <xdr:spPr>
                <a:xfrm>
                  <a:off x="3307528" y="313765"/>
                  <a:ext cx="941952" cy="43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BOOK KEEPING</a:t>
                  </a:r>
                </a:p>
                <a:p>
                  <a:pPr algn="ctr"/>
                  <a:r>
                    <a:rPr lang="en-US" sz="900" b="1">
                      <a:solidFill>
                        <a:schemeClr val="bg1"/>
                      </a:solidFill>
                    </a:rPr>
                    <a:t>LEDGER</a:t>
                  </a:r>
                </a:p>
              </xdr:txBody>
            </xdr:sp>
            <xdr:pic>
              <xdr:nvPicPr>
                <xdr:cNvPr id="61" name="Picture 60">
                  <a:hlinkClick xmlns:r="http://schemas.openxmlformats.org/officeDocument/2006/relationships" r:id="rId42"/>
                  <a:extLst>
                    <a:ext uri="{FF2B5EF4-FFF2-40B4-BE49-F238E27FC236}">
                      <a16:creationId xmlns:a16="http://schemas.microsoft.com/office/drawing/2014/main" id="{C6AA17A6-DC73-8EF4-F307-2F26A551DFEF}"/>
                    </a:ext>
                  </a:extLst>
                </xdr:cNvPr>
                <xdr:cNvPicPr>
                  <a:picLocks noChangeAspect="1"/>
                </xdr:cNvPicPr>
              </xdr:nvPicPr>
              <xdr:blipFill>
                <a:blip xmlns:r="http://schemas.openxmlformats.org/officeDocument/2006/relationships" r:embed="rId4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0070" y="367554"/>
                  <a:ext cx="327770" cy="349622"/>
                </a:xfrm>
                <a:prstGeom prst="rect">
                  <a:avLst/>
                </a:prstGeom>
              </xdr:spPr>
            </xdr:pic>
          </xdr:grpSp>
        </xdr:grpSp>
        <xdr:grpSp>
          <xdr:nvGrpSpPr>
            <xdr:cNvPr id="55" name="Group 54">
              <a:extLst>
                <a:ext uri="{FF2B5EF4-FFF2-40B4-BE49-F238E27FC236}">
                  <a16:creationId xmlns:a16="http://schemas.microsoft.com/office/drawing/2014/main" id="{667B4837-EF4C-B85F-97F5-B680288B47C8}"/>
                </a:ext>
              </a:extLst>
            </xdr:cNvPr>
            <xdr:cNvGrpSpPr/>
          </xdr:nvGrpSpPr>
          <xdr:grpSpPr>
            <a:xfrm>
              <a:off x="12626340" y="243840"/>
              <a:ext cx="1344125" cy="571500"/>
              <a:chOff x="12626340" y="243840"/>
              <a:chExt cx="1344125" cy="571500"/>
            </a:xfrm>
          </xdr:grpSpPr>
          <xdr:pic>
            <xdr:nvPicPr>
              <xdr:cNvPr id="56" name="Picture 55">
                <a:hlinkClick xmlns:r="http://schemas.openxmlformats.org/officeDocument/2006/relationships" r:id="rId44"/>
                <a:extLst>
                  <a:ext uri="{FF2B5EF4-FFF2-40B4-BE49-F238E27FC236}">
                    <a16:creationId xmlns:a16="http://schemas.microsoft.com/office/drawing/2014/main" id="{15CD2959-98D9-E4CD-E7B4-F4CABDE7F10C}"/>
                  </a:ext>
                </a:extLst>
              </xdr:cNvPr>
              <xdr:cNvPicPr>
                <a:picLocks noChangeAspect="1" noChangeArrowheads="1"/>
              </xdr:cNvPicPr>
            </xdr:nvPicPr>
            <xdr:blipFill>
              <a:blip xmlns:r="http://schemas.openxmlformats.org/officeDocument/2006/relationships" r:embed="rId4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26340" y="243840"/>
                <a:ext cx="571500" cy="571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7" name="TextBox 56">
                <a:hlinkClick xmlns:r="http://schemas.openxmlformats.org/officeDocument/2006/relationships" r:id="rId44"/>
                <a:extLst>
                  <a:ext uri="{FF2B5EF4-FFF2-40B4-BE49-F238E27FC236}">
                    <a16:creationId xmlns:a16="http://schemas.microsoft.com/office/drawing/2014/main" id="{B79C26AF-03C5-8268-5917-ACD1D1865BEC}"/>
                  </a:ext>
                </a:extLst>
              </xdr:cNvPr>
              <xdr:cNvSpPr txBox="1"/>
            </xdr:nvSpPr>
            <xdr:spPr>
              <a:xfrm>
                <a:off x="13129260" y="327660"/>
                <a:ext cx="841205" cy="4000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TRAVEL</a:t>
                </a:r>
              </a:p>
              <a:p>
                <a:pPr algn="ctr"/>
                <a:r>
                  <a:rPr lang="en-US" sz="900" b="1">
                    <a:solidFill>
                      <a:schemeClr val="bg1"/>
                    </a:solidFill>
                  </a:rPr>
                  <a:t>SANDBOX</a:t>
                </a:r>
              </a:p>
            </xdr:txBody>
          </xdr:sp>
        </xdr:grpSp>
      </xdr:grpSp>
      <xdr:pic>
        <xdr:nvPicPr>
          <xdr:cNvPr id="53" name="Picture 52">
            <a:hlinkClick xmlns:r="http://schemas.openxmlformats.org/officeDocument/2006/relationships" r:id="rId12"/>
            <a:extLst>
              <a:ext uri="{FF2B5EF4-FFF2-40B4-BE49-F238E27FC236}">
                <a16:creationId xmlns:a16="http://schemas.microsoft.com/office/drawing/2014/main" id="{F36B78C6-E494-FFDD-DE1B-81A765340CC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6134100" y="30480"/>
            <a:ext cx="234698" cy="246078"/>
          </a:xfrm>
          <a:prstGeom prst="rect">
            <a:avLst/>
          </a:prstGeom>
          <a:solidFill>
            <a:srgbClr val="7FA6C7"/>
          </a:solidFill>
        </xdr:spPr>
      </xdr:pic>
    </xdr:grpSp>
    <xdr:clientData/>
  </xdr:twoCellAnchor>
</xdr:wsDr>
</file>

<file path=xl/drawings/drawing31.xml><?xml version="1.0" encoding="utf-8"?>
<c:userShapes xmlns:c="http://schemas.openxmlformats.org/drawingml/2006/chart">
  <cdr:relSizeAnchor xmlns:cdr="http://schemas.openxmlformats.org/drawingml/2006/chartDrawing">
    <cdr:from>
      <cdr:x>0.01116</cdr:x>
      <cdr:y>0.86552</cdr:y>
    </cdr:from>
    <cdr:to>
      <cdr:x>0.11129</cdr:x>
      <cdr:y>0.9623</cdr:y>
    </cdr:to>
    <cdr:sp macro="" textlink="">
      <cdr:nvSpPr>
        <cdr:cNvPr id="3" name="TextBox 2">
          <a:extLst xmlns:a="http://schemas.openxmlformats.org/drawingml/2006/main">
            <a:ext uri="{FF2B5EF4-FFF2-40B4-BE49-F238E27FC236}">
              <a16:creationId xmlns:a16="http://schemas.microsoft.com/office/drawing/2014/main" id="{24D17290-5F16-47BD-9823-609972427883}"/>
            </a:ext>
          </a:extLst>
        </cdr:cNvPr>
        <cdr:cNvSpPr txBox="1"/>
      </cdr:nvSpPr>
      <cdr:spPr>
        <a:xfrm xmlns:a="http://schemas.openxmlformats.org/drawingml/2006/main">
          <a:off x="86831" y="1879641"/>
          <a:ext cx="779204" cy="2101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solidFill>
                <a:schemeClr val="tx1">
                  <a:lumMod val="50000"/>
                  <a:lumOff val="50000"/>
                </a:schemeClr>
              </a:solidFill>
              <a:latin typeface="Arial" panose="020B0604020202020204" pitchFamily="34" charset="0"/>
              <a:cs typeface="Arial" panose="020B0604020202020204" pitchFamily="34" charset="0"/>
            </a:rPr>
            <a:t>Year</a:t>
          </a:r>
          <a:r>
            <a:rPr lang="en-US" sz="800">
              <a:solidFill>
                <a:schemeClr val="tx1">
                  <a:lumMod val="50000"/>
                  <a:lumOff val="50000"/>
                </a:schemeClr>
              </a:solidFill>
              <a:latin typeface="Segoe UI" panose="020B0502040204020203" pitchFamily="34" charset="0"/>
              <a:cs typeface="Segoe UI" panose="020B0502040204020203" pitchFamily="34" charset="0"/>
            </a:rPr>
            <a:t>:</a:t>
          </a:r>
        </a:p>
      </cdr:txBody>
    </cdr:sp>
  </cdr:relSizeAnchor>
</c:userShapes>
</file>

<file path=xl/drawings/drawing32.xml><?xml version="1.0" encoding="utf-8"?>
<xdr:wsDr xmlns:xdr="http://schemas.openxmlformats.org/drawingml/2006/spreadsheetDrawing" xmlns:a="http://schemas.openxmlformats.org/drawingml/2006/main">
  <xdr:twoCellAnchor>
    <xdr:from>
      <xdr:col>10</xdr:col>
      <xdr:colOff>0</xdr:colOff>
      <xdr:row>0</xdr:row>
      <xdr:rowOff>0</xdr:rowOff>
    </xdr:from>
    <xdr:to>
      <xdr:col>63</xdr:col>
      <xdr:colOff>114057</xdr:colOff>
      <xdr:row>3</xdr:row>
      <xdr:rowOff>0</xdr:rowOff>
    </xdr:to>
    <xdr:grpSp>
      <xdr:nvGrpSpPr>
        <xdr:cNvPr id="50" name="Group 49">
          <a:extLst>
            <a:ext uri="{FF2B5EF4-FFF2-40B4-BE49-F238E27FC236}">
              <a16:creationId xmlns:a16="http://schemas.microsoft.com/office/drawing/2014/main" id="{77517A59-57E2-4FE4-8586-0A506313D813}"/>
            </a:ext>
          </a:extLst>
        </xdr:cNvPr>
        <xdr:cNvGrpSpPr/>
      </xdr:nvGrpSpPr>
      <xdr:grpSpPr>
        <a:xfrm>
          <a:off x="1981200" y="0"/>
          <a:ext cx="11894577" cy="815340"/>
          <a:chOff x="2194560" y="0"/>
          <a:chExt cx="11894577" cy="815340"/>
        </a:xfrm>
      </xdr:grpSpPr>
      <xdr:grpSp>
        <xdr:nvGrpSpPr>
          <xdr:cNvPr id="51" name="Group 50">
            <a:extLst>
              <a:ext uri="{FF2B5EF4-FFF2-40B4-BE49-F238E27FC236}">
                <a16:creationId xmlns:a16="http://schemas.microsoft.com/office/drawing/2014/main" id="{9719C43A-43F9-4341-FF47-15A4D729A9A1}"/>
              </a:ext>
            </a:extLst>
          </xdr:cNvPr>
          <xdr:cNvGrpSpPr/>
        </xdr:nvGrpSpPr>
        <xdr:grpSpPr>
          <a:xfrm>
            <a:off x="2194560" y="0"/>
            <a:ext cx="11894577" cy="815340"/>
            <a:chOff x="2194560" y="0"/>
            <a:chExt cx="11894577" cy="815340"/>
          </a:xfrm>
        </xdr:grpSpPr>
        <xdr:grpSp>
          <xdr:nvGrpSpPr>
            <xdr:cNvPr id="53" name="Group 52">
              <a:extLst>
                <a:ext uri="{FF2B5EF4-FFF2-40B4-BE49-F238E27FC236}">
                  <a16:creationId xmlns:a16="http://schemas.microsoft.com/office/drawing/2014/main" id="{1D49BD9E-9894-24FC-CBEB-AD649F83409C}"/>
                </a:ext>
              </a:extLst>
            </xdr:cNvPr>
            <xdr:cNvGrpSpPr/>
          </xdr:nvGrpSpPr>
          <xdr:grpSpPr>
            <a:xfrm>
              <a:off x="2194560" y="0"/>
              <a:ext cx="11894577" cy="773812"/>
              <a:chOff x="2160046" y="0"/>
              <a:chExt cx="11894577" cy="773812"/>
            </a:xfrm>
          </xdr:grpSpPr>
          <xdr:grpSp>
            <xdr:nvGrpSpPr>
              <xdr:cNvPr id="57" name="Group 56">
                <a:extLst>
                  <a:ext uri="{FF2B5EF4-FFF2-40B4-BE49-F238E27FC236}">
                    <a16:creationId xmlns:a16="http://schemas.microsoft.com/office/drawing/2014/main" id="{353E168F-46BC-9E51-5741-EC619B65D055}"/>
                  </a:ext>
                </a:extLst>
              </xdr:cNvPr>
              <xdr:cNvGrpSpPr/>
            </xdr:nvGrpSpPr>
            <xdr:grpSpPr>
              <a:xfrm>
                <a:off x="2160046" y="0"/>
                <a:ext cx="11894577" cy="773812"/>
                <a:chOff x="1310640" y="0"/>
                <a:chExt cx="11549013" cy="764847"/>
              </a:xfrm>
            </xdr:grpSpPr>
            <xdr:pic>
              <xdr:nvPicPr>
                <xdr:cNvPr id="61" name="Picture 60">
                  <a:hlinkClick xmlns:r="http://schemas.openxmlformats.org/officeDocument/2006/relationships" r:id="rId1"/>
                  <a:extLst>
                    <a:ext uri="{FF2B5EF4-FFF2-40B4-BE49-F238E27FC236}">
                      <a16:creationId xmlns:a16="http://schemas.microsoft.com/office/drawing/2014/main" id="{8C964097-D5DA-2E79-C9D3-8143F3590511}"/>
                    </a:ext>
                  </a:extLst>
                </xdr:cNvPr>
                <xdr:cNvPicPr>
                  <a:picLocks/>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rcRect/>
                <a:stretch/>
              </xdr:blipFill>
              <xdr:spPr>
                <a:xfrm>
                  <a:off x="1310640" y="46180"/>
                  <a:ext cx="499211" cy="554546"/>
                </a:xfrm>
                <a:prstGeom prst="rect">
                  <a:avLst/>
                </a:prstGeom>
              </xdr:spPr>
            </xdr:pic>
            <xdr:pic>
              <xdr:nvPicPr>
                <xdr:cNvPr id="62" name="Picture 61">
                  <a:hlinkClick xmlns:r="http://schemas.openxmlformats.org/officeDocument/2006/relationships" r:id="rId3"/>
                  <a:extLst>
                    <a:ext uri="{FF2B5EF4-FFF2-40B4-BE49-F238E27FC236}">
                      <a16:creationId xmlns:a16="http://schemas.microsoft.com/office/drawing/2014/main" id="{652ACDF7-336D-3937-B83C-E63F64E1F89B}"/>
                    </a:ext>
                  </a:extLst>
                </xdr:cNvPr>
                <xdr:cNvPicPr>
                  <a:picLocks noChangeAspect="1" noChangeArrowheads="1"/>
                </xdr:cNvPicPr>
              </xdr:nvPicPr>
              <xdr:blipFill>
                <a:blip xmlns:r="http://schemas.openxmlformats.org/officeDocument/2006/relationships" r:embed="rId4" cstate="print">
                  <a:alphaModFix/>
                  <a:extLst>
                    <a:ext uri="{28A0092B-C50C-407E-A947-70E740481C1C}">
                      <a14:useLocalDpi xmlns:a14="http://schemas.microsoft.com/office/drawing/2010/main" val="0"/>
                    </a:ext>
                  </a:extLst>
                </a:blip>
                <a:srcRect/>
                <a:stretch>
                  <a:fillRect/>
                </a:stretch>
              </xdr:blipFill>
              <xdr:spPr bwMode="auto">
                <a:xfrm>
                  <a:off x="2163693" y="30823"/>
                  <a:ext cx="214188" cy="2260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3" name="TextBox 62">
                  <a:hlinkClick xmlns:r="http://schemas.openxmlformats.org/officeDocument/2006/relationships" r:id="rId3"/>
                  <a:extLst>
                    <a:ext uri="{FF2B5EF4-FFF2-40B4-BE49-F238E27FC236}">
                      <a16:creationId xmlns:a16="http://schemas.microsoft.com/office/drawing/2014/main" id="{0CBA90D2-32B7-96D2-BA1B-7933C5C241CE}"/>
                    </a:ext>
                  </a:extLst>
                </xdr:cNvPr>
                <xdr:cNvSpPr txBox="1"/>
              </xdr:nvSpPr>
              <xdr:spPr>
                <a:xfrm>
                  <a:off x="2369194" y="17046"/>
                  <a:ext cx="846446" cy="25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US" sz="900" b="1">
                      <a:solidFill>
                        <a:schemeClr val="bg1"/>
                      </a:solidFill>
                    </a:rPr>
                    <a:t>DASHBOARD</a:t>
                  </a:r>
                </a:p>
              </xdr:txBody>
            </xdr:sp>
            <xdr:pic>
              <xdr:nvPicPr>
                <xdr:cNvPr id="64" name="Picture 63">
                  <a:hlinkClick xmlns:r="http://schemas.openxmlformats.org/officeDocument/2006/relationships" r:id="rId5"/>
                  <a:extLst>
                    <a:ext uri="{FF2B5EF4-FFF2-40B4-BE49-F238E27FC236}">
                      <a16:creationId xmlns:a16="http://schemas.microsoft.com/office/drawing/2014/main" id="{1B25B35D-F243-0D67-0C9F-2362D72B740C}"/>
                    </a:ext>
                  </a:extLst>
                </xdr:cNvPr>
                <xdr:cNvPicPr>
                  <a:picLocks noChangeAspect="1" noChangeArrowheads="1"/>
                </xdr:cNvPicPr>
              </xdr:nvPicPr>
              <xdr:blipFill>
                <a:blip xmlns:r="http://schemas.openxmlformats.org/officeDocument/2006/relationships" r:embed="rId6" cstate="print">
                  <a:alphaModFix/>
                  <a:extLst>
                    <a:ext uri="{28A0092B-C50C-407E-A947-70E740481C1C}">
                      <a14:useLocalDpi xmlns:a14="http://schemas.microsoft.com/office/drawing/2010/main" val="0"/>
                    </a:ext>
                  </a:extLst>
                </a:blip>
                <a:srcRect/>
                <a:stretch>
                  <a:fillRect/>
                </a:stretch>
              </xdr:blipFill>
              <xdr:spPr bwMode="auto">
                <a:xfrm>
                  <a:off x="8461655" y="433462"/>
                  <a:ext cx="214188" cy="20819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5" name="TextBox 64">
                  <a:hlinkClick xmlns:r="http://schemas.openxmlformats.org/officeDocument/2006/relationships" r:id="rId5"/>
                  <a:extLst>
                    <a:ext uri="{FF2B5EF4-FFF2-40B4-BE49-F238E27FC236}">
                      <a16:creationId xmlns:a16="http://schemas.microsoft.com/office/drawing/2014/main" id="{A582AF4D-5A87-CD0B-3118-C8E1062EEC83}"/>
                    </a:ext>
                  </a:extLst>
                </xdr:cNvPr>
                <xdr:cNvSpPr txBox="1"/>
              </xdr:nvSpPr>
              <xdr:spPr>
                <a:xfrm>
                  <a:off x="8647283" y="413913"/>
                  <a:ext cx="56836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REPORTS</a:t>
                  </a:r>
                </a:p>
              </xdr:txBody>
            </xdr:sp>
            <xdr:pic>
              <xdr:nvPicPr>
                <xdr:cNvPr id="66" name="Picture 65">
                  <a:hlinkClick xmlns:r="http://schemas.openxmlformats.org/officeDocument/2006/relationships" r:id="rId7"/>
                  <a:extLst>
                    <a:ext uri="{FF2B5EF4-FFF2-40B4-BE49-F238E27FC236}">
                      <a16:creationId xmlns:a16="http://schemas.microsoft.com/office/drawing/2014/main" id="{1444E064-AEF8-891D-5D38-89307344068E}"/>
                    </a:ext>
                  </a:extLst>
                </xdr:cNvPr>
                <xdr:cNvPicPr>
                  <a:picLocks noChangeAspect="1"/>
                </xdr:cNvPicPr>
              </xdr:nvPicPr>
              <xdr:blipFill>
                <a:blip xmlns:r="http://schemas.openxmlformats.org/officeDocument/2006/relationships" r:embed="rId8" cstate="print">
                  <a:alphaModFix/>
                  <a:extLst>
                    <a:ext uri="{28A0092B-C50C-407E-A947-70E740481C1C}">
                      <a14:useLocalDpi xmlns:a14="http://schemas.microsoft.com/office/drawing/2010/main" val="0"/>
                    </a:ext>
                  </a:extLst>
                </a:blip>
                <a:stretch>
                  <a:fillRect/>
                </a:stretch>
              </xdr:blipFill>
              <xdr:spPr>
                <a:xfrm>
                  <a:off x="6903860" y="19549"/>
                  <a:ext cx="214187" cy="248554"/>
                </a:xfrm>
                <a:prstGeom prst="rect">
                  <a:avLst/>
                </a:prstGeom>
              </xdr:spPr>
            </xdr:pic>
            <xdr:sp macro="" textlink="">
              <xdr:nvSpPr>
                <xdr:cNvPr id="67" name="TextBox 66">
                  <a:hlinkClick xmlns:r="http://schemas.openxmlformats.org/officeDocument/2006/relationships" r:id="rId7"/>
                  <a:extLst>
                    <a:ext uri="{FF2B5EF4-FFF2-40B4-BE49-F238E27FC236}">
                      <a16:creationId xmlns:a16="http://schemas.microsoft.com/office/drawing/2014/main" id="{5506CCBF-3F84-D331-6DC5-E49808B418D4}"/>
                    </a:ext>
                  </a:extLst>
                </xdr:cNvPr>
                <xdr:cNvSpPr txBox="1"/>
              </xdr:nvSpPr>
              <xdr:spPr>
                <a:xfrm>
                  <a:off x="7099062" y="0"/>
                  <a:ext cx="67589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MORTGAGE</a:t>
                  </a:r>
                </a:p>
              </xdr:txBody>
            </xdr:sp>
            <xdr:sp macro="" textlink="">
              <xdr:nvSpPr>
                <xdr:cNvPr id="68" name="TextBox 67">
                  <a:hlinkClick xmlns:r="http://schemas.openxmlformats.org/officeDocument/2006/relationships" r:id="rId9"/>
                  <a:extLst>
                    <a:ext uri="{FF2B5EF4-FFF2-40B4-BE49-F238E27FC236}">
                      <a16:creationId xmlns:a16="http://schemas.microsoft.com/office/drawing/2014/main" id="{B499938F-2C60-428F-8BB7-B1003ABA103F}"/>
                    </a:ext>
                  </a:extLst>
                </xdr:cNvPr>
                <xdr:cNvSpPr txBox="1"/>
              </xdr:nvSpPr>
              <xdr:spPr>
                <a:xfrm>
                  <a:off x="6375474" y="0"/>
                  <a:ext cx="381400"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DEBT</a:t>
                  </a:r>
                </a:p>
              </xdr:txBody>
            </xdr:sp>
            <xdr:pic>
              <xdr:nvPicPr>
                <xdr:cNvPr id="69" name="Picture 68">
                  <a:hlinkClick xmlns:r="http://schemas.openxmlformats.org/officeDocument/2006/relationships" r:id="rId9"/>
                  <a:extLst>
                    <a:ext uri="{FF2B5EF4-FFF2-40B4-BE49-F238E27FC236}">
                      <a16:creationId xmlns:a16="http://schemas.microsoft.com/office/drawing/2014/main" id="{591FAD6E-36CE-2B5D-EE5E-D8D3ECCB05A9}"/>
                    </a:ext>
                  </a:extLst>
                </xdr:cNvPr>
                <xdr:cNvPicPr>
                  <a:picLocks noChangeAspect="1"/>
                </xdr:cNvPicPr>
              </xdr:nvPicPr>
              <xdr:blipFill>
                <a:blip xmlns:r="http://schemas.openxmlformats.org/officeDocument/2006/relationships" r:embed="rId10" cstate="print">
                  <a:alphaModFix/>
                  <a:extLst>
                    <a:ext uri="{28A0092B-C50C-407E-A947-70E740481C1C}">
                      <a14:useLocalDpi xmlns:a14="http://schemas.microsoft.com/office/drawing/2010/main" val="0"/>
                    </a:ext>
                  </a:extLst>
                </a:blip>
                <a:stretch>
                  <a:fillRect/>
                </a:stretch>
              </xdr:blipFill>
              <xdr:spPr>
                <a:xfrm>
                  <a:off x="6158378" y="19549"/>
                  <a:ext cx="214188" cy="248554"/>
                </a:xfrm>
                <a:prstGeom prst="rect">
                  <a:avLst/>
                </a:prstGeom>
              </xdr:spPr>
            </xdr:pic>
            <xdr:sp macro="" textlink="">
              <xdr:nvSpPr>
                <xdr:cNvPr id="70" name="TextBox 69">
                  <a:hlinkClick xmlns:r="http://schemas.openxmlformats.org/officeDocument/2006/relationships" r:id="rId11"/>
                  <a:extLst>
                    <a:ext uri="{FF2B5EF4-FFF2-40B4-BE49-F238E27FC236}">
                      <a16:creationId xmlns:a16="http://schemas.microsoft.com/office/drawing/2014/main" id="{E2121AE8-60A4-039F-C21F-1E938A44BE09}"/>
                    </a:ext>
                  </a:extLst>
                </xdr:cNvPr>
                <xdr:cNvSpPr txBox="1"/>
              </xdr:nvSpPr>
              <xdr:spPr>
                <a:xfrm>
                  <a:off x="5370816" y="37659"/>
                  <a:ext cx="64057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FORECASTS</a:t>
                  </a:r>
                </a:p>
              </xdr:txBody>
            </xdr:sp>
            <xdr:sp macro="" textlink="">
              <xdr:nvSpPr>
                <xdr:cNvPr id="71" name="TextBox 70">
                  <a:hlinkClick xmlns:r="http://schemas.openxmlformats.org/officeDocument/2006/relationships" r:id="rId12"/>
                  <a:extLst>
                    <a:ext uri="{FF2B5EF4-FFF2-40B4-BE49-F238E27FC236}">
                      <a16:creationId xmlns:a16="http://schemas.microsoft.com/office/drawing/2014/main" id="{0E69ABE1-3C9E-31F5-717B-8A8E736012F3}"/>
                    </a:ext>
                  </a:extLst>
                </xdr:cNvPr>
                <xdr:cNvSpPr txBox="1"/>
              </xdr:nvSpPr>
              <xdr:spPr>
                <a:xfrm>
                  <a:off x="8104032" y="0"/>
                  <a:ext cx="7732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a:t>
                  </a:r>
                  <a:r>
                    <a:rPr lang="en-US" sz="900" b="1" baseline="0">
                      <a:solidFill>
                        <a:schemeClr val="bg1"/>
                      </a:solidFill>
                    </a:rPr>
                    <a:t> (M)</a:t>
                  </a:r>
                  <a:endParaRPr lang="en-US" sz="900" b="1">
                    <a:solidFill>
                      <a:schemeClr val="bg1"/>
                    </a:solidFill>
                  </a:endParaRPr>
                </a:p>
              </xdr:txBody>
            </xdr:sp>
            <xdr:pic>
              <xdr:nvPicPr>
                <xdr:cNvPr id="72" name="Picture 71">
                  <a:hlinkClick xmlns:r="http://schemas.openxmlformats.org/officeDocument/2006/relationships" r:id="rId12"/>
                  <a:extLst>
                    <a:ext uri="{FF2B5EF4-FFF2-40B4-BE49-F238E27FC236}">
                      <a16:creationId xmlns:a16="http://schemas.microsoft.com/office/drawing/2014/main" id="{2CB1B446-2D79-1AD1-F0FB-CF03B836E8DA}"/>
                    </a:ext>
                  </a:extLst>
                </xdr:cNvPr>
                <xdr:cNvPicPr>
                  <a:picLocks noChangeAspect="1"/>
                </xdr:cNvPicPr>
              </xdr:nvPicPr>
              <xdr:blipFill>
                <a:blip xmlns:r="http://schemas.openxmlformats.org/officeDocument/2006/relationships" r:embed="rId13" cstate="print">
                  <a:alphaModFix/>
                  <a:extLst>
                    <a:ext uri="{28A0092B-C50C-407E-A947-70E740481C1C}">
                      <a14:useLocalDpi xmlns:a14="http://schemas.microsoft.com/office/drawing/2010/main" val="0"/>
                    </a:ext>
                  </a:extLst>
                </a:blip>
                <a:stretch>
                  <a:fillRect/>
                </a:stretch>
              </xdr:blipFill>
              <xdr:spPr>
                <a:xfrm>
                  <a:off x="7921943" y="19549"/>
                  <a:ext cx="214188" cy="248554"/>
                </a:xfrm>
                <a:prstGeom prst="rect">
                  <a:avLst/>
                </a:prstGeom>
              </xdr:spPr>
            </xdr:pic>
            <xdr:sp macro="" textlink="">
              <xdr:nvSpPr>
                <xdr:cNvPr id="73" name="TextBox 72">
                  <a:hlinkClick xmlns:r="http://schemas.openxmlformats.org/officeDocument/2006/relationships" r:id="rId14"/>
                  <a:extLst>
                    <a:ext uri="{FF2B5EF4-FFF2-40B4-BE49-F238E27FC236}">
                      <a16:creationId xmlns:a16="http://schemas.microsoft.com/office/drawing/2014/main" id="{AB5C8D2F-BB56-106A-A616-3287CF3B4B35}"/>
                    </a:ext>
                  </a:extLst>
                </xdr:cNvPr>
                <xdr:cNvSpPr txBox="1"/>
              </xdr:nvSpPr>
              <xdr:spPr>
                <a:xfrm>
                  <a:off x="9978309" y="0"/>
                  <a:ext cx="687187"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 (Y)</a:t>
                  </a:r>
                </a:p>
              </xdr:txBody>
            </xdr:sp>
            <xdr:pic>
              <xdr:nvPicPr>
                <xdr:cNvPr id="74" name="Picture 73">
                  <a:hlinkClick xmlns:r="http://schemas.openxmlformats.org/officeDocument/2006/relationships" r:id="rId14"/>
                  <a:extLst>
                    <a:ext uri="{FF2B5EF4-FFF2-40B4-BE49-F238E27FC236}">
                      <a16:creationId xmlns:a16="http://schemas.microsoft.com/office/drawing/2014/main" id="{23A726EC-3057-FD87-4EA6-0948691D8F20}"/>
                    </a:ext>
                  </a:extLst>
                </xdr:cNvPr>
                <xdr:cNvPicPr>
                  <a:picLocks noChangeAspect="1"/>
                </xdr:cNvPicPr>
              </xdr:nvPicPr>
              <xdr:blipFill>
                <a:blip xmlns:r="http://schemas.openxmlformats.org/officeDocument/2006/relationships" r:embed="rId15" cstate="print">
                  <a:alphaModFix/>
                  <a:extLst>
                    <a:ext uri="{28A0092B-C50C-407E-A947-70E740481C1C}">
                      <a14:useLocalDpi xmlns:a14="http://schemas.microsoft.com/office/drawing/2010/main" val="0"/>
                    </a:ext>
                  </a:extLst>
                </a:blip>
                <a:stretch>
                  <a:fillRect/>
                </a:stretch>
              </xdr:blipFill>
              <xdr:spPr>
                <a:xfrm>
                  <a:off x="9777770" y="19549"/>
                  <a:ext cx="214188" cy="248554"/>
                </a:xfrm>
                <a:prstGeom prst="rect">
                  <a:avLst/>
                </a:prstGeom>
              </xdr:spPr>
            </xdr:pic>
            <xdr:sp macro="" textlink="">
              <xdr:nvSpPr>
                <xdr:cNvPr id="75" name="TextBox 74">
                  <a:hlinkClick xmlns:r="http://schemas.openxmlformats.org/officeDocument/2006/relationships" r:id="rId16"/>
                  <a:extLst>
                    <a:ext uri="{FF2B5EF4-FFF2-40B4-BE49-F238E27FC236}">
                      <a16:creationId xmlns:a16="http://schemas.microsoft.com/office/drawing/2014/main" id="{23900DFF-3EB8-AF9E-9BA8-98635207E558}"/>
                    </a:ext>
                  </a:extLst>
                </xdr:cNvPr>
                <xdr:cNvSpPr txBox="1"/>
              </xdr:nvSpPr>
              <xdr:spPr>
                <a:xfrm>
                  <a:off x="9133984" y="0"/>
                  <a:ext cx="49680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VERSUS</a:t>
                  </a:r>
                </a:p>
              </xdr:txBody>
            </xdr:sp>
            <xdr:pic>
              <xdr:nvPicPr>
                <xdr:cNvPr id="76" name="Picture 75">
                  <a:hlinkClick xmlns:r="http://schemas.openxmlformats.org/officeDocument/2006/relationships" r:id="rId16"/>
                  <a:extLst>
                    <a:ext uri="{FF2B5EF4-FFF2-40B4-BE49-F238E27FC236}">
                      <a16:creationId xmlns:a16="http://schemas.microsoft.com/office/drawing/2014/main" id="{05A738C3-D563-4B08-9066-619974607E51}"/>
                    </a:ext>
                  </a:extLst>
                </xdr:cNvPr>
                <xdr:cNvPicPr>
                  <a:picLocks noChangeAspect="1"/>
                </xdr:cNvPicPr>
              </xdr:nvPicPr>
              <xdr:blipFill>
                <a:blip xmlns:r="http://schemas.openxmlformats.org/officeDocument/2006/relationships" r:embed="rId17" cstate="print">
                  <a:alphaModFix/>
                  <a:extLst>
                    <a:ext uri="{28A0092B-C50C-407E-A947-70E740481C1C}">
                      <a14:useLocalDpi xmlns:a14="http://schemas.microsoft.com/office/drawing/2010/main" val="0"/>
                    </a:ext>
                  </a:extLst>
                </a:blip>
                <a:stretch>
                  <a:fillRect/>
                </a:stretch>
              </xdr:blipFill>
              <xdr:spPr>
                <a:xfrm>
                  <a:off x="8938203" y="19549"/>
                  <a:ext cx="214187" cy="248554"/>
                </a:xfrm>
                <a:prstGeom prst="rect">
                  <a:avLst/>
                </a:prstGeom>
              </xdr:spPr>
            </xdr:pic>
            <xdr:sp macro="" textlink="">
              <xdr:nvSpPr>
                <xdr:cNvPr id="77" name="TextBox 76">
                  <a:hlinkClick xmlns:r="http://schemas.openxmlformats.org/officeDocument/2006/relationships" r:id="rId18"/>
                  <a:extLst>
                    <a:ext uri="{FF2B5EF4-FFF2-40B4-BE49-F238E27FC236}">
                      <a16:creationId xmlns:a16="http://schemas.microsoft.com/office/drawing/2014/main" id="{097C8619-B70B-4A74-24CF-CFD4C3DB9F3D}"/>
                    </a:ext>
                  </a:extLst>
                </xdr:cNvPr>
                <xdr:cNvSpPr txBox="1"/>
              </xdr:nvSpPr>
              <xdr:spPr>
                <a:xfrm>
                  <a:off x="3510385" y="0"/>
                  <a:ext cx="52312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REPAIRS</a:t>
                  </a:r>
                </a:p>
              </xdr:txBody>
            </xdr:sp>
            <xdr:pic>
              <xdr:nvPicPr>
                <xdr:cNvPr id="78" name="Picture 77">
                  <a:hlinkClick xmlns:r="http://schemas.openxmlformats.org/officeDocument/2006/relationships" r:id="rId18"/>
                  <a:extLst>
                    <a:ext uri="{FF2B5EF4-FFF2-40B4-BE49-F238E27FC236}">
                      <a16:creationId xmlns:a16="http://schemas.microsoft.com/office/drawing/2014/main" id="{2B4B19B8-DC20-5D43-7270-92102621E248}"/>
                    </a:ext>
                  </a:extLst>
                </xdr:cNvPr>
                <xdr:cNvPicPr>
                  <a:picLocks noChangeAspect="1"/>
                </xdr:cNvPicPr>
              </xdr:nvPicPr>
              <xdr:blipFill>
                <a:blip xmlns:r="http://schemas.openxmlformats.org/officeDocument/2006/relationships" r:embed="rId19" cstate="print">
                  <a:alphaModFix/>
                  <a:extLst>
                    <a:ext uri="{28A0092B-C50C-407E-A947-70E740481C1C}">
                      <a14:useLocalDpi xmlns:a14="http://schemas.microsoft.com/office/drawing/2010/main" val="0"/>
                    </a:ext>
                  </a:extLst>
                </a:blip>
                <a:stretch>
                  <a:fillRect/>
                </a:stretch>
              </xdr:blipFill>
              <xdr:spPr>
                <a:xfrm>
                  <a:off x="3296296" y="28376"/>
                  <a:ext cx="214435" cy="230900"/>
                </a:xfrm>
                <a:prstGeom prst="rect">
                  <a:avLst/>
                </a:prstGeom>
              </xdr:spPr>
            </xdr:pic>
            <xdr:sp macro="" textlink="">
              <xdr:nvSpPr>
                <xdr:cNvPr id="79" name="TextBox 78">
                  <a:hlinkClick xmlns:r="http://schemas.openxmlformats.org/officeDocument/2006/relationships" r:id="rId20"/>
                  <a:extLst>
                    <a:ext uri="{FF2B5EF4-FFF2-40B4-BE49-F238E27FC236}">
                      <a16:creationId xmlns:a16="http://schemas.microsoft.com/office/drawing/2014/main" id="{3C2F5AE7-E4B4-08F0-3244-7C88B261D2D6}"/>
                    </a:ext>
                  </a:extLst>
                </xdr:cNvPr>
                <xdr:cNvSpPr txBox="1"/>
              </xdr:nvSpPr>
              <xdr:spPr>
                <a:xfrm>
                  <a:off x="4388587" y="0"/>
                  <a:ext cx="63170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FURNITURE</a:t>
                  </a:r>
                </a:p>
              </xdr:txBody>
            </xdr:sp>
            <xdr:pic>
              <xdr:nvPicPr>
                <xdr:cNvPr id="80" name="Picture 79">
                  <a:hlinkClick xmlns:r="http://schemas.openxmlformats.org/officeDocument/2006/relationships" r:id="rId20"/>
                  <a:extLst>
                    <a:ext uri="{FF2B5EF4-FFF2-40B4-BE49-F238E27FC236}">
                      <a16:creationId xmlns:a16="http://schemas.microsoft.com/office/drawing/2014/main" id="{36B1F973-74CA-BA94-69EA-7D7223CC0082}"/>
                    </a:ext>
                  </a:extLst>
                </xdr:cNvPr>
                <xdr:cNvPicPr>
                  <a:picLocks noChangeAspect="1"/>
                </xdr:cNvPicPr>
              </xdr:nvPicPr>
              <xdr:blipFill>
                <a:blip xmlns:r="http://schemas.openxmlformats.org/officeDocument/2006/relationships" r:embed="rId21" cstate="print">
                  <a:alphaModFix/>
                  <a:extLst>
                    <a:ext uri="{28A0092B-C50C-407E-A947-70E740481C1C}">
                      <a14:useLocalDpi xmlns:a14="http://schemas.microsoft.com/office/drawing/2010/main" val="0"/>
                    </a:ext>
                  </a:extLst>
                </a:blip>
                <a:stretch>
                  <a:fillRect/>
                </a:stretch>
              </xdr:blipFill>
              <xdr:spPr>
                <a:xfrm>
                  <a:off x="4180491" y="28376"/>
                  <a:ext cx="214435" cy="230900"/>
                </a:xfrm>
                <a:prstGeom prst="rect">
                  <a:avLst/>
                </a:prstGeom>
              </xdr:spPr>
            </xdr:pic>
            <xdr:pic>
              <xdr:nvPicPr>
                <xdr:cNvPr id="81" name="Picture 80">
                  <a:hlinkClick xmlns:r="http://schemas.openxmlformats.org/officeDocument/2006/relationships" r:id="rId22"/>
                  <a:extLst>
                    <a:ext uri="{FF2B5EF4-FFF2-40B4-BE49-F238E27FC236}">
                      <a16:creationId xmlns:a16="http://schemas.microsoft.com/office/drawing/2014/main" id="{A0D109D9-3418-C078-C584-55DD6C312E7E}"/>
                    </a:ext>
                  </a:extLst>
                </xdr:cNvPr>
                <xdr:cNvPicPr>
                  <a:picLocks noChangeAspect="1"/>
                </xdr:cNvPicPr>
              </xdr:nvPicPr>
              <xdr:blipFill>
                <a:blip xmlns:r="http://schemas.openxmlformats.org/officeDocument/2006/relationships" r:embed="rId23" cstate="print">
                  <a:alphaModFix/>
                  <a:extLst>
                    <a:ext uri="{28A0092B-C50C-407E-A947-70E740481C1C}">
                      <a14:useLocalDpi xmlns:a14="http://schemas.microsoft.com/office/drawing/2010/main" val="0"/>
                    </a:ext>
                  </a:extLst>
                </a:blip>
                <a:stretch>
                  <a:fillRect/>
                </a:stretch>
              </xdr:blipFill>
              <xdr:spPr>
                <a:xfrm>
                  <a:off x="10812480" y="19549"/>
                  <a:ext cx="214188" cy="248554"/>
                </a:xfrm>
                <a:prstGeom prst="rect">
                  <a:avLst/>
                </a:prstGeom>
              </xdr:spPr>
            </xdr:pic>
            <xdr:sp macro="" textlink="">
              <xdr:nvSpPr>
                <xdr:cNvPr id="82" name="TextBox 81">
                  <a:hlinkClick xmlns:r="http://schemas.openxmlformats.org/officeDocument/2006/relationships" r:id="rId22"/>
                  <a:extLst>
                    <a:ext uri="{FF2B5EF4-FFF2-40B4-BE49-F238E27FC236}">
                      <a16:creationId xmlns:a16="http://schemas.microsoft.com/office/drawing/2014/main" id="{A7582DA0-D815-FFBA-6E07-B19DE8C0F685}"/>
                    </a:ext>
                  </a:extLst>
                </xdr:cNvPr>
                <xdr:cNvSpPr txBox="1"/>
              </xdr:nvSpPr>
              <xdr:spPr>
                <a:xfrm>
                  <a:off x="11008843" y="0"/>
                  <a:ext cx="40705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PEERS</a:t>
                  </a:r>
                </a:p>
              </xdr:txBody>
            </xdr:sp>
            <xdr:sp macro="" textlink="">
              <xdr:nvSpPr>
                <xdr:cNvPr id="83" name="TextBox 82">
                  <a:hlinkClick xmlns:r="http://schemas.openxmlformats.org/officeDocument/2006/relationships" r:id="rId24"/>
                  <a:extLst>
                    <a:ext uri="{FF2B5EF4-FFF2-40B4-BE49-F238E27FC236}">
                      <a16:creationId xmlns:a16="http://schemas.microsoft.com/office/drawing/2014/main" id="{9248D08D-5504-3264-D53B-52C5F911F71A}"/>
                    </a:ext>
                  </a:extLst>
                </xdr:cNvPr>
                <xdr:cNvSpPr txBox="1"/>
              </xdr:nvSpPr>
              <xdr:spPr>
                <a:xfrm>
                  <a:off x="9581756" y="397481"/>
                  <a:ext cx="656781"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MAX PRICE</a:t>
                  </a:r>
                </a:p>
              </xdr:txBody>
            </xdr:sp>
            <xdr:pic>
              <xdr:nvPicPr>
                <xdr:cNvPr id="84" name="Picture 83">
                  <a:hlinkClick xmlns:r="http://schemas.openxmlformats.org/officeDocument/2006/relationships" r:id="rId24"/>
                  <a:extLst>
                    <a:ext uri="{FF2B5EF4-FFF2-40B4-BE49-F238E27FC236}">
                      <a16:creationId xmlns:a16="http://schemas.microsoft.com/office/drawing/2014/main" id="{FCFC9558-DE43-6500-6695-A539031D0362}"/>
                    </a:ext>
                  </a:extLst>
                </xdr:cNvPr>
                <xdr:cNvPicPr>
                  <a:picLocks noChangeAspect="1"/>
                </xdr:cNvPicPr>
              </xdr:nvPicPr>
              <xdr:blipFill>
                <a:blip xmlns:r="http://schemas.openxmlformats.org/officeDocument/2006/relationships" r:embed="rId25" cstate="print">
                  <a:alphaModFix/>
                  <a:extLst>
                    <a:ext uri="{28A0092B-C50C-407E-A947-70E740481C1C}">
                      <a14:useLocalDpi xmlns:a14="http://schemas.microsoft.com/office/drawing/2010/main" val="0"/>
                    </a:ext>
                  </a:extLst>
                </a:blip>
                <a:stretch>
                  <a:fillRect/>
                </a:stretch>
              </xdr:blipFill>
              <xdr:spPr>
                <a:xfrm>
                  <a:off x="9433997" y="425857"/>
                  <a:ext cx="214435" cy="230900"/>
                </a:xfrm>
                <a:prstGeom prst="rect">
                  <a:avLst/>
                </a:prstGeom>
              </xdr:spPr>
            </xdr:pic>
            <xdr:sp macro="" textlink="">
              <xdr:nvSpPr>
                <xdr:cNvPr id="85" name="TextBox 84">
                  <a:hlinkClick xmlns:r="http://schemas.openxmlformats.org/officeDocument/2006/relationships" r:id="rId26"/>
                  <a:extLst>
                    <a:ext uri="{FF2B5EF4-FFF2-40B4-BE49-F238E27FC236}">
                      <a16:creationId xmlns:a16="http://schemas.microsoft.com/office/drawing/2014/main" id="{F86A20A5-C6EE-7145-05A2-607C35B892E0}"/>
                    </a:ext>
                  </a:extLst>
                </xdr:cNvPr>
                <xdr:cNvSpPr txBox="1"/>
              </xdr:nvSpPr>
              <xdr:spPr>
                <a:xfrm>
                  <a:off x="7733272" y="389861"/>
                  <a:ext cx="6384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SCENARIOS</a:t>
                  </a:r>
                </a:p>
              </xdr:txBody>
            </xdr:sp>
            <xdr:pic>
              <xdr:nvPicPr>
                <xdr:cNvPr id="86" name="Picture 85">
                  <a:hlinkClick xmlns:r="http://schemas.openxmlformats.org/officeDocument/2006/relationships" r:id="rId26"/>
                  <a:extLst>
                    <a:ext uri="{FF2B5EF4-FFF2-40B4-BE49-F238E27FC236}">
                      <a16:creationId xmlns:a16="http://schemas.microsoft.com/office/drawing/2014/main" id="{C500A7BA-9E0B-5F86-7B21-4FF29AD1605F}"/>
                    </a:ext>
                  </a:extLst>
                </xdr:cNvPr>
                <xdr:cNvPicPr>
                  <a:picLocks noChangeAspect="1"/>
                </xdr:cNvPicPr>
              </xdr:nvPicPr>
              <xdr:blipFill>
                <a:blip xmlns:r="http://schemas.openxmlformats.org/officeDocument/2006/relationships" r:embed="rId27" cstate="print">
                  <a:alphaModFix/>
                  <a:extLst>
                    <a:ext uri="{28A0092B-C50C-407E-A947-70E740481C1C}">
                      <a14:useLocalDpi xmlns:a14="http://schemas.microsoft.com/office/drawing/2010/main" val="0"/>
                    </a:ext>
                  </a:extLst>
                </a:blip>
                <a:stretch>
                  <a:fillRect/>
                </a:stretch>
              </xdr:blipFill>
              <xdr:spPr>
                <a:xfrm>
                  <a:off x="7536090" y="418237"/>
                  <a:ext cx="214435" cy="230900"/>
                </a:xfrm>
                <a:prstGeom prst="rect">
                  <a:avLst/>
                </a:prstGeom>
              </xdr:spPr>
            </xdr:pic>
            <xdr:sp macro="" textlink="">
              <xdr:nvSpPr>
                <xdr:cNvPr id="87" name="TextBox 86">
                  <a:hlinkClick xmlns:r="http://schemas.openxmlformats.org/officeDocument/2006/relationships" r:id="rId28"/>
                  <a:extLst>
                    <a:ext uri="{FF2B5EF4-FFF2-40B4-BE49-F238E27FC236}">
                      <a16:creationId xmlns:a16="http://schemas.microsoft.com/office/drawing/2014/main" id="{A81489FF-9DE9-05E1-103A-4271F2BE5844}"/>
                    </a:ext>
                  </a:extLst>
                </xdr:cNvPr>
                <xdr:cNvSpPr txBox="1"/>
              </xdr:nvSpPr>
              <xdr:spPr>
                <a:xfrm>
                  <a:off x="11757467" y="49286"/>
                  <a:ext cx="110218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MARKET RESEARCH</a:t>
                  </a:r>
                </a:p>
              </xdr:txBody>
            </xdr:sp>
            <xdr:pic>
              <xdr:nvPicPr>
                <xdr:cNvPr id="88" name="Picture 87" descr="A white and brown hourglass&#10;&#10;AI-generated content may be incorrect.">
                  <a:hlinkClick xmlns:r="http://schemas.openxmlformats.org/officeDocument/2006/relationships" r:id="rId28"/>
                  <a:extLst>
                    <a:ext uri="{FF2B5EF4-FFF2-40B4-BE49-F238E27FC236}">
                      <a16:creationId xmlns:a16="http://schemas.microsoft.com/office/drawing/2014/main" id="{3F651E4C-6294-62EC-2156-4BF495761F34}"/>
                    </a:ext>
                  </a:extLst>
                </xdr:cNvPr>
                <xdr:cNvPicPr>
                  <a:picLocks noChangeAspect="1"/>
                </xdr:cNvPicPr>
              </xdr:nvPicPr>
              <xdr:blipFill>
                <a:blip xmlns:r="http://schemas.openxmlformats.org/officeDocument/2006/relationships" r:embed="rId29" cstate="print">
                  <a:alphaModFix/>
                  <a:extLst>
                    <a:ext uri="{28A0092B-C50C-407E-A947-70E740481C1C}">
                      <a14:useLocalDpi xmlns:a14="http://schemas.microsoft.com/office/drawing/2010/main" val="0"/>
                    </a:ext>
                  </a:extLst>
                </a:blip>
                <a:stretch>
                  <a:fillRect/>
                </a:stretch>
              </xdr:blipFill>
              <xdr:spPr>
                <a:xfrm>
                  <a:off x="11563464" y="33893"/>
                  <a:ext cx="235575" cy="261687"/>
                </a:xfrm>
                <a:prstGeom prst="rect">
                  <a:avLst/>
                </a:prstGeom>
              </xdr:spPr>
            </xdr:pic>
            <xdr:pic>
              <xdr:nvPicPr>
                <xdr:cNvPr id="89" name="Picture 88">
                  <a:hlinkClick xmlns:r="http://schemas.openxmlformats.org/officeDocument/2006/relationships" r:id="rId30"/>
                  <a:extLst>
                    <a:ext uri="{FF2B5EF4-FFF2-40B4-BE49-F238E27FC236}">
                      <a16:creationId xmlns:a16="http://schemas.microsoft.com/office/drawing/2014/main" id="{255F0705-2C09-8620-2233-71A2DC7E17E9}"/>
                    </a:ext>
                  </a:extLst>
                </xdr:cNvPr>
                <xdr:cNvPicPr>
                  <a:picLocks noChangeAspect="1" noChangeArrowheads="1"/>
                </xdr:cNvPicPr>
              </xdr:nvPicPr>
              <xdr:blipFill>
                <a:blip xmlns:r="http://schemas.openxmlformats.org/officeDocument/2006/relationships" r:embed="rId3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33032" y="384834"/>
                  <a:ext cx="261600" cy="33288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0" name="TextBox 89">
                  <a:hlinkClick xmlns:r="http://schemas.openxmlformats.org/officeDocument/2006/relationships" r:id="rId30"/>
                  <a:extLst>
                    <a:ext uri="{FF2B5EF4-FFF2-40B4-BE49-F238E27FC236}">
                      <a16:creationId xmlns:a16="http://schemas.microsoft.com/office/drawing/2014/main" id="{216447D7-3106-3B5B-D485-CC7C2975711E}"/>
                    </a:ext>
                  </a:extLst>
                </xdr:cNvPr>
                <xdr:cNvSpPr txBox="1"/>
              </xdr:nvSpPr>
              <xdr:spPr>
                <a:xfrm>
                  <a:off x="3637195" y="315564"/>
                  <a:ext cx="914586" cy="433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BALANCE SHEET</a:t>
                  </a:r>
                </a:p>
                <a:p>
                  <a:pPr algn="ctr"/>
                  <a:r>
                    <a:rPr lang="en-US" sz="900" b="1">
                      <a:solidFill>
                        <a:schemeClr val="bg1"/>
                      </a:solidFill>
                    </a:rPr>
                    <a:t>SUMMARY</a:t>
                  </a:r>
                </a:p>
              </xdr:txBody>
            </xdr:sp>
            <xdr:pic>
              <xdr:nvPicPr>
                <xdr:cNvPr id="91" name="Picture 90">
                  <a:hlinkClick xmlns:r="http://schemas.openxmlformats.org/officeDocument/2006/relationships" r:id="rId32"/>
                  <a:extLst>
                    <a:ext uri="{FF2B5EF4-FFF2-40B4-BE49-F238E27FC236}">
                      <a16:creationId xmlns:a16="http://schemas.microsoft.com/office/drawing/2014/main" id="{B5E7135A-E500-FE7E-0983-2E08E1AAF42A}"/>
                    </a:ext>
                  </a:extLst>
                </xdr:cNvPr>
                <xdr:cNvPicPr>
                  <a:picLocks noChangeAspect="1" noChangeArrowheads="1"/>
                </xdr:cNvPicPr>
              </xdr:nvPicPr>
              <xdr:blipFill>
                <a:blip xmlns:r="http://schemas.openxmlformats.org/officeDocument/2006/relationships" r:embed="rId33" cstate="print">
                  <a:clrChange>
                    <a:clrFrom>
                      <a:srgbClr val="F8F8F8"/>
                    </a:clrFrom>
                    <a:clrTo>
                      <a:srgbClr val="F8F8F8">
                        <a:alpha val="0"/>
                      </a:srgbClr>
                    </a:clrTo>
                  </a:clrChange>
                  <a:extLst>
                    <a:ext uri="{28A0092B-C50C-407E-A947-70E740481C1C}">
                      <a14:useLocalDpi xmlns:a14="http://schemas.microsoft.com/office/drawing/2010/main" val="0"/>
                    </a:ext>
                  </a:extLst>
                </a:blip>
                <a:srcRect/>
                <a:stretch>
                  <a:fillRect/>
                </a:stretch>
              </xdr:blipFill>
              <xdr:spPr bwMode="auto">
                <a:xfrm>
                  <a:off x="4602713" y="384834"/>
                  <a:ext cx="326621" cy="3113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2" name="TextBox 91">
                  <a:hlinkClick xmlns:r="http://schemas.openxmlformats.org/officeDocument/2006/relationships" r:id="rId32"/>
                  <a:extLst>
                    <a:ext uri="{FF2B5EF4-FFF2-40B4-BE49-F238E27FC236}">
                      <a16:creationId xmlns:a16="http://schemas.microsoft.com/office/drawing/2014/main" id="{0EBD2F42-DB3A-49F7-1293-A42B2690842B}"/>
                    </a:ext>
                  </a:extLst>
                </xdr:cNvPr>
                <xdr:cNvSpPr txBox="1"/>
              </xdr:nvSpPr>
              <xdr:spPr>
                <a:xfrm>
                  <a:off x="4880678" y="423317"/>
                  <a:ext cx="56334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ASSETS</a:t>
                  </a:r>
                </a:p>
              </xdr:txBody>
            </xdr:sp>
            <xdr:pic>
              <xdr:nvPicPr>
                <xdr:cNvPr id="93" name="Picture 92">
                  <a:hlinkClick xmlns:r="http://schemas.openxmlformats.org/officeDocument/2006/relationships" r:id="rId34"/>
                  <a:extLst>
                    <a:ext uri="{FF2B5EF4-FFF2-40B4-BE49-F238E27FC236}">
                      <a16:creationId xmlns:a16="http://schemas.microsoft.com/office/drawing/2014/main" id="{453E6FE0-CECD-2158-0309-E5A34EA57F4D}"/>
                    </a:ext>
                  </a:extLst>
                </xdr:cNvPr>
                <xdr:cNvPicPr>
                  <a:picLocks noChangeAspect="1" noChangeArrowheads="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35903" y="354046"/>
                  <a:ext cx="278234" cy="3540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4" name="TextBox 93">
                  <a:hlinkClick xmlns:r="http://schemas.openxmlformats.org/officeDocument/2006/relationships" r:id="rId34"/>
                  <a:extLst>
                    <a:ext uri="{FF2B5EF4-FFF2-40B4-BE49-F238E27FC236}">
                      <a16:creationId xmlns:a16="http://schemas.microsoft.com/office/drawing/2014/main" id="{8D47D008-0370-F732-B03D-DE60549F56D2}"/>
                    </a:ext>
                  </a:extLst>
                </xdr:cNvPr>
                <xdr:cNvSpPr txBox="1"/>
              </xdr:nvSpPr>
              <xdr:spPr>
                <a:xfrm>
                  <a:off x="5717678" y="431014"/>
                  <a:ext cx="750091"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LIABILITIES</a:t>
                  </a:r>
                </a:p>
              </xdr:txBody>
            </xdr:sp>
            <xdr:pic>
              <xdr:nvPicPr>
                <xdr:cNvPr id="95" name="Picture 94">
                  <a:hlinkClick xmlns:r="http://schemas.openxmlformats.org/officeDocument/2006/relationships" r:id="rId36"/>
                  <a:extLst>
                    <a:ext uri="{FF2B5EF4-FFF2-40B4-BE49-F238E27FC236}">
                      <a16:creationId xmlns:a16="http://schemas.microsoft.com/office/drawing/2014/main" id="{FF11914A-E28F-26B0-9C3D-EA81466D9396}"/>
                    </a:ext>
                  </a:extLst>
                </xdr:cNvPr>
                <xdr:cNvPicPr>
                  <a:picLocks noChangeAspect="1"/>
                </xdr:cNvPicPr>
              </xdr:nvPicPr>
              <xdr:blipFill>
                <a:blip xmlns:r="http://schemas.openxmlformats.org/officeDocument/2006/relationships" r:embed="rId37">
                  <a:clrChange>
                    <a:clrFrom>
                      <a:srgbClr val="FFFFFF"/>
                    </a:clrFrom>
                    <a:clrTo>
                      <a:srgbClr val="FFFFFF">
                        <a:alpha val="0"/>
                      </a:srgbClr>
                    </a:clrTo>
                  </a:clrChange>
                </a:blip>
                <a:stretch>
                  <a:fillRect/>
                </a:stretch>
              </xdr:blipFill>
              <xdr:spPr>
                <a:xfrm>
                  <a:off x="6454424" y="361268"/>
                  <a:ext cx="368693" cy="354523"/>
                </a:xfrm>
                <a:prstGeom prst="rect">
                  <a:avLst/>
                </a:prstGeom>
              </xdr:spPr>
            </xdr:pic>
            <xdr:sp macro="" textlink="">
              <xdr:nvSpPr>
                <xdr:cNvPr id="96" name="TextBox 95">
                  <a:hlinkClick xmlns:r="http://schemas.openxmlformats.org/officeDocument/2006/relationships" r:id="rId36"/>
                  <a:extLst>
                    <a:ext uri="{FF2B5EF4-FFF2-40B4-BE49-F238E27FC236}">
                      <a16:creationId xmlns:a16="http://schemas.microsoft.com/office/drawing/2014/main" id="{323847B5-5CE2-3795-96DF-1E4DF4BFAB29}"/>
                    </a:ext>
                  </a:extLst>
                </xdr:cNvPr>
                <xdr:cNvSpPr txBox="1"/>
              </xdr:nvSpPr>
              <xdr:spPr>
                <a:xfrm>
                  <a:off x="6742924" y="369440"/>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EDIT</a:t>
                  </a:r>
                </a:p>
                <a:p>
                  <a:r>
                    <a:rPr lang="en-US" sz="900" b="1">
                      <a:solidFill>
                        <a:schemeClr val="bg1"/>
                      </a:solidFill>
                    </a:rPr>
                    <a:t>CATEGORIES</a:t>
                  </a:r>
                </a:p>
              </xdr:txBody>
            </xdr:sp>
            <xdr:grpSp>
              <xdr:nvGrpSpPr>
                <xdr:cNvPr id="97" name="Group 96">
                  <a:hlinkClick xmlns:r="http://schemas.openxmlformats.org/officeDocument/2006/relationships" r:id="rId38"/>
                  <a:extLst>
                    <a:ext uri="{FF2B5EF4-FFF2-40B4-BE49-F238E27FC236}">
                      <a16:creationId xmlns:a16="http://schemas.microsoft.com/office/drawing/2014/main" id="{87EE1DDF-3CE9-FD82-E0A4-791B4EF6AA55}"/>
                    </a:ext>
                  </a:extLst>
                </xdr:cNvPr>
                <xdr:cNvGrpSpPr/>
              </xdr:nvGrpSpPr>
              <xdr:grpSpPr>
                <a:xfrm>
                  <a:off x="10231249" y="237461"/>
                  <a:ext cx="1281586" cy="502920"/>
                  <a:chOff x="11732389" y="237461"/>
                  <a:chExt cx="1281586" cy="502920"/>
                </a:xfrm>
              </xdr:grpSpPr>
              <xdr:pic>
                <xdr:nvPicPr>
                  <xdr:cNvPr id="98" name="Picture 97">
                    <a:hlinkClick xmlns:r="http://schemas.openxmlformats.org/officeDocument/2006/relationships" r:id="rId39"/>
                    <a:extLst>
                      <a:ext uri="{FF2B5EF4-FFF2-40B4-BE49-F238E27FC236}">
                        <a16:creationId xmlns:a16="http://schemas.microsoft.com/office/drawing/2014/main" id="{E0795CBF-3B29-E528-D9EC-92DAC4A7168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1732389" y="237461"/>
                    <a:ext cx="502920" cy="502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9" name="TextBox 98">
                    <a:hlinkClick xmlns:r="http://schemas.openxmlformats.org/officeDocument/2006/relationships" r:id="rId39"/>
                    <a:extLst>
                      <a:ext uri="{FF2B5EF4-FFF2-40B4-BE49-F238E27FC236}">
                        <a16:creationId xmlns:a16="http://schemas.microsoft.com/office/drawing/2014/main" id="{DA186E2B-4C81-58C1-3543-ACC96A8812F4}"/>
                      </a:ext>
                    </a:extLst>
                  </xdr:cNvPr>
                  <xdr:cNvSpPr txBox="1"/>
                </xdr:nvSpPr>
                <xdr:spPr>
                  <a:xfrm>
                    <a:off x="12197209" y="344142"/>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 GAME APPS</a:t>
                    </a:r>
                  </a:p>
                </xdr:txBody>
              </xdr:sp>
            </xdr:grpSp>
          </xdr:grpSp>
          <xdr:grpSp>
            <xdr:nvGrpSpPr>
              <xdr:cNvPr id="58" name="Group 57">
                <a:extLst>
                  <a:ext uri="{FF2B5EF4-FFF2-40B4-BE49-F238E27FC236}">
                    <a16:creationId xmlns:a16="http://schemas.microsoft.com/office/drawing/2014/main" id="{2B0C6C2A-EE7A-A11C-0A84-3E95CD4F11AA}"/>
                  </a:ext>
                </a:extLst>
              </xdr:cNvPr>
              <xdr:cNvGrpSpPr/>
            </xdr:nvGrpSpPr>
            <xdr:grpSpPr>
              <a:xfrm>
                <a:off x="3030070" y="313765"/>
                <a:ext cx="1219410" cy="438976"/>
                <a:chOff x="3030070" y="313765"/>
                <a:chExt cx="1219410" cy="438976"/>
              </a:xfrm>
            </xdr:grpSpPr>
            <xdr:sp macro="" textlink="">
              <xdr:nvSpPr>
                <xdr:cNvPr id="59" name="TextBox 58">
                  <a:hlinkClick xmlns:r="http://schemas.openxmlformats.org/officeDocument/2006/relationships" r:id="rId41"/>
                  <a:extLst>
                    <a:ext uri="{FF2B5EF4-FFF2-40B4-BE49-F238E27FC236}">
                      <a16:creationId xmlns:a16="http://schemas.microsoft.com/office/drawing/2014/main" id="{793F728E-79CB-5387-00A0-B7C224EAA709}"/>
                    </a:ext>
                  </a:extLst>
                </xdr:cNvPr>
                <xdr:cNvSpPr txBox="1"/>
              </xdr:nvSpPr>
              <xdr:spPr>
                <a:xfrm>
                  <a:off x="3307528" y="313765"/>
                  <a:ext cx="941952" cy="43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BOOK KEEPING</a:t>
                  </a:r>
                </a:p>
                <a:p>
                  <a:pPr algn="ctr"/>
                  <a:r>
                    <a:rPr lang="en-US" sz="900" b="1">
                      <a:solidFill>
                        <a:schemeClr val="bg1"/>
                      </a:solidFill>
                    </a:rPr>
                    <a:t>LEDGER</a:t>
                  </a:r>
                </a:p>
              </xdr:txBody>
            </xdr:sp>
            <xdr:pic>
              <xdr:nvPicPr>
                <xdr:cNvPr id="60" name="Picture 59">
                  <a:hlinkClick xmlns:r="http://schemas.openxmlformats.org/officeDocument/2006/relationships" r:id="rId41"/>
                  <a:extLst>
                    <a:ext uri="{FF2B5EF4-FFF2-40B4-BE49-F238E27FC236}">
                      <a16:creationId xmlns:a16="http://schemas.microsoft.com/office/drawing/2014/main" id="{032726F4-B228-D442-2FFA-19BB8681C030}"/>
                    </a:ext>
                  </a:extLst>
                </xdr:cNvPr>
                <xdr:cNvPicPr>
                  <a:picLocks noChangeAspect="1"/>
                </xdr:cNvPicPr>
              </xdr:nvPicPr>
              <xdr:blipFill>
                <a:blip xmlns:r="http://schemas.openxmlformats.org/officeDocument/2006/relationships" r:embed="rId4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0070" y="367554"/>
                  <a:ext cx="327770" cy="349622"/>
                </a:xfrm>
                <a:prstGeom prst="rect">
                  <a:avLst/>
                </a:prstGeom>
              </xdr:spPr>
            </xdr:pic>
          </xdr:grpSp>
        </xdr:grpSp>
        <xdr:grpSp>
          <xdr:nvGrpSpPr>
            <xdr:cNvPr id="54" name="Group 53">
              <a:extLst>
                <a:ext uri="{FF2B5EF4-FFF2-40B4-BE49-F238E27FC236}">
                  <a16:creationId xmlns:a16="http://schemas.microsoft.com/office/drawing/2014/main" id="{180D4C4B-542F-45C5-1B8F-F970ABF21F16}"/>
                </a:ext>
              </a:extLst>
            </xdr:cNvPr>
            <xdr:cNvGrpSpPr/>
          </xdr:nvGrpSpPr>
          <xdr:grpSpPr>
            <a:xfrm>
              <a:off x="12626340" y="243840"/>
              <a:ext cx="1344125" cy="571500"/>
              <a:chOff x="12626340" y="243840"/>
              <a:chExt cx="1344125" cy="571500"/>
            </a:xfrm>
          </xdr:grpSpPr>
          <xdr:pic>
            <xdr:nvPicPr>
              <xdr:cNvPr id="55" name="Picture 54">
                <a:hlinkClick xmlns:r="http://schemas.openxmlformats.org/officeDocument/2006/relationships" r:id="rId43"/>
                <a:extLst>
                  <a:ext uri="{FF2B5EF4-FFF2-40B4-BE49-F238E27FC236}">
                    <a16:creationId xmlns:a16="http://schemas.microsoft.com/office/drawing/2014/main" id="{CA6A27C8-422F-D5F8-3916-67C3073BF9A0}"/>
                  </a:ext>
                </a:extLst>
              </xdr:cNvPr>
              <xdr:cNvPicPr>
                <a:picLocks noChangeAspect="1" noChangeArrowheads="1"/>
              </xdr:cNvPicPr>
            </xdr:nvPicPr>
            <xdr:blipFill>
              <a:blip xmlns:r="http://schemas.openxmlformats.org/officeDocument/2006/relationships" r:embed="rId4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26340" y="243840"/>
                <a:ext cx="571500" cy="571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6" name="TextBox 55">
                <a:hlinkClick xmlns:r="http://schemas.openxmlformats.org/officeDocument/2006/relationships" r:id="rId43"/>
                <a:extLst>
                  <a:ext uri="{FF2B5EF4-FFF2-40B4-BE49-F238E27FC236}">
                    <a16:creationId xmlns:a16="http://schemas.microsoft.com/office/drawing/2014/main" id="{47253F49-13B1-9060-8C88-6D4B8E076A2A}"/>
                  </a:ext>
                </a:extLst>
              </xdr:cNvPr>
              <xdr:cNvSpPr txBox="1"/>
            </xdr:nvSpPr>
            <xdr:spPr>
              <a:xfrm>
                <a:off x="13129260" y="327660"/>
                <a:ext cx="841205" cy="4000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TRAVEL</a:t>
                </a:r>
              </a:p>
              <a:p>
                <a:pPr algn="ctr"/>
                <a:r>
                  <a:rPr lang="en-US" sz="900" b="1">
                    <a:solidFill>
                      <a:schemeClr val="bg1"/>
                    </a:solidFill>
                  </a:rPr>
                  <a:t>SANDBOX</a:t>
                </a:r>
              </a:p>
            </xdr:txBody>
          </xdr:sp>
        </xdr:grpSp>
      </xdr:grpSp>
      <xdr:pic>
        <xdr:nvPicPr>
          <xdr:cNvPr id="52" name="Picture 51">
            <a:hlinkClick xmlns:r="http://schemas.openxmlformats.org/officeDocument/2006/relationships" r:id="rId11"/>
            <a:extLst>
              <a:ext uri="{FF2B5EF4-FFF2-40B4-BE49-F238E27FC236}">
                <a16:creationId xmlns:a16="http://schemas.microsoft.com/office/drawing/2014/main" id="{79657C7D-FCA8-BF1F-7890-A0A88C48F232}"/>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34100" y="30480"/>
            <a:ext cx="234698" cy="246078"/>
          </a:xfrm>
          <a:prstGeom prst="rect">
            <a:avLst/>
          </a:prstGeom>
          <a:solidFill>
            <a:srgbClr val="7FA6C7"/>
          </a:solidFill>
        </xdr:spPr>
      </xdr:pic>
    </xdr:grpSp>
    <xdr:clientData/>
  </xdr:twoCellAnchor>
</xdr:wsDr>
</file>

<file path=xl/drawings/drawing33.xml><?xml version="1.0" encoding="utf-8"?>
<xdr:wsDr xmlns:xdr="http://schemas.openxmlformats.org/drawingml/2006/spreadsheetDrawing" xmlns:a="http://schemas.openxmlformats.org/drawingml/2006/main">
  <xdr:twoCellAnchor>
    <xdr:from>
      <xdr:col>26</xdr:col>
      <xdr:colOff>61912</xdr:colOff>
      <xdr:row>11</xdr:row>
      <xdr:rowOff>9524</xdr:rowOff>
    </xdr:from>
    <xdr:to>
      <xdr:col>53</xdr:col>
      <xdr:colOff>600075</xdr:colOff>
      <xdr:row>36</xdr:row>
      <xdr:rowOff>66675</xdr:rowOff>
    </xdr:to>
    <xdr:graphicFrame macro="">
      <xdr:nvGraphicFramePr>
        <xdr:cNvPr id="32" name="Chart 31">
          <a:extLst>
            <a:ext uri="{FF2B5EF4-FFF2-40B4-BE49-F238E27FC236}">
              <a16:creationId xmlns:a16="http://schemas.microsoft.com/office/drawing/2014/main" id="{B3875B7E-4843-40B4-BB5A-D4EFC2B8CC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0</xdr:row>
      <xdr:rowOff>0</xdr:rowOff>
    </xdr:from>
    <xdr:to>
      <xdr:col>61</xdr:col>
      <xdr:colOff>83577</xdr:colOff>
      <xdr:row>2</xdr:row>
      <xdr:rowOff>53340</xdr:rowOff>
    </xdr:to>
    <xdr:grpSp>
      <xdr:nvGrpSpPr>
        <xdr:cNvPr id="43" name="Group 42">
          <a:extLst>
            <a:ext uri="{FF2B5EF4-FFF2-40B4-BE49-F238E27FC236}">
              <a16:creationId xmlns:a16="http://schemas.microsoft.com/office/drawing/2014/main" id="{A809E698-B4D0-4FB2-8CEF-334B4B92AC99}"/>
            </a:ext>
          </a:extLst>
        </xdr:cNvPr>
        <xdr:cNvGrpSpPr/>
      </xdr:nvGrpSpPr>
      <xdr:grpSpPr>
        <a:xfrm>
          <a:off x="1981200" y="0"/>
          <a:ext cx="11894577" cy="815340"/>
          <a:chOff x="2194560" y="0"/>
          <a:chExt cx="11894577" cy="815340"/>
        </a:xfrm>
      </xdr:grpSpPr>
      <xdr:grpSp>
        <xdr:nvGrpSpPr>
          <xdr:cNvPr id="44" name="Group 43">
            <a:extLst>
              <a:ext uri="{FF2B5EF4-FFF2-40B4-BE49-F238E27FC236}">
                <a16:creationId xmlns:a16="http://schemas.microsoft.com/office/drawing/2014/main" id="{48B36EBD-9EF0-8146-B6B6-1241ABD282D0}"/>
              </a:ext>
            </a:extLst>
          </xdr:cNvPr>
          <xdr:cNvGrpSpPr/>
        </xdr:nvGrpSpPr>
        <xdr:grpSpPr>
          <a:xfrm>
            <a:off x="2194560" y="0"/>
            <a:ext cx="11894577" cy="815340"/>
            <a:chOff x="2194560" y="0"/>
            <a:chExt cx="11894577" cy="815340"/>
          </a:xfrm>
        </xdr:grpSpPr>
        <xdr:grpSp>
          <xdr:nvGrpSpPr>
            <xdr:cNvPr id="46" name="Group 45">
              <a:extLst>
                <a:ext uri="{FF2B5EF4-FFF2-40B4-BE49-F238E27FC236}">
                  <a16:creationId xmlns:a16="http://schemas.microsoft.com/office/drawing/2014/main" id="{CB8207F3-9DA8-2156-A4AA-6A5ED3157190}"/>
                </a:ext>
              </a:extLst>
            </xdr:cNvPr>
            <xdr:cNvGrpSpPr/>
          </xdr:nvGrpSpPr>
          <xdr:grpSpPr>
            <a:xfrm>
              <a:off x="2194560" y="0"/>
              <a:ext cx="11894577" cy="773812"/>
              <a:chOff x="2160046" y="0"/>
              <a:chExt cx="11894577" cy="773812"/>
            </a:xfrm>
          </xdr:grpSpPr>
          <xdr:grpSp>
            <xdr:nvGrpSpPr>
              <xdr:cNvPr id="50" name="Group 49">
                <a:extLst>
                  <a:ext uri="{FF2B5EF4-FFF2-40B4-BE49-F238E27FC236}">
                    <a16:creationId xmlns:a16="http://schemas.microsoft.com/office/drawing/2014/main" id="{36D1EBFB-BDD6-E1FE-7842-A17D24AB03CC}"/>
                  </a:ext>
                </a:extLst>
              </xdr:cNvPr>
              <xdr:cNvGrpSpPr/>
            </xdr:nvGrpSpPr>
            <xdr:grpSpPr>
              <a:xfrm>
                <a:off x="2160046" y="0"/>
                <a:ext cx="11894577" cy="773812"/>
                <a:chOff x="1310640" y="0"/>
                <a:chExt cx="11549013" cy="764847"/>
              </a:xfrm>
            </xdr:grpSpPr>
            <xdr:pic>
              <xdr:nvPicPr>
                <xdr:cNvPr id="54" name="Picture 53">
                  <a:hlinkClick xmlns:r="http://schemas.openxmlformats.org/officeDocument/2006/relationships" r:id="rId2"/>
                  <a:extLst>
                    <a:ext uri="{FF2B5EF4-FFF2-40B4-BE49-F238E27FC236}">
                      <a16:creationId xmlns:a16="http://schemas.microsoft.com/office/drawing/2014/main" id="{F903E1B8-EAA0-2C16-D96E-DC00D2807D16}"/>
                    </a:ext>
                  </a:extLst>
                </xdr:cNvPr>
                <xdr:cNvPicPr>
                  <a:picLocks/>
                </xdr:cNvPicPr>
              </xdr:nvPicPr>
              <xdr:blipFill>
                <a:blip xmlns:r="http://schemas.openxmlformats.org/officeDocument/2006/relationships" r:embed="rId3" cstate="print">
                  <a:alphaModFix/>
                  <a:extLst>
                    <a:ext uri="{28A0092B-C50C-407E-A947-70E740481C1C}">
                      <a14:useLocalDpi xmlns:a14="http://schemas.microsoft.com/office/drawing/2010/main" val="0"/>
                    </a:ext>
                  </a:extLst>
                </a:blip>
                <a:srcRect/>
                <a:stretch/>
              </xdr:blipFill>
              <xdr:spPr>
                <a:xfrm>
                  <a:off x="1310640" y="46180"/>
                  <a:ext cx="499211" cy="554546"/>
                </a:xfrm>
                <a:prstGeom prst="rect">
                  <a:avLst/>
                </a:prstGeom>
              </xdr:spPr>
            </xdr:pic>
            <xdr:pic>
              <xdr:nvPicPr>
                <xdr:cNvPr id="55" name="Picture 54">
                  <a:hlinkClick xmlns:r="http://schemas.openxmlformats.org/officeDocument/2006/relationships" r:id="rId4"/>
                  <a:extLst>
                    <a:ext uri="{FF2B5EF4-FFF2-40B4-BE49-F238E27FC236}">
                      <a16:creationId xmlns:a16="http://schemas.microsoft.com/office/drawing/2014/main" id="{316FBC21-8F44-5B1F-54C5-51DA351C6F64}"/>
                    </a:ext>
                  </a:extLst>
                </xdr:cNvPr>
                <xdr:cNvPicPr>
                  <a:picLocks noChangeAspect="1" noChangeArrowheads="1"/>
                </xdr:cNvPicPr>
              </xdr:nvPicPr>
              <xdr:blipFill>
                <a:blip xmlns:r="http://schemas.openxmlformats.org/officeDocument/2006/relationships" r:embed="rId5" cstate="print">
                  <a:alphaModFix/>
                  <a:extLst>
                    <a:ext uri="{28A0092B-C50C-407E-A947-70E740481C1C}">
                      <a14:useLocalDpi xmlns:a14="http://schemas.microsoft.com/office/drawing/2010/main" val="0"/>
                    </a:ext>
                  </a:extLst>
                </a:blip>
                <a:srcRect/>
                <a:stretch>
                  <a:fillRect/>
                </a:stretch>
              </xdr:blipFill>
              <xdr:spPr bwMode="auto">
                <a:xfrm>
                  <a:off x="2163693" y="30823"/>
                  <a:ext cx="214188" cy="2260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6" name="TextBox 55">
                  <a:hlinkClick xmlns:r="http://schemas.openxmlformats.org/officeDocument/2006/relationships" r:id="rId4"/>
                  <a:extLst>
                    <a:ext uri="{FF2B5EF4-FFF2-40B4-BE49-F238E27FC236}">
                      <a16:creationId xmlns:a16="http://schemas.microsoft.com/office/drawing/2014/main" id="{1375E2EF-0A8D-9885-CD70-2A6CAA057817}"/>
                    </a:ext>
                  </a:extLst>
                </xdr:cNvPr>
                <xdr:cNvSpPr txBox="1"/>
              </xdr:nvSpPr>
              <xdr:spPr>
                <a:xfrm>
                  <a:off x="2369194" y="17046"/>
                  <a:ext cx="846446" cy="25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US" sz="900" b="1">
                      <a:solidFill>
                        <a:schemeClr val="bg1"/>
                      </a:solidFill>
                    </a:rPr>
                    <a:t>DASHBOARD</a:t>
                  </a:r>
                </a:p>
              </xdr:txBody>
            </xdr:sp>
            <xdr:pic>
              <xdr:nvPicPr>
                <xdr:cNvPr id="57" name="Picture 56">
                  <a:hlinkClick xmlns:r="http://schemas.openxmlformats.org/officeDocument/2006/relationships" r:id="rId6"/>
                  <a:extLst>
                    <a:ext uri="{FF2B5EF4-FFF2-40B4-BE49-F238E27FC236}">
                      <a16:creationId xmlns:a16="http://schemas.microsoft.com/office/drawing/2014/main" id="{BAD9AB90-ADDC-73F3-56B8-EE98F6ED4080}"/>
                    </a:ext>
                  </a:extLst>
                </xdr:cNvPr>
                <xdr:cNvPicPr>
                  <a:picLocks noChangeAspect="1" noChangeArrowheads="1"/>
                </xdr:cNvPicPr>
              </xdr:nvPicPr>
              <xdr:blipFill>
                <a:blip xmlns:r="http://schemas.openxmlformats.org/officeDocument/2006/relationships" r:embed="rId7" cstate="print">
                  <a:alphaModFix/>
                  <a:extLst>
                    <a:ext uri="{28A0092B-C50C-407E-A947-70E740481C1C}">
                      <a14:useLocalDpi xmlns:a14="http://schemas.microsoft.com/office/drawing/2010/main" val="0"/>
                    </a:ext>
                  </a:extLst>
                </a:blip>
                <a:srcRect/>
                <a:stretch>
                  <a:fillRect/>
                </a:stretch>
              </xdr:blipFill>
              <xdr:spPr bwMode="auto">
                <a:xfrm>
                  <a:off x="8461655" y="433462"/>
                  <a:ext cx="214188" cy="20819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8" name="TextBox 57">
                  <a:hlinkClick xmlns:r="http://schemas.openxmlformats.org/officeDocument/2006/relationships" r:id="rId6"/>
                  <a:extLst>
                    <a:ext uri="{FF2B5EF4-FFF2-40B4-BE49-F238E27FC236}">
                      <a16:creationId xmlns:a16="http://schemas.microsoft.com/office/drawing/2014/main" id="{42FC197A-16C4-BE9D-1328-2A6173DD350B}"/>
                    </a:ext>
                  </a:extLst>
                </xdr:cNvPr>
                <xdr:cNvSpPr txBox="1"/>
              </xdr:nvSpPr>
              <xdr:spPr>
                <a:xfrm>
                  <a:off x="8647283" y="413913"/>
                  <a:ext cx="56836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REPORTS</a:t>
                  </a:r>
                </a:p>
              </xdr:txBody>
            </xdr:sp>
            <xdr:pic>
              <xdr:nvPicPr>
                <xdr:cNvPr id="59" name="Picture 58">
                  <a:hlinkClick xmlns:r="http://schemas.openxmlformats.org/officeDocument/2006/relationships" r:id="rId8"/>
                  <a:extLst>
                    <a:ext uri="{FF2B5EF4-FFF2-40B4-BE49-F238E27FC236}">
                      <a16:creationId xmlns:a16="http://schemas.microsoft.com/office/drawing/2014/main" id="{598C0F64-F8F6-E6B6-FCBD-17A5376547A2}"/>
                    </a:ext>
                  </a:extLst>
                </xdr:cNvPr>
                <xdr:cNvPicPr>
                  <a:picLocks noChangeAspect="1"/>
                </xdr:cNvPicPr>
              </xdr:nvPicPr>
              <xdr:blipFill>
                <a:blip xmlns:r="http://schemas.openxmlformats.org/officeDocument/2006/relationships" r:embed="rId9" cstate="print">
                  <a:alphaModFix/>
                  <a:extLst>
                    <a:ext uri="{28A0092B-C50C-407E-A947-70E740481C1C}">
                      <a14:useLocalDpi xmlns:a14="http://schemas.microsoft.com/office/drawing/2010/main" val="0"/>
                    </a:ext>
                  </a:extLst>
                </a:blip>
                <a:stretch>
                  <a:fillRect/>
                </a:stretch>
              </xdr:blipFill>
              <xdr:spPr>
                <a:xfrm>
                  <a:off x="6903860" y="19549"/>
                  <a:ext cx="214187" cy="248554"/>
                </a:xfrm>
                <a:prstGeom prst="rect">
                  <a:avLst/>
                </a:prstGeom>
              </xdr:spPr>
            </xdr:pic>
            <xdr:sp macro="" textlink="">
              <xdr:nvSpPr>
                <xdr:cNvPr id="60" name="TextBox 59">
                  <a:hlinkClick xmlns:r="http://schemas.openxmlformats.org/officeDocument/2006/relationships" r:id="rId8"/>
                  <a:extLst>
                    <a:ext uri="{FF2B5EF4-FFF2-40B4-BE49-F238E27FC236}">
                      <a16:creationId xmlns:a16="http://schemas.microsoft.com/office/drawing/2014/main" id="{030D0105-DC80-1A67-A39B-756B0C57C226}"/>
                    </a:ext>
                  </a:extLst>
                </xdr:cNvPr>
                <xdr:cNvSpPr txBox="1"/>
              </xdr:nvSpPr>
              <xdr:spPr>
                <a:xfrm>
                  <a:off x="7099062" y="0"/>
                  <a:ext cx="67589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MORTGAGE</a:t>
                  </a:r>
                </a:p>
              </xdr:txBody>
            </xdr:sp>
            <xdr:sp macro="" textlink="">
              <xdr:nvSpPr>
                <xdr:cNvPr id="61" name="TextBox 60">
                  <a:hlinkClick xmlns:r="http://schemas.openxmlformats.org/officeDocument/2006/relationships" r:id="rId10"/>
                  <a:extLst>
                    <a:ext uri="{FF2B5EF4-FFF2-40B4-BE49-F238E27FC236}">
                      <a16:creationId xmlns:a16="http://schemas.microsoft.com/office/drawing/2014/main" id="{8F4A23B3-41BF-F8B3-D2A0-451D5E55B9E4}"/>
                    </a:ext>
                  </a:extLst>
                </xdr:cNvPr>
                <xdr:cNvSpPr txBox="1"/>
              </xdr:nvSpPr>
              <xdr:spPr>
                <a:xfrm>
                  <a:off x="6375474" y="0"/>
                  <a:ext cx="381400"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DEBT</a:t>
                  </a:r>
                </a:p>
              </xdr:txBody>
            </xdr:sp>
            <xdr:pic>
              <xdr:nvPicPr>
                <xdr:cNvPr id="62" name="Picture 61">
                  <a:hlinkClick xmlns:r="http://schemas.openxmlformats.org/officeDocument/2006/relationships" r:id="rId10"/>
                  <a:extLst>
                    <a:ext uri="{FF2B5EF4-FFF2-40B4-BE49-F238E27FC236}">
                      <a16:creationId xmlns:a16="http://schemas.microsoft.com/office/drawing/2014/main" id="{413FE8F3-FB89-8B24-7BF5-751578EB169C}"/>
                    </a:ext>
                  </a:extLst>
                </xdr:cNvPr>
                <xdr:cNvPicPr>
                  <a:picLocks noChangeAspect="1"/>
                </xdr:cNvPicPr>
              </xdr:nvPicPr>
              <xdr:blipFill>
                <a:blip xmlns:r="http://schemas.openxmlformats.org/officeDocument/2006/relationships" r:embed="rId11" cstate="print">
                  <a:alphaModFix/>
                  <a:extLst>
                    <a:ext uri="{28A0092B-C50C-407E-A947-70E740481C1C}">
                      <a14:useLocalDpi xmlns:a14="http://schemas.microsoft.com/office/drawing/2010/main" val="0"/>
                    </a:ext>
                  </a:extLst>
                </a:blip>
                <a:stretch>
                  <a:fillRect/>
                </a:stretch>
              </xdr:blipFill>
              <xdr:spPr>
                <a:xfrm>
                  <a:off x="6158378" y="19549"/>
                  <a:ext cx="214188" cy="248554"/>
                </a:xfrm>
                <a:prstGeom prst="rect">
                  <a:avLst/>
                </a:prstGeom>
              </xdr:spPr>
            </xdr:pic>
            <xdr:sp macro="" textlink="">
              <xdr:nvSpPr>
                <xdr:cNvPr id="63" name="TextBox 62">
                  <a:hlinkClick xmlns:r="http://schemas.openxmlformats.org/officeDocument/2006/relationships" r:id="rId12"/>
                  <a:extLst>
                    <a:ext uri="{FF2B5EF4-FFF2-40B4-BE49-F238E27FC236}">
                      <a16:creationId xmlns:a16="http://schemas.microsoft.com/office/drawing/2014/main" id="{CE28D9CF-C99F-A6B5-99BA-E130CE354465}"/>
                    </a:ext>
                  </a:extLst>
                </xdr:cNvPr>
                <xdr:cNvSpPr txBox="1"/>
              </xdr:nvSpPr>
              <xdr:spPr>
                <a:xfrm>
                  <a:off x="5370816" y="37659"/>
                  <a:ext cx="64057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FORECASTS</a:t>
                  </a:r>
                </a:p>
              </xdr:txBody>
            </xdr:sp>
            <xdr:sp macro="" textlink="">
              <xdr:nvSpPr>
                <xdr:cNvPr id="64" name="TextBox 63">
                  <a:hlinkClick xmlns:r="http://schemas.openxmlformats.org/officeDocument/2006/relationships" r:id="rId13"/>
                  <a:extLst>
                    <a:ext uri="{FF2B5EF4-FFF2-40B4-BE49-F238E27FC236}">
                      <a16:creationId xmlns:a16="http://schemas.microsoft.com/office/drawing/2014/main" id="{4710A762-3A64-BE82-C635-AA106E779E2A}"/>
                    </a:ext>
                  </a:extLst>
                </xdr:cNvPr>
                <xdr:cNvSpPr txBox="1"/>
              </xdr:nvSpPr>
              <xdr:spPr>
                <a:xfrm>
                  <a:off x="8104032" y="0"/>
                  <a:ext cx="7732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a:t>
                  </a:r>
                  <a:r>
                    <a:rPr lang="en-US" sz="900" b="1" baseline="0">
                      <a:solidFill>
                        <a:schemeClr val="bg1"/>
                      </a:solidFill>
                    </a:rPr>
                    <a:t> (M)</a:t>
                  </a:r>
                  <a:endParaRPr lang="en-US" sz="900" b="1">
                    <a:solidFill>
                      <a:schemeClr val="bg1"/>
                    </a:solidFill>
                  </a:endParaRPr>
                </a:p>
              </xdr:txBody>
            </xdr:sp>
            <xdr:pic>
              <xdr:nvPicPr>
                <xdr:cNvPr id="65" name="Picture 64">
                  <a:hlinkClick xmlns:r="http://schemas.openxmlformats.org/officeDocument/2006/relationships" r:id="rId13"/>
                  <a:extLst>
                    <a:ext uri="{FF2B5EF4-FFF2-40B4-BE49-F238E27FC236}">
                      <a16:creationId xmlns:a16="http://schemas.microsoft.com/office/drawing/2014/main" id="{D7150EE7-F24D-B994-7A27-1BF82DB7FFAC}"/>
                    </a:ext>
                  </a:extLst>
                </xdr:cNvPr>
                <xdr:cNvPicPr>
                  <a:picLocks noChangeAspect="1"/>
                </xdr:cNvPicPr>
              </xdr:nvPicPr>
              <xdr:blipFill>
                <a:blip xmlns:r="http://schemas.openxmlformats.org/officeDocument/2006/relationships" r:embed="rId14" cstate="print">
                  <a:alphaModFix/>
                  <a:extLst>
                    <a:ext uri="{28A0092B-C50C-407E-A947-70E740481C1C}">
                      <a14:useLocalDpi xmlns:a14="http://schemas.microsoft.com/office/drawing/2010/main" val="0"/>
                    </a:ext>
                  </a:extLst>
                </a:blip>
                <a:stretch>
                  <a:fillRect/>
                </a:stretch>
              </xdr:blipFill>
              <xdr:spPr>
                <a:xfrm>
                  <a:off x="7921943" y="19549"/>
                  <a:ext cx="214188" cy="248554"/>
                </a:xfrm>
                <a:prstGeom prst="rect">
                  <a:avLst/>
                </a:prstGeom>
              </xdr:spPr>
            </xdr:pic>
            <xdr:sp macro="" textlink="">
              <xdr:nvSpPr>
                <xdr:cNvPr id="66" name="TextBox 65">
                  <a:hlinkClick xmlns:r="http://schemas.openxmlformats.org/officeDocument/2006/relationships" r:id="rId15"/>
                  <a:extLst>
                    <a:ext uri="{FF2B5EF4-FFF2-40B4-BE49-F238E27FC236}">
                      <a16:creationId xmlns:a16="http://schemas.microsoft.com/office/drawing/2014/main" id="{74D3396D-31D5-80E2-94D4-846367C4BD7D}"/>
                    </a:ext>
                  </a:extLst>
                </xdr:cNvPr>
                <xdr:cNvSpPr txBox="1"/>
              </xdr:nvSpPr>
              <xdr:spPr>
                <a:xfrm>
                  <a:off x="9978309" y="0"/>
                  <a:ext cx="687187"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 (Y)</a:t>
                  </a:r>
                </a:p>
              </xdr:txBody>
            </xdr:sp>
            <xdr:pic>
              <xdr:nvPicPr>
                <xdr:cNvPr id="67" name="Picture 66">
                  <a:hlinkClick xmlns:r="http://schemas.openxmlformats.org/officeDocument/2006/relationships" r:id="rId15"/>
                  <a:extLst>
                    <a:ext uri="{FF2B5EF4-FFF2-40B4-BE49-F238E27FC236}">
                      <a16:creationId xmlns:a16="http://schemas.microsoft.com/office/drawing/2014/main" id="{6B217523-387C-B5AD-0A3F-65C10293EA49}"/>
                    </a:ext>
                  </a:extLst>
                </xdr:cNvPr>
                <xdr:cNvPicPr>
                  <a:picLocks noChangeAspect="1"/>
                </xdr:cNvPicPr>
              </xdr:nvPicPr>
              <xdr:blipFill>
                <a:blip xmlns:r="http://schemas.openxmlformats.org/officeDocument/2006/relationships" r:embed="rId16" cstate="print">
                  <a:alphaModFix/>
                  <a:extLst>
                    <a:ext uri="{28A0092B-C50C-407E-A947-70E740481C1C}">
                      <a14:useLocalDpi xmlns:a14="http://schemas.microsoft.com/office/drawing/2010/main" val="0"/>
                    </a:ext>
                  </a:extLst>
                </a:blip>
                <a:stretch>
                  <a:fillRect/>
                </a:stretch>
              </xdr:blipFill>
              <xdr:spPr>
                <a:xfrm>
                  <a:off x="9777770" y="19549"/>
                  <a:ext cx="214188" cy="248554"/>
                </a:xfrm>
                <a:prstGeom prst="rect">
                  <a:avLst/>
                </a:prstGeom>
              </xdr:spPr>
            </xdr:pic>
            <xdr:sp macro="" textlink="">
              <xdr:nvSpPr>
                <xdr:cNvPr id="68" name="TextBox 67">
                  <a:hlinkClick xmlns:r="http://schemas.openxmlformats.org/officeDocument/2006/relationships" r:id="rId17"/>
                  <a:extLst>
                    <a:ext uri="{FF2B5EF4-FFF2-40B4-BE49-F238E27FC236}">
                      <a16:creationId xmlns:a16="http://schemas.microsoft.com/office/drawing/2014/main" id="{49A4107D-3A10-A2AD-1DB7-456833F008B2}"/>
                    </a:ext>
                  </a:extLst>
                </xdr:cNvPr>
                <xdr:cNvSpPr txBox="1"/>
              </xdr:nvSpPr>
              <xdr:spPr>
                <a:xfrm>
                  <a:off x="9133984" y="0"/>
                  <a:ext cx="49680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VERSUS</a:t>
                  </a:r>
                </a:p>
              </xdr:txBody>
            </xdr:sp>
            <xdr:pic>
              <xdr:nvPicPr>
                <xdr:cNvPr id="69" name="Picture 68">
                  <a:hlinkClick xmlns:r="http://schemas.openxmlformats.org/officeDocument/2006/relationships" r:id="rId17"/>
                  <a:extLst>
                    <a:ext uri="{FF2B5EF4-FFF2-40B4-BE49-F238E27FC236}">
                      <a16:creationId xmlns:a16="http://schemas.microsoft.com/office/drawing/2014/main" id="{59829085-5A74-3F03-9042-1A622003CEED}"/>
                    </a:ext>
                  </a:extLst>
                </xdr:cNvPr>
                <xdr:cNvPicPr>
                  <a:picLocks noChangeAspect="1"/>
                </xdr:cNvPicPr>
              </xdr:nvPicPr>
              <xdr:blipFill>
                <a:blip xmlns:r="http://schemas.openxmlformats.org/officeDocument/2006/relationships" r:embed="rId18" cstate="print">
                  <a:alphaModFix/>
                  <a:extLst>
                    <a:ext uri="{28A0092B-C50C-407E-A947-70E740481C1C}">
                      <a14:useLocalDpi xmlns:a14="http://schemas.microsoft.com/office/drawing/2010/main" val="0"/>
                    </a:ext>
                  </a:extLst>
                </a:blip>
                <a:stretch>
                  <a:fillRect/>
                </a:stretch>
              </xdr:blipFill>
              <xdr:spPr>
                <a:xfrm>
                  <a:off x="8938203" y="19549"/>
                  <a:ext cx="214187" cy="248554"/>
                </a:xfrm>
                <a:prstGeom prst="rect">
                  <a:avLst/>
                </a:prstGeom>
              </xdr:spPr>
            </xdr:pic>
            <xdr:sp macro="" textlink="">
              <xdr:nvSpPr>
                <xdr:cNvPr id="70" name="TextBox 69">
                  <a:hlinkClick xmlns:r="http://schemas.openxmlformats.org/officeDocument/2006/relationships" r:id="rId19"/>
                  <a:extLst>
                    <a:ext uri="{FF2B5EF4-FFF2-40B4-BE49-F238E27FC236}">
                      <a16:creationId xmlns:a16="http://schemas.microsoft.com/office/drawing/2014/main" id="{1213B4B8-DA44-9182-6173-E9981DFF7809}"/>
                    </a:ext>
                  </a:extLst>
                </xdr:cNvPr>
                <xdr:cNvSpPr txBox="1"/>
              </xdr:nvSpPr>
              <xdr:spPr>
                <a:xfrm>
                  <a:off x="3510385" y="0"/>
                  <a:ext cx="52312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REPAIRS</a:t>
                  </a:r>
                </a:p>
              </xdr:txBody>
            </xdr:sp>
            <xdr:pic>
              <xdr:nvPicPr>
                <xdr:cNvPr id="71" name="Picture 70">
                  <a:hlinkClick xmlns:r="http://schemas.openxmlformats.org/officeDocument/2006/relationships" r:id="rId19"/>
                  <a:extLst>
                    <a:ext uri="{FF2B5EF4-FFF2-40B4-BE49-F238E27FC236}">
                      <a16:creationId xmlns:a16="http://schemas.microsoft.com/office/drawing/2014/main" id="{08237615-AFF1-1D11-037A-FE7361D6BC55}"/>
                    </a:ext>
                  </a:extLst>
                </xdr:cNvPr>
                <xdr:cNvPicPr>
                  <a:picLocks noChangeAspect="1"/>
                </xdr:cNvPicPr>
              </xdr:nvPicPr>
              <xdr:blipFill>
                <a:blip xmlns:r="http://schemas.openxmlformats.org/officeDocument/2006/relationships" r:embed="rId20" cstate="print">
                  <a:alphaModFix/>
                  <a:extLst>
                    <a:ext uri="{28A0092B-C50C-407E-A947-70E740481C1C}">
                      <a14:useLocalDpi xmlns:a14="http://schemas.microsoft.com/office/drawing/2010/main" val="0"/>
                    </a:ext>
                  </a:extLst>
                </a:blip>
                <a:stretch>
                  <a:fillRect/>
                </a:stretch>
              </xdr:blipFill>
              <xdr:spPr>
                <a:xfrm>
                  <a:off x="3296296" y="28376"/>
                  <a:ext cx="214435" cy="230900"/>
                </a:xfrm>
                <a:prstGeom prst="rect">
                  <a:avLst/>
                </a:prstGeom>
              </xdr:spPr>
            </xdr:pic>
            <xdr:sp macro="" textlink="">
              <xdr:nvSpPr>
                <xdr:cNvPr id="72" name="TextBox 71">
                  <a:hlinkClick xmlns:r="http://schemas.openxmlformats.org/officeDocument/2006/relationships" r:id="rId21"/>
                  <a:extLst>
                    <a:ext uri="{FF2B5EF4-FFF2-40B4-BE49-F238E27FC236}">
                      <a16:creationId xmlns:a16="http://schemas.microsoft.com/office/drawing/2014/main" id="{3DCD8DB8-9209-33D8-ED09-F123F3E8D28E}"/>
                    </a:ext>
                  </a:extLst>
                </xdr:cNvPr>
                <xdr:cNvSpPr txBox="1"/>
              </xdr:nvSpPr>
              <xdr:spPr>
                <a:xfrm>
                  <a:off x="4388587" y="0"/>
                  <a:ext cx="63170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FURNITURE</a:t>
                  </a:r>
                </a:p>
              </xdr:txBody>
            </xdr:sp>
            <xdr:pic>
              <xdr:nvPicPr>
                <xdr:cNvPr id="73" name="Picture 72">
                  <a:hlinkClick xmlns:r="http://schemas.openxmlformats.org/officeDocument/2006/relationships" r:id="rId21"/>
                  <a:extLst>
                    <a:ext uri="{FF2B5EF4-FFF2-40B4-BE49-F238E27FC236}">
                      <a16:creationId xmlns:a16="http://schemas.microsoft.com/office/drawing/2014/main" id="{65255DFE-04B2-74E0-0C14-63AA905848A4}"/>
                    </a:ext>
                  </a:extLst>
                </xdr:cNvPr>
                <xdr:cNvPicPr>
                  <a:picLocks noChangeAspect="1"/>
                </xdr:cNvPicPr>
              </xdr:nvPicPr>
              <xdr:blipFill>
                <a:blip xmlns:r="http://schemas.openxmlformats.org/officeDocument/2006/relationships" r:embed="rId22" cstate="print">
                  <a:alphaModFix/>
                  <a:extLst>
                    <a:ext uri="{28A0092B-C50C-407E-A947-70E740481C1C}">
                      <a14:useLocalDpi xmlns:a14="http://schemas.microsoft.com/office/drawing/2010/main" val="0"/>
                    </a:ext>
                  </a:extLst>
                </a:blip>
                <a:stretch>
                  <a:fillRect/>
                </a:stretch>
              </xdr:blipFill>
              <xdr:spPr>
                <a:xfrm>
                  <a:off x="4180491" y="28376"/>
                  <a:ext cx="214435" cy="230900"/>
                </a:xfrm>
                <a:prstGeom prst="rect">
                  <a:avLst/>
                </a:prstGeom>
              </xdr:spPr>
            </xdr:pic>
            <xdr:pic>
              <xdr:nvPicPr>
                <xdr:cNvPr id="74" name="Picture 73">
                  <a:hlinkClick xmlns:r="http://schemas.openxmlformats.org/officeDocument/2006/relationships" r:id="rId23"/>
                  <a:extLst>
                    <a:ext uri="{FF2B5EF4-FFF2-40B4-BE49-F238E27FC236}">
                      <a16:creationId xmlns:a16="http://schemas.microsoft.com/office/drawing/2014/main" id="{C53006BC-6652-C5DB-2283-17E073D7B438}"/>
                    </a:ext>
                  </a:extLst>
                </xdr:cNvPr>
                <xdr:cNvPicPr>
                  <a:picLocks noChangeAspect="1"/>
                </xdr:cNvPicPr>
              </xdr:nvPicPr>
              <xdr:blipFill>
                <a:blip xmlns:r="http://schemas.openxmlformats.org/officeDocument/2006/relationships" r:embed="rId24" cstate="print">
                  <a:alphaModFix/>
                  <a:extLst>
                    <a:ext uri="{28A0092B-C50C-407E-A947-70E740481C1C}">
                      <a14:useLocalDpi xmlns:a14="http://schemas.microsoft.com/office/drawing/2010/main" val="0"/>
                    </a:ext>
                  </a:extLst>
                </a:blip>
                <a:stretch>
                  <a:fillRect/>
                </a:stretch>
              </xdr:blipFill>
              <xdr:spPr>
                <a:xfrm>
                  <a:off x="10812480" y="19549"/>
                  <a:ext cx="214188" cy="248554"/>
                </a:xfrm>
                <a:prstGeom prst="rect">
                  <a:avLst/>
                </a:prstGeom>
              </xdr:spPr>
            </xdr:pic>
            <xdr:sp macro="" textlink="">
              <xdr:nvSpPr>
                <xdr:cNvPr id="75" name="TextBox 74">
                  <a:hlinkClick xmlns:r="http://schemas.openxmlformats.org/officeDocument/2006/relationships" r:id="rId23"/>
                  <a:extLst>
                    <a:ext uri="{FF2B5EF4-FFF2-40B4-BE49-F238E27FC236}">
                      <a16:creationId xmlns:a16="http://schemas.microsoft.com/office/drawing/2014/main" id="{46393A69-937D-E2C5-36FA-9B354FE4021F}"/>
                    </a:ext>
                  </a:extLst>
                </xdr:cNvPr>
                <xdr:cNvSpPr txBox="1"/>
              </xdr:nvSpPr>
              <xdr:spPr>
                <a:xfrm>
                  <a:off x="11008843" y="0"/>
                  <a:ext cx="40705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PEERS</a:t>
                  </a:r>
                </a:p>
              </xdr:txBody>
            </xdr:sp>
            <xdr:sp macro="" textlink="">
              <xdr:nvSpPr>
                <xdr:cNvPr id="76" name="TextBox 75">
                  <a:hlinkClick xmlns:r="http://schemas.openxmlformats.org/officeDocument/2006/relationships" r:id="rId25"/>
                  <a:extLst>
                    <a:ext uri="{FF2B5EF4-FFF2-40B4-BE49-F238E27FC236}">
                      <a16:creationId xmlns:a16="http://schemas.microsoft.com/office/drawing/2014/main" id="{714EB86A-9FE0-5D75-D5DF-83FE3E7296B3}"/>
                    </a:ext>
                  </a:extLst>
                </xdr:cNvPr>
                <xdr:cNvSpPr txBox="1"/>
              </xdr:nvSpPr>
              <xdr:spPr>
                <a:xfrm>
                  <a:off x="9581756" y="397481"/>
                  <a:ext cx="656781"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MAX PRICE</a:t>
                  </a:r>
                </a:p>
              </xdr:txBody>
            </xdr:sp>
            <xdr:pic>
              <xdr:nvPicPr>
                <xdr:cNvPr id="77" name="Picture 76">
                  <a:hlinkClick xmlns:r="http://schemas.openxmlformats.org/officeDocument/2006/relationships" r:id="rId25"/>
                  <a:extLst>
                    <a:ext uri="{FF2B5EF4-FFF2-40B4-BE49-F238E27FC236}">
                      <a16:creationId xmlns:a16="http://schemas.microsoft.com/office/drawing/2014/main" id="{88281718-0637-7C18-748A-B7CE9AF33B59}"/>
                    </a:ext>
                  </a:extLst>
                </xdr:cNvPr>
                <xdr:cNvPicPr>
                  <a:picLocks noChangeAspect="1"/>
                </xdr:cNvPicPr>
              </xdr:nvPicPr>
              <xdr:blipFill>
                <a:blip xmlns:r="http://schemas.openxmlformats.org/officeDocument/2006/relationships" r:embed="rId26" cstate="print">
                  <a:alphaModFix/>
                  <a:extLst>
                    <a:ext uri="{28A0092B-C50C-407E-A947-70E740481C1C}">
                      <a14:useLocalDpi xmlns:a14="http://schemas.microsoft.com/office/drawing/2010/main" val="0"/>
                    </a:ext>
                  </a:extLst>
                </a:blip>
                <a:stretch>
                  <a:fillRect/>
                </a:stretch>
              </xdr:blipFill>
              <xdr:spPr>
                <a:xfrm>
                  <a:off x="9433997" y="425857"/>
                  <a:ext cx="214435" cy="230900"/>
                </a:xfrm>
                <a:prstGeom prst="rect">
                  <a:avLst/>
                </a:prstGeom>
              </xdr:spPr>
            </xdr:pic>
            <xdr:sp macro="" textlink="">
              <xdr:nvSpPr>
                <xdr:cNvPr id="78" name="TextBox 77">
                  <a:hlinkClick xmlns:r="http://schemas.openxmlformats.org/officeDocument/2006/relationships" r:id="rId27"/>
                  <a:extLst>
                    <a:ext uri="{FF2B5EF4-FFF2-40B4-BE49-F238E27FC236}">
                      <a16:creationId xmlns:a16="http://schemas.microsoft.com/office/drawing/2014/main" id="{94F69D6B-1799-AFB5-2030-1F6D9840553C}"/>
                    </a:ext>
                  </a:extLst>
                </xdr:cNvPr>
                <xdr:cNvSpPr txBox="1"/>
              </xdr:nvSpPr>
              <xdr:spPr>
                <a:xfrm>
                  <a:off x="7733272" y="389861"/>
                  <a:ext cx="6384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SCENARIOS</a:t>
                  </a:r>
                </a:p>
              </xdr:txBody>
            </xdr:sp>
            <xdr:pic>
              <xdr:nvPicPr>
                <xdr:cNvPr id="79" name="Picture 78">
                  <a:hlinkClick xmlns:r="http://schemas.openxmlformats.org/officeDocument/2006/relationships" r:id="rId27"/>
                  <a:extLst>
                    <a:ext uri="{FF2B5EF4-FFF2-40B4-BE49-F238E27FC236}">
                      <a16:creationId xmlns:a16="http://schemas.microsoft.com/office/drawing/2014/main" id="{9A9915BF-4CEF-5FA3-993D-4F7B271EA1BD}"/>
                    </a:ext>
                  </a:extLst>
                </xdr:cNvPr>
                <xdr:cNvPicPr>
                  <a:picLocks noChangeAspect="1"/>
                </xdr:cNvPicPr>
              </xdr:nvPicPr>
              <xdr:blipFill>
                <a:blip xmlns:r="http://schemas.openxmlformats.org/officeDocument/2006/relationships" r:embed="rId28" cstate="print">
                  <a:alphaModFix/>
                  <a:extLst>
                    <a:ext uri="{28A0092B-C50C-407E-A947-70E740481C1C}">
                      <a14:useLocalDpi xmlns:a14="http://schemas.microsoft.com/office/drawing/2010/main" val="0"/>
                    </a:ext>
                  </a:extLst>
                </a:blip>
                <a:stretch>
                  <a:fillRect/>
                </a:stretch>
              </xdr:blipFill>
              <xdr:spPr>
                <a:xfrm>
                  <a:off x="7536090" y="418237"/>
                  <a:ext cx="214435" cy="230900"/>
                </a:xfrm>
                <a:prstGeom prst="rect">
                  <a:avLst/>
                </a:prstGeom>
              </xdr:spPr>
            </xdr:pic>
            <xdr:sp macro="" textlink="">
              <xdr:nvSpPr>
                <xdr:cNvPr id="80" name="TextBox 79">
                  <a:hlinkClick xmlns:r="http://schemas.openxmlformats.org/officeDocument/2006/relationships" r:id="rId29"/>
                  <a:extLst>
                    <a:ext uri="{FF2B5EF4-FFF2-40B4-BE49-F238E27FC236}">
                      <a16:creationId xmlns:a16="http://schemas.microsoft.com/office/drawing/2014/main" id="{4DB00594-0076-8521-9645-FC752324B3B3}"/>
                    </a:ext>
                  </a:extLst>
                </xdr:cNvPr>
                <xdr:cNvSpPr txBox="1"/>
              </xdr:nvSpPr>
              <xdr:spPr>
                <a:xfrm>
                  <a:off x="11757467" y="49286"/>
                  <a:ext cx="110218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MARKET RESEARCH</a:t>
                  </a:r>
                </a:p>
              </xdr:txBody>
            </xdr:sp>
            <xdr:pic>
              <xdr:nvPicPr>
                <xdr:cNvPr id="81" name="Picture 80" descr="A white and brown hourglass&#10;&#10;AI-generated content may be incorrect.">
                  <a:hlinkClick xmlns:r="http://schemas.openxmlformats.org/officeDocument/2006/relationships" r:id="rId29"/>
                  <a:extLst>
                    <a:ext uri="{FF2B5EF4-FFF2-40B4-BE49-F238E27FC236}">
                      <a16:creationId xmlns:a16="http://schemas.microsoft.com/office/drawing/2014/main" id="{81D49830-E21B-C790-1E9D-B1DB8DE79338}"/>
                    </a:ext>
                  </a:extLst>
                </xdr:cNvPr>
                <xdr:cNvPicPr>
                  <a:picLocks noChangeAspect="1"/>
                </xdr:cNvPicPr>
              </xdr:nvPicPr>
              <xdr:blipFill>
                <a:blip xmlns:r="http://schemas.openxmlformats.org/officeDocument/2006/relationships" r:embed="rId30" cstate="print">
                  <a:alphaModFix/>
                  <a:extLst>
                    <a:ext uri="{28A0092B-C50C-407E-A947-70E740481C1C}">
                      <a14:useLocalDpi xmlns:a14="http://schemas.microsoft.com/office/drawing/2010/main" val="0"/>
                    </a:ext>
                  </a:extLst>
                </a:blip>
                <a:stretch>
                  <a:fillRect/>
                </a:stretch>
              </xdr:blipFill>
              <xdr:spPr>
                <a:xfrm>
                  <a:off x="11563464" y="33893"/>
                  <a:ext cx="235575" cy="261687"/>
                </a:xfrm>
                <a:prstGeom prst="rect">
                  <a:avLst/>
                </a:prstGeom>
              </xdr:spPr>
            </xdr:pic>
            <xdr:pic>
              <xdr:nvPicPr>
                <xdr:cNvPr id="82" name="Picture 81">
                  <a:hlinkClick xmlns:r="http://schemas.openxmlformats.org/officeDocument/2006/relationships" r:id="rId31"/>
                  <a:extLst>
                    <a:ext uri="{FF2B5EF4-FFF2-40B4-BE49-F238E27FC236}">
                      <a16:creationId xmlns:a16="http://schemas.microsoft.com/office/drawing/2014/main" id="{4B022447-24F3-2F34-00C6-DF79C0CF1F31}"/>
                    </a:ext>
                  </a:extLst>
                </xdr:cNvPr>
                <xdr:cNvPicPr>
                  <a:picLocks noChangeAspect="1" noChangeArrowheads="1"/>
                </xdr:cNvPicPr>
              </xdr:nvPicPr>
              <xdr:blipFill>
                <a:blip xmlns:r="http://schemas.openxmlformats.org/officeDocument/2006/relationships" r:embed="rId3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33032" y="384834"/>
                  <a:ext cx="261600" cy="33288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1" name="TextBox 90">
                  <a:hlinkClick xmlns:r="http://schemas.openxmlformats.org/officeDocument/2006/relationships" r:id="rId31"/>
                  <a:extLst>
                    <a:ext uri="{FF2B5EF4-FFF2-40B4-BE49-F238E27FC236}">
                      <a16:creationId xmlns:a16="http://schemas.microsoft.com/office/drawing/2014/main" id="{E5BA0EDB-8390-FA7A-B284-1A439D5AE9AE}"/>
                    </a:ext>
                  </a:extLst>
                </xdr:cNvPr>
                <xdr:cNvSpPr txBox="1"/>
              </xdr:nvSpPr>
              <xdr:spPr>
                <a:xfrm>
                  <a:off x="3637195" y="315564"/>
                  <a:ext cx="914586" cy="433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BALANCE SHEET</a:t>
                  </a:r>
                </a:p>
                <a:p>
                  <a:pPr algn="ctr"/>
                  <a:r>
                    <a:rPr lang="en-US" sz="900" b="1">
                      <a:solidFill>
                        <a:schemeClr val="bg1"/>
                      </a:solidFill>
                    </a:rPr>
                    <a:t>SUMMARY</a:t>
                  </a:r>
                </a:p>
              </xdr:txBody>
            </xdr:sp>
            <xdr:pic>
              <xdr:nvPicPr>
                <xdr:cNvPr id="92" name="Picture 91">
                  <a:hlinkClick xmlns:r="http://schemas.openxmlformats.org/officeDocument/2006/relationships" r:id="rId33"/>
                  <a:extLst>
                    <a:ext uri="{FF2B5EF4-FFF2-40B4-BE49-F238E27FC236}">
                      <a16:creationId xmlns:a16="http://schemas.microsoft.com/office/drawing/2014/main" id="{4BBB59E6-1B62-78F6-B57D-7DB7CBF18C0E}"/>
                    </a:ext>
                  </a:extLst>
                </xdr:cNvPr>
                <xdr:cNvPicPr>
                  <a:picLocks noChangeAspect="1" noChangeArrowheads="1"/>
                </xdr:cNvPicPr>
              </xdr:nvPicPr>
              <xdr:blipFill>
                <a:blip xmlns:r="http://schemas.openxmlformats.org/officeDocument/2006/relationships" r:embed="rId34" cstate="print">
                  <a:clrChange>
                    <a:clrFrom>
                      <a:srgbClr val="F8F8F8"/>
                    </a:clrFrom>
                    <a:clrTo>
                      <a:srgbClr val="F8F8F8">
                        <a:alpha val="0"/>
                      </a:srgbClr>
                    </a:clrTo>
                  </a:clrChange>
                  <a:extLst>
                    <a:ext uri="{28A0092B-C50C-407E-A947-70E740481C1C}">
                      <a14:useLocalDpi xmlns:a14="http://schemas.microsoft.com/office/drawing/2010/main" val="0"/>
                    </a:ext>
                  </a:extLst>
                </a:blip>
                <a:srcRect/>
                <a:stretch>
                  <a:fillRect/>
                </a:stretch>
              </xdr:blipFill>
              <xdr:spPr bwMode="auto">
                <a:xfrm>
                  <a:off x="4602713" y="384834"/>
                  <a:ext cx="326621" cy="3113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3" name="TextBox 92">
                  <a:hlinkClick xmlns:r="http://schemas.openxmlformats.org/officeDocument/2006/relationships" r:id="rId33"/>
                  <a:extLst>
                    <a:ext uri="{FF2B5EF4-FFF2-40B4-BE49-F238E27FC236}">
                      <a16:creationId xmlns:a16="http://schemas.microsoft.com/office/drawing/2014/main" id="{A629069F-7B8A-AE19-7C79-D3E45AFC3139}"/>
                    </a:ext>
                  </a:extLst>
                </xdr:cNvPr>
                <xdr:cNvSpPr txBox="1"/>
              </xdr:nvSpPr>
              <xdr:spPr>
                <a:xfrm>
                  <a:off x="4880678" y="423317"/>
                  <a:ext cx="56334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ASSETS</a:t>
                  </a:r>
                </a:p>
              </xdr:txBody>
            </xdr:sp>
            <xdr:pic>
              <xdr:nvPicPr>
                <xdr:cNvPr id="94" name="Picture 93">
                  <a:hlinkClick xmlns:r="http://schemas.openxmlformats.org/officeDocument/2006/relationships" r:id="rId35"/>
                  <a:extLst>
                    <a:ext uri="{FF2B5EF4-FFF2-40B4-BE49-F238E27FC236}">
                      <a16:creationId xmlns:a16="http://schemas.microsoft.com/office/drawing/2014/main" id="{29938E09-D11F-72C2-6B22-07DE68BC8C90}"/>
                    </a:ext>
                  </a:extLst>
                </xdr:cNvPr>
                <xdr:cNvPicPr>
                  <a:picLocks noChangeAspect="1" noChangeArrowheads="1"/>
                </xdr:cNvPicPr>
              </xdr:nvPicPr>
              <xdr:blipFill>
                <a:blip xmlns:r="http://schemas.openxmlformats.org/officeDocument/2006/relationships" r:embed="rId3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35903" y="354046"/>
                  <a:ext cx="278234" cy="3540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5" name="TextBox 94">
                  <a:hlinkClick xmlns:r="http://schemas.openxmlformats.org/officeDocument/2006/relationships" r:id="rId35"/>
                  <a:extLst>
                    <a:ext uri="{FF2B5EF4-FFF2-40B4-BE49-F238E27FC236}">
                      <a16:creationId xmlns:a16="http://schemas.microsoft.com/office/drawing/2014/main" id="{8DEB492D-B947-4185-877C-B6F8B5018020}"/>
                    </a:ext>
                  </a:extLst>
                </xdr:cNvPr>
                <xdr:cNvSpPr txBox="1"/>
              </xdr:nvSpPr>
              <xdr:spPr>
                <a:xfrm>
                  <a:off x="5717678" y="431014"/>
                  <a:ext cx="750091"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LIABILITIES</a:t>
                  </a:r>
                </a:p>
              </xdr:txBody>
            </xdr:sp>
            <xdr:pic>
              <xdr:nvPicPr>
                <xdr:cNvPr id="96" name="Picture 95">
                  <a:hlinkClick xmlns:r="http://schemas.openxmlformats.org/officeDocument/2006/relationships" r:id="rId37"/>
                  <a:extLst>
                    <a:ext uri="{FF2B5EF4-FFF2-40B4-BE49-F238E27FC236}">
                      <a16:creationId xmlns:a16="http://schemas.microsoft.com/office/drawing/2014/main" id="{A8E90CF0-1190-88BE-2B83-EA6677AA4971}"/>
                    </a:ext>
                  </a:extLst>
                </xdr:cNvPr>
                <xdr:cNvPicPr>
                  <a:picLocks noChangeAspect="1"/>
                </xdr:cNvPicPr>
              </xdr:nvPicPr>
              <xdr:blipFill>
                <a:blip xmlns:r="http://schemas.openxmlformats.org/officeDocument/2006/relationships" r:embed="rId38">
                  <a:clrChange>
                    <a:clrFrom>
                      <a:srgbClr val="FFFFFF"/>
                    </a:clrFrom>
                    <a:clrTo>
                      <a:srgbClr val="FFFFFF">
                        <a:alpha val="0"/>
                      </a:srgbClr>
                    </a:clrTo>
                  </a:clrChange>
                </a:blip>
                <a:stretch>
                  <a:fillRect/>
                </a:stretch>
              </xdr:blipFill>
              <xdr:spPr>
                <a:xfrm>
                  <a:off x="6454424" y="361268"/>
                  <a:ext cx="368693" cy="354523"/>
                </a:xfrm>
                <a:prstGeom prst="rect">
                  <a:avLst/>
                </a:prstGeom>
              </xdr:spPr>
            </xdr:pic>
            <xdr:sp macro="" textlink="">
              <xdr:nvSpPr>
                <xdr:cNvPr id="97" name="TextBox 96">
                  <a:hlinkClick xmlns:r="http://schemas.openxmlformats.org/officeDocument/2006/relationships" r:id="rId37"/>
                  <a:extLst>
                    <a:ext uri="{FF2B5EF4-FFF2-40B4-BE49-F238E27FC236}">
                      <a16:creationId xmlns:a16="http://schemas.microsoft.com/office/drawing/2014/main" id="{5408F50C-086F-71FC-3340-220220702FC7}"/>
                    </a:ext>
                  </a:extLst>
                </xdr:cNvPr>
                <xdr:cNvSpPr txBox="1"/>
              </xdr:nvSpPr>
              <xdr:spPr>
                <a:xfrm>
                  <a:off x="6742924" y="369440"/>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EDIT</a:t>
                  </a:r>
                </a:p>
                <a:p>
                  <a:r>
                    <a:rPr lang="en-US" sz="900" b="1">
                      <a:solidFill>
                        <a:schemeClr val="bg1"/>
                      </a:solidFill>
                    </a:rPr>
                    <a:t>CATEGORIES</a:t>
                  </a:r>
                </a:p>
              </xdr:txBody>
            </xdr:sp>
            <xdr:grpSp>
              <xdr:nvGrpSpPr>
                <xdr:cNvPr id="98" name="Group 97">
                  <a:hlinkClick xmlns:r="http://schemas.openxmlformats.org/officeDocument/2006/relationships" r:id="rId39"/>
                  <a:extLst>
                    <a:ext uri="{FF2B5EF4-FFF2-40B4-BE49-F238E27FC236}">
                      <a16:creationId xmlns:a16="http://schemas.microsoft.com/office/drawing/2014/main" id="{5F065397-510F-CCEA-9352-D8270503CD17}"/>
                    </a:ext>
                  </a:extLst>
                </xdr:cNvPr>
                <xdr:cNvGrpSpPr/>
              </xdr:nvGrpSpPr>
              <xdr:grpSpPr>
                <a:xfrm>
                  <a:off x="10231249" y="237461"/>
                  <a:ext cx="1281586" cy="502920"/>
                  <a:chOff x="11732389" y="237461"/>
                  <a:chExt cx="1281586" cy="502920"/>
                </a:xfrm>
              </xdr:grpSpPr>
              <xdr:pic>
                <xdr:nvPicPr>
                  <xdr:cNvPr id="99" name="Picture 98">
                    <a:hlinkClick xmlns:r="http://schemas.openxmlformats.org/officeDocument/2006/relationships" r:id="rId40"/>
                    <a:extLst>
                      <a:ext uri="{FF2B5EF4-FFF2-40B4-BE49-F238E27FC236}">
                        <a16:creationId xmlns:a16="http://schemas.microsoft.com/office/drawing/2014/main" id="{92163CFC-8134-48E2-B501-92915CE2B14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1732389" y="237461"/>
                    <a:ext cx="502920" cy="502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0" name="TextBox 99">
                    <a:hlinkClick xmlns:r="http://schemas.openxmlformats.org/officeDocument/2006/relationships" r:id="rId40"/>
                    <a:extLst>
                      <a:ext uri="{FF2B5EF4-FFF2-40B4-BE49-F238E27FC236}">
                        <a16:creationId xmlns:a16="http://schemas.microsoft.com/office/drawing/2014/main" id="{4C8821F6-C2AA-A5F0-5112-38B54908F182}"/>
                      </a:ext>
                    </a:extLst>
                  </xdr:cNvPr>
                  <xdr:cNvSpPr txBox="1"/>
                </xdr:nvSpPr>
                <xdr:spPr>
                  <a:xfrm>
                    <a:off x="12197209" y="344142"/>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 GAME APPS</a:t>
                    </a:r>
                  </a:p>
                </xdr:txBody>
              </xdr:sp>
            </xdr:grpSp>
          </xdr:grpSp>
          <xdr:grpSp>
            <xdr:nvGrpSpPr>
              <xdr:cNvPr id="51" name="Group 50">
                <a:extLst>
                  <a:ext uri="{FF2B5EF4-FFF2-40B4-BE49-F238E27FC236}">
                    <a16:creationId xmlns:a16="http://schemas.microsoft.com/office/drawing/2014/main" id="{4C10B951-0BDC-B3B0-3748-3DC84D957B1B}"/>
                  </a:ext>
                </a:extLst>
              </xdr:cNvPr>
              <xdr:cNvGrpSpPr/>
            </xdr:nvGrpSpPr>
            <xdr:grpSpPr>
              <a:xfrm>
                <a:off x="3030070" y="313765"/>
                <a:ext cx="1219410" cy="438976"/>
                <a:chOff x="3030070" y="313765"/>
                <a:chExt cx="1219410" cy="438976"/>
              </a:xfrm>
            </xdr:grpSpPr>
            <xdr:sp macro="" textlink="">
              <xdr:nvSpPr>
                <xdr:cNvPr id="52" name="TextBox 51">
                  <a:hlinkClick xmlns:r="http://schemas.openxmlformats.org/officeDocument/2006/relationships" r:id="rId42"/>
                  <a:extLst>
                    <a:ext uri="{FF2B5EF4-FFF2-40B4-BE49-F238E27FC236}">
                      <a16:creationId xmlns:a16="http://schemas.microsoft.com/office/drawing/2014/main" id="{DEAE04C1-30CA-0933-8EA8-F96D27F3CCC4}"/>
                    </a:ext>
                  </a:extLst>
                </xdr:cNvPr>
                <xdr:cNvSpPr txBox="1"/>
              </xdr:nvSpPr>
              <xdr:spPr>
                <a:xfrm>
                  <a:off x="3307528" y="313765"/>
                  <a:ext cx="941952" cy="43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BOOK KEEPING</a:t>
                  </a:r>
                </a:p>
                <a:p>
                  <a:pPr algn="ctr"/>
                  <a:r>
                    <a:rPr lang="en-US" sz="900" b="1">
                      <a:solidFill>
                        <a:schemeClr val="bg1"/>
                      </a:solidFill>
                    </a:rPr>
                    <a:t>LEDGER</a:t>
                  </a:r>
                </a:p>
              </xdr:txBody>
            </xdr:sp>
            <xdr:pic>
              <xdr:nvPicPr>
                <xdr:cNvPr id="53" name="Picture 52">
                  <a:hlinkClick xmlns:r="http://schemas.openxmlformats.org/officeDocument/2006/relationships" r:id="rId42"/>
                  <a:extLst>
                    <a:ext uri="{FF2B5EF4-FFF2-40B4-BE49-F238E27FC236}">
                      <a16:creationId xmlns:a16="http://schemas.microsoft.com/office/drawing/2014/main" id="{D99B8FA9-D457-44C0-ABE6-659E967150B6}"/>
                    </a:ext>
                  </a:extLst>
                </xdr:cNvPr>
                <xdr:cNvPicPr>
                  <a:picLocks noChangeAspect="1"/>
                </xdr:cNvPicPr>
              </xdr:nvPicPr>
              <xdr:blipFill>
                <a:blip xmlns:r="http://schemas.openxmlformats.org/officeDocument/2006/relationships" r:embed="rId4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0070" y="367554"/>
                  <a:ext cx="327770" cy="349622"/>
                </a:xfrm>
                <a:prstGeom prst="rect">
                  <a:avLst/>
                </a:prstGeom>
              </xdr:spPr>
            </xdr:pic>
          </xdr:grpSp>
        </xdr:grpSp>
        <xdr:grpSp>
          <xdr:nvGrpSpPr>
            <xdr:cNvPr id="47" name="Group 46">
              <a:extLst>
                <a:ext uri="{FF2B5EF4-FFF2-40B4-BE49-F238E27FC236}">
                  <a16:creationId xmlns:a16="http://schemas.microsoft.com/office/drawing/2014/main" id="{6FC8F58D-4E3B-3CC5-3C58-67AACE94820F}"/>
                </a:ext>
              </a:extLst>
            </xdr:cNvPr>
            <xdr:cNvGrpSpPr/>
          </xdr:nvGrpSpPr>
          <xdr:grpSpPr>
            <a:xfrm>
              <a:off x="12626340" y="243840"/>
              <a:ext cx="1344125" cy="571500"/>
              <a:chOff x="12626340" y="243840"/>
              <a:chExt cx="1344125" cy="571500"/>
            </a:xfrm>
          </xdr:grpSpPr>
          <xdr:pic>
            <xdr:nvPicPr>
              <xdr:cNvPr id="48" name="Picture 47">
                <a:hlinkClick xmlns:r="http://schemas.openxmlformats.org/officeDocument/2006/relationships" r:id="rId44"/>
                <a:extLst>
                  <a:ext uri="{FF2B5EF4-FFF2-40B4-BE49-F238E27FC236}">
                    <a16:creationId xmlns:a16="http://schemas.microsoft.com/office/drawing/2014/main" id="{1A95084F-EF86-4BF8-DB3C-C2BBAD40A9F8}"/>
                  </a:ext>
                </a:extLst>
              </xdr:cNvPr>
              <xdr:cNvPicPr>
                <a:picLocks noChangeAspect="1" noChangeArrowheads="1"/>
              </xdr:cNvPicPr>
            </xdr:nvPicPr>
            <xdr:blipFill>
              <a:blip xmlns:r="http://schemas.openxmlformats.org/officeDocument/2006/relationships" r:embed="rId4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26340" y="243840"/>
                <a:ext cx="571500" cy="571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9" name="TextBox 48">
                <a:hlinkClick xmlns:r="http://schemas.openxmlformats.org/officeDocument/2006/relationships" r:id="rId44"/>
                <a:extLst>
                  <a:ext uri="{FF2B5EF4-FFF2-40B4-BE49-F238E27FC236}">
                    <a16:creationId xmlns:a16="http://schemas.microsoft.com/office/drawing/2014/main" id="{B7751CF9-50F9-A0B5-880B-5A1BB3A51093}"/>
                  </a:ext>
                </a:extLst>
              </xdr:cNvPr>
              <xdr:cNvSpPr txBox="1"/>
            </xdr:nvSpPr>
            <xdr:spPr>
              <a:xfrm>
                <a:off x="13129260" y="327660"/>
                <a:ext cx="841205" cy="4000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TRAVEL</a:t>
                </a:r>
              </a:p>
              <a:p>
                <a:pPr algn="ctr"/>
                <a:r>
                  <a:rPr lang="en-US" sz="900" b="1">
                    <a:solidFill>
                      <a:schemeClr val="bg1"/>
                    </a:solidFill>
                  </a:rPr>
                  <a:t>SANDBOX</a:t>
                </a:r>
              </a:p>
            </xdr:txBody>
          </xdr:sp>
        </xdr:grpSp>
      </xdr:grpSp>
      <xdr:pic>
        <xdr:nvPicPr>
          <xdr:cNvPr id="45" name="Picture 44">
            <a:hlinkClick xmlns:r="http://schemas.openxmlformats.org/officeDocument/2006/relationships" r:id="rId12"/>
            <a:extLst>
              <a:ext uri="{FF2B5EF4-FFF2-40B4-BE49-F238E27FC236}">
                <a16:creationId xmlns:a16="http://schemas.microsoft.com/office/drawing/2014/main" id="{9647AE0E-B53B-27A9-02BF-4D349B3F3CDA}"/>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6134100" y="30480"/>
            <a:ext cx="234698" cy="246078"/>
          </a:xfrm>
          <a:prstGeom prst="rect">
            <a:avLst/>
          </a:prstGeom>
          <a:solidFill>
            <a:srgbClr val="7FA6C7"/>
          </a:solidFill>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152400</xdr:colOff>
      <xdr:row>44</xdr:row>
      <xdr:rowOff>85725</xdr:rowOff>
    </xdr:from>
    <xdr:to>
      <xdr:col>49</xdr:col>
      <xdr:colOff>152400</xdr:colOff>
      <xdr:row>60</xdr:row>
      <xdr:rowOff>133350</xdr:rowOff>
    </xdr:to>
    <xdr:graphicFrame macro="">
      <xdr:nvGraphicFramePr>
        <xdr:cNvPr id="2" name="Chart 1">
          <a:extLst>
            <a:ext uri="{FF2B5EF4-FFF2-40B4-BE49-F238E27FC236}">
              <a16:creationId xmlns:a16="http://schemas.microsoft.com/office/drawing/2014/main" id="{960BE946-57A2-47D5-B5C3-B4B3A7F2FA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84</xdr:row>
      <xdr:rowOff>114300</xdr:rowOff>
    </xdr:from>
    <xdr:to>
      <xdr:col>49</xdr:col>
      <xdr:colOff>0</xdr:colOff>
      <xdr:row>101</xdr:row>
      <xdr:rowOff>28575</xdr:rowOff>
    </xdr:to>
    <xdr:graphicFrame macro="">
      <xdr:nvGraphicFramePr>
        <xdr:cNvPr id="3" name="Chart 2">
          <a:extLst>
            <a:ext uri="{FF2B5EF4-FFF2-40B4-BE49-F238E27FC236}">
              <a16:creationId xmlns:a16="http://schemas.microsoft.com/office/drawing/2014/main" id="{3FB8B421-18A2-4841-8C79-955F4810B1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38100</xdr:colOff>
      <xdr:row>124</xdr:row>
      <xdr:rowOff>85725</xdr:rowOff>
    </xdr:from>
    <xdr:to>
      <xdr:col>50</xdr:col>
      <xdr:colOff>0</xdr:colOff>
      <xdr:row>139</xdr:row>
      <xdr:rowOff>114300</xdr:rowOff>
    </xdr:to>
    <xdr:graphicFrame macro="">
      <xdr:nvGraphicFramePr>
        <xdr:cNvPr id="4" name="Chart 3">
          <a:extLst>
            <a:ext uri="{FF2B5EF4-FFF2-40B4-BE49-F238E27FC236}">
              <a16:creationId xmlns:a16="http://schemas.microsoft.com/office/drawing/2014/main" id="{7D7FF116-5549-4546-A8DD-A00A266D6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0</xdr:row>
      <xdr:rowOff>0</xdr:rowOff>
    </xdr:from>
    <xdr:to>
      <xdr:col>64</xdr:col>
      <xdr:colOff>601737</xdr:colOff>
      <xdr:row>3</xdr:row>
      <xdr:rowOff>7620</xdr:rowOff>
    </xdr:to>
    <xdr:grpSp>
      <xdr:nvGrpSpPr>
        <xdr:cNvPr id="53" name="Group 52">
          <a:extLst>
            <a:ext uri="{FF2B5EF4-FFF2-40B4-BE49-F238E27FC236}">
              <a16:creationId xmlns:a16="http://schemas.microsoft.com/office/drawing/2014/main" id="{DBCDDE35-BA0B-4AAA-AD52-19F2099EBA19}"/>
            </a:ext>
          </a:extLst>
        </xdr:cNvPr>
        <xdr:cNvGrpSpPr/>
      </xdr:nvGrpSpPr>
      <xdr:grpSpPr>
        <a:xfrm>
          <a:off x="1386840" y="0"/>
          <a:ext cx="11894577" cy="815340"/>
          <a:chOff x="2194560" y="0"/>
          <a:chExt cx="11894577" cy="815340"/>
        </a:xfrm>
      </xdr:grpSpPr>
      <xdr:grpSp>
        <xdr:nvGrpSpPr>
          <xdr:cNvPr id="54" name="Group 53">
            <a:extLst>
              <a:ext uri="{FF2B5EF4-FFF2-40B4-BE49-F238E27FC236}">
                <a16:creationId xmlns:a16="http://schemas.microsoft.com/office/drawing/2014/main" id="{2534EE34-64EC-944D-E322-7839717D0043}"/>
              </a:ext>
            </a:extLst>
          </xdr:cNvPr>
          <xdr:cNvGrpSpPr/>
        </xdr:nvGrpSpPr>
        <xdr:grpSpPr>
          <a:xfrm>
            <a:off x="2194560" y="0"/>
            <a:ext cx="11894577" cy="815340"/>
            <a:chOff x="2194560" y="0"/>
            <a:chExt cx="11894577" cy="815340"/>
          </a:xfrm>
        </xdr:grpSpPr>
        <xdr:grpSp>
          <xdr:nvGrpSpPr>
            <xdr:cNvPr id="56" name="Group 55">
              <a:extLst>
                <a:ext uri="{FF2B5EF4-FFF2-40B4-BE49-F238E27FC236}">
                  <a16:creationId xmlns:a16="http://schemas.microsoft.com/office/drawing/2014/main" id="{CBD9EB8B-FB3B-120C-D782-B40763D40A02}"/>
                </a:ext>
              </a:extLst>
            </xdr:cNvPr>
            <xdr:cNvGrpSpPr/>
          </xdr:nvGrpSpPr>
          <xdr:grpSpPr>
            <a:xfrm>
              <a:off x="2194560" y="0"/>
              <a:ext cx="11894577" cy="773812"/>
              <a:chOff x="2160046" y="0"/>
              <a:chExt cx="11894577" cy="773812"/>
            </a:xfrm>
          </xdr:grpSpPr>
          <xdr:grpSp>
            <xdr:nvGrpSpPr>
              <xdr:cNvPr id="60" name="Group 59">
                <a:extLst>
                  <a:ext uri="{FF2B5EF4-FFF2-40B4-BE49-F238E27FC236}">
                    <a16:creationId xmlns:a16="http://schemas.microsoft.com/office/drawing/2014/main" id="{B2B90C51-7CA2-89DD-ABD7-584038E1DE30}"/>
                  </a:ext>
                </a:extLst>
              </xdr:cNvPr>
              <xdr:cNvGrpSpPr/>
            </xdr:nvGrpSpPr>
            <xdr:grpSpPr>
              <a:xfrm>
                <a:off x="2160046" y="0"/>
                <a:ext cx="11894577" cy="773812"/>
                <a:chOff x="1310640" y="0"/>
                <a:chExt cx="11549013" cy="764847"/>
              </a:xfrm>
            </xdr:grpSpPr>
            <xdr:pic>
              <xdr:nvPicPr>
                <xdr:cNvPr id="64" name="Picture 63">
                  <a:hlinkClick xmlns:r="http://schemas.openxmlformats.org/officeDocument/2006/relationships" r:id="rId4"/>
                  <a:extLst>
                    <a:ext uri="{FF2B5EF4-FFF2-40B4-BE49-F238E27FC236}">
                      <a16:creationId xmlns:a16="http://schemas.microsoft.com/office/drawing/2014/main" id="{0657A799-0339-8567-D118-49C20FFAE88B}"/>
                    </a:ext>
                  </a:extLst>
                </xdr:cNvPr>
                <xdr:cNvPicPr>
                  <a:picLocks/>
                </xdr:cNvPicPr>
              </xdr:nvPicPr>
              <xdr:blipFill>
                <a:blip xmlns:r="http://schemas.openxmlformats.org/officeDocument/2006/relationships" r:embed="rId5" cstate="print">
                  <a:alphaModFix/>
                  <a:extLst>
                    <a:ext uri="{28A0092B-C50C-407E-A947-70E740481C1C}">
                      <a14:useLocalDpi xmlns:a14="http://schemas.microsoft.com/office/drawing/2010/main" val="0"/>
                    </a:ext>
                  </a:extLst>
                </a:blip>
                <a:srcRect/>
                <a:stretch/>
              </xdr:blipFill>
              <xdr:spPr>
                <a:xfrm>
                  <a:off x="1310640" y="46180"/>
                  <a:ext cx="499211" cy="554546"/>
                </a:xfrm>
                <a:prstGeom prst="rect">
                  <a:avLst/>
                </a:prstGeom>
              </xdr:spPr>
            </xdr:pic>
            <xdr:pic>
              <xdr:nvPicPr>
                <xdr:cNvPr id="65" name="Picture 64">
                  <a:hlinkClick xmlns:r="http://schemas.openxmlformats.org/officeDocument/2006/relationships" r:id="rId6"/>
                  <a:extLst>
                    <a:ext uri="{FF2B5EF4-FFF2-40B4-BE49-F238E27FC236}">
                      <a16:creationId xmlns:a16="http://schemas.microsoft.com/office/drawing/2014/main" id="{F6D465AB-3258-0A9B-D689-1602C161225F}"/>
                    </a:ext>
                  </a:extLst>
                </xdr:cNvPr>
                <xdr:cNvPicPr>
                  <a:picLocks noChangeAspect="1" noChangeArrowheads="1"/>
                </xdr:cNvPicPr>
              </xdr:nvPicPr>
              <xdr:blipFill>
                <a:blip xmlns:r="http://schemas.openxmlformats.org/officeDocument/2006/relationships" r:embed="rId7" cstate="print">
                  <a:alphaModFix/>
                  <a:extLst>
                    <a:ext uri="{28A0092B-C50C-407E-A947-70E740481C1C}">
                      <a14:useLocalDpi xmlns:a14="http://schemas.microsoft.com/office/drawing/2010/main" val="0"/>
                    </a:ext>
                  </a:extLst>
                </a:blip>
                <a:srcRect/>
                <a:stretch>
                  <a:fillRect/>
                </a:stretch>
              </xdr:blipFill>
              <xdr:spPr bwMode="auto">
                <a:xfrm>
                  <a:off x="2163693" y="30823"/>
                  <a:ext cx="214188" cy="2260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6" name="TextBox 65">
                  <a:hlinkClick xmlns:r="http://schemas.openxmlformats.org/officeDocument/2006/relationships" r:id="rId6"/>
                  <a:extLst>
                    <a:ext uri="{FF2B5EF4-FFF2-40B4-BE49-F238E27FC236}">
                      <a16:creationId xmlns:a16="http://schemas.microsoft.com/office/drawing/2014/main" id="{4DD9CE06-9B8E-5AFA-6655-AEF63F759D67}"/>
                    </a:ext>
                  </a:extLst>
                </xdr:cNvPr>
                <xdr:cNvSpPr txBox="1"/>
              </xdr:nvSpPr>
              <xdr:spPr>
                <a:xfrm>
                  <a:off x="2369194" y="17046"/>
                  <a:ext cx="846446" cy="25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US" sz="900" b="1">
                      <a:solidFill>
                        <a:schemeClr val="bg1"/>
                      </a:solidFill>
                    </a:rPr>
                    <a:t>DASHBOARD</a:t>
                  </a:r>
                </a:p>
              </xdr:txBody>
            </xdr:sp>
            <xdr:pic>
              <xdr:nvPicPr>
                <xdr:cNvPr id="67" name="Picture 66">
                  <a:hlinkClick xmlns:r="http://schemas.openxmlformats.org/officeDocument/2006/relationships" r:id="rId8"/>
                  <a:extLst>
                    <a:ext uri="{FF2B5EF4-FFF2-40B4-BE49-F238E27FC236}">
                      <a16:creationId xmlns:a16="http://schemas.microsoft.com/office/drawing/2014/main" id="{7312E749-D072-6A91-585A-19A577B70F26}"/>
                    </a:ext>
                  </a:extLst>
                </xdr:cNvPr>
                <xdr:cNvPicPr>
                  <a:picLocks noChangeAspect="1" noChangeArrowheads="1"/>
                </xdr:cNvPicPr>
              </xdr:nvPicPr>
              <xdr:blipFill>
                <a:blip xmlns:r="http://schemas.openxmlformats.org/officeDocument/2006/relationships" r:embed="rId9" cstate="print">
                  <a:alphaModFix/>
                  <a:extLst>
                    <a:ext uri="{28A0092B-C50C-407E-A947-70E740481C1C}">
                      <a14:useLocalDpi xmlns:a14="http://schemas.microsoft.com/office/drawing/2010/main" val="0"/>
                    </a:ext>
                  </a:extLst>
                </a:blip>
                <a:srcRect/>
                <a:stretch>
                  <a:fillRect/>
                </a:stretch>
              </xdr:blipFill>
              <xdr:spPr bwMode="auto">
                <a:xfrm>
                  <a:off x="8461655" y="433462"/>
                  <a:ext cx="214188" cy="20819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8" name="TextBox 67">
                  <a:hlinkClick xmlns:r="http://schemas.openxmlformats.org/officeDocument/2006/relationships" r:id="rId8"/>
                  <a:extLst>
                    <a:ext uri="{FF2B5EF4-FFF2-40B4-BE49-F238E27FC236}">
                      <a16:creationId xmlns:a16="http://schemas.microsoft.com/office/drawing/2014/main" id="{7BEA54D9-2DAB-1232-4D1D-7EB6384DEF0A}"/>
                    </a:ext>
                  </a:extLst>
                </xdr:cNvPr>
                <xdr:cNvSpPr txBox="1"/>
              </xdr:nvSpPr>
              <xdr:spPr>
                <a:xfrm>
                  <a:off x="8647283" y="413913"/>
                  <a:ext cx="56836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REPORTS</a:t>
                  </a:r>
                </a:p>
              </xdr:txBody>
            </xdr:sp>
            <xdr:pic>
              <xdr:nvPicPr>
                <xdr:cNvPr id="69" name="Picture 68">
                  <a:hlinkClick xmlns:r="http://schemas.openxmlformats.org/officeDocument/2006/relationships" r:id="rId10"/>
                  <a:extLst>
                    <a:ext uri="{FF2B5EF4-FFF2-40B4-BE49-F238E27FC236}">
                      <a16:creationId xmlns:a16="http://schemas.microsoft.com/office/drawing/2014/main" id="{BC02A284-A787-0E5C-B262-843923A40069}"/>
                    </a:ext>
                  </a:extLst>
                </xdr:cNvPr>
                <xdr:cNvPicPr>
                  <a:picLocks noChangeAspect="1"/>
                </xdr:cNvPicPr>
              </xdr:nvPicPr>
              <xdr:blipFill>
                <a:blip xmlns:r="http://schemas.openxmlformats.org/officeDocument/2006/relationships" r:embed="rId11" cstate="print">
                  <a:alphaModFix/>
                  <a:extLst>
                    <a:ext uri="{28A0092B-C50C-407E-A947-70E740481C1C}">
                      <a14:useLocalDpi xmlns:a14="http://schemas.microsoft.com/office/drawing/2010/main" val="0"/>
                    </a:ext>
                  </a:extLst>
                </a:blip>
                <a:stretch>
                  <a:fillRect/>
                </a:stretch>
              </xdr:blipFill>
              <xdr:spPr>
                <a:xfrm>
                  <a:off x="6903860" y="19549"/>
                  <a:ext cx="214187" cy="248554"/>
                </a:xfrm>
                <a:prstGeom prst="rect">
                  <a:avLst/>
                </a:prstGeom>
              </xdr:spPr>
            </xdr:pic>
            <xdr:sp macro="" textlink="">
              <xdr:nvSpPr>
                <xdr:cNvPr id="70" name="TextBox 69">
                  <a:hlinkClick xmlns:r="http://schemas.openxmlformats.org/officeDocument/2006/relationships" r:id="rId10"/>
                  <a:extLst>
                    <a:ext uri="{FF2B5EF4-FFF2-40B4-BE49-F238E27FC236}">
                      <a16:creationId xmlns:a16="http://schemas.microsoft.com/office/drawing/2014/main" id="{E9FEA547-6A4A-1611-30F4-858D62F1D6BE}"/>
                    </a:ext>
                  </a:extLst>
                </xdr:cNvPr>
                <xdr:cNvSpPr txBox="1"/>
              </xdr:nvSpPr>
              <xdr:spPr>
                <a:xfrm>
                  <a:off x="7099062" y="0"/>
                  <a:ext cx="67589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MORTGAGE</a:t>
                  </a:r>
                </a:p>
              </xdr:txBody>
            </xdr:sp>
            <xdr:sp macro="" textlink="">
              <xdr:nvSpPr>
                <xdr:cNvPr id="71" name="TextBox 70">
                  <a:hlinkClick xmlns:r="http://schemas.openxmlformats.org/officeDocument/2006/relationships" r:id="rId12"/>
                  <a:extLst>
                    <a:ext uri="{FF2B5EF4-FFF2-40B4-BE49-F238E27FC236}">
                      <a16:creationId xmlns:a16="http://schemas.microsoft.com/office/drawing/2014/main" id="{160ABA28-B66C-0A56-ADF9-958F39C77DF8}"/>
                    </a:ext>
                  </a:extLst>
                </xdr:cNvPr>
                <xdr:cNvSpPr txBox="1"/>
              </xdr:nvSpPr>
              <xdr:spPr>
                <a:xfrm>
                  <a:off x="6375474" y="0"/>
                  <a:ext cx="381400"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DEBT</a:t>
                  </a:r>
                </a:p>
              </xdr:txBody>
            </xdr:sp>
            <xdr:pic>
              <xdr:nvPicPr>
                <xdr:cNvPr id="72" name="Picture 71">
                  <a:hlinkClick xmlns:r="http://schemas.openxmlformats.org/officeDocument/2006/relationships" r:id="rId12"/>
                  <a:extLst>
                    <a:ext uri="{FF2B5EF4-FFF2-40B4-BE49-F238E27FC236}">
                      <a16:creationId xmlns:a16="http://schemas.microsoft.com/office/drawing/2014/main" id="{F381F133-8A81-65F0-EF6F-CAF0A2250562}"/>
                    </a:ext>
                  </a:extLst>
                </xdr:cNvPr>
                <xdr:cNvPicPr>
                  <a:picLocks noChangeAspect="1"/>
                </xdr:cNvPicPr>
              </xdr:nvPicPr>
              <xdr:blipFill>
                <a:blip xmlns:r="http://schemas.openxmlformats.org/officeDocument/2006/relationships" r:embed="rId13" cstate="print">
                  <a:alphaModFix/>
                  <a:extLst>
                    <a:ext uri="{28A0092B-C50C-407E-A947-70E740481C1C}">
                      <a14:useLocalDpi xmlns:a14="http://schemas.microsoft.com/office/drawing/2010/main" val="0"/>
                    </a:ext>
                  </a:extLst>
                </a:blip>
                <a:stretch>
                  <a:fillRect/>
                </a:stretch>
              </xdr:blipFill>
              <xdr:spPr>
                <a:xfrm>
                  <a:off x="6158378" y="19549"/>
                  <a:ext cx="214188" cy="248554"/>
                </a:xfrm>
                <a:prstGeom prst="rect">
                  <a:avLst/>
                </a:prstGeom>
              </xdr:spPr>
            </xdr:pic>
            <xdr:sp macro="" textlink="">
              <xdr:nvSpPr>
                <xdr:cNvPr id="73" name="TextBox 72">
                  <a:hlinkClick xmlns:r="http://schemas.openxmlformats.org/officeDocument/2006/relationships" r:id="rId14"/>
                  <a:extLst>
                    <a:ext uri="{FF2B5EF4-FFF2-40B4-BE49-F238E27FC236}">
                      <a16:creationId xmlns:a16="http://schemas.microsoft.com/office/drawing/2014/main" id="{A038E185-6287-407A-F765-F4F2F8C7B926}"/>
                    </a:ext>
                  </a:extLst>
                </xdr:cNvPr>
                <xdr:cNvSpPr txBox="1"/>
              </xdr:nvSpPr>
              <xdr:spPr>
                <a:xfrm>
                  <a:off x="5370816" y="37659"/>
                  <a:ext cx="64057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FORECASTS</a:t>
                  </a:r>
                </a:p>
              </xdr:txBody>
            </xdr:sp>
            <xdr:sp macro="" textlink="">
              <xdr:nvSpPr>
                <xdr:cNvPr id="74" name="TextBox 73">
                  <a:hlinkClick xmlns:r="http://schemas.openxmlformats.org/officeDocument/2006/relationships" r:id="rId15"/>
                  <a:extLst>
                    <a:ext uri="{FF2B5EF4-FFF2-40B4-BE49-F238E27FC236}">
                      <a16:creationId xmlns:a16="http://schemas.microsoft.com/office/drawing/2014/main" id="{29D5BBA0-0D61-03E7-627E-81458434AD2C}"/>
                    </a:ext>
                  </a:extLst>
                </xdr:cNvPr>
                <xdr:cNvSpPr txBox="1"/>
              </xdr:nvSpPr>
              <xdr:spPr>
                <a:xfrm>
                  <a:off x="8104032" y="0"/>
                  <a:ext cx="7732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a:t>
                  </a:r>
                  <a:r>
                    <a:rPr lang="en-US" sz="900" b="1" baseline="0">
                      <a:solidFill>
                        <a:schemeClr val="bg1"/>
                      </a:solidFill>
                    </a:rPr>
                    <a:t> (M)</a:t>
                  </a:r>
                  <a:endParaRPr lang="en-US" sz="900" b="1">
                    <a:solidFill>
                      <a:schemeClr val="bg1"/>
                    </a:solidFill>
                  </a:endParaRPr>
                </a:p>
              </xdr:txBody>
            </xdr:sp>
            <xdr:pic>
              <xdr:nvPicPr>
                <xdr:cNvPr id="75" name="Picture 74">
                  <a:hlinkClick xmlns:r="http://schemas.openxmlformats.org/officeDocument/2006/relationships" r:id="rId15"/>
                  <a:extLst>
                    <a:ext uri="{FF2B5EF4-FFF2-40B4-BE49-F238E27FC236}">
                      <a16:creationId xmlns:a16="http://schemas.microsoft.com/office/drawing/2014/main" id="{05EA786B-1B80-1440-4CC4-C03026CD0825}"/>
                    </a:ext>
                  </a:extLst>
                </xdr:cNvPr>
                <xdr:cNvPicPr>
                  <a:picLocks noChangeAspect="1"/>
                </xdr:cNvPicPr>
              </xdr:nvPicPr>
              <xdr:blipFill>
                <a:blip xmlns:r="http://schemas.openxmlformats.org/officeDocument/2006/relationships" r:embed="rId16" cstate="print">
                  <a:alphaModFix/>
                  <a:extLst>
                    <a:ext uri="{28A0092B-C50C-407E-A947-70E740481C1C}">
                      <a14:useLocalDpi xmlns:a14="http://schemas.microsoft.com/office/drawing/2010/main" val="0"/>
                    </a:ext>
                  </a:extLst>
                </a:blip>
                <a:stretch>
                  <a:fillRect/>
                </a:stretch>
              </xdr:blipFill>
              <xdr:spPr>
                <a:xfrm>
                  <a:off x="7921943" y="19549"/>
                  <a:ext cx="214188" cy="248554"/>
                </a:xfrm>
                <a:prstGeom prst="rect">
                  <a:avLst/>
                </a:prstGeom>
              </xdr:spPr>
            </xdr:pic>
            <xdr:sp macro="" textlink="">
              <xdr:nvSpPr>
                <xdr:cNvPr id="76" name="TextBox 75">
                  <a:hlinkClick xmlns:r="http://schemas.openxmlformats.org/officeDocument/2006/relationships" r:id="rId17"/>
                  <a:extLst>
                    <a:ext uri="{FF2B5EF4-FFF2-40B4-BE49-F238E27FC236}">
                      <a16:creationId xmlns:a16="http://schemas.microsoft.com/office/drawing/2014/main" id="{DDDE1E27-3227-437A-A4E3-83BF859FB21C}"/>
                    </a:ext>
                  </a:extLst>
                </xdr:cNvPr>
                <xdr:cNvSpPr txBox="1"/>
              </xdr:nvSpPr>
              <xdr:spPr>
                <a:xfrm>
                  <a:off x="9978309" y="0"/>
                  <a:ext cx="687187"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 (Y)</a:t>
                  </a:r>
                </a:p>
              </xdr:txBody>
            </xdr:sp>
            <xdr:pic>
              <xdr:nvPicPr>
                <xdr:cNvPr id="77" name="Picture 76">
                  <a:hlinkClick xmlns:r="http://schemas.openxmlformats.org/officeDocument/2006/relationships" r:id="rId17"/>
                  <a:extLst>
                    <a:ext uri="{FF2B5EF4-FFF2-40B4-BE49-F238E27FC236}">
                      <a16:creationId xmlns:a16="http://schemas.microsoft.com/office/drawing/2014/main" id="{364DEEF9-7A93-BB87-017A-436B2AE7C29F}"/>
                    </a:ext>
                  </a:extLst>
                </xdr:cNvPr>
                <xdr:cNvPicPr>
                  <a:picLocks noChangeAspect="1"/>
                </xdr:cNvPicPr>
              </xdr:nvPicPr>
              <xdr:blipFill>
                <a:blip xmlns:r="http://schemas.openxmlformats.org/officeDocument/2006/relationships" r:embed="rId18" cstate="print">
                  <a:alphaModFix/>
                  <a:extLst>
                    <a:ext uri="{28A0092B-C50C-407E-A947-70E740481C1C}">
                      <a14:useLocalDpi xmlns:a14="http://schemas.microsoft.com/office/drawing/2010/main" val="0"/>
                    </a:ext>
                  </a:extLst>
                </a:blip>
                <a:stretch>
                  <a:fillRect/>
                </a:stretch>
              </xdr:blipFill>
              <xdr:spPr>
                <a:xfrm>
                  <a:off x="9777770" y="19549"/>
                  <a:ext cx="214188" cy="248554"/>
                </a:xfrm>
                <a:prstGeom prst="rect">
                  <a:avLst/>
                </a:prstGeom>
              </xdr:spPr>
            </xdr:pic>
            <xdr:sp macro="" textlink="">
              <xdr:nvSpPr>
                <xdr:cNvPr id="78" name="TextBox 77">
                  <a:hlinkClick xmlns:r="http://schemas.openxmlformats.org/officeDocument/2006/relationships" r:id="rId19"/>
                  <a:extLst>
                    <a:ext uri="{FF2B5EF4-FFF2-40B4-BE49-F238E27FC236}">
                      <a16:creationId xmlns:a16="http://schemas.microsoft.com/office/drawing/2014/main" id="{181B8E20-98FF-C9CF-93C4-E637D5939725}"/>
                    </a:ext>
                  </a:extLst>
                </xdr:cNvPr>
                <xdr:cNvSpPr txBox="1"/>
              </xdr:nvSpPr>
              <xdr:spPr>
                <a:xfrm>
                  <a:off x="9133984" y="0"/>
                  <a:ext cx="49680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VERSUS</a:t>
                  </a:r>
                </a:p>
              </xdr:txBody>
            </xdr:sp>
            <xdr:pic>
              <xdr:nvPicPr>
                <xdr:cNvPr id="79" name="Picture 78">
                  <a:hlinkClick xmlns:r="http://schemas.openxmlformats.org/officeDocument/2006/relationships" r:id="rId19"/>
                  <a:extLst>
                    <a:ext uri="{FF2B5EF4-FFF2-40B4-BE49-F238E27FC236}">
                      <a16:creationId xmlns:a16="http://schemas.microsoft.com/office/drawing/2014/main" id="{7B0BB015-1983-396B-CBFA-DCE25B8A0AC6}"/>
                    </a:ext>
                  </a:extLst>
                </xdr:cNvPr>
                <xdr:cNvPicPr>
                  <a:picLocks noChangeAspect="1"/>
                </xdr:cNvPicPr>
              </xdr:nvPicPr>
              <xdr:blipFill>
                <a:blip xmlns:r="http://schemas.openxmlformats.org/officeDocument/2006/relationships" r:embed="rId20" cstate="print">
                  <a:alphaModFix/>
                  <a:extLst>
                    <a:ext uri="{28A0092B-C50C-407E-A947-70E740481C1C}">
                      <a14:useLocalDpi xmlns:a14="http://schemas.microsoft.com/office/drawing/2010/main" val="0"/>
                    </a:ext>
                  </a:extLst>
                </a:blip>
                <a:stretch>
                  <a:fillRect/>
                </a:stretch>
              </xdr:blipFill>
              <xdr:spPr>
                <a:xfrm>
                  <a:off x="8938203" y="19549"/>
                  <a:ext cx="214187" cy="248554"/>
                </a:xfrm>
                <a:prstGeom prst="rect">
                  <a:avLst/>
                </a:prstGeom>
              </xdr:spPr>
            </xdr:pic>
            <xdr:sp macro="" textlink="">
              <xdr:nvSpPr>
                <xdr:cNvPr id="80" name="TextBox 79">
                  <a:hlinkClick xmlns:r="http://schemas.openxmlformats.org/officeDocument/2006/relationships" r:id="rId21"/>
                  <a:extLst>
                    <a:ext uri="{FF2B5EF4-FFF2-40B4-BE49-F238E27FC236}">
                      <a16:creationId xmlns:a16="http://schemas.microsoft.com/office/drawing/2014/main" id="{C30C87EC-9268-7417-135E-42FDEDB3306E}"/>
                    </a:ext>
                  </a:extLst>
                </xdr:cNvPr>
                <xdr:cNvSpPr txBox="1"/>
              </xdr:nvSpPr>
              <xdr:spPr>
                <a:xfrm>
                  <a:off x="3510385" y="0"/>
                  <a:ext cx="52312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REPAIRS</a:t>
                  </a:r>
                </a:p>
              </xdr:txBody>
            </xdr:sp>
            <xdr:pic>
              <xdr:nvPicPr>
                <xdr:cNvPr id="81" name="Picture 80">
                  <a:hlinkClick xmlns:r="http://schemas.openxmlformats.org/officeDocument/2006/relationships" r:id="rId21"/>
                  <a:extLst>
                    <a:ext uri="{FF2B5EF4-FFF2-40B4-BE49-F238E27FC236}">
                      <a16:creationId xmlns:a16="http://schemas.microsoft.com/office/drawing/2014/main" id="{D55A93FB-DE4E-E957-7E1B-3D31C30915F8}"/>
                    </a:ext>
                  </a:extLst>
                </xdr:cNvPr>
                <xdr:cNvPicPr>
                  <a:picLocks noChangeAspect="1"/>
                </xdr:cNvPicPr>
              </xdr:nvPicPr>
              <xdr:blipFill>
                <a:blip xmlns:r="http://schemas.openxmlformats.org/officeDocument/2006/relationships" r:embed="rId22" cstate="print">
                  <a:alphaModFix/>
                  <a:extLst>
                    <a:ext uri="{28A0092B-C50C-407E-A947-70E740481C1C}">
                      <a14:useLocalDpi xmlns:a14="http://schemas.microsoft.com/office/drawing/2010/main" val="0"/>
                    </a:ext>
                  </a:extLst>
                </a:blip>
                <a:stretch>
                  <a:fillRect/>
                </a:stretch>
              </xdr:blipFill>
              <xdr:spPr>
                <a:xfrm>
                  <a:off x="3296296" y="28376"/>
                  <a:ext cx="214435" cy="230900"/>
                </a:xfrm>
                <a:prstGeom prst="rect">
                  <a:avLst/>
                </a:prstGeom>
              </xdr:spPr>
            </xdr:pic>
            <xdr:sp macro="" textlink="">
              <xdr:nvSpPr>
                <xdr:cNvPr id="82" name="TextBox 81">
                  <a:hlinkClick xmlns:r="http://schemas.openxmlformats.org/officeDocument/2006/relationships" r:id="rId23"/>
                  <a:extLst>
                    <a:ext uri="{FF2B5EF4-FFF2-40B4-BE49-F238E27FC236}">
                      <a16:creationId xmlns:a16="http://schemas.microsoft.com/office/drawing/2014/main" id="{24953935-EE4F-CE1E-A82A-E406B07583E8}"/>
                    </a:ext>
                  </a:extLst>
                </xdr:cNvPr>
                <xdr:cNvSpPr txBox="1"/>
              </xdr:nvSpPr>
              <xdr:spPr>
                <a:xfrm>
                  <a:off x="4388587" y="0"/>
                  <a:ext cx="63170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FURNITURE</a:t>
                  </a:r>
                </a:p>
              </xdr:txBody>
            </xdr:sp>
            <xdr:pic>
              <xdr:nvPicPr>
                <xdr:cNvPr id="83" name="Picture 82">
                  <a:hlinkClick xmlns:r="http://schemas.openxmlformats.org/officeDocument/2006/relationships" r:id="rId23"/>
                  <a:extLst>
                    <a:ext uri="{FF2B5EF4-FFF2-40B4-BE49-F238E27FC236}">
                      <a16:creationId xmlns:a16="http://schemas.microsoft.com/office/drawing/2014/main" id="{6215127A-E41A-0BBB-019B-12E9D5A91B1F}"/>
                    </a:ext>
                  </a:extLst>
                </xdr:cNvPr>
                <xdr:cNvPicPr>
                  <a:picLocks noChangeAspect="1"/>
                </xdr:cNvPicPr>
              </xdr:nvPicPr>
              <xdr:blipFill>
                <a:blip xmlns:r="http://schemas.openxmlformats.org/officeDocument/2006/relationships" r:embed="rId24" cstate="print">
                  <a:alphaModFix/>
                  <a:extLst>
                    <a:ext uri="{28A0092B-C50C-407E-A947-70E740481C1C}">
                      <a14:useLocalDpi xmlns:a14="http://schemas.microsoft.com/office/drawing/2010/main" val="0"/>
                    </a:ext>
                  </a:extLst>
                </a:blip>
                <a:stretch>
                  <a:fillRect/>
                </a:stretch>
              </xdr:blipFill>
              <xdr:spPr>
                <a:xfrm>
                  <a:off x="4180491" y="28376"/>
                  <a:ext cx="214435" cy="230900"/>
                </a:xfrm>
                <a:prstGeom prst="rect">
                  <a:avLst/>
                </a:prstGeom>
              </xdr:spPr>
            </xdr:pic>
            <xdr:pic>
              <xdr:nvPicPr>
                <xdr:cNvPr id="84" name="Picture 83">
                  <a:hlinkClick xmlns:r="http://schemas.openxmlformats.org/officeDocument/2006/relationships" r:id="rId25"/>
                  <a:extLst>
                    <a:ext uri="{FF2B5EF4-FFF2-40B4-BE49-F238E27FC236}">
                      <a16:creationId xmlns:a16="http://schemas.microsoft.com/office/drawing/2014/main" id="{38DDE706-7614-5C1F-9610-0E950673E860}"/>
                    </a:ext>
                  </a:extLst>
                </xdr:cNvPr>
                <xdr:cNvPicPr>
                  <a:picLocks noChangeAspect="1"/>
                </xdr:cNvPicPr>
              </xdr:nvPicPr>
              <xdr:blipFill>
                <a:blip xmlns:r="http://schemas.openxmlformats.org/officeDocument/2006/relationships" r:embed="rId26" cstate="print">
                  <a:alphaModFix/>
                  <a:extLst>
                    <a:ext uri="{28A0092B-C50C-407E-A947-70E740481C1C}">
                      <a14:useLocalDpi xmlns:a14="http://schemas.microsoft.com/office/drawing/2010/main" val="0"/>
                    </a:ext>
                  </a:extLst>
                </a:blip>
                <a:stretch>
                  <a:fillRect/>
                </a:stretch>
              </xdr:blipFill>
              <xdr:spPr>
                <a:xfrm>
                  <a:off x="10812480" y="19549"/>
                  <a:ext cx="214188" cy="248554"/>
                </a:xfrm>
                <a:prstGeom prst="rect">
                  <a:avLst/>
                </a:prstGeom>
              </xdr:spPr>
            </xdr:pic>
            <xdr:sp macro="" textlink="">
              <xdr:nvSpPr>
                <xdr:cNvPr id="85" name="TextBox 84">
                  <a:hlinkClick xmlns:r="http://schemas.openxmlformats.org/officeDocument/2006/relationships" r:id="rId25"/>
                  <a:extLst>
                    <a:ext uri="{FF2B5EF4-FFF2-40B4-BE49-F238E27FC236}">
                      <a16:creationId xmlns:a16="http://schemas.microsoft.com/office/drawing/2014/main" id="{56EE58F1-8EAE-5906-059F-BA6264592ACF}"/>
                    </a:ext>
                  </a:extLst>
                </xdr:cNvPr>
                <xdr:cNvSpPr txBox="1"/>
              </xdr:nvSpPr>
              <xdr:spPr>
                <a:xfrm>
                  <a:off x="11008843" y="0"/>
                  <a:ext cx="40705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PEERS</a:t>
                  </a:r>
                </a:p>
              </xdr:txBody>
            </xdr:sp>
            <xdr:sp macro="" textlink="">
              <xdr:nvSpPr>
                <xdr:cNvPr id="86" name="TextBox 85">
                  <a:hlinkClick xmlns:r="http://schemas.openxmlformats.org/officeDocument/2006/relationships" r:id="rId27"/>
                  <a:extLst>
                    <a:ext uri="{FF2B5EF4-FFF2-40B4-BE49-F238E27FC236}">
                      <a16:creationId xmlns:a16="http://schemas.microsoft.com/office/drawing/2014/main" id="{E121DA77-959E-5B83-36DC-4296D4A61D03}"/>
                    </a:ext>
                  </a:extLst>
                </xdr:cNvPr>
                <xdr:cNvSpPr txBox="1"/>
              </xdr:nvSpPr>
              <xdr:spPr>
                <a:xfrm>
                  <a:off x="9581756" y="397481"/>
                  <a:ext cx="656781"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MAX PRICE</a:t>
                  </a:r>
                </a:p>
              </xdr:txBody>
            </xdr:sp>
            <xdr:pic>
              <xdr:nvPicPr>
                <xdr:cNvPr id="87" name="Picture 86">
                  <a:hlinkClick xmlns:r="http://schemas.openxmlformats.org/officeDocument/2006/relationships" r:id="rId27"/>
                  <a:extLst>
                    <a:ext uri="{FF2B5EF4-FFF2-40B4-BE49-F238E27FC236}">
                      <a16:creationId xmlns:a16="http://schemas.microsoft.com/office/drawing/2014/main" id="{1C4E780C-CE5A-3C5E-0C2D-C3EE20A9520A}"/>
                    </a:ext>
                  </a:extLst>
                </xdr:cNvPr>
                <xdr:cNvPicPr>
                  <a:picLocks noChangeAspect="1"/>
                </xdr:cNvPicPr>
              </xdr:nvPicPr>
              <xdr:blipFill>
                <a:blip xmlns:r="http://schemas.openxmlformats.org/officeDocument/2006/relationships" r:embed="rId28" cstate="print">
                  <a:alphaModFix/>
                  <a:extLst>
                    <a:ext uri="{28A0092B-C50C-407E-A947-70E740481C1C}">
                      <a14:useLocalDpi xmlns:a14="http://schemas.microsoft.com/office/drawing/2010/main" val="0"/>
                    </a:ext>
                  </a:extLst>
                </a:blip>
                <a:stretch>
                  <a:fillRect/>
                </a:stretch>
              </xdr:blipFill>
              <xdr:spPr>
                <a:xfrm>
                  <a:off x="9433997" y="425857"/>
                  <a:ext cx="214435" cy="230900"/>
                </a:xfrm>
                <a:prstGeom prst="rect">
                  <a:avLst/>
                </a:prstGeom>
              </xdr:spPr>
            </xdr:pic>
            <xdr:sp macro="" textlink="">
              <xdr:nvSpPr>
                <xdr:cNvPr id="88" name="TextBox 87">
                  <a:hlinkClick xmlns:r="http://schemas.openxmlformats.org/officeDocument/2006/relationships" r:id="rId29"/>
                  <a:extLst>
                    <a:ext uri="{FF2B5EF4-FFF2-40B4-BE49-F238E27FC236}">
                      <a16:creationId xmlns:a16="http://schemas.microsoft.com/office/drawing/2014/main" id="{B505CCCC-01B4-D1F3-2B8B-995950BB0010}"/>
                    </a:ext>
                  </a:extLst>
                </xdr:cNvPr>
                <xdr:cNvSpPr txBox="1"/>
              </xdr:nvSpPr>
              <xdr:spPr>
                <a:xfrm>
                  <a:off x="7733272" y="389861"/>
                  <a:ext cx="6384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SCENARIOS</a:t>
                  </a:r>
                </a:p>
              </xdr:txBody>
            </xdr:sp>
            <xdr:pic>
              <xdr:nvPicPr>
                <xdr:cNvPr id="89" name="Picture 88">
                  <a:hlinkClick xmlns:r="http://schemas.openxmlformats.org/officeDocument/2006/relationships" r:id="rId29"/>
                  <a:extLst>
                    <a:ext uri="{FF2B5EF4-FFF2-40B4-BE49-F238E27FC236}">
                      <a16:creationId xmlns:a16="http://schemas.microsoft.com/office/drawing/2014/main" id="{C32412E0-79FD-BD70-1995-E4301B42FCBD}"/>
                    </a:ext>
                  </a:extLst>
                </xdr:cNvPr>
                <xdr:cNvPicPr>
                  <a:picLocks noChangeAspect="1"/>
                </xdr:cNvPicPr>
              </xdr:nvPicPr>
              <xdr:blipFill>
                <a:blip xmlns:r="http://schemas.openxmlformats.org/officeDocument/2006/relationships" r:embed="rId30" cstate="print">
                  <a:alphaModFix/>
                  <a:extLst>
                    <a:ext uri="{28A0092B-C50C-407E-A947-70E740481C1C}">
                      <a14:useLocalDpi xmlns:a14="http://schemas.microsoft.com/office/drawing/2010/main" val="0"/>
                    </a:ext>
                  </a:extLst>
                </a:blip>
                <a:stretch>
                  <a:fillRect/>
                </a:stretch>
              </xdr:blipFill>
              <xdr:spPr>
                <a:xfrm>
                  <a:off x="7536090" y="418237"/>
                  <a:ext cx="214435" cy="230900"/>
                </a:xfrm>
                <a:prstGeom prst="rect">
                  <a:avLst/>
                </a:prstGeom>
              </xdr:spPr>
            </xdr:pic>
            <xdr:sp macro="" textlink="">
              <xdr:nvSpPr>
                <xdr:cNvPr id="90" name="TextBox 89">
                  <a:hlinkClick xmlns:r="http://schemas.openxmlformats.org/officeDocument/2006/relationships" r:id="rId31"/>
                  <a:extLst>
                    <a:ext uri="{FF2B5EF4-FFF2-40B4-BE49-F238E27FC236}">
                      <a16:creationId xmlns:a16="http://schemas.microsoft.com/office/drawing/2014/main" id="{7DC84FC5-A718-4B46-136A-1863A7436B51}"/>
                    </a:ext>
                  </a:extLst>
                </xdr:cNvPr>
                <xdr:cNvSpPr txBox="1"/>
              </xdr:nvSpPr>
              <xdr:spPr>
                <a:xfrm>
                  <a:off x="11757467" y="49286"/>
                  <a:ext cx="110218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MARKET RESEARCH</a:t>
                  </a:r>
                </a:p>
              </xdr:txBody>
            </xdr:sp>
            <xdr:pic>
              <xdr:nvPicPr>
                <xdr:cNvPr id="91" name="Picture 90" descr="A white and brown hourglass&#10;&#10;AI-generated content may be incorrect.">
                  <a:hlinkClick xmlns:r="http://schemas.openxmlformats.org/officeDocument/2006/relationships" r:id="rId31"/>
                  <a:extLst>
                    <a:ext uri="{FF2B5EF4-FFF2-40B4-BE49-F238E27FC236}">
                      <a16:creationId xmlns:a16="http://schemas.microsoft.com/office/drawing/2014/main" id="{F3F115F4-2970-E3EC-DE68-8FDB45C89A12}"/>
                    </a:ext>
                  </a:extLst>
                </xdr:cNvPr>
                <xdr:cNvPicPr>
                  <a:picLocks noChangeAspect="1"/>
                </xdr:cNvPicPr>
              </xdr:nvPicPr>
              <xdr:blipFill>
                <a:blip xmlns:r="http://schemas.openxmlformats.org/officeDocument/2006/relationships" r:embed="rId32" cstate="print">
                  <a:alphaModFix/>
                  <a:extLst>
                    <a:ext uri="{28A0092B-C50C-407E-A947-70E740481C1C}">
                      <a14:useLocalDpi xmlns:a14="http://schemas.microsoft.com/office/drawing/2010/main" val="0"/>
                    </a:ext>
                  </a:extLst>
                </a:blip>
                <a:stretch>
                  <a:fillRect/>
                </a:stretch>
              </xdr:blipFill>
              <xdr:spPr>
                <a:xfrm>
                  <a:off x="11563464" y="33893"/>
                  <a:ext cx="235575" cy="261687"/>
                </a:xfrm>
                <a:prstGeom prst="rect">
                  <a:avLst/>
                </a:prstGeom>
              </xdr:spPr>
            </xdr:pic>
            <xdr:pic>
              <xdr:nvPicPr>
                <xdr:cNvPr id="92" name="Picture 91">
                  <a:hlinkClick xmlns:r="http://schemas.openxmlformats.org/officeDocument/2006/relationships" r:id="rId33"/>
                  <a:extLst>
                    <a:ext uri="{FF2B5EF4-FFF2-40B4-BE49-F238E27FC236}">
                      <a16:creationId xmlns:a16="http://schemas.microsoft.com/office/drawing/2014/main" id="{C699BE6F-EA1A-7820-1254-3910D6789553}"/>
                    </a:ext>
                  </a:extLst>
                </xdr:cNvPr>
                <xdr:cNvPicPr>
                  <a:picLocks noChangeAspect="1" noChangeArrowheads="1"/>
                </xdr:cNvPicPr>
              </xdr:nvPicPr>
              <xdr:blipFill>
                <a:blip xmlns:r="http://schemas.openxmlformats.org/officeDocument/2006/relationships" r:embed="rId3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33032" y="384834"/>
                  <a:ext cx="261600" cy="33288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3" name="TextBox 92">
                  <a:hlinkClick xmlns:r="http://schemas.openxmlformats.org/officeDocument/2006/relationships" r:id="rId33"/>
                  <a:extLst>
                    <a:ext uri="{FF2B5EF4-FFF2-40B4-BE49-F238E27FC236}">
                      <a16:creationId xmlns:a16="http://schemas.microsoft.com/office/drawing/2014/main" id="{AB23FF67-A9A6-7A13-2AA8-46D7474286EE}"/>
                    </a:ext>
                  </a:extLst>
                </xdr:cNvPr>
                <xdr:cNvSpPr txBox="1"/>
              </xdr:nvSpPr>
              <xdr:spPr>
                <a:xfrm>
                  <a:off x="3637195" y="315564"/>
                  <a:ext cx="914586" cy="433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BALANCE SHEET</a:t>
                  </a:r>
                </a:p>
                <a:p>
                  <a:pPr algn="ctr"/>
                  <a:r>
                    <a:rPr lang="en-US" sz="900" b="1">
                      <a:solidFill>
                        <a:schemeClr val="bg1"/>
                      </a:solidFill>
                    </a:rPr>
                    <a:t>SUMMARY</a:t>
                  </a:r>
                </a:p>
              </xdr:txBody>
            </xdr:sp>
            <xdr:pic>
              <xdr:nvPicPr>
                <xdr:cNvPr id="94" name="Picture 93">
                  <a:hlinkClick xmlns:r="http://schemas.openxmlformats.org/officeDocument/2006/relationships" r:id="rId35"/>
                  <a:extLst>
                    <a:ext uri="{FF2B5EF4-FFF2-40B4-BE49-F238E27FC236}">
                      <a16:creationId xmlns:a16="http://schemas.microsoft.com/office/drawing/2014/main" id="{49737B18-5A1A-7F28-F2B7-4E93A6F4EC8A}"/>
                    </a:ext>
                  </a:extLst>
                </xdr:cNvPr>
                <xdr:cNvPicPr>
                  <a:picLocks noChangeAspect="1" noChangeArrowheads="1"/>
                </xdr:cNvPicPr>
              </xdr:nvPicPr>
              <xdr:blipFill>
                <a:blip xmlns:r="http://schemas.openxmlformats.org/officeDocument/2006/relationships" r:embed="rId36" cstate="print">
                  <a:clrChange>
                    <a:clrFrom>
                      <a:srgbClr val="F8F8F8"/>
                    </a:clrFrom>
                    <a:clrTo>
                      <a:srgbClr val="F8F8F8">
                        <a:alpha val="0"/>
                      </a:srgbClr>
                    </a:clrTo>
                  </a:clrChange>
                  <a:extLst>
                    <a:ext uri="{28A0092B-C50C-407E-A947-70E740481C1C}">
                      <a14:useLocalDpi xmlns:a14="http://schemas.microsoft.com/office/drawing/2010/main" val="0"/>
                    </a:ext>
                  </a:extLst>
                </a:blip>
                <a:srcRect/>
                <a:stretch>
                  <a:fillRect/>
                </a:stretch>
              </xdr:blipFill>
              <xdr:spPr bwMode="auto">
                <a:xfrm>
                  <a:off x="4602713" y="384834"/>
                  <a:ext cx="326621" cy="3113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5" name="TextBox 94">
                  <a:hlinkClick xmlns:r="http://schemas.openxmlformats.org/officeDocument/2006/relationships" r:id="rId35"/>
                  <a:extLst>
                    <a:ext uri="{FF2B5EF4-FFF2-40B4-BE49-F238E27FC236}">
                      <a16:creationId xmlns:a16="http://schemas.microsoft.com/office/drawing/2014/main" id="{695171FB-BDAA-B569-5F3E-FBA1E92A02D9}"/>
                    </a:ext>
                  </a:extLst>
                </xdr:cNvPr>
                <xdr:cNvSpPr txBox="1"/>
              </xdr:nvSpPr>
              <xdr:spPr>
                <a:xfrm>
                  <a:off x="4880678" y="423317"/>
                  <a:ext cx="56334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ASSETS</a:t>
                  </a:r>
                </a:p>
              </xdr:txBody>
            </xdr:sp>
            <xdr:pic>
              <xdr:nvPicPr>
                <xdr:cNvPr id="96" name="Picture 95">
                  <a:hlinkClick xmlns:r="http://schemas.openxmlformats.org/officeDocument/2006/relationships" r:id="rId37"/>
                  <a:extLst>
                    <a:ext uri="{FF2B5EF4-FFF2-40B4-BE49-F238E27FC236}">
                      <a16:creationId xmlns:a16="http://schemas.microsoft.com/office/drawing/2014/main" id="{B20281B5-3C91-75B0-D386-9BEED1927AF8}"/>
                    </a:ext>
                  </a:extLst>
                </xdr:cNvPr>
                <xdr:cNvPicPr>
                  <a:picLocks noChangeAspect="1" noChangeArrowheads="1"/>
                </xdr:cNvPicPr>
              </xdr:nvPicPr>
              <xdr:blipFill>
                <a:blip xmlns:r="http://schemas.openxmlformats.org/officeDocument/2006/relationships" r:embed="rId3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35903" y="354046"/>
                  <a:ext cx="278234" cy="3540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7" name="TextBox 96">
                  <a:hlinkClick xmlns:r="http://schemas.openxmlformats.org/officeDocument/2006/relationships" r:id="rId37"/>
                  <a:extLst>
                    <a:ext uri="{FF2B5EF4-FFF2-40B4-BE49-F238E27FC236}">
                      <a16:creationId xmlns:a16="http://schemas.microsoft.com/office/drawing/2014/main" id="{CD5D85D4-9463-A94B-0C47-B1BD9E76286E}"/>
                    </a:ext>
                  </a:extLst>
                </xdr:cNvPr>
                <xdr:cNvSpPr txBox="1"/>
              </xdr:nvSpPr>
              <xdr:spPr>
                <a:xfrm>
                  <a:off x="5717678" y="431014"/>
                  <a:ext cx="750091"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LIABILITIES</a:t>
                  </a:r>
                </a:p>
              </xdr:txBody>
            </xdr:sp>
            <xdr:pic>
              <xdr:nvPicPr>
                <xdr:cNvPr id="98" name="Picture 97">
                  <a:hlinkClick xmlns:r="http://schemas.openxmlformats.org/officeDocument/2006/relationships" r:id="rId39"/>
                  <a:extLst>
                    <a:ext uri="{FF2B5EF4-FFF2-40B4-BE49-F238E27FC236}">
                      <a16:creationId xmlns:a16="http://schemas.microsoft.com/office/drawing/2014/main" id="{C96BF2CD-199B-03C7-CB6F-D84C1EC2C0D3}"/>
                    </a:ext>
                  </a:extLst>
                </xdr:cNvPr>
                <xdr:cNvPicPr>
                  <a:picLocks noChangeAspect="1"/>
                </xdr:cNvPicPr>
              </xdr:nvPicPr>
              <xdr:blipFill>
                <a:blip xmlns:r="http://schemas.openxmlformats.org/officeDocument/2006/relationships" r:embed="rId40">
                  <a:clrChange>
                    <a:clrFrom>
                      <a:srgbClr val="FFFFFF"/>
                    </a:clrFrom>
                    <a:clrTo>
                      <a:srgbClr val="FFFFFF">
                        <a:alpha val="0"/>
                      </a:srgbClr>
                    </a:clrTo>
                  </a:clrChange>
                </a:blip>
                <a:stretch>
                  <a:fillRect/>
                </a:stretch>
              </xdr:blipFill>
              <xdr:spPr>
                <a:xfrm>
                  <a:off x="6454424" y="361268"/>
                  <a:ext cx="368693" cy="354523"/>
                </a:xfrm>
                <a:prstGeom prst="rect">
                  <a:avLst/>
                </a:prstGeom>
              </xdr:spPr>
            </xdr:pic>
            <xdr:sp macro="" textlink="">
              <xdr:nvSpPr>
                <xdr:cNvPr id="99" name="TextBox 98">
                  <a:hlinkClick xmlns:r="http://schemas.openxmlformats.org/officeDocument/2006/relationships" r:id="rId39"/>
                  <a:extLst>
                    <a:ext uri="{FF2B5EF4-FFF2-40B4-BE49-F238E27FC236}">
                      <a16:creationId xmlns:a16="http://schemas.microsoft.com/office/drawing/2014/main" id="{5F35CFFB-434C-492D-4451-A1AC952E2F8F}"/>
                    </a:ext>
                  </a:extLst>
                </xdr:cNvPr>
                <xdr:cNvSpPr txBox="1"/>
              </xdr:nvSpPr>
              <xdr:spPr>
                <a:xfrm>
                  <a:off x="6742924" y="369440"/>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EDIT</a:t>
                  </a:r>
                </a:p>
                <a:p>
                  <a:r>
                    <a:rPr lang="en-US" sz="900" b="1">
                      <a:solidFill>
                        <a:schemeClr val="bg1"/>
                      </a:solidFill>
                    </a:rPr>
                    <a:t>CATEGORIES</a:t>
                  </a:r>
                </a:p>
              </xdr:txBody>
            </xdr:sp>
            <xdr:grpSp>
              <xdr:nvGrpSpPr>
                <xdr:cNvPr id="100" name="Group 99">
                  <a:hlinkClick xmlns:r="http://schemas.openxmlformats.org/officeDocument/2006/relationships" r:id="rId41"/>
                  <a:extLst>
                    <a:ext uri="{FF2B5EF4-FFF2-40B4-BE49-F238E27FC236}">
                      <a16:creationId xmlns:a16="http://schemas.microsoft.com/office/drawing/2014/main" id="{635CB388-3F6D-307A-9F17-930135459044}"/>
                    </a:ext>
                  </a:extLst>
                </xdr:cNvPr>
                <xdr:cNvGrpSpPr/>
              </xdr:nvGrpSpPr>
              <xdr:grpSpPr>
                <a:xfrm>
                  <a:off x="10231249" y="237461"/>
                  <a:ext cx="1281586" cy="502920"/>
                  <a:chOff x="11732389" y="237461"/>
                  <a:chExt cx="1281586" cy="502920"/>
                </a:xfrm>
              </xdr:grpSpPr>
              <xdr:pic>
                <xdr:nvPicPr>
                  <xdr:cNvPr id="101" name="Picture 100">
                    <a:hlinkClick xmlns:r="http://schemas.openxmlformats.org/officeDocument/2006/relationships" r:id="rId42"/>
                    <a:extLst>
                      <a:ext uri="{FF2B5EF4-FFF2-40B4-BE49-F238E27FC236}">
                        <a16:creationId xmlns:a16="http://schemas.microsoft.com/office/drawing/2014/main" id="{6E5B5BB1-BA28-5B5A-D3EB-95E91DDF68ED}"/>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1732389" y="237461"/>
                    <a:ext cx="502920" cy="502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2" name="TextBox 101">
                    <a:hlinkClick xmlns:r="http://schemas.openxmlformats.org/officeDocument/2006/relationships" r:id="rId42"/>
                    <a:extLst>
                      <a:ext uri="{FF2B5EF4-FFF2-40B4-BE49-F238E27FC236}">
                        <a16:creationId xmlns:a16="http://schemas.microsoft.com/office/drawing/2014/main" id="{B16534CD-47AD-3A54-F7D6-3E6583171103}"/>
                      </a:ext>
                    </a:extLst>
                  </xdr:cNvPr>
                  <xdr:cNvSpPr txBox="1"/>
                </xdr:nvSpPr>
                <xdr:spPr>
                  <a:xfrm>
                    <a:off x="12197209" y="344142"/>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 GAME APPS</a:t>
                    </a:r>
                  </a:p>
                </xdr:txBody>
              </xdr:sp>
            </xdr:grpSp>
          </xdr:grpSp>
          <xdr:grpSp>
            <xdr:nvGrpSpPr>
              <xdr:cNvPr id="61" name="Group 60">
                <a:extLst>
                  <a:ext uri="{FF2B5EF4-FFF2-40B4-BE49-F238E27FC236}">
                    <a16:creationId xmlns:a16="http://schemas.microsoft.com/office/drawing/2014/main" id="{7F53BA83-8354-2FD8-21F5-C40FBF25BA2C}"/>
                  </a:ext>
                </a:extLst>
              </xdr:cNvPr>
              <xdr:cNvGrpSpPr/>
            </xdr:nvGrpSpPr>
            <xdr:grpSpPr>
              <a:xfrm>
                <a:off x="3030070" y="313765"/>
                <a:ext cx="1219410" cy="438976"/>
                <a:chOff x="3030070" y="313765"/>
                <a:chExt cx="1219410" cy="438976"/>
              </a:xfrm>
            </xdr:grpSpPr>
            <xdr:sp macro="" textlink="">
              <xdr:nvSpPr>
                <xdr:cNvPr id="62" name="TextBox 61">
                  <a:hlinkClick xmlns:r="http://schemas.openxmlformats.org/officeDocument/2006/relationships" r:id="rId44"/>
                  <a:extLst>
                    <a:ext uri="{FF2B5EF4-FFF2-40B4-BE49-F238E27FC236}">
                      <a16:creationId xmlns:a16="http://schemas.microsoft.com/office/drawing/2014/main" id="{E7F0212C-FAFD-8835-F229-D37C745C4C0E}"/>
                    </a:ext>
                  </a:extLst>
                </xdr:cNvPr>
                <xdr:cNvSpPr txBox="1"/>
              </xdr:nvSpPr>
              <xdr:spPr>
                <a:xfrm>
                  <a:off x="3307528" y="313765"/>
                  <a:ext cx="941952" cy="43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BOOK KEEPING</a:t>
                  </a:r>
                </a:p>
                <a:p>
                  <a:pPr algn="ctr"/>
                  <a:r>
                    <a:rPr lang="en-US" sz="900" b="1">
                      <a:solidFill>
                        <a:schemeClr val="bg1"/>
                      </a:solidFill>
                    </a:rPr>
                    <a:t>LEDGER</a:t>
                  </a:r>
                </a:p>
              </xdr:txBody>
            </xdr:sp>
            <xdr:pic>
              <xdr:nvPicPr>
                <xdr:cNvPr id="63" name="Picture 62">
                  <a:hlinkClick xmlns:r="http://schemas.openxmlformats.org/officeDocument/2006/relationships" r:id="rId44"/>
                  <a:extLst>
                    <a:ext uri="{FF2B5EF4-FFF2-40B4-BE49-F238E27FC236}">
                      <a16:creationId xmlns:a16="http://schemas.microsoft.com/office/drawing/2014/main" id="{07B42096-096C-469A-C8B4-740FBD050725}"/>
                    </a:ext>
                  </a:extLst>
                </xdr:cNvPr>
                <xdr:cNvPicPr>
                  <a:picLocks noChangeAspect="1"/>
                </xdr:cNvPicPr>
              </xdr:nvPicPr>
              <xdr:blipFill>
                <a:blip xmlns:r="http://schemas.openxmlformats.org/officeDocument/2006/relationships" r:embed="rId4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0070" y="367554"/>
                  <a:ext cx="327770" cy="349622"/>
                </a:xfrm>
                <a:prstGeom prst="rect">
                  <a:avLst/>
                </a:prstGeom>
              </xdr:spPr>
            </xdr:pic>
          </xdr:grpSp>
        </xdr:grpSp>
        <xdr:grpSp>
          <xdr:nvGrpSpPr>
            <xdr:cNvPr id="57" name="Group 56">
              <a:extLst>
                <a:ext uri="{FF2B5EF4-FFF2-40B4-BE49-F238E27FC236}">
                  <a16:creationId xmlns:a16="http://schemas.microsoft.com/office/drawing/2014/main" id="{0FEAE7BB-591D-063D-EAB8-93082BF22BD8}"/>
                </a:ext>
              </a:extLst>
            </xdr:cNvPr>
            <xdr:cNvGrpSpPr/>
          </xdr:nvGrpSpPr>
          <xdr:grpSpPr>
            <a:xfrm>
              <a:off x="12626340" y="243840"/>
              <a:ext cx="1344125" cy="571500"/>
              <a:chOff x="12626340" y="243840"/>
              <a:chExt cx="1344125" cy="571500"/>
            </a:xfrm>
          </xdr:grpSpPr>
          <xdr:pic>
            <xdr:nvPicPr>
              <xdr:cNvPr id="58" name="Picture 57">
                <a:hlinkClick xmlns:r="http://schemas.openxmlformats.org/officeDocument/2006/relationships" r:id="rId46"/>
                <a:extLst>
                  <a:ext uri="{FF2B5EF4-FFF2-40B4-BE49-F238E27FC236}">
                    <a16:creationId xmlns:a16="http://schemas.microsoft.com/office/drawing/2014/main" id="{E1759F5B-348B-8915-E2B1-190434E96626}"/>
                  </a:ext>
                </a:extLst>
              </xdr:cNvPr>
              <xdr:cNvPicPr>
                <a:picLocks noChangeAspect="1" noChangeArrowheads="1"/>
              </xdr:cNvPicPr>
            </xdr:nvPicPr>
            <xdr:blipFill>
              <a:blip xmlns:r="http://schemas.openxmlformats.org/officeDocument/2006/relationships" r:embed="rId47"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26340" y="243840"/>
                <a:ext cx="571500" cy="571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9" name="TextBox 58">
                <a:hlinkClick xmlns:r="http://schemas.openxmlformats.org/officeDocument/2006/relationships" r:id="rId46"/>
                <a:extLst>
                  <a:ext uri="{FF2B5EF4-FFF2-40B4-BE49-F238E27FC236}">
                    <a16:creationId xmlns:a16="http://schemas.microsoft.com/office/drawing/2014/main" id="{A3993D39-DC32-E68F-71E2-FA70B32C255B}"/>
                  </a:ext>
                </a:extLst>
              </xdr:cNvPr>
              <xdr:cNvSpPr txBox="1"/>
            </xdr:nvSpPr>
            <xdr:spPr>
              <a:xfrm>
                <a:off x="13129260" y="327660"/>
                <a:ext cx="841205" cy="4000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TRAVEL</a:t>
                </a:r>
              </a:p>
              <a:p>
                <a:pPr algn="ctr"/>
                <a:r>
                  <a:rPr lang="en-US" sz="900" b="1">
                    <a:solidFill>
                      <a:schemeClr val="bg1"/>
                    </a:solidFill>
                  </a:rPr>
                  <a:t>SANDBOX</a:t>
                </a:r>
              </a:p>
            </xdr:txBody>
          </xdr:sp>
        </xdr:grpSp>
      </xdr:grpSp>
      <xdr:pic>
        <xdr:nvPicPr>
          <xdr:cNvPr id="55" name="Picture 54">
            <a:hlinkClick xmlns:r="http://schemas.openxmlformats.org/officeDocument/2006/relationships" r:id="rId14"/>
            <a:extLst>
              <a:ext uri="{FF2B5EF4-FFF2-40B4-BE49-F238E27FC236}">
                <a16:creationId xmlns:a16="http://schemas.microsoft.com/office/drawing/2014/main" id="{729E378B-761E-E1B2-70B6-4FEC70FFEC7A}"/>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6134100" y="30480"/>
            <a:ext cx="234698" cy="246078"/>
          </a:xfrm>
          <a:prstGeom prst="rect">
            <a:avLst/>
          </a:prstGeom>
          <a:solidFill>
            <a:srgbClr val="7FA6C7"/>
          </a:solidFill>
        </xdr:spPr>
      </xdr:pic>
    </xdr:grpSp>
    <xdr:clientData/>
  </xdr:twoCellAnchor>
</xdr:wsDr>
</file>

<file path=xl/drawings/drawing35.xml><?xml version="1.0" encoding="utf-8"?>
<c:userShapes xmlns:c="http://schemas.openxmlformats.org/drawingml/2006/chart">
  <cdr:relSizeAnchor xmlns:cdr="http://schemas.openxmlformats.org/drawingml/2006/chartDrawing">
    <cdr:from>
      <cdr:x>0</cdr:x>
      <cdr:y>0.89167</cdr:y>
    </cdr:from>
    <cdr:to>
      <cdr:x>0.09965</cdr:x>
      <cdr:y>0.97523</cdr:y>
    </cdr:to>
    <cdr:sp macro="" textlink="">
      <cdr:nvSpPr>
        <cdr:cNvPr id="2" name="TextBox 1">
          <a:extLst xmlns:a="http://schemas.openxmlformats.org/drawingml/2006/main">
            <a:ext uri="{FF2B5EF4-FFF2-40B4-BE49-F238E27FC236}">
              <a16:creationId xmlns:a16="http://schemas.microsoft.com/office/drawing/2014/main" id="{64A52ED4-83AF-4309-962E-DF095D746710}"/>
            </a:ext>
          </a:extLst>
        </cdr:cNvPr>
        <cdr:cNvSpPr txBox="1"/>
      </cdr:nvSpPr>
      <cdr:spPr>
        <a:xfrm xmlns:a="http://schemas.openxmlformats.org/drawingml/2006/main">
          <a:off x="0" y="2038350"/>
          <a:ext cx="637840" cy="1910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chemeClr val="tx1">
                  <a:lumMod val="50000"/>
                  <a:lumOff val="50000"/>
                </a:schemeClr>
              </a:solidFill>
              <a:latin typeface="Arial" panose="020B0604020202020204" pitchFamily="34" charset="0"/>
              <a:cs typeface="Arial" panose="020B0604020202020204" pitchFamily="34" charset="0"/>
            </a:rPr>
            <a:t>Year</a:t>
          </a:r>
          <a:r>
            <a:rPr lang="en-US" sz="800">
              <a:solidFill>
                <a:schemeClr val="tx1">
                  <a:lumMod val="50000"/>
                  <a:lumOff val="50000"/>
                </a:schemeClr>
              </a:solidFill>
              <a:latin typeface="Segoe UI" panose="020B0502040204020203" pitchFamily="34" charset="0"/>
              <a:cs typeface="Segoe UI" panose="020B0502040204020203" pitchFamily="34" charset="0"/>
            </a:rPr>
            <a:t>:</a:t>
          </a:r>
        </a:p>
      </cdr:txBody>
    </cdr:sp>
  </cdr:relSizeAnchor>
</c:userShapes>
</file>

<file path=xl/drawings/drawing36.xml><?xml version="1.0" encoding="utf-8"?>
<c:userShapes xmlns:c="http://schemas.openxmlformats.org/drawingml/2006/chart">
  <cdr:relSizeAnchor xmlns:cdr="http://schemas.openxmlformats.org/drawingml/2006/chartDrawing">
    <cdr:from>
      <cdr:x>0.00794</cdr:x>
      <cdr:y>0.88657</cdr:y>
    </cdr:from>
    <cdr:to>
      <cdr:x>0.10807</cdr:x>
      <cdr:y>0.96722</cdr:y>
    </cdr:to>
    <cdr:sp macro="" textlink="">
      <cdr:nvSpPr>
        <cdr:cNvPr id="2" name="TextBox 1">
          <a:extLst xmlns:a="http://schemas.openxmlformats.org/drawingml/2006/main">
            <a:ext uri="{FF2B5EF4-FFF2-40B4-BE49-F238E27FC236}">
              <a16:creationId xmlns:a16="http://schemas.microsoft.com/office/drawing/2014/main" id="{E379568B-33B4-4938-8713-C894891F4DAE}"/>
            </a:ext>
          </a:extLst>
        </cdr:cNvPr>
        <cdr:cNvSpPr txBox="1"/>
      </cdr:nvSpPr>
      <cdr:spPr>
        <a:xfrm xmlns:a="http://schemas.openxmlformats.org/drawingml/2006/main">
          <a:off x="50800" y="2432050"/>
          <a:ext cx="640912" cy="2212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chemeClr val="tx1">
                  <a:lumMod val="50000"/>
                  <a:lumOff val="50000"/>
                </a:schemeClr>
              </a:solidFill>
              <a:latin typeface="Arial" panose="020B0604020202020204" pitchFamily="34" charset="0"/>
              <a:cs typeface="Arial" panose="020B0604020202020204" pitchFamily="34" charset="0"/>
            </a:rPr>
            <a:t>Year:</a:t>
          </a:r>
        </a:p>
      </cdr:txBody>
    </cdr:sp>
  </cdr:relSizeAnchor>
</c:userShapes>
</file>

<file path=xl/drawings/drawing37.xml><?xml version="1.0" encoding="utf-8"?>
<xdr:wsDr xmlns:xdr="http://schemas.openxmlformats.org/drawingml/2006/spreadsheetDrawing" xmlns:a="http://schemas.openxmlformats.org/drawingml/2006/main">
  <xdr:twoCellAnchor>
    <xdr:from>
      <xdr:col>1</xdr:col>
      <xdr:colOff>0</xdr:colOff>
      <xdr:row>10</xdr:row>
      <xdr:rowOff>104775</xdr:rowOff>
    </xdr:from>
    <xdr:to>
      <xdr:col>57</xdr:col>
      <xdr:colOff>171450</xdr:colOff>
      <xdr:row>12</xdr:row>
      <xdr:rowOff>152400</xdr:rowOff>
    </xdr:to>
    <xdr:sp macro="" textlink="">
      <xdr:nvSpPr>
        <xdr:cNvPr id="32" name="Rectangle 31">
          <a:extLst>
            <a:ext uri="{FF2B5EF4-FFF2-40B4-BE49-F238E27FC236}">
              <a16:creationId xmlns:a16="http://schemas.microsoft.com/office/drawing/2014/main" id="{4EC3A999-6995-40B3-B46E-FDC00EDACD4E}"/>
            </a:ext>
          </a:extLst>
        </xdr:cNvPr>
        <xdr:cNvSpPr/>
      </xdr:nvSpPr>
      <xdr:spPr>
        <a:xfrm>
          <a:off x="190500" y="2114550"/>
          <a:ext cx="10839450" cy="409575"/>
        </a:xfrm>
        <a:prstGeom prst="rect">
          <a:avLst/>
        </a:prstGeom>
        <a:solidFill>
          <a:srgbClr val="EEF3F8"/>
        </a:solidFill>
        <a:ln>
          <a:solidFill>
            <a:srgbClr val="7184C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solidFill>
                <a:schemeClr val="tx2"/>
              </a:solidFill>
              <a:latin typeface="Arial" panose="020B0604020202020204" pitchFamily="34" charset="0"/>
              <a:cs typeface="Arial" panose="020B0604020202020204" pitchFamily="34" charset="0"/>
            </a:rPr>
            <a:t>Press</a:t>
          </a:r>
          <a:r>
            <a:rPr lang="en-US" sz="1000" baseline="0">
              <a:solidFill>
                <a:schemeClr val="tx2"/>
              </a:solidFill>
              <a:latin typeface="Arial" panose="020B0604020202020204" pitchFamily="34" charset="0"/>
              <a:cs typeface="Arial" panose="020B0604020202020204" pitchFamily="34" charset="0"/>
            </a:rPr>
            <a:t> F9 to refresh calculation</a:t>
          </a:r>
        </a:p>
        <a:p>
          <a:pPr algn="ctr"/>
          <a:r>
            <a:rPr lang="en-US" sz="900" i="1" baseline="0">
              <a:solidFill>
                <a:schemeClr val="tx2">
                  <a:lumMod val="60000"/>
                  <a:lumOff val="40000"/>
                </a:schemeClr>
              </a:solidFill>
              <a:latin typeface="Arial" panose="020B0604020202020204" pitchFamily="34" charset="0"/>
              <a:cs typeface="Arial" panose="020B0604020202020204" pitchFamily="34" charset="0"/>
            </a:rPr>
            <a:t>Note: Parameters cannot be linked to other tabs (including Dashboard) or it will create circularities. Instead, values must be entered manually by user (i.e. hard-coded values)</a:t>
          </a:r>
          <a:endParaRPr lang="en-US" sz="900" i="1">
            <a:solidFill>
              <a:schemeClr val="tx2">
                <a:lumMod val="60000"/>
                <a:lumOff val="40000"/>
              </a:schemeClr>
            </a:solidFill>
            <a:latin typeface="Arial" panose="020B0604020202020204" pitchFamily="34" charset="0"/>
            <a:cs typeface="Arial" panose="020B0604020202020204" pitchFamily="34" charset="0"/>
          </a:endParaRPr>
        </a:p>
      </xdr:txBody>
    </xdr:sp>
    <xdr:clientData/>
  </xdr:twoCellAnchor>
  <xdr:twoCellAnchor>
    <xdr:from>
      <xdr:col>7</xdr:col>
      <xdr:colOff>0</xdr:colOff>
      <xdr:row>0</xdr:row>
      <xdr:rowOff>0</xdr:rowOff>
    </xdr:from>
    <xdr:to>
      <xdr:col>61</xdr:col>
      <xdr:colOff>304557</xdr:colOff>
      <xdr:row>3</xdr:row>
      <xdr:rowOff>0</xdr:rowOff>
    </xdr:to>
    <xdr:grpSp>
      <xdr:nvGrpSpPr>
        <xdr:cNvPr id="51" name="Group 50">
          <a:extLst>
            <a:ext uri="{FF2B5EF4-FFF2-40B4-BE49-F238E27FC236}">
              <a16:creationId xmlns:a16="http://schemas.microsoft.com/office/drawing/2014/main" id="{3C5FEEA2-8B07-4FE5-A11B-8B64FD4EE648}"/>
            </a:ext>
          </a:extLst>
        </xdr:cNvPr>
        <xdr:cNvGrpSpPr/>
      </xdr:nvGrpSpPr>
      <xdr:grpSpPr>
        <a:xfrm>
          <a:off x="1386840" y="0"/>
          <a:ext cx="11894577" cy="815340"/>
          <a:chOff x="2194560" y="0"/>
          <a:chExt cx="11894577" cy="815340"/>
        </a:xfrm>
      </xdr:grpSpPr>
      <xdr:grpSp>
        <xdr:nvGrpSpPr>
          <xdr:cNvPr id="52" name="Group 51">
            <a:extLst>
              <a:ext uri="{FF2B5EF4-FFF2-40B4-BE49-F238E27FC236}">
                <a16:creationId xmlns:a16="http://schemas.microsoft.com/office/drawing/2014/main" id="{5855E5D8-01C9-6161-6D42-4E75DCDE5FCF}"/>
              </a:ext>
            </a:extLst>
          </xdr:cNvPr>
          <xdr:cNvGrpSpPr/>
        </xdr:nvGrpSpPr>
        <xdr:grpSpPr>
          <a:xfrm>
            <a:off x="2194560" y="0"/>
            <a:ext cx="11894577" cy="815340"/>
            <a:chOff x="2194560" y="0"/>
            <a:chExt cx="11894577" cy="815340"/>
          </a:xfrm>
        </xdr:grpSpPr>
        <xdr:grpSp>
          <xdr:nvGrpSpPr>
            <xdr:cNvPr id="54" name="Group 53">
              <a:extLst>
                <a:ext uri="{FF2B5EF4-FFF2-40B4-BE49-F238E27FC236}">
                  <a16:creationId xmlns:a16="http://schemas.microsoft.com/office/drawing/2014/main" id="{8B710950-65BB-3732-C151-A3D11D3B954D}"/>
                </a:ext>
              </a:extLst>
            </xdr:cNvPr>
            <xdr:cNvGrpSpPr/>
          </xdr:nvGrpSpPr>
          <xdr:grpSpPr>
            <a:xfrm>
              <a:off x="2194560" y="0"/>
              <a:ext cx="11894577" cy="773812"/>
              <a:chOff x="2160046" y="0"/>
              <a:chExt cx="11894577" cy="773812"/>
            </a:xfrm>
          </xdr:grpSpPr>
          <xdr:grpSp>
            <xdr:nvGrpSpPr>
              <xdr:cNvPr id="58" name="Group 57">
                <a:extLst>
                  <a:ext uri="{FF2B5EF4-FFF2-40B4-BE49-F238E27FC236}">
                    <a16:creationId xmlns:a16="http://schemas.microsoft.com/office/drawing/2014/main" id="{804D4278-B0B2-F326-4AC6-B0528A17571D}"/>
                  </a:ext>
                </a:extLst>
              </xdr:cNvPr>
              <xdr:cNvGrpSpPr/>
            </xdr:nvGrpSpPr>
            <xdr:grpSpPr>
              <a:xfrm>
                <a:off x="2160046" y="0"/>
                <a:ext cx="11894577" cy="773812"/>
                <a:chOff x="1310640" y="0"/>
                <a:chExt cx="11549013" cy="764847"/>
              </a:xfrm>
            </xdr:grpSpPr>
            <xdr:pic>
              <xdr:nvPicPr>
                <xdr:cNvPr id="62" name="Picture 61">
                  <a:hlinkClick xmlns:r="http://schemas.openxmlformats.org/officeDocument/2006/relationships" r:id="rId1"/>
                  <a:extLst>
                    <a:ext uri="{FF2B5EF4-FFF2-40B4-BE49-F238E27FC236}">
                      <a16:creationId xmlns:a16="http://schemas.microsoft.com/office/drawing/2014/main" id="{FA96745A-4BDE-A479-C7A6-EAD8BEDE03C8}"/>
                    </a:ext>
                  </a:extLst>
                </xdr:cNvPr>
                <xdr:cNvPicPr>
                  <a:picLocks/>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rcRect/>
                <a:stretch/>
              </xdr:blipFill>
              <xdr:spPr>
                <a:xfrm>
                  <a:off x="1310640" y="46180"/>
                  <a:ext cx="499211" cy="554546"/>
                </a:xfrm>
                <a:prstGeom prst="rect">
                  <a:avLst/>
                </a:prstGeom>
              </xdr:spPr>
            </xdr:pic>
            <xdr:pic>
              <xdr:nvPicPr>
                <xdr:cNvPr id="63" name="Picture 62">
                  <a:hlinkClick xmlns:r="http://schemas.openxmlformats.org/officeDocument/2006/relationships" r:id="rId3"/>
                  <a:extLst>
                    <a:ext uri="{FF2B5EF4-FFF2-40B4-BE49-F238E27FC236}">
                      <a16:creationId xmlns:a16="http://schemas.microsoft.com/office/drawing/2014/main" id="{27A97EE4-8D1F-14B6-4643-473BB81A4578}"/>
                    </a:ext>
                  </a:extLst>
                </xdr:cNvPr>
                <xdr:cNvPicPr>
                  <a:picLocks noChangeAspect="1" noChangeArrowheads="1"/>
                </xdr:cNvPicPr>
              </xdr:nvPicPr>
              <xdr:blipFill>
                <a:blip xmlns:r="http://schemas.openxmlformats.org/officeDocument/2006/relationships" r:embed="rId4" cstate="print">
                  <a:alphaModFix/>
                  <a:extLst>
                    <a:ext uri="{28A0092B-C50C-407E-A947-70E740481C1C}">
                      <a14:useLocalDpi xmlns:a14="http://schemas.microsoft.com/office/drawing/2010/main" val="0"/>
                    </a:ext>
                  </a:extLst>
                </a:blip>
                <a:srcRect/>
                <a:stretch>
                  <a:fillRect/>
                </a:stretch>
              </xdr:blipFill>
              <xdr:spPr bwMode="auto">
                <a:xfrm>
                  <a:off x="2163693" y="30823"/>
                  <a:ext cx="214188" cy="2260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4" name="TextBox 63">
                  <a:hlinkClick xmlns:r="http://schemas.openxmlformats.org/officeDocument/2006/relationships" r:id="rId3"/>
                  <a:extLst>
                    <a:ext uri="{FF2B5EF4-FFF2-40B4-BE49-F238E27FC236}">
                      <a16:creationId xmlns:a16="http://schemas.microsoft.com/office/drawing/2014/main" id="{873AD525-404C-BAC7-D58E-25D694857CD4}"/>
                    </a:ext>
                  </a:extLst>
                </xdr:cNvPr>
                <xdr:cNvSpPr txBox="1"/>
              </xdr:nvSpPr>
              <xdr:spPr>
                <a:xfrm>
                  <a:off x="2369194" y="17046"/>
                  <a:ext cx="846446" cy="25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US" sz="900" b="1">
                      <a:solidFill>
                        <a:schemeClr val="bg1"/>
                      </a:solidFill>
                    </a:rPr>
                    <a:t>DASHBOARD</a:t>
                  </a:r>
                </a:p>
              </xdr:txBody>
            </xdr:sp>
            <xdr:pic>
              <xdr:nvPicPr>
                <xdr:cNvPr id="65" name="Picture 64">
                  <a:hlinkClick xmlns:r="http://schemas.openxmlformats.org/officeDocument/2006/relationships" r:id="rId5"/>
                  <a:extLst>
                    <a:ext uri="{FF2B5EF4-FFF2-40B4-BE49-F238E27FC236}">
                      <a16:creationId xmlns:a16="http://schemas.microsoft.com/office/drawing/2014/main" id="{25A2AEC4-26EC-90D2-CA5A-19074BE5BABE}"/>
                    </a:ext>
                  </a:extLst>
                </xdr:cNvPr>
                <xdr:cNvPicPr>
                  <a:picLocks noChangeAspect="1" noChangeArrowheads="1"/>
                </xdr:cNvPicPr>
              </xdr:nvPicPr>
              <xdr:blipFill>
                <a:blip xmlns:r="http://schemas.openxmlformats.org/officeDocument/2006/relationships" r:embed="rId6" cstate="print">
                  <a:alphaModFix/>
                  <a:extLst>
                    <a:ext uri="{28A0092B-C50C-407E-A947-70E740481C1C}">
                      <a14:useLocalDpi xmlns:a14="http://schemas.microsoft.com/office/drawing/2010/main" val="0"/>
                    </a:ext>
                  </a:extLst>
                </a:blip>
                <a:srcRect/>
                <a:stretch>
                  <a:fillRect/>
                </a:stretch>
              </xdr:blipFill>
              <xdr:spPr bwMode="auto">
                <a:xfrm>
                  <a:off x="8461655" y="433462"/>
                  <a:ext cx="214188" cy="20819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6" name="TextBox 65">
                  <a:hlinkClick xmlns:r="http://schemas.openxmlformats.org/officeDocument/2006/relationships" r:id="rId5"/>
                  <a:extLst>
                    <a:ext uri="{FF2B5EF4-FFF2-40B4-BE49-F238E27FC236}">
                      <a16:creationId xmlns:a16="http://schemas.microsoft.com/office/drawing/2014/main" id="{603C27CF-FFBA-DDFA-AC50-3EFF1204B174}"/>
                    </a:ext>
                  </a:extLst>
                </xdr:cNvPr>
                <xdr:cNvSpPr txBox="1"/>
              </xdr:nvSpPr>
              <xdr:spPr>
                <a:xfrm>
                  <a:off x="8647283" y="413913"/>
                  <a:ext cx="56836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REPORTS</a:t>
                  </a:r>
                </a:p>
              </xdr:txBody>
            </xdr:sp>
            <xdr:pic>
              <xdr:nvPicPr>
                <xdr:cNvPr id="67" name="Picture 66">
                  <a:hlinkClick xmlns:r="http://schemas.openxmlformats.org/officeDocument/2006/relationships" r:id="rId7"/>
                  <a:extLst>
                    <a:ext uri="{FF2B5EF4-FFF2-40B4-BE49-F238E27FC236}">
                      <a16:creationId xmlns:a16="http://schemas.microsoft.com/office/drawing/2014/main" id="{1FFD5B68-F512-FBAD-F324-F3175D6E5007}"/>
                    </a:ext>
                  </a:extLst>
                </xdr:cNvPr>
                <xdr:cNvPicPr>
                  <a:picLocks noChangeAspect="1"/>
                </xdr:cNvPicPr>
              </xdr:nvPicPr>
              <xdr:blipFill>
                <a:blip xmlns:r="http://schemas.openxmlformats.org/officeDocument/2006/relationships" r:embed="rId8" cstate="print">
                  <a:alphaModFix/>
                  <a:extLst>
                    <a:ext uri="{28A0092B-C50C-407E-A947-70E740481C1C}">
                      <a14:useLocalDpi xmlns:a14="http://schemas.microsoft.com/office/drawing/2010/main" val="0"/>
                    </a:ext>
                  </a:extLst>
                </a:blip>
                <a:stretch>
                  <a:fillRect/>
                </a:stretch>
              </xdr:blipFill>
              <xdr:spPr>
                <a:xfrm>
                  <a:off x="6903860" y="19549"/>
                  <a:ext cx="214187" cy="248554"/>
                </a:xfrm>
                <a:prstGeom prst="rect">
                  <a:avLst/>
                </a:prstGeom>
              </xdr:spPr>
            </xdr:pic>
            <xdr:sp macro="" textlink="">
              <xdr:nvSpPr>
                <xdr:cNvPr id="68" name="TextBox 67">
                  <a:hlinkClick xmlns:r="http://schemas.openxmlformats.org/officeDocument/2006/relationships" r:id="rId7"/>
                  <a:extLst>
                    <a:ext uri="{FF2B5EF4-FFF2-40B4-BE49-F238E27FC236}">
                      <a16:creationId xmlns:a16="http://schemas.microsoft.com/office/drawing/2014/main" id="{AD2ADBB8-73FA-9624-497C-12AC64F2F69D}"/>
                    </a:ext>
                  </a:extLst>
                </xdr:cNvPr>
                <xdr:cNvSpPr txBox="1"/>
              </xdr:nvSpPr>
              <xdr:spPr>
                <a:xfrm>
                  <a:off x="7099062" y="0"/>
                  <a:ext cx="67589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MORTGAGE</a:t>
                  </a:r>
                </a:p>
              </xdr:txBody>
            </xdr:sp>
            <xdr:sp macro="" textlink="">
              <xdr:nvSpPr>
                <xdr:cNvPr id="69" name="TextBox 68">
                  <a:hlinkClick xmlns:r="http://schemas.openxmlformats.org/officeDocument/2006/relationships" r:id="rId9"/>
                  <a:extLst>
                    <a:ext uri="{FF2B5EF4-FFF2-40B4-BE49-F238E27FC236}">
                      <a16:creationId xmlns:a16="http://schemas.microsoft.com/office/drawing/2014/main" id="{BC2F8B99-CB52-4415-A784-B25F71B486F1}"/>
                    </a:ext>
                  </a:extLst>
                </xdr:cNvPr>
                <xdr:cNvSpPr txBox="1"/>
              </xdr:nvSpPr>
              <xdr:spPr>
                <a:xfrm>
                  <a:off x="6375474" y="0"/>
                  <a:ext cx="381400"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DEBT</a:t>
                  </a:r>
                </a:p>
              </xdr:txBody>
            </xdr:sp>
            <xdr:pic>
              <xdr:nvPicPr>
                <xdr:cNvPr id="70" name="Picture 69">
                  <a:hlinkClick xmlns:r="http://schemas.openxmlformats.org/officeDocument/2006/relationships" r:id="rId9"/>
                  <a:extLst>
                    <a:ext uri="{FF2B5EF4-FFF2-40B4-BE49-F238E27FC236}">
                      <a16:creationId xmlns:a16="http://schemas.microsoft.com/office/drawing/2014/main" id="{7BED6B0C-7335-5C52-F608-F81BC8F686DA}"/>
                    </a:ext>
                  </a:extLst>
                </xdr:cNvPr>
                <xdr:cNvPicPr>
                  <a:picLocks noChangeAspect="1"/>
                </xdr:cNvPicPr>
              </xdr:nvPicPr>
              <xdr:blipFill>
                <a:blip xmlns:r="http://schemas.openxmlformats.org/officeDocument/2006/relationships" r:embed="rId10" cstate="print">
                  <a:alphaModFix/>
                  <a:extLst>
                    <a:ext uri="{28A0092B-C50C-407E-A947-70E740481C1C}">
                      <a14:useLocalDpi xmlns:a14="http://schemas.microsoft.com/office/drawing/2010/main" val="0"/>
                    </a:ext>
                  </a:extLst>
                </a:blip>
                <a:stretch>
                  <a:fillRect/>
                </a:stretch>
              </xdr:blipFill>
              <xdr:spPr>
                <a:xfrm>
                  <a:off x="6158378" y="19549"/>
                  <a:ext cx="214188" cy="248554"/>
                </a:xfrm>
                <a:prstGeom prst="rect">
                  <a:avLst/>
                </a:prstGeom>
              </xdr:spPr>
            </xdr:pic>
            <xdr:sp macro="" textlink="">
              <xdr:nvSpPr>
                <xdr:cNvPr id="71" name="TextBox 70">
                  <a:hlinkClick xmlns:r="http://schemas.openxmlformats.org/officeDocument/2006/relationships" r:id="rId11"/>
                  <a:extLst>
                    <a:ext uri="{FF2B5EF4-FFF2-40B4-BE49-F238E27FC236}">
                      <a16:creationId xmlns:a16="http://schemas.microsoft.com/office/drawing/2014/main" id="{09937044-BBE5-EE74-85F4-33E19FCEB22E}"/>
                    </a:ext>
                  </a:extLst>
                </xdr:cNvPr>
                <xdr:cNvSpPr txBox="1"/>
              </xdr:nvSpPr>
              <xdr:spPr>
                <a:xfrm>
                  <a:off x="5370816" y="37659"/>
                  <a:ext cx="64057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FORECASTS</a:t>
                  </a:r>
                </a:p>
              </xdr:txBody>
            </xdr:sp>
            <xdr:sp macro="" textlink="">
              <xdr:nvSpPr>
                <xdr:cNvPr id="72" name="TextBox 71">
                  <a:hlinkClick xmlns:r="http://schemas.openxmlformats.org/officeDocument/2006/relationships" r:id="rId12"/>
                  <a:extLst>
                    <a:ext uri="{FF2B5EF4-FFF2-40B4-BE49-F238E27FC236}">
                      <a16:creationId xmlns:a16="http://schemas.microsoft.com/office/drawing/2014/main" id="{A803119A-6F69-FC2F-0FDD-752E163BFA7A}"/>
                    </a:ext>
                  </a:extLst>
                </xdr:cNvPr>
                <xdr:cNvSpPr txBox="1"/>
              </xdr:nvSpPr>
              <xdr:spPr>
                <a:xfrm>
                  <a:off x="8104032" y="0"/>
                  <a:ext cx="7732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a:t>
                  </a:r>
                  <a:r>
                    <a:rPr lang="en-US" sz="900" b="1" baseline="0">
                      <a:solidFill>
                        <a:schemeClr val="bg1"/>
                      </a:solidFill>
                    </a:rPr>
                    <a:t> (M)</a:t>
                  </a:r>
                  <a:endParaRPr lang="en-US" sz="900" b="1">
                    <a:solidFill>
                      <a:schemeClr val="bg1"/>
                    </a:solidFill>
                  </a:endParaRPr>
                </a:p>
              </xdr:txBody>
            </xdr:sp>
            <xdr:pic>
              <xdr:nvPicPr>
                <xdr:cNvPr id="73" name="Picture 72">
                  <a:hlinkClick xmlns:r="http://schemas.openxmlformats.org/officeDocument/2006/relationships" r:id="rId12"/>
                  <a:extLst>
                    <a:ext uri="{FF2B5EF4-FFF2-40B4-BE49-F238E27FC236}">
                      <a16:creationId xmlns:a16="http://schemas.microsoft.com/office/drawing/2014/main" id="{13A59D96-393D-64E3-6C23-4704F29250B7}"/>
                    </a:ext>
                  </a:extLst>
                </xdr:cNvPr>
                <xdr:cNvPicPr>
                  <a:picLocks noChangeAspect="1"/>
                </xdr:cNvPicPr>
              </xdr:nvPicPr>
              <xdr:blipFill>
                <a:blip xmlns:r="http://schemas.openxmlformats.org/officeDocument/2006/relationships" r:embed="rId13" cstate="print">
                  <a:alphaModFix/>
                  <a:extLst>
                    <a:ext uri="{28A0092B-C50C-407E-A947-70E740481C1C}">
                      <a14:useLocalDpi xmlns:a14="http://schemas.microsoft.com/office/drawing/2010/main" val="0"/>
                    </a:ext>
                  </a:extLst>
                </a:blip>
                <a:stretch>
                  <a:fillRect/>
                </a:stretch>
              </xdr:blipFill>
              <xdr:spPr>
                <a:xfrm>
                  <a:off x="7921943" y="19549"/>
                  <a:ext cx="214188" cy="248554"/>
                </a:xfrm>
                <a:prstGeom prst="rect">
                  <a:avLst/>
                </a:prstGeom>
              </xdr:spPr>
            </xdr:pic>
            <xdr:sp macro="" textlink="">
              <xdr:nvSpPr>
                <xdr:cNvPr id="74" name="TextBox 73">
                  <a:hlinkClick xmlns:r="http://schemas.openxmlformats.org/officeDocument/2006/relationships" r:id="rId14"/>
                  <a:extLst>
                    <a:ext uri="{FF2B5EF4-FFF2-40B4-BE49-F238E27FC236}">
                      <a16:creationId xmlns:a16="http://schemas.microsoft.com/office/drawing/2014/main" id="{40829DBD-4E7F-F5C1-5D3D-463172372A66}"/>
                    </a:ext>
                  </a:extLst>
                </xdr:cNvPr>
                <xdr:cNvSpPr txBox="1"/>
              </xdr:nvSpPr>
              <xdr:spPr>
                <a:xfrm>
                  <a:off x="9978309" y="0"/>
                  <a:ext cx="687187"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 (Y)</a:t>
                  </a:r>
                </a:p>
              </xdr:txBody>
            </xdr:sp>
            <xdr:pic>
              <xdr:nvPicPr>
                <xdr:cNvPr id="75" name="Picture 74">
                  <a:hlinkClick xmlns:r="http://schemas.openxmlformats.org/officeDocument/2006/relationships" r:id="rId14"/>
                  <a:extLst>
                    <a:ext uri="{FF2B5EF4-FFF2-40B4-BE49-F238E27FC236}">
                      <a16:creationId xmlns:a16="http://schemas.microsoft.com/office/drawing/2014/main" id="{BE4A3B39-7BE2-E94C-D294-5BD78D986C8B}"/>
                    </a:ext>
                  </a:extLst>
                </xdr:cNvPr>
                <xdr:cNvPicPr>
                  <a:picLocks noChangeAspect="1"/>
                </xdr:cNvPicPr>
              </xdr:nvPicPr>
              <xdr:blipFill>
                <a:blip xmlns:r="http://schemas.openxmlformats.org/officeDocument/2006/relationships" r:embed="rId15" cstate="print">
                  <a:alphaModFix/>
                  <a:extLst>
                    <a:ext uri="{28A0092B-C50C-407E-A947-70E740481C1C}">
                      <a14:useLocalDpi xmlns:a14="http://schemas.microsoft.com/office/drawing/2010/main" val="0"/>
                    </a:ext>
                  </a:extLst>
                </a:blip>
                <a:stretch>
                  <a:fillRect/>
                </a:stretch>
              </xdr:blipFill>
              <xdr:spPr>
                <a:xfrm>
                  <a:off x="9777770" y="19549"/>
                  <a:ext cx="214188" cy="248554"/>
                </a:xfrm>
                <a:prstGeom prst="rect">
                  <a:avLst/>
                </a:prstGeom>
              </xdr:spPr>
            </xdr:pic>
            <xdr:sp macro="" textlink="">
              <xdr:nvSpPr>
                <xdr:cNvPr id="76" name="TextBox 75">
                  <a:hlinkClick xmlns:r="http://schemas.openxmlformats.org/officeDocument/2006/relationships" r:id="rId16"/>
                  <a:extLst>
                    <a:ext uri="{FF2B5EF4-FFF2-40B4-BE49-F238E27FC236}">
                      <a16:creationId xmlns:a16="http://schemas.microsoft.com/office/drawing/2014/main" id="{A3EF6942-41D9-0135-16A8-61687C33DC42}"/>
                    </a:ext>
                  </a:extLst>
                </xdr:cNvPr>
                <xdr:cNvSpPr txBox="1"/>
              </xdr:nvSpPr>
              <xdr:spPr>
                <a:xfrm>
                  <a:off x="9133984" y="0"/>
                  <a:ext cx="49680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VERSUS</a:t>
                  </a:r>
                </a:p>
              </xdr:txBody>
            </xdr:sp>
            <xdr:pic>
              <xdr:nvPicPr>
                <xdr:cNvPr id="77" name="Picture 76">
                  <a:hlinkClick xmlns:r="http://schemas.openxmlformats.org/officeDocument/2006/relationships" r:id="rId16"/>
                  <a:extLst>
                    <a:ext uri="{FF2B5EF4-FFF2-40B4-BE49-F238E27FC236}">
                      <a16:creationId xmlns:a16="http://schemas.microsoft.com/office/drawing/2014/main" id="{48FB3F4E-EEE1-F4F4-0B90-D78B6A9B8A03}"/>
                    </a:ext>
                  </a:extLst>
                </xdr:cNvPr>
                <xdr:cNvPicPr>
                  <a:picLocks noChangeAspect="1"/>
                </xdr:cNvPicPr>
              </xdr:nvPicPr>
              <xdr:blipFill>
                <a:blip xmlns:r="http://schemas.openxmlformats.org/officeDocument/2006/relationships" r:embed="rId17" cstate="print">
                  <a:alphaModFix/>
                  <a:extLst>
                    <a:ext uri="{28A0092B-C50C-407E-A947-70E740481C1C}">
                      <a14:useLocalDpi xmlns:a14="http://schemas.microsoft.com/office/drawing/2010/main" val="0"/>
                    </a:ext>
                  </a:extLst>
                </a:blip>
                <a:stretch>
                  <a:fillRect/>
                </a:stretch>
              </xdr:blipFill>
              <xdr:spPr>
                <a:xfrm>
                  <a:off x="8938203" y="19549"/>
                  <a:ext cx="214187" cy="248554"/>
                </a:xfrm>
                <a:prstGeom prst="rect">
                  <a:avLst/>
                </a:prstGeom>
              </xdr:spPr>
            </xdr:pic>
            <xdr:sp macro="" textlink="">
              <xdr:nvSpPr>
                <xdr:cNvPr id="78" name="TextBox 77">
                  <a:hlinkClick xmlns:r="http://schemas.openxmlformats.org/officeDocument/2006/relationships" r:id="rId18"/>
                  <a:extLst>
                    <a:ext uri="{FF2B5EF4-FFF2-40B4-BE49-F238E27FC236}">
                      <a16:creationId xmlns:a16="http://schemas.microsoft.com/office/drawing/2014/main" id="{DDA18C2C-0780-DDAD-DDCA-8E606325AFFE}"/>
                    </a:ext>
                  </a:extLst>
                </xdr:cNvPr>
                <xdr:cNvSpPr txBox="1"/>
              </xdr:nvSpPr>
              <xdr:spPr>
                <a:xfrm>
                  <a:off x="3510385" y="0"/>
                  <a:ext cx="52312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REPAIRS</a:t>
                  </a:r>
                </a:p>
              </xdr:txBody>
            </xdr:sp>
            <xdr:pic>
              <xdr:nvPicPr>
                <xdr:cNvPr id="79" name="Picture 78">
                  <a:hlinkClick xmlns:r="http://schemas.openxmlformats.org/officeDocument/2006/relationships" r:id="rId18"/>
                  <a:extLst>
                    <a:ext uri="{FF2B5EF4-FFF2-40B4-BE49-F238E27FC236}">
                      <a16:creationId xmlns:a16="http://schemas.microsoft.com/office/drawing/2014/main" id="{2E3FCF52-301C-ED5E-2CC4-911EA8C8E359}"/>
                    </a:ext>
                  </a:extLst>
                </xdr:cNvPr>
                <xdr:cNvPicPr>
                  <a:picLocks noChangeAspect="1"/>
                </xdr:cNvPicPr>
              </xdr:nvPicPr>
              <xdr:blipFill>
                <a:blip xmlns:r="http://schemas.openxmlformats.org/officeDocument/2006/relationships" r:embed="rId19" cstate="print">
                  <a:alphaModFix/>
                  <a:extLst>
                    <a:ext uri="{28A0092B-C50C-407E-A947-70E740481C1C}">
                      <a14:useLocalDpi xmlns:a14="http://schemas.microsoft.com/office/drawing/2010/main" val="0"/>
                    </a:ext>
                  </a:extLst>
                </a:blip>
                <a:stretch>
                  <a:fillRect/>
                </a:stretch>
              </xdr:blipFill>
              <xdr:spPr>
                <a:xfrm>
                  <a:off x="3296296" y="28376"/>
                  <a:ext cx="214435" cy="230900"/>
                </a:xfrm>
                <a:prstGeom prst="rect">
                  <a:avLst/>
                </a:prstGeom>
              </xdr:spPr>
            </xdr:pic>
            <xdr:sp macro="" textlink="">
              <xdr:nvSpPr>
                <xdr:cNvPr id="80" name="TextBox 79">
                  <a:hlinkClick xmlns:r="http://schemas.openxmlformats.org/officeDocument/2006/relationships" r:id="rId20"/>
                  <a:extLst>
                    <a:ext uri="{FF2B5EF4-FFF2-40B4-BE49-F238E27FC236}">
                      <a16:creationId xmlns:a16="http://schemas.microsoft.com/office/drawing/2014/main" id="{F8A54560-66AA-1E94-6E3E-03F49E40E643}"/>
                    </a:ext>
                  </a:extLst>
                </xdr:cNvPr>
                <xdr:cNvSpPr txBox="1"/>
              </xdr:nvSpPr>
              <xdr:spPr>
                <a:xfrm>
                  <a:off x="4388587" y="0"/>
                  <a:ext cx="63170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FURNITURE</a:t>
                  </a:r>
                </a:p>
              </xdr:txBody>
            </xdr:sp>
            <xdr:pic>
              <xdr:nvPicPr>
                <xdr:cNvPr id="81" name="Picture 80">
                  <a:hlinkClick xmlns:r="http://schemas.openxmlformats.org/officeDocument/2006/relationships" r:id="rId20"/>
                  <a:extLst>
                    <a:ext uri="{FF2B5EF4-FFF2-40B4-BE49-F238E27FC236}">
                      <a16:creationId xmlns:a16="http://schemas.microsoft.com/office/drawing/2014/main" id="{F746FD10-DE0F-9096-5E43-4684EBD7B150}"/>
                    </a:ext>
                  </a:extLst>
                </xdr:cNvPr>
                <xdr:cNvPicPr>
                  <a:picLocks noChangeAspect="1"/>
                </xdr:cNvPicPr>
              </xdr:nvPicPr>
              <xdr:blipFill>
                <a:blip xmlns:r="http://schemas.openxmlformats.org/officeDocument/2006/relationships" r:embed="rId21" cstate="print">
                  <a:alphaModFix/>
                  <a:extLst>
                    <a:ext uri="{28A0092B-C50C-407E-A947-70E740481C1C}">
                      <a14:useLocalDpi xmlns:a14="http://schemas.microsoft.com/office/drawing/2010/main" val="0"/>
                    </a:ext>
                  </a:extLst>
                </a:blip>
                <a:stretch>
                  <a:fillRect/>
                </a:stretch>
              </xdr:blipFill>
              <xdr:spPr>
                <a:xfrm>
                  <a:off x="4180491" y="28376"/>
                  <a:ext cx="214435" cy="230900"/>
                </a:xfrm>
                <a:prstGeom prst="rect">
                  <a:avLst/>
                </a:prstGeom>
              </xdr:spPr>
            </xdr:pic>
            <xdr:pic>
              <xdr:nvPicPr>
                <xdr:cNvPr id="82" name="Picture 81">
                  <a:hlinkClick xmlns:r="http://schemas.openxmlformats.org/officeDocument/2006/relationships" r:id="rId22"/>
                  <a:extLst>
                    <a:ext uri="{FF2B5EF4-FFF2-40B4-BE49-F238E27FC236}">
                      <a16:creationId xmlns:a16="http://schemas.microsoft.com/office/drawing/2014/main" id="{EA7CEA73-8106-1CC9-EA52-24499E1EDC16}"/>
                    </a:ext>
                  </a:extLst>
                </xdr:cNvPr>
                <xdr:cNvPicPr>
                  <a:picLocks noChangeAspect="1"/>
                </xdr:cNvPicPr>
              </xdr:nvPicPr>
              <xdr:blipFill>
                <a:blip xmlns:r="http://schemas.openxmlformats.org/officeDocument/2006/relationships" r:embed="rId23" cstate="print">
                  <a:alphaModFix/>
                  <a:extLst>
                    <a:ext uri="{28A0092B-C50C-407E-A947-70E740481C1C}">
                      <a14:useLocalDpi xmlns:a14="http://schemas.microsoft.com/office/drawing/2010/main" val="0"/>
                    </a:ext>
                  </a:extLst>
                </a:blip>
                <a:stretch>
                  <a:fillRect/>
                </a:stretch>
              </xdr:blipFill>
              <xdr:spPr>
                <a:xfrm>
                  <a:off x="10812480" y="19549"/>
                  <a:ext cx="214188" cy="248554"/>
                </a:xfrm>
                <a:prstGeom prst="rect">
                  <a:avLst/>
                </a:prstGeom>
              </xdr:spPr>
            </xdr:pic>
            <xdr:sp macro="" textlink="">
              <xdr:nvSpPr>
                <xdr:cNvPr id="83" name="TextBox 82">
                  <a:hlinkClick xmlns:r="http://schemas.openxmlformats.org/officeDocument/2006/relationships" r:id="rId22"/>
                  <a:extLst>
                    <a:ext uri="{FF2B5EF4-FFF2-40B4-BE49-F238E27FC236}">
                      <a16:creationId xmlns:a16="http://schemas.microsoft.com/office/drawing/2014/main" id="{D797F971-7D92-3DEF-FF33-7F4E1744096E}"/>
                    </a:ext>
                  </a:extLst>
                </xdr:cNvPr>
                <xdr:cNvSpPr txBox="1"/>
              </xdr:nvSpPr>
              <xdr:spPr>
                <a:xfrm>
                  <a:off x="11008843" y="0"/>
                  <a:ext cx="40705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PEERS</a:t>
                  </a:r>
                </a:p>
              </xdr:txBody>
            </xdr:sp>
            <xdr:sp macro="" textlink="">
              <xdr:nvSpPr>
                <xdr:cNvPr id="84" name="TextBox 83">
                  <a:hlinkClick xmlns:r="http://schemas.openxmlformats.org/officeDocument/2006/relationships" r:id="rId24"/>
                  <a:extLst>
                    <a:ext uri="{FF2B5EF4-FFF2-40B4-BE49-F238E27FC236}">
                      <a16:creationId xmlns:a16="http://schemas.microsoft.com/office/drawing/2014/main" id="{3F4AD9D8-8097-56CF-25AD-2570BE4D494F}"/>
                    </a:ext>
                  </a:extLst>
                </xdr:cNvPr>
                <xdr:cNvSpPr txBox="1"/>
              </xdr:nvSpPr>
              <xdr:spPr>
                <a:xfrm>
                  <a:off x="9581756" y="397481"/>
                  <a:ext cx="656781"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MAX PRICE</a:t>
                  </a:r>
                </a:p>
              </xdr:txBody>
            </xdr:sp>
            <xdr:pic>
              <xdr:nvPicPr>
                <xdr:cNvPr id="85" name="Picture 84">
                  <a:hlinkClick xmlns:r="http://schemas.openxmlformats.org/officeDocument/2006/relationships" r:id="rId24"/>
                  <a:extLst>
                    <a:ext uri="{FF2B5EF4-FFF2-40B4-BE49-F238E27FC236}">
                      <a16:creationId xmlns:a16="http://schemas.microsoft.com/office/drawing/2014/main" id="{08D05D13-D8CA-7026-A808-6B2E03A7BF76}"/>
                    </a:ext>
                  </a:extLst>
                </xdr:cNvPr>
                <xdr:cNvPicPr>
                  <a:picLocks noChangeAspect="1"/>
                </xdr:cNvPicPr>
              </xdr:nvPicPr>
              <xdr:blipFill>
                <a:blip xmlns:r="http://schemas.openxmlformats.org/officeDocument/2006/relationships" r:embed="rId25" cstate="print">
                  <a:alphaModFix/>
                  <a:extLst>
                    <a:ext uri="{28A0092B-C50C-407E-A947-70E740481C1C}">
                      <a14:useLocalDpi xmlns:a14="http://schemas.microsoft.com/office/drawing/2010/main" val="0"/>
                    </a:ext>
                  </a:extLst>
                </a:blip>
                <a:stretch>
                  <a:fillRect/>
                </a:stretch>
              </xdr:blipFill>
              <xdr:spPr>
                <a:xfrm>
                  <a:off x="9433997" y="425857"/>
                  <a:ext cx="214435" cy="230900"/>
                </a:xfrm>
                <a:prstGeom prst="rect">
                  <a:avLst/>
                </a:prstGeom>
              </xdr:spPr>
            </xdr:pic>
            <xdr:sp macro="" textlink="">
              <xdr:nvSpPr>
                <xdr:cNvPr id="86" name="TextBox 85">
                  <a:hlinkClick xmlns:r="http://schemas.openxmlformats.org/officeDocument/2006/relationships" r:id="rId26"/>
                  <a:extLst>
                    <a:ext uri="{FF2B5EF4-FFF2-40B4-BE49-F238E27FC236}">
                      <a16:creationId xmlns:a16="http://schemas.microsoft.com/office/drawing/2014/main" id="{452E6D7A-0129-4715-D5DD-0AC1D85614ED}"/>
                    </a:ext>
                  </a:extLst>
                </xdr:cNvPr>
                <xdr:cNvSpPr txBox="1"/>
              </xdr:nvSpPr>
              <xdr:spPr>
                <a:xfrm>
                  <a:off x="7733272" y="389861"/>
                  <a:ext cx="6384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SCENARIOS</a:t>
                  </a:r>
                </a:p>
              </xdr:txBody>
            </xdr:sp>
            <xdr:pic>
              <xdr:nvPicPr>
                <xdr:cNvPr id="87" name="Picture 86">
                  <a:hlinkClick xmlns:r="http://schemas.openxmlformats.org/officeDocument/2006/relationships" r:id="rId26"/>
                  <a:extLst>
                    <a:ext uri="{FF2B5EF4-FFF2-40B4-BE49-F238E27FC236}">
                      <a16:creationId xmlns:a16="http://schemas.microsoft.com/office/drawing/2014/main" id="{A435FD5B-2B82-883C-5A38-D0839E36FC85}"/>
                    </a:ext>
                  </a:extLst>
                </xdr:cNvPr>
                <xdr:cNvPicPr>
                  <a:picLocks noChangeAspect="1"/>
                </xdr:cNvPicPr>
              </xdr:nvPicPr>
              <xdr:blipFill>
                <a:blip xmlns:r="http://schemas.openxmlformats.org/officeDocument/2006/relationships" r:embed="rId27" cstate="print">
                  <a:alphaModFix/>
                  <a:extLst>
                    <a:ext uri="{28A0092B-C50C-407E-A947-70E740481C1C}">
                      <a14:useLocalDpi xmlns:a14="http://schemas.microsoft.com/office/drawing/2010/main" val="0"/>
                    </a:ext>
                  </a:extLst>
                </a:blip>
                <a:stretch>
                  <a:fillRect/>
                </a:stretch>
              </xdr:blipFill>
              <xdr:spPr>
                <a:xfrm>
                  <a:off x="7536090" y="418237"/>
                  <a:ext cx="214435" cy="230900"/>
                </a:xfrm>
                <a:prstGeom prst="rect">
                  <a:avLst/>
                </a:prstGeom>
              </xdr:spPr>
            </xdr:pic>
            <xdr:sp macro="" textlink="">
              <xdr:nvSpPr>
                <xdr:cNvPr id="88" name="TextBox 87">
                  <a:hlinkClick xmlns:r="http://schemas.openxmlformats.org/officeDocument/2006/relationships" r:id="rId28"/>
                  <a:extLst>
                    <a:ext uri="{FF2B5EF4-FFF2-40B4-BE49-F238E27FC236}">
                      <a16:creationId xmlns:a16="http://schemas.microsoft.com/office/drawing/2014/main" id="{C49D83CE-F09F-CD9B-A872-14ED51392F47}"/>
                    </a:ext>
                  </a:extLst>
                </xdr:cNvPr>
                <xdr:cNvSpPr txBox="1"/>
              </xdr:nvSpPr>
              <xdr:spPr>
                <a:xfrm>
                  <a:off x="11757467" y="49286"/>
                  <a:ext cx="110218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MARKET RESEARCH</a:t>
                  </a:r>
                </a:p>
              </xdr:txBody>
            </xdr:sp>
            <xdr:pic>
              <xdr:nvPicPr>
                <xdr:cNvPr id="89" name="Picture 88" descr="A white and brown hourglass&#10;&#10;AI-generated content may be incorrect.">
                  <a:hlinkClick xmlns:r="http://schemas.openxmlformats.org/officeDocument/2006/relationships" r:id="rId28"/>
                  <a:extLst>
                    <a:ext uri="{FF2B5EF4-FFF2-40B4-BE49-F238E27FC236}">
                      <a16:creationId xmlns:a16="http://schemas.microsoft.com/office/drawing/2014/main" id="{E0EA0850-1EFA-F684-3A74-3F0959D2B4DC}"/>
                    </a:ext>
                  </a:extLst>
                </xdr:cNvPr>
                <xdr:cNvPicPr>
                  <a:picLocks noChangeAspect="1"/>
                </xdr:cNvPicPr>
              </xdr:nvPicPr>
              <xdr:blipFill>
                <a:blip xmlns:r="http://schemas.openxmlformats.org/officeDocument/2006/relationships" r:embed="rId29" cstate="print">
                  <a:alphaModFix/>
                  <a:extLst>
                    <a:ext uri="{28A0092B-C50C-407E-A947-70E740481C1C}">
                      <a14:useLocalDpi xmlns:a14="http://schemas.microsoft.com/office/drawing/2010/main" val="0"/>
                    </a:ext>
                  </a:extLst>
                </a:blip>
                <a:stretch>
                  <a:fillRect/>
                </a:stretch>
              </xdr:blipFill>
              <xdr:spPr>
                <a:xfrm>
                  <a:off x="11563464" y="33893"/>
                  <a:ext cx="235575" cy="261687"/>
                </a:xfrm>
                <a:prstGeom prst="rect">
                  <a:avLst/>
                </a:prstGeom>
              </xdr:spPr>
            </xdr:pic>
            <xdr:pic>
              <xdr:nvPicPr>
                <xdr:cNvPr id="90" name="Picture 89">
                  <a:hlinkClick xmlns:r="http://schemas.openxmlformats.org/officeDocument/2006/relationships" r:id="rId30"/>
                  <a:extLst>
                    <a:ext uri="{FF2B5EF4-FFF2-40B4-BE49-F238E27FC236}">
                      <a16:creationId xmlns:a16="http://schemas.microsoft.com/office/drawing/2014/main" id="{2455A440-03ED-5C54-28A7-927308BF5FD6}"/>
                    </a:ext>
                  </a:extLst>
                </xdr:cNvPr>
                <xdr:cNvPicPr>
                  <a:picLocks noChangeAspect="1" noChangeArrowheads="1"/>
                </xdr:cNvPicPr>
              </xdr:nvPicPr>
              <xdr:blipFill>
                <a:blip xmlns:r="http://schemas.openxmlformats.org/officeDocument/2006/relationships" r:embed="rId3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33032" y="384834"/>
                  <a:ext cx="261600" cy="33288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1" name="TextBox 90">
                  <a:hlinkClick xmlns:r="http://schemas.openxmlformats.org/officeDocument/2006/relationships" r:id="rId30"/>
                  <a:extLst>
                    <a:ext uri="{FF2B5EF4-FFF2-40B4-BE49-F238E27FC236}">
                      <a16:creationId xmlns:a16="http://schemas.microsoft.com/office/drawing/2014/main" id="{471B9B75-CD4A-6495-635D-E71671F675BA}"/>
                    </a:ext>
                  </a:extLst>
                </xdr:cNvPr>
                <xdr:cNvSpPr txBox="1"/>
              </xdr:nvSpPr>
              <xdr:spPr>
                <a:xfrm>
                  <a:off x="3637195" y="315564"/>
                  <a:ext cx="914586" cy="433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BALANCE SHEET</a:t>
                  </a:r>
                </a:p>
                <a:p>
                  <a:pPr algn="ctr"/>
                  <a:r>
                    <a:rPr lang="en-US" sz="900" b="1">
                      <a:solidFill>
                        <a:schemeClr val="bg1"/>
                      </a:solidFill>
                    </a:rPr>
                    <a:t>SUMMARY</a:t>
                  </a:r>
                </a:p>
              </xdr:txBody>
            </xdr:sp>
            <xdr:pic>
              <xdr:nvPicPr>
                <xdr:cNvPr id="92" name="Picture 91">
                  <a:hlinkClick xmlns:r="http://schemas.openxmlformats.org/officeDocument/2006/relationships" r:id="rId32"/>
                  <a:extLst>
                    <a:ext uri="{FF2B5EF4-FFF2-40B4-BE49-F238E27FC236}">
                      <a16:creationId xmlns:a16="http://schemas.microsoft.com/office/drawing/2014/main" id="{929E2DC2-BD74-7279-02EB-400C7DEA82BC}"/>
                    </a:ext>
                  </a:extLst>
                </xdr:cNvPr>
                <xdr:cNvPicPr>
                  <a:picLocks noChangeAspect="1" noChangeArrowheads="1"/>
                </xdr:cNvPicPr>
              </xdr:nvPicPr>
              <xdr:blipFill>
                <a:blip xmlns:r="http://schemas.openxmlformats.org/officeDocument/2006/relationships" r:embed="rId33" cstate="print">
                  <a:clrChange>
                    <a:clrFrom>
                      <a:srgbClr val="F8F8F8"/>
                    </a:clrFrom>
                    <a:clrTo>
                      <a:srgbClr val="F8F8F8">
                        <a:alpha val="0"/>
                      </a:srgbClr>
                    </a:clrTo>
                  </a:clrChange>
                  <a:extLst>
                    <a:ext uri="{28A0092B-C50C-407E-A947-70E740481C1C}">
                      <a14:useLocalDpi xmlns:a14="http://schemas.microsoft.com/office/drawing/2010/main" val="0"/>
                    </a:ext>
                  </a:extLst>
                </a:blip>
                <a:srcRect/>
                <a:stretch>
                  <a:fillRect/>
                </a:stretch>
              </xdr:blipFill>
              <xdr:spPr bwMode="auto">
                <a:xfrm>
                  <a:off x="4602713" y="384834"/>
                  <a:ext cx="326621" cy="3113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3" name="TextBox 92">
                  <a:hlinkClick xmlns:r="http://schemas.openxmlformats.org/officeDocument/2006/relationships" r:id="rId32"/>
                  <a:extLst>
                    <a:ext uri="{FF2B5EF4-FFF2-40B4-BE49-F238E27FC236}">
                      <a16:creationId xmlns:a16="http://schemas.microsoft.com/office/drawing/2014/main" id="{7879893B-F9ED-96C8-32EC-22FF19558E8F}"/>
                    </a:ext>
                  </a:extLst>
                </xdr:cNvPr>
                <xdr:cNvSpPr txBox="1"/>
              </xdr:nvSpPr>
              <xdr:spPr>
                <a:xfrm>
                  <a:off x="4880678" y="423317"/>
                  <a:ext cx="56334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ASSETS</a:t>
                  </a:r>
                </a:p>
              </xdr:txBody>
            </xdr:sp>
            <xdr:pic>
              <xdr:nvPicPr>
                <xdr:cNvPr id="94" name="Picture 93">
                  <a:hlinkClick xmlns:r="http://schemas.openxmlformats.org/officeDocument/2006/relationships" r:id="rId34"/>
                  <a:extLst>
                    <a:ext uri="{FF2B5EF4-FFF2-40B4-BE49-F238E27FC236}">
                      <a16:creationId xmlns:a16="http://schemas.microsoft.com/office/drawing/2014/main" id="{ABF3A246-79B6-F4C8-52C8-877B6E824CF1}"/>
                    </a:ext>
                  </a:extLst>
                </xdr:cNvPr>
                <xdr:cNvPicPr>
                  <a:picLocks noChangeAspect="1" noChangeArrowheads="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35903" y="354046"/>
                  <a:ext cx="278234" cy="3540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5" name="TextBox 94">
                  <a:hlinkClick xmlns:r="http://schemas.openxmlformats.org/officeDocument/2006/relationships" r:id="rId34"/>
                  <a:extLst>
                    <a:ext uri="{FF2B5EF4-FFF2-40B4-BE49-F238E27FC236}">
                      <a16:creationId xmlns:a16="http://schemas.microsoft.com/office/drawing/2014/main" id="{DD689832-2FB1-48EA-0C41-E14A850E63BF}"/>
                    </a:ext>
                  </a:extLst>
                </xdr:cNvPr>
                <xdr:cNvSpPr txBox="1"/>
              </xdr:nvSpPr>
              <xdr:spPr>
                <a:xfrm>
                  <a:off x="5717678" y="431014"/>
                  <a:ext cx="750091"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LIABILITIES</a:t>
                  </a:r>
                </a:p>
              </xdr:txBody>
            </xdr:sp>
            <xdr:pic>
              <xdr:nvPicPr>
                <xdr:cNvPr id="96" name="Picture 95">
                  <a:hlinkClick xmlns:r="http://schemas.openxmlformats.org/officeDocument/2006/relationships" r:id="rId36"/>
                  <a:extLst>
                    <a:ext uri="{FF2B5EF4-FFF2-40B4-BE49-F238E27FC236}">
                      <a16:creationId xmlns:a16="http://schemas.microsoft.com/office/drawing/2014/main" id="{5596C7CD-4221-96B5-C25E-0BC179370744}"/>
                    </a:ext>
                  </a:extLst>
                </xdr:cNvPr>
                <xdr:cNvPicPr>
                  <a:picLocks noChangeAspect="1"/>
                </xdr:cNvPicPr>
              </xdr:nvPicPr>
              <xdr:blipFill>
                <a:blip xmlns:r="http://schemas.openxmlformats.org/officeDocument/2006/relationships" r:embed="rId37">
                  <a:clrChange>
                    <a:clrFrom>
                      <a:srgbClr val="FFFFFF"/>
                    </a:clrFrom>
                    <a:clrTo>
                      <a:srgbClr val="FFFFFF">
                        <a:alpha val="0"/>
                      </a:srgbClr>
                    </a:clrTo>
                  </a:clrChange>
                </a:blip>
                <a:stretch>
                  <a:fillRect/>
                </a:stretch>
              </xdr:blipFill>
              <xdr:spPr>
                <a:xfrm>
                  <a:off x="6454424" y="361268"/>
                  <a:ext cx="368693" cy="354523"/>
                </a:xfrm>
                <a:prstGeom prst="rect">
                  <a:avLst/>
                </a:prstGeom>
              </xdr:spPr>
            </xdr:pic>
            <xdr:sp macro="" textlink="">
              <xdr:nvSpPr>
                <xdr:cNvPr id="97" name="TextBox 96">
                  <a:hlinkClick xmlns:r="http://schemas.openxmlformats.org/officeDocument/2006/relationships" r:id="rId36"/>
                  <a:extLst>
                    <a:ext uri="{FF2B5EF4-FFF2-40B4-BE49-F238E27FC236}">
                      <a16:creationId xmlns:a16="http://schemas.microsoft.com/office/drawing/2014/main" id="{8544278E-0867-B679-B523-82434529899B}"/>
                    </a:ext>
                  </a:extLst>
                </xdr:cNvPr>
                <xdr:cNvSpPr txBox="1"/>
              </xdr:nvSpPr>
              <xdr:spPr>
                <a:xfrm>
                  <a:off x="6742924" y="369440"/>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EDIT</a:t>
                  </a:r>
                </a:p>
                <a:p>
                  <a:r>
                    <a:rPr lang="en-US" sz="900" b="1">
                      <a:solidFill>
                        <a:schemeClr val="bg1"/>
                      </a:solidFill>
                    </a:rPr>
                    <a:t>CATEGORIES</a:t>
                  </a:r>
                </a:p>
              </xdr:txBody>
            </xdr:sp>
            <xdr:grpSp>
              <xdr:nvGrpSpPr>
                <xdr:cNvPr id="98" name="Group 97">
                  <a:hlinkClick xmlns:r="http://schemas.openxmlformats.org/officeDocument/2006/relationships" r:id="rId38"/>
                  <a:extLst>
                    <a:ext uri="{FF2B5EF4-FFF2-40B4-BE49-F238E27FC236}">
                      <a16:creationId xmlns:a16="http://schemas.microsoft.com/office/drawing/2014/main" id="{4EC81C51-A611-6DD0-BD2E-AC8BCAAC09CE}"/>
                    </a:ext>
                  </a:extLst>
                </xdr:cNvPr>
                <xdr:cNvGrpSpPr/>
              </xdr:nvGrpSpPr>
              <xdr:grpSpPr>
                <a:xfrm>
                  <a:off x="10231249" y="237461"/>
                  <a:ext cx="1281586" cy="502920"/>
                  <a:chOff x="11732389" y="237461"/>
                  <a:chExt cx="1281586" cy="502920"/>
                </a:xfrm>
              </xdr:grpSpPr>
              <xdr:pic>
                <xdr:nvPicPr>
                  <xdr:cNvPr id="99" name="Picture 98">
                    <a:hlinkClick xmlns:r="http://schemas.openxmlformats.org/officeDocument/2006/relationships" r:id="rId39"/>
                    <a:extLst>
                      <a:ext uri="{FF2B5EF4-FFF2-40B4-BE49-F238E27FC236}">
                        <a16:creationId xmlns:a16="http://schemas.microsoft.com/office/drawing/2014/main" id="{A04BE989-E3EA-7461-EAE6-D97489E5886D}"/>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1732389" y="237461"/>
                    <a:ext cx="502920" cy="502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0" name="TextBox 99">
                    <a:hlinkClick xmlns:r="http://schemas.openxmlformats.org/officeDocument/2006/relationships" r:id="rId39"/>
                    <a:extLst>
                      <a:ext uri="{FF2B5EF4-FFF2-40B4-BE49-F238E27FC236}">
                        <a16:creationId xmlns:a16="http://schemas.microsoft.com/office/drawing/2014/main" id="{DBC9FB97-0452-BDDF-2580-3283789B3706}"/>
                      </a:ext>
                    </a:extLst>
                  </xdr:cNvPr>
                  <xdr:cNvSpPr txBox="1"/>
                </xdr:nvSpPr>
                <xdr:spPr>
                  <a:xfrm>
                    <a:off x="12197209" y="344142"/>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 GAME APPS</a:t>
                    </a:r>
                  </a:p>
                </xdr:txBody>
              </xdr:sp>
            </xdr:grpSp>
          </xdr:grpSp>
          <xdr:grpSp>
            <xdr:nvGrpSpPr>
              <xdr:cNvPr id="59" name="Group 58">
                <a:extLst>
                  <a:ext uri="{FF2B5EF4-FFF2-40B4-BE49-F238E27FC236}">
                    <a16:creationId xmlns:a16="http://schemas.microsoft.com/office/drawing/2014/main" id="{A43490E3-E551-AA5B-A5C2-A93A936A4222}"/>
                  </a:ext>
                </a:extLst>
              </xdr:cNvPr>
              <xdr:cNvGrpSpPr/>
            </xdr:nvGrpSpPr>
            <xdr:grpSpPr>
              <a:xfrm>
                <a:off x="3030070" y="313765"/>
                <a:ext cx="1219410" cy="438976"/>
                <a:chOff x="3030070" y="313765"/>
                <a:chExt cx="1219410" cy="438976"/>
              </a:xfrm>
            </xdr:grpSpPr>
            <xdr:sp macro="" textlink="">
              <xdr:nvSpPr>
                <xdr:cNvPr id="60" name="TextBox 59">
                  <a:hlinkClick xmlns:r="http://schemas.openxmlformats.org/officeDocument/2006/relationships" r:id="rId41"/>
                  <a:extLst>
                    <a:ext uri="{FF2B5EF4-FFF2-40B4-BE49-F238E27FC236}">
                      <a16:creationId xmlns:a16="http://schemas.microsoft.com/office/drawing/2014/main" id="{DB752B71-335A-66C9-AD45-E08370E0D06C}"/>
                    </a:ext>
                  </a:extLst>
                </xdr:cNvPr>
                <xdr:cNvSpPr txBox="1"/>
              </xdr:nvSpPr>
              <xdr:spPr>
                <a:xfrm>
                  <a:off x="3307528" y="313765"/>
                  <a:ext cx="941952" cy="43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BOOK KEEPING</a:t>
                  </a:r>
                </a:p>
                <a:p>
                  <a:pPr algn="ctr"/>
                  <a:r>
                    <a:rPr lang="en-US" sz="900" b="1">
                      <a:solidFill>
                        <a:schemeClr val="bg1"/>
                      </a:solidFill>
                    </a:rPr>
                    <a:t>LEDGER</a:t>
                  </a:r>
                </a:p>
              </xdr:txBody>
            </xdr:sp>
            <xdr:pic>
              <xdr:nvPicPr>
                <xdr:cNvPr id="61" name="Picture 60">
                  <a:hlinkClick xmlns:r="http://schemas.openxmlformats.org/officeDocument/2006/relationships" r:id="rId41"/>
                  <a:extLst>
                    <a:ext uri="{FF2B5EF4-FFF2-40B4-BE49-F238E27FC236}">
                      <a16:creationId xmlns:a16="http://schemas.microsoft.com/office/drawing/2014/main" id="{456E0475-F66C-6BBF-9E92-104353365A9C}"/>
                    </a:ext>
                  </a:extLst>
                </xdr:cNvPr>
                <xdr:cNvPicPr>
                  <a:picLocks noChangeAspect="1"/>
                </xdr:cNvPicPr>
              </xdr:nvPicPr>
              <xdr:blipFill>
                <a:blip xmlns:r="http://schemas.openxmlformats.org/officeDocument/2006/relationships" r:embed="rId4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0070" y="367554"/>
                  <a:ext cx="327770" cy="349622"/>
                </a:xfrm>
                <a:prstGeom prst="rect">
                  <a:avLst/>
                </a:prstGeom>
              </xdr:spPr>
            </xdr:pic>
          </xdr:grpSp>
        </xdr:grpSp>
        <xdr:grpSp>
          <xdr:nvGrpSpPr>
            <xdr:cNvPr id="55" name="Group 54">
              <a:extLst>
                <a:ext uri="{FF2B5EF4-FFF2-40B4-BE49-F238E27FC236}">
                  <a16:creationId xmlns:a16="http://schemas.microsoft.com/office/drawing/2014/main" id="{4B5996A3-AFB3-EF26-B449-247CB566ADAE}"/>
                </a:ext>
              </a:extLst>
            </xdr:cNvPr>
            <xdr:cNvGrpSpPr/>
          </xdr:nvGrpSpPr>
          <xdr:grpSpPr>
            <a:xfrm>
              <a:off x="12626340" y="243840"/>
              <a:ext cx="1344125" cy="571500"/>
              <a:chOff x="12626340" y="243840"/>
              <a:chExt cx="1344125" cy="571500"/>
            </a:xfrm>
          </xdr:grpSpPr>
          <xdr:pic>
            <xdr:nvPicPr>
              <xdr:cNvPr id="56" name="Picture 55">
                <a:hlinkClick xmlns:r="http://schemas.openxmlformats.org/officeDocument/2006/relationships" r:id="rId43"/>
                <a:extLst>
                  <a:ext uri="{FF2B5EF4-FFF2-40B4-BE49-F238E27FC236}">
                    <a16:creationId xmlns:a16="http://schemas.microsoft.com/office/drawing/2014/main" id="{08E734F2-5286-9A20-0818-C7ED752BC83E}"/>
                  </a:ext>
                </a:extLst>
              </xdr:cNvPr>
              <xdr:cNvPicPr>
                <a:picLocks noChangeAspect="1" noChangeArrowheads="1"/>
              </xdr:cNvPicPr>
            </xdr:nvPicPr>
            <xdr:blipFill>
              <a:blip xmlns:r="http://schemas.openxmlformats.org/officeDocument/2006/relationships" r:embed="rId4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26340" y="243840"/>
                <a:ext cx="571500" cy="571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7" name="TextBox 56">
                <a:hlinkClick xmlns:r="http://schemas.openxmlformats.org/officeDocument/2006/relationships" r:id="rId43"/>
                <a:extLst>
                  <a:ext uri="{FF2B5EF4-FFF2-40B4-BE49-F238E27FC236}">
                    <a16:creationId xmlns:a16="http://schemas.microsoft.com/office/drawing/2014/main" id="{E56D6973-57D3-6FC1-2D18-F393952ECECD}"/>
                  </a:ext>
                </a:extLst>
              </xdr:cNvPr>
              <xdr:cNvSpPr txBox="1"/>
            </xdr:nvSpPr>
            <xdr:spPr>
              <a:xfrm>
                <a:off x="13129260" y="327660"/>
                <a:ext cx="841205" cy="4000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TRAVEL</a:t>
                </a:r>
              </a:p>
              <a:p>
                <a:pPr algn="ctr"/>
                <a:r>
                  <a:rPr lang="en-US" sz="900" b="1">
                    <a:solidFill>
                      <a:schemeClr val="bg1"/>
                    </a:solidFill>
                  </a:rPr>
                  <a:t>SANDBOX</a:t>
                </a:r>
              </a:p>
            </xdr:txBody>
          </xdr:sp>
        </xdr:grpSp>
      </xdr:grpSp>
      <xdr:pic>
        <xdr:nvPicPr>
          <xdr:cNvPr id="53" name="Picture 52">
            <a:hlinkClick xmlns:r="http://schemas.openxmlformats.org/officeDocument/2006/relationships" r:id="rId11"/>
            <a:extLst>
              <a:ext uri="{FF2B5EF4-FFF2-40B4-BE49-F238E27FC236}">
                <a16:creationId xmlns:a16="http://schemas.microsoft.com/office/drawing/2014/main" id="{ED8BEC51-F24E-EFAA-B839-A50C04BE9AFD}"/>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34100" y="30480"/>
            <a:ext cx="234698" cy="246078"/>
          </a:xfrm>
          <a:prstGeom prst="rect">
            <a:avLst/>
          </a:prstGeom>
          <a:solidFill>
            <a:srgbClr val="7FA6C7"/>
          </a:solidFill>
        </xdr:spPr>
      </xdr:pic>
    </xdr:grp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76200</xdr:colOff>
      <xdr:row>28</xdr:row>
      <xdr:rowOff>47625</xdr:rowOff>
    </xdr:from>
    <xdr:to>
      <xdr:col>44</xdr:col>
      <xdr:colOff>66675</xdr:colOff>
      <xdr:row>42</xdr:row>
      <xdr:rowOff>104775</xdr:rowOff>
    </xdr:to>
    <xdr:graphicFrame macro="">
      <xdr:nvGraphicFramePr>
        <xdr:cNvPr id="29" name="Chart 28">
          <a:extLst>
            <a:ext uri="{FF2B5EF4-FFF2-40B4-BE49-F238E27FC236}">
              <a16:creationId xmlns:a16="http://schemas.microsoft.com/office/drawing/2014/main" id="{07010CBB-3C10-47C9-8BF1-027834F3F5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0</xdr:row>
      <xdr:rowOff>0</xdr:rowOff>
    </xdr:from>
    <xdr:to>
      <xdr:col>52</xdr:col>
      <xdr:colOff>205497</xdr:colOff>
      <xdr:row>3</xdr:row>
      <xdr:rowOff>7620</xdr:rowOff>
    </xdr:to>
    <xdr:grpSp>
      <xdr:nvGrpSpPr>
        <xdr:cNvPr id="51" name="Group 50">
          <a:extLst>
            <a:ext uri="{FF2B5EF4-FFF2-40B4-BE49-F238E27FC236}">
              <a16:creationId xmlns:a16="http://schemas.microsoft.com/office/drawing/2014/main" id="{517B0F6F-AD1C-49E0-9B48-BC32AF3138EE}"/>
            </a:ext>
          </a:extLst>
        </xdr:cNvPr>
        <xdr:cNvGrpSpPr/>
      </xdr:nvGrpSpPr>
      <xdr:grpSpPr>
        <a:xfrm>
          <a:off x="1226820" y="0"/>
          <a:ext cx="11894577" cy="815340"/>
          <a:chOff x="2194560" y="0"/>
          <a:chExt cx="11894577" cy="815340"/>
        </a:xfrm>
      </xdr:grpSpPr>
      <xdr:grpSp>
        <xdr:nvGrpSpPr>
          <xdr:cNvPr id="52" name="Group 51">
            <a:extLst>
              <a:ext uri="{FF2B5EF4-FFF2-40B4-BE49-F238E27FC236}">
                <a16:creationId xmlns:a16="http://schemas.microsoft.com/office/drawing/2014/main" id="{3A73B81C-6718-0454-E403-092C82FACB11}"/>
              </a:ext>
            </a:extLst>
          </xdr:cNvPr>
          <xdr:cNvGrpSpPr/>
        </xdr:nvGrpSpPr>
        <xdr:grpSpPr>
          <a:xfrm>
            <a:off x="2194560" y="0"/>
            <a:ext cx="11894577" cy="815340"/>
            <a:chOff x="2194560" y="0"/>
            <a:chExt cx="11894577" cy="815340"/>
          </a:xfrm>
        </xdr:grpSpPr>
        <xdr:grpSp>
          <xdr:nvGrpSpPr>
            <xdr:cNvPr id="54" name="Group 53">
              <a:extLst>
                <a:ext uri="{FF2B5EF4-FFF2-40B4-BE49-F238E27FC236}">
                  <a16:creationId xmlns:a16="http://schemas.microsoft.com/office/drawing/2014/main" id="{3417F1EB-8F06-BFD7-18FB-46886DD638F2}"/>
                </a:ext>
              </a:extLst>
            </xdr:cNvPr>
            <xdr:cNvGrpSpPr/>
          </xdr:nvGrpSpPr>
          <xdr:grpSpPr>
            <a:xfrm>
              <a:off x="2194560" y="0"/>
              <a:ext cx="11894577" cy="773812"/>
              <a:chOff x="2160046" y="0"/>
              <a:chExt cx="11894577" cy="773812"/>
            </a:xfrm>
          </xdr:grpSpPr>
          <xdr:grpSp>
            <xdr:nvGrpSpPr>
              <xdr:cNvPr id="58" name="Group 57">
                <a:extLst>
                  <a:ext uri="{FF2B5EF4-FFF2-40B4-BE49-F238E27FC236}">
                    <a16:creationId xmlns:a16="http://schemas.microsoft.com/office/drawing/2014/main" id="{B800F0AE-58B3-8F70-A03C-B0CE9D57B280}"/>
                  </a:ext>
                </a:extLst>
              </xdr:cNvPr>
              <xdr:cNvGrpSpPr/>
            </xdr:nvGrpSpPr>
            <xdr:grpSpPr>
              <a:xfrm>
                <a:off x="2160046" y="0"/>
                <a:ext cx="11894577" cy="773812"/>
                <a:chOff x="1310640" y="0"/>
                <a:chExt cx="11549013" cy="764847"/>
              </a:xfrm>
            </xdr:grpSpPr>
            <xdr:pic>
              <xdr:nvPicPr>
                <xdr:cNvPr id="62" name="Picture 61">
                  <a:hlinkClick xmlns:r="http://schemas.openxmlformats.org/officeDocument/2006/relationships" r:id="rId2"/>
                  <a:extLst>
                    <a:ext uri="{FF2B5EF4-FFF2-40B4-BE49-F238E27FC236}">
                      <a16:creationId xmlns:a16="http://schemas.microsoft.com/office/drawing/2014/main" id="{1CB13933-267C-0FC4-48F7-7F9C6E3A4002}"/>
                    </a:ext>
                  </a:extLst>
                </xdr:cNvPr>
                <xdr:cNvPicPr>
                  <a:picLocks/>
                </xdr:cNvPicPr>
              </xdr:nvPicPr>
              <xdr:blipFill>
                <a:blip xmlns:r="http://schemas.openxmlformats.org/officeDocument/2006/relationships" r:embed="rId3" cstate="print">
                  <a:alphaModFix/>
                  <a:extLst>
                    <a:ext uri="{28A0092B-C50C-407E-A947-70E740481C1C}">
                      <a14:useLocalDpi xmlns:a14="http://schemas.microsoft.com/office/drawing/2010/main" val="0"/>
                    </a:ext>
                  </a:extLst>
                </a:blip>
                <a:srcRect/>
                <a:stretch/>
              </xdr:blipFill>
              <xdr:spPr>
                <a:xfrm>
                  <a:off x="1310640" y="46180"/>
                  <a:ext cx="499211" cy="554546"/>
                </a:xfrm>
                <a:prstGeom prst="rect">
                  <a:avLst/>
                </a:prstGeom>
              </xdr:spPr>
            </xdr:pic>
            <xdr:pic>
              <xdr:nvPicPr>
                <xdr:cNvPr id="63" name="Picture 62">
                  <a:hlinkClick xmlns:r="http://schemas.openxmlformats.org/officeDocument/2006/relationships" r:id="rId4"/>
                  <a:extLst>
                    <a:ext uri="{FF2B5EF4-FFF2-40B4-BE49-F238E27FC236}">
                      <a16:creationId xmlns:a16="http://schemas.microsoft.com/office/drawing/2014/main" id="{7D848A46-7AE8-6A65-C2B1-C22B421C4540}"/>
                    </a:ext>
                  </a:extLst>
                </xdr:cNvPr>
                <xdr:cNvPicPr>
                  <a:picLocks noChangeAspect="1" noChangeArrowheads="1"/>
                </xdr:cNvPicPr>
              </xdr:nvPicPr>
              <xdr:blipFill>
                <a:blip xmlns:r="http://schemas.openxmlformats.org/officeDocument/2006/relationships" r:embed="rId5" cstate="print">
                  <a:alphaModFix/>
                  <a:extLst>
                    <a:ext uri="{28A0092B-C50C-407E-A947-70E740481C1C}">
                      <a14:useLocalDpi xmlns:a14="http://schemas.microsoft.com/office/drawing/2010/main" val="0"/>
                    </a:ext>
                  </a:extLst>
                </a:blip>
                <a:srcRect/>
                <a:stretch>
                  <a:fillRect/>
                </a:stretch>
              </xdr:blipFill>
              <xdr:spPr bwMode="auto">
                <a:xfrm>
                  <a:off x="2163693" y="30823"/>
                  <a:ext cx="214188" cy="2260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4" name="TextBox 63">
                  <a:hlinkClick xmlns:r="http://schemas.openxmlformats.org/officeDocument/2006/relationships" r:id="rId4"/>
                  <a:extLst>
                    <a:ext uri="{FF2B5EF4-FFF2-40B4-BE49-F238E27FC236}">
                      <a16:creationId xmlns:a16="http://schemas.microsoft.com/office/drawing/2014/main" id="{3DCE19BA-4C1C-2911-EA37-1A66EDDBE951}"/>
                    </a:ext>
                  </a:extLst>
                </xdr:cNvPr>
                <xdr:cNvSpPr txBox="1"/>
              </xdr:nvSpPr>
              <xdr:spPr>
                <a:xfrm>
                  <a:off x="2369194" y="17046"/>
                  <a:ext cx="846446" cy="25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US" sz="900" b="1">
                      <a:solidFill>
                        <a:schemeClr val="bg1"/>
                      </a:solidFill>
                    </a:rPr>
                    <a:t>DASHBOARD</a:t>
                  </a:r>
                </a:p>
              </xdr:txBody>
            </xdr:sp>
            <xdr:pic>
              <xdr:nvPicPr>
                <xdr:cNvPr id="65" name="Picture 64">
                  <a:hlinkClick xmlns:r="http://schemas.openxmlformats.org/officeDocument/2006/relationships" r:id="rId6"/>
                  <a:extLst>
                    <a:ext uri="{FF2B5EF4-FFF2-40B4-BE49-F238E27FC236}">
                      <a16:creationId xmlns:a16="http://schemas.microsoft.com/office/drawing/2014/main" id="{4C6C9A5F-B417-C34E-7205-66A01630D386}"/>
                    </a:ext>
                  </a:extLst>
                </xdr:cNvPr>
                <xdr:cNvPicPr>
                  <a:picLocks noChangeAspect="1" noChangeArrowheads="1"/>
                </xdr:cNvPicPr>
              </xdr:nvPicPr>
              <xdr:blipFill>
                <a:blip xmlns:r="http://schemas.openxmlformats.org/officeDocument/2006/relationships" r:embed="rId7" cstate="print">
                  <a:alphaModFix/>
                  <a:extLst>
                    <a:ext uri="{28A0092B-C50C-407E-A947-70E740481C1C}">
                      <a14:useLocalDpi xmlns:a14="http://schemas.microsoft.com/office/drawing/2010/main" val="0"/>
                    </a:ext>
                  </a:extLst>
                </a:blip>
                <a:srcRect/>
                <a:stretch>
                  <a:fillRect/>
                </a:stretch>
              </xdr:blipFill>
              <xdr:spPr bwMode="auto">
                <a:xfrm>
                  <a:off x="8461655" y="433462"/>
                  <a:ext cx="214188" cy="20819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6" name="TextBox 65">
                  <a:hlinkClick xmlns:r="http://schemas.openxmlformats.org/officeDocument/2006/relationships" r:id="rId6"/>
                  <a:extLst>
                    <a:ext uri="{FF2B5EF4-FFF2-40B4-BE49-F238E27FC236}">
                      <a16:creationId xmlns:a16="http://schemas.microsoft.com/office/drawing/2014/main" id="{E1F86096-246B-F89B-7AB5-8AB0D8F6D101}"/>
                    </a:ext>
                  </a:extLst>
                </xdr:cNvPr>
                <xdr:cNvSpPr txBox="1"/>
              </xdr:nvSpPr>
              <xdr:spPr>
                <a:xfrm>
                  <a:off x="8647283" y="413913"/>
                  <a:ext cx="56836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REPORTS</a:t>
                  </a:r>
                </a:p>
              </xdr:txBody>
            </xdr:sp>
            <xdr:pic>
              <xdr:nvPicPr>
                <xdr:cNvPr id="67" name="Picture 66">
                  <a:hlinkClick xmlns:r="http://schemas.openxmlformats.org/officeDocument/2006/relationships" r:id="rId8"/>
                  <a:extLst>
                    <a:ext uri="{FF2B5EF4-FFF2-40B4-BE49-F238E27FC236}">
                      <a16:creationId xmlns:a16="http://schemas.microsoft.com/office/drawing/2014/main" id="{A5096A1B-C36F-B38C-F655-80750AF4993B}"/>
                    </a:ext>
                  </a:extLst>
                </xdr:cNvPr>
                <xdr:cNvPicPr>
                  <a:picLocks noChangeAspect="1"/>
                </xdr:cNvPicPr>
              </xdr:nvPicPr>
              <xdr:blipFill>
                <a:blip xmlns:r="http://schemas.openxmlformats.org/officeDocument/2006/relationships" r:embed="rId9" cstate="print">
                  <a:alphaModFix/>
                  <a:extLst>
                    <a:ext uri="{28A0092B-C50C-407E-A947-70E740481C1C}">
                      <a14:useLocalDpi xmlns:a14="http://schemas.microsoft.com/office/drawing/2010/main" val="0"/>
                    </a:ext>
                  </a:extLst>
                </a:blip>
                <a:stretch>
                  <a:fillRect/>
                </a:stretch>
              </xdr:blipFill>
              <xdr:spPr>
                <a:xfrm>
                  <a:off x="6903860" y="19549"/>
                  <a:ext cx="214187" cy="248554"/>
                </a:xfrm>
                <a:prstGeom prst="rect">
                  <a:avLst/>
                </a:prstGeom>
              </xdr:spPr>
            </xdr:pic>
            <xdr:sp macro="" textlink="">
              <xdr:nvSpPr>
                <xdr:cNvPr id="68" name="TextBox 67">
                  <a:hlinkClick xmlns:r="http://schemas.openxmlformats.org/officeDocument/2006/relationships" r:id="rId8"/>
                  <a:extLst>
                    <a:ext uri="{FF2B5EF4-FFF2-40B4-BE49-F238E27FC236}">
                      <a16:creationId xmlns:a16="http://schemas.microsoft.com/office/drawing/2014/main" id="{FDE80907-DFF7-A11D-7C44-0A8B3C608293}"/>
                    </a:ext>
                  </a:extLst>
                </xdr:cNvPr>
                <xdr:cNvSpPr txBox="1"/>
              </xdr:nvSpPr>
              <xdr:spPr>
                <a:xfrm>
                  <a:off x="7099062" y="0"/>
                  <a:ext cx="67589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MORTGAGE</a:t>
                  </a:r>
                </a:p>
              </xdr:txBody>
            </xdr:sp>
            <xdr:sp macro="" textlink="">
              <xdr:nvSpPr>
                <xdr:cNvPr id="69" name="TextBox 68">
                  <a:hlinkClick xmlns:r="http://schemas.openxmlformats.org/officeDocument/2006/relationships" r:id="rId10"/>
                  <a:extLst>
                    <a:ext uri="{FF2B5EF4-FFF2-40B4-BE49-F238E27FC236}">
                      <a16:creationId xmlns:a16="http://schemas.microsoft.com/office/drawing/2014/main" id="{E78E341C-8F99-AC44-E4B7-7ED3D069A98F}"/>
                    </a:ext>
                  </a:extLst>
                </xdr:cNvPr>
                <xdr:cNvSpPr txBox="1"/>
              </xdr:nvSpPr>
              <xdr:spPr>
                <a:xfrm>
                  <a:off x="6375474" y="0"/>
                  <a:ext cx="381400"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DEBT</a:t>
                  </a:r>
                </a:p>
              </xdr:txBody>
            </xdr:sp>
            <xdr:pic>
              <xdr:nvPicPr>
                <xdr:cNvPr id="70" name="Picture 69">
                  <a:hlinkClick xmlns:r="http://schemas.openxmlformats.org/officeDocument/2006/relationships" r:id="rId10"/>
                  <a:extLst>
                    <a:ext uri="{FF2B5EF4-FFF2-40B4-BE49-F238E27FC236}">
                      <a16:creationId xmlns:a16="http://schemas.microsoft.com/office/drawing/2014/main" id="{B00DFE9E-68E6-BFB3-C4A0-5CDCA9721ED0}"/>
                    </a:ext>
                  </a:extLst>
                </xdr:cNvPr>
                <xdr:cNvPicPr>
                  <a:picLocks noChangeAspect="1"/>
                </xdr:cNvPicPr>
              </xdr:nvPicPr>
              <xdr:blipFill>
                <a:blip xmlns:r="http://schemas.openxmlformats.org/officeDocument/2006/relationships" r:embed="rId11" cstate="print">
                  <a:alphaModFix/>
                  <a:extLst>
                    <a:ext uri="{28A0092B-C50C-407E-A947-70E740481C1C}">
                      <a14:useLocalDpi xmlns:a14="http://schemas.microsoft.com/office/drawing/2010/main" val="0"/>
                    </a:ext>
                  </a:extLst>
                </a:blip>
                <a:stretch>
                  <a:fillRect/>
                </a:stretch>
              </xdr:blipFill>
              <xdr:spPr>
                <a:xfrm>
                  <a:off x="6158378" y="19549"/>
                  <a:ext cx="214188" cy="248554"/>
                </a:xfrm>
                <a:prstGeom prst="rect">
                  <a:avLst/>
                </a:prstGeom>
              </xdr:spPr>
            </xdr:pic>
            <xdr:sp macro="" textlink="">
              <xdr:nvSpPr>
                <xdr:cNvPr id="71" name="TextBox 70">
                  <a:hlinkClick xmlns:r="http://schemas.openxmlformats.org/officeDocument/2006/relationships" r:id="rId12"/>
                  <a:extLst>
                    <a:ext uri="{FF2B5EF4-FFF2-40B4-BE49-F238E27FC236}">
                      <a16:creationId xmlns:a16="http://schemas.microsoft.com/office/drawing/2014/main" id="{4072FEB7-1365-33DF-C3FA-0CFF37295777}"/>
                    </a:ext>
                  </a:extLst>
                </xdr:cNvPr>
                <xdr:cNvSpPr txBox="1"/>
              </xdr:nvSpPr>
              <xdr:spPr>
                <a:xfrm>
                  <a:off x="5370816" y="37659"/>
                  <a:ext cx="64057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FORECASTS</a:t>
                  </a:r>
                </a:p>
              </xdr:txBody>
            </xdr:sp>
            <xdr:sp macro="" textlink="">
              <xdr:nvSpPr>
                <xdr:cNvPr id="72" name="TextBox 71">
                  <a:hlinkClick xmlns:r="http://schemas.openxmlformats.org/officeDocument/2006/relationships" r:id="rId13"/>
                  <a:extLst>
                    <a:ext uri="{FF2B5EF4-FFF2-40B4-BE49-F238E27FC236}">
                      <a16:creationId xmlns:a16="http://schemas.microsoft.com/office/drawing/2014/main" id="{41BF0DB7-FF8C-EEC2-22D2-B3E3BA45EB5E}"/>
                    </a:ext>
                  </a:extLst>
                </xdr:cNvPr>
                <xdr:cNvSpPr txBox="1"/>
              </xdr:nvSpPr>
              <xdr:spPr>
                <a:xfrm>
                  <a:off x="8104032" y="0"/>
                  <a:ext cx="7732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a:t>
                  </a:r>
                  <a:r>
                    <a:rPr lang="en-US" sz="900" b="1" baseline="0">
                      <a:solidFill>
                        <a:schemeClr val="bg1"/>
                      </a:solidFill>
                    </a:rPr>
                    <a:t> (M)</a:t>
                  </a:r>
                  <a:endParaRPr lang="en-US" sz="900" b="1">
                    <a:solidFill>
                      <a:schemeClr val="bg1"/>
                    </a:solidFill>
                  </a:endParaRPr>
                </a:p>
              </xdr:txBody>
            </xdr:sp>
            <xdr:pic>
              <xdr:nvPicPr>
                <xdr:cNvPr id="73" name="Picture 72">
                  <a:hlinkClick xmlns:r="http://schemas.openxmlformats.org/officeDocument/2006/relationships" r:id="rId13"/>
                  <a:extLst>
                    <a:ext uri="{FF2B5EF4-FFF2-40B4-BE49-F238E27FC236}">
                      <a16:creationId xmlns:a16="http://schemas.microsoft.com/office/drawing/2014/main" id="{C06AA27F-C9F4-E7E1-19F3-A25ABC85AFF4}"/>
                    </a:ext>
                  </a:extLst>
                </xdr:cNvPr>
                <xdr:cNvPicPr>
                  <a:picLocks noChangeAspect="1"/>
                </xdr:cNvPicPr>
              </xdr:nvPicPr>
              <xdr:blipFill>
                <a:blip xmlns:r="http://schemas.openxmlformats.org/officeDocument/2006/relationships" r:embed="rId14" cstate="print">
                  <a:alphaModFix/>
                  <a:extLst>
                    <a:ext uri="{28A0092B-C50C-407E-A947-70E740481C1C}">
                      <a14:useLocalDpi xmlns:a14="http://schemas.microsoft.com/office/drawing/2010/main" val="0"/>
                    </a:ext>
                  </a:extLst>
                </a:blip>
                <a:stretch>
                  <a:fillRect/>
                </a:stretch>
              </xdr:blipFill>
              <xdr:spPr>
                <a:xfrm>
                  <a:off x="7921943" y="19549"/>
                  <a:ext cx="214188" cy="248554"/>
                </a:xfrm>
                <a:prstGeom prst="rect">
                  <a:avLst/>
                </a:prstGeom>
              </xdr:spPr>
            </xdr:pic>
            <xdr:sp macro="" textlink="">
              <xdr:nvSpPr>
                <xdr:cNvPr id="74" name="TextBox 73">
                  <a:hlinkClick xmlns:r="http://schemas.openxmlformats.org/officeDocument/2006/relationships" r:id="rId15"/>
                  <a:extLst>
                    <a:ext uri="{FF2B5EF4-FFF2-40B4-BE49-F238E27FC236}">
                      <a16:creationId xmlns:a16="http://schemas.microsoft.com/office/drawing/2014/main" id="{B3E1346C-BF02-6DB4-B2FF-702F70BE53E5}"/>
                    </a:ext>
                  </a:extLst>
                </xdr:cNvPr>
                <xdr:cNvSpPr txBox="1"/>
              </xdr:nvSpPr>
              <xdr:spPr>
                <a:xfrm>
                  <a:off x="9978309" y="0"/>
                  <a:ext cx="687187"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 (Y)</a:t>
                  </a:r>
                </a:p>
              </xdr:txBody>
            </xdr:sp>
            <xdr:pic>
              <xdr:nvPicPr>
                <xdr:cNvPr id="75" name="Picture 74">
                  <a:hlinkClick xmlns:r="http://schemas.openxmlformats.org/officeDocument/2006/relationships" r:id="rId15"/>
                  <a:extLst>
                    <a:ext uri="{FF2B5EF4-FFF2-40B4-BE49-F238E27FC236}">
                      <a16:creationId xmlns:a16="http://schemas.microsoft.com/office/drawing/2014/main" id="{8B4C92CB-1324-FB5C-E72D-2EA416D5C9DA}"/>
                    </a:ext>
                  </a:extLst>
                </xdr:cNvPr>
                <xdr:cNvPicPr>
                  <a:picLocks noChangeAspect="1"/>
                </xdr:cNvPicPr>
              </xdr:nvPicPr>
              <xdr:blipFill>
                <a:blip xmlns:r="http://schemas.openxmlformats.org/officeDocument/2006/relationships" r:embed="rId16" cstate="print">
                  <a:alphaModFix/>
                  <a:extLst>
                    <a:ext uri="{28A0092B-C50C-407E-A947-70E740481C1C}">
                      <a14:useLocalDpi xmlns:a14="http://schemas.microsoft.com/office/drawing/2010/main" val="0"/>
                    </a:ext>
                  </a:extLst>
                </a:blip>
                <a:stretch>
                  <a:fillRect/>
                </a:stretch>
              </xdr:blipFill>
              <xdr:spPr>
                <a:xfrm>
                  <a:off x="9777770" y="19549"/>
                  <a:ext cx="214188" cy="248554"/>
                </a:xfrm>
                <a:prstGeom prst="rect">
                  <a:avLst/>
                </a:prstGeom>
              </xdr:spPr>
            </xdr:pic>
            <xdr:sp macro="" textlink="">
              <xdr:nvSpPr>
                <xdr:cNvPr id="76" name="TextBox 75">
                  <a:hlinkClick xmlns:r="http://schemas.openxmlformats.org/officeDocument/2006/relationships" r:id="rId17"/>
                  <a:extLst>
                    <a:ext uri="{FF2B5EF4-FFF2-40B4-BE49-F238E27FC236}">
                      <a16:creationId xmlns:a16="http://schemas.microsoft.com/office/drawing/2014/main" id="{68E0A0BE-9EB3-25CE-0ABB-DC89FA9139F7}"/>
                    </a:ext>
                  </a:extLst>
                </xdr:cNvPr>
                <xdr:cNvSpPr txBox="1"/>
              </xdr:nvSpPr>
              <xdr:spPr>
                <a:xfrm>
                  <a:off x="9133984" y="0"/>
                  <a:ext cx="49680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VERSUS</a:t>
                  </a:r>
                </a:p>
              </xdr:txBody>
            </xdr:sp>
            <xdr:pic>
              <xdr:nvPicPr>
                <xdr:cNvPr id="77" name="Picture 76">
                  <a:hlinkClick xmlns:r="http://schemas.openxmlformats.org/officeDocument/2006/relationships" r:id="rId17"/>
                  <a:extLst>
                    <a:ext uri="{FF2B5EF4-FFF2-40B4-BE49-F238E27FC236}">
                      <a16:creationId xmlns:a16="http://schemas.microsoft.com/office/drawing/2014/main" id="{5E058964-1C6A-2898-65C0-F19A467310F7}"/>
                    </a:ext>
                  </a:extLst>
                </xdr:cNvPr>
                <xdr:cNvPicPr>
                  <a:picLocks noChangeAspect="1"/>
                </xdr:cNvPicPr>
              </xdr:nvPicPr>
              <xdr:blipFill>
                <a:blip xmlns:r="http://schemas.openxmlformats.org/officeDocument/2006/relationships" r:embed="rId18" cstate="print">
                  <a:alphaModFix/>
                  <a:extLst>
                    <a:ext uri="{28A0092B-C50C-407E-A947-70E740481C1C}">
                      <a14:useLocalDpi xmlns:a14="http://schemas.microsoft.com/office/drawing/2010/main" val="0"/>
                    </a:ext>
                  </a:extLst>
                </a:blip>
                <a:stretch>
                  <a:fillRect/>
                </a:stretch>
              </xdr:blipFill>
              <xdr:spPr>
                <a:xfrm>
                  <a:off x="8938203" y="19549"/>
                  <a:ext cx="214187" cy="248554"/>
                </a:xfrm>
                <a:prstGeom prst="rect">
                  <a:avLst/>
                </a:prstGeom>
              </xdr:spPr>
            </xdr:pic>
            <xdr:sp macro="" textlink="">
              <xdr:nvSpPr>
                <xdr:cNvPr id="78" name="TextBox 77">
                  <a:hlinkClick xmlns:r="http://schemas.openxmlformats.org/officeDocument/2006/relationships" r:id="rId19"/>
                  <a:extLst>
                    <a:ext uri="{FF2B5EF4-FFF2-40B4-BE49-F238E27FC236}">
                      <a16:creationId xmlns:a16="http://schemas.microsoft.com/office/drawing/2014/main" id="{AA8E49B5-6511-BA81-698E-FD659775549F}"/>
                    </a:ext>
                  </a:extLst>
                </xdr:cNvPr>
                <xdr:cNvSpPr txBox="1"/>
              </xdr:nvSpPr>
              <xdr:spPr>
                <a:xfrm>
                  <a:off x="3510385" y="0"/>
                  <a:ext cx="52312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REPAIRS</a:t>
                  </a:r>
                </a:p>
              </xdr:txBody>
            </xdr:sp>
            <xdr:pic>
              <xdr:nvPicPr>
                <xdr:cNvPr id="79" name="Picture 78">
                  <a:hlinkClick xmlns:r="http://schemas.openxmlformats.org/officeDocument/2006/relationships" r:id="rId19"/>
                  <a:extLst>
                    <a:ext uri="{FF2B5EF4-FFF2-40B4-BE49-F238E27FC236}">
                      <a16:creationId xmlns:a16="http://schemas.microsoft.com/office/drawing/2014/main" id="{B636A934-F4E1-0712-9CB4-9C54E9B178BE}"/>
                    </a:ext>
                  </a:extLst>
                </xdr:cNvPr>
                <xdr:cNvPicPr>
                  <a:picLocks noChangeAspect="1"/>
                </xdr:cNvPicPr>
              </xdr:nvPicPr>
              <xdr:blipFill>
                <a:blip xmlns:r="http://schemas.openxmlformats.org/officeDocument/2006/relationships" r:embed="rId20" cstate="print">
                  <a:alphaModFix/>
                  <a:extLst>
                    <a:ext uri="{28A0092B-C50C-407E-A947-70E740481C1C}">
                      <a14:useLocalDpi xmlns:a14="http://schemas.microsoft.com/office/drawing/2010/main" val="0"/>
                    </a:ext>
                  </a:extLst>
                </a:blip>
                <a:stretch>
                  <a:fillRect/>
                </a:stretch>
              </xdr:blipFill>
              <xdr:spPr>
                <a:xfrm>
                  <a:off x="3296296" y="28376"/>
                  <a:ext cx="214435" cy="230900"/>
                </a:xfrm>
                <a:prstGeom prst="rect">
                  <a:avLst/>
                </a:prstGeom>
              </xdr:spPr>
            </xdr:pic>
            <xdr:sp macro="" textlink="">
              <xdr:nvSpPr>
                <xdr:cNvPr id="80" name="TextBox 79">
                  <a:hlinkClick xmlns:r="http://schemas.openxmlformats.org/officeDocument/2006/relationships" r:id="rId21"/>
                  <a:extLst>
                    <a:ext uri="{FF2B5EF4-FFF2-40B4-BE49-F238E27FC236}">
                      <a16:creationId xmlns:a16="http://schemas.microsoft.com/office/drawing/2014/main" id="{868CF6C7-58C4-3DB5-FEAB-B4EE430ABF4E}"/>
                    </a:ext>
                  </a:extLst>
                </xdr:cNvPr>
                <xdr:cNvSpPr txBox="1"/>
              </xdr:nvSpPr>
              <xdr:spPr>
                <a:xfrm>
                  <a:off x="4388587" y="0"/>
                  <a:ext cx="63170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FURNITURE</a:t>
                  </a:r>
                </a:p>
              </xdr:txBody>
            </xdr:sp>
            <xdr:pic>
              <xdr:nvPicPr>
                <xdr:cNvPr id="81" name="Picture 80">
                  <a:hlinkClick xmlns:r="http://schemas.openxmlformats.org/officeDocument/2006/relationships" r:id="rId21"/>
                  <a:extLst>
                    <a:ext uri="{FF2B5EF4-FFF2-40B4-BE49-F238E27FC236}">
                      <a16:creationId xmlns:a16="http://schemas.microsoft.com/office/drawing/2014/main" id="{0E59DF6C-FF35-2BF2-3326-0B84F72B30C2}"/>
                    </a:ext>
                  </a:extLst>
                </xdr:cNvPr>
                <xdr:cNvPicPr>
                  <a:picLocks noChangeAspect="1"/>
                </xdr:cNvPicPr>
              </xdr:nvPicPr>
              <xdr:blipFill>
                <a:blip xmlns:r="http://schemas.openxmlformats.org/officeDocument/2006/relationships" r:embed="rId22" cstate="print">
                  <a:alphaModFix/>
                  <a:extLst>
                    <a:ext uri="{28A0092B-C50C-407E-A947-70E740481C1C}">
                      <a14:useLocalDpi xmlns:a14="http://schemas.microsoft.com/office/drawing/2010/main" val="0"/>
                    </a:ext>
                  </a:extLst>
                </a:blip>
                <a:stretch>
                  <a:fillRect/>
                </a:stretch>
              </xdr:blipFill>
              <xdr:spPr>
                <a:xfrm>
                  <a:off x="4180491" y="28376"/>
                  <a:ext cx="214435" cy="230900"/>
                </a:xfrm>
                <a:prstGeom prst="rect">
                  <a:avLst/>
                </a:prstGeom>
              </xdr:spPr>
            </xdr:pic>
            <xdr:pic>
              <xdr:nvPicPr>
                <xdr:cNvPr id="82" name="Picture 81">
                  <a:hlinkClick xmlns:r="http://schemas.openxmlformats.org/officeDocument/2006/relationships" r:id="rId23"/>
                  <a:extLst>
                    <a:ext uri="{FF2B5EF4-FFF2-40B4-BE49-F238E27FC236}">
                      <a16:creationId xmlns:a16="http://schemas.microsoft.com/office/drawing/2014/main" id="{02FAB781-7B32-D6A5-90CC-811DC45E927F}"/>
                    </a:ext>
                  </a:extLst>
                </xdr:cNvPr>
                <xdr:cNvPicPr>
                  <a:picLocks noChangeAspect="1"/>
                </xdr:cNvPicPr>
              </xdr:nvPicPr>
              <xdr:blipFill>
                <a:blip xmlns:r="http://schemas.openxmlformats.org/officeDocument/2006/relationships" r:embed="rId24" cstate="print">
                  <a:alphaModFix/>
                  <a:extLst>
                    <a:ext uri="{28A0092B-C50C-407E-A947-70E740481C1C}">
                      <a14:useLocalDpi xmlns:a14="http://schemas.microsoft.com/office/drawing/2010/main" val="0"/>
                    </a:ext>
                  </a:extLst>
                </a:blip>
                <a:stretch>
                  <a:fillRect/>
                </a:stretch>
              </xdr:blipFill>
              <xdr:spPr>
                <a:xfrm>
                  <a:off x="10812480" y="19549"/>
                  <a:ext cx="214188" cy="248554"/>
                </a:xfrm>
                <a:prstGeom prst="rect">
                  <a:avLst/>
                </a:prstGeom>
              </xdr:spPr>
            </xdr:pic>
            <xdr:sp macro="" textlink="">
              <xdr:nvSpPr>
                <xdr:cNvPr id="83" name="TextBox 82">
                  <a:hlinkClick xmlns:r="http://schemas.openxmlformats.org/officeDocument/2006/relationships" r:id="rId23"/>
                  <a:extLst>
                    <a:ext uri="{FF2B5EF4-FFF2-40B4-BE49-F238E27FC236}">
                      <a16:creationId xmlns:a16="http://schemas.microsoft.com/office/drawing/2014/main" id="{22D8E8CD-79D8-B4F2-2AA1-82EC3F601D89}"/>
                    </a:ext>
                  </a:extLst>
                </xdr:cNvPr>
                <xdr:cNvSpPr txBox="1"/>
              </xdr:nvSpPr>
              <xdr:spPr>
                <a:xfrm>
                  <a:off x="11008843" y="0"/>
                  <a:ext cx="40705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PEERS</a:t>
                  </a:r>
                </a:p>
              </xdr:txBody>
            </xdr:sp>
            <xdr:sp macro="" textlink="">
              <xdr:nvSpPr>
                <xdr:cNvPr id="84" name="TextBox 83">
                  <a:hlinkClick xmlns:r="http://schemas.openxmlformats.org/officeDocument/2006/relationships" r:id="rId25"/>
                  <a:extLst>
                    <a:ext uri="{FF2B5EF4-FFF2-40B4-BE49-F238E27FC236}">
                      <a16:creationId xmlns:a16="http://schemas.microsoft.com/office/drawing/2014/main" id="{5C461C08-BEB9-6A56-9F4F-F2A42BA60E00}"/>
                    </a:ext>
                  </a:extLst>
                </xdr:cNvPr>
                <xdr:cNvSpPr txBox="1"/>
              </xdr:nvSpPr>
              <xdr:spPr>
                <a:xfrm>
                  <a:off x="9581756" y="397481"/>
                  <a:ext cx="656781"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MAX PRICE</a:t>
                  </a:r>
                </a:p>
              </xdr:txBody>
            </xdr:sp>
            <xdr:pic>
              <xdr:nvPicPr>
                <xdr:cNvPr id="85" name="Picture 84">
                  <a:hlinkClick xmlns:r="http://schemas.openxmlformats.org/officeDocument/2006/relationships" r:id="rId25"/>
                  <a:extLst>
                    <a:ext uri="{FF2B5EF4-FFF2-40B4-BE49-F238E27FC236}">
                      <a16:creationId xmlns:a16="http://schemas.microsoft.com/office/drawing/2014/main" id="{DA47295D-9C7C-A6E7-5F26-68A61D7F895E}"/>
                    </a:ext>
                  </a:extLst>
                </xdr:cNvPr>
                <xdr:cNvPicPr>
                  <a:picLocks noChangeAspect="1"/>
                </xdr:cNvPicPr>
              </xdr:nvPicPr>
              <xdr:blipFill>
                <a:blip xmlns:r="http://schemas.openxmlformats.org/officeDocument/2006/relationships" r:embed="rId26" cstate="print">
                  <a:alphaModFix/>
                  <a:extLst>
                    <a:ext uri="{28A0092B-C50C-407E-A947-70E740481C1C}">
                      <a14:useLocalDpi xmlns:a14="http://schemas.microsoft.com/office/drawing/2010/main" val="0"/>
                    </a:ext>
                  </a:extLst>
                </a:blip>
                <a:stretch>
                  <a:fillRect/>
                </a:stretch>
              </xdr:blipFill>
              <xdr:spPr>
                <a:xfrm>
                  <a:off x="9433997" y="425857"/>
                  <a:ext cx="214435" cy="230900"/>
                </a:xfrm>
                <a:prstGeom prst="rect">
                  <a:avLst/>
                </a:prstGeom>
              </xdr:spPr>
            </xdr:pic>
            <xdr:sp macro="" textlink="">
              <xdr:nvSpPr>
                <xdr:cNvPr id="86" name="TextBox 85">
                  <a:hlinkClick xmlns:r="http://schemas.openxmlformats.org/officeDocument/2006/relationships" r:id="rId27"/>
                  <a:extLst>
                    <a:ext uri="{FF2B5EF4-FFF2-40B4-BE49-F238E27FC236}">
                      <a16:creationId xmlns:a16="http://schemas.microsoft.com/office/drawing/2014/main" id="{CED5239E-1E86-BF39-6DAB-6F385B2D7B71}"/>
                    </a:ext>
                  </a:extLst>
                </xdr:cNvPr>
                <xdr:cNvSpPr txBox="1"/>
              </xdr:nvSpPr>
              <xdr:spPr>
                <a:xfrm>
                  <a:off x="7733272" y="389861"/>
                  <a:ext cx="6384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SCENARIOS</a:t>
                  </a:r>
                </a:p>
              </xdr:txBody>
            </xdr:sp>
            <xdr:pic>
              <xdr:nvPicPr>
                <xdr:cNvPr id="87" name="Picture 86">
                  <a:hlinkClick xmlns:r="http://schemas.openxmlformats.org/officeDocument/2006/relationships" r:id="rId27"/>
                  <a:extLst>
                    <a:ext uri="{FF2B5EF4-FFF2-40B4-BE49-F238E27FC236}">
                      <a16:creationId xmlns:a16="http://schemas.microsoft.com/office/drawing/2014/main" id="{5762946A-284B-588D-8FF1-3989811A4670}"/>
                    </a:ext>
                  </a:extLst>
                </xdr:cNvPr>
                <xdr:cNvPicPr>
                  <a:picLocks noChangeAspect="1"/>
                </xdr:cNvPicPr>
              </xdr:nvPicPr>
              <xdr:blipFill>
                <a:blip xmlns:r="http://schemas.openxmlformats.org/officeDocument/2006/relationships" r:embed="rId28" cstate="print">
                  <a:alphaModFix/>
                  <a:extLst>
                    <a:ext uri="{28A0092B-C50C-407E-A947-70E740481C1C}">
                      <a14:useLocalDpi xmlns:a14="http://schemas.microsoft.com/office/drawing/2010/main" val="0"/>
                    </a:ext>
                  </a:extLst>
                </a:blip>
                <a:stretch>
                  <a:fillRect/>
                </a:stretch>
              </xdr:blipFill>
              <xdr:spPr>
                <a:xfrm>
                  <a:off x="7536090" y="418237"/>
                  <a:ext cx="214435" cy="230900"/>
                </a:xfrm>
                <a:prstGeom prst="rect">
                  <a:avLst/>
                </a:prstGeom>
              </xdr:spPr>
            </xdr:pic>
            <xdr:sp macro="" textlink="">
              <xdr:nvSpPr>
                <xdr:cNvPr id="88" name="TextBox 87">
                  <a:hlinkClick xmlns:r="http://schemas.openxmlformats.org/officeDocument/2006/relationships" r:id="rId29"/>
                  <a:extLst>
                    <a:ext uri="{FF2B5EF4-FFF2-40B4-BE49-F238E27FC236}">
                      <a16:creationId xmlns:a16="http://schemas.microsoft.com/office/drawing/2014/main" id="{2534D70F-CB67-7800-D690-14CD35F640C7}"/>
                    </a:ext>
                  </a:extLst>
                </xdr:cNvPr>
                <xdr:cNvSpPr txBox="1"/>
              </xdr:nvSpPr>
              <xdr:spPr>
                <a:xfrm>
                  <a:off x="11757467" y="49286"/>
                  <a:ext cx="110218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MARKET RESEARCH</a:t>
                  </a:r>
                </a:p>
              </xdr:txBody>
            </xdr:sp>
            <xdr:pic>
              <xdr:nvPicPr>
                <xdr:cNvPr id="89" name="Picture 88" descr="A white and brown hourglass&#10;&#10;AI-generated content may be incorrect.">
                  <a:hlinkClick xmlns:r="http://schemas.openxmlformats.org/officeDocument/2006/relationships" r:id="rId29"/>
                  <a:extLst>
                    <a:ext uri="{FF2B5EF4-FFF2-40B4-BE49-F238E27FC236}">
                      <a16:creationId xmlns:a16="http://schemas.microsoft.com/office/drawing/2014/main" id="{869A0964-E129-F92D-6BFF-02111E76CC1E}"/>
                    </a:ext>
                  </a:extLst>
                </xdr:cNvPr>
                <xdr:cNvPicPr>
                  <a:picLocks noChangeAspect="1"/>
                </xdr:cNvPicPr>
              </xdr:nvPicPr>
              <xdr:blipFill>
                <a:blip xmlns:r="http://schemas.openxmlformats.org/officeDocument/2006/relationships" r:embed="rId30" cstate="print">
                  <a:alphaModFix/>
                  <a:extLst>
                    <a:ext uri="{28A0092B-C50C-407E-A947-70E740481C1C}">
                      <a14:useLocalDpi xmlns:a14="http://schemas.microsoft.com/office/drawing/2010/main" val="0"/>
                    </a:ext>
                  </a:extLst>
                </a:blip>
                <a:stretch>
                  <a:fillRect/>
                </a:stretch>
              </xdr:blipFill>
              <xdr:spPr>
                <a:xfrm>
                  <a:off x="11563464" y="33893"/>
                  <a:ext cx="235575" cy="261687"/>
                </a:xfrm>
                <a:prstGeom prst="rect">
                  <a:avLst/>
                </a:prstGeom>
              </xdr:spPr>
            </xdr:pic>
            <xdr:pic>
              <xdr:nvPicPr>
                <xdr:cNvPr id="90" name="Picture 89">
                  <a:hlinkClick xmlns:r="http://schemas.openxmlformats.org/officeDocument/2006/relationships" r:id="rId31"/>
                  <a:extLst>
                    <a:ext uri="{FF2B5EF4-FFF2-40B4-BE49-F238E27FC236}">
                      <a16:creationId xmlns:a16="http://schemas.microsoft.com/office/drawing/2014/main" id="{883F2AE7-A5B2-26B6-EF78-FB92880ED26D}"/>
                    </a:ext>
                  </a:extLst>
                </xdr:cNvPr>
                <xdr:cNvPicPr>
                  <a:picLocks noChangeAspect="1" noChangeArrowheads="1"/>
                </xdr:cNvPicPr>
              </xdr:nvPicPr>
              <xdr:blipFill>
                <a:blip xmlns:r="http://schemas.openxmlformats.org/officeDocument/2006/relationships" r:embed="rId3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33032" y="384834"/>
                  <a:ext cx="261600" cy="33288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1" name="TextBox 90">
                  <a:hlinkClick xmlns:r="http://schemas.openxmlformats.org/officeDocument/2006/relationships" r:id="rId31"/>
                  <a:extLst>
                    <a:ext uri="{FF2B5EF4-FFF2-40B4-BE49-F238E27FC236}">
                      <a16:creationId xmlns:a16="http://schemas.microsoft.com/office/drawing/2014/main" id="{5EB3AA05-BF3B-E302-93C6-EAE538907666}"/>
                    </a:ext>
                  </a:extLst>
                </xdr:cNvPr>
                <xdr:cNvSpPr txBox="1"/>
              </xdr:nvSpPr>
              <xdr:spPr>
                <a:xfrm>
                  <a:off x="3637195" y="315564"/>
                  <a:ext cx="914586" cy="433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BALANCE SHEET</a:t>
                  </a:r>
                </a:p>
                <a:p>
                  <a:pPr algn="ctr"/>
                  <a:r>
                    <a:rPr lang="en-US" sz="900" b="1">
                      <a:solidFill>
                        <a:schemeClr val="bg1"/>
                      </a:solidFill>
                    </a:rPr>
                    <a:t>SUMMARY</a:t>
                  </a:r>
                </a:p>
              </xdr:txBody>
            </xdr:sp>
            <xdr:pic>
              <xdr:nvPicPr>
                <xdr:cNvPr id="92" name="Picture 91">
                  <a:hlinkClick xmlns:r="http://schemas.openxmlformats.org/officeDocument/2006/relationships" r:id="rId33"/>
                  <a:extLst>
                    <a:ext uri="{FF2B5EF4-FFF2-40B4-BE49-F238E27FC236}">
                      <a16:creationId xmlns:a16="http://schemas.microsoft.com/office/drawing/2014/main" id="{91D61D4D-22A8-07BA-51B8-B65643DC56C9}"/>
                    </a:ext>
                  </a:extLst>
                </xdr:cNvPr>
                <xdr:cNvPicPr>
                  <a:picLocks noChangeAspect="1" noChangeArrowheads="1"/>
                </xdr:cNvPicPr>
              </xdr:nvPicPr>
              <xdr:blipFill>
                <a:blip xmlns:r="http://schemas.openxmlformats.org/officeDocument/2006/relationships" r:embed="rId34" cstate="print">
                  <a:clrChange>
                    <a:clrFrom>
                      <a:srgbClr val="F8F8F8"/>
                    </a:clrFrom>
                    <a:clrTo>
                      <a:srgbClr val="F8F8F8">
                        <a:alpha val="0"/>
                      </a:srgbClr>
                    </a:clrTo>
                  </a:clrChange>
                  <a:extLst>
                    <a:ext uri="{28A0092B-C50C-407E-A947-70E740481C1C}">
                      <a14:useLocalDpi xmlns:a14="http://schemas.microsoft.com/office/drawing/2010/main" val="0"/>
                    </a:ext>
                  </a:extLst>
                </a:blip>
                <a:srcRect/>
                <a:stretch>
                  <a:fillRect/>
                </a:stretch>
              </xdr:blipFill>
              <xdr:spPr bwMode="auto">
                <a:xfrm>
                  <a:off x="4602713" y="384834"/>
                  <a:ext cx="326621" cy="3113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3" name="TextBox 92">
                  <a:hlinkClick xmlns:r="http://schemas.openxmlformats.org/officeDocument/2006/relationships" r:id="rId33"/>
                  <a:extLst>
                    <a:ext uri="{FF2B5EF4-FFF2-40B4-BE49-F238E27FC236}">
                      <a16:creationId xmlns:a16="http://schemas.microsoft.com/office/drawing/2014/main" id="{C597061E-3598-5DCE-F6D7-7B568D02200F}"/>
                    </a:ext>
                  </a:extLst>
                </xdr:cNvPr>
                <xdr:cNvSpPr txBox="1"/>
              </xdr:nvSpPr>
              <xdr:spPr>
                <a:xfrm>
                  <a:off x="4880678" y="423317"/>
                  <a:ext cx="56334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ASSETS</a:t>
                  </a:r>
                </a:p>
              </xdr:txBody>
            </xdr:sp>
            <xdr:pic>
              <xdr:nvPicPr>
                <xdr:cNvPr id="94" name="Picture 93">
                  <a:hlinkClick xmlns:r="http://schemas.openxmlformats.org/officeDocument/2006/relationships" r:id="rId35"/>
                  <a:extLst>
                    <a:ext uri="{FF2B5EF4-FFF2-40B4-BE49-F238E27FC236}">
                      <a16:creationId xmlns:a16="http://schemas.microsoft.com/office/drawing/2014/main" id="{56D0FD61-1A4F-EAB9-A809-99C60B706932}"/>
                    </a:ext>
                  </a:extLst>
                </xdr:cNvPr>
                <xdr:cNvPicPr>
                  <a:picLocks noChangeAspect="1" noChangeArrowheads="1"/>
                </xdr:cNvPicPr>
              </xdr:nvPicPr>
              <xdr:blipFill>
                <a:blip xmlns:r="http://schemas.openxmlformats.org/officeDocument/2006/relationships" r:embed="rId3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35903" y="354046"/>
                  <a:ext cx="278234" cy="3540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5" name="TextBox 94">
                  <a:hlinkClick xmlns:r="http://schemas.openxmlformats.org/officeDocument/2006/relationships" r:id="rId35"/>
                  <a:extLst>
                    <a:ext uri="{FF2B5EF4-FFF2-40B4-BE49-F238E27FC236}">
                      <a16:creationId xmlns:a16="http://schemas.microsoft.com/office/drawing/2014/main" id="{9F3F3B79-ABA9-7DDC-5731-0CC136418317}"/>
                    </a:ext>
                  </a:extLst>
                </xdr:cNvPr>
                <xdr:cNvSpPr txBox="1"/>
              </xdr:nvSpPr>
              <xdr:spPr>
                <a:xfrm>
                  <a:off x="5717678" y="431014"/>
                  <a:ext cx="750091"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LIABILITIES</a:t>
                  </a:r>
                </a:p>
              </xdr:txBody>
            </xdr:sp>
            <xdr:pic>
              <xdr:nvPicPr>
                <xdr:cNvPr id="96" name="Picture 95">
                  <a:hlinkClick xmlns:r="http://schemas.openxmlformats.org/officeDocument/2006/relationships" r:id="rId37"/>
                  <a:extLst>
                    <a:ext uri="{FF2B5EF4-FFF2-40B4-BE49-F238E27FC236}">
                      <a16:creationId xmlns:a16="http://schemas.microsoft.com/office/drawing/2014/main" id="{A059B12A-763C-F615-2CD9-145FBA95790E}"/>
                    </a:ext>
                  </a:extLst>
                </xdr:cNvPr>
                <xdr:cNvPicPr>
                  <a:picLocks noChangeAspect="1"/>
                </xdr:cNvPicPr>
              </xdr:nvPicPr>
              <xdr:blipFill>
                <a:blip xmlns:r="http://schemas.openxmlformats.org/officeDocument/2006/relationships" r:embed="rId38">
                  <a:clrChange>
                    <a:clrFrom>
                      <a:srgbClr val="FFFFFF"/>
                    </a:clrFrom>
                    <a:clrTo>
                      <a:srgbClr val="FFFFFF">
                        <a:alpha val="0"/>
                      </a:srgbClr>
                    </a:clrTo>
                  </a:clrChange>
                </a:blip>
                <a:stretch>
                  <a:fillRect/>
                </a:stretch>
              </xdr:blipFill>
              <xdr:spPr>
                <a:xfrm>
                  <a:off x="6454424" y="361268"/>
                  <a:ext cx="368693" cy="354523"/>
                </a:xfrm>
                <a:prstGeom prst="rect">
                  <a:avLst/>
                </a:prstGeom>
              </xdr:spPr>
            </xdr:pic>
            <xdr:sp macro="" textlink="">
              <xdr:nvSpPr>
                <xdr:cNvPr id="97" name="TextBox 96">
                  <a:hlinkClick xmlns:r="http://schemas.openxmlformats.org/officeDocument/2006/relationships" r:id="rId37"/>
                  <a:extLst>
                    <a:ext uri="{FF2B5EF4-FFF2-40B4-BE49-F238E27FC236}">
                      <a16:creationId xmlns:a16="http://schemas.microsoft.com/office/drawing/2014/main" id="{E90F9307-0B5F-4B19-CE43-6E94C6253247}"/>
                    </a:ext>
                  </a:extLst>
                </xdr:cNvPr>
                <xdr:cNvSpPr txBox="1"/>
              </xdr:nvSpPr>
              <xdr:spPr>
                <a:xfrm>
                  <a:off x="6742924" y="369440"/>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EDIT</a:t>
                  </a:r>
                </a:p>
                <a:p>
                  <a:r>
                    <a:rPr lang="en-US" sz="900" b="1">
                      <a:solidFill>
                        <a:schemeClr val="bg1"/>
                      </a:solidFill>
                    </a:rPr>
                    <a:t>CATEGORIES</a:t>
                  </a:r>
                </a:p>
              </xdr:txBody>
            </xdr:sp>
            <xdr:grpSp>
              <xdr:nvGrpSpPr>
                <xdr:cNvPr id="98" name="Group 97">
                  <a:hlinkClick xmlns:r="http://schemas.openxmlformats.org/officeDocument/2006/relationships" r:id="rId39"/>
                  <a:extLst>
                    <a:ext uri="{FF2B5EF4-FFF2-40B4-BE49-F238E27FC236}">
                      <a16:creationId xmlns:a16="http://schemas.microsoft.com/office/drawing/2014/main" id="{F68C41C6-E4F3-6E39-E670-C83847CC4D27}"/>
                    </a:ext>
                  </a:extLst>
                </xdr:cNvPr>
                <xdr:cNvGrpSpPr/>
              </xdr:nvGrpSpPr>
              <xdr:grpSpPr>
                <a:xfrm>
                  <a:off x="10231249" y="237461"/>
                  <a:ext cx="1281586" cy="502920"/>
                  <a:chOff x="11732389" y="237461"/>
                  <a:chExt cx="1281586" cy="502920"/>
                </a:xfrm>
              </xdr:grpSpPr>
              <xdr:pic>
                <xdr:nvPicPr>
                  <xdr:cNvPr id="99" name="Picture 98">
                    <a:hlinkClick xmlns:r="http://schemas.openxmlformats.org/officeDocument/2006/relationships" r:id="rId40"/>
                    <a:extLst>
                      <a:ext uri="{FF2B5EF4-FFF2-40B4-BE49-F238E27FC236}">
                        <a16:creationId xmlns:a16="http://schemas.microsoft.com/office/drawing/2014/main" id="{37B167C1-BCBE-CEA7-22ED-236455C85D2A}"/>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1732389" y="237461"/>
                    <a:ext cx="502920" cy="502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0" name="TextBox 99">
                    <a:hlinkClick xmlns:r="http://schemas.openxmlformats.org/officeDocument/2006/relationships" r:id="rId40"/>
                    <a:extLst>
                      <a:ext uri="{FF2B5EF4-FFF2-40B4-BE49-F238E27FC236}">
                        <a16:creationId xmlns:a16="http://schemas.microsoft.com/office/drawing/2014/main" id="{E90ADA3B-5EC0-C466-F96A-CD3FC88ED2BB}"/>
                      </a:ext>
                    </a:extLst>
                  </xdr:cNvPr>
                  <xdr:cNvSpPr txBox="1"/>
                </xdr:nvSpPr>
                <xdr:spPr>
                  <a:xfrm>
                    <a:off x="12197209" y="344142"/>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 GAME APPS</a:t>
                    </a:r>
                  </a:p>
                </xdr:txBody>
              </xdr:sp>
            </xdr:grpSp>
          </xdr:grpSp>
          <xdr:grpSp>
            <xdr:nvGrpSpPr>
              <xdr:cNvPr id="59" name="Group 58">
                <a:extLst>
                  <a:ext uri="{FF2B5EF4-FFF2-40B4-BE49-F238E27FC236}">
                    <a16:creationId xmlns:a16="http://schemas.microsoft.com/office/drawing/2014/main" id="{44371540-D15B-BE62-F1D0-FB13354542C4}"/>
                  </a:ext>
                </a:extLst>
              </xdr:cNvPr>
              <xdr:cNvGrpSpPr/>
            </xdr:nvGrpSpPr>
            <xdr:grpSpPr>
              <a:xfrm>
                <a:off x="3030070" y="313765"/>
                <a:ext cx="1219410" cy="438976"/>
                <a:chOff x="3030070" y="313765"/>
                <a:chExt cx="1219410" cy="438976"/>
              </a:xfrm>
            </xdr:grpSpPr>
            <xdr:sp macro="" textlink="">
              <xdr:nvSpPr>
                <xdr:cNvPr id="60" name="TextBox 59">
                  <a:hlinkClick xmlns:r="http://schemas.openxmlformats.org/officeDocument/2006/relationships" r:id="rId42"/>
                  <a:extLst>
                    <a:ext uri="{FF2B5EF4-FFF2-40B4-BE49-F238E27FC236}">
                      <a16:creationId xmlns:a16="http://schemas.microsoft.com/office/drawing/2014/main" id="{2963D76E-A2C3-1ED3-1C43-267AB905549B}"/>
                    </a:ext>
                  </a:extLst>
                </xdr:cNvPr>
                <xdr:cNvSpPr txBox="1"/>
              </xdr:nvSpPr>
              <xdr:spPr>
                <a:xfrm>
                  <a:off x="3307528" y="313765"/>
                  <a:ext cx="941952" cy="43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BOOK KEEPING</a:t>
                  </a:r>
                </a:p>
                <a:p>
                  <a:pPr algn="ctr"/>
                  <a:r>
                    <a:rPr lang="en-US" sz="900" b="1">
                      <a:solidFill>
                        <a:schemeClr val="bg1"/>
                      </a:solidFill>
                    </a:rPr>
                    <a:t>LEDGER</a:t>
                  </a:r>
                </a:p>
              </xdr:txBody>
            </xdr:sp>
            <xdr:pic>
              <xdr:nvPicPr>
                <xdr:cNvPr id="61" name="Picture 60">
                  <a:hlinkClick xmlns:r="http://schemas.openxmlformats.org/officeDocument/2006/relationships" r:id="rId42"/>
                  <a:extLst>
                    <a:ext uri="{FF2B5EF4-FFF2-40B4-BE49-F238E27FC236}">
                      <a16:creationId xmlns:a16="http://schemas.microsoft.com/office/drawing/2014/main" id="{4DFAD295-8ED1-4DE5-C94A-9EE09DA32B36}"/>
                    </a:ext>
                  </a:extLst>
                </xdr:cNvPr>
                <xdr:cNvPicPr>
                  <a:picLocks noChangeAspect="1"/>
                </xdr:cNvPicPr>
              </xdr:nvPicPr>
              <xdr:blipFill>
                <a:blip xmlns:r="http://schemas.openxmlformats.org/officeDocument/2006/relationships" r:embed="rId4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0070" y="367554"/>
                  <a:ext cx="327770" cy="349622"/>
                </a:xfrm>
                <a:prstGeom prst="rect">
                  <a:avLst/>
                </a:prstGeom>
              </xdr:spPr>
            </xdr:pic>
          </xdr:grpSp>
        </xdr:grpSp>
        <xdr:grpSp>
          <xdr:nvGrpSpPr>
            <xdr:cNvPr id="55" name="Group 54">
              <a:extLst>
                <a:ext uri="{FF2B5EF4-FFF2-40B4-BE49-F238E27FC236}">
                  <a16:creationId xmlns:a16="http://schemas.microsoft.com/office/drawing/2014/main" id="{051E02DD-6ECB-E4DD-D751-D10F03E4ECFA}"/>
                </a:ext>
              </a:extLst>
            </xdr:cNvPr>
            <xdr:cNvGrpSpPr/>
          </xdr:nvGrpSpPr>
          <xdr:grpSpPr>
            <a:xfrm>
              <a:off x="12626340" y="243840"/>
              <a:ext cx="1344125" cy="571500"/>
              <a:chOff x="12626340" y="243840"/>
              <a:chExt cx="1344125" cy="571500"/>
            </a:xfrm>
          </xdr:grpSpPr>
          <xdr:pic>
            <xdr:nvPicPr>
              <xdr:cNvPr id="56" name="Picture 55">
                <a:hlinkClick xmlns:r="http://schemas.openxmlformats.org/officeDocument/2006/relationships" r:id="rId44"/>
                <a:extLst>
                  <a:ext uri="{FF2B5EF4-FFF2-40B4-BE49-F238E27FC236}">
                    <a16:creationId xmlns:a16="http://schemas.microsoft.com/office/drawing/2014/main" id="{0C59C857-24B1-F9FE-3790-123AD7DBAB96}"/>
                  </a:ext>
                </a:extLst>
              </xdr:cNvPr>
              <xdr:cNvPicPr>
                <a:picLocks noChangeAspect="1" noChangeArrowheads="1"/>
              </xdr:cNvPicPr>
            </xdr:nvPicPr>
            <xdr:blipFill>
              <a:blip xmlns:r="http://schemas.openxmlformats.org/officeDocument/2006/relationships" r:embed="rId4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26340" y="243840"/>
                <a:ext cx="571500" cy="571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7" name="TextBox 56">
                <a:hlinkClick xmlns:r="http://schemas.openxmlformats.org/officeDocument/2006/relationships" r:id="rId44"/>
                <a:extLst>
                  <a:ext uri="{FF2B5EF4-FFF2-40B4-BE49-F238E27FC236}">
                    <a16:creationId xmlns:a16="http://schemas.microsoft.com/office/drawing/2014/main" id="{6E811C43-A5CD-829C-DCD4-6C8B3B9E223B}"/>
                  </a:ext>
                </a:extLst>
              </xdr:cNvPr>
              <xdr:cNvSpPr txBox="1"/>
            </xdr:nvSpPr>
            <xdr:spPr>
              <a:xfrm>
                <a:off x="13129260" y="327660"/>
                <a:ext cx="841205" cy="4000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TRAVEL</a:t>
                </a:r>
              </a:p>
              <a:p>
                <a:pPr algn="ctr"/>
                <a:r>
                  <a:rPr lang="en-US" sz="900" b="1">
                    <a:solidFill>
                      <a:schemeClr val="bg1"/>
                    </a:solidFill>
                  </a:rPr>
                  <a:t>SANDBOX</a:t>
                </a:r>
              </a:p>
            </xdr:txBody>
          </xdr:sp>
        </xdr:grpSp>
      </xdr:grpSp>
      <xdr:pic>
        <xdr:nvPicPr>
          <xdr:cNvPr id="53" name="Picture 52">
            <a:hlinkClick xmlns:r="http://schemas.openxmlformats.org/officeDocument/2006/relationships" r:id="rId12"/>
            <a:extLst>
              <a:ext uri="{FF2B5EF4-FFF2-40B4-BE49-F238E27FC236}">
                <a16:creationId xmlns:a16="http://schemas.microsoft.com/office/drawing/2014/main" id="{809BB93C-C7BA-19C6-0523-D41E5BB2CDDC}"/>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6134100" y="30480"/>
            <a:ext cx="234698" cy="246078"/>
          </a:xfrm>
          <a:prstGeom prst="rect">
            <a:avLst/>
          </a:prstGeom>
          <a:solidFill>
            <a:srgbClr val="7FA6C7"/>
          </a:solidFill>
        </xdr:spPr>
      </xdr:pic>
    </xdr:grpSp>
    <xdr:clientData/>
  </xdr:twoCellAnchor>
</xdr:wsDr>
</file>

<file path=xl/drawings/drawing39.xml><?xml version="1.0" encoding="utf-8"?>
<xdr:wsDr xmlns:xdr="http://schemas.openxmlformats.org/drawingml/2006/spreadsheetDrawing" xmlns:a="http://schemas.openxmlformats.org/drawingml/2006/main">
  <xdr:twoCellAnchor>
    <xdr:from>
      <xdr:col>6</xdr:col>
      <xdr:colOff>0</xdr:colOff>
      <xdr:row>0</xdr:row>
      <xdr:rowOff>0</xdr:rowOff>
    </xdr:from>
    <xdr:to>
      <xdr:col>26</xdr:col>
      <xdr:colOff>472197</xdr:colOff>
      <xdr:row>3</xdr:row>
      <xdr:rowOff>68580</xdr:rowOff>
    </xdr:to>
    <xdr:grpSp>
      <xdr:nvGrpSpPr>
        <xdr:cNvPr id="50" name="Group 49">
          <a:extLst>
            <a:ext uri="{FF2B5EF4-FFF2-40B4-BE49-F238E27FC236}">
              <a16:creationId xmlns:a16="http://schemas.microsoft.com/office/drawing/2014/main" id="{ECB6F11B-47D6-40A9-B4D9-B210A1D737CE}"/>
            </a:ext>
          </a:extLst>
        </xdr:cNvPr>
        <xdr:cNvGrpSpPr/>
      </xdr:nvGrpSpPr>
      <xdr:grpSpPr>
        <a:xfrm>
          <a:off x="3695700" y="0"/>
          <a:ext cx="11894577" cy="815340"/>
          <a:chOff x="2194560" y="0"/>
          <a:chExt cx="11894577" cy="815340"/>
        </a:xfrm>
      </xdr:grpSpPr>
      <xdr:grpSp>
        <xdr:nvGrpSpPr>
          <xdr:cNvPr id="51" name="Group 50">
            <a:extLst>
              <a:ext uri="{FF2B5EF4-FFF2-40B4-BE49-F238E27FC236}">
                <a16:creationId xmlns:a16="http://schemas.microsoft.com/office/drawing/2014/main" id="{0BC3B269-8B8C-5F7E-2B17-C0D6D5D46CE2}"/>
              </a:ext>
            </a:extLst>
          </xdr:cNvPr>
          <xdr:cNvGrpSpPr/>
        </xdr:nvGrpSpPr>
        <xdr:grpSpPr>
          <a:xfrm>
            <a:off x="2194560" y="0"/>
            <a:ext cx="11894577" cy="815340"/>
            <a:chOff x="2194560" y="0"/>
            <a:chExt cx="11894577" cy="815340"/>
          </a:xfrm>
        </xdr:grpSpPr>
        <xdr:grpSp>
          <xdr:nvGrpSpPr>
            <xdr:cNvPr id="53" name="Group 52">
              <a:extLst>
                <a:ext uri="{FF2B5EF4-FFF2-40B4-BE49-F238E27FC236}">
                  <a16:creationId xmlns:a16="http://schemas.microsoft.com/office/drawing/2014/main" id="{88B1D9D2-D117-291D-A08F-91E2CD62472E}"/>
                </a:ext>
              </a:extLst>
            </xdr:cNvPr>
            <xdr:cNvGrpSpPr/>
          </xdr:nvGrpSpPr>
          <xdr:grpSpPr>
            <a:xfrm>
              <a:off x="2194560" y="0"/>
              <a:ext cx="11894577" cy="773812"/>
              <a:chOff x="2160046" y="0"/>
              <a:chExt cx="11894577" cy="773812"/>
            </a:xfrm>
          </xdr:grpSpPr>
          <xdr:grpSp>
            <xdr:nvGrpSpPr>
              <xdr:cNvPr id="57" name="Group 56">
                <a:extLst>
                  <a:ext uri="{FF2B5EF4-FFF2-40B4-BE49-F238E27FC236}">
                    <a16:creationId xmlns:a16="http://schemas.microsoft.com/office/drawing/2014/main" id="{E397E37F-4D6D-C27C-2168-CB7A36CEEEB4}"/>
                  </a:ext>
                </a:extLst>
              </xdr:cNvPr>
              <xdr:cNvGrpSpPr/>
            </xdr:nvGrpSpPr>
            <xdr:grpSpPr>
              <a:xfrm>
                <a:off x="2160046" y="0"/>
                <a:ext cx="11894577" cy="773812"/>
                <a:chOff x="1310640" y="0"/>
                <a:chExt cx="11549013" cy="764847"/>
              </a:xfrm>
            </xdr:grpSpPr>
            <xdr:pic>
              <xdr:nvPicPr>
                <xdr:cNvPr id="61" name="Picture 60">
                  <a:hlinkClick xmlns:r="http://schemas.openxmlformats.org/officeDocument/2006/relationships" r:id="rId1"/>
                  <a:extLst>
                    <a:ext uri="{FF2B5EF4-FFF2-40B4-BE49-F238E27FC236}">
                      <a16:creationId xmlns:a16="http://schemas.microsoft.com/office/drawing/2014/main" id="{AC40D7A0-0532-6236-9B92-BF991808D6CB}"/>
                    </a:ext>
                  </a:extLst>
                </xdr:cNvPr>
                <xdr:cNvPicPr>
                  <a:picLocks/>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rcRect/>
                <a:stretch/>
              </xdr:blipFill>
              <xdr:spPr>
                <a:xfrm>
                  <a:off x="1310640" y="46180"/>
                  <a:ext cx="499211" cy="554546"/>
                </a:xfrm>
                <a:prstGeom prst="rect">
                  <a:avLst/>
                </a:prstGeom>
              </xdr:spPr>
            </xdr:pic>
            <xdr:pic>
              <xdr:nvPicPr>
                <xdr:cNvPr id="62" name="Picture 61">
                  <a:hlinkClick xmlns:r="http://schemas.openxmlformats.org/officeDocument/2006/relationships" r:id="rId3"/>
                  <a:extLst>
                    <a:ext uri="{FF2B5EF4-FFF2-40B4-BE49-F238E27FC236}">
                      <a16:creationId xmlns:a16="http://schemas.microsoft.com/office/drawing/2014/main" id="{B5C77E49-9AB1-EE78-3B3D-11CE66DF0266}"/>
                    </a:ext>
                  </a:extLst>
                </xdr:cNvPr>
                <xdr:cNvPicPr>
                  <a:picLocks noChangeAspect="1" noChangeArrowheads="1"/>
                </xdr:cNvPicPr>
              </xdr:nvPicPr>
              <xdr:blipFill>
                <a:blip xmlns:r="http://schemas.openxmlformats.org/officeDocument/2006/relationships" r:embed="rId4" cstate="print">
                  <a:alphaModFix/>
                  <a:extLst>
                    <a:ext uri="{28A0092B-C50C-407E-A947-70E740481C1C}">
                      <a14:useLocalDpi xmlns:a14="http://schemas.microsoft.com/office/drawing/2010/main" val="0"/>
                    </a:ext>
                  </a:extLst>
                </a:blip>
                <a:srcRect/>
                <a:stretch>
                  <a:fillRect/>
                </a:stretch>
              </xdr:blipFill>
              <xdr:spPr bwMode="auto">
                <a:xfrm>
                  <a:off x="2163693" y="30823"/>
                  <a:ext cx="214188" cy="2260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3" name="TextBox 62">
                  <a:hlinkClick xmlns:r="http://schemas.openxmlformats.org/officeDocument/2006/relationships" r:id="rId3"/>
                  <a:extLst>
                    <a:ext uri="{FF2B5EF4-FFF2-40B4-BE49-F238E27FC236}">
                      <a16:creationId xmlns:a16="http://schemas.microsoft.com/office/drawing/2014/main" id="{EDE51FFF-0A26-C1D8-7A29-E361B11FD9B5}"/>
                    </a:ext>
                  </a:extLst>
                </xdr:cNvPr>
                <xdr:cNvSpPr txBox="1"/>
              </xdr:nvSpPr>
              <xdr:spPr>
                <a:xfrm>
                  <a:off x="2369194" y="17046"/>
                  <a:ext cx="846446" cy="25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US" sz="900" b="1">
                      <a:solidFill>
                        <a:schemeClr val="bg1"/>
                      </a:solidFill>
                    </a:rPr>
                    <a:t>DASHBOARD</a:t>
                  </a:r>
                </a:p>
              </xdr:txBody>
            </xdr:sp>
            <xdr:pic>
              <xdr:nvPicPr>
                <xdr:cNvPr id="64" name="Picture 63">
                  <a:hlinkClick xmlns:r="http://schemas.openxmlformats.org/officeDocument/2006/relationships" r:id="rId5"/>
                  <a:extLst>
                    <a:ext uri="{FF2B5EF4-FFF2-40B4-BE49-F238E27FC236}">
                      <a16:creationId xmlns:a16="http://schemas.microsoft.com/office/drawing/2014/main" id="{A0D7F9EF-94FA-7385-A5CF-BC68D9F0F1B8}"/>
                    </a:ext>
                  </a:extLst>
                </xdr:cNvPr>
                <xdr:cNvPicPr>
                  <a:picLocks noChangeAspect="1" noChangeArrowheads="1"/>
                </xdr:cNvPicPr>
              </xdr:nvPicPr>
              <xdr:blipFill>
                <a:blip xmlns:r="http://schemas.openxmlformats.org/officeDocument/2006/relationships" r:embed="rId6" cstate="print">
                  <a:alphaModFix/>
                  <a:extLst>
                    <a:ext uri="{28A0092B-C50C-407E-A947-70E740481C1C}">
                      <a14:useLocalDpi xmlns:a14="http://schemas.microsoft.com/office/drawing/2010/main" val="0"/>
                    </a:ext>
                  </a:extLst>
                </a:blip>
                <a:srcRect/>
                <a:stretch>
                  <a:fillRect/>
                </a:stretch>
              </xdr:blipFill>
              <xdr:spPr bwMode="auto">
                <a:xfrm>
                  <a:off x="8461655" y="433462"/>
                  <a:ext cx="214188" cy="20819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5" name="TextBox 64">
                  <a:hlinkClick xmlns:r="http://schemas.openxmlformats.org/officeDocument/2006/relationships" r:id="rId5"/>
                  <a:extLst>
                    <a:ext uri="{FF2B5EF4-FFF2-40B4-BE49-F238E27FC236}">
                      <a16:creationId xmlns:a16="http://schemas.microsoft.com/office/drawing/2014/main" id="{BF151E29-BF1D-A674-2531-1A9771372B9C}"/>
                    </a:ext>
                  </a:extLst>
                </xdr:cNvPr>
                <xdr:cNvSpPr txBox="1"/>
              </xdr:nvSpPr>
              <xdr:spPr>
                <a:xfrm>
                  <a:off x="8647283" y="413913"/>
                  <a:ext cx="56836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REPORTS</a:t>
                  </a:r>
                </a:p>
              </xdr:txBody>
            </xdr:sp>
            <xdr:pic>
              <xdr:nvPicPr>
                <xdr:cNvPr id="66" name="Picture 65">
                  <a:hlinkClick xmlns:r="http://schemas.openxmlformats.org/officeDocument/2006/relationships" r:id="rId7"/>
                  <a:extLst>
                    <a:ext uri="{FF2B5EF4-FFF2-40B4-BE49-F238E27FC236}">
                      <a16:creationId xmlns:a16="http://schemas.microsoft.com/office/drawing/2014/main" id="{E002DCCB-25F3-8F43-C804-2395FFE3B7BD}"/>
                    </a:ext>
                  </a:extLst>
                </xdr:cNvPr>
                <xdr:cNvPicPr>
                  <a:picLocks noChangeAspect="1"/>
                </xdr:cNvPicPr>
              </xdr:nvPicPr>
              <xdr:blipFill>
                <a:blip xmlns:r="http://schemas.openxmlformats.org/officeDocument/2006/relationships" r:embed="rId8" cstate="print">
                  <a:alphaModFix/>
                  <a:extLst>
                    <a:ext uri="{28A0092B-C50C-407E-A947-70E740481C1C}">
                      <a14:useLocalDpi xmlns:a14="http://schemas.microsoft.com/office/drawing/2010/main" val="0"/>
                    </a:ext>
                  </a:extLst>
                </a:blip>
                <a:stretch>
                  <a:fillRect/>
                </a:stretch>
              </xdr:blipFill>
              <xdr:spPr>
                <a:xfrm>
                  <a:off x="6903860" y="19549"/>
                  <a:ext cx="214187" cy="248554"/>
                </a:xfrm>
                <a:prstGeom prst="rect">
                  <a:avLst/>
                </a:prstGeom>
              </xdr:spPr>
            </xdr:pic>
            <xdr:sp macro="" textlink="">
              <xdr:nvSpPr>
                <xdr:cNvPr id="67" name="TextBox 66">
                  <a:hlinkClick xmlns:r="http://schemas.openxmlformats.org/officeDocument/2006/relationships" r:id="rId7"/>
                  <a:extLst>
                    <a:ext uri="{FF2B5EF4-FFF2-40B4-BE49-F238E27FC236}">
                      <a16:creationId xmlns:a16="http://schemas.microsoft.com/office/drawing/2014/main" id="{BFE95A18-2D01-0582-4F19-E9E98B96D785}"/>
                    </a:ext>
                  </a:extLst>
                </xdr:cNvPr>
                <xdr:cNvSpPr txBox="1"/>
              </xdr:nvSpPr>
              <xdr:spPr>
                <a:xfrm>
                  <a:off x="7099062" y="0"/>
                  <a:ext cx="67589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MORTGAGE</a:t>
                  </a:r>
                </a:p>
              </xdr:txBody>
            </xdr:sp>
            <xdr:sp macro="" textlink="">
              <xdr:nvSpPr>
                <xdr:cNvPr id="68" name="TextBox 67">
                  <a:hlinkClick xmlns:r="http://schemas.openxmlformats.org/officeDocument/2006/relationships" r:id="rId9"/>
                  <a:extLst>
                    <a:ext uri="{FF2B5EF4-FFF2-40B4-BE49-F238E27FC236}">
                      <a16:creationId xmlns:a16="http://schemas.microsoft.com/office/drawing/2014/main" id="{8ECDE01E-39A2-263D-1E11-A4BEF41C9E78}"/>
                    </a:ext>
                  </a:extLst>
                </xdr:cNvPr>
                <xdr:cNvSpPr txBox="1"/>
              </xdr:nvSpPr>
              <xdr:spPr>
                <a:xfrm>
                  <a:off x="6375474" y="0"/>
                  <a:ext cx="381400"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DEBT</a:t>
                  </a:r>
                </a:p>
              </xdr:txBody>
            </xdr:sp>
            <xdr:pic>
              <xdr:nvPicPr>
                <xdr:cNvPr id="69" name="Picture 68">
                  <a:hlinkClick xmlns:r="http://schemas.openxmlformats.org/officeDocument/2006/relationships" r:id="rId9"/>
                  <a:extLst>
                    <a:ext uri="{FF2B5EF4-FFF2-40B4-BE49-F238E27FC236}">
                      <a16:creationId xmlns:a16="http://schemas.microsoft.com/office/drawing/2014/main" id="{FC461D5A-1655-F428-0013-8D34CD36906B}"/>
                    </a:ext>
                  </a:extLst>
                </xdr:cNvPr>
                <xdr:cNvPicPr>
                  <a:picLocks noChangeAspect="1"/>
                </xdr:cNvPicPr>
              </xdr:nvPicPr>
              <xdr:blipFill>
                <a:blip xmlns:r="http://schemas.openxmlformats.org/officeDocument/2006/relationships" r:embed="rId10" cstate="print">
                  <a:alphaModFix/>
                  <a:extLst>
                    <a:ext uri="{28A0092B-C50C-407E-A947-70E740481C1C}">
                      <a14:useLocalDpi xmlns:a14="http://schemas.microsoft.com/office/drawing/2010/main" val="0"/>
                    </a:ext>
                  </a:extLst>
                </a:blip>
                <a:stretch>
                  <a:fillRect/>
                </a:stretch>
              </xdr:blipFill>
              <xdr:spPr>
                <a:xfrm>
                  <a:off x="6158378" y="19549"/>
                  <a:ext cx="214188" cy="248554"/>
                </a:xfrm>
                <a:prstGeom prst="rect">
                  <a:avLst/>
                </a:prstGeom>
              </xdr:spPr>
            </xdr:pic>
            <xdr:sp macro="" textlink="">
              <xdr:nvSpPr>
                <xdr:cNvPr id="70" name="TextBox 69">
                  <a:hlinkClick xmlns:r="http://schemas.openxmlformats.org/officeDocument/2006/relationships" r:id="rId11"/>
                  <a:extLst>
                    <a:ext uri="{FF2B5EF4-FFF2-40B4-BE49-F238E27FC236}">
                      <a16:creationId xmlns:a16="http://schemas.microsoft.com/office/drawing/2014/main" id="{F1CE166E-EE94-2BC5-8492-EBADC709F4ED}"/>
                    </a:ext>
                  </a:extLst>
                </xdr:cNvPr>
                <xdr:cNvSpPr txBox="1"/>
              </xdr:nvSpPr>
              <xdr:spPr>
                <a:xfrm>
                  <a:off x="5370816" y="37659"/>
                  <a:ext cx="64057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FORECASTS</a:t>
                  </a:r>
                </a:p>
              </xdr:txBody>
            </xdr:sp>
            <xdr:sp macro="" textlink="">
              <xdr:nvSpPr>
                <xdr:cNvPr id="71" name="TextBox 70">
                  <a:hlinkClick xmlns:r="http://schemas.openxmlformats.org/officeDocument/2006/relationships" r:id="rId12"/>
                  <a:extLst>
                    <a:ext uri="{FF2B5EF4-FFF2-40B4-BE49-F238E27FC236}">
                      <a16:creationId xmlns:a16="http://schemas.microsoft.com/office/drawing/2014/main" id="{EBA4A24E-5B92-8EAD-6D8E-703DF2C24647}"/>
                    </a:ext>
                  </a:extLst>
                </xdr:cNvPr>
                <xdr:cNvSpPr txBox="1"/>
              </xdr:nvSpPr>
              <xdr:spPr>
                <a:xfrm>
                  <a:off x="8104032" y="0"/>
                  <a:ext cx="7732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a:t>
                  </a:r>
                  <a:r>
                    <a:rPr lang="en-US" sz="900" b="1" baseline="0">
                      <a:solidFill>
                        <a:schemeClr val="bg1"/>
                      </a:solidFill>
                    </a:rPr>
                    <a:t> (M)</a:t>
                  </a:r>
                  <a:endParaRPr lang="en-US" sz="900" b="1">
                    <a:solidFill>
                      <a:schemeClr val="bg1"/>
                    </a:solidFill>
                  </a:endParaRPr>
                </a:p>
              </xdr:txBody>
            </xdr:sp>
            <xdr:pic>
              <xdr:nvPicPr>
                <xdr:cNvPr id="72" name="Picture 71">
                  <a:hlinkClick xmlns:r="http://schemas.openxmlformats.org/officeDocument/2006/relationships" r:id="rId12"/>
                  <a:extLst>
                    <a:ext uri="{FF2B5EF4-FFF2-40B4-BE49-F238E27FC236}">
                      <a16:creationId xmlns:a16="http://schemas.microsoft.com/office/drawing/2014/main" id="{B6588FB9-A495-F980-81D4-43620CBDFF82}"/>
                    </a:ext>
                  </a:extLst>
                </xdr:cNvPr>
                <xdr:cNvPicPr>
                  <a:picLocks noChangeAspect="1"/>
                </xdr:cNvPicPr>
              </xdr:nvPicPr>
              <xdr:blipFill>
                <a:blip xmlns:r="http://schemas.openxmlformats.org/officeDocument/2006/relationships" r:embed="rId13" cstate="print">
                  <a:alphaModFix/>
                  <a:extLst>
                    <a:ext uri="{28A0092B-C50C-407E-A947-70E740481C1C}">
                      <a14:useLocalDpi xmlns:a14="http://schemas.microsoft.com/office/drawing/2010/main" val="0"/>
                    </a:ext>
                  </a:extLst>
                </a:blip>
                <a:stretch>
                  <a:fillRect/>
                </a:stretch>
              </xdr:blipFill>
              <xdr:spPr>
                <a:xfrm>
                  <a:off x="7921943" y="19549"/>
                  <a:ext cx="214188" cy="248554"/>
                </a:xfrm>
                <a:prstGeom prst="rect">
                  <a:avLst/>
                </a:prstGeom>
              </xdr:spPr>
            </xdr:pic>
            <xdr:sp macro="" textlink="">
              <xdr:nvSpPr>
                <xdr:cNvPr id="73" name="TextBox 72">
                  <a:hlinkClick xmlns:r="http://schemas.openxmlformats.org/officeDocument/2006/relationships" r:id="rId14"/>
                  <a:extLst>
                    <a:ext uri="{FF2B5EF4-FFF2-40B4-BE49-F238E27FC236}">
                      <a16:creationId xmlns:a16="http://schemas.microsoft.com/office/drawing/2014/main" id="{9070679C-8009-6D47-4D9E-992A0B6A57C0}"/>
                    </a:ext>
                  </a:extLst>
                </xdr:cNvPr>
                <xdr:cNvSpPr txBox="1"/>
              </xdr:nvSpPr>
              <xdr:spPr>
                <a:xfrm>
                  <a:off x="9978309" y="0"/>
                  <a:ext cx="687187"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 (Y)</a:t>
                  </a:r>
                </a:p>
              </xdr:txBody>
            </xdr:sp>
            <xdr:pic>
              <xdr:nvPicPr>
                <xdr:cNvPr id="74" name="Picture 73">
                  <a:hlinkClick xmlns:r="http://schemas.openxmlformats.org/officeDocument/2006/relationships" r:id="rId14"/>
                  <a:extLst>
                    <a:ext uri="{FF2B5EF4-FFF2-40B4-BE49-F238E27FC236}">
                      <a16:creationId xmlns:a16="http://schemas.microsoft.com/office/drawing/2014/main" id="{38590C5A-6D89-89BA-01F9-8629826AB493}"/>
                    </a:ext>
                  </a:extLst>
                </xdr:cNvPr>
                <xdr:cNvPicPr>
                  <a:picLocks noChangeAspect="1"/>
                </xdr:cNvPicPr>
              </xdr:nvPicPr>
              <xdr:blipFill>
                <a:blip xmlns:r="http://schemas.openxmlformats.org/officeDocument/2006/relationships" r:embed="rId15" cstate="print">
                  <a:alphaModFix/>
                  <a:extLst>
                    <a:ext uri="{28A0092B-C50C-407E-A947-70E740481C1C}">
                      <a14:useLocalDpi xmlns:a14="http://schemas.microsoft.com/office/drawing/2010/main" val="0"/>
                    </a:ext>
                  </a:extLst>
                </a:blip>
                <a:stretch>
                  <a:fillRect/>
                </a:stretch>
              </xdr:blipFill>
              <xdr:spPr>
                <a:xfrm>
                  <a:off x="9777770" y="19549"/>
                  <a:ext cx="214188" cy="248554"/>
                </a:xfrm>
                <a:prstGeom prst="rect">
                  <a:avLst/>
                </a:prstGeom>
              </xdr:spPr>
            </xdr:pic>
            <xdr:sp macro="" textlink="">
              <xdr:nvSpPr>
                <xdr:cNvPr id="75" name="TextBox 74">
                  <a:hlinkClick xmlns:r="http://schemas.openxmlformats.org/officeDocument/2006/relationships" r:id="rId16"/>
                  <a:extLst>
                    <a:ext uri="{FF2B5EF4-FFF2-40B4-BE49-F238E27FC236}">
                      <a16:creationId xmlns:a16="http://schemas.microsoft.com/office/drawing/2014/main" id="{03633955-D590-5A1B-4B91-DDE81EB3A0E0}"/>
                    </a:ext>
                  </a:extLst>
                </xdr:cNvPr>
                <xdr:cNvSpPr txBox="1"/>
              </xdr:nvSpPr>
              <xdr:spPr>
                <a:xfrm>
                  <a:off x="9133984" y="0"/>
                  <a:ext cx="49680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VERSUS</a:t>
                  </a:r>
                </a:p>
              </xdr:txBody>
            </xdr:sp>
            <xdr:pic>
              <xdr:nvPicPr>
                <xdr:cNvPr id="76" name="Picture 75">
                  <a:hlinkClick xmlns:r="http://schemas.openxmlformats.org/officeDocument/2006/relationships" r:id="rId16"/>
                  <a:extLst>
                    <a:ext uri="{FF2B5EF4-FFF2-40B4-BE49-F238E27FC236}">
                      <a16:creationId xmlns:a16="http://schemas.microsoft.com/office/drawing/2014/main" id="{A24B82C0-0F42-9F19-A107-749E4A92D6E0}"/>
                    </a:ext>
                  </a:extLst>
                </xdr:cNvPr>
                <xdr:cNvPicPr>
                  <a:picLocks noChangeAspect="1"/>
                </xdr:cNvPicPr>
              </xdr:nvPicPr>
              <xdr:blipFill>
                <a:blip xmlns:r="http://schemas.openxmlformats.org/officeDocument/2006/relationships" r:embed="rId17" cstate="print">
                  <a:alphaModFix/>
                  <a:extLst>
                    <a:ext uri="{28A0092B-C50C-407E-A947-70E740481C1C}">
                      <a14:useLocalDpi xmlns:a14="http://schemas.microsoft.com/office/drawing/2010/main" val="0"/>
                    </a:ext>
                  </a:extLst>
                </a:blip>
                <a:stretch>
                  <a:fillRect/>
                </a:stretch>
              </xdr:blipFill>
              <xdr:spPr>
                <a:xfrm>
                  <a:off x="8938203" y="19549"/>
                  <a:ext cx="214187" cy="248554"/>
                </a:xfrm>
                <a:prstGeom prst="rect">
                  <a:avLst/>
                </a:prstGeom>
              </xdr:spPr>
            </xdr:pic>
            <xdr:sp macro="" textlink="">
              <xdr:nvSpPr>
                <xdr:cNvPr id="77" name="TextBox 76">
                  <a:hlinkClick xmlns:r="http://schemas.openxmlformats.org/officeDocument/2006/relationships" r:id="rId18"/>
                  <a:extLst>
                    <a:ext uri="{FF2B5EF4-FFF2-40B4-BE49-F238E27FC236}">
                      <a16:creationId xmlns:a16="http://schemas.microsoft.com/office/drawing/2014/main" id="{4725D93B-B720-445A-B017-42064CD66115}"/>
                    </a:ext>
                  </a:extLst>
                </xdr:cNvPr>
                <xdr:cNvSpPr txBox="1"/>
              </xdr:nvSpPr>
              <xdr:spPr>
                <a:xfrm>
                  <a:off x="3510385" y="0"/>
                  <a:ext cx="52312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REPAIRS</a:t>
                  </a:r>
                </a:p>
              </xdr:txBody>
            </xdr:sp>
            <xdr:pic>
              <xdr:nvPicPr>
                <xdr:cNvPr id="78" name="Picture 77">
                  <a:hlinkClick xmlns:r="http://schemas.openxmlformats.org/officeDocument/2006/relationships" r:id="rId18"/>
                  <a:extLst>
                    <a:ext uri="{FF2B5EF4-FFF2-40B4-BE49-F238E27FC236}">
                      <a16:creationId xmlns:a16="http://schemas.microsoft.com/office/drawing/2014/main" id="{D73B65CB-1E57-EA94-ABA3-86019EEF6CF1}"/>
                    </a:ext>
                  </a:extLst>
                </xdr:cNvPr>
                <xdr:cNvPicPr>
                  <a:picLocks noChangeAspect="1"/>
                </xdr:cNvPicPr>
              </xdr:nvPicPr>
              <xdr:blipFill>
                <a:blip xmlns:r="http://schemas.openxmlformats.org/officeDocument/2006/relationships" r:embed="rId19" cstate="print">
                  <a:alphaModFix/>
                  <a:extLst>
                    <a:ext uri="{28A0092B-C50C-407E-A947-70E740481C1C}">
                      <a14:useLocalDpi xmlns:a14="http://schemas.microsoft.com/office/drawing/2010/main" val="0"/>
                    </a:ext>
                  </a:extLst>
                </a:blip>
                <a:stretch>
                  <a:fillRect/>
                </a:stretch>
              </xdr:blipFill>
              <xdr:spPr>
                <a:xfrm>
                  <a:off x="3296296" y="28376"/>
                  <a:ext cx="214435" cy="230900"/>
                </a:xfrm>
                <a:prstGeom prst="rect">
                  <a:avLst/>
                </a:prstGeom>
              </xdr:spPr>
            </xdr:pic>
            <xdr:sp macro="" textlink="">
              <xdr:nvSpPr>
                <xdr:cNvPr id="79" name="TextBox 78">
                  <a:hlinkClick xmlns:r="http://schemas.openxmlformats.org/officeDocument/2006/relationships" r:id="rId20"/>
                  <a:extLst>
                    <a:ext uri="{FF2B5EF4-FFF2-40B4-BE49-F238E27FC236}">
                      <a16:creationId xmlns:a16="http://schemas.microsoft.com/office/drawing/2014/main" id="{F651220F-9178-6CA1-1B50-8D9C9938859D}"/>
                    </a:ext>
                  </a:extLst>
                </xdr:cNvPr>
                <xdr:cNvSpPr txBox="1"/>
              </xdr:nvSpPr>
              <xdr:spPr>
                <a:xfrm>
                  <a:off x="4388587" y="0"/>
                  <a:ext cx="63170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FURNITURE</a:t>
                  </a:r>
                </a:p>
              </xdr:txBody>
            </xdr:sp>
            <xdr:pic>
              <xdr:nvPicPr>
                <xdr:cNvPr id="80" name="Picture 79">
                  <a:hlinkClick xmlns:r="http://schemas.openxmlformats.org/officeDocument/2006/relationships" r:id="rId20"/>
                  <a:extLst>
                    <a:ext uri="{FF2B5EF4-FFF2-40B4-BE49-F238E27FC236}">
                      <a16:creationId xmlns:a16="http://schemas.microsoft.com/office/drawing/2014/main" id="{A6A39FEF-6EA4-A713-7918-CE0BD4A66360}"/>
                    </a:ext>
                  </a:extLst>
                </xdr:cNvPr>
                <xdr:cNvPicPr>
                  <a:picLocks noChangeAspect="1"/>
                </xdr:cNvPicPr>
              </xdr:nvPicPr>
              <xdr:blipFill>
                <a:blip xmlns:r="http://schemas.openxmlformats.org/officeDocument/2006/relationships" r:embed="rId21" cstate="print">
                  <a:alphaModFix/>
                  <a:extLst>
                    <a:ext uri="{28A0092B-C50C-407E-A947-70E740481C1C}">
                      <a14:useLocalDpi xmlns:a14="http://schemas.microsoft.com/office/drawing/2010/main" val="0"/>
                    </a:ext>
                  </a:extLst>
                </a:blip>
                <a:stretch>
                  <a:fillRect/>
                </a:stretch>
              </xdr:blipFill>
              <xdr:spPr>
                <a:xfrm>
                  <a:off x="4180491" y="28376"/>
                  <a:ext cx="214435" cy="230900"/>
                </a:xfrm>
                <a:prstGeom prst="rect">
                  <a:avLst/>
                </a:prstGeom>
              </xdr:spPr>
            </xdr:pic>
            <xdr:pic>
              <xdr:nvPicPr>
                <xdr:cNvPr id="81" name="Picture 80">
                  <a:hlinkClick xmlns:r="http://schemas.openxmlformats.org/officeDocument/2006/relationships" r:id="rId22"/>
                  <a:extLst>
                    <a:ext uri="{FF2B5EF4-FFF2-40B4-BE49-F238E27FC236}">
                      <a16:creationId xmlns:a16="http://schemas.microsoft.com/office/drawing/2014/main" id="{D4C1846B-F274-333C-7FE6-E0C592720921}"/>
                    </a:ext>
                  </a:extLst>
                </xdr:cNvPr>
                <xdr:cNvPicPr>
                  <a:picLocks noChangeAspect="1"/>
                </xdr:cNvPicPr>
              </xdr:nvPicPr>
              <xdr:blipFill>
                <a:blip xmlns:r="http://schemas.openxmlformats.org/officeDocument/2006/relationships" r:embed="rId23" cstate="print">
                  <a:alphaModFix/>
                  <a:extLst>
                    <a:ext uri="{28A0092B-C50C-407E-A947-70E740481C1C}">
                      <a14:useLocalDpi xmlns:a14="http://schemas.microsoft.com/office/drawing/2010/main" val="0"/>
                    </a:ext>
                  </a:extLst>
                </a:blip>
                <a:stretch>
                  <a:fillRect/>
                </a:stretch>
              </xdr:blipFill>
              <xdr:spPr>
                <a:xfrm>
                  <a:off x="10812480" y="19549"/>
                  <a:ext cx="214188" cy="248554"/>
                </a:xfrm>
                <a:prstGeom prst="rect">
                  <a:avLst/>
                </a:prstGeom>
              </xdr:spPr>
            </xdr:pic>
            <xdr:sp macro="" textlink="">
              <xdr:nvSpPr>
                <xdr:cNvPr id="82" name="TextBox 81">
                  <a:hlinkClick xmlns:r="http://schemas.openxmlformats.org/officeDocument/2006/relationships" r:id="rId22"/>
                  <a:extLst>
                    <a:ext uri="{FF2B5EF4-FFF2-40B4-BE49-F238E27FC236}">
                      <a16:creationId xmlns:a16="http://schemas.microsoft.com/office/drawing/2014/main" id="{FEB95ACD-6B84-0DB3-CD23-981CADC66527}"/>
                    </a:ext>
                  </a:extLst>
                </xdr:cNvPr>
                <xdr:cNvSpPr txBox="1"/>
              </xdr:nvSpPr>
              <xdr:spPr>
                <a:xfrm>
                  <a:off x="11008843" y="0"/>
                  <a:ext cx="40705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PEERS</a:t>
                  </a:r>
                </a:p>
              </xdr:txBody>
            </xdr:sp>
            <xdr:sp macro="" textlink="">
              <xdr:nvSpPr>
                <xdr:cNvPr id="83" name="TextBox 82">
                  <a:hlinkClick xmlns:r="http://schemas.openxmlformats.org/officeDocument/2006/relationships" r:id="rId24"/>
                  <a:extLst>
                    <a:ext uri="{FF2B5EF4-FFF2-40B4-BE49-F238E27FC236}">
                      <a16:creationId xmlns:a16="http://schemas.microsoft.com/office/drawing/2014/main" id="{B3E152FC-38E2-64D3-135B-C5BD110B0D4D}"/>
                    </a:ext>
                  </a:extLst>
                </xdr:cNvPr>
                <xdr:cNvSpPr txBox="1"/>
              </xdr:nvSpPr>
              <xdr:spPr>
                <a:xfrm>
                  <a:off x="9581756" y="397481"/>
                  <a:ext cx="656781"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MAX PRICE</a:t>
                  </a:r>
                </a:p>
              </xdr:txBody>
            </xdr:sp>
            <xdr:pic>
              <xdr:nvPicPr>
                <xdr:cNvPr id="84" name="Picture 83">
                  <a:hlinkClick xmlns:r="http://schemas.openxmlformats.org/officeDocument/2006/relationships" r:id="rId24"/>
                  <a:extLst>
                    <a:ext uri="{FF2B5EF4-FFF2-40B4-BE49-F238E27FC236}">
                      <a16:creationId xmlns:a16="http://schemas.microsoft.com/office/drawing/2014/main" id="{AE4A4042-002A-417F-B7DD-B0DB1CCB9AC7}"/>
                    </a:ext>
                  </a:extLst>
                </xdr:cNvPr>
                <xdr:cNvPicPr>
                  <a:picLocks noChangeAspect="1"/>
                </xdr:cNvPicPr>
              </xdr:nvPicPr>
              <xdr:blipFill>
                <a:blip xmlns:r="http://schemas.openxmlformats.org/officeDocument/2006/relationships" r:embed="rId25" cstate="print">
                  <a:alphaModFix/>
                  <a:extLst>
                    <a:ext uri="{28A0092B-C50C-407E-A947-70E740481C1C}">
                      <a14:useLocalDpi xmlns:a14="http://schemas.microsoft.com/office/drawing/2010/main" val="0"/>
                    </a:ext>
                  </a:extLst>
                </a:blip>
                <a:stretch>
                  <a:fillRect/>
                </a:stretch>
              </xdr:blipFill>
              <xdr:spPr>
                <a:xfrm>
                  <a:off x="9433997" y="425857"/>
                  <a:ext cx="214435" cy="230900"/>
                </a:xfrm>
                <a:prstGeom prst="rect">
                  <a:avLst/>
                </a:prstGeom>
              </xdr:spPr>
            </xdr:pic>
            <xdr:sp macro="" textlink="">
              <xdr:nvSpPr>
                <xdr:cNvPr id="85" name="TextBox 84">
                  <a:hlinkClick xmlns:r="http://schemas.openxmlformats.org/officeDocument/2006/relationships" r:id="rId26"/>
                  <a:extLst>
                    <a:ext uri="{FF2B5EF4-FFF2-40B4-BE49-F238E27FC236}">
                      <a16:creationId xmlns:a16="http://schemas.microsoft.com/office/drawing/2014/main" id="{7C1544FE-07B4-0170-6F5B-3BA41D0C6D93}"/>
                    </a:ext>
                  </a:extLst>
                </xdr:cNvPr>
                <xdr:cNvSpPr txBox="1"/>
              </xdr:nvSpPr>
              <xdr:spPr>
                <a:xfrm>
                  <a:off x="7733272" y="389861"/>
                  <a:ext cx="6384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SCENARIOS</a:t>
                  </a:r>
                </a:p>
              </xdr:txBody>
            </xdr:sp>
            <xdr:pic>
              <xdr:nvPicPr>
                <xdr:cNvPr id="86" name="Picture 85">
                  <a:hlinkClick xmlns:r="http://schemas.openxmlformats.org/officeDocument/2006/relationships" r:id="rId26"/>
                  <a:extLst>
                    <a:ext uri="{FF2B5EF4-FFF2-40B4-BE49-F238E27FC236}">
                      <a16:creationId xmlns:a16="http://schemas.microsoft.com/office/drawing/2014/main" id="{DF02BCAC-9D1B-F33F-6E6B-D9E799049719}"/>
                    </a:ext>
                  </a:extLst>
                </xdr:cNvPr>
                <xdr:cNvPicPr>
                  <a:picLocks noChangeAspect="1"/>
                </xdr:cNvPicPr>
              </xdr:nvPicPr>
              <xdr:blipFill>
                <a:blip xmlns:r="http://schemas.openxmlformats.org/officeDocument/2006/relationships" r:embed="rId27" cstate="print">
                  <a:alphaModFix/>
                  <a:extLst>
                    <a:ext uri="{28A0092B-C50C-407E-A947-70E740481C1C}">
                      <a14:useLocalDpi xmlns:a14="http://schemas.microsoft.com/office/drawing/2010/main" val="0"/>
                    </a:ext>
                  </a:extLst>
                </a:blip>
                <a:stretch>
                  <a:fillRect/>
                </a:stretch>
              </xdr:blipFill>
              <xdr:spPr>
                <a:xfrm>
                  <a:off x="7536090" y="418237"/>
                  <a:ext cx="214435" cy="230900"/>
                </a:xfrm>
                <a:prstGeom prst="rect">
                  <a:avLst/>
                </a:prstGeom>
              </xdr:spPr>
            </xdr:pic>
            <xdr:sp macro="" textlink="">
              <xdr:nvSpPr>
                <xdr:cNvPr id="87" name="TextBox 86">
                  <a:hlinkClick xmlns:r="http://schemas.openxmlformats.org/officeDocument/2006/relationships" r:id="rId28"/>
                  <a:extLst>
                    <a:ext uri="{FF2B5EF4-FFF2-40B4-BE49-F238E27FC236}">
                      <a16:creationId xmlns:a16="http://schemas.microsoft.com/office/drawing/2014/main" id="{6C85C32A-8B08-4549-D765-FF7B7BF1FCC1}"/>
                    </a:ext>
                  </a:extLst>
                </xdr:cNvPr>
                <xdr:cNvSpPr txBox="1"/>
              </xdr:nvSpPr>
              <xdr:spPr>
                <a:xfrm>
                  <a:off x="11757467" y="49286"/>
                  <a:ext cx="110218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MARKET RESEARCH</a:t>
                  </a:r>
                </a:p>
              </xdr:txBody>
            </xdr:sp>
            <xdr:pic>
              <xdr:nvPicPr>
                <xdr:cNvPr id="88" name="Picture 87" descr="A white and brown hourglass&#10;&#10;AI-generated content may be incorrect.">
                  <a:hlinkClick xmlns:r="http://schemas.openxmlformats.org/officeDocument/2006/relationships" r:id="rId28"/>
                  <a:extLst>
                    <a:ext uri="{FF2B5EF4-FFF2-40B4-BE49-F238E27FC236}">
                      <a16:creationId xmlns:a16="http://schemas.microsoft.com/office/drawing/2014/main" id="{AEA6E9F8-1F4B-A037-6D04-9EF1DD292786}"/>
                    </a:ext>
                  </a:extLst>
                </xdr:cNvPr>
                <xdr:cNvPicPr>
                  <a:picLocks noChangeAspect="1"/>
                </xdr:cNvPicPr>
              </xdr:nvPicPr>
              <xdr:blipFill>
                <a:blip xmlns:r="http://schemas.openxmlformats.org/officeDocument/2006/relationships" r:embed="rId29" cstate="print">
                  <a:alphaModFix/>
                  <a:extLst>
                    <a:ext uri="{28A0092B-C50C-407E-A947-70E740481C1C}">
                      <a14:useLocalDpi xmlns:a14="http://schemas.microsoft.com/office/drawing/2010/main" val="0"/>
                    </a:ext>
                  </a:extLst>
                </a:blip>
                <a:stretch>
                  <a:fillRect/>
                </a:stretch>
              </xdr:blipFill>
              <xdr:spPr>
                <a:xfrm>
                  <a:off x="11563464" y="33893"/>
                  <a:ext cx="235575" cy="261687"/>
                </a:xfrm>
                <a:prstGeom prst="rect">
                  <a:avLst/>
                </a:prstGeom>
              </xdr:spPr>
            </xdr:pic>
            <xdr:pic>
              <xdr:nvPicPr>
                <xdr:cNvPr id="89" name="Picture 88">
                  <a:hlinkClick xmlns:r="http://schemas.openxmlformats.org/officeDocument/2006/relationships" r:id="rId30"/>
                  <a:extLst>
                    <a:ext uri="{FF2B5EF4-FFF2-40B4-BE49-F238E27FC236}">
                      <a16:creationId xmlns:a16="http://schemas.microsoft.com/office/drawing/2014/main" id="{8981C0B5-706E-4025-B959-2ADD017B71D0}"/>
                    </a:ext>
                  </a:extLst>
                </xdr:cNvPr>
                <xdr:cNvPicPr>
                  <a:picLocks noChangeAspect="1" noChangeArrowheads="1"/>
                </xdr:cNvPicPr>
              </xdr:nvPicPr>
              <xdr:blipFill>
                <a:blip xmlns:r="http://schemas.openxmlformats.org/officeDocument/2006/relationships" r:embed="rId3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33032" y="384834"/>
                  <a:ext cx="261600" cy="33288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0" name="TextBox 89">
                  <a:hlinkClick xmlns:r="http://schemas.openxmlformats.org/officeDocument/2006/relationships" r:id="rId30"/>
                  <a:extLst>
                    <a:ext uri="{FF2B5EF4-FFF2-40B4-BE49-F238E27FC236}">
                      <a16:creationId xmlns:a16="http://schemas.microsoft.com/office/drawing/2014/main" id="{F6BAB7A1-3217-836E-3D4F-4E4F231E92BF}"/>
                    </a:ext>
                  </a:extLst>
                </xdr:cNvPr>
                <xdr:cNvSpPr txBox="1"/>
              </xdr:nvSpPr>
              <xdr:spPr>
                <a:xfrm>
                  <a:off x="3637195" y="315564"/>
                  <a:ext cx="914586" cy="433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BALANCE SHEET</a:t>
                  </a:r>
                </a:p>
                <a:p>
                  <a:pPr algn="ctr"/>
                  <a:r>
                    <a:rPr lang="en-US" sz="900" b="1">
                      <a:solidFill>
                        <a:schemeClr val="bg1"/>
                      </a:solidFill>
                    </a:rPr>
                    <a:t>SUMMARY</a:t>
                  </a:r>
                </a:p>
              </xdr:txBody>
            </xdr:sp>
            <xdr:pic>
              <xdr:nvPicPr>
                <xdr:cNvPr id="91" name="Picture 90">
                  <a:hlinkClick xmlns:r="http://schemas.openxmlformats.org/officeDocument/2006/relationships" r:id="rId32"/>
                  <a:extLst>
                    <a:ext uri="{FF2B5EF4-FFF2-40B4-BE49-F238E27FC236}">
                      <a16:creationId xmlns:a16="http://schemas.microsoft.com/office/drawing/2014/main" id="{1811DF4C-35F2-CBA4-0F5D-6866A361F7C4}"/>
                    </a:ext>
                  </a:extLst>
                </xdr:cNvPr>
                <xdr:cNvPicPr>
                  <a:picLocks noChangeAspect="1" noChangeArrowheads="1"/>
                </xdr:cNvPicPr>
              </xdr:nvPicPr>
              <xdr:blipFill>
                <a:blip xmlns:r="http://schemas.openxmlformats.org/officeDocument/2006/relationships" r:embed="rId33" cstate="print">
                  <a:clrChange>
                    <a:clrFrom>
                      <a:srgbClr val="F8F8F8"/>
                    </a:clrFrom>
                    <a:clrTo>
                      <a:srgbClr val="F8F8F8">
                        <a:alpha val="0"/>
                      </a:srgbClr>
                    </a:clrTo>
                  </a:clrChange>
                  <a:extLst>
                    <a:ext uri="{28A0092B-C50C-407E-A947-70E740481C1C}">
                      <a14:useLocalDpi xmlns:a14="http://schemas.microsoft.com/office/drawing/2010/main" val="0"/>
                    </a:ext>
                  </a:extLst>
                </a:blip>
                <a:srcRect/>
                <a:stretch>
                  <a:fillRect/>
                </a:stretch>
              </xdr:blipFill>
              <xdr:spPr bwMode="auto">
                <a:xfrm>
                  <a:off x="4602713" y="384834"/>
                  <a:ext cx="326621" cy="3113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2" name="TextBox 91">
                  <a:hlinkClick xmlns:r="http://schemas.openxmlformats.org/officeDocument/2006/relationships" r:id="rId32"/>
                  <a:extLst>
                    <a:ext uri="{FF2B5EF4-FFF2-40B4-BE49-F238E27FC236}">
                      <a16:creationId xmlns:a16="http://schemas.microsoft.com/office/drawing/2014/main" id="{475E7ADB-F6A8-4C22-278D-8CC6F0D4AF10}"/>
                    </a:ext>
                  </a:extLst>
                </xdr:cNvPr>
                <xdr:cNvSpPr txBox="1"/>
              </xdr:nvSpPr>
              <xdr:spPr>
                <a:xfrm>
                  <a:off x="4880678" y="423317"/>
                  <a:ext cx="56334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ASSETS</a:t>
                  </a:r>
                </a:p>
              </xdr:txBody>
            </xdr:sp>
            <xdr:pic>
              <xdr:nvPicPr>
                <xdr:cNvPr id="93" name="Picture 92">
                  <a:hlinkClick xmlns:r="http://schemas.openxmlformats.org/officeDocument/2006/relationships" r:id="rId34"/>
                  <a:extLst>
                    <a:ext uri="{FF2B5EF4-FFF2-40B4-BE49-F238E27FC236}">
                      <a16:creationId xmlns:a16="http://schemas.microsoft.com/office/drawing/2014/main" id="{CD488E3D-2C17-936C-F5D8-10227643D03D}"/>
                    </a:ext>
                  </a:extLst>
                </xdr:cNvPr>
                <xdr:cNvPicPr>
                  <a:picLocks noChangeAspect="1" noChangeArrowheads="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35903" y="354046"/>
                  <a:ext cx="278234" cy="3540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4" name="TextBox 93">
                  <a:hlinkClick xmlns:r="http://schemas.openxmlformats.org/officeDocument/2006/relationships" r:id="rId34"/>
                  <a:extLst>
                    <a:ext uri="{FF2B5EF4-FFF2-40B4-BE49-F238E27FC236}">
                      <a16:creationId xmlns:a16="http://schemas.microsoft.com/office/drawing/2014/main" id="{1C69C5E3-A3E6-9718-B46D-49810CC31412}"/>
                    </a:ext>
                  </a:extLst>
                </xdr:cNvPr>
                <xdr:cNvSpPr txBox="1"/>
              </xdr:nvSpPr>
              <xdr:spPr>
                <a:xfrm>
                  <a:off x="5717678" y="431014"/>
                  <a:ext cx="750091"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LIABILITIES</a:t>
                  </a:r>
                </a:p>
              </xdr:txBody>
            </xdr:sp>
            <xdr:pic>
              <xdr:nvPicPr>
                <xdr:cNvPr id="95" name="Picture 94">
                  <a:hlinkClick xmlns:r="http://schemas.openxmlformats.org/officeDocument/2006/relationships" r:id="rId36"/>
                  <a:extLst>
                    <a:ext uri="{FF2B5EF4-FFF2-40B4-BE49-F238E27FC236}">
                      <a16:creationId xmlns:a16="http://schemas.microsoft.com/office/drawing/2014/main" id="{FB5C5D29-AD9F-B7DC-9E43-7BADF50576E6}"/>
                    </a:ext>
                  </a:extLst>
                </xdr:cNvPr>
                <xdr:cNvPicPr>
                  <a:picLocks noChangeAspect="1"/>
                </xdr:cNvPicPr>
              </xdr:nvPicPr>
              <xdr:blipFill>
                <a:blip xmlns:r="http://schemas.openxmlformats.org/officeDocument/2006/relationships" r:embed="rId37">
                  <a:clrChange>
                    <a:clrFrom>
                      <a:srgbClr val="FFFFFF"/>
                    </a:clrFrom>
                    <a:clrTo>
                      <a:srgbClr val="FFFFFF">
                        <a:alpha val="0"/>
                      </a:srgbClr>
                    </a:clrTo>
                  </a:clrChange>
                </a:blip>
                <a:stretch>
                  <a:fillRect/>
                </a:stretch>
              </xdr:blipFill>
              <xdr:spPr>
                <a:xfrm>
                  <a:off x="6454424" y="361268"/>
                  <a:ext cx="368693" cy="354523"/>
                </a:xfrm>
                <a:prstGeom prst="rect">
                  <a:avLst/>
                </a:prstGeom>
              </xdr:spPr>
            </xdr:pic>
            <xdr:sp macro="" textlink="">
              <xdr:nvSpPr>
                <xdr:cNvPr id="96" name="TextBox 95">
                  <a:hlinkClick xmlns:r="http://schemas.openxmlformats.org/officeDocument/2006/relationships" r:id="rId36"/>
                  <a:extLst>
                    <a:ext uri="{FF2B5EF4-FFF2-40B4-BE49-F238E27FC236}">
                      <a16:creationId xmlns:a16="http://schemas.microsoft.com/office/drawing/2014/main" id="{28522CAD-D131-0B54-B956-F0C5BF04448B}"/>
                    </a:ext>
                  </a:extLst>
                </xdr:cNvPr>
                <xdr:cNvSpPr txBox="1"/>
              </xdr:nvSpPr>
              <xdr:spPr>
                <a:xfrm>
                  <a:off x="6742924" y="369440"/>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EDIT</a:t>
                  </a:r>
                </a:p>
                <a:p>
                  <a:r>
                    <a:rPr lang="en-US" sz="900" b="1">
                      <a:solidFill>
                        <a:schemeClr val="bg1"/>
                      </a:solidFill>
                    </a:rPr>
                    <a:t>CATEGORIES</a:t>
                  </a:r>
                </a:p>
              </xdr:txBody>
            </xdr:sp>
            <xdr:grpSp>
              <xdr:nvGrpSpPr>
                <xdr:cNvPr id="97" name="Group 96">
                  <a:hlinkClick xmlns:r="http://schemas.openxmlformats.org/officeDocument/2006/relationships" r:id="rId38"/>
                  <a:extLst>
                    <a:ext uri="{FF2B5EF4-FFF2-40B4-BE49-F238E27FC236}">
                      <a16:creationId xmlns:a16="http://schemas.microsoft.com/office/drawing/2014/main" id="{4D3A11F5-5A77-B76D-E0B1-AB911E2EA548}"/>
                    </a:ext>
                  </a:extLst>
                </xdr:cNvPr>
                <xdr:cNvGrpSpPr/>
              </xdr:nvGrpSpPr>
              <xdr:grpSpPr>
                <a:xfrm>
                  <a:off x="10231249" y="237461"/>
                  <a:ext cx="1281586" cy="502920"/>
                  <a:chOff x="11732389" y="237461"/>
                  <a:chExt cx="1281586" cy="502920"/>
                </a:xfrm>
              </xdr:grpSpPr>
              <xdr:pic>
                <xdr:nvPicPr>
                  <xdr:cNvPr id="98" name="Picture 97">
                    <a:hlinkClick xmlns:r="http://schemas.openxmlformats.org/officeDocument/2006/relationships" r:id="rId39"/>
                    <a:extLst>
                      <a:ext uri="{FF2B5EF4-FFF2-40B4-BE49-F238E27FC236}">
                        <a16:creationId xmlns:a16="http://schemas.microsoft.com/office/drawing/2014/main" id="{D82C17AD-C10C-444F-802F-8A10E9332CFD}"/>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1732389" y="237461"/>
                    <a:ext cx="502920" cy="502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9" name="TextBox 98">
                    <a:hlinkClick xmlns:r="http://schemas.openxmlformats.org/officeDocument/2006/relationships" r:id="rId39"/>
                    <a:extLst>
                      <a:ext uri="{FF2B5EF4-FFF2-40B4-BE49-F238E27FC236}">
                        <a16:creationId xmlns:a16="http://schemas.microsoft.com/office/drawing/2014/main" id="{EAB816C2-5F0E-3104-F479-62301766A531}"/>
                      </a:ext>
                    </a:extLst>
                  </xdr:cNvPr>
                  <xdr:cNvSpPr txBox="1"/>
                </xdr:nvSpPr>
                <xdr:spPr>
                  <a:xfrm>
                    <a:off x="12197209" y="344142"/>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 GAME APPS</a:t>
                    </a:r>
                  </a:p>
                </xdr:txBody>
              </xdr:sp>
            </xdr:grpSp>
          </xdr:grpSp>
          <xdr:grpSp>
            <xdr:nvGrpSpPr>
              <xdr:cNvPr id="58" name="Group 57">
                <a:extLst>
                  <a:ext uri="{FF2B5EF4-FFF2-40B4-BE49-F238E27FC236}">
                    <a16:creationId xmlns:a16="http://schemas.microsoft.com/office/drawing/2014/main" id="{4F0FA189-478B-E6E1-2512-B122D23DAC8F}"/>
                  </a:ext>
                </a:extLst>
              </xdr:cNvPr>
              <xdr:cNvGrpSpPr/>
            </xdr:nvGrpSpPr>
            <xdr:grpSpPr>
              <a:xfrm>
                <a:off x="3030070" y="313765"/>
                <a:ext cx="1219410" cy="438976"/>
                <a:chOff x="3030070" y="313765"/>
                <a:chExt cx="1219410" cy="438976"/>
              </a:xfrm>
            </xdr:grpSpPr>
            <xdr:sp macro="" textlink="">
              <xdr:nvSpPr>
                <xdr:cNvPr id="59" name="TextBox 58">
                  <a:hlinkClick xmlns:r="http://schemas.openxmlformats.org/officeDocument/2006/relationships" r:id="rId41"/>
                  <a:extLst>
                    <a:ext uri="{FF2B5EF4-FFF2-40B4-BE49-F238E27FC236}">
                      <a16:creationId xmlns:a16="http://schemas.microsoft.com/office/drawing/2014/main" id="{E296AC21-514E-D4CC-26AA-26D52C22D8EE}"/>
                    </a:ext>
                  </a:extLst>
                </xdr:cNvPr>
                <xdr:cNvSpPr txBox="1"/>
              </xdr:nvSpPr>
              <xdr:spPr>
                <a:xfrm>
                  <a:off x="3307528" y="313765"/>
                  <a:ext cx="941952" cy="43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BOOK KEEPING</a:t>
                  </a:r>
                </a:p>
                <a:p>
                  <a:pPr algn="ctr"/>
                  <a:r>
                    <a:rPr lang="en-US" sz="900" b="1">
                      <a:solidFill>
                        <a:schemeClr val="bg1"/>
                      </a:solidFill>
                    </a:rPr>
                    <a:t>LEDGER</a:t>
                  </a:r>
                </a:p>
              </xdr:txBody>
            </xdr:sp>
            <xdr:pic>
              <xdr:nvPicPr>
                <xdr:cNvPr id="60" name="Picture 59">
                  <a:hlinkClick xmlns:r="http://schemas.openxmlformats.org/officeDocument/2006/relationships" r:id="rId41"/>
                  <a:extLst>
                    <a:ext uri="{FF2B5EF4-FFF2-40B4-BE49-F238E27FC236}">
                      <a16:creationId xmlns:a16="http://schemas.microsoft.com/office/drawing/2014/main" id="{172640C1-7306-C210-E3AB-F8817F9B75C8}"/>
                    </a:ext>
                  </a:extLst>
                </xdr:cNvPr>
                <xdr:cNvPicPr>
                  <a:picLocks noChangeAspect="1"/>
                </xdr:cNvPicPr>
              </xdr:nvPicPr>
              <xdr:blipFill>
                <a:blip xmlns:r="http://schemas.openxmlformats.org/officeDocument/2006/relationships" r:embed="rId4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0070" y="367554"/>
                  <a:ext cx="327770" cy="349622"/>
                </a:xfrm>
                <a:prstGeom prst="rect">
                  <a:avLst/>
                </a:prstGeom>
              </xdr:spPr>
            </xdr:pic>
          </xdr:grpSp>
        </xdr:grpSp>
        <xdr:grpSp>
          <xdr:nvGrpSpPr>
            <xdr:cNvPr id="54" name="Group 53">
              <a:extLst>
                <a:ext uri="{FF2B5EF4-FFF2-40B4-BE49-F238E27FC236}">
                  <a16:creationId xmlns:a16="http://schemas.microsoft.com/office/drawing/2014/main" id="{87412239-C890-77FE-436B-FB698CE5077E}"/>
                </a:ext>
              </a:extLst>
            </xdr:cNvPr>
            <xdr:cNvGrpSpPr/>
          </xdr:nvGrpSpPr>
          <xdr:grpSpPr>
            <a:xfrm>
              <a:off x="12626340" y="243840"/>
              <a:ext cx="1344125" cy="571500"/>
              <a:chOff x="12626340" y="243840"/>
              <a:chExt cx="1344125" cy="571500"/>
            </a:xfrm>
          </xdr:grpSpPr>
          <xdr:pic>
            <xdr:nvPicPr>
              <xdr:cNvPr id="55" name="Picture 54">
                <a:hlinkClick xmlns:r="http://schemas.openxmlformats.org/officeDocument/2006/relationships" r:id="rId43"/>
                <a:extLst>
                  <a:ext uri="{FF2B5EF4-FFF2-40B4-BE49-F238E27FC236}">
                    <a16:creationId xmlns:a16="http://schemas.microsoft.com/office/drawing/2014/main" id="{E652FF28-723D-3F5B-06DE-392C3E8ECC50}"/>
                  </a:ext>
                </a:extLst>
              </xdr:cNvPr>
              <xdr:cNvPicPr>
                <a:picLocks noChangeAspect="1" noChangeArrowheads="1"/>
              </xdr:cNvPicPr>
            </xdr:nvPicPr>
            <xdr:blipFill>
              <a:blip xmlns:r="http://schemas.openxmlformats.org/officeDocument/2006/relationships" r:embed="rId4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26340" y="243840"/>
                <a:ext cx="571500" cy="571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6" name="TextBox 55">
                <a:hlinkClick xmlns:r="http://schemas.openxmlformats.org/officeDocument/2006/relationships" r:id="rId43"/>
                <a:extLst>
                  <a:ext uri="{FF2B5EF4-FFF2-40B4-BE49-F238E27FC236}">
                    <a16:creationId xmlns:a16="http://schemas.microsoft.com/office/drawing/2014/main" id="{2A6F9FBC-87BF-1269-3DB4-A5734AD791CC}"/>
                  </a:ext>
                </a:extLst>
              </xdr:cNvPr>
              <xdr:cNvSpPr txBox="1"/>
            </xdr:nvSpPr>
            <xdr:spPr>
              <a:xfrm>
                <a:off x="13129260" y="327660"/>
                <a:ext cx="841205" cy="4000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TRAVEL</a:t>
                </a:r>
              </a:p>
              <a:p>
                <a:pPr algn="ctr"/>
                <a:r>
                  <a:rPr lang="en-US" sz="900" b="1">
                    <a:solidFill>
                      <a:schemeClr val="bg1"/>
                    </a:solidFill>
                  </a:rPr>
                  <a:t>SANDBOX</a:t>
                </a:r>
              </a:p>
            </xdr:txBody>
          </xdr:sp>
        </xdr:grpSp>
      </xdr:grpSp>
      <xdr:pic>
        <xdr:nvPicPr>
          <xdr:cNvPr id="52" name="Picture 51">
            <a:hlinkClick xmlns:r="http://schemas.openxmlformats.org/officeDocument/2006/relationships" r:id="rId11"/>
            <a:extLst>
              <a:ext uri="{FF2B5EF4-FFF2-40B4-BE49-F238E27FC236}">
                <a16:creationId xmlns:a16="http://schemas.microsoft.com/office/drawing/2014/main" id="{47499C9C-8DEE-FC4C-0404-54B1B1DAE3D1}"/>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34100" y="30480"/>
            <a:ext cx="234698" cy="246078"/>
          </a:xfrm>
          <a:prstGeom prst="rect">
            <a:avLst/>
          </a:prstGeom>
          <a:solidFill>
            <a:srgbClr val="7FA6C7"/>
          </a:solidFill>
        </xdr:spPr>
      </xdr:pic>
    </xdr:grpSp>
    <xdr:clientData/>
  </xdr:twoCellAnchor>
</xdr:wsDr>
</file>

<file path=xl/drawings/drawing4.xml><?xml version="1.0" encoding="utf-8"?>
<xdr:wsDr xmlns:xdr="http://schemas.openxmlformats.org/drawingml/2006/spreadsheetDrawing" xmlns:a="http://schemas.openxmlformats.org/drawingml/2006/main">
  <xdr:twoCellAnchor editAs="absolute">
    <xdr:from>
      <xdr:col>12</xdr:col>
      <xdr:colOff>142875</xdr:colOff>
      <xdr:row>63</xdr:row>
      <xdr:rowOff>123825</xdr:rowOff>
    </xdr:from>
    <xdr:to>
      <xdr:col>14</xdr:col>
      <xdr:colOff>30099</xdr:colOff>
      <xdr:row>65</xdr:row>
      <xdr:rowOff>0</xdr:rowOff>
    </xdr:to>
    <xdr:sp macro="" textlink="">
      <xdr:nvSpPr>
        <xdr:cNvPr id="10" name="Rectangle: Rounded Corners 9">
          <a:hlinkClick xmlns:r="http://schemas.openxmlformats.org/officeDocument/2006/relationships" r:id="rId1"/>
          <a:extLst>
            <a:ext uri="{FF2B5EF4-FFF2-40B4-BE49-F238E27FC236}">
              <a16:creationId xmlns:a16="http://schemas.microsoft.com/office/drawing/2014/main" id="{AD7304DA-051E-4250-8907-D904CCBC86D6}"/>
            </a:ext>
          </a:extLst>
        </xdr:cNvPr>
        <xdr:cNvSpPr/>
      </xdr:nvSpPr>
      <xdr:spPr>
        <a:xfrm>
          <a:off x="6438900" y="11115675"/>
          <a:ext cx="1106424" cy="228600"/>
        </a:xfrm>
        <a:prstGeom prst="roundRect">
          <a:avLst/>
        </a:prstGeom>
        <a:solidFill>
          <a:srgbClr val="A2BED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latin typeface="+mn-lt"/>
              <a:cs typeface="Arial" panose="020B0604020202020204" pitchFamily="34" charset="0"/>
            </a:rPr>
            <a:t>Contact Us</a:t>
          </a:r>
        </a:p>
      </xdr:txBody>
    </xdr:sp>
    <xdr:clientData/>
  </xdr:twoCellAnchor>
  <xdr:twoCellAnchor editAs="absolute">
    <xdr:from>
      <xdr:col>18</xdr:col>
      <xdr:colOff>30480</xdr:colOff>
      <xdr:row>0</xdr:row>
      <xdr:rowOff>99060</xdr:rowOff>
    </xdr:from>
    <xdr:to>
      <xdr:col>18</xdr:col>
      <xdr:colOff>579501</xdr:colOff>
      <xdr:row>3</xdr:row>
      <xdr:rowOff>137541</xdr:rowOff>
    </xdr:to>
    <xdr:pic>
      <xdr:nvPicPr>
        <xdr:cNvPr id="2" name="Picture 1">
          <a:hlinkClick xmlns:r="http://schemas.openxmlformats.org/officeDocument/2006/relationships" r:id="rId1"/>
          <a:extLst>
            <a:ext uri="{FF2B5EF4-FFF2-40B4-BE49-F238E27FC236}">
              <a16:creationId xmlns:a16="http://schemas.microsoft.com/office/drawing/2014/main" id="{2787596B-3CD8-4AF1-A3F4-20C1E2AAA06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41280" y="99060"/>
          <a:ext cx="549021" cy="54902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2</xdr:col>
      <xdr:colOff>259080</xdr:colOff>
      <xdr:row>0</xdr:row>
      <xdr:rowOff>0</xdr:rowOff>
    </xdr:from>
    <xdr:to>
      <xdr:col>21</xdr:col>
      <xdr:colOff>281697</xdr:colOff>
      <xdr:row>3</xdr:row>
      <xdr:rowOff>0</xdr:rowOff>
    </xdr:to>
    <xdr:grpSp>
      <xdr:nvGrpSpPr>
        <xdr:cNvPr id="50" name="Group 49">
          <a:extLst>
            <a:ext uri="{FF2B5EF4-FFF2-40B4-BE49-F238E27FC236}">
              <a16:creationId xmlns:a16="http://schemas.microsoft.com/office/drawing/2014/main" id="{4B715531-117E-45F0-A1CF-3BE01BB06AFB}"/>
            </a:ext>
          </a:extLst>
        </xdr:cNvPr>
        <xdr:cNvGrpSpPr/>
      </xdr:nvGrpSpPr>
      <xdr:grpSpPr>
        <a:xfrm>
          <a:off x="1082040" y="0"/>
          <a:ext cx="11894577" cy="815340"/>
          <a:chOff x="2194560" y="0"/>
          <a:chExt cx="11894577" cy="815340"/>
        </a:xfrm>
      </xdr:grpSpPr>
      <xdr:grpSp>
        <xdr:nvGrpSpPr>
          <xdr:cNvPr id="51" name="Group 50">
            <a:extLst>
              <a:ext uri="{FF2B5EF4-FFF2-40B4-BE49-F238E27FC236}">
                <a16:creationId xmlns:a16="http://schemas.microsoft.com/office/drawing/2014/main" id="{EE453AEB-8C23-63AC-7A5E-238BAF36E6FC}"/>
              </a:ext>
            </a:extLst>
          </xdr:cNvPr>
          <xdr:cNvGrpSpPr/>
        </xdr:nvGrpSpPr>
        <xdr:grpSpPr>
          <a:xfrm>
            <a:off x="2194560" y="0"/>
            <a:ext cx="11894577" cy="815340"/>
            <a:chOff x="2194560" y="0"/>
            <a:chExt cx="11894577" cy="815340"/>
          </a:xfrm>
        </xdr:grpSpPr>
        <xdr:grpSp>
          <xdr:nvGrpSpPr>
            <xdr:cNvPr id="53" name="Group 52">
              <a:extLst>
                <a:ext uri="{FF2B5EF4-FFF2-40B4-BE49-F238E27FC236}">
                  <a16:creationId xmlns:a16="http://schemas.microsoft.com/office/drawing/2014/main" id="{F0C56948-D13F-E98B-35FF-302DB2095754}"/>
                </a:ext>
              </a:extLst>
            </xdr:cNvPr>
            <xdr:cNvGrpSpPr/>
          </xdr:nvGrpSpPr>
          <xdr:grpSpPr>
            <a:xfrm>
              <a:off x="2194560" y="0"/>
              <a:ext cx="11894577" cy="773812"/>
              <a:chOff x="2160046" y="0"/>
              <a:chExt cx="11894577" cy="773812"/>
            </a:xfrm>
          </xdr:grpSpPr>
          <xdr:grpSp>
            <xdr:nvGrpSpPr>
              <xdr:cNvPr id="57" name="Group 56">
                <a:extLst>
                  <a:ext uri="{FF2B5EF4-FFF2-40B4-BE49-F238E27FC236}">
                    <a16:creationId xmlns:a16="http://schemas.microsoft.com/office/drawing/2014/main" id="{958585B7-2795-C43E-EA30-07AC1C1F88C3}"/>
                  </a:ext>
                </a:extLst>
              </xdr:cNvPr>
              <xdr:cNvGrpSpPr/>
            </xdr:nvGrpSpPr>
            <xdr:grpSpPr>
              <a:xfrm>
                <a:off x="2160046" y="0"/>
                <a:ext cx="11894577" cy="773812"/>
                <a:chOff x="1310640" y="0"/>
                <a:chExt cx="11549013" cy="764847"/>
              </a:xfrm>
            </xdr:grpSpPr>
            <xdr:pic>
              <xdr:nvPicPr>
                <xdr:cNvPr id="61" name="Picture 60">
                  <a:hlinkClick xmlns:r="http://schemas.openxmlformats.org/officeDocument/2006/relationships" r:id="rId1"/>
                  <a:extLst>
                    <a:ext uri="{FF2B5EF4-FFF2-40B4-BE49-F238E27FC236}">
                      <a16:creationId xmlns:a16="http://schemas.microsoft.com/office/drawing/2014/main" id="{A8F14255-1CAA-9DBB-04E3-028A20592F8F}"/>
                    </a:ext>
                  </a:extLst>
                </xdr:cNvPr>
                <xdr:cNvPicPr>
                  <a:picLocks/>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rcRect/>
                <a:stretch/>
              </xdr:blipFill>
              <xdr:spPr>
                <a:xfrm>
                  <a:off x="1310640" y="46180"/>
                  <a:ext cx="499211" cy="554546"/>
                </a:xfrm>
                <a:prstGeom prst="rect">
                  <a:avLst/>
                </a:prstGeom>
              </xdr:spPr>
            </xdr:pic>
            <xdr:pic>
              <xdr:nvPicPr>
                <xdr:cNvPr id="62" name="Picture 61">
                  <a:hlinkClick xmlns:r="http://schemas.openxmlformats.org/officeDocument/2006/relationships" r:id="rId3"/>
                  <a:extLst>
                    <a:ext uri="{FF2B5EF4-FFF2-40B4-BE49-F238E27FC236}">
                      <a16:creationId xmlns:a16="http://schemas.microsoft.com/office/drawing/2014/main" id="{458C5BE8-D04F-9C8F-976F-FDBCE294E1D5}"/>
                    </a:ext>
                  </a:extLst>
                </xdr:cNvPr>
                <xdr:cNvPicPr>
                  <a:picLocks noChangeAspect="1" noChangeArrowheads="1"/>
                </xdr:cNvPicPr>
              </xdr:nvPicPr>
              <xdr:blipFill>
                <a:blip xmlns:r="http://schemas.openxmlformats.org/officeDocument/2006/relationships" r:embed="rId4" cstate="print">
                  <a:alphaModFix/>
                  <a:extLst>
                    <a:ext uri="{28A0092B-C50C-407E-A947-70E740481C1C}">
                      <a14:useLocalDpi xmlns:a14="http://schemas.microsoft.com/office/drawing/2010/main" val="0"/>
                    </a:ext>
                  </a:extLst>
                </a:blip>
                <a:srcRect/>
                <a:stretch>
                  <a:fillRect/>
                </a:stretch>
              </xdr:blipFill>
              <xdr:spPr bwMode="auto">
                <a:xfrm>
                  <a:off x="2163693" y="30823"/>
                  <a:ext cx="214188" cy="2260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3" name="TextBox 62">
                  <a:hlinkClick xmlns:r="http://schemas.openxmlformats.org/officeDocument/2006/relationships" r:id="rId3"/>
                  <a:extLst>
                    <a:ext uri="{FF2B5EF4-FFF2-40B4-BE49-F238E27FC236}">
                      <a16:creationId xmlns:a16="http://schemas.microsoft.com/office/drawing/2014/main" id="{8E5F7C41-F497-7EED-D956-04018A563ECA}"/>
                    </a:ext>
                  </a:extLst>
                </xdr:cNvPr>
                <xdr:cNvSpPr txBox="1"/>
              </xdr:nvSpPr>
              <xdr:spPr>
                <a:xfrm>
                  <a:off x="2369194" y="17046"/>
                  <a:ext cx="846446" cy="25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US" sz="900" b="1">
                      <a:solidFill>
                        <a:schemeClr val="bg1"/>
                      </a:solidFill>
                    </a:rPr>
                    <a:t>DASHBOARD</a:t>
                  </a:r>
                </a:p>
              </xdr:txBody>
            </xdr:sp>
            <xdr:pic>
              <xdr:nvPicPr>
                <xdr:cNvPr id="64" name="Picture 63">
                  <a:hlinkClick xmlns:r="http://schemas.openxmlformats.org/officeDocument/2006/relationships" r:id="rId5"/>
                  <a:extLst>
                    <a:ext uri="{FF2B5EF4-FFF2-40B4-BE49-F238E27FC236}">
                      <a16:creationId xmlns:a16="http://schemas.microsoft.com/office/drawing/2014/main" id="{DADEA7A8-51AE-A39B-4EE0-E60C2E04E2D8}"/>
                    </a:ext>
                  </a:extLst>
                </xdr:cNvPr>
                <xdr:cNvPicPr>
                  <a:picLocks noChangeAspect="1" noChangeArrowheads="1"/>
                </xdr:cNvPicPr>
              </xdr:nvPicPr>
              <xdr:blipFill>
                <a:blip xmlns:r="http://schemas.openxmlformats.org/officeDocument/2006/relationships" r:embed="rId6" cstate="print">
                  <a:alphaModFix/>
                  <a:extLst>
                    <a:ext uri="{28A0092B-C50C-407E-A947-70E740481C1C}">
                      <a14:useLocalDpi xmlns:a14="http://schemas.microsoft.com/office/drawing/2010/main" val="0"/>
                    </a:ext>
                  </a:extLst>
                </a:blip>
                <a:srcRect/>
                <a:stretch>
                  <a:fillRect/>
                </a:stretch>
              </xdr:blipFill>
              <xdr:spPr bwMode="auto">
                <a:xfrm>
                  <a:off x="8461655" y="433462"/>
                  <a:ext cx="214188" cy="20819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5" name="TextBox 64">
                  <a:hlinkClick xmlns:r="http://schemas.openxmlformats.org/officeDocument/2006/relationships" r:id="rId5"/>
                  <a:extLst>
                    <a:ext uri="{FF2B5EF4-FFF2-40B4-BE49-F238E27FC236}">
                      <a16:creationId xmlns:a16="http://schemas.microsoft.com/office/drawing/2014/main" id="{B2DE2FC3-E270-D750-D7C7-3A42D60FCEA5}"/>
                    </a:ext>
                  </a:extLst>
                </xdr:cNvPr>
                <xdr:cNvSpPr txBox="1"/>
              </xdr:nvSpPr>
              <xdr:spPr>
                <a:xfrm>
                  <a:off x="8647283" y="413913"/>
                  <a:ext cx="56836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REPORTS</a:t>
                  </a:r>
                </a:p>
              </xdr:txBody>
            </xdr:sp>
            <xdr:pic>
              <xdr:nvPicPr>
                <xdr:cNvPr id="66" name="Picture 65">
                  <a:hlinkClick xmlns:r="http://schemas.openxmlformats.org/officeDocument/2006/relationships" r:id="rId7"/>
                  <a:extLst>
                    <a:ext uri="{FF2B5EF4-FFF2-40B4-BE49-F238E27FC236}">
                      <a16:creationId xmlns:a16="http://schemas.microsoft.com/office/drawing/2014/main" id="{5AAB92A8-F70C-E08C-8D52-B40182170B0D}"/>
                    </a:ext>
                  </a:extLst>
                </xdr:cNvPr>
                <xdr:cNvPicPr>
                  <a:picLocks noChangeAspect="1"/>
                </xdr:cNvPicPr>
              </xdr:nvPicPr>
              <xdr:blipFill>
                <a:blip xmlns:r="http://schemas.openxmlformats.org/officeDocument/2006/relationships" r:embed="rId8" cstate="print">
                  <a:alphaModFix/>
                  <a:extLst>
                    <a:ext uri="{28A0092B-C50C-407E-A947-70E740481C1C}">
                      <a14:useLocalDpi xmlns:a14="http://schemas.microsoft.com/office/drawing/2010/main" val="0"/>
                    </a:ext>
                  </a:extLst>
                </a:blip>
                <a:stretch>
                  <a:fillRect/>
                </a:stretch>
              </xdr:blipFill>
              <xdr:spPr>
                <a:xfrm>
                  <a:off x="6903860" y="19549"/>
                  <a:ext cx="214187" cy="248554"/>
                </a:xfrm>
                <a:prstGeom prst="rect">
                  <a:avLst/>
                </a:prstGeom>
              </xdr:spPr>
            </xdr:pic>
            <xdr:sp macro="" textlink="">
              <xdr:nvSpPr>
                <xdr:cNvPr id="67" name="TextBox 66">
                  <a:hlinkClick xmlns:r="http://schemas.openxmlformats.org/officeDocument/2006/relationships" r:id="rId7"/>
                  <a:extLst>
                    <a:ext uri="{FF2B5EF4-FFF2-40B4-BE49-F238E27FC236}">
                      <a16:creationId xmlns:a16="http://schemas.microsoft.com/office/drawing/2014/main" id="{2163758D-4E08-AB50-2891-323F0D446F32}"/>
                    </a:ext>
                  </a:extLst>
                </xdr:cNvPr>
                <xdr:cNvSpPr txBox="1"/>
              </xdr:nvSpPr>
              <xdr:spPr>
                <a:xfrm>
                  <a:off x="7099062" y="0"/>
                  <a:ext cx="67589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MORTGAGE</a:t>
                  </a:r>
                </a:p>
              </xdr:txBody>
            </xdr:sp>
            <xdr:sp macro="" textlink="">
              <xdr:nvSpPr>
                <xdr:cNvPr id="68" name="TextBox 67">
                  <a:hlinkClick xmlns:r="http://schemas.openxmlformats.org/officeDocument/2006/relationships" r:id="rId9"/>
                  <a:extLst>
                    <a:ext uri="{FF2B5EF4-FFF2-40B4-BE49-F238E27FC236}">
                      <a16:creationId xmlns:a16="http://schemas.microsoft.com/office/drawing/2014/main" id="{8CA4097C-D51E-85E7-78A7-D19DEEDA46C7}"/>
                    </a:ext>
                  </a:extLst>
                </xdr:cNvPr>
                <xdr:cNvSpPr txBox="1"/>
              </xdr:nvSpPr>
              <xdr:spPr>
                <a:xfrm>
                  <a:off x="6375474" y="0"/>
                  <a:ext cx="381400"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DEBT</a:t>
                  </a:r>
                </a:p>
              </xdr:txBody>
            </xdr:sp>
            <xdr:pic>
              <xdr:nvPicPr>
                <xdr:cNvPr id="69" name="Picture 68">
                  <a:hlinkClick xmlns:r="http://schemas.openxmlformats.org/officeDocument/2006/relationships" r:id="rId9"/>
                  <a:extLst>
                    <a:ext uri="{FF2B5EF4-FFF2-40B4-BE49-F238E27FC236}">
                      <a16:creationId xmlns:a16="http://schemas.microsoft.com/office/drawing/2014/main" id="{689175ED-3B94-42B2-88AB-D1B7D1D4639C}"/>
                    </a:ext>
                  </a:extLst>
                </xdr:cNvPr>
                <xdr:cNvPicPr>
                  <a:picLocks noChangeAspect="1"/>
                </xdr:cNvPicPr>
              </xdr:nvPicPr>
              <xdr:blipFill>
                <a:blip xmlns:r="http://schemas.openxmlformats.org/officeDocument/2006/relationships" r:embed="rId10" cstate="print">
                  <a:alphaModFix/>
                  <a:extLst>
                    <a:ext uri="{28A0092B-C50C-407E-A947-70E740481C1C}">
                      <a14:useLocalDpi xmlns:a14="http://schemas.microsoft.com/office/drawing/2010/main" val="0"/>
                    </a:ext>
                  </a:extLst>
                </a:blip>
                <a:stretch>
                  <a:fillRect/>
                </a:stretch>
              </xdr:blipFill>
              <xdr:spPr>
                <a:xfrm>
                  <a:off x="6158378" y="19549"/>
                  <a:ext cx="214188" cy="248554"/>
                </a:xfrm>
                <a:prstGeom prst="rect">
                  <a:avLst/>
                </a:prstGeom>
              </xdr:spPr>
            </xdr:pic>
            <xdr:sp macro="" textlink="">
              <xdr:nvSpPr>
                <xdr:cNvPr id="70" name="TextBox 69">
                  <a:hlinkClick xmlns:r="http://schemas.openxmlformats.org/officeDocument/2006/relationships" r:id="rId11"/>
                  <a:extLst>
                    <a:ext uri="{FF2B5EF4-FFF2-40B4-BE49-F238E27FC236}">
                      <a16:creationId xmlns:a16="http://schemas.microsoft.com/office/drawing/2014/main" id="{C92CC1E3-F4FE-64CA-8A06-A9D67BAF2350}"/>
                    </a:ext>
                  </a:extLst>
                </xdr:cNvPr>
                <xdr:cNvSpPr txBox="1"/>
              </xdr:nvSpPr>
              <xdr:spPr>
                <a:xfrm>
                  <a:off x="5370816" y="37659"/>
                  <a:ext cx="64057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FORECASTS</a:t>
                  </a:r>
                </a:p>
              </xdr:txBody>
            </xdr:sp>
            <xdr:sp macro="" textlink="">
              <xdr:nvSpPr>
                <xdr:cNvPr id="71" name="TextBox 70">
                  <a:hlinkClick xmlns:r="http://schemas.openxmlformats.org/officeDocument/2006/relationships" r:id="rId12"/>
                  <a:extLst>
                    <a:ext uri="{FF2B5EF4-FFF2-40B4-BE49-F238E27FC236}">
                      <a16:creationId xmlns:a16="http://schemas.microsoft.com/office/drawing/2014/main" id="{B07B98E1-1DE6-B97D-1D4B-8980462F5334}"/>
                    </a:ext>
                  </a:extLst>
                </xdr:cNvPr>
                <xdr:cNvSpPr txBox="1"/>
              </xdr:nvSpPr>
              <xdr:spPr>
                <a:xfrm>
                  <a:off x="8104032" y="0"/>
                  <a:ext cx="7732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a:t>
                  </a:r>
                  <a:r>
                    <a:rPr lang="en-US" sz="900" b="1" baseline="0">
                      <a:solidFill>
                        <a:schemeClr val="bg1"/>
                      </a:solidFill>
                    </a:rPr>
                    <a:t> (M)</a:t>
                  </a:r>
                  <a:endParaRPr lang="en-US" sz="900" b="1">
                    <a:solidFill>
                      <a:schemeClr val="bg1"/>
                    </a:solidFill>
                  </a:endParaRPr>
                </a:p>
              </xdr:txBody>
            </xdr:sp>
            <xdr:pic>
              <xdr:nvPicPr>
                <xdr:cNvPr id="72" name="Picture 71">
                  <a:hlinkClick xmlns:r="http://schemas.openxmlformats.org/officeDocument/2006/relationships" r:id="rId12"/>
                  <a:extLst>
                    <a:ext uri="{FF2B5EF4-FFF2-40B4-BE49-F238E27FC236}">
                      <a16:creationId xmlns:a16="http://schemas.microsoft.com/office/drawing/2014/main" id="{74EB91F2-4C98-F2A6-193A-C6A6756F36EF}"/>
                    </a:ext>
                  </a:extLst>
                </xdr:cNvPr>
                <xdr:cNvPicPr>
                  <a:picLocks noChangeAspect="1"/>
                </xdr:cNvPicPr>
              </xdr:nvPicPr>
              <xdr:blipFill>
                <a:blip xmlns:r="http://schemas.openxmlformats.org/officeDocument/2006/relationships" r:embed="rId13" cstate="print">
                  <a:alphaModFix/>
                  <a:extLst>
                    <a:ext uri="{28A0092B-C50C-407E-A947-70E740481C1C}">
                      <a14:useLocalDpi xmlns:a14="http://schemas.microsoft.com/office/drawing/2010/main" val="0"/>
                    </a:ext>
                  </a:extLst>
                </a:blip>
                <a:stretch>
                  <a:fillRect/>
                </a:stretch>
              </xdr:blipFill>
              <xdr:spPr>
                <a:xfrm>
                  <a:off x="7921943" y="19549"/>
                  <a:ext cx="214188" cy="248554"/>
                </a:xfrm>
                <a:prstGeom prst="rect">
                  <a:avLst/>
                </a:prstGeom>
              </xdr:spPr>
            </xdr:pic>
            <xdr:sp macro="" textlink="">
              <xdr:nvSpPr>
                <xdr:cNvPr id="73" name="TextBox 72">
                  <a:hlinkClick xmlns:r="http://schemas.openxmlformats.org/officeDocument/2006/relationships" r:id="rId14"/>
                  <a:extLst>
                    <a:ext uri="{FF2B5EF4-FFF2-40B4-BE49-F238E27FC236}">
                      <a16:creationId xmlns:a16="http://schemas.microsoft.com/office/drawing/2014/main" id="{C224C71A-A019-0A1C-49A6-C4AE46599C05}"/>
                    </a:ext>
                  </a:extLst>
                </xdr:cNvPr>
                <xdr:cNvSpPr txBox="1"/>
              </xdr:nvSpPr>
              <xdr:spPr>
                <a:xfrm>
                  <a:off x="9978309" y="0"/>
                  <a:ext cx="687187"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 (Y)</a:t>
                  </a:r>
                </a:p>
              </xdr:txBody>
            </xdr:sp>
            <xdr:pic>
              <xdr:nvPicPr>
                <xdr:cNvPr id="74" name="Picture 73">
                  <a:hlinkClick xmlns:r="http://schemas.openxmlformats.org/officeDocument/2006/relationships" r:id="rId14"/>
                  <a:extLst>
                    <a:ext uri="{FF2B5EF4-FFF2-40B4-BE49-F238E27FC236}">
                      <a16:creationId xmlns:a16="http://schemas.microsoft.com/office/drawing/2014/main" id="{4DE44985-50EC-357B-156F-D91E6E43855C}"/>
                    </a:ext>
                  </a:extLst>
                </xdr:cNvPr>
                <xdr:cNvPicPr>
                  <a:picLocks noChangeAspect="1"/>
                </xdr:cNvPicPr>
              </xdr:nvPicPr>
              <xdr:blipFill>
                <a:blip xmlns:r="http://schemas.openxmlformats.org/officeDocument/2006/relationships" r:embed="rId15" cstate="print">
                  <a:alphaModFix/>
                  <a:extLst>
                    <a:ext uri="{28A0092B-C50C-407E-A947-70E740481C1C}">
                      <a14:useLocalDpi xmlns:a14="http://schemas.microsoft.com/office/drawing/2010/main" val="0"/>
                    </a:ext>
                  </a:extLst>
                </a:blip>
                <a:stretch>
                  <a:fillRect/>
                </a:stretch>
              </xdr:blipFill>
              <xdr:spPr>
                <a:xfrm>
                  <a:off x="9777770" y="19549"/>
                  <a:ext cx="214188" cy="248554"/>
                </a:xfrm>
                <a:prstGeom prst="rect">
                  <a:avLst/>
                </a:prstGeom>
              </xdr:spPr>
            </xdr:pic>
            <xdr:sp macro="" textlink="">
              <xdr:nvSpPr>
                <xdr:cNvPr id="75" name="TextBox 74">
                  <a:hlinkClick xmlns:r="http://schemas.openxmlformats.org/officeDocument/2006/relationships" r:id="rId16"/>
                  <a:extLst>
                    <a:ext uri="{FF2B5EF4-FFF2-40B4-BE49-F238E27FC236}">
                      <a16:creationId xmlns:a16="http://schemas.microsoft.com/office/drawing/2014/main" id="{437FCE18-5930-52AF-488F-1A016A1C1612}"/>
                    </a:ext>
                  </a:extLst>
                </xdr:cNvPr>
                <xdr:cNvSpPr txBox="1"/>
              </xdr:nvSpPr>
              <xdr:spPr>
                <a:xfrm>
                  <a:off x="9133984" y="0"/>
                  <a:ext cx="49680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VERSUS</a:t>
                  </a:r>
                </a:p>
              </xdr:txBody>
            </xdr:sp>
            <xdr:pic>
              <xdr:nvPicPr>
                <xdr:cNvPr id="76" name="Picture 75">
                  <a:hlinkClick xmlns:r="http://schemas.openxmlformats.org/officeDocument/2006/relationships" r:id="rId16"/>
                  <a:extLst>
                    <a:ext uri="{FF2B5EF4-FFF2-40B4-BE49-F238E27FC236}">
                      <a16:creationId xmlns:a16="http://schemas.microsoft.com/office/drawing/2014/main" id="{3C5857B1-F093-025B-EF7E-265C6A37E863}"/>
                    </a:ext>
                  </a:extLst>
                </xdr:cNvPr>
                <xdr:cNvPicPr>
                  <a:picLocks noChangeAspect="1"/>
                </xdr:cNvPicPr>
              </xdr:nvPicPr>
              <xdr:blipFill>
                <a:blip xmlns:r="http://schemas.openxmlformats.org/officeDocument/2006/relationships" r:embed="rId17" cstate="print">
                  <a:alphaModFix/>
                  <a:extLst>
                    <a:ext uri="{28A0092B-C50C-407E-A947-70E740481C1C}">
                      <a14:useLocalDpi xmlns:a14="http://schemas.microsoft.com/office/drawing/2010/main" val="0"/>
                    </a:ext>
                  </a:extLst>
                </a:blip>
                <a:stretch>
                  <a:fillRect/>
                </a:stretch>
              </xdr:blipFill>
              <xdr:spPr>
                <a:xfrm>
                  <a:off x="8938203" y="19549"/>
                  <a:ext cx="214187" cy="248554"/>
                </a:xfrm>
                <a:prstGeom prst="rect">
                  <a:avLst/>
                </a:prstGeom>
              </xdr:spPr>
            </xdr:pic>
            <xdr:sp macro="" textlink="">
              <xdr:nvSpPr>
                <xdr:cNvPr id="77" name="TextBox 76">
                  <a:hlinkClick xmlns:r="http://schemas.openxmlformats.org/officeDocument/2006/relationships" r:id="rId18"/>
                  <a:extLst>
                    <a:ext uri="{FF2B5EF4-FFF2-40B4-BE49-F238E27FC236}">
                      <a16:creationId xmlns:a16="http://schemas.microsoft.com/office/drawing/2014/main" id="{036535A1-249B-C441-94D4-3EA1C6D244D6}"/>
                    </a:ext>
                  </a:extLst>
                </xdr:cNvPr>
                <xdr:cNvSpPr txBox="1"/>
              </xdr:nvSpPr>
              <xdr:spPr>
                <a:xfrm>
                  <a:off x="3510385" y="0"/>
                  <a:ext cx="52312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REPAIRS</a:t>
                  </a:r>
                </a:p>
              </xdr:txBody>
            </xdr:sp>
            <xdr:pic>
              <xdr:nvPicPr>
                <xdr:cNvPr id="78" name="Picture 77">
                  <a:hlinkClick xmlns:r="http://schemas.openxmlformats.org/officeDocument/2006/relationships" r:id="rId18"/>
                  <a:extLst>
                    <a:ext uri="{FF2B5EF4-FFF2-40B4-BE49-F238E27FC236}">
                      <a16:creationId xmlns:a16="http://schemas.microsoft.com/office/drawing/2014/main" id="{7D4C6E4F-97CB-40E4-51FE-2F7C7A0135C0}"/>
                    </a:ext>
                  </a:extLst>
                </xdr:cNvPr>
                <xdr:cNvPicPr>
                  <a:picLocks noChangeAspect="1"/>
                </xdr:cNvPicPr>
              </xdr:nvPicPr>
              <xdr:blipFill>
                <a:blip xmlns:r="http://schemas.openxmlformats.org/officeDocument/2006/relationships" r:embed="rId19" cstate="print">
                  <a:alphaModFix/>
                  <a:extLst>
                    <a:ext uri="{28A0092B-C50C-407E-A947-70E740481C1C}">
                      <a14:useLocalDpi xmlns:a14="http://schemas.microsoft.com/office/drawing/2010/main" val="0"/>
                    </a:ext>
                  </a:extLst>
                </a:blip>
                <a:stretch>
                  <a:fillRect/>
                </a:stretch>
              </xdr:blipFill>
              <xdr:spPr>
                <a:xfrm>
                  <a:off x="3296296" y="28376"/>
                  <a:ext cx="214435" cy="230900"/>
                </a:xfrm>
                <a:prstGeom prst="rect">
                  <a:avLst/>
                </a:prstGeom>
              </xdr:spPr>
            </xdr:pic>
            <xdr:sp macro="" textlink="">
              <xdr:nvSpPr>
                <xdr:cNvPr id="79" name="TextBox 78">
                  <a:hlinkClick xmlns:r="http://schemas.openxmlformats.org/officeDocument/2006/relationships" r:id="rId20"/>
                  <a:extLst>
                    <a:ext uri="{FF2B5EF4-FFF2-40B4-BE49-F238E27FC236}">
                      <a16:creationId xmlns:a16="http://schemas.microsoft.com/office/drawing/2014/main" id="{174CB3DF-8702-8A04-7ACA-8EC2099046E7}"/>
                    </a:ext>
                  </a:extLst>
                </xdr:cNvPr>
                <xdr:cNvSpPr txBox="1"/>
              </xdr:nvSpPr>
              <xdr:spPr>
                <a:xfrm>
                  <a:off x="4388587" y="0"/>
                  <a:ext cx="63170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FURNITURE</a:t>
                  </a:r>
                </a:p>
              </xdr:txBody>
            </xdr:sp>
            <xdr:pic>
              <xdr:nvPicPr>
                <xdr:cNvPr id="80" name="Picture 79">
                  <a:hlinkClick xmlns:r="http://schemas.openxmlformats.org/officeDocument/2006/relationships" r:id="rId20"/>
                  <a:extLst>
                    <a:ext uri="{FF2B5EF4-FFF2-40B4-BE49-F238E27FC236}">
                      <a16:creationId xmlns:a16="http://schemas.microsoft.com/office/drawing/2014/main" id="{D6C64CEE-067B-F590-625F-D033EE996B5D}"/>
                    </a:ext>
                  </a:extLst>
                </xdr:cNvPr>
                <xdr:cNvPicPr>
                  <a:picLocks noChangeAspect="1"/>
                </xdr:cNvPicPr>
              </xdr:nvPicPr>
              <xdr:blipFill>
                <a:blip xmlns:r="http://schemas.openxmlformats.org/officeDocument/2006/relationships" r:embed="rId21" cstate="print">
                  <a:alphaModFix/>
                  <a:extLst>
                    <a:ext uri="{28A0092B-C50C-407E-A947-70E740481C1C}">
                      <a14:useLocalDpi xmlns:a14="http://schemas.microsoft.com/office/drawing/2010/main" val="0"/>
                    </a:ext>
                  </a:extLst>
                </a:blip>
                <a:stretch>
                  <a:fillRect/>
                </a:stretch>
              </xdr:blipFill>
              <xdr:spPr>
                <a:xfrm>
                  <a:off x="4180491" y="28376"/>
                  <a:ext cx="214435" cy="230900"/>
                </a:xfrm>
                <a:prstGeom prst="rect">
                  <a:avLst/>
                </a:prstGeom>
              </xdr:spPr>
            </xdr:pic>
            <xdr:pic>
              <xdr:nvPicPr>
                <xdr:cNvPr id="81" name="Picture 80">
                  <a:hlinkClick xmlns:r="http://schemas.openxmlformats.org/officeDocument/2006/relationships" r:id="rId22"/>
                  <a:extLst>
                    <a:ext uri="{FF2B5EF4-FFF2-40B4-BE49-F238E27FC236}">
                      <a16:creationId xmlns:a16="http://schemas.microsoft.com/office/drawing/2014/main" id="{5FE5E639-EA7E-0C7A-5F3F-5A84241C2FC4}"/>
                    </a:ext>
                  </a:extLst>
                </xdr:cNvPr>
                <xdr:cNvPicPr>
                  <a:picLocks noChangeAspect="1"/>
                </xdr:cNvPicPr>
              </xdr:nvPicPr>
              <xdr:blipFill>
                <a:blip xmlns:r="http://schemas.openxmlformats.org/officeDocument/2006/relationships" r:embed="rId23" cstate="print">
                  <a:alphaModFix/>
                  <a:extLst>
                    <a:ext uri="{28A0092B-C50C-407E-A947-70E740481C1C}">
                      <a14:useLocalDpi xmlns:a14="http://schemas.microsoft.com/office/drawing/2010/main" val="0"/>
                    </a:ext>
                  </a:extLst>
                </a:blip>
                <a:stretch>
                  <a:fillRect/>
                </a:stretch>
              </xdr:blipFill>
              <xdr:spPr>
                <a:xfrm>
                  <a:off x="10812480" y="19549"/>
                  <a:ext cx="214188" cy="248554"/>
                </a:xfrm>
                <a:prstGeom prst="rect">
                  <a:avLst/>
                </a:prstGeom>
              </xdr:spPr>
            </xdr:pic>
            <xdr:sp macro="" textlink="">
              <xdr:nvSpPr>
                <xdr:cNvPr id="82" name="TextBox 81">
                  <a:hlinkClick xmlns:r="http://schemas.openxmlformats.org/officeDocument/2006/relationships" r:id="rId22"/>
                  <a:extLst>
                    <a:ext uri="{FF2B5EF4-FFF2-40B4-BE49-F238E27FC236}">
                      <a16:creationId xmlns:a16="http://schemas.microsoft.com/office/drawing/2014/main" id="{B4E75E8C-81B5-9D90-5085-1CAC2E3E4A1E}"/>
                    </a:ext>
                  </a:extLst>
                </xdr:cNvPr>
                <xdr:cNvSpPr txBox="1"/>
              </xdr:nvSpPr>
              <xdr:spPr>
                <a:xfrm>
                  <a:off x="11008843" y="0"/>
                  <a:ext cx="40705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PEERS</a:t>
                  </a:r>
                </a:p>
              </xdr:txBody>
            </xdr:sp>
            <xdr:sp macro="" textlink="">
              <xdr:nvSpPr>
                <xdr:cNvPr id="83" name="TextBox 82">
                  <a:hlinkClick xmlns:r="http://schemas.openxmlformats.org/officeDocument/2006/relationships" r:id="rId24"/>
                  <a:extLst>
                    <a:ext uri="{FF2B5EF4-FFF2-40B4-BE49-F238E27FC236}">
                      <a16:creationId xmlns:a16="http://schemas.microsoft.com/office/drawing/2014/main" id="{0688F6EC-9194-CE47-8466-01398C54FEFF}"/>
                    </a:ext>
                  </a:extLst>
                </xdr:cNvPr>
                <xdr:cNvSpPr txBox="1"/>
              </xdr:nvSpPr>
              <xdr:spPr>
                <a:xfrm>
                  <a:off x="9581756" y="397481"/>
                  <a:ext cx="656781"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MAX PRICE</a:t>
                  </a:r>
                </a:p>
              </xdr:txBody>
            </xdr:sp>
            <xdr:pic>
              <xdr:nvPicPr>
                <xdr:cNvPr id="84" name="Picture 83">
                  <a:hlinkClick xmlns:r="http://schemas.openxmlformats.org/officeDocument/2006/relationships" r:id="rId24"/>
                  <a:extLst>
                    <a:ext uri="{FF2B5EF4-FFF2-40B4-BE49-F238E27FC236}">
                      <a16:creationId xmlns:a16="http://schemas.microsoft.com/office/drawing/2014/main" id="{F86F02B8-CADC-EE89-3779-18455C3591B3}"/>
                    </a:ext>
                  </a:extLst>
                </xdr:cNvPr>
                <xdr:cNvPicPr>
                  <a:picLocks noChangeAspect="1"/>
                </xdr:cNvPicPr>
              </xdr:nvPicPr>
              <xdr:blipFill>
                <a:blip xmlns:r="http://schemas.openxmlformats.org/officeDocument/2006/relationships" r:embed="rId25" cstate="print">
                  <a:alphaModFix/>
                  <a:extLst>
                    <a:ext uri="{28A0092B-C50C-407E-A947-70E740481C1C}">
                      <a14:useLocalDpi xmlns:a14="http://schemas.microsoft.com/office/drawing/2010/main" val="0"/>
                    </a:ext>
                  </a:extLst>
                </a:blip>
                <a:stretch>
                  <a:fillRect/>
                </a:stretch>
              </xdr:blipFill>
              <xdr:spPr>
                <a:xfrm>
                  <a:off x="9433997" y="425857"/>
                  <a:ext cx="214435" cy="230900"/>
                </a:xfrm>
                <a:prstGeom prst="rect">
                  <a:avLst/>
                </a:prstGeom>
              </xdr:spPr>
            </xdr:pic>
            <xdr:sp macro="" textlink="">
              <xdr:nvSpPr>
                <xdr:cNvPr id="85" name="TextBox 84">
                  <a:hlinkClick xmlns:r="http://schemas.openxmlformats.org/officeDocument/2006/relationships" r:id="rId26"/>
                  <a:extLst>
                    <a:ext uri="{FF2B5EF4-FFF2-40B4-BE49-F238E27FC236}">
                      <a16:creationId xmlns:a16="http://schemas.microsoft.com/office/drawing/2014/main" id="{AE03DBA5-9B1D-78E8-F6E9-6397F8CD1EAF}"/>
                    </a:ext>
                  </a:extLst>
                </xdr:cNvPr>
                <xdr:cNvSpPr txBox="1"/>
              </xdr:nvSpPr>
              <xdr:spPr>
                <a:xfrm>
                  <a:off x="7733272" y="389861"/>
                  <a:ext cx="6384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SCENARIOS</a:t>
                  </a:r>
                </a:p>
              </xdr:txBody>
            </xdr:sp>
            <xdr:pic>
              <xdr:nvPicPr>
                <xdr:cNvPr id="86" name="Picture 85">
                  <a:hlinkClick xmlns:r="http://schemas.openxmlformats.org/officeDocument/2006/relationships" r:id="rId26"/>
                  <a:extLst>
                    <a:ext uri="{FF2B5EF4-FFF2-40B4-BE49-F238E27FC236}">
                      <a16:creationId xmlns:a16="http://schemas.microsoft.com/office/drawing/2014/main" id="{8B53FDD0-D56A-A374-6160-A0A498E27A1A}"/>
                    </a:ext>
                  </a:extLst>
                </xdr:cNvPr>
                <xdr:cNvPicPr>
                  <a:picLocks noChangeAspect="1"/>
                </xdr:cNvPicPr>
              </xdr:nvPicPr>
              <xdr:blipFill>
                <a:blip xmlns:r="http://schemas.openxmlformats.org/officeDocument/2006/relationships" r:embed="rId27" cstate="print">
                  <a:alphaModFix/>
                  <a:extLst>
                    <a:ext uri="{28A0092B-C50C-407E-A947-70E740481C1C}">
                      <a14:useLocalDpi xmlns:a14="http://schemas.microsoft.com/office/drawing/2010/main" val="0"/>
                    </a:ext>
                  </a:extLst>
                </a:blip>
                <a:stretch>
                  <a:fillRect/>
                </a:stretch>
              </xdr:blipFill>
              <xdr:spPr>
                <a:xfrm>
                  <a:off x="7536090" y="418237"/>
                  <a:ext cx="214435" cy="230900"/>
                </a:xfrm>
                <a:prstGeom prst="rect">
                  <a:avLst/>
                </a:prstGeom>
              </xdr:spPr>
            </xdr:pic>
            <xdr:sp macro="" textlink="">
              <xdr:nvSpPr>
                <xdr:cNvPr id="87" name="TextBox 86">
                  <a:hlinkClick xmlns:r="http://schemas.openxmlformats.org/officeDocument/2006/relationships" r:id="rId28"/>
                  <a:extLst>
                    <a:ext uri="{FF2B5EF4-FFF2-40B4-BE49-F238E27FC236}">
                      <a16:creationId xmlns:a16="http://schemas.microsoft.com/office/drawing/2014/main" id="{FB928E62-FA1E-D4E8-3A06-D61F187F890C}"/>
                    </a:ext>
                  </a:extLst>
                </xdr:cNvPr>
                <xdr:cNvSpPr txBox="1"/>
              </xdr:nvSpPr>
              <xdr:spPr>
                <a:xfrm>
                  <a:off x="11757467" y="49286"/>
                  <a:ext cx="110218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MARKET RESEARCH</a:t>
                  </a:r>
                </a:p>
              </xdr:txBody>
            </xdr:sp>
            <xdr:pic>
              <xdr:nvPicPr>
                <xdr:cNvPr id="88" name="Picture 87" descr="A white and brown hourglass&#10;&#10;AI-generated content may be incorrect.">
                  <a:hlinkClick xmlns:r="http://schemas.openxmlformats.org/officeDocument/2006/relationships" r:id="rId28"/>
                  <a:extLst>
                    <a:ext uri="{FF2B5EF4-FFF2-40B4-BE49-F238E27FC236}">
                      <a16:creationId xmlns:a16="http://schemas.microsoft.com/office/drawing/2014/main" id="{CBC57E10-CA74-BDAB-E4DC-063809E3CCB0}"/>
                    </a:ext>
                  </a:extLst>
                </xdr:cNvPr>
                <xdr:cNvPicPr>
                  <a:picLocks noChangeAspect="1"/>
                </xdr:cNvPicPr>
              </xdr:nvPicPr>
              <xdr:blipFill>
                <a:blip xmlns:r="http://schemas.openxmlformats.org/officeDocument/2006/relationships" r:embed="rId29" cstate="print">
                  <a:alphaModFix/>
                  <a:extLst>
                    <a:ext uri="{28A0092B-C50C-407E-A947-70E740481C1C}">
                      <a14:useLocalDpi xmlns:a14="http://schemas.microsoft.com/office/drawing/2010/main" val="0"/>
                    </a:ext>
                  </a:extLst>
                </a:blip>
                <a:stretch>
                  <a:fillRect/>
                </a:stretch>
              </xdr:blipFill>
              <xdr:spPr>
                <a:xfrm>
                  <a:off x="11563464" y="33893"/>
                  <a:ext cx="235575" cy="261687"/>
                </a:xfrm>
                <a:prstGeom prst="rect">
                  <a:avLst/>
                </a:prstGeom>
              </xdr:spPr>
            </xdr:pic>
            <xdr:pic>
              <xdr:nvPicPr>
                <xdr:cNvPr id="89" name="Picture 88">
                  <a:hlinkClick xmlns:r="http://schemas.openxmlformats.org/officeDocument/2006/relationships" r:id="rId30"/>
                  <a:extLst>
                    <a:ext uri="{FF2B5EF4-FFF2-40B4-BE49-F238E27FC236}">
                      <a16:creationId xmlns:a16="http://schemas.microsoft.com/office/drawing/2014/main" id="{221B3922-AB70-7221-87E2-0B8CC38F217B}"/>
                    </a:ext>
                  </a:extLst>
                </xdr:cNvPr>
                <xdr:cNvPicPr>
                  <a:picLocks noChangeAspect="1" noChangeArrowheads="1"/>
                </xdr:cNvPicPr>
              </xdr:nvPicPr>
              <xdr:blipFill>
                <a:blip xmlns:r="http://schemas.openxmlformats.org/officeDocument/2006/relationships" r:embed="rId3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33032" y="384834"/>
                  <a:ext cx="261600" cy="33288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0" name="TextBox 89">
                  <a:hlinkClick xmlns:r="http://schemas.openxmlformats.org/officeDocument/2006/relationships" r:id="rId30"/>
                  <a:extLst>
                    <a:ext uri="{FF2B5EF4-FFF2-40B4-BE49-F238E27FC236}">
                      <a16:creationId xmlns:a16="http://schemas.microsoft.com/office/drawing/2014/main" id="{43AE4E3F-D2F9-1B81-0F66-CB2A73448FF8}"/>
                    </a:ext>
                  </a:extLst>
                </xdr:cNvPr>
                <xdr:cNvSpPr txBox="1"/>
              </xdr:nvSpPr>
              <xdr:spPr>
                <a:xfrm>
                  <a:off x="3637195" y="315564"/>
                  <a:ext cx="914586" cy="433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BALANCE SHEET</a:t>
                  </a:r>
                </a:p>
                <a:p>
                  <a:pPr algn="ctr"/>
                  <a:r>
                    <a:rPr lang="en-US" sz="900" b="1">
                      <a:solidFill>
                        <a:schemeClr val="bg1"/>
                      </a:solidFill>
                    </a:rPr>
                    <a:t>SUMMARY</a:t>
                  </a:r>
                </a:p>
              </xdr:txBody>
            </xdr:sp>
            <xdr:pic>
              <xdr:nvPicPr>
                <xdr:cNvPr id="91" name="Picture 90">
                  <a:hlinkClick xmlns:r="http://schemas.openxmlformats.org/officeDocument/2006/relationships" r:id="rId32"/>
                  <a:extLst>
                    <a:ext uri="{FF2B5EF4-FFF2-40B4-BE49-F238E27FC236}">
                      <a16:creationId xmlns:a16="http://schemas.microsoft.com/office/drawing/2014/main" id="{0E48AB24-A3D6-A1D5-8357-AF0537162D6D}"/>
                    </a:ext>
                  </a:extLst>
                </xdr:cNvPr>
                <xdr:cNvPicPr>
                  <a:picLocks noChangeAspect="1" noChangeArrowheads="1"/>
                </xdr:cNvPicPr>
              </xdr:nvPicPr>
              <xdr:blipFill>
                <a:blip xmlns:r="http://schemas.openxmlformats.org/officeDocument/2006/relationships" r:embed="rId33" cstate="print">
                  <a:clrChange>
                    <a:clrFrom>
                      <a:srgbClr val="F8F8F8"/>
                    </a:clrFrom>
                    <a:clrTo>
                      <a:srgbClr val="F8F8F8">
                        <a:alpha val="0"/>
                      </a:srgbClr>
                    </a:clrTo>
                  </a:clrChange>
                  <a:extLst>
                    <a:ext uri="{28A0092B-C50C-407E-A947-70E740481C1C}">
                      <a14:useLocalDpi xmlns:a14="http://schemas.microsoft.com/office/drawing/2010/main" val="0"/>
                    </a:ext>
                  </a:extLst>
                </a:blip>
                <a:srcRect/>
                <a:stretch>
                  <a:fillRect/>
                </a:stretch>
              </xdr:blipFill>
              <xdr:spPr bwMode="auto">
                <a:xfrm>
                  <a:off x="4602713" y="384834"/>
                  <a:ext cx="326621" cy="3113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2" name="TextBox 91">
                  <a:hlinkClick xmlns:r="http://schemas.openxmlformats.org/officeDocument/2006/relationships" r:id="rId32"/>
                  <a:extLst>
                    <a:ext uri="{FF2B5EF4-FFF2-40B4-BE49-F238E27FC236}">
                      <a16:creationId xmlns:a16="http://schemas.microsoft.com/office/drawing/2014/main" id="{E1D3C175-5707-1193-F06E-69C15DD6BB84}"/>
                    </a:ext>
                  </a:extLst>
                </xdr:cNvPr>
                <xdr:cNvSpPr txBox="1"/>
              </xdr:nvSpPr>
              <xdr:spPr>
                <a:xfrm>
                  <a:off x="4880678" y="423317"/>
                  <a:ext cx="56334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ASSETS</a:t>
                  </a:r>
                </a:p>
              </xdr:txBody>
            </xdr:sp>
            <xdr:pic>
              <xdr:nvPicPr>
                <xdr:cNvPr id="93" name="Picture 92">
                  <a:hlinkClick xmlns:r="http://schemas.openxmlformats.org/officeDocument/2006/relationships" r:id="rId34"/>
                  <a:extLst>
                    <a:ext uri="{FF2B5EF4-FFF2-40B4-BE49-F238E27FC236}">
                      <a16:creationId xmlns:a16="http://schemas.microsoft.com/office/drawing/2014/main" id="{828BA0E3-724D-4776-0663-7B031E798D94}"/>
                    </a:ext>
                  </a:extLst>
                </xdr:cNvPr>
                <xdr:cNvPicPr>
                  <a:picLocks noChangeAspect="1" noChangeArrowheads="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35903" y="354046"/>
                  <a:ext cx="278234" cy="3540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4" name="TextBox 93">
                  <a:hlinkClick xmlns:r="http://schemas.openxmlformats.org/officeDocument/2006/relationships" r:id="rId34"/>
                  <a:extLst>
                    <a:ext uri="{FF2B5EF4-FFF2-40B4-BE49-F238E27FC236}">
                      <a16:creationId xmlns:a16="http://schemas.microsoft.com/office/drawing/2014/main" id="{2186C4F6-3299-D527-E6AF-BFB757C3D2CD}"/>
                    </a:ext>
                  </a:extLst>
                </xdr:cNvPr>
                <xdr:cNvSpPr txBox="1"/>
              </xdr:nvSpPr>
              <xdr:spPr>
                <a:xfrm>
                  <a:off x="5717678" y="431014"/>
                  <a:ext cx="750091"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LIABILITIES</a:t>
                  </a:r>
                </a:p>
              </xdr:txBody>
            </xdr:sp>
            <xdr:pic>
              <xdr:nvPicPr>
                <xdr:cNvPr id="95" name="Picture 94">
                  <a:hlinkClick xmlns:r="http://schemas.openxmlformats.org/officeDocument/2006/relationships" r:id="rId36"/>
                  <a:extLst>
                    <a:ext uri="{FF2B5EF4-FFF2-40B4-BE49-F238E27FC236}">
                      <a16:creationId xmlns:a16="http://schemas.microsoft.com/office/drawing/2014/main" id="{D21087B2-6687-089E-AE03-964B6FBFE1C3}"/>
                    </a:ext>
                  </a:extLst>
                </xdr:cNvPr>
                <xdr:cNvPicPr>
                  <a:picLocks noChangeAspect="1"/>
                </xdr:cNvPicPr>
              </xdr:nvPicPr>
              <xdr:blipFill>
                <a:blip xmlns:r="http://schemas.openxmlformats.org/officeDocument/2006/relationships" r:embed="rId37">
                  <a:clrChange>
                    <a:clrFrom>
                      <a:srgbClr val="FFFFFF"/>
                    </a:clrFrom>
                    <a:clrTo>
                      <a:srgbClr val="FFFFFF">
                        <a:alpha val="0"/>
                      </a:srgbClr>
                    </a:clrTo>
                  </a:clrChange>
                </a:blip>
                <a:stretch>
                  <a:fillRect/>
                </a:stretch>
              </xdr:blipFill>
              <xdr:spPr>
                <a:xfrm>
                  <a:off x="6454424" y="361268"/>
                  <a:ext cx="368693" cy="354523"/>
                </a:xfrm>
                <a:prstGeom prst="rect">
                  <a:avLst/>
                </a:prstGeom>
              </xdr:spPr>
            </xdr:pic>
            <xdr:sp macro="" textlink="">
              <xdr:nvSpPr>
                <xdr:cNvPr id="96" name="TextBox 95">
                  <a:hlinkClick xmlns:r="http://schemas.openxmlformats.org/officeDocument/2006/relationships" r:id="rId36"/>
                  <a:extLst>
                    <a:ext uri="{FF2B5EF4-FFF2-40B4-BE49-F238E27FC236}">
                      <a16:creationId xmlns:a16="http://schemas.microsoft.com/office/drawing/2014/main" id="{B78561CE-0EBC-1935-4515-AEEFD06A5C98}"/>
                    </a:ext>
                  </a:extLst>
                </xdr:cNvPr>
                <xdr:cNvSpPr txBox="1"/>
              </xdr:nvSpPr>
              <xdr:spPr>
                <a:xfrm>
                  <a:off x="6742924" y="369440"/>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EDIT</a:t>
                  </a:r>
                </a:p>
                <a:p>
                  <a:r>
                    <a:rPr lang="en-US" sz="900" b="1">
                      <a:solidFill>
                        <a:schemeClr val="bg1"/>
                      </a:solidFill>
                    </a:rPr>
                    <a:t>CATEGORIES</a:t>
                  </a:r>
                </a:p>
              </xdr:txBody>
            </xdr:sp>
            <xdr:grpSp>
              <xdr:nvGrpSpPr>
                <xdr:cNvPr id="97" name="Group 96">
                  <a:hlinkClick xmlns:r="http://schemas.openxmlformats.org/officeDocument/2006/relationships" r:id="rId38"/>
                  <a:extLst>
                    <a:ext uri="{FF2B5EF4-FFF2-40B4-BE49-F238E27FC236}">
                      <a16:creationId xmlns:a16="http://schemas.microsoft.com/office/drawing/2014/main" id="{D2B6B250-E00F-AD26-06E4-F72A5709ADB9}"/>
                    </a:ext>
                  </a:extLst>
                </xdr:cNvPr>
                <xdr:cNvGrpSpPr/>
              </xdr:nvGrpSpPr>
              <xdr:grpSpPr>
                <a:xfrm>
                  <a:off x="10231249" y="237461"/>
                  <a:ext cx="1281586" cy="502920"/>
                  <a:chOff x="11732389" y="237461"/>
                  <a:chExt cx="1281586" cy="502920"/>
                </a:xfrm>
              </xdr:grpSpPr>
              <xdr:pic>
                <xdr:nvPicPr>
                  <xdr:cNvPr id="98" name="Picture 97">
                    <a:hlinkClick xmlns:r="http://schemas.openxmlformats.org/officeDocument/2006/relationships" r:id="rId39"/>
                    <a:extLst>
                      <a:ext uri="{FF2B5EF4-FFF2-40B4-BE49-F238E27FC236}">
                        <a16:creationId xmlns:a16="http://schemas.microsoft.com/office/drawing/2014/main" id="{ED7EED05-B026-9CAE-3384-980CC752155B}"/>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1732389" y="237461"/>
                    <a:ext cx="502920" cy="502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9" name="TextBox 98">
                    <a:hlinkClick xmlns:r="http://schemas.openxmlformats.org/officeDocument/2006/relationships" r:id="rId39"/>
                    <a:extLst>
                      <a:ext uri="{FF2B5EF4-FFF2-40B4-BE49-F238E27FC236}">
                        <a16:creationId xmlns:a16="http://schemas.microsoft.com/office/drawing/2014/main" id="{F9A19F0B-78C3-0612-B5F8-4BCD369BD046}"/>
                      </a:ext>
                    </a:extLst>
                  </xdr:cNvPr>
                  <xdr:cNvSpPr txBox="1"/>
                </xdr:nvSpPr>
                <xdr:spPr>
                  <a:xfrm>
                    <a:off x="12197209" y="344142"/>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 GAME APPS</a:t>
                    </a:r>
                  </a:p>
                </xdr:txBody>
              </xdr:sp>
            </xdr:grpSp>
          </xdr:grpSp>
          <xdr:grpSp>
            <xdr:nvGrpSpPr>
              <xdr:cNvPr id="58" name="Group 57">
                <a:extLst>
                  <a:ext uri="{FF2B5EF4-FFF2-40B4-BE49-F238E27FC236}">
                    <a16:creationId xmlns:a16="http://schemas.microsoft.com/office/drawing/2014/main" id="{06A58928-5D0A-97FE-91F6-C616EEFF0BC0}"/>
                  </a:ext>
                </a:extLst>
              </xdr:cNvPr>
              <xdr:cNvGrpSpPr/>
            </xdr:nvGrpSpPr>
            <xdr:grpSpPr>
              <a:xfrm>
                <a:off x="3030070" y="313765"/>
                <a:ext cx="1219410" cy="438976"/>
                <a:chOff x="3030070" y="313765"/>
                <a:chExt cx="1219410" cy="438976"/>
              </a:xfrm>
            </xdr:grpSpPr>
            <xdr:sp macro="" textlink="">
              <xdr:nvSpPr>
                <xdr:cNvPr id="59" name="TextBox 58">
                  <a:hlinkClick xmlns:r="http://schemas.openxmlformats.org/officeDocument/2006/relationships" r:id="rId41"/>
                  <a:extLst>
                    <a:ext uri="{FF2B5EF4-FFF2-40B4-BE49-F238E27FC236}">
                      <a16:creationId xmlns:a16="http://schemas.microsoft.com/office/drawing/2014/main" id="{3BC6E149-5B28-C2CE-B32F-EDA47405BAF1}"/>
                    </a:ext>
                  </a:extLst>
                </xdr:cNvPr>
                <xdr:cNvSpPr txBox="1"/>
              </xdr:nvSpPr>
              <xdr:spPr>
                <a:xfrm>
                  <a:off x="3307528" y="313765"/>
                  <a:ext cx="941952" cy="43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BOOK KEEPING</a:t>
                  </a:r>
                </a:p>
                <a:p>
                  <a:pPr algn="ctr"/>
                  <a:r>
                    <a:rPr lang="en-US" sz="900" b="1">
                      <a:solidFill>
                        <a:schemeClr val="bg1"/>
                      </a:solidFill>
                    </a:rPr>
                    <a:t>LEDGER</a:t>
                  </a:r>
                </a:p>
              </xdr:txBody>
            </xdr:sp>
            <xdr:pic>
              <xdr:nvPicPr>
                <xdr:cNvPr id="60" name="Picture 59">
                  <a:hlinkClick xmlns:r="http://schemas.openxmlformats.org/officeDocument/2006/relationships" r:id="rId41"/>
                  <a:extLst>
                    <a:ext uri="{FF2B5EF4-FFF2-40B4-BE49-F238E27FC236}">
                      <a16:creationId xmlns:a16="http://schemas.microsoft.com/office/drawing/2014/main" id="{D9E0EDB1-D6F4-0C2D-0D95-93426990BCE6}"/>
                    </a:ext>
                  </a:extLst>
                </xdr:cNvPr>
                <xdr:cNvPicPr>
                  <a:picLocks noChangeAspect="1"/>
                </xdr:cNvPicPr>
              </xdr:nvPicPr>
              <xdr:blipFill>
                <a:blip xmlns:r="http://schemas.openxmlformats.org/officeDocument/2006/relationships" r:embed="rId4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0070" y="367554"/>
                  <a:ext cx="327770" cy="349622"/>
                </a:xfrm>
                <a:prstGeom prst="rect">
                  <a:avLst/>
                </a:prstGeom>
              </xdr:spPr>
            </xdr:pic>
          </xdr:grpSp>
        </xdr:grpSp>
        <xdr:grpSp>
          <xdr:nvGrpSpPr>
            <xdr:cNvPr id="54" name="Group 53">
              <a:extLst>
                <a:ext uri="{FF2B5EF4-FFF2-40B4-BE49-F238E27FC236}">
                  <a16:creationId xmlns:a16="http://schemas.microsoft.com/office/drawing/2014/main" id="{191BF1C2-D0BD-A7EE-9568-7F066587F1DF}"/>
                </a:ext>
              </a:extLst>
            </xdr:cNvPr>
            <xdr:cNvGrpSpPr/>
          </xdr:nvGrpSpPr>
          <xdr:grpSpPr>
            <a:xfrm>
              <a:off x="12626340" y="243840"/>
              <a:ext cx="1344125" cy="571500"/>
              <a:chOff x="12626340" y="243840"/>
              <a:chExt cx="1344125" cy="571500"/>
            </a:xfrm>
          </xdr:grpSpPr>
          <xdr:pic>
            <xdr:nvPicPr>
              <xdr:cNvPr id="55" name="Picture 54">
                <a:hlinkClick xmlns:r="http://schemas.openxmlformats.org/officeDocument/2006/relationships" r:id="rId43"/>
                <a:extLst>
                  <a:ext uri="{FF2B5EF4-FFF2-40B4-BE49-F238E27FC236}">
                    <a16:creationId xmlns:a16="http://schemas.microsoft.com/office/drawing/2014/main" id="{6A5511C6-515F-0595-B199-40E2F3BF8C56}"/>
                  </a:ext>
                </a:extLst>
              </xdr:cNvPr>
              <xdr:cNvPicPr>
                <a:picLocks noChangeAspect="1" noChangeArrowheads="1"/>
              </xdr:cNvPicPr>
            </xdr:nvPicPr>
            <xdr:blipFill>
              <a:blip xmlns:r="http://schemas.openxmlformats.org/officeDocument/2006/relationships" r:embed="rId4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26340" y="243840"/>
                <a:ext cx="571500" cy="571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6" name="TextBox 55">
                <a:hlinkClick xmlns:r="http://schemas.openxmlformats.org/officeDocument/2006/relationships" r:id="rId43"/>
                <a:extLst>
                  <a:ext uri="{FF2B5EF4-FFF2-40B4-BE49-F238E27FC236}">
                    <a16:creationId xmlns:a16="http://schemas.microsoft.com/office/drawing/2014/main" id="{B4E9889A-7DBC-006E-4713-A055E2B24DD0}"/>
                  </a:ext>
                </a:extLst>
              </xdr:cNvPr>
              <xdr:cNvSpPr txBox="1"/>
            </xdr:nvSpPr>
            <xdr:spPr>
              <a:xfrm>
                <a:off x="13129260" y="327660"/>
                <a:ext cx="841205" cy="4000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TRAVEL</a:t>
                </a:r>
              </a:p>
              <a:p>
                <a:pPr algn="ctr"/>
                <a:r>
                  <a:rPr lang="en-US" sz="900" b="1">
                    <a:solidFill>
                      <a:schemeClr val="bg1"/>
                    </a:solidFill>
                  </a:rPr>
                  <a:t>SANDBOX</a:t>
                </a:r>
              </a:p>
            </xdr:txBody>
          </xdr:sp>
        </xdr:grpSp>
      </xdr:grpSp>
      <xdr:pic>
        <xdr:nvPicPr>
          <xdr:cNvPr id="52" name="Picture 51">
            <a:hlinkClick xmlns:r="http://schemas.openxmlformats.org/officeDocument/2006/relationships" r:id="rId11"/>
            <a:extLst>
              <a:ext uri="{FF2B5EF4-FFF2-40B4-BE49-F238E27FC236}">
                <a16:creationId xmlns:a16="http://schemas.microsoft.com/office/drawing/2014/main" id="{3C370430-5327-AB8D-4B8F-5579CF039E76}"/>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34100" y="30480"/>
            <a:ext cx="234698" cy="246078"/>
          </a:xfrm>
          <a:prstGeom prst="rect">
            <a:avLst/>
          </a:prstGeom>
          <a:solidFill>
            <a:srgbClr val="7FA6C7"/>
          </a:solidFill>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20</xdr:col>
      <xdr:colOff>152400</xdr:colOff>
      <xdr:row>17</xdr:row>
      <xdr:rowOff>76200</xdr:rowOff>
    </xdr:from>
    <xdr:to>
      <xdr:col>33</xdr:col>
      <xdr:colOff>95250</xdr:colOff>
      <xdr:row>18</xdr:row>
      <xdr:rowOff>85725</xdr:rowOff>
    </xdr:to>
    <xdr:sp macro="" textlink="">
      <xdr:nvSpPr>
        <xdr:cNvPr id="15" name="Rectangle 14">
          <a:extLst>
            <a:ext uri="{FF2B5EF4-FFF2-40B4-BE49-F238E27FC236}">
              <a16:creationId xmlns:a16="http://schemas.microsoft.com/office/drawing/2014/main" id="{4D02D62F-E4D4-481B-A42E-0DF9087853B8}"/>
            </a:ext>
          </a:extLst>
        </xdr:cNvPr>
        <xdr:cNvSpPr/>
      </xdr:nvSpPr>
      <xdr:spPr>
        <a:xfrm>
          <a:off x="3962400" y="2981325"/>
          <a:ext cx="2419350" cy="200025"/>
        </a:xfrm>
        <a:prstGeom prst="rect">
          <a:avLst/>
        </a:prstGeom>
        <a:solidFill>
          <a:schemeClr val="bg1">
            <a:lumMod val="95000"/>
          </a:schemeClr>
        </a:solidFill>
        <a:ln>
          <a:solidFill>
            <a:schemeClr val="accent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0" i="1">
              <a:solidFill>
                <a:schemeClr val="tx1">
                  <a:lumMod val="65000"/>
                  <a:lumOff val="35000"/>
                </a:schemeClr>
              </a:solidFill>
              <a:latin typeface="Arial" panose="020B0604020202020204" pitchFamily="34" charset="0"/>
              <a:cs typeface="Arial" panose="020B0604020202020204" pitchFamily="34" charset="0"/>
            </a:rPr>
            <a:t>Check acquisition</a:t>
          </a:r>
          <a:r>
            <a:rPr lang="en-US" sz="800" b="0" i="1" baseline="0">
              <a:solidFill>
                <a:schemeClr val="tx1">
                  <a:lumMod val="65000"/>
                  <a:lumOff val="35000"/>
                </a:schemeClr>
              </a:solidFill>
              <a:latin typeface="Arial" panose="020B0604020202020204" pitchFamily="34" charset="0"/>
              <a:cs typeface="Arial" panose="020B0604020202020204" pitchFamily="34" charset="0"/>
            </a:rPr>
            <a:t> costs to be financed with debt</a:t>
          </a:r>
          <a:endParaRPr lang="en-US" sz="800" b="0" i="1">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editAs="oneCell">
    <xdr:from>
      <xdr:col>28</xdr:col>
      <xdr:colOff>144780</xdr:colOff>
      <xdr:row>11</xdr:row>
      <xdr:rowOff>137160</xdr:rowOff>
    </xdr:from>
    <xdr:to>
      <xdr:col>30</xdr:col>
      <xdr:colOff>15240</xdr:colOff>
      <xdr:row>13</xdr:row>
      <xdr:rowOff>7620</xdr:rowOff>
    </xdr:to>
    <xdr:sp macro="" textlink="">
      <xdr:nvSpPr>
        <xdr:cNvPr id="3080" name="Check Box 8" hidden="1">
          <a:extLst>
            <a:ext uri="{63B3BB69-23CF-44E3-9099-C40C66FF867C}">
              <a14:compatExt xmlns:a14="http://schemas.microsoft.com/office/drawing/2010/main" spid="_x0000_s3080"/>
            </a:ext>
            <a:ext uri="{FF2B5EF4-FFF2-40B4-BE49-F238E27FC236}">
              <a16:creationId xmlns:a16="http://schemas.microsoft.com/office/drawing/2014/main" id="{00000000-0008-0000-0900-000008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144780</xdr:colOff>
      <xdr:row>12</xdr:row>
      <xdr:rowOff>137160</xdr:rowOff>
    </xdr:from>
    <xdr:to>
      <xdr:col>30</xdr:col>
      <xdr:colOff>15240</xdr:colOff>
      <xdr:row>14</xdr:row>
      <xdr:rowOff>7620</xdr:rowOff>
    </xdr:to>
    <xdr:sp macro="" textlink="">
      <xdr:nvSpPr>
        <xdr:cNvPr id="3081" name="Check Box 9" hidden="1">
          <a:extLst>
            <a:ext uri="{63B3BB69-23CF-44E3-9099-C40C66FF867C}">
              <a14:compatExt xmlns:a14="http://schemas.microsoft.com/office/drawing/2010/main" spid="_x0000_s3081"/>
            </a:ext>
            <a:ext uri="{FF2B5EF4-FFF2-40B4-BE49-F238E27FC236}">
              <a16:creationId xmlns:a16="http://schemas.microsoft.com/office/drawing/2014/main" id="{00000000-0008-0000-0900-000009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144780</xdr:colOff>
      <xdr:row>13</xdr:row>
      <xdr:rowOff>129540</xdr:rowOff>
    </xdr:from>
    <xdr:to>
      <xdr:col>30</xdr:col>
      <xdr:colOff>15240</xdr:colOff>
      <xdr:row>15</xdr:row>
      <xdr:rowOff>0</xdr:rowOff>
    </xdr:to>
    <xdr:sp macro="" textlink="">
      <xdr:nvSpPr>
        <xdr:cNvPr id="3082" name="Check Box 10" hidden="1">
          <a:extLst>
            <a:ext uri="{63B3BB69-23CF-44E3-9099-C40C66FF867C}">
              <a14:compatExt xmlns:a14="http://schemas.microsoft.com/office/drawing/2010/main" spid="_x0000_s3082"/>
            </a:ext>
            <a:ext uri="{FF2B5EF4-FFF2-40B4-BE49-F238E27FC236}">
              <a16:creationId xmlns:a16="http://schemas.microsoft.com/office/drawing/2014/main" id="{00000000-0008-0000-0900-00000A0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28</xdr:col>
          <xdr:colOff>144780</xdr:colOff>
          <xdr:row>14</xdr:row>
          <xdr:rowOff>129540</xdr:rowOff>
        </xdr:from>
        <xdr:to>
          <xdr:col>30</xdr:col>
          <xdr:colOff>15240</xdr:colOff>
          <xdr:row>16</xdr:row>
          <xdr:rowOff>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9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190500</xdr:colOff>
          <xdr:row>12</xdr:row>
          <xdr:rowOff>160020</xdr:rowOff>
        </xdr:from>
        <xdr:to>
          <xdr:col>58</xdr:col>
          <xdr:colOff>60960</xdr:colOff>
          <xdr:row>14</xdr:row>
          <xdr:rowOff>30480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9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absolute">
    <xdr:from>
      <xdr:col>61</xdr:col>
      <xdr:colOff>8467</xdr:colOff>
      <xdr:row>18</xdr:row>
      <xdr:rowOff>118533</xdr:rowOff>
    </xdr:from>
    <xdr:to>
      <xdr:col>71</xdr:col>
      <xdr:colOff>16933</xdr:colOff>
      <xdr:row>27</xdr:row>
      <xdr:rowOff>143933</xdr:rowOff>
    </xdr:to>
    <xdr:pic>
      <xdr:nvPicPr>
        <xdr:cNvPr id="2" name="Picture 1">
          <a:hlinkClick xmlns:r="http://schemas.openxmlformats.org/officeDocument/2006/relationships" r:id="rId1"/>
          <a:extLst>
            <a:ext uri="{FF2B5EF4-FFF2-40B4-BE49-F238E27FC236}">
              <a16:creationId xmlns:a16="http://schemas.microsoft.com/office/drawing/2014/main" id="{CFD69313-DFE4-4076-8394-04C4035FED2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887200" y="3852333"/>
          <a:ext cx="1955800" cy="1778000"/>
        </a:xfrm>
        <a:prstGeom prst="rect">
          <a:avLst/>
        </a:prstGeom>
      </xdr:spPr>
    </xdr:pic>
    <xdr:clientData/>
  </xdr:twoCellAnchor>
  <xdr:twoCellAnchor editAs="oneCell">
    <xdr:from>
      <xdr:col>61</xdr:col>
      <xdr:colOff>0</xdr:colOff>
      <xdr:row>32</xdr:row>
      <xdr:rowOff>0</xdr:rowOff>
    </xdr:from>
    <xdr:to>
      <xdr:col>112</xdr:col>
      <xdr:colOff>311573</xdr:colOff>
      <xdr:row>51</xdr:row>
      <xdr:rowOff>87207</xdr:rowOff>
    </xdr:to>
    <xdr:pic>
      <xdr:nvPicPr>
        <xdr:cNvPr id="4" name="Picture 3">
          <a:hlinkClick xmlns:r="http://schemas.openxmlformats.org/officeDocument/2006/relationships" r:id="rId3"/>
          <a:extLst>
            <a:ext uri="{FF2B5EF4-FFF2-40B4-BE49-F238E27FC236}">
              <a16:creationId xmlns:a16="http://schemas.microsoft.com/office/drawing/2014/main" id="{754F3460-4971-2258-8238-5D14D042CA5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878733" y="5875867"/>
          <a:ext cx="4053840" cy="3787140"/>
        </a:xfrm>
        <a:prstGeom prst="rect">
          <a:avLst/>
        </a:prstGeom>
      </xdr:spPr>
    </xdr:pic>
    <xdr:clientData/>
  </xdr:twoCellAnchor>
  <xdr:twoCellAnchor editAs="oneCell">
    <xdr:from>
      <xdr:col>60</xdr:col>
      <xdr:colOff>152399</xdr:colOff>
      <xdr:row>111</xdr:row>
      <xdr:rowOff>169333</xdr:rowOff>
    </xdr:from>
    <xdr:to>
      <xdr:col>75</xdr:col>
      <xdr:colOff>118533</xdr:colOff>
      <xdr:row>127</xdr:row>
      <xdr:rowOff>42334</xdr:rowOff>
    </xdr:to>
    <xdr:pic>
      <xdr:nvPicPr>
        <xdr:cNvPr id="6" name="Picture 5">
          <a:hlinkClick xmlns:r="http://schemas.openxmlformats.org/officeDocument/2006/relationships" r:id="rId5"/>
          <a:extLst>
            <a:ext uri="{FF2B5EF4-FFF2-40B4-BE49-F238E27FC236}">
              <a16:creationId xmlns:a16="http://schemas.microsoft.com/office/drawing/2014/main" id="{8F6E8CBC-CC6C-2BF3-8393-9E180EA2481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836399" y="21166666"/>
          <a:ext cx="2887134" cy="2887134"/>
        </a:xfrm>
        <a:prstGeom prst="rect">
          <a:avLst/>
        </a:prstGeom>
      </xdr:spPr>
    </xdr:pic>
    <xdr:clientData/>
  </xdr:twoCellAnchor>
  <xdr:twoCellAnchor editAs="oneCell">
    <xdr:from>
      <xdr:col>61</xdr:col>
      <xdr:colOff>127000</xdr:colOff>
      <xdr:row>131</xdr:row>
      <xdr:rowOff>118532</xdr:rowOff>
    </xdr:from>
    <xdr:to>
      <xdr:col>75</xdr:col>
      <xdr:colOff>93133</xdr:colOff>
      <xdr:row>136</xdr:row>
      <xdr:rowOff>93132</xdr:rowOff>
    </xdr:to>
    <xdr:sp macro="" textlink="">
      <xdr:nvSpPr>
        <xdr:cNvPr id="8" name="Rectangle: Rounded Corners 7">
          <a:hlinkClick xmlns:r="http://schemas.openxmlformats.org/officeDocument/2006/relationships" r:id="rId5"/>
          <a:extLst>
            <a:ext uri="{FF2B5EF4-FFF2-40B4-BE49-F238E27FC236}">
              <a16:creationId xmlns:a16="http://schemas.microsoft.com/office/drawing/2014/main" id="{A5E9E8EC-7ADD-41F5-9B3A-7DFF65DA729E}"/>
            </a:ext>
          </a:extLst>
        </xdr:cNvPr>
        <xdr:cNvSpPr/>
      </xdr:nvSpPr>
      <xdr:spPr>
        <a:xfrm>
          <a:off x="12005733" y="24891999"/>
          <a:ext cx="2692400" cy="948267"/>
        </a:xfrm>
        <a:prstGeom prst="roundRect">
          <a:avLst/>
        </a:prstGeom>
        <a:solidFill>
          <a:srgbClr val="A2BED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b="1">
              <a:solidFill>
                <a:schemeClr val="bg1"/>
              </a:solidFill>
              <a:latin typeface="+mn-lt"/>
              <a:cs typeface="Arial" panose="020B0604020202020204" pitchFamily="34" charset="0"/>
            </a:rPr>
            <a:t>VIP</a:t>
          </a:r>
          <a:r>
            <a:rPr lang="en-US" sz="3200" b="1" baseline="0">
              <a:solidFill>
                <a:schemeClr val="bg1"/>
              </a:solidFill>
              <a:latin typeface="+mn-lt"/>
              <a:cs typeface="Arial" panose="020B0604020202020204" pitchFamily="34" charset="0"/>
            </a:rPr>
            <a:t> </a:t>
          </a:r>
          <a:r>
            <a:rPr lang="en-US" sz="3200" b="1">
              <a:solidFill>
                <a:schemeClr val="bg1"/>
              </a:solidFill>
              <a:latin typeface="+mn-lt"/>
              <a:cs typeface="Arial" panose="020B0604020202020204" pitchFamily="34" charset="0"/>
            </a:rPr>
            <a:t>Tip Me?</a:t>
          </a:r>
        </a:p>
      </xdr:txBody>
    </xdr:sp>
    <xdr:clientData/>
  </xdr:twoCellAnchor>
  <xdr:twoCellAnchor editAs="oneCell">
    <xdr:from>
      <xdr:col>61</xdr:col>
      <xdr:colOff>0</xdr:colOff>
      <xdr:row>53</xdr:row>
      <xdr:rowOff>0</xdr:rowOff>
    </xdr:from>
    <xdr:to>
      <xdr:col>112</xdr:col>
      <xdr:colOff>311573</xdr:colOff>
      <xdr:row>70</xdr:row>
      <xdr:rowOff>67734</xdr:rowOff>
    </xdr:to>
    <xdr:pic>
      <xdr:nvPicPr>
        <xdr:cNvPr id="10" name="Picture 9">
          <a:hlinkClick xmlns:r="http://schemas.openxmlformats.org/officeDocument/2006/relationships" r:id="rId7"/>
          <a:extLst>
            <a:ext uri="{FF2B5EF4-FFF2-40B4-BE49-F238E27FC236}">
              <a16:creationId xmlns:a16="http://schemas.microsoft.com/office/drawing/2014/main" id="{A498295C-490E-270E-88F0-E08F17FEAAB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878733" y="9965267"/>
          <a:ext cx="4053840" cy="3378200"/>
        </a:xfrm>
        <a:prstGeom prst="rect">
          <a:avLst/>
        </a:prstGeom>
      </xdr:spPr>
    </xdr:pic>
    <xdr:clientData/>
  </xdr:twoCellAnchor>
  <xdr:twoCellAnchor editAs="oneCell">
    <xdr:from>
      <xdr:col>61</xdr:col>
      <xdr:colOff>0</xdr:colOff>
      <xdr:row>71</xdr:row>
      <xdr:rowOff>0</xdr:rowOff>
    </xdr:from>
    <xdr:to>
      <xdr:col>112</xdr:col>
      <xdr:colOff>315439</xdr:colOff>
      <xdr:row>83</xdr:row>
      <xdr:rowOff>59266</xdr:rowOff>
    </xdr:to>
    <xdr:pic>
      <xdr:nvPicPr>
        <xdr:cNvPr id="12" name="Picture 11">
          <a:hlinkClick xmlns:r="http://schemas.openxmlformats.org/officeDocument/2006/relationships" r:id="rId9"/>
          <a:extLst>
            <a:ext uri="{FF2B5EF4-FFF2-40B4-BE49-F238E27FC236}">
              <a16:creationId xmlns:a16="http://schemas.microsoft.com/office/drawing/2014/main" id="{7846317D-E5B5-344D-B2B1-6F10ECB18B4F}"/>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1878733" y="13470467"/>
          <a:ext cx="4057706" cy="2396066"/>
        </a:xfrm>
        <a:prstGeom prst="rect">
          <a:avLst/>
        </a:prstGeom>
      </xdr:spPr>
    </xdr:pic>
    <xdr:clientData/>
  </xdr:twoCellAnchor>
  <xdr:twoCellAnchor editAs="oneCell">
    <xdr:from>
      <xdr:col>61</xdr:col>
      <xdr:colOff>0</xdr:colOff>
      <xdr:row>84</xdr:row>
      <xdr:rowOff>2</xdr:rowOff>
    </xdr:from>
    <xdr:to>
      <xdr:col>112</xdr:col>
      <xdr:colOff>321732</xdr:colOff>
      <xdr:row>98</xdr:row>
      <xdr:rowOff>126154</xdr:rowOff>
    </xdr:to>
    <xdr:pic>
      <xdr:nvPicPr>
        <xdr:cNvPr id="14" name="Picture 13">
          <a:hlinkClick xmlns:r="http://schemas.openxmlformats.org/officeDocument/2006/relationships" r:id="rId11"/>
          <a:extLst>
            <a:ext uri="{FF2B5EF4-FFF2-40B4-BE49-F238E27FC236}">
              <a16:creationId xmlns:a16="http://schemas.microsoft.com/office/drawing/2014/main" id="{C83376A1-CA36-9C19-ACAA-08F0820D74F2}"/>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878733" y="16002002"/>
          <a:ext cx="4063999" cy="2709332"/>
        </a:xfrm>
        <a:prstGeom prst="rect">
          <a:avLst/>
        </a:prstGeom>
      </xdr:spPr>
    </xdr:pic>
    <xdr:clientData/>
  </xdr:twoCellAnchor>
  <xdr:twoCellAnchor editAs="oneCell">
    <xdr:from>
      <xdr:col>61</xdr:col>
      <xdr:colOff>0</xdr:colOff>
      <xdr:row>96</xdr:row>
      <xdr:rowOff>8468</xdr:rowOff>
    </xdr:from>
    <xdr:to>
      <xdr:col>75</xdr:col>
      <xdr:colOff>118533</xdr:colOff>
      <xdr:row>111</xdr:row>
      <xdr:rowOff>93981</xdr:rowOff>
    </xdr:to>
    <xdr:pic>
      <xdr:nvPicPr>
        <xdr:cNvPr id="17" name="Picture 16">
          <a:hlinkClick xmlns:r="http://schemas.openxmlformats.org/officeDocument/2006/relationships" r:id="rId13"/>
          <a:extLst>
            <a:ext uri="{FF2B5EF4-FFF2-40B4-BE49-F238E27FC236}">
              <a16:creationId xmlns:a16="http://schemas.microsoft.com/office/drawing/2014/main" id="{D51DF2DC-A91E-3F33-7A79-6164ECA074D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878733" y="18262601"/>
          <a:ext cx="2844800" cy="2844800"/>
        </a:xfrm>
        <a:prstGeom prst="rect">
          <a:avLst/>
        </a:prstGeom>
      </xdr:spPr>
    </xdr:pic>
    <xdr:clientData/>
  </xdr:twoCellAnchor>
  <xdr:twoCellAnchor editAs="oneCell">
    <xdr:from>
      <xdr:col>76</xdr:col>
      <xdr:colOff>143934</xdr:colOff>
      <xdr:row>127</xdr:row>
      <xdr:rowOff>84668</xdr:rowOff>
    </xdr:from>
    <xdr:to>
      <xdr:col>114</xdr:col>
      <xdr:colOff>575849</xdr:colOff>
      <xdr:row>142</xdr:row>
      <xdr:rowOff>101601</xdr:rowOff>
    </xdr:to>
    <xdr:pic>
      <xdr:nvPicPr>
        <xdr:cNvPr id="19" name="Picture 18">
          <a:hlinkClick xmlns:r="http://schemas.openxmlformats.org/officeDocument/2006/relationships" r:id="rId15"/>
          <a:extLst>
            <a:ext uri="{FF2B5EF4-FFF2-40B4-BE49-F238E27FC236}">
              <a16:creationId xmlns:a16="http://schemas.microsoft.com/office/drawing/2014/main" id="{734EA3CD-5F49-F302-A72C-69857B05BC7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43667" y="24079201"/>
          <a:ext cx="2506249" cy="2904066"/>
        </a:xfrm>
        <a:prstGeom prst="rect">
          <a:avLst/>
        </a:prstGeom>
      </xdr:spPr>
    </xdr:pic>
    <xdr:clientData/>
  </xdr:twoCellAnchor>
  <xdr:twoCellAnchor editAs="oneCell">
    <xdr:from>
      <xdr:col>74</xdr:col>
      <xdr:colOff>0</xdr:colOff>
      <xdr:row>143</xdr:row>
      <xdr:rowOff>0</xdr:rowOff>
    </xdr:from>
    <xdr:to>
      <xdr:col>115</xdr:col>
      <xdr:colOff>289560</xdr:colOff>
      <xdr:row>153</xdr:row>
      <xdr:rowOff>97366</xdr:rowOff>
    </xdr:to>
    <xdr:pic>
      <xdr:nvPicPr>
        <xdr:cNvPr id="20" name="Picture 19">
          <a:hlinkClick xmlns:r="http://schemas.openxmlformats.org/officeDocument/2006/relationships" r:id="rId17"/>
          <a:extLst>
            <a:ext uri="{FF2B5EF4-FFF2-40B4-BE49-F238E27FC236}">
              <a16:creationId xmlns:a16="http://schemas.microsoft.com/office/drawing/2014/main" id="{A7A260C1-1ED4-FC4F-DD86-5C07389AD28E}"/>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4660880" y="26563320"/>
          <a:ext cx="3383280" cy="188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50</xdr:col>
      <xdr:colOff>30480</xdr:colOff>
      <xdr:row>250</xdr:row>
      <xdr:rowOff>0</xdr:rowOff>
    </xdr:from>
    <xdr:to>
      <xdr:col>57</xdr:col>
      <xdr:colOff>38100</xdr:colOff>
      <xdr:row>257</xdr:row>
      <xdr:rowOff>22860</xdr:rowOff>
    </xdr:to>
    <xdr:pic>
      <xdr:nvPicPr>
        <xdr:cNvPr id="3" name="Picture_1636">
          <a:hlinkClick xmlns:r="http://schemas.openxmlformats.org/officeDocument/2006/relationships" r:id="rId1"/>
          <a:extLst>
            <a:ext uri="{FF2B5EF4-FFF2-40B4-BE49-F238E27FC236}">
              <a16:creationId xmlns:a16="http://schemas.microsoft.com/office/drawing/2014/main" id="{708486D8-DD1F-4EDF-9A0C-A934563A6873}"/>
            </a:ext>
          </a:extLst>
        </xdr:cNvPr>
        <xdr:cNvPicPr>
          <a:picLocks/>
        </xdr:cNvPicPr>
      </xdr:nvPicPr>
      <xdr:blipFill>
        <a:blip xmlns:r="http://schemas.openxmlformats.org/officeDocument/2006/relationships" r:embed="rId19" cstate="print">
          <a:alphaModFix/>
          <a:extLst>
            <a:ext uri="{28A0092B-C50C-407E-A947-70E740481C1C}">
              <a14:useLocalDpi xmlns:a14="http://schemas.microsoft.com/office/drawing/2010/main" val="0"/>
            </a:ext>
          </a:extLst>
        </a:blip>
        <a:srcRect/>
        <a:stretch/>
      </xdr:blipFill>
      <xdr:spPr>
        <a:xfrm>
          <a:off x="9936480" y="47365920"/>
          <a:ext cx="1394460" cy="1356360"/>
        </a:xfrm>
        <a:prstGeom prst="rect">
          <a:avLst/>
        </a:prstGeom>
      </xdr:spPr>
    </xdr:pic>
    <xdr:clientData/>
  </xdr:twoCellAnchor>
  <xdr:twoCellAnchor>
    <xdr:from>
      <xdr:col>7</xdr:col>
      <xdr:colOff>0</xdr:colOff>
      <xdr:row>0</xdr:row>
      <xdr:rowOff>0</xdr:rowOff>
    </xdr:from>
    <xdr:to>
      <xdr:col>67</xdr:col>
      <xdr:colOff>7377</xdr:colOff>
      <xdr:row>3</xdr:row>
      <xdr:rowOff>7620</xdr:rowOff>
    </xdr:to>
    <xdr:grpSp>
      <xdr:nvGrpSpPr>
        <xdr:cNvPr id="5" name="Group 4">
          <a:extLst>
            <a:ext uri="{FF2B5EF4-FFF2-40B4-BE49-F238E27FC236}">
              <a16:creationId xmlns:a16="http://schemas.microsoft.com/office/drawing/2014/main" id="{8FF77D81-94F5-4EE2-8340-5E7294E02C8B}"/>
            </a:ext>
          </a:extLst>
        </xdr:cNvPr>
        <xdr:cNvGrpSpPr/>
      </xdr:nvGrpSpPr>
      <xdr:grpSpPr>
        <a:xfrm>
          <a:off x="1386840" y="0"/>
          <a:ext cx="11894577" cy="815340"/>
          <a:chOff x="2194560" y="0"/>
          <a:chExt cx="11894577" cy="815340"/>
        </a:xfrm>
      </xdr:grpSpPr>
      <xdr:grpSp>
        <xdr:nvGrpSpPr>
          <xdr:cNvPr id="7" name="Group 6">
            <a:extLst>
              <a:ext uri="{FF2B5EF4-FFF2-40B4-BE49-F238E27FC236}">
                <a16:creationId xmlns:a16="http://schemas.microsoft.com/office/drawing/2014/main" id="{96B0CE29-1ED0-7866-6E56-69C62C41B419}"/>
              </a:ext>
            </a:extLst>
          </xdr:cNvPr>
          <xdr:cNvGrpSpPr/>
        </xdr:nvGrpSpPr>
        <xdr:grpSpPr>
          <a:xfrm>
            <a:off x="2194560" y="0"/>
            <a:ext cx="11894577" cy="815340"/>
            <a:chOff x="2194560" y="0"/>
            <a:chExt cx="11894577" cy="815340"/>
          </a:xfrm>
        </xdr:grpSpPr>
        <xdr:grpSp>
          <xdr:nvGrpSpPr>
            <xdr:cNvPr id="11" name="Group 10">
              <a:extLst>
                <a:ext uri="{FF2B5EF4-FFF2-40B4-BE49-F238E27FC236}">
                  <a16:creationId xmlns:a16="http://schemas.microsoft.com/office/drawing/2014/main" id="{1CF5056C-2AFA-C29A-E034-3B57858038E2}"/>
                </a:ext>
              </a:extLst>
            </xdr:cNvPr>
            <xdr:cNvGrpSpPr/>
          </xdr:nvGrpSpPr>
          <xdr:grpSpPr>
            <a:xfrm>
              <a:off x="2194560" y="0"/>
              <a:ext cx="11894577" cy="773812"/>
              <a:chOff x="2160046" y="0"/>
              <a:chExt cx="11894577" cy="773812"/>
            </a:xfrm>
          </xdr:grpSpPr>
          <xdr:grpSp>
            <xdr:nvGrpSpPr>
              <xdr:cNvPr id="21" name="Group 20">
                <a:extLst>
                  <a:ext uri="{FF2B5EF4-FFF2-40B4-BE49-F238E27FC236}">
                    <a16:creationId xmlns:a16="http://schemas.microsoft.com/office/drawing/2014/main" id="{9A02F17D-947C-49ED-7499-2C92A831970A}"/>
                  </a:ext>
                </a:extLst>
              </xdr:cNvPr>
              <xdr:cNvGrpSpPr/>
            </xdr:nvGrpSpPr>
            <xdr:grpSpPr>
              <a:xfrm>
                <a:off x="2160046" y="0"/>
                <a:ext cx="11894577" cy="773812"/>
                <a:chOff x="1310640" y="0"/>
                <a:chExt cx="11549013" cy="764847"/>
              </a:xfrm>
            </xdr:grpSpPr>
            <xdr:pic>
              <xdr:nvPicPr>
                <xdr:cNvPr id="25" name="Picture 24">
                  <a:hlinkClick xmlns:r="http://schemas.openxmlformats.org/officeDocument/2006/relationships" r:id="rId1"/>
                  <a:extLst>
                    <a:ext uri="{FF2B5EF4-FFF2-40B4-BE49-F238E27FC236}">
                      <a16:creationId xmlns:a16="http://schemas.microsoft.com/office/drawing/2014/main" id="{3C2F3C05-9246-2EC2-C71E-D1E4D41B0FA6}"/>
                    </a:ext>
                  </a:extLst>
                </xdr:cNvPr>
                <xdr:cNvPicPr>
                  <a:picLocks/>
                </xdr:cNvPicPr>
              </xdr:nvPicPr>
              <xdr:blipFill>
                <a:blip xmlns:r="http://schemas.openxmlformats.org/officeDocument/2006/relationships" r:embed="rId19" cstate="print">
                  <a:alphaModFix/>
                  <a:extLst>
                    <a:ext uri="{28A0092B-C50C-407E-A947-70E740481C1C}">
                      <a14:useLocalDpi xmlns:a14="http://schemas.microsoft.com/office/drawing/2010/main" val="0"/>
                    </a:ext>
                  </a:extLst>
                </a:blip>
                <a:srcRect/>
                <a:stretch/>
              </xdr:blipFill>
              <xdr:spPr>
                <a:xfrm>
                  <a:off x="1310640" y="46180"/>
                  <a:ext cx="499211" cy="554546"/>
                </a:xfrm>
                <a:prstGeom prst="rect">
                  <a:avLst/>
                </a:prstGeom>
              </xdr:spPr>
            </xdr:pic>
            <xdr:pic>
              <xdr:nvPicPr>
                <xdr:cNvPr id="26" name="Picture 25">
                  <a:hlinkClick xmlns:r="http://schemas.openxmlformats.org/officeDocument/2006/relationships" r:id="rId20"/>
                  <a:extLst>
                    <a:ext uri="{FF2B5EF4-FFF2-40B4-BE49-F238E27FC236}">
                      <a16:creationId xmlns:a16="http://schemas.microsoft.com/office/drawing/2014/main" id="{32675C24-8365-82AD-6DF2-D41AF37E8D63}"/>
                    </a:ext>
                  </a:extLst>
                </xdr:cNvPr>
                <xdr:cNvPicPr>
                  <a:picLocks noChangeAspect="1" noChangeArrowheads="1"/>
                </xdr:cNvPicPr>
              </xdr:nvPicPr>
              <xdr:blipFill>
                <a:blip xmlns:r="http://schemas.openxmlformats.org/officeDocument/2006/relationships" r:embed="rId21" cstate="print">
                  <a:alphaModFix/>
                  <a:extLst>
                    <a:ext uri="{28A0092B-C50C-407E-A947-70E740481C1C}">
                      <a14:useLocalDpi xmlns:a14="http://schemas.microsoft.com/office/drawing/2010/main" val="0"/>
                    </a:ext>
                  </a:extLst>
                </a:blip>
                <a:srcRect/>
                <a:stretch>
                  <a:fillRect/>
                </a:stretch>
              </xdr:blipFill>
              <xdr:spPr bwMode="auto">
                <a:xfrm>
                  <a:off x="2163693" y="30823"/>
                  <a:ext cx="214188" cy="2260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7" name="TextBox 26">
                  <a:hlinkClick xmlns:r="http://schemas.openxmlformats.org/officeDocument/2006/relationships" r:id="rId20"/>
                  <a:extLst>
                    <a:ext uri="{FF2B5EF4-FFF2-40B4-BE49-F238E27FC236}">
                      <a16:creationId xmlns:a16="http://schemas.microsoft.com/office/drawing/2014/main" id="{17AD138B-B74D-03C0-E5B7-793A3E6CD628}"/>
                    </a:ext>
                  </a:extLst>
                </xdr:cNvPr>
                <xdr:cNvSpPr txBox="1"/>
              </xdr:nvSpPr>
              <xdr:spPr>
                <a:xfrm>
                  <a:off x="2369194" y="17046"/>
                  <a:ext cx="846446" cy="25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US" sz="900" b="1">
                      <a:solidFill>
                        <a:schemeClr val="bg1"/>
                      </a:solidFill>
                    </a:rPr>
                    <a:t>DASHBOARD</a:t>
                  </a:r>
                </a:p>
              </xdr:txBody>
            </xdr:sp>
            <xdr:pic>
              <xdr:nvPicPr>
                <xdr:cNvPr id="28" name="Picture 27">
                  <a:hlinkClick xmlns:r="http://schemas.openxmlformats.org/officeDocument/2006/relationships" r:id="rId22"/>
                  <a:extLst>
                    <a:ext uri="{FF2B5EF4-FFF2-40B4-BE49-F238E27FC236}">
                      <a16:creationId xmlns:a16="http://schemas.microsoft.com/office/drawing/2014/main" id="{6892FE48-C5F3-4921-1169-80C2A30E2520}"/>
                    </a:ext>
                  </a:extLst>
                </xdr:cNvPr>
                <xdr:cNvPicPr>
                  <a:picLocks noChangeAspect="1" noChangeArrowheads="1"/>
                </xdr:cNvPicPr>
              </xdr:nvPicPr>
              <xdr:blipFill>
                <a:blip xmlns:r="http://schemas.openxmlformats.org/officeDocument/2006/relationships" r:embed="rId23" cstate="print">
                  <a:alphaModFix/>
                  <a:extLst>
                    <a:ext uri="{28A0092B-C50C-407E-A947-70E740481C1C}">
                      <a14:useLocalDpi xmlns:a14="http://schemas.microsoft.com/office/drawing/2010/main" val="0"/>
                    </a:ext>
                  </a:extLst>
                </a:blip>
                <a:srcRect/>
                <a:stretch>
                  <a:fillRect/>
                </a:stretch>
              </xdr:blipFill>
              <xdr:spPr bwMode="auto">
                <a:xfrm>
                  <a:off x="8461655" y="433462"/>
                  <a:ext cx="214188" cy="20819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9" name="TextBox 28">
                  <a:hlinkClick xmlns:r="http://schemas.openxmlformats.org/officeDocument/2006/relationships" r:id="rId22"/>
                  <a:extLst>
                    <a:ext uri="{FF2B5EF4-FFF2-40B4-BE49-F238E27FC236}">
                      <a16:creationId xmlns:a16="http://schemas.microsoft.com/office/drawing/2014/main" id="{381284AD-A91B-9179-C4B0-07833465547F}"/>
                    </a:ext>
                  </a:extLst>
                </xdr:cNvPr>
                <xdr:cNvSpPr txBox="1"/>
              </xdr:nvSpPr>
              <xdr:spPr>
                <a:xfrm>
                  <a:off x="8647283" y="413913"/>
                  <a:ext cx="56836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REPORTS</a:t>
                  </a:r>
                </a:p>
              </xdr:txBody>
            </xdr:sp>
            <xdr:pic>
              <xdr:nvPicPr>
                <xdr:cNvPr id="30" name="Picture 29">
                  <a:hlinkClick xmlns:r="http://schemas.openxmlformats.org/officeDocument/2006/relationships" r:id="rId24"/>
                  <a:extLst>
                    <a:ext uri="{FF2B5EF4-FFF2-40B4-BE49-F238E27FC236}">
                      <a16:creationId xmlns:a16="http://schemas.microsoft.com/office/drawing/2014/main" id="{FE611862-8E12-8A6A-4773-31F516DF0A4D}"/>
                    </a:ext>
                  </a:extLst>
                </xdr:cNvPr>
                <xdr:cNvPicPr>
                  <a:picLocks noChangeAspect="1"/>
                </xdr:cNvPicPr>
              </xdr:nvPicPr>
              <xdr:blipFill>
                <a:blip xmlns:r="http://schemas.openxmlformats.org/officeDocument/2006/relationships" r:embed="rId25" cstate="print">
                  <a:alphaModFix/>
                  <a:extLst>
                    <a:ext uri="{28A0092B-C50C-407E-A947-70E740481C1C}">
                      <a14:useLocalDpi xmlns:a14="http://schemas.microsoft.com/office/drawing/2010/main" val="0"/>
                    </a:ext>
                  </a:extLst>
                </a:blip>
                <a:stretch>
                  <a:fillRect/>
                </a:stretch>
              </xdr:blipFill>
              <xdr:spPr>
                <a:xfrm>
                  <a:off x="6903860" y="19549"/>
                  <a:ext cx="214187" cy="248554"/>
                </a:xfrm>
                <a:prstGeom prst="rect">
                  <a:avLst/>
                </a:prstGeom>
              </xdr:spPr>
            </xdr:pic>
            <xdr:sp macro="" textlink="">
              <xdr:nvSpPr>
                <xdr:cNvPr id="31" name="TextBox 30">
                  <a:hlinkClick xmlns:r="http://schemas.openxmlformats.org/officeDocument/2006/relationships" r:id="rId24"/>
                  <a:extLst>
                    <a:ext uri="{FF2B5EF4-FFF2-40B4-BE49-F238E27FC236}">
                      <a16:creationId xmlns:a16="http://schemas.microsoft.com/office/drawing/2014/main" id="{FD7ADE48-962D-758D-AF3F-B92F41F7C50F}"/>
                    </a:ext>
                  </a:extLst>
                </xdr:cNvPr>
                <xdr:cNvSpPr txBox="1"/>
              </xdr:nvSpPr>
              <xdr:spPr>
                <a:xfrm>
                  <a:off x="7099062" y="0"/>
                  <a:ext cx="67589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MORTGAGE</a:t>
                  </a:r>
                </a:p>
              </xdr:txBody>
            </xdr:sp>
            <xdr:sp macro="" textlink="">
              <xdr:nvSpPr>
                <xdr:cNvPr id="32" name="TextBox 31">
                  <a:hlinkClick xmlns:r="http://schemas.openxmlformats.org/officeDocument/2006/relationships" r:id="rId26"/>
                  <a:extLst>
                    <a:ext uri="{FF2B5EF4-FFF2-40B4-BE49-F238E27FC236}">
                      <a16:creationId xmlns:a16="http://schemas.microsoft.com/office/drawing/2014/main" id="{DE39D0CB-B7B0-9A68-0592-0EC04E902C0F}"/>
                    </a:ext>
                  </a:extLst>
                </xdr:cNvPr>
                <xdr:cNvSpPr txBox="1"/>
              </xdr:nvSpPr>
              <xdr:spPr>
                <a:xfrm>
                  <a:off x="6375474" y="0"/>
                  <a:ext cx="381400"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DEBT</a:t>
                  </a:r>
                </a:p>
              </xdr:txBody>
            </xdr:sp>
            <xdr:pic>
              <xdr:nvPicPr>
                <xdr:cNvPr id="33" name="Picture 32">
                  <a:hlinkClick xmlns:r="http://schemas.openxmlformats.org/officeDocument/2006/relationships" r:id="rId26"/>
                  <a:extLst>
                    <a:ext uri="{FF2B5EF4-FFF2-40B4-BE49-F238E27FC236}">
                      <a16:creationId xmlns:a16="http://schemas.microsoft.com/office/drawing/2014/main" id="{426D0175-AC8D-F2D7-2CC5-E25FF2605219}"/>
                    </a:ext>
                  </a:extLst>
                </xdr:cNvPr>
                <xdr:cNvPicPr>
                  <a:picLocks noChangeAspect="1"/>
                </xdr:cNvPicPr>
              </xdr:nvPicPr>
              <xdr:blipFill>
                <a:blip xmlns:r="http://schemas.openxmlformats.org/officeDocument/2006/relationships" r:embed="rId27" cstate="print">
                  <a:alphaModFix/>
                  <a:extLst>
                    <a:ext uri="{28A0092B-C50C-407E-A947-70E740481C1C}">
                      <a14:useLocalDpi xmlns:a14="http://schemas.microsoft.com/office/drawing/2010/main" val="0"/>
                    </a:ext>
                  </a:extLst>
                </a:blip>
                <a:stretch>
                  <a:fillRect/>
                </a:stretch>
              </xdr:blipFill>
              <xdr:spPr>
                <a:xfrm>
                  <a:off x="6158378" y="19549"/>
                  <a:ext cx="214188" cy="248554"/>
                </a:xfrm>
                <a:prstGeom prst="rect">
                  <a:avLst/>
                </a:prstGeom>
              </xdr:spPr>
            </xdr:pic>
            <xdr:sp macro="" textlink="">
              <xdr:nvSpPr>
                <xdr:cNvPr id="34" name="TextBox 33">
                  <a:hlinkClick xmlns:r="http://schemas.openxmlformats.org/officeDocument/2006/relationships" r:id="rId28"/>
                  <a:extLst>
                    <a:ext uri="{FF2B5EF4-FFF2-40B4-BE49-F238E27FC236}">
                      <a16:creationId xmlns:a16="http://schemas.microsoft.com/office/drawing/2014/main" id="{D60024A3-55B2-1C44-C11F-7F17D056FA59}"/>
                    </a:ext>
                  </a:extLst>
                </xdr:cNvPr>
                <xdr:cNvSpPr txBox="1"/>
              </xdr:nvSpPr>
              <xdr:spPr>
                <a:xfrm>
                  <a:off x="5370816" y="37659"/>
                  <a:ext cx="64057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FORECASTS</a:t>
                  </a:r>
                </a:p>
              </xdr:txBody>
            </xdr:sp>
            <xdr:sp macro="" textlink="">
              <xdr:nvSpPr>
                <xdr:cNvPr id="35" name="TextBox 34">
                  <a:hlinkClick xmlns:r="http://schemas.openxmlformats.org/officeDocument/2006/relationships" r:id="rId29"/>
                  <a:extLst>
                    <a:ext uri="{FF2B5EF4-FFF2-40B4-BE49-F238E27FC236}">
                      <a16:creationId xmlns:a16="http://schemas.microsoft.com/office/drawing/2014/main" id="{0D3B52C1-AF29-764D-E7C4-87C78331F808}"/>
                    </a:ext>
                  </a:extLst>
                </xdr:cNvPr>
                <xdr:cNvSpPr txBox="1"/>
              </xdr:nvSpPr>
              <xdr:spPr>
                <a:xfrm>
                  <a:off x="8104032" y="0"/>
                  <a:ext cx="7732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a:t>
                  </a:r>
                  <a:r>
                    <a:rPr lang="en-US" sz="900" b="1" baseline="0">
                      <a:solidFill>
                        <a:schemeClr val="bg1"/>
                      </a:solidFill>
                    </a:rPr>
                    <a:t> (M)</a:t>
                  </a:r>
                  <a:endParaRPr lang="en-US" sz="900" b="1">
                    <a:solidFill>
                      <a:schemeClr val="bg1"/>
                    </a:solidFill>
                  </a:endParaRPr>
                </a:p>
              </xdr:txBody>
            </xdr:sp>
            <xdr:pic>
              <xdr:nvPicPr>
                <xdr:cNvPr id="36" name="Picture 35">
                  <a:hlinkClick xmlns:r="http://schemas.openxmlformats.org/officeDocument/2006/relationships" r:id="rId29"/>
                  <a:extLst>
                    <a:ext uri="{FF2B5EF4-FFF2-40B4-BE49-F238E27FC236}">
                      <a16:creationId xmlns:a16="http://schemas.microsoft.com/office/drawing/2014/main" id="{348BEACC-8E51-E350-C119-0EF0FE54581F}"/>
                    </a:ext>
                  </a:extLst>
                </xdr:cNvPr>
                <xdr:cNvPicPr>
                  <a:picLocks noChangeAspect="1"/>
                </xdr:cNvPicPr>
              </xdr:nvPicPr>
              <xdr:blipFill>
                <a:blip xmlns:r="http://schemas.openxmlformats.org/officeDocument/2006/relationships" r:embed="rId30" cstate="print">
                  <a:alphaModFix/>
                  <a:extLst>
                    <a:ext uri="{28A0092B-C50C-407E-A947-70E740481C1C}">
                      <a14:useLocalDpi xmlns:a14="http://schemas.microsoft.com/office/drawing/2010/main" val="0"/>
                    </a:ext>
                  </a:extLst>
                </a:blip>
                <a:stretch>
                  <a:fillRect/>
                </a:stretch>
              </xdr:blipFill>
              <xdr:spPr>
                <a:xfrm>
                  <a:off x="7921943" y="19549"/>
                  <a:ext cx="214188" cy="248554"/>
                </a:xfrm>
                <a:prstGeom prst="rect">
                  <a:avLst/>
                </a:prstGeom>
              </xdr:spPr>
            </xdr:pic>
            <xdr:sp macro="" textlink="">
              <xdr:nvSpPr>
                <xdr:cNvPr id="37" name="TextBox 36">
                  <a:hlinkClick xmlns:r="http://schemas.openxmlformats.org/officeDocument/2006/relationships" r:id="rId31"/>
                  <a:extLst>
                    <a:ext uri="{FF2B5EF4-FFF2-40B4-BE49-F238E27FC236}">
                      <a16:creationId xmlns:a16="http://schemas.microsoft.com/office/drawing/2014/main" id="{C79D755E-E15B-73F9-4D00-4E2DA817D1AE}"/>
                    </a:ext>
                  </a:extLst>
                </xdr:cNvPr>
                <xdr:cNvSpPr txBox="1"/>
              </xdr:nvSpPr>
              <xdr:spPr>
                <a:xfrm>
                  <a:off x="9978309" y="0"/>
                  <a:ext cx="687187"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 (Y)</a:t>
                  </a:r>
                </a:p>
              </xdr:txBody>
            </xdr:sp>
            <xdr:pic>
              <xdr:nvPicPr>
                <xdr:cNvPr id="38" name="Picture 37">
                  <a:hlinkClick xmlns:r="http://schemas.openxmlformats.org/officeDocument/2006/relationships" r:id="rId31"/>
                  <a:extLst>
                    <a:ext uri="{FF2B5EF4-FFF2-40B4-BE49-F238E27FC236}">
                      <a16:creationId xmlns:a16="http://schemas.microsoft.com/office/drawing/2014/main" id="{12E9B9BD-FDE2-6817-880F-2118A71A4276}"/>
                    </a:ext>
                  </a:extLst>
                </xdr:cNvPr>
                <xdr:cNvPicPr>
                  <a:picLocks noChangeAspect="1"/>
                </xdr:cNvPicPr>
              </xdr:nvPicPr>
              <xdr:blipFill>
                <a:blip xmlns:r="http://schemas.openxmlformats.org/officeDocument/2006/relationships" r:embed="rId32" cstate="print">
                  <a:alphaModFix/>
                  <a:extLst>
                    <a:ext uri="{28A0092B-C50C-407E-A947-70E740481C1C}">
                      <a14:useLocalDpi xmlns:a14="http://schemas.microsoft.com/office/drawing/2010/main" val="0"/>
                    </a:ext>
                  </a:extLst>
                </a:blip>
                <a:stretch>
                  <a:fillRect/>
                </a:stretch>
              </xdr:blipFill>
              <xdr:spPr>
                <a:xfrm>
                  <a:off x="9777770" y="19549"/>
                  <a:ext cx="214188" cy="248554"/>
                </a:xfrm>
                <a:prstGeom prst="rect">
                  <a:avLst/>
                </a:prstGeom>
              </xdr:spPr>
            </xdr:pic>
            <xdr:sp macro="" textlink="">
              <xdr:nvSpPr>
                <xdr:cNvPr id="39" name="TextBox 38">
                  <a:hlinkClick xmlns:r="http://schemas.openxmlformats.org/officeDocument/2006/relationships" r:id="rId33"/>
                  <a:extLst>
                    <a:ext uri="{FF2B5EF4-FFF2-40B4-BE49-F238E27FC236}">
                      <a16:creationId xmlns:a16="http://schemas.microsoft.com/office/drawing/2014/main" id="{E75A80E3-D0FA-B9AA-7D97-9EB94A74EEC5}"/>
                    </a:ext>
                  </a:extLst>
                </xdr:cNvPr>
                <xdr:cNvSpPr txBox="1"/>
              </xdr:nvSpPr>
              <xdr:spPr>
                <a:xfrm>
                  <a:off x="9133984" y="0"/>
                  <a:ext cx="49680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VERSUS</a:t>
                  </a:r>
                </a:p>
              </xdr:txBody>
            </xdr:sp>
            <xdr:pic>
              <xdr:nvPicPr>
                <xdr:cNvPr id="40" name="Picture 39">
                  <a:hlinkClick xmlns:r="http://schemas.openxmlformats.org/officeDocument/2006/relationships" r:id="rId33"/>
                  <a:extLst>
                    <a:ext uri="{FF2B5EF4-FFF2-40B4-BE49-F238E27FC236}">
                      <a16:creationId xmlns:a16="http://schemas.microsoft.com/office/drawing/2014/main" id="{E1A45393-9A41-F9CB-EF34-A62802DC7B49}"/>
                    </a:ext>
                  </a:extLst>
                </xdr:cNvPr>
                <xdr:cNvPicPr>
                  <a:picLocks noChangeAspect="1"/>
                </xdr:cNvPicPr>
              </xdr:nvPicPr>
              <xdr:blipFill>
                <a:blip xmlns:r="http://schemas.openxmlformats.org/officeDocument/2006/relationships" r:embed="rId34" cstate="print">
                  <a:alphaModFix/>
                  <a:extLst>
                    <a:ext uri="{28A0092B-C50C-407E-A947-70E740481C1C}">
                      <a14:useLocalDpi xmlns:a14="http://schemas.microsoft.com/office/drawing/2010/main" val="0"/>
                    </a:ext>
                  </a:extLst>
                </a:blip>
                <a:stretch>
                  <a:fillRect/>
                </a:stretch>
              </xdr:blipFill>
              <xdr:spPr>
                <a:xfrm>
                  <a:off x="8938203" y="19549"/>
                  <a:ext cx="214187" cy="248554"/>
                </a:xfrm>
                <a:prstGeom prst="rect">
                  <a:avLst/>
                </a:prstGeom>
              </xdr:spPr>
            </xdr:pic>
            <xdr:sp macro="" textlink="">
              <xdr:nvSpPr>
                <xdr:cNvPr id="41" name="TextBox 40">
                  <a:hlinkClick xmlns:r="http://schemas.openxmlformats.org/officeDocument/2006/relationships" r:id="rId35"/>
                  <a:extLst>
                    <a:ext uri="{FF2B5EF4-FFF2-40B4-BE49-F238E27FC236}">
                      <a16:creationId xmlns:a16="http://schemas.microsoft.com/office/drawing/2014/main" id="{CDC0C69A-FF13-5A29-61B2-11D06A38EE5D}"/>
                    </a:ext>
                  </a:extLst>
                </xdr:cNvPr>
                <xdr:cNvSpPr txBox="1"/>
              </xdr:nvSpPr>
              <xdr:spPr>
                <a:xfrm>
                  <a:off x="3510385" y="0"/>
                  <a:ext cx="52312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REPAIRS</a:t>
                  </a:r>
                </a:p>
              </xdr:txBody>
            </xdr:sp>
            <xdr:pic>
              <xdr:nvPicPr>
                <xdr:cNvPr id="42" name="Picture 41">
                  <a:hlinkClick xmlns:r="http://schemas.openxmlformats.org/officeDocument/2006/relationships" r:id="rId35"/>
                  <a:extLst>
                    <a:ext uri="{FF2B5EF4-FFF2-40B4-BE49-F238E27FC236}">
                      <a16:creationId xmlns:a16="http://schemas.microsoft.com/office/drawing/2014/main" id="{DD367C71-FDF3-B7B4-1203-2229DB8B9F00}"/>
                    </a:ext>
                  </a:extLst>
                </xdr:cNvPr>
                <xdr:cNvPicPr>
                  <a:picLocks noChangeAspect="1"/>
                </xdr:cNvPicPr>
              </xdr:nvPicPr>
              <xdr:blipFill>
                <a:blip xmlns:r="http://schemas.openxmlformats.org/officeDocument/2006/relationships" r:embed="rId36" cstate="print">
                  <a:alphaModFix/>
                  <a:extLst>
                    <a:ext uri="{28A0092B-C50C-407E-A947-70E740481C1C}">
                      <a14:useLocalDpi xmlns:a14="http://schemas.microsoft.com/office/drawing/2010/main" val="0"/>
                    </a:ext>
                  </a:extLst>
                </a:blip>
                <a:stretch>
                  <a:fillRect/>
                </a:stretch>
              </xdr:blipFill>
              <xdr:spPr>
                <a:xfrm>
                  <a:off x="3296296" y="28376"/>
                  <a:ext cx="214435" cy="230900"/>
                </a:xfrm>
                <a:prstGeom prst="rect">
                  <a:avLst/>
                </a:prstGeom>
              </xdr:spPr>
            </xdr:pic>
            <xdr:sp macro="" textlink="">
              <xdr:nvSpPr>
                <xdr:cNvPr id="43" name="TextBox 42">
                  <a:hlinkClick xmlns:r="http://schemas.openxmlformats.org/officeDocument/2006/relationships" r:id="rId37"/>
                  <a:extLst>
                    <a:ext uri="{FF2B5EF4-FFF2-40B4-BE49-F238E27FC236}">
                      <a16:creationId xmlns:a16="http://schemas.microsoft.com/office/drawing/2014/main" id="{B07ED590-9660-A3A0-5A16-F373BF174408}"/>
                    </a:ext>
                  </a:extLst>
                </xdr:cNvPr>
                <xdr:cNvSpPr txBox="1"/>
              </xdr:nvSpPr>
              <xdr:spPr>
                <a:xfrm>
                  <a:off x="4388587" y="0"/>
                  <a:ext cx="63170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FURNITURE</a:t>
                  </a:r>
                </a:p>
              </xdr:txBody>
            </xdr:sp>
            <xdr:pic>
              <xdr:nvPicPr>
                <xdr:cNvPr id="44" name="Picture 43">
                  <a:hlinkClick xmlns:r="http://schemas.openxmlformats.org/officeDocument/2006/relationships" r:id="rId37"/>
                  <a:extLst>
                    <a:ext uri="{FF2B5EF4-FFF2-40B4-BE49-F238E27FC236}">
                      <a16:creationId xmlns:a16="http://schemas.microsoft.com/office/drawing/2014/main" id="{79FD2CA6-0020-B924-EF30-4DE6D3041644}"/>
                    </a:ext>
                  </a:extLst>
                </xdr:cNvPr>
                <xdr:cNvPicPr>
                  <a:picLocks noChangeAspect="1"/>
                </xdr:cNvPicPr>
              </xdr:nvPicPr>
              <xdr:blipFill>
                <a:blip xmlns:r="http://schemas.openxmlformats.org/officeDocument/2006/relationships" r:embed="rId38" cstate="print">
                  <a:alphaModFix/>
                  <a:extLst>
                    <a:ext uri="{28A0092B-C50C-407E-A947-70E740481C1C}">
                      <a14:useLocalDpi xmlns:a14="http://schemas.microsoft.com/office/drawing/2010/main" val="0"/>
                    </a:ext>
                  </a:extLst>
                </a:blip>
                <a:stretch>
                  <a:fillRect/>
                </a:stretch>
              </xdr:blipFill>
              <xdr:spPr>
                <a:xfrm>
                  <a:off x="4180491" y="28376"/>
                  <a:ext cx="214435" cy="230900"/>
                </a:xfrm>
                <a:prstGeom prst="rect">
                  <a:avLst/>
                </a:prstGeom>
              </xdr:spPr>
            </xdr:pic>
            <xdr:pic>
              <xdr:nvPicPr>
                <xdr:cNvPr id="45" name="Picture 44">
                  <a:hlinkClick xmlns:r="http://schemas.openxmlformats.org/officeDocument/2006/relationships" r:id="rId39"/>
                  <a:extLst>
                    <a:ext uri="{FF2B5EF4-FFF2-40B4-BE49-F238E27FC236}">
                      <a16:creationId xmlns:a16="http://schemas.microsoft.com/office/drawing/2014/main" id="{45F3747E-B8DD-65E2-C905-785B27A2C286}"/>
                    </a:ext>
                  </a:extLst>
                </xdr:cNvPr>
                <xdr:cNvPicPr>
                  <a:picLocks noChangeAspect="1"/>
                </xdr:cNvPicPr>
              </xdr:nvPicPr>
              <xdr:blipFill>
                <a:blip xmlns:r="http://schemas.openxmlformats.org/officeDocument/2006/relationships" r:embed="rId40" cstate="print">
                  <a:alphaModFix/>
                  <a:extLst>
                    <a:ext uri="{28A0092B-C50C-407E-A947-70E740481C1C}">
                      <a14:useLocalDpi xmlns:a14="http://schemas.microsoft.com/office/drawing/2010/main" val="0"/>
                    </a:ext>
                  </a:extLst>
                </a:blip>
                <a:stretch>
                  <a:fillRect/>
                </a:stretch>
              </xdr:blipFill>
              <xdr:spPr>
                <a:xfrm>
                  <a:off x="10812480" y="19549"/>
                  <a:ext cx="214188" cy="248554"/>
                </a:xfrm>
                <a:prstGeom prst="rect">
                  <a:avLst/>
                </a:prstGeom>
              </xdr:spPr>
            </xdr:pic>
            <xdr:sp macro="" textlink="">
              <xdr:nvSpPr>
                <xdr:cNvPr id="46" name="TextBox 45">
                  <a:hlinkClick xmlns:r="http://schemas.openxmlformats.org/officeDocument/2006/relationships" r:id="rId39"/>
                  <a:extLst>
                    <a:ext uri="{FF2B5EF4-FFF2-40B4-BE49-F238E27FC236}">
                      <a16:creationId xmlns:a16="http://schemas.microsoft.com/office/drawing/2014/main" id="{E1E2588A-9C93-E95A-73F4-7F7BA0AFA6E5}"/>
                    </a:ext>
                  </a:extLst>
                </xdr:cNvPr>
                <xdr:cNvSpPr txBox="1"/>
              </xdr:nvSpPr>
              <xdr:spPr>
                <a:xfrm>
                  <a:off x="11008843" y="0"/>
                  <a:ext cx="40705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PEERS</a:t>
                  </a:r>
                </a:p>
              </xdr:txBody>
            </xdr:sp>
            <xdr:sp macro="" textlink="">
              <xdr:nvSpPr>
                <xdr:cNvPr id="47" name="TextBox 46">
                  <a:hlinkClick xmlns:r="http://schemas.openxmlformats.org/officeDocument/2006/relationships" r:id="rId41"/>
                  <a:extLst>
                    <a:ext uri="{FF2B5EF4-FFF2-40B4-BE49-F238E27FC236}">
                      <a16:creationId xmlns:a16="http://schemas.microsoft.com/office/drawing/2014/main" id="{9D8F32A2-346E-5A2D-2297-A9C45F1EC440}"/>
                    </a:ext>
                  </a:extLst>
                </xdr:cNvPr>
                <xdr:cNvSpPr txBox="1"/>
              </xdr:nvSpPr>
              <xdr:spPr>
                <a:xfrm>
                  <a:off x="9581756" y="397481"/>
                  <a:ext cx="656781"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MAX PRICE</a:t>
                  </a:r>
                </a:p>
              </xdr:txBody>
            </xdr:sp>
            <xdr:pic>
              <xdr:nvPicPr>
                <xdr:cNvPr id="48" name="Picture 47">
                  <a:hlinkClick xmlns:r="http://schemas.openxmlformats.org/officeDocument/2006/relationships" r:id="rId41"/>
                  <a:extLst>
                    <a:ext uri="{FF2B5EF4-FFF2-40B4-BE49-F238E27FC236}">
                      <a16:creationId xmlns:a16="http://schemas.microsoft.com/office/drawing/2014/main" id="{F4BEEDE7-C22F-0885-2F45-C530A7FC5D0B}"/>
                    </a:ext>
                  </a:extLst>
                </xdr:cNvPr>
                <xdr:cNvPicPr>
                  <a:picLocks noChangeAspect="1"/>
                </xdr:cNvPicPr>
              </xdr:nvPicPr>
              <xdr:blipFill>
                <a:blip xmlns:r="http://schemas.openxmlformats.org/officeDocument/2006/relationships" r:embed="rId42" cstate="print">
                  <a:alphaModFix/>
                  <a:extLst>
                    <a:ext uri="{28A0092B-C50C-407E-A947-70E740481C1C}">
                      <a14:useLocalDpi xmlns:a14="http://schemas.microsoft.com/office/drawing/2010/main" val="0"/>
                    </a:ext>
                  </a:extLst>
                </a:blip>
                <a:stretch>
                  <a:fillRect/>
                </a:stretch>
              </xdr:blipFill>
              <xdr:spPr>
                <a:xfrm>
                  <a:off x="9433997" y="425857"/>
                  <a:ext cx="214435" cy="230900"/>
                </a:xfrm>
                <a:prstGeom prst="rect">
                  <a:avLst/>
                </a:prstGeom>
              </xdr:spPr>
            </xdr:pic>
            <xdr:sp macro="" textlink="">
              <xdr:nvSpPr>
                <xdr:cNvPr id="49" name="TextBox 48">
                  <a:hlinkClick xmlns:r="http://schemas.openxmlformats.org/officeDocument/2006/relationships" r:id="rId43"/>
                  <a:extLst>
                    <a:ext uri="{FF2B5EF4-FFF2-40B4-BE49-F238E27FC236}">
                      <a16:creationId xmlns:a16="http://schemas.microsoft.com/office/drawing/2014/main" id="{83265068-4DD3-57C2-FE2A-465044C1D803}"/>
                    </a:ext>
                  </a:extLst>
                </xdr:cNvPr>
                <xdr:cNvSpPr txBox="1"/>
              </xdr:nvSpPr>
              <xdr:spPr>
                <a:xfrm>
                  <a:off x="7733272" y="389861"/>
                  <a:ext cx="6384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SCENARIOS</a:t>
                  </a:r>
                </a:p>
              </xdr:txBody>
            </xdr:sp>
            <xdr:pic>
              <xdr:nvPicPr>
                <xdr:cNvPr id="50" name="Picture 49">
                  <a:hlinkClick xmlns:r="http://schemas.openxmlformats.org/officeDocument/2006/relationships" r:id="rId43"/>
                  <a:extLst>
                    <a:ext uri="{FF2B5EF4-FFF2-40B4-BE49-F238E27FC236}">
                      <a16:creationId xmlns:a16="http://schemas.microsoft.com/office/drawing/2014/main" id="{B6979B17-2541-0B2E-C2E5-31B375AEE785}"/>
                    </a:ext>
                  </a:extLst>
                </xdr:cNvPr>
                <xdr:cNvPicPr>
                  <a:picLocks noChangeAspect="1"/>
                </xdr:cNvPicPr>
              </xdr:nvPicPr>
              <xdr:blipFill>
                <a:blip xmlns:r="http://schemas.openxmlformats.org/officeDocument/2006/relationships" r:embed="rId44" cstate="print">
                  <a:alphaModFix/>
                  <a:extLst>
                    <a:ext uri="{28A0092B-C50C-407E-A947-70E740481C1C}">
                      <a14:useLocalDpi xmlns:a14="http://schemas.microsoft.com/office/drawing/2010/main" val="0"/>
                    </a:ext>
                  </a:extLst>
                </a:blip>
                <a:stretch>
                  <a:fillRect/>
                </a:stretch>
              </xdr:blipFill>
              <xdr:spPr>
                <a:xfrm>
                  <a:off x="7536090" y="418237"/>
                  <a:ext cx="214435" cy="230900"/>
                </a:xfrm>
                <a:prstGeom prst="rect">
                  <a:avLst/>
                </a:prstGeom>
              </xdr:spPr>
            </xdr:pic>
            <xdr:sp macro="" textlink="">
              <xdr:nvSpPr>
                <xdr:cNvPr id="51" name="TextBox 50">
                  <a:hlinkClick xmlns:r="http://schemas.openxmlformats.org/officeDocument/2006/relationships" r:id="rId45"/>
                  <a:extLst>
                    <a:ext uri="{FF2B5EF4-FFF2-40B4-BE49-F238E27FC236}">
                      <a16:creationId xmlns:a16="http://schemas.microsoft.com/office/drawing/2014/main" id="{3D7D6011-7E26-34FB-7393-7BF27896FE0E}"/>
                    </a:ext>
                  </a:extLst>
                </xdr:cNvPr>
                <xdr:cNvSpPr txBox="1"/>
              </xdr:nvSpPr>
              <xdr:spPr>
                <a:xfrm>
                  <a:off x="11757467" y="49286"/>
                  <a:ext cx="110218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MARKET RESEARCH</a:t>
                  </a:r>
                </a:p>
              </xdr:txBody>
            </xdr:sp>
            <xdr:pic>
              <xdr:nvPicPr>
                <xdr:cNvPr id="52" name="Picture 51" descr="A white and brown hourglass&#10;&#10;AI-generated content may be incorrect.">
                  <a:hlinkClick xmlns:r="http://schemas.openxmlformats.org/officeDocument/2006/relationships" r:id="rId45"/>
                  <a:extLst>
                    <a:ext uri="{FF2B5EF4-FFF2-40B4-BE49-F238E27FC236}">
                      <a16:creationId xmlns:a16="http://schemas.microsoft.com/office/drawing/2014/main" id="{8CCCBAB2-A22C-4559-349E-233BF4E61627}"/>
                    </a:ext>
                  </a:extLst>
                </xdr:cNvPr>
                <xdr:cNvPicPr>
                  <a:picLocks noChangeAspect="1"/>
                </xdr:cNvPicPr>
              </xdr:nvPicPr>
              <xdr:blipFill>
                <a:blip xmlns:r="http://schemas.openxmlformats.org/officeDocument/2006/relationships" r:embed="rId46" cstate="print">
                  <a:alphaModFix/>
                  <a:extLst>
                    <a:ext uri="{28A0092B-C50C-407E-A947-70E740481C1C}">
                      <a14:useLocalDpi xmlns:a14="http://schemas.microsoft.com/office/drawing/2010/main" val="0"/>
                    </a:ext>
                  </a:extLst>
                </a:blip>
                <a:stretch>
                  <a:fillRect/>
                </a:stretch>
              </xdr:blipFill>
              <xdr:spPr>
                <a:xfrm>
                  <a:off x="11563464" y="33893"/>
                  <a:ext cx="235575" cy="261687"/>
                </a:xfrm>
                <a:prstGeom prst="rect">
                  <a:avLst/>
                </a:prstGeom>
              </xdr:spPr>
            </xdr:pic>
            <xdr:pic>
              <xdr:nvPicPr>
                <xdr:cNvPr id="53" name="Picture 52">
                  <a:hlinkClick xmlns:r="http://schemas.openxmlformats.org/officeDocument/2006/relationships" r:id="rId47"/>
                  <a:extLst>
                    <a:ext uri="{FF2B5EF4-FFF2-40B4-BE49-F238E27FC236}">
                      <a16:creationId xmlns:a16="http://schemas.microsoft.com/office/drawing/2014/main" id="{AD414B74-8389-5B6F-775A-E7F41D09F2FC}"/>
                    </a:ext>
                  </a:extLst>
                </xdr:cNvPr>
                <xdr:cNvPicPr>
                  <a:picLocks noChangeAspect="1" noChangeArrowheads="1"/>
                </xdr:cNvPicPr>
              </xdr:nvPicPr>
              <xdr:blipFill>
                <a:blip xmlns:r="http://schemas.openxmlformats.org/officeDocument/2006/relationships" r:embed="rId4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33032" y="384834"/>
                  <a:ext cx="261600" cy="33288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4" name="TextBox 53">
                  <a:hlinkClick xmlns:r="http://schemas.openxmlformats.org/officeDocument/2006/relationships" r:id="rId47"/>
                  <a:extLst>
                    <a:ext uri="{FF2B5EF4-FFF2-40B4-BE49-F238E27FC236}">
                      <a16:creationId xmlns:a16="http://schemas.microsoft.com/office/drawing/2014/main" id="{811235F4-589D-B550-3A5C-86E029708D63}"/>
                    </a:ext>
                  </a:extLst>
                </xdr:cNvPr>
                <xdr:cNvSpPr txBox="1"/>
              </xdr:nvSpPr>
              <xdr:spPr>
                <a:xfrm>
                  <a:off x="3637195" y="315564"/>
                  <a:ext cx="914586" cy="433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BALANCE SHEET</a:t>
                  </a:r>
                </a:p>
                <a:p>
                  <a:pPr algn="ctr"/>
                  <a:r>
                    <a:rPr lang="en-US" sz="900" b="1">
                      <a:solidFill>
                        <a:schemeClr val="bg1"/>
                      </a:solidFill>
                    </a:rPr>
                    <a:t>SUMMARY</a:t>
                  </a:r>
                </a:p>
              </xdr:txBody>
            </xdr:sp>
            <xdr:pic>
              <xdr:nvPicPr>
                <xdr:cNvPr id="55" name="Picture 54">
                  <a:hlinkClick xmlns:r="http://schemas.openxmlformats.org/officeDocument/2006/relationships" r:id="rId49"/>
                  <a:extLst>
                    <a:ext uri="{FF2B5EF4-FFF2-40B4-BE49-F238E27FC236}">
                      <a16:creationId xmlns:a16="http://schemas.microsoft.com/office/drawing/2014/main" id="{7EC57341-8748-6DF0-AC18-39A2FEA9F29E}"/>
                    </a:ext>
                  </a:extLst>
                </xdr:cNvPr>
                <xdr:cNvPicPr>
                  <a:picLocks noChangeAspect="1" noChangeArrowheads="1"/>
                </xdr:cNvPicPr>
              </xdr:nvPicPr>
              <xdr:blipFill>
                <a:blip xmlns:r="http://schemas.openxmlformats.org/officeDocument/2006/relationships" r:embed="rId50" cstate="print">
                  <a:clrChange>
                    <a:clrFrom>
                      <a:srgbClr val="F8F8F8"/>
                    </a:clrFrom>
                    <a:clrTo>
                      <a:srgbClr val="F8F8F8">
                        <a:alpha val="0"/>
                      </a:srgbClr>
                    </a:clrTo>
                  </a:clrChange>
                  <a:extLst>
                    <a:ext uri="{28A0092B-C50C-407E-A947-70E740481C1C}">
                      <a14:useLocalDpi xmlns:a14="http://schemas.microsoft.com/office/drawing/2010/main" val="0"/>
                    </a:ext>
                  </a:extLst>
                </a:blip>
                <a:srcRect/>
                <a:stretch>
                  <a:fillRect/>
                </a:stretch>
              </xdr:blipFill>
              <xdr:spPr bwMode="auto">
                <a:xfrm>
                  <a:off x="4602713" y="384834"/>
                  <a:ext cx="326621" cy="3113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6" name="TextBox 55">
                  <a:hlinkClick xmlns:r="http://schemas.openxmlformats.org/officeDocument/2006/relationships" r:id="rId49"/>
                  <a:extLst>
                    <a:ext uri="{FF2B5EF4-FFF2-40B4-BE49-F238E27FC236}">
                      <a16:creationId xmlns:a16="http://schemas.microsoft.com/office/drawing/2014/main" id="{7723B22A-C92B-B6A0-F2F8-9E2611EAD2FE}"/>
                    </a:ext>
                  </a:extLst>
                </xdr:cNvPr>
                <xdr:cNvSpPr txBox="1"/>
              </xdr:nvSpPr>
              <xdr:spPr>
                <a:xfrm>
                  <a:off x="4880678" y="423317"/>
                  <a:ext cx="56334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ASSETS</a:t>
                  </a:r>
                </a:p>
              </xdr:txBody>
            </xdr:sp>
            <xdr:pic>
              <xdr:nvPicPr>
                <xdr:cNvPr id="57" name="Picture 56">
                  <a:hlinkClick xmlns:r="http://schemas.openxmlformats.org/officeDocument/2006/relationships" r:id="rId51"/>
                  <a:extLst>
                    <a:ext uri="{FF2B5EF4-FFF2-40B4-BE49-F238E27FC236}">
                      <a16:creationId xmlns:a16="http://schemas.microsoft.com/office/drawing/2014/main" id="{DA9BB2C8-E1F4-F1B6-9153-28CC6E70BCD7}"/>
                    </a:ext>
                  </a:extLst>
                </xdr:cNvPr>
                <xdr:cNvPicPr>
                  <a:picLocks noChangeAspect="1" noChangeArrowheads="1"/>
                </xdr:cNvPicPr>
              </xdr:nvPicPr>
              <xdr:blipFill>
                <a:blip xmlns:r="http://schemas.openxmlformats.org/officeDocument/2006/relationships" r:embed="rId5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35903" y="354046"/>
                  <a:ext cx="278234" cy="3540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402" name="TextBox 3401">
                  <a:hlinkClick xmlns:r="http://schemas.openxmlformats.org/officeDocument/2006/relationships" r:id="rId51"/>
                  <a:extLst>
                    <a:ext uri="{FF2B5EF4-FFF2-40B4-BE49-F238E27FC236}">
                      <a16:creationId xmlns:a16="http://schemas.microsoft.com/office/drawing/2014/main" id="{9A0B7A11-760D-9ED1-A841-9A39CB2546E1}"/>
                    </a:ext>
                  </a:extLst>
                </xdr:cNvPr>
                <xdr:cNvSpPr txBox="1"/>
              </xdr:nvSpPr>
              <xdr:spPr>
                <a:xfrm>
                  <a:off x="5717678" y="431014"/>
                  <a:ext cx="750091"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LIABILITIES</a:t>
                  </a:r>
                </a:p>
              </xdr:txBody>
            </xdr:sp>
            <xdr:pic>
              <xdr:nvPicPr>
                <xdr:cNvPr id="3403" name="Picture 3402">
                  <a:hlinkClick xmlns:r="http://schemas.openxmlformats.org/officeDocument/2006/relationships" r:id="rId53"/>
                  <a:extLst>
                    <a:ext uri="{FF2B5EF4-FFF2-40B4-BE49-F238E27FC236}">
                      <a16:creationId xmlns:a16="http://schemas.microsoft.com/office/drawing/2014/main" id="{7C71EFC9-B5D1-DF8F-4002-80D3E23233D5}"/>
                    </a:ext>
                  </a:extLst>
                </xdr:cNvPr>
                <xdr:cNvPicPr>
                  <a:picLocks noChangeAspect="1"/>
                </xdr:cNvPicPr>
              </xdr:nvPicPr>
              <xdr:blipFill>
                <a:blip xmlns:r="http://schemas.openxmlformats.org/officeDocument/2006/relationships" r:embed="rId54">
                  <a:clrChange>
                    <a:clrFrom>
                      <a:srgbClr val="FFFFFF"/>
                    </a:clrFrom>
                    <a:clrTo>
                      <a:srgbClr val="FFFFFF">
                        <a:alpha val="0"/>
                      </a:srgbClr>
                    </a:clrTo>
                  </a:clrChange>
                </a:blip>
                <a:stretch>
                  <a:fillRect/>
                </a:stretch>
              </xdr:blipFill>
              <xdr:spPr>
                <a:xfrm>
                  <a:off x="6454424" y="361268"/>
                  <a:ext cx="368693" cy="354523"/>
                </a:xfrm>
                <a:prstGeom prst="rect">
                  <a:avLst/>
                </a:prstGeom>
              </xdr:spPr>
            </xdr:pic>
            <xdr:sp macro="" textlink="">
              <xdr:nvSpPr>
                <xdr:cNvPr id="3404" name="TextBox 3403">
                  <a:hlinkClick xmlns:r="http://schemas.openxmlformats.org/officeDocument/2006/relationships" r:id="rId53"/>
                  <a:extLst>
                    <a:ext uri="{FF2B5EF4-FFF2-40B4-BE49-F238E27FC236}">
                      <a16:creationId xmlns:a16="http://schemas.microsoft.com/office/drawing/2014/main" id="{5BE8A956-B64E-E203-D904-2E96ABE50B6C}"/>
                    </a:ext>
                  </a:extLst>
                </xdr:cNvPr>
                <xdr:cNvSpPr txBox="1"/>
              </xdr:nvSpPr>
              <xdr:spPr>
                <a:xfrm>
                  <a:off x="6742924" y="369440"/>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EDIT</a:t>
                  </a:r>
                </a:p>
                <a:p>
                  <a:r>
                    <a:rPr lang="en-US" sz="900" b="1">
                      <a:solidFill>
                        <a:schemeClr val="bg1"/>
                      </a:solidFill>
                    </a:rPr>
                    <a:t>CATEGORIES</a:t>
                  </a:r>
                </a:p>
              </xdr:txBody>
            </xdr:sp>
            <xdr:grpSp>
              <xdr:nvGrpSpPr>
                <xdr:cNvPr id="3405" name="Group 3404">
                  <a:hlinkClick xmlns:r="http://schemas.openxmlformats.org/officeDocument/2006/relationships" r:id="rId55"/>
                  <a:extLst>
                    <a:ext uri="{FF2B5EF4-FFF2-40B4-BE49-F238E27FC236}">
                      <a16:creationId xmlns:a16="http://schemas.microsoft.com/office/drawing/2014/main" id="{59F199EA-093B-649F-A922-854CE3B92E5A}"/>
                    </a:ext>
                  </a:extLst>
                </xdr:cNvPr>
                <xdr:cNvGrpSpPr/>
              </xdr:nvGrpSpPr>
              <xdr:grpSpPr>
                <a:xfrm>
                  <a:off x="10231249" y="237461"/>
                  <a:ext cx="1281586" cy="502920"/>
                  <a:chOff x="11732389" y="237461"/>
                  <a:chExt cx="1281586" cy="502920"/>
                </a:xfrm>
              </xdr:grpSpPr>
              <xdr:pic>
                <xdr:nvPicPr>
                  <xdr:cNvPr id="3406" name="Picture 3405">
                    <a:hlinkClick xmlns:r="http://schemas.openxmlformats.org/officeDocument/2006/relationships" r:id="rId56"/>
                    <a:extLst>
                      <a:ext uri="{FF2B5EF4-FFF2-40B4-BE49-F238E27FC236}">
                        <a16:creationId xmlns:a16="http://schemas.microsoft.com/office/drawing/2014/main" id="{CA73ED2F-43B4-67C2-D5C3-71846C1D0138}"/>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11732389" y="237461"/>
                    <a:ext cx="502920" cy="502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407" name="TextBox 3406">
                    <a:hlinkClick xmlns:r="http://schemas.openxmlformats.org/officeDocument/2006/relationships" r:id="rId56"/>
                    <a:extLst>
                      <a:ext uri="{FF2B5EF4-FFF2-40B4-BE49-F238E27FC236}">
                        <a16:creationId xmlns:a16="http://schemas.microsoft.com/office/drawing/2014/main" id="{6ADCE988-A5F2-88FE-64DD-A8F7F6528F90}"/>
                      </a:ext>
                    </a:extLst>
                  </xdr:cNvPr>
                  <xdr:cNvSpPr txBox="1"/>
                </xdr:nvSpPr>
                <xdr:spPr>
                  <a:xfrm>
                    <a:off x="12197209" y="344142"/>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 GAME APPS</a:t>
                    </a:r>
                  </a:p>
                </xdr:txBody>
              </xdr:sp>
            </xdr:grpSp>
          </xdr:grpSp>
          <xdr:grpSp>
            <xdr:nvGrpSpPr>
              <xdr:cNvPr id="22" name="Group 21">
                <a:extLst>
                  <a:ext uri="{FF2B5EF4-FFF2-40B4-BE49-F238E27FC236}">
                    <a16:creationId xmlns:a16="http://schemas.microsoft.com/office/drawing/2014/main" id="{929C7934-0797-D673-AA8C-C138A0EA3286}"/>
                  </a:ext>
                </a:extLst>
              </xdr:cNvPr>
              <xdr:cNvGrpSpPr/>
            </xdr:nvGrpSpPr>
            <xdr:grpSpPr>
              <a:xfrm>
                <a:off x="3030070" y="313765"/>
                <a:ext cx="1219410" cy="438976"/>
                <a:chOff x="3030070" y="313765"/>
                <a:chExt cx="1219410" cy="438976"/>
              </a:xfrm>
            </xdr:grpSpPr>
            <xdr:sp macro="" textlink="">
              <xdr:nvSpPr>
                <xdr:cNvPr id="23" name="TextBox 22">
                  <a:hlinkClick xmlns:r="http://schemas.openxmlformats.org/officeDocument/2006/relationships" r:id="rId58"/>
                  <a:extLst>
                    <a:ext uri="{FF2B5EF4-FFF2-40B4-BE49-F238E27FC236}">
                      <a16:creationId xmlns:a16="http://schemas.microsoft.com/office/drawing/2014/main" id="{3092F564-25D3-0F62-2203-A60274F53258}"/>
                    </a:ext>
                  </a:extLst>
                </xdr:cNvPr>
                <xdr:cNvSpPr txBox="1"/>
              </xdr:nvSpPr>
              <xdr:spPr>
                <a:xfrm>
                  <a:off x="3307528" y="313765"/>
                  <a:ext cx="941952" cy="43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BOOK KEEPING</a:t>
                  </a:r>
                </a:p>
                <a:p>
                  <a:pPr algn="ctr"/>
                  <a:r>
                    <a:rPr lang="en-US" sz="900" b="1">
                      <a:solidFill>
                        <a:schemeClr val="bg1"/>
                      </a:solidFill>
                    </a:rPr>
                    <a:t>LEDGER</a:t>
                  </a:r>
                </a:p>
              </xdr:txBody>
            </xdr:sp>
            <xdr:pic>
              <xdr:nvPicPr>
                <xdr:cNvPr id="24" name="Picture 23">
                  <a:hlinkClick xmlns:r="http://schemas.openxmlformats.org/officeDocument/2006/relationships" r:id="rId58"/>
                  <a:extLst>
                    <a:ext uri="{FF2B5EF4-FFF2-40B4-BE49-F238E27FC236}">
                      <a16:creationId xmlns:a16="http://schemas.microsoft.com/office/drawing/2014/main" id="{B64A9C7E-EB1A-0125-CEC8-56B040E9B7FB}"/>
                    </a:ext>
                  </a:extLst>
                </xdr:cNvPr>
                <xdr:cNvPicPr>
                  <a:picLocks noChangeAspect="1"/>
                </xdr:cNvPicPr>
              </xdr:nvPicPr>
              <xdr:blipFill>
                <a:blip xmlns:r="http://schemas.openxmlformats.org/officeDocument/2006/relationships" r:embed="rId59"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0070" y="367554"/>
                  <a:ext cx="327770" cy="349622"/>
                </a:xfrm>
                <a:prstGeom prst="rect">
                  <a:avLst/>
                </a:prstGeom>
              </xdr:spPr>
            </xdr:pic>
          </xdr:grpSp>
        </xdr:grpSp>
        <xdr:grpSp>
          <xdr:nvGrpSpPr>
            <xdr:cNvPr id="13" name="Group 12">
              <a:extLst>
                <a:ext uri="{FF2B5EF4-FFF2-40B4-BE49-F238E27FC236}">
                  <a16:creationId xmlns:a16="http://schemas.microsoft.com/office/drawing/2014/main" id="{5D27DE2E-3D7B-E7EB-57FD-8380FADC3CBF}"/>
                </a:ext>
              </a:extLst>
            </xdr:cNvPr>
            <xdr:cNvGrpSpPr/>
          </xdr:nvGrpSpPr>
          <xdr:grpSpPr>
            <a:xfrm>
              <a:off x="12626340" y="243840"/>
              <a:ext cx="1344125" cy="571500"/>
              <a:chOff x="12626340" y="243840"/>
              <a:chExt cx="1344125" cy="571500"/>
            </a:xfrm>
          </xdr:grpSpPr>
          <xdr:pic>
            <xdr:nvPicPr>
              <xdr:cNvPr id="16" name="Picture 15">
                <a:hlinkClick xmlns:r="http://schemas.openxmlformats.org/officeDocument/2006/relationships" r:id="rId60"/>
                <a:extLst>
                  <a:ext uri="{FF2B5EF4-FFF2-40B4-BE49-F238E27FC236}">
                    <a16:creationId xmlns:a16="http://schemas.microsoft.com/office/drawing/2014/main" id="{993D40CF-17E8-E7BF-1E81-90577A47CFEE}"/>
                  </a:ext>
                </a:extLst>
              </xdr:cNvPr>
              <xdr:cNvPicPr>
                <a:picLocks noChangeAspect="1" noChangeArrowheads="1"/>
              </xdr:cNvPicPr>
            </xdr:nvPicPr>
            <xdr:blipFill>
              <a:blip xmlns:r="http://schemas.openxmlformats.org/officeDocument/2006/relationships" r:embed="rId6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26340" y="243840"/>
                <a:ext cx="571500" cy="571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TextBox 17">
                <a:hlinkClick xmlns:r="http://schemas.openxmlformats.org/officeDocument/2006/relationships" r:id="rId60"/>
                <a:extLst>
                  <a:ext uri="{FF2B5EF4-FFF2-40B4-BE49-F238E27FC236}">
                    <a16:creationId xmlns:a16="http://schemas.microsoft.com/office/drawing/2014/main" id="{0056E05C-685E-A866-C414-D459DEF7C924}"/>
                  </a:ext>
                </a:extLst>
              </xdr:cNvPr>
              <xdr:cNvSpPr txBox="1"/>
            </xdr:nvSpPr>
            <xdr:spPr>
              <a:xfrm>
                <a:off x="13129260" y="327660"/>
                <a:ext cx="841205" cy="4000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TRAVEL</a:t>
                </a:r>
              </a:p>
              <a:p>
                <a:pPr algn="ctr"/>
                <a:r>
                  <a:rPr lang="en-US" sz="900" b="1">
                    <a:solidFill>
                      <a:schemeClr val="bg1"/>
                    </a:solidFill>
                  </a:rPr>
                  <a:t>SANDBOX</a:t>
                </a:r>
              </a:p>
            </xdr:txBody>
          </xdr:sp>
        </xdr:grpSp>
      </xdr:grpSp>
      <xdr:pic>
        <xdr:nvPicPr>
          <xdr:cNvPr id="9" name="Picture 8">
            <a:hlinkClick xmlns:r="http://schemas.openxmlformats.org/officeDocument/2006/relationships" r:id="rId28"/>
            <a:extLst>
              <a:ext uri="{FF2B5EF4-FFF2-40B4-BE49-F238E27FC236}">
                <a16:creationId xmlns:a16="http://schemas.microsoft.com/office/drawing/2014/main" id="{913B4790-88AA-D1F6-957D-69F22DECB61A}"/>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6134100" y="30480"/>
            <a:ext cx="234698" cy="246078"/>
          </a:xfrm>
          <a:prstGeom prst="rect">
            <a:avLst/>
          </a:prstGeom>
          <a:solidFill>
            <a:srgbClr val="7FA6C7"/>
          </a:solidFill>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367552</xdr:colOff>
      <xdr:row>0</xdr:row>
      <xdr:rowOff>0</xdr:rowOff>
    </xdr:from>
    <xdr:to>
      <xdr:col>9</xdr:col>
      <xdr:colOff>1468623</xdr:colOff>
      <xdr:row>2</xdr:row>
      <xdr:rowOff>44375</xdr:rowOff>
    </xdr:to>
    <xdr:grpSp>
      <xdr:nvGrpSpPr>
        <xdr:cNvPr id="2" name="Group 1">
          <a:extLst>
            <a:ext uri="{FF2B5EF4-FFF2-40B4-BE49-F238E27FC236}">
              <a16:creationId xmlns:a16="http://schemas.microsoft.com/office/drawing/2014/main" id="{0DB99B99-9CF8-490D-88E8-76198136BC45}"/>
            </a:ext>
          </a:extLst>
        </xdr:cNvPr>
        <xdr:cNvGrpSpPr/>
      </xdr:nvGrpSpPr>
      <xdr:grpSpPr>
        <a:xfrm>
          <a:off x="2169458" y="0"/>
          <a:ext cx="11894577" cy="815340"/>
          <a:chOff x="2194560" y="0"/>
          <a:chExt cx="11894577" cy="815340"/>
        </a:xfrm>
      </xdr:grpSpPr>
      <xdr:grpSp>
        <xdr:nvGrpSpPr>
          <xdr:cNvPr id="3" name="Group 2">
            <a:extLst>
              <a:ext uri="{FF2B5EF4-FFF2-40B4-BE49-F238E27FC236}">
                <a16:creationId xmlns:a16="http://schemas.microsoft.com/office/drawing/2014/main" id="{7ACA4EE3-2EC5-1508-C393-6528B54CED6C}"/>
              </a:ext>
            </a:extLst>
          </xdr:cNvPr>
          <xdr:cNvGrpSpPr/>
        </xdr:nvGrpSpPr>
        <xdr:grpSpPr>
          <a:xfrm>
            <a:off x="2194560" y="0"/>
            <a:ext cx="11894577" cy="815340"/>
            <a:chOff x="2194560" y="0"/>
            <a:chExt cx="11894577" cy="815340"/>
          </a:xfrm>
        </xdr:grpSpPr>
        <xdr:grpSp>
          <xdr:nvGrpSpPr>
            <xdr:cNvPr id="5" name="Group 4">
              <a:extLst>
                <a:ext uri="{FF2B5EF4-FFF2-40B4-BE49-F238E27FC236}">
                  <a16:creationId xmlns:a16="http://schemas.microsoft.com/office/drawing/2014/main" id="{B2BA6FBA-FB8F-8DEC-4DD9-5838F1E415FB}"/>
                </a:ext>
              </a:extLst>
            </xdr:cNvPr>
            <xdr:cNvGrpSpPr/>
          </xdr:nvGrpSpPr>
          <xdr:grpSpPr>
            <a:xfrm>
              <a:off x="2194560" y="0"/>
              <a:ext cx="11894577" cy="773812"/>
              <a:chOff x="2160046" y="0"/>
              <a:chExt cx="11894577" cy="773812"/>
            </a:xfrm>
          </xdr:grpSpPr>
          <xdr:grpSp>
            <xdr:nvGrpSpPr>
              <xdr:cNvPr id="9" name="Group 8">
                <a:extLst>
                  <a:ext uri="{FF2B5EF4-FFF2-40B4-BE49-F238E27FC236}">
                    <a16:creationId xmlns:a16="http://schemas.microsoft.com/office/drawing/2014/main" id="{A8614DCB-88A0-549E-A623-F3F362AE365A}"/>
                  </a:ext>
                </a:extLst>
              </xdr:cNvPr>
              <xdr:cNvGrpSpPr/>
            </xdr:nvGrpSpPr>
            <xdr:grpSpPr>
              <a:xfrm>
                <a:off x="2160046" y="0"/>
                <a:ext cx="11894577" cy="773812"/>
                <a:chOff x="1310640" y="0"/>
                <a:chExt cx="11549013" cy="764847"/>
              </a:xfrm>
            </xdr:grpSpPr>
            <xdr:pic>
              <xdr:nvPicPr>
                <xdr:cNvPr id="13" name="Picture 12">
                  <a:hlinkClick xmlns:r="http://schemas.openxmlformats.org/officeDocument/2006/relationships" r:id="rId1"/>
                  <a:extLst>
                    <a:ext uri="{FF2B5EF4-FFF2-40B4-BE49-F238E27FC236}">
                      <a16:creationId xmlns:a16="http://schemas.microsoft.com/office/drawing/2014/main" id="{7822F8D7-B2F3-8088-1913-9BCB803E0CBC}"/>
                    </a:ext>
                  </a:extLst>
                </xdr:cNvPr>
                <xdr:cNvPicPr>
                  <a:picLocks/>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rcRect/>
                <a:stretch/>
              </xdr:blipFill>
              <xdr:spPr>
                <a:xfrm>
                  <a:off x="1310640" y="46180"/>
                  <a:ext cx="499211" cy="554546"/>
                </a:xfrm>
                <a:prstGeom prst="rect">
                  <a:avLst/>
                </a:prstGeom>
              </xdr:spPr>
            </xdr:pic>
            <xdr:pic>
              <xdr:nvPicPr>
                <xdr:cNvPr id="14" name="Picture 13">
                  <a:hlinkClick xmlns:r="http://schemas.openxmlformats.org/officeDocument/2006/relationships" r:id="rId3"/>
                  <a:extLst>
                    <a:ext uri="{FF2B5EF4-FFF2-40B4-BE49-F238E27FC236}">
                      <a16:creationId xmlns:a16="http://schemas.microsoft.com/office/drawing/2014/main" id="{F093CE59-3716-EAF6-1BC3-802A501EB1BB}"/>
                    </a:ext>
                  </a:extLst>
                </xdr:cNvPr>
                <xdr:cNvPicPr>
                  <a:picLocks noChangeAspect="1" noChangeArrowheads="1"/>
                </xdr:cNvPicPr>
              </xdr:nvPicPr>
              <xdr:blipFill>
                <a:blip xmlns:r="http://schemas.openxmlformats.org/officeDocument/2006/relationships" r:embed="rId4" cstate="print">
                  <a:alphaModFix/>
                  <a:extLst>
                    <a:ext uri="{28A0092B-C50C-407E-A947-70E740481C1C}">
                      <a14:useLocalDpi xmlns:a14="http://schemas.microsoft.com/office/drawing/2010/main" val="0"/>
                    </a:ext>
                  </a:extLst>
                </a:blip>
                <a:srcRect/>
                <a:stretch>
                  <a:fillRect/>
                </a:stretch>
              </xdr:blipFill>
              <xdr:spPr bwMode="auto">
                <a:xfrm>
                  <a:off x="2163693" y="30823"/>
                  <a:ext cx="214188" cy="2260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 name="TextBox 14">
                  <a:hlinkClick xmlns:r="http://schemas.openxmlformats.org/officeDocument/2006/relationships" r:id="rId3"/>
                  <a:extLst>
                    <a:ext uri="{FF2B5EF4-FFF2-40B4-BE49-F238E27FC236}">
                      <a16:creationId xmlns:a16="http://schemas.microsoft.com/office/drawing/2014/main" id="{9A2561C4-62C8-D336-C024-264DE48E2463}"/>
                    </a:ext>
                  </a:extLst>
                </xdr:cNvPr>
                <xdr:cNvSpPr txBox="1"/>
              </xdr:nvSpPr>
              <xdr:spPr>
                <a:xfrm>
                  <a:off x="2369194" y="17046"/>
                  <a:ext cx="846446" cy="25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US" sz="900" b="1">
                      <a:solidFill>
                        <a:schemeClr val="bg1"/>
                      </a:solidFill>
                    </a:rPr>
                    <a:t>DASHBOARD</a:t>
                  </a:r>
                </a:p>
              </xdr:txBody>
            </xdr:sp>
            <xdr:pic>
              <xdr:nvPicPr>
                <xdr:cNvPr id="16" name="Picture 15">
                  <a:hlinkClick xmlns:r="http://schemas.openxmlformats.org/officeDocument/2006/relationships" r:id="rId5"/>
                  <a:extLst>
                    <a:ext uri="{FF2B5EF4-FFF2-40B4-BE49-F238E27FC236}">
                      <a16:creationId xmlns:a16="http://schemas.microsoft.com/office/drawing/2014/main" id="{FA8E77FC-8943-ACB2-EE52-4A41F770286C}"/>
                    </a:ext>
                  </a:extLst>
                </xdr:cNvPr>
                <xdr:cNvPicPr>
                  <a:picLocks noChangeAspect="1" noChangeArrowheads="1"/>
                </xdr:cNvPicPr>
              </xdr:nvPicPr>
              <xdr:blipFill>
                <a:blip xmlns:r="http://schemas.openxmlformats.org/officeDocument/2006/relationships" r:embed="rId6" cstate="print">
                  <a:alphaModFix/>
                  <a:extLst>
                    <a:ext uri="{28A0092B-C50C-407E-A947-70E740481C1C}">
                      <a14:useLocalDpi xmlns:a14="http://schemas.microsoft.com/office/drawing/2010/main" val="0"/>
                    </a:ext>
                  </a:extLst>
                </a:blip>
                <a:srcRect/>
                <a:stretch>
                  <a:fillRect/>
                </a:stretch>
              </xdr:blipFill>
              <xdr:spPr bwMode="auto">
                <a:xfrm>
                  <a:off x="8461655" y="433462"/>
                  <a:ext cx="214188" cy="20819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7" name="TextBox 16">
                  <a:hlinkClick xmlns:r="http://schemas.openxmlformats.org/officeDocument/2006/relationships" r:id="rId5"/>
                  <a:extLst>
                    <a:ext uri="{FF2B5EF4-FFF2-40B4-BE49-F238E27FC236}">
                      <a16:creationId xmlns:a16="http://schemas.microsoft.com/office/drawing/2014/main" id="{AE30B97C-0085-C5CF-AD1E-58BD8547B610}"/>
                    </a:ext>
                  </a:extLst>
                </xdr:cNvPr>
                <xdr:cNvSpPr txBox="1"/>
              </xdr:nvSpPr>
              <xdr:spPr>
                <a:xfrm>
                  <a:off x="8647283" y="413913"/>
                  <a:ext cx="56836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REPORTS</a:t>
                  </a:r>
                </a:p>
              </xdr:txBody>
            </xdr:sp>
            <xdr:pic>
              <xdr:nvPicPr>
                <xdr:cNvPr id="18" name="Picture 17">
                  <a:hlinkClick xmlns:r="http://schemas.openxmlformats.org/officeDocument/2006/relationships" r:id="rId7"/>
                  <a:extLst>
                    <a:ext uri="{FF2B5EF4-FFF2-40B4-BE49-F238E27FC236}">
                      <a16:creationId xmlns:a16="http://schemas.microsoft.com/office/drawing/2014/main" id="{3A208C8A-5990-EE90-4129-F55B7315CB79}"/>
                    </a:ext>
                  </a:extLst>
                </xdr:cNvPr>
                <xdr:cNvPicPr>
                  <a:picLocks noChangeAspect="1"/>
                </xdr:cNvPicPr>
              </xdr:nvPicPr>
              <xdr:blipFill>
                <a:blip xmlns:r="http://schemas.openxmlformats.org/officeDocument/2006/relationships" r:embed="rId8" cstate="print">
                  <a:alphaModFix/>
                  <a:extLst>
                    <a:ext uri="{28A0092B-C50C-407E-A947-70E740481C1C}">
                      <a14:useLocalDpi xmlns:a14="http://schemas.microsoft.com/office/drawing/2010/main" val="0"/>
                    </a:ext>
                  </a:extLst>
                </a:blip>
                <a:stretch>
                  <a:fillRect/>
                </a:stretch>
              </xdr:blipFill>
              <xdr:spPr>
                <a:xfrm>
                  <a:off x="6903860" y="19549"/>
                  <a:ext cx="214187" cy="248554"/>
                </a:xfrm>
                <a:prstGeom prst="rect">
                  <a:avLst/>
                </a:prstGeom>
              </xdr:spPr>
            </xdr:pic>
            <xdr:sp macro="" textlink="">
              <xdr:nvSpPr>
                <xdr:cNvPr id="19" name="TextBox 18">
                  <a:hlinkClick xmlns:r="http://schemas.openxmlformats.org/officeDocument/2006/relationships" r:id="rId7"/>
                  <a:extLst>
                    <a:ext uri="{FF2B5EF4-FFF2-40B4-BE49-F238E27FC236}">
                      <a16:creationId xmlns:a16="http://schemas.microsoft.com/office/drawing/2014/main" id="{E1307958-DC67-C18A-5906-627044795BBD}"/>
                    </a:ext>
                  </a:extLst>
                </xdr:cNvPr>
                <xdr:cNvSpPr txBox="1"/>
              </xdr:nvSpPr>
              <xdr:spPr>
                <a:xfrm>
                  <a:off x="7099062" y="0"/>
                  <a:ext cx="67589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MORTGAGE</a:t>
                  </a:r>
                </a:p>
              </xdr:txBody>
            </xdr:sp>
            <xdr:sp macro="" textlink="">
              <xdr:nvSpPr>
                <xdr:cNvPr id="20" name="TextBox 19">
                  <a:hlinkClick xmlns:r="http://schemas.openxmlformats.org/officeDocument/2006/relationships" r:id="rId9"/>
                  <a:extLst>
                    <a:ext uri="{FF2B5EF4-FFF2-40B4-BE49-F238E27FC236}">
                      <a16:creationId xmlns:a16="http://schemas.microsoft.com/office/drawing/2014/main" id="{E979B0C8-C41B-ADED-43E3-BFDC769337C3}"/>
                    </a:ext>
                  </a:extLst>
                </xdr:cNvPr>
                <xdr:cNvSpPr txBox="1"/>
              </xdr:nvSpPr>
              <xdr:spPr>
                <a:xfrm>
                  <a:off x="6375474" y="0"/>
                  <a:ext cx="381400"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DEBT</a:t>
                  </a:r>
                </a:p>
              </xdr:txBody>
            </xdr:sp>
            <xdr:pic>
              <xdr:nvPicPr>
                <xdr:cNvPr id="21" name="Picture 20">
                  <a:hlinkClick xmlns:r="http://schemas.openxmlformats.org/officeDocument/2006/relationships" r:id="rId9"/>
                  <a:extLst>
                    <a:ext uri="{FF2B5EF4-FFF2-40B4-BE49-F238E27FC236}">
                      <a16:creationId xmlns:a16="http://schemas.microsoft.com/office/drawing/2014/main" id="{EC75A084-276F-CF08-6098-1415DA2DB91D}"/>
                    </a:ext>
                  </a:extLst>
                </xdr:cNvPr>
                <xdr:cNvPicPr>
                  <a:picLocks noChangeAspect="1"/>
                </xdr:cNvPicPr>
              </xdr:nvPicPr>
              <xdr:blipFill>
                <a:blip xmlns:r="http://schemas.openxmlformats.org/officeDocument/2006/relationships" r:embed="rId10" cstate="print">
                  <a:alphaModFix/>
                  <a:extLst>
                    <a:ext uri="{28A0092B-C50C-407E-A947-70E740481C1C}">
                      <a14:useLocalDpi xmlns:a14="http://schemas.microsoft.com/office/drawing/2010/main" val="0"/>
                    </a:ext>
                  </a:extLst>
                </a:blip>
                <a:stretch>
                  <a:fillRect/>
                </a:stretch>
              </xdr:blipFill>
              <xdr:spPr>
                <a:xfrm>
                  <a:off x="6158378" y="19549"/>
                  <a:ext cx="214188" cy="248554"/>
                </a:xfrm>
                <a:prstGeom prst="rect">
                  <a:avLst/>
                </a:prstGeom>
              </xdr:spPr>
            </xdr:pic>
            <xdr:sp macro="" textlink="">
              <xdr:nvSpPr>
                <xdr:cNvPr id="22" name="TextBox 21">
                  <a:hlinkClick xmlns:r="http://schemas.openxmlformats.org/officeDocument/2006/relationships" r:id="rId11"/>
                  <a:extLst>
                    <a:ext uri="{FF2B5EF4-FFF2-40B4-BE49-F238E27FC236}">
                      <a16:creationId xmlns:a16="http://schemas.microsoft.com/office/drawing/2014/main" id="{D08A67F1-052F-7A51-6671-57A062044845}"/>
                    </a:ext>
                  </a:extLst>
                </xdr:cNvPr>
                <xdr:cNvSpPr txBox="1"/>
              </xdr:nvSpPr>
              <xdr:spPr>
                <a:xfrm>
                  <a:off x="5370816" y="37659"/>
                  <a:ext cx="64057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FORECASTS</a:t>
                  </a:r>
                </a:p>
              </xdr:txBody>
            </xdr:sp>
            <xdr:sp macro="" textlink="">
              <xdr:nvSpPr>
                <xdr:cNvPr id="23" name="TextBox 22">
                  <a:hlinkClick xmlns:r="http://schemas.openxmlformats.org/officeDocument/2006/relationships" r:id="rId12"/>
                  <a:extLst>
                    <a:ext uri="{FF2B5EF4-FFF2-40B4-BE49-F238E27FC236}">
                      <a16:creationId xmlns:a16="http://schemas.microsoft.com/office/drawing/2014/main" id="{A24A08C6-8366-6028-53B8-AB9C9DFF3CE9}"/>
                    </a:ext>
                  </a:extLst>
                </xdr:cNvPr>
                <xdr:cNvSpPr txBox="1"/>
              </xdr:nvSpPr>
              <xdr:spPr>
                <a:xfrm>
                  <a:off x="8104032" y="0"/>
                  <a:ext cx="7732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a:t>
                  </a:r>
                  <a:r>
                    <a:rPr lang="en-US" sz="900" b="1" baseline="0">
                      <a:solidFill>
                        <a:schemeClr val="bg1"/>
                      </a:solidFill>
                    </a:rPr>
                    <a:t> (M)</a:t>
                  </a:r>
                  <a:endParaRPr lang="en-US" sz="900" b="1">
                    <a:solidFill>
                      <a:schemeClr val="bg1"/>
                    </a:solidFill>
                  </a:endParaRPr>
                </a:p>
              </xdr:txBody>
            </xdr:sp>
            <xdr:pic>
              <xdr:nvPicPr>
                <xdr:cNvPr id="24" name="Picture 23">
                  <a:hlinkClick xmlns:r="http://schemas.openxmlformats.org/officeDocument/2006/relationships" r:id="rId12"/>
                  <a:extLst>
                    <a:ext uri="{FF2B5EF4-FFF2-40B4-BE49-F238E27FC236}">
                      <a16:creationId xmlns:a16="http://schemas.microsoft.com/office/drawing/2014/main" id="{0329E4E4-9FEC-0DCB-9DED-60F8FA58E0ED}"/>
                    </a:ext>
                  </a:extLst>
                </xdr:cNvPr>
                <xdr:cNvPicPr>
                  <a:picLocks noChangeAspect="1"/>
                </xdr:cNvPicPr>
              </xdr:nvPicPr>
              <xdr:blipFill>
                <a:blip xmlns:r="http://schemas.openxmlformats.org/officeDocument/2006/relationships" r:embed="rId13" cstate="print">
                  <a:alphaModFix/>
                  <a:extLst>
                    <a:ext uri="{28A0092B-C50C-407E-A947-70E740481C1C}">
                      <a14:useLocalDpi xmlns:a14="http://schemas.microsoft.com/office/drawing/2010/main" val="0"/>
                    </a:ext>
                  </a:extLst>
                </a:blip>
                <a:stretch>
                  <a:fillRect/>
                </a:stretch>
              </xdr:blipFill>
              <xdr:spPr>
                <a:xfrm>
                  <a:off x="7921943" y="19549"/>
                  <a:ext cx="214188" cy="248554"/>
                </a:xfrm>
                <a:prstGeom prst="rect">
                  <a:avLst/>
                </a:prstGeom>
              </xdr:spPr>
            </xdr:pic>
            <xdr:sp macro="" textlink="">
              <xdr:nvSpPr>
                <xdr:cNvPr id="25" name="TextBox 24">
                  <a:hlinkClick xmlns:r="http://schemas.openxmlformats.org/officeDocument/2006/relationships" r:id="rId14"/>
                  <a:extLst>
                    <a:ext uri="{FF2B5EF4-FFF2-40B4-BE49-F238E27FC236}">
                      <a16:creationId xmlns:a16="http://schemas.microsoft.com/office/drawing/2014/main" id="{21E317BE-4558-3B93-8E98-990B11B09EEA}"/>
                    </a:ext>
                  </a:extLst>
                </xdr:cNvPr>
                <xdr:cNvSpPr txBox="1"/>
              </xdr:nvSpPr>
              <xdr:spPr>
                <a:xfrm>
                  <a:off x="9978309" y="0"/>
                  <a:ext cx="687187"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 (Y)</a:t>
                  </a:r>
                </a:p>
              </xdr:txBody>
            </xdr:sp>
            <xdr:pic>
              <xdr:nvPicPr>
                <xdr:cNvPr id="26" name="Picture 25">
                  <a:hlinkClick xmlns:r="http://schemas.openxmlformats.org/officeDocument/2006/relationships" r:id="rId14"/>
                  <a:extLst>
                    <a:ext uri="{FF2B5EF4-FFF2-40B4-BE49-F238E27FC236}">
                      <a16:creationId xmlns:a16="http://schemas.microsoft.com/office/drawing/2014/main" id="{E5371331-F057-0E32-BF30-B950750243AB}"/>
                    </a:ext>
                  </a:extLst>
                </xdr:cNvPr>
                <xdr:cNvPicPr>
                  <a:picLocks noChangeAspect="1"/>
                </xdr:cNvPicPr>
              </xdr:nvPicPr>
              <xdr:blipFill>
                <a:blip xmlns:r="http://schemas.openxmlformats.org/officeDocument/2006/relationships" r:embed="rId15" cstate="print">
                  <a:alphaModFix/>
                  <a:extLst>
                    <a:ext uri="{28A0092B-C50C-407E-A947-70E740481C1C}">
                      <a14:useLocalDpi xmlns:a14="http://schemas.microsoft.com/office/drawing/2010/main" val="0"/>
                    </a:ext>
                  </a:extLst>
                </a:blip>
                <a:stretch>
                  <a:fillRect/>
                </a:stretch>
              </xdr:blipFill>
              <xdr:spPr>
                <a:xfrm>
                  <a:off x="9777770" y="19549"/>
                  <a:ext cx="214188" cy="248554"/>
                </a:xfrm>
                <a:prstGeom prst="rect">
                  <a:avLst/>
                </a:prstGeom>
              </xdr:spPr>
            </xdr:pic>
            <xdr:sp macro="" textlink="">
              <xdr:nvSpPr>
                <xdr:cNvPr id="27" name="TextBox 26">
                  <a:hlinkClick xmlns:r="http://schemas.openxmlformats.org/officeDocument/2006/relationships" r:id="rId16"/>
                  <a:extLst>
                    <a:ext uri="{FF2B5EF4-FFF2-40B4-BE49-F238E27FC236}">
                      <a16:creationId xmlns:a16="http://schemas.microsoft.com/office/drawing/2014/main" id="{72F740EA-ED5B-9BE9-F3A8-52AE33604AA5}"/>
                    </a:ext>
                  </a:extLst>
                </xdr:cNvPr>
                <xdr:cNvSpPr txBox="1"/>
              </xdr:nvSpPr>
              <xdr:spPr>
                <a:xfrm>
                  <a:off x="9133984" y="0"/>
                  <a:ext cx="49680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VERSUS</a:t>
                  </a:r>
                </a:p>
              </xdr:txBody>
            </xdr:sp>
            <xdr:pic>
              <xdr:nvPicPr>
                <xdr:cNvPr id="28" name="Picture 27">
                  <a:hlinkClick xmlns:r="http://schemas.openxmlformats.org/officeDocument/2006/relationships" r:id="rId16"/>
                  <a:extLst>
                    <a:ext uri="{FF2B5EF4-FFF2-40B4-BE49-F238E27FC236}">
                      <a16:creationId xmlns:a16="http://schemas.microsoft.com/office/drawing/2014/main" id="{521738D6-298D-0689-530C-3D2C0AE702E5}"/>
                    </a:ext>
                  </a:extLst>
                </xdr:cNvPr>
                <xdr:cNvPicPr>
                  <a:picLocks noChangeAspect="1"/>
                </xdr:cNvPicPr>
              </xdr:nvPicPr>
              <xdr:blipFill>
                <a:blip xmlns:r="http://schemas.openxmlformats.org/officeDocument/2006/relationships" r:embed="rId17" cstate="print">
                  <a:alphaModFix/>
                  <a:extLst>
                    <a:ext uri="{28A0092B-C50C-407E-A947-70E740481C1C}">
                      <a14:useLocalDpi xmlns:a14="http://schemas.microsoft.com/office/drawing/2010/main" val="0"/>
                    </a:ext>
                  </a:extLst>
                </a:blip>
                <a:stretch>
                  <a:fillRect/>
                </a:stretch>
              </xdr:blipFill>
              <xdr:spPr>
                <a:xfrm>
                  <a:off x="8938203" y="19549"/>
                  <a:ext cx="214187" cy="248554"/>
                </a:xfrm>
                <a:prstGeom prst="rect">
                  <a:avLst/>
                </a:prstGeom>
              </xdr:spPr>
            </xdr:pic>
            <xdr:sp macro="" textlink="">
              <xdr:nvSpPr>
                <xdr:cNvPr id="29" name="TextBox 28">
                  <a:hlinkClick xmlns:r="http://schemas.openxmlformats.org/officeDocument/2006/relationships" r:id="rId18"/>
                  <a:extLst>
                    <a:ext uri="{FF2B5EF4-FFF2-40B4-BE49-F238E27FC236}">
                      <a16:creationId xmlns:a16="http://schemas.microsoft.com/office/drawing/2014/main" id="{A6A7D5F4-31C5-F562-F9F5-570E1B9174A5}"/>
                    </a:ext>
                  </a:extLst>
                </xdr:cNvPr>
                <xdr:cNvSpPr txBox="1"/>
              </xdr:nvSpPr>
              <xdr:spPr>
                <a:xfrm>
                  <a:off x="3510385" y="0"/>
                  <a:ext cx="52312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REPAIRS</a:t>
                  </a:r>
                </a:p>
              </xdr:txBody>
            </xdr:sp>
            <xdr:pic>
              <xdr:nvPicPr>
                <xdr:cNvPr id="30" name="Picture 29">
                  <a:hlinkClick xmlns:r="http://schemas.openxmlformats.org/officeDocument/2006/relationships" r:id="rId18"/>
                  <a:extLst>
                    <a:ext uri="{FF2B5EF4-FFF2-40B4-BE49-F238E27FC236}">
                      <a16:creationId xmlns:a16="http://schemas.microsoft.com/office/drawing/2014/main" id="{21E7F4DC-00E9-0563-8884-8334BA167ADD}"/>
                    </a:ext>
                  </a:extLst>
                </xdr:cNvPr>
                <xdr:cNvPicPr>
                  <a:picLocks noChangeAspect="1"/>
                </xdr:cNvPicPr>
              </xdr:nvPicPr>
              <xdr:blipFill>
                <a:blip xmlns:r="http://schemas.openxmlformats.org/officeDocument/2006/relationships" r:embed="rId19" cstate="print">
                  <a:alphaModFix/>
                  <a:extLst>
                    <a:ext uri="{28A0092B-C50C-407E-A947-70E740481C1C}">
                      <a14:useLocalDpi xmlns:a14="http://schemas.microsoft.com/office/drawing/2010/main" val="0"/>
                    </a:ext>
                  </a:extLst>
                </a:blip>
                <a:stretch>
                  <a:fillRect/>
                </a:stretch>
              </xdr:blipFill>
              <xdr:spPr>
                <a:xfrm>
                  <a:off x="3296296" y="28376"/>
                  <a:ext cx="214435" cy="230900"/>
                </a:xfrm>
                <a:prstGeom prst="rect">
                  <a:avLst/>
                </a:prstGeom>
              </xdr:spPr>
            </xdr:pic>
            <xdr:sp macro="" textlink="">
              <xdr:nvSpPr>
                <xdr:cNvPr id="31" name="TextBox 30">
                  <a:hlinkClick xmlns:r="http://schemas.openxmlformats.org/officeDocument/2006/relationships" r:id="rId20"/>
                  <a:extLst>
                    <a:ext uri="{FF2B5EF4-FFF2-40B4-BE49-F238E27FC236}">
                      <a16:creationId xmlns:a16="http://schemas.microsoft.com/office/drawing/2014/main" id="{484DAC1B-68B4-C4EA-0650-5D37830ABC20}"/>
                    </a:ext>
                  </a:extLst>
                </xdr:cNvPr>
                <xdr:cNvSpPr txBox="1"/>
              </xdr:nvSpPr>
              <xdr:spPr>
                <a:xfrm>
                  <a:off x="4388587" y="0"/>
                  <a:ext cx="63170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FURNITURE</a:t>
                  </a:r>
                </a:p>
              </xdr:txBody>
            </xdr:sp>
            <xdr:pic>
              <xdr:nvPicPr>
                <xdr:cNvPr id="32" name="Picture 31">
                  <a:hlinkClick xmlns:r="http://schemas.openxmlformats.org/officeDocument/2006/relationships" r:id="rId20"/>
                  <a:extLst>
                    <a:ext uri="{FF2B5EF4-FFF2-40B4-BE49-F238E27FC236}">
                      <a16:creationId xmlns:a16="http://schemas.microsoft.com/office/drawing/2014/main" id="{A9523B7C-BBAB-7598-8F13-4F161A766EDB}"/>
                    </a:ext>
                  </a:extLst>
                </xdr:cNvPr>
                <xdr:cNvPicPr>
                  <a:picLocks noChangeAspect="1"/>
                </xdr:cNvPicPr>
              </xdr:nvPicPr>
              <xdr:blipFill>
                <a:blip xmlns:r="http://schemas.openxmlformats.org/officeDocument/2006/relationships" r:embed="rId21" cstate="print">
                  <a:alphaModFix/>
                  <a:extLst>
                    <a:ext uri="{28A0092B-C50C-407E-A947-70E740481C1C}">
                      <a14:useLocalDpi xmlns:a14="http://schemas.microsoft.com/office/drawing/2010/main" val="0"/>
                    </a:ext>
                  </a:extLst>
                </a:blip>
                <a:stretch>
                  <a:fillRect/>
                </a:stretch>
              </xdr:blipFill>
              <xdr:spPr>
                <a:xfrm>
                  <a:off x="4180491" y="28376"/>
                  <a:ext cx="214435" cy="230900"/>
                </a:xfrm>
                <a:prstGeom prst="rect">
                  <a:avLst/>
                </a:prstGeom>
              </xdr:spPr>
            </xdr:pic>
            <xdr:pic>
              <xdr:nvPicPr>
                <xdr:cNvPr id="33" name="Picture 32">
                  <a:hlinkClick xmlns:r="http://schemas.openxmlformats.org/officeDocument/2006/relationships" r:id="rId22"/>
                  <a:extLst>
                    <a:ext uri="{FF2B5EF4-FFF2-40B4-BE49-F238E27FC236}">
                      <a16:creationId xmlns:a16="http://schemas.microsoft.com/office/drawing/2014/main" id="{8AED567A-C36A-F8D6-D55D-F4897C618131}"/>
                    </a:ext>
                  </a:extLst>
                </xdr:cNvPr>
                <xdr:cNvPicPr>
                  <a:picLocks noChangeAspect="1"/>
                </xdr:cNvPicPr>
              </xdr:nvPicPr>
              <xdr:blipFill>
                <a:blip xmlns:r="http://schemas.openxmlformats.org/officeDocument/2006/relationships" r:embed="rId23" cstate="print">
                  <a:alphaModFix/>
                  <a:extLst>
                    <a:ext uri="{28A0092B-C50C-407E-A947-70E740481C1C}">
                      <a14:useLocalDpi xmlns:a14="http://schemas.microsoft.com/office/drawing/2010/main" val="0"/>
                    </a:ext>
                  </a:extLst>
                </a:blip>
                <a:stretch>
                  <a:fillRect/>
                </a:stretch>
              </xdr:blipFill>
              <xdr:spPr>
                <a:xfrm>
                  <a:off x="10812480" y="19549"/>
                  <a:ext cx="214188" cy="248554"/>
                </a:xfrm>
                <a:prstGeom prst="rect">
                  <a:avLst/>
                </a:prstGeom>
              </xdr:spPr>
            </xdr:pic>
            <xdr:sp macro="" textlink="">
              <xdr:nvSpPr>
                <xdr:cNvPr id="34" name="TextBox 33">
                  <a:hlinkClick xmlns:r="http://schemas.openxmlformats.org/officeDocument/2006/relationships" r:id="rId22"/>
                  <a:extLst>
                    <a:ext uri="{FF2B5EF4-FFF2-40B4-BE49-F238E27FC236}">
                      <a16:creationId xmlns:a16="http://schemas.microsoft.com/office/drawing/2014/main" id="{B64CADF7-D4B6-E8BC-1B25-CA0AA81D27F2}"/>
                    </a:ext>
                  </a:extLst>
                </xdr:cNvPr>
                <xdr:cNvSpPr txBox="1"/>
              </xdr:nvSpPr>
              <xdr:spPr>
                <a:xfrm>
                  <a:off x="11008843" y="0"/>
                  <a:ext cx="40705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PEERS</a:t>
                  </a:r>
                </a:p>
              </xdr:txBody>
            </xdr:sp>
            <xdr:sp macro="" textlink="">
              <xdr:nvSpPr>
                <xdr:cNvPr id="35" name="TextBox 34">
                  <a:hlinkClick xmlns:r="http://schemas.openxmlformats.org/officeDocument/2006/relationships" r:id="rId24"/>
                  <a:extLst>
                    <a:ext uri="{FF2B5EF4-FFF2-40B4-BE49-F238E27FC236}">
                      <a16:creationId xmlns:a16="http://schemas.microsoft.com/office/drawing/2014/main" id="{97B2121B-7F57-D8F7-26F2-74592A2440D9}"/>
                    </a:ext>
                  </a:extLst>
                </xdr:cNvPr>
                <xdr:cNvSpPr txBox="1"/>
              </xdr:nvSpPr>
              <xdr:spPr>
                <a:xfrm>
                  <a:off x="9581756" y="397481"/>
                  <a:ext cx="656781"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MAX PRICE</a:t>
                  </a:r>
                </a:p>
              </xdr:txBody>
            </xdr:sp>
            <xdr:pic>
              <xdr:nvPicPr>
                <xdr:cNvPr id="36" name="Picture 35">
                  <a:hlinkClick xmlns:r="http://schemas.openxmlformats.org/officeDocument/2006/relationships" r:id="rId24"/>
                  <a:extLst>
                    <a:ext uri="{FF2B5EF4-FFF2-40B4-BE49-F238E27FC236}">
                      <a16:creationId xmlns:a16="http://schemas.microsoft.com/office/drawing/2014/main" id="{44BE5978-0217-0833-1502-51D670ADA1CD}"/>
                    </a:ext>
                  </a:extLst>
                </xdr:cNvPr>
                <xdr:cNvPicPr>
                  <a:picLocks noChangeAspect="1"/>
                </xdr:cNvPicPr>
              </xdr:nvPicPr>
              <xdr:blipFill>
                <a:blip xmlns:r="http://schemas.openxmlformats.org/officeDocument/2006/relationships" r:embed="rId25" cstate="print">
                  <a:alphaModFix/>
                  <a:extLst>
                    <a:ext uri="{28A0092B-C50C-407E-A947-70E740481C1C}">
                      <a14:useLocalDpi xmlns:a14="http://schemas.microsoft.com/office/drawing/2010/main" val="0"/>
                    </a:ext>
                  </a:extLst>
                </a:blip>
                <a:stretch>
                  <a:fillRect/>
                </a:stretch>
              </xdr:blipFill>
              <xdr:spPr>
                <a:xfrm>
                  <a:off x="9433997" y="425857"/>
                  <a:ext cx="214435" cy="230900"/>
                </a:xfrm>
                <a:prstGeom prst="rect">
                  <a:avLst/>
                </a:prstGeom>
              </xdr:spPr>
            </xdr:pic>
            <xdr:sp macro="" textlink="">
              <xdr:nvSpPr>
                <xdr:cNvPr id="37" name="TextBox 36">
                  <a:hlinkClick xmlns:r="http://schemas.openxmlformats.org/officeDocument/2006/relationships" r:id="rId26"/>
                  <a:extLst>
                    <a:ext uri="{FF2B5EF4-FFF2-40B4-BE49-F238E27FC236}">
                      <a16:creationId xmlns:a16="http://schemas.microsoft.com/office/drawing/2014/main" id="{724587DB-268B-CBAA-00CB-38921A7D1DF9}"/>
                    </a:ext>
                  </a:extLst>
                </xdr:cNvPr>
                <xdr:cNvSpPr txBox="1"/>
              </xdr:nvSpPr>
              <xdr:spPr>
                <a:xfrm>
                  <a:off x="7733272" y="389861"/>
                  <a:ext cx="6384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SCENARIOS</a:t>
                  </a:r>
                </a:p>
              </xdr:txBody>
            </xdr:sp>
            <xdr:pic>
              <xdr:nvPicPr>
                <xdr:cNvPr id="38" name="Picture 37">
                  <a:hlinkClick xmlns:r="http://schemas.openxmlformats.org/officeDocument/2006/relationships" r:id="rId26"/>
                  <a:extLst>
                    <a:ext uri="{FF2B5EF4-FFF2-40B4-BE49-F238E27FC236}">
                      <a16:creationId xmlns:a16="http://schemas.microsoft.com/office/drawing/2014/main" id="{1CB8F3E6-A29D-02C8-E5EB-78E3D0B66F4F}"/>
                    </a:ext>
                  </a:extLst>
                </xdr:cNvPr>
                <xdr:cNvPicPr>
                  <a:picLocks noChangeAspect="1"/>
                </xdr:cNvPicPr>
              </xdr:nvPicPr>
              <xdr:blipFill>
                <a:blip xmlns:r="http://schemas.openxmlformats.org/officeDocument/2006/relationships" r:embed="rId27" cstate="print">
                  <a:alphaModFix/>
                  <a:extLst>
                    <a:ext uri="{28A0092B-C50C-407E-A947-70E740481C1C}">
                      <a14:useLocalDpi xmlns:a14="http://schemas.microsoft.com/office/drawing/2010/main" val="0"/>
                    </a:ext>
                  </a:extLst>
                </a:blip>
                <a:stretch>
                  <a:fillRect/>
                </a:stretch>
              </xdr:blipFill>
              <xdr:spPr>
                <a:xfrm>
                  <a:off x="7536090" y="418237"/>
                  <a:ext cx="214435" cy="230900"/>
                </a:xfrm>
                <a:prstGeom prst="rect">
                  <a:avLst/>
                </a:prstGeom>
              </xdr:spPr>
            </xdr:pic>
            <xdr:sp macro="" textlink="">
              <xdr:nvSpPr>
                <xdr:cNvPr id="39" name="TextBox 38">
                  <a:hlinkClick xmlns:r="http://schemas.openxmlformats.org/officeDocument/2006/relationships" r:id="rId28"/>
                  <a:extLst>
                    <a:ext uri="{FF2B5EF4-FFF2-40B4-BE49-F238E27FC236}">
                      <a16:creationId xmlns:a16="http://schemas.microsoft.com/office/drawing/2014/main" id="{3090BC06-9B9E-E88B-B6EB-292B7C25A7D8}"/>
                    </a:ext>
                  </a:extLst>
                </xdr:cNvPr>
                <xdr:cNvSpPr txBox="1"/>
              </xdr:nvSpPr>
              <xdr:spPr>
                <a:xfrm>
                  <a:off x="11757467" y="49286"/>
                  <a:ext cx="110218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MARKET RESEARCH</a:t>
                  </a:r>
                </a:p>
              </xdr:txBody>
            </xdr:sp>
            <xdr:pic>
              <xdr:nvPicPr>
                <xdr:cNvPr id="40" name="Picture 39" descr="A white and brown hourglass&#10;&#10;AI-generated content may be incorrect.">
                  <a:hlinkClick xmlns:r="http://schemas.openxmlformats.org/officeDocument/2006/relationships" r:id="rId28"/>
                  <a:extLst>
                    <a:ext uri="{FF2B5EF4-FFF2-40B4-BE49-F238E27FC236}">
                      <a16:creationId xmlns:a16="http://schemas.microsoft.com/office/drawing/2014/main" id="{D254D675-4E5F-FB7C-DFBB-0611BB17DAD2}"/>
                    </a:ext>
                  </a:extLst>
                </xdr:cNvPr>
                <xdr:cNvPicPr>
                  <a:picLocks noChangeAspect="1"/>
                </xdr:cNvPicPr>
              </xdr:nvPicPr>
              <xdr:blipFill>
                <a:blip xmlns:r="http://schemas.openxmlformats.org/officeDocument/2006/relationships" r:embed="rId29" cstate="print">
                  <a:alphaModFix/>
                  <a:extLst>
                    <a:ext uri="{28A0092B-C50C-407E-A947-70E740481C1C}">
                      <a14:useLocalDpi xmlns:a14="http://schemas.microsoft.com/office/drawing/2010/main" val="0"/>
                    </a:ext>
                  </a:extLst>
                </a:blip>
                <a:stretch>
                  <a:fillRect/>
                </a:stretch>
              </xdr:blipFill>
              <xdr:spPr>
                <a:xfrm>
                  <a:off x="11563464" y="33893"/>
                  <a:ext cx="235575" cy="261687"/>
                </a:xfrm>
                <a:prstGeom prst="rect">
                  <a:avLst/>
                </a:prstGeom>
              </xdr:spPr>
            </xdr:pic>
            <xdr:pic>
              <xdr:nvPicPr>
                <xdr:cNvPr id="41" name="Picture 40">
                  <a:hlinkClick xmlns:r="http://schemas.openxmlformats.org/officeDocument/2006/relationships" r:id="rId30"/>
                  <a:extLst>
                    <a:ext uri="{FF2B5EF4-FFF2-40B4-BE49-F238E27FC236}">
                      <a16:creationId xmlns:a16="http://schemas.microsoft.com/office/drawing/2014/main" id="{F3F43C73-A0C5-D175-F006-BF20E96FB436}"/>
                    </a:ext>
                  </a:extLst>
                </xdr:cNvPr>
                <xdr:cNvPicPr>
                  <a:picLocks noChangeAspect="1" noChangeArrowheads="1"/>
                </xdr:cNvPicPr>
              </xdr:nvPicPr>
              <xdr:blipFill>
                <a:blip xmlns:r="http://schemas.openxmlformats.org/officeDocument/2006/relationships" r:embed="rId3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33032" y="384834"/>
                  <a:ext cx="261600" cy="33288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2" name="TextBox 41">
                  <a:hlinkClick xmlns:r="http://schemas.openxmlformats.org/officeDocument/2006/relationships" r:id="rId30"/>
                  <a:extLst>
                    <a:ext uri="{FF2B5EF4-FFF2-40B4-BE49-F238E27FC236}">
                      <a16:creationId xmlns:a16="http://schemas.microsoft.com/office/drawing/2014/main" id="{3A4357CE-8114-F203-7990-FBDF3914A2D8}"/>
                    </a:ext>
                  </a:extLst>
                </xdr:cNvPr>
                <xdr:cNvSpPr txBox="1"/>
              </xdr:nvSpPr>
              <xdr:spPr>
                <a:xfrm>
                  <a:off x="3637195" y="315564"/>
                  <a:ext cx="914586" cy="433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BALANCE SHEET</a:t>
                  </a:r>
                </a:p>
                <a:p>
                  <a:pPr algn="ctr"/>
                  <a:r>
                    <a:rPr lang="en-US" sz="900" b="1">
                      <a:solidFill>
                        <a:schemeClr val="bg1"/>
                      </a:solidFill>
                    </a:rPr>
                    <a:t>SUMMARY</a:t>
                  </a:r>
                </a:p>
              </xdr:txBody>
            </xdr:sp>
            <xdr:pic>
              <xdr:nvPicPr>
                <xdr:cNvPr id="43" name="Picture 42">
                  <a:hlinkClick xmlns:r="http://schemas.openxmlformats.org/officeDocument/2006/relationships" r:id="rId32"/>
                  <a:extLst>
                    <a:ext uri="{FF2B5EF4-FFF2-40B4-BE49-F238E27FC236}">
                      <a16:creationId xmlns:a16="http://schemas.microsoft.com/office/drawing/2014/main" id="{ABE13A41-EC6D-C7AC-4A7A-F54692DAE454}"/>
                    </a:ext>
                  </a:extLst>
                </xdr:cNvPr>
                <xdr:cNvPicPr>
                  <a:picLocks noChangeAspect="1" noChangeArrowheads="1"/>
                </xdr:cNvPicPr>
              </xdr:nvPicPr>
              <xdr:blipFill>
                <a:blip xmlns:r="http://schemas.openxmlformats.org/officeDocument/2006/relationships" r:embed="rId33" cstate="print">
                  <a:clrChange>
                    <a:clrFrom>
                      <a:srgbClr val="F8F8F8"/>
                    </a:clrFrom>
                    <a:clrTo>
                      <a:srgbClr val="F8F8F8">
                        <a:alpha val="0"/>
                      </a:srgbClr>
                    </a:clrTo>
                  </a:clrChange>
                  <a:extLst>
                    <a:ext uri="{28A0092B-C50C-407E-A947-70E740481C1C}">
                      <a14:useLocalDpi xmlns:a14="http://schemas.microsoft.com/office/drawing/2010/main" val="0"/>
                    </a:ext>
                  </a:extLst>
                </a:blip>
                <a:srcRect/>
                <a:stretch>
                  <a:fillRect/>
                </a:stretch>
              </xdr:blipFill>
              <xdr:spPr bwMode="auto">
                <a:xfrm>
                  <a:off x="4602713" y="384834"/>
                  <a:ext cx="326621" cy="3113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4" name="TextBox 43">
                  <a:hlinkClick xmlns:r="http://schemas.openxmlformats.org/officeDocument/2006/relationships" r:id="rId32"/>
                  <a:extLst>
                    <a:ext uri="{FF2B5EF4-FFF2-40B4-BE49-F238E27FC236}">
                      <a16:creationId xmlns:a16="http://schemas.microsoft.com/office/drawing/2014/main" id="{7026C388-8F40-D0A4-470A-93F8F9944392}"/>
                    </a:ext>
                  </a:extLst>
                </xdr:cNvPr>
                <xdr:cNvSpPr txBox="1"/>
              </xdr:nvSpPr>
              <xdr:spPr>
                <a:xfrm>
                  <a:off x="4880678" y="423317"/>
                  <a:ext cx="56334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ASSETS</a:t>
                  </a:r>
                </a:p>
              </xdr:txBody>
            </xdr:sp>
            <xdr:pic>
              <xdr:nvPicPr>
                <xdr:cNvPr id="45" name="Picture 44">
                  <a:hlinkClick xmlns:r="http://schemas.openxmlformats.org/officeDocument/2006/relationships" r:id="rId34"/>
                  <a:extLst>
                    <a:ext uri="{FF2B5EF4-FFF2-40B4-BE49-F238E27FC236}">
                      <a16:creationId xmlns:a16="http://schemas.microsoft.com/office/drawing/2014/main" id="{3B89C064-BF4D-8CB1-8208-15F3EA2C81A2}"/>
                    </a:ext>
                  </a:extLst>
                </xdr:cNvPr>
                <xdr:cNvPicPr>
                  <a:picLocks noChangeAspect="1" noChangeArrowheads="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35903" y="354046"/>
                  <a:ext cx="278234" cy="3540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6" name="TextBox 45">
                  <a:hlinkClick xmlns:r="http://schemas.openxmlformats.org/officeDocument/2006/relationships" r:id="rId34"/>
                  <a:extLst>
                    <a:ext uri="{FF2B5EF4-FFF2-40B4-BE49-F238E27FC236}">
                      <a16:creationId xmlns:a16="http://schemas.microsoft.com/office/drawing/2014/main" id="{5DD23E32-F8BD-72A0-5CBC-DFDD9211ABDA}"/>
                    </a:ext>
                  </a:extLst>
                </xdr:cNvPr>
                <xdr:cNvSpPr txBox="1"/>
              </xdr:nvSpPr>
              <xdr:spPr>
                <a:xfrm>
                  <a:off x="5717678" y="431014"/>
                  <a:ext cx="750091"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LIABILITIES</a:t>
                  </a:r>
                </a:p>
              </xdr:txBody>
            </xdr:sp>
            <xdr:pic>
              <xdr:nvPicPr>
                <xdr:cNvPr id="47" name="Picture 46">
                  <a:hlinkClick xmlns:r="http://schemas.openxmlformats.org/officeDocument/2006/relationships" r:id="rId36"/>
                  <a:extLst>
                    <a:ext uri="{FF2B5EF4-FFF2-40B4-BE49-F238E27FC236}">
                      <a16:creationId xmlns:a16="http://schemas.microsoft.com/office/drawing/2014/main" id="{AF349F01-E783-E300-8637-24758AF7C517}"/>
                    </a:ext>
                  </a:extLst>
                </xdr:cNvPr>
                <xdr:cNvPicPr>
                  <a:picLocks noChangeAspect="1"/>
                </xdr:cNvPicPr>
              </xdr:nvPicPr>
              <xdr:blipFill>
                <a:blip xmlns:r="http://schemas.openxmlformats.org/officeDocument/2006/relationships" r:embed="rId37">
                  <a:clrChange>
                    <a:clrFrom>
                      <a:srgbClr val="FFFFFF"/>
                    </a:clrFrom>
                    <a:clrTo>
                      <a:srgbClr val="FFFFFF">
                        <a:alpha val="0"/>
                      </a:srgbClr>
                    </a:clrTo>
                  </a:clrChange>
                </a:blip>
                <a:stretch>
                  <a:fillRect/>
                </a:stretch>
              </xdr:blipFill>
              <xdr:spPr>
                <a:xfrm>
                  <a:off x="6454424" y="361268"/>
                  <a:ext cx="368693" cy="354523"/>
                </a:xfrm>
                <a:prstGeom prst="rect">
                  <a:avLst/>
                </a:prstGeom>
              </xdr:spPr>
            </xdr:pic>
            <xdr:sp macro="" textlink="">
              <xdr:nvSpPr>
                <xdr:cNvPr id="48" name="TextBox 47">
                  <a:hlinkClick xmlns:r="http://schemas.openxmlformats.org/officeDocument/2006/relationships" r:id="rId36"/>
                  <a:extLst>
                    <a:ext uri="{FF2B5EF4-FFF2-40B4-BE49-F238E27FC236}">
                      <a16:creationId xmlns:a16="http://schemas.microsoft.com/office/drawing/2014/main" id="{8140005D-0B73-4396-9D62-9B14FB2CC00F}"/>
                    </a:ext>
                  </a:extLst>
                </xdr:cNvPr>
                <xdr:cNvSpPr txBox="1"/>
              </xdr:nvSpPr>
              <xdr:spPr>
                <a:xfrm>
                  <a:off x="6742924" y="369440"/>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EDIT</a:t>
                  </a:r>
                </a:p>
                <a:p>
                  <a:r>
                    <a:rPr lang="en-US" sz="900" b="1">
                      <a:solidFill>
                        <a:schemeClr val="bg1"/>
                      </a:solidFill>
                    </a:rPr>
                    <a:t>CATEGORIES</a:t>
                  </a:r>
                </a:p>
              </xdr:txBody>
            </xdr:sp>
            <xdr:grpSp>
              <xdr:nvGrpSpPr>
                <xdr:cNvPr id="49" name="Group 48">
                  <a:hlinkClick xmlns:r="http://schemas.openxmlformats.org/officeDocument/2006/relationships" r:id="rId38"/>
                  <a:extLst>
                    <a:ext uri="{FF2B5EF4-FFF2-40B4-BE49-F238E27FC236}">
                      <a16:creationId xmlns:a16="http://schemas.microsoft.com/office/drawing/2014/main" id="{FE80A81C-D28F-6ED0-B9EC-2EA9F2CCECFC}"/>
                    </a:ext>
                  </a:extLst>
                </xdr:cNvPr>
                <xdr:cNvGrpSpPr/>
              </xdr:nvGrpSpPr>
              <xdr:grpSpPr>
                <a:xfrm>
                  <a:off x="10231249" y="237461"/>
                  <a:ext cx="1281586" cy="502920"/>
                  <a:chOff x="11732389" y="237461"/>
                  <a:chExt cx="1281586" cy="502920"/>
                </a:xfrm>
              </xdr:grpSpPr>
              <xdr:pic>
                <xdr:nvPicPr>
                  <xdr:cNvPr id="50" name="Picture 49">
                    <a:hlinkClick xmlns:r="http://schemas.openxmlformats.org/officeDocument/2006/relationships" r:id="rId39"/>
                    <a:extLst>
                      <a:ext uri="{FF2B5EF4-FFF2-40B4-BE49-F238E27FC236}">
                        <a16:creationId xmlns:a16="http://schemas.microsoft.com/office/drawing/2014/main" id="{821EEA3C-4546-DD67-1742-CD7A51F2A249}"/>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1732389" y="237461"/>
                    <a:ext cx="502920" cy="502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1" name="TextBox 50">
                    <a:hlinkClick xmlns:r="http://schemas.openxmlformats.org/officeDocument/2006/relationships" r:id="rId39"/>
                    <a:extLst>
                      <a:ext uri="{FF2B5EF4-FFF2-40B4-BE49-F238E27FC236}">
                        <a16:creationId xmlns:a16="http://schemas.microsoft.com/office/drawing/2014/main" id="{5D089CA1-7D79-2FE3-976B-B848BE23B4E1}"/>
                      </a:ext>
                    </a:extLst>
                  </xdr:cNvPr>
                  <xdr:cNvSpPr txBox="1"/>
                </xdr:nvSpPr>
                <xdr:spPr>
                  <a:xfrm>
                    <a:off x="12197209" y="344142"/>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 GAME APPS</a:t>
                    </a:r>
                  </a:p>
                </xdr:txBody>
              </xdr:sp>
            </xdr:grpSp>
          </xdr:grpSp>
          <xdr:grpSp>
            <xdr:nvGrpSpPr>
              <xdr:cNvPr id="10" name="Group 9">
                <a:extLst>
                  <a:ext uri="{FF2B5EF4-FFF2-40B4-BE49-F238E27FC236}">
                    <a16:creationId xmlns:a16="http://schemas.microsoft.com/office/drawing/2014/main" id="{A27B2012-4A79-9A56-3F50-F7A67D83729A}"/>
                  </a:ext>
                </a:extLst>
              </xdr:cNvPr>
              <xdr:cNvGrpSpPr/>
            </xdr:nvGrpSpPr>
            <xdr:grpSpPr>
              <a:xfrm>
                <a:off x="3030070" y="313765"/>
                <a:ext cx="1219410" cy="438976"/>
                <a:chOff x="3030070" y="313765"/>
                <a:chExt cx="1219410" cy="438976"/>
              </a:xfrm>
            </xdr:grpSpPr>
            <xdr:sp macro="" textlink="">
              <xdr:nvSpPr>
                <xdr:cNvPr id="11" name="TextBox 10">
                  <a:hlinkClick xmlns:r="http://schemas.openxmlformats.org/officeDocument/2006/relationships" r:id="rId41"/>
                  <a:extLst>
                    <a:ext uri="{FF2B5EF4-FFF2-40B4-BE49-F238E27FC236}">
                      <a16:creationId xmlns:a16="http://schemas.microsoft.com/office/drawing/2014/main" id="{D561A7C1-A959-B659-8265-68AA59AE9E14}"/>
                    </a:ext>
                  </a:extLst>
                </xdr:cNvPr>
                <xdr:cNvSpPr txBox="1"/>
              </xdr:nvSpPr>
              <xdr:spPr>
                <a:xfrm>
                  <a:off x="3307528" y="313765"/>
                  <a:ext cx="941952" cy="43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BOOK KEEPING</a:t>
                  </a:r>
                </a:p>
                <a:p>
                  <a:pPr algn="ctr"/>
                  <a:r>
                    <a:rPr lang="en-US" sz="900" b="1">
                      <a:solidFill>
                        <a:schemeClr val="bg1"/>
                      </a:solidFill>
                    </a:rPr>
                    <a:t>LEDGER</a:t>
                  </a:r>
                </a:p>
              </xdr:txBody>
            </xdr:sp>
            <xdr:pic>
              <xdr:nvPicPr>
                <xdr:cNvPr id="12" name="Picture 11">
                  <a:hlinkClick xmlns:r="http://schemas.openxmlformats.org/officeDocument/2006/relationships" r:id="rId41"/>
                  <a:extLst>
                    <a:ext uri="{FF2B5EF4-FFF2-40B4-BE49-F238E27FC236}">
                      <a16:creationId xmlns:a16="http://schemas.microsoft.com/office/drawing/2014/main" id="{F27F03C9-073F-39A4-643E-1FE6452E17C0}"/>
                    </a:ext>
                  </a:extLst>
                </xdr:cNvPr>
                <xdr:cNvPicPr>
                  <a:picLocks noChangeAspect="1"/>
                </xdr:cNvPicPr>
              </xdr:nvPicPr>
              <xdr:blipFill>
                <a:blip xmlns:r="http://schemas.openxmlformats.org/officeDocument/2006/relationships" r:embed="rId4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0070" y="367554"/>
                  <a:ext cx="327770" cy="349622"/>
                </a:xfrm>
                <a:prstGeom prst="rect">
                  <a:avLst/>
                </a:prstGeom>
              </xdr:spPr>
            </xdr:pic>
          </xdr:grpSp>
        </xdr:grpSp>
        <xdr:grpSp>
          <xdr:nvGrpSpPr>
            <xdr:cNvPr id="6" name="Group 5">
              <a:extLst>
                <a:ext uri="{FF2B5EF4-FFF2-40B4-BE49-F238E27FC236}">
                  <a16:creationId xmlns:a16="http://schemas.microsoft.com/office/drawing/2014/main" id="{371F1D94-1B91-9E00-CC23-AF9287A89014}"/>
                </a:ext>
              </a:extLst>
            </xdr:cNvPr>
            <xdr:cNvGrpSpPr/>
          </xdr:nvGrpSpPr>
          <xdr:grpSpPr>
            <a:xfrm>
              <a:off x="12626340" y="243840"/>
              <a:ext cx="1344125" cy="571500"/>
              <a:chOff x="12626340" y="243840"/>
              <a:chExt cx="1344125" cy="571500"/>
            </a:xfrm>
          </xdr:grpSpPr>
          <xdr:pic>
            <xdr:nvPicPr>
              <xdr:cNvPr id="7" name="Picture 6">
                <a:hlinkClick xmlns:r="http://schemas.openxmlformats.org/officeDocument/2006/relationships" r:id="rId43"/>
                <a:extLst>
                  <a:ext uri="{FF2B5EF4-FFF2-40B4-BE49-F238E27FC236}">
                    <a16:creationId xmlns:a16="http://schemas.microsoft.com/office/drawing/2014/main" id="{02D43255-D772-1883-A342-9774D7EFE2B9}"/>
                  </a:ext>
                </a:extLst>
              </xdr:cNvPr>
              <xdr:cNvPicPr>
                <a:picLocks noChangeAspect="1" noChangeArrowheads="1"/>
              </xdr:cNvPicPr>
            </xdr:nvPicPr>
            <xdr:blipFill>
              <a:blip xmlns:r="http://schemas.openxmlformats.org/officeDocument/2006/relationships" r:embed="rId4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26340" y="243840"/>
                <a:ext cx="571500" cy="571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 name="TextBox 7">
                <a:hlinkClick xmlns:r="http://schemas.openxmlformats.org/officeDocument/2006/relationships" r:id="rId43"/>
                <a:extLst>
                  <a:ext uri="{FF2B5EF4-FFF2-40B4-BE49-F238E27FC236}">
                    <a16:creationId xmlns:a16="http://schemas.microsoft.com/office/drawing/2014/main" id="{98BE71FA-834D-DE7A-E7CE-B821E28D09FF}"/>
                  </a:ext>
                </a:extLst>
              </xdr:cNvPr>
              <xdr:cNvSpPr txBox="1"/>
            </xdr:nvSpPr>
            <xdr:spPr>
              <a:xfrm>
                <a:off x="13129260" y="327660"/>
                <a:ext cx="841205" cy="4000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TRAVEL</a:t>
                </a:r>
              </a:p>
              <a:p>
                <a:pPr algn="ctr"/>
                <a:r>
                  <a:rPr lang="en-US" sz="900" b="1">
                    <a:solidFill>
                      <a:schemeClr val="bg1"/>
                    </a:solidFill>
                  </a:rPr>
                  <a:t>SANDBOX</a:t>
                </a:r>
              </a:p>
            </xdr:txBody>
          </xdr:sp>
        </xdr:grpSp>
      </xdr:grpSp>
      <xdr:pic>
        <xdr:nvPicPr>
          <xdr:cNvPr id="4" name="Picture 3">
            <a:hlinkClick xmlns:r="http://schemas.openxmlformats.org/officeDocument/2006/relationships" r:id="rId11"/>
            <a:extLst>
              <a:ext uri="{FF2B5EF4-FFF2-40B4-BE49-F238E27FC236}">
                <a16:creationId xmlns:a16="http://schemas.microsoft.com/office/drawing/2014/main" id="{9D6992F4-4C17-B75C-C438-EAEEC6A3E0B3}"/>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34100" y="30480"/>
            <a:ext cx="234698" cy="246078"/>
          </a:xfrm>
          <a:prstGeom prst="rect">
            <a:avLst/>
          </a:prstGeom>
          <a:solidFill>
            <a:srgbClr val="7FA6C7"/>
          </a:solidFill>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320040</xdr:colOff>
      <xdr:row>0</xdr:row>
      <xdr:rowOff>0</xdr:rowOff>
    </xdr:from>
    <xdr:to>
      <xdr:col>17</xdr:col>
      <xdr:colOff>677937</xdr:colOff>
      <xdr:row>2</xdr:row>
      <xdr:rowOff>53340</xdr:rowOff>
    </xdr:to>
    <xdr:grpSp>
      <xdr:nvGrpSpPr>
        <xdr:cNvPr id="2" name="Group 1">
          <a:extLst>
            <a:ext uri="{FF2B5EF4-FFF2-40B4-BE49-F238E27FC236}">
              <a16:creationId xmlns:a16="http://schemas.microsoft.com/office/drawing/2014/main" id="{7812121B-3657-4DDE-9A14-8577E72A7F3B}"/>
            </a:ext>
          </a:extLst>
        </xdr:cNvPr>
        <xdr:cNvGrpSpPr/>
      </xdr:nvGrpSpPr>
      <xdr:grpSpPr>
        <a:xfrm>
          <a:off x="2087880" y="0"/>
          <a:ext cx="11894577" cy="815340"/>
          <a:chOff x="2194560" y="0"/>
          <a:chExt cx="11894577" cy="815340"/>
        </a:xfrm>
      </xdr:grpSpPr>
      <xdr:grpSp>
        <xdr:nvGrpSpPr>
          <xdr:cNvPr id="3" name="Group 2">
            <a:extLst>
              <a:ext uri="{FF2B5EF4-FFF2-40B4-BE49-F238E27FC236}">
                <a16:creationId xmlns:a16="http://schemas.microsoft.com/office/drawing/2014/main" id="{BAFBC3AF-B469-AB37-4D94-23CF2F6BA974}"/>
              </a:ext>
            </a:extLst>
          </xdr:cNvPr>
          <xdr:cNvGrpSpPr/>
        </xdr:nvGrpSpPr>
        <xdr:grpSpPr>
          <a:xfrm>
            <a:off x="2194560" y="0"/>
            <a:ext cx="11894577" cy="815340"/>
            <a:chOff x="2194560" y="0"/>
            <a:chExt cx="11894577" cy="815340"/>
          </a:xfrm>
        </xdr:grpSpPr>
        <xdr:grpSp>
          <xdr:nvGrpSpPr>
            <xdr:cNvPr id="5" name="Group 4">
              <a:extLst>
                <a:ext uri="{FF2B5EF4-FFF2-40B4-BE49-F238E27FC236}">
                  <a16:creationId xmlns:a16="http://schemas.microsoft.com/office/drawing/2014/main" id="{3527FD7F-C586-7F53-2BEC-92E5B6D6A3EF}"/>
                </a:ext>
              </a:extLst>
            </xdr:cNvPr>
            <xdr:cNvGrpSpPr/>
          </xdr:nvGrpSpPr>
          <xdr:grpSpPr>
            <a:xfrm>
              <a:off x="2194560" y="0"/>
              <a:ext cx="11894577" cy="773812"/>
              <a:chOff x="2160046" y="0"/>
              <a:chExt cx="11894577" cy="773812"/>
            </a:xfrm>
          </xdr:grpSpPr>
          <xdr:grpSp>
            <xdr:nvGrpSpPr>
              <xdr:cNvPr id="9" name="Group 8">
                <a:extLst>
                  <a:ext uri="{FF2B5EF4-FFF2-40B4-BE49-F238E27FC236}">
                    <a16:creationId xmlns:a16="http://schemas.microsoft.com/office/drawing/2014/main" id="{F7ECEA70-C11C-C83B-F90C-FDE0FE964F18}"/>
                  </a:ext>
                </a:extLst>
              </xdr:cNvPr>
              <xdr:cNvGrpSpPr/>
            </xdr:nvGrpSpPr>
            <xdr:grpSpPr>
              <a:xfrm>
                <a:off x="2160046" y="0"/>
                <a:ext cx="11894577" cy="773812"/>
                <a:chOff x="1310640" y="0"/>
                <a:chExt cx="11549013" cy="764847"/>
              </a:xfrm>
            </xdr:grpSpPr>
            <xdr:pic>
              <xdr:nvPicPr>
                <xdr:cNvPr id="13" name="Picture 12">
                  <a:hlinkClick xmlns:r="http://schemas.openxmlformats.org/officeDocument/2006/relationships" r:id="rId1"/>
                  <a:extLst>
                    <a:ext uri="{FF2B5EF4-FFF2-40B4-BE49-F238E27FC236}">
                      <a16:creationId xmlns:a16="http://schemas.microsoft.com/office/drawing/2014/main" id="{86A10859-455F-9E2A-2BDC-8659AAFC3742}"/>
                    </a:ext>
                  </a:extLst>
                </xdr:cNvPr>
                <xdr:cNvPicPr>
                  <a:picLocks/>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rcRect/>
                <a:stretch/>
              </xdr:blipFill>
              <xdr:spPr>
                <a:xfrm>
                  <a:off x="1310640" y="46180"/>
                  <a:ext cx="499211" cy="554546"/>
                </a:xfrm>
                <a:prstGeom prst="rect">
                  <a:avLst/>
                </a:prstGeom>
              </xdr:spPr>
            </xdr:pic>
            <xdr:pic>
              <xdr:nvPicPr>
                <xdr:cNvPr id="14" name="Picture 13">
                  <a:hlinkClick xmlns:r="http://schemas.openxmlformats.org/officeDocument/2006/relationships" r:id="rId3"/>
                  <a:extLst>
                    <a:ext uri="{FF2B5EF4-FFF2-40B4-BE49-F238E27FC236}">
                      <a16:creationId xmlns:a16="http://schemas.microsoft.com/office/drawing/2014/main" id="{5E031EC0-5E72-E71A-A6A7-2E4FDA5A5B08}"/>
                    </a:ext>
                  </a:extLst>
                </xdr:cNvPr>
                <xdr:cNvPicPr>
                  <a:picLocks noChangeAspect="1" noChangeArrowheads="1"/>
                </xdr:cNvPicPr>
              </xdr:nvPicPr>
              <xdr:blipFill>
                <a:blip xmlns:r="http://schemas.openxmlformats.org/officeDocument/2006/relationships" r:embed="rId4" cstate="print">
                  <a:alphaModFix/>
                  <a:extLst>
                    <a:ext uri="{28A0092B-C50C-407E-A947-70E740481C1C}">
                      <a14:useLocalDpi xmlns:a14="http://schemas.microsoft.com/office/drawing/2010/main" val="0"/>
                    </a:ext>
                  </a:extLst>
                </a:blip>
                <a:srcRect/>
                <a:stretch>
                  <a:fillRect/>
                </a:stretch>
              </xdr:blipFill>
              <xdr:spPr bwMode="auto">
                <a:xfrm>
                  <a:off x="2163693" y="30823"/>
                  <a:ext cx="214188" cy="2260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 name="TextBox 14">
                  <a:hlinkClick xmlns:r="http://schemas.openxmlformats.org/officeDocument/2006/relationships" r:id="rId3"/>
                  <a:extLst>
                    <a:ext uri="{FF2B5EF4-FFF2-40B4-BE49-F238E27FC236}">
                      <a16:creationId xmlns:a16="http://schemas.microsoft.com/office/drawing/2014/main" id="{4AB9EE6E-ACFD-3C92-C3C5-452124A1AA17}"/>
                    </a:ext>
                  </a:extLst>
                </xdr:cNvPr>
                <xdr:cNvSpPr txBox="1"/>
              </xdr:nvSpPr>
              <xdr:spPr>
                <a:xfrm>
                  <a:off x="2369194" y="17046"/>
                  <a:ext cx="846446" cy="25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US" sz="900" b="1">
                      <a:solidFill>
                        <a:schemeClr val="bg1"/>
                      </a:solidFill>
                    </a:rPr>
                    <a:t>DASHBOARD</a:t>
                  </a:r>
                </a:p>
              </xdr:txBody>
            </xdr:sp>
            <xdr:pic>
              <xdr:nvPicPr>
                <xdr:cNvPr id="16" name="Picture 15">
                  <a:hlinkClick xmlns:r="http://schemas.openxmlformats.org/officeDocument/2006/relationships" r:id="rId5"/>
                  <a:extLst>
                    <a:ext uri="{FF2B5EF4-FFF2-40B4-BE49-F238E27FC236}">
                      <a16:creationId xmlns:a16="http://schemas.microsoft.com/office/drawing/2014/main" id="{5968BECE-81DE-392C-8A74-3830E53B5F88}"/>
                    </a:ext>
                  </a:extLst>
                </xdr:cNvPr>
                <xdr:cNvPicPr>
                  <a:picLocks noChangeAspect="1" noChangeArrowheads="1"/>
                </xdr:cNvPicPr>
              </xdr:nvPicPr>
              <xdr:blipFill>
                <a:blip xmlns:r="http://schemas.openxmlformats.org/officeDocument/2006/relationships" r:embed="rId6" cstate="print">
                  <a:alphaModFix/>
                  <a:extLst>
                    <a:ext uri="{28A0092B-C50C-407E-A947-70E740481C1C}">
                      <a14:useLocalDpi xmlns:a14="http://schemas.microsoft.com/office/drawing/2010/main" val="0"/>
                    </a:ext>
                  </a:extLst>
                </a:blip>
                <a:srcRect/>
                <a:stretch>
                  <a:fillRect/>
                </a:stretch>
              </xdr:blipFill>
              <xdr:spPr bwMode="auto">
                <a:xfrm>
                  <a:off x="8461655" y="433462"/>
                  <a:ext cx="214188" cy="20819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7" name="TextBox 16">
                  <a:hlinkClick xmlns:r="http://schemas.openxmlformats.org/officeDocument/2006/relationships" r:id="rId5"/>
                  <a:extLst>
                    <a:ext uri="{FF2B5EF4-FFF2-40B4-BE49-F238E27FC236}">
                      <a16:creationId xmlns:a16="http://schemas.microsoft.com/office/drawing/2014/main" id="{2E2A2EE0-04F4-1D80-07F6-6CCE77DB7B2C}"/>
                    </a:ext>
                  </a:extLst>
                </xdr:cNvPr>
                <xdr:cNvSpPr txBox="1"/>
              </xdr:nvSpPr>
              <xdr:spPr>
                <a:xfrm>
                  <a:off x="8647283" y="413913"/>
                  <a:ext cx="56836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REPORTS</a:t>
                  </a:r>
                </a:p>
              </xdr:txBody>
            </xdr:sp>
            <xdr:pic>
              <xdr:nvPicPr>
                <xdr:cNvPr id="18" name="Picture 17">
                  <a:hlinkClick xmlns:r="http://schemas.openxmlformats.org/officeDocument/2006/relationships" r:id="rId7"/>
                  <a:extLst>
                    <a:ext uri="{FF2B5EF4-FFF2-40B4-BE49-F238E27FC236}">
                      <a16:creationId xmlns:a16="http://schemas.microsoft.com/office/drawing/2014/main" id="{A28D46D2-FE00-EE0D-5E77-4A465414E89C}"/>
                    </a:ext>
                  </a:extLst>
                </xdr:cNvPr>
                <xdr:cNvPicPr>
                  <a:picLocks noChangeAspect="1"/>
                </xdr:cNvPicPr>
              </xdr:nvPicPr>
              <xdr:blipFill>
                <a:blip xmlns:r="http://schemas.openxmlformats.org/officeDocument/2006/relationships" r:embed="rId8" cstate="print">
                  <a:alphaModFix/>
                  <a:extLst>
                    <a:ext uri="{28A0092B-C50C-407E-A947-70E740481C1C}">
                      <a14:useLocalDpi xmlns:a14="http://schemas.microsoft.com/office/drawing/2010/main" val="0"/>
                    </a:ext>
                  </a:extLst>
                </a:blip>
                <a:stretch>
                  <a:fillRect/>
                </a:stretch>
              </xdr:blipFill>
              <xdr:spPr>
                <a:xfrm>
                  <a:off x="6903860" y="19549"/>
                  <a:ext cx="214187" cy="248554"/>
                </a:xfrm>
                <a:prstGeom prst="rect">
                  <a:avLst/>
                </a:prstGeom>
              </xdr:spPr>
            </xdr:pic>
            <xdr:sp macro="" textlink="">
              <xdr:nvSpPr>
                <xdr:cNvPr id="19" name="TextBox 18">
                  <a:hlinkClick xmlns:r="http://schemas.openxmlformats.org/officeDocument/2006/relationships" r:id="rId7"/>
                  <a:extLst>
                    <a:ext uri="{FF2B5EF4-FFF2-40B4-BE49-F238E27FC236}">
                      <a16:creationId xmlns:a16="http://schemas.microsoft.com/office/drawing/2014/main" id="{8DFC4282-0210-5D66-B62E-093C8CABE4D0}"/>
                    </a:ext>
                  </a:extLst>
                </xdr:cNvPr>
                <xdr:cNvSpPr txBox="1"/>
              </xdr:nvSpPr>
              <xdr:spPr>
                <a:xfrm>
                  <a:off x="7099062" y="0"/>
                  <a:ext cx="67589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MORTGAGE</a:t>
                  </a:r>
                </a:p>
              </xdr:txBody>
            </xdr:sp>
            <xdr:sp macro="" textlink="">
              <xdr:nvSpPr>
                <xdr:cNvPr id="20" name="TextBox 19">
                  <a:hlinkClick xmlns:r="http://schemas.openxmlformats.org/officeDocument/2006/relationships" r:id="rId9"/>
                  <a:extLst>
                    <a:ext uri="{FF2B5EF4-FFF2-40B4-BE49-F238E27FC236}">
                      <a16:creationId xmlns:a16="http://schemas.microsoft.com/office/drawing/2014/main" id="{784A93BA-E6C0-245E-4390-F2048FF66A97}"/>
                    </a:ext>
                  </a:extLst>
                </xdr:cNvPr>
                <xdr:cNvSpPr txBox="1"/>
              </xdr:nvSpPr>
              <xdr:spPr>
                <a:xfrm>
                  <a:off x="6375474" y="0"/>
                  <a:ext cx="381400"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DEBT</a:t>
                  </a:r>
                </a:p>
              </xdr:txBody>
            </xdr:sp>
            <xdr:pic>
              <xdr:nvPicPr>
                <xdr:cNvPr id="21" name="Picture 20">
                  <a:hlinkClick xmlns:r="http://schemas.openxmlformats.org/officeDocument/2006/relationships" r:id="rId9"/>
                  <a:extLst>
                    <a:ext uri="{FF2B5EF4-FFF2-40B4-BE49-F238E27FC236}">
                      <a16:creationId xmlns:a16="http://schemas.microsoft.com/office/drawing/2014/main" id="{7A091FCF-FB60-8F5B-A2FB-52B5E495AB74}"/>
                    </a:ext>
                  </a:extLst>
                </xdr:cNvPr>
                <xdr:cNvPicPr>
                  <a:picLocks noChangeAspect="1"/>
                </xdr:cNvPicPr>
              </xdr:nvPicPr>
              <xdr:blipFill>
                <a:blip xmlns:r="http://schemas.openxmlformats.org/officeDocument/2006/relationships" r:embed="rId10" cstate="print">
                  <a:alphaModFix/>
                  <a:extLst>
                    <a:ext uri="{28A0092B-C50C-407E-A947-70E740481C1C}">
                      <a14:useLocalDpi xmlns:a14="http://schemas.microsoft.com/office/drawing/2010/main" val="0"/>
                    </a:ext>
                  </a:extLst>
                </a:blip>
                <a:stretch>
                  <a:fillRect/>
                </a:stretch>
              </xdr:blipFill>
              <xdr:spPr>
                <a:xfrm>
                  <a:off x="6158378" y="19549"/>
                  <a:ext cx="214188" cy="248554"/>
                </a:xfrm>
                <a:prstGeom prst="rect">
                  <a:avLst/>
                </a:prstGeom>
              </xdr:spPr>
            </xdr:pic>
            <xdr:sp macro="" textlink="">
              <xdr:nvSpPr>
                <xdr:cNvPr id="22" name="TextBox 21">
                  <a:hlinkClick xmlns:r="http://schemas.openxmlformats.org/officeDocument/2006/relationships" r:id="rId11"/>
                  <a:extLst>
                    <a:ext uri="{FF2B5EF4-FFF2-40B4-BE49-F238E27FC236}">
                      <a16:creationId xmlns:a16="http://schemas.microsoft.com/office/drawing/2014/main" id="{63D8EA5A-60EA-C15F-C21B-308442867262}"/>
                    </a:ext>
                  </a:extLst>
                </xdr:cNvPr>
                <xdr:cNvSpPr txBox="1"/>
              </xdr:nvSpPr>
              <xdr:spPr>
                <a:xfrm>
                  <a:off x="5370816" y="37659"/>
                  <a:ext cx="64057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FORECASTS</a:t>
                  </a:r>
                </a:p>
              </xdr:txBody>
            </xdr:sp>
            <xdr:sp macro="" textlink="">
              <xdr:nvSpPr>
                <xdr:cNvPr id="23" name="TextBox 22">
                  <a:hlinkClick xmlns:r="http://schemas.openxmlformats.org/officeDocument/2006/relationships" r:id="rId12"/>
                  <a:extLst>
                    <a:ext uri="{FF2B5EF4-FFF2-40B4-BE49-F238E27FC236}">
                      <a16:creationId xmlns:a16="http://schemas.microsoft.com/office/drawing/2014/main" id="{5492740F-132B-B7ED-B021-71D65CD2AEF0}"/>
                    </a:ext>
                  </a:extLst>
                </xdr:cNvPr>
                <xdr:cNvSpPr txBox="1"/>
              </xdr:nvSpPr>
              <xdr:spPr>
                <a:xfrm>
                  <a:off x="8104032" y="0"/>
                  <a:ext cx="7732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a:t>
                  </a:r>
                  <a:r>
                    <a:rPr lang="en-US" sz="900" b="1" baseline="0">
                      <a:solidFill>
                        <a:schemeClr val="bg1"/>
                      </a:solidFill>
                    </a:rPr>
                    <a:t> (M)</a:t>
                  </a:r>
                  <a:endParaRPr lang="en-US" sz="900" b="1">
                    <a:solidFill>
                      <a:schemeClr val="bg1"/>
                    </a:solidFill>
                  </a:endParaRPr>
                </a:p>
              </xdr:txBody>
            </xdr:sp>
            <xdr:pic>
              <xdr:nvPicPr>
                <xdr:cNvPr id="24" name="Picture 23">
                  <a:hlinkClick xmlns:r="http://schemas.openxmlformats.org/officeDocument/2006/relationships" r:id="rId12"/>
                  <a:extLst>
                    <a:ext uri="{FF2B5EF4-FFF2-40B4-BE49-F238E27FC236}">
                      <a16:creationId xmlns:a16="http://schemas.microsoft.com/office/drawing/2014/main" id="{9F55E54C-F2D7-EE37-2940-1B0C330C4CB2}"/>
                    </a:ext>
                  </a:extLst>
                </xdr:cNvPr>
                <xdr:cNvPicPr>
                  <a:picLocks noChangeAspect="1"/>
                </xdr:cNvPicPr>
              </xdr:nvPicPr>
              <xdr:blipFill>
                <a:blip xmlns:r="http://schemas.openxmlformats.org/officeDocument/2006/relationships" r:embed="rId13" cstate="print">
                  <a:alphaModFix/>
                  <a:extLst>
                    <a:ext uri="{28A0092B-C50C-407E-A947-70E740481C1C}">
                      <a14:useLocalDpi xmlns:a14="http://schemas.microsoft.com/office/drawing/2010/main" val="0"/>
                    </a:ext>
                  </a:extLst>
                </a:blip>
                <a:stretch>
                  <a:fillRect/>
                </a:stretch>
              </xdr:blipFill>
              <xdr:spPr>
                <a:xfrm>
                  <a:off x="7921943" y="19549"/>
                  <a:ext cx="214188" cy="248554"/>
                </a:xfrm>
                <a:prstGeom prst="rect">
                  <a:avLst/>
                </a:prstGeom>
              </xdr:spPr>
            </xdr:pic>
            <xdr:sp macro="" textlink="">
              <xdr:nvSpPr>
                <xdr:cNvPr id="25" name="TextBox 24">
                  <a:hlinkClick xmlns:r="http://schemas.openxmlformats.org/officeDocument/2006/relationships" r:id="rId14"/>
                  <a:extLst>
                    <a:ext uri="{FF2B5EF4-FFF2-40B4-BE49-F238E27FC236}">
                      <a16:creationId xmlns:a16="http://schemas.microsoft.com/office/drawing/2014/main" id="{6B2AFC50-78D7-9791-0C33-621A78BE9E2E}"/>
                    </a:ext>
                  </a:extLst>
                </xdr:cNvPr>
                <xdr:cNvSpPr txBox="1"/>
              </xdr:nvSpPr>
              <xdr:spPr>
                <a:xfrm>
                  <a:off x="9978309" y="0"/>
                  <a:ext cx="687187"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 (Y)</a:t>
                  </a:r>
                </a:p>
              </xdr:txBody>
            </xdr:sp>
            <xdr:pic>
              <xdr:nvPicPr>
                <xdr:cNvPr id="26" name="Picture 25">
                  <a:hlinkClick xmlns:r="http://schemas.openxmlformats.org/officeDocument/2006/relationships" r:id="rId14"/>
                  <a:extLst>
                    <a:ext uri="{FF2B5EF4-FFF2-40B4-BE49-F238E27FC236}">
                      <a16:creationId xmlns:a16="http://schemas.microsoft.com/office/drawing/2014/main" id="{E04E06EC-F764-DB80-9E54-A31CB5C5E4BB}"/>
                    </a:ext>
                  </a:extLst>
                </xdr:cNvPr>
                <xdr:cNvPicPr>
                  <a:picLocks noChangeAspect="1"/>
                </xdr:cNvPicPr>
              </xdr:nvPicPr>
              <xdr:blipFill>
                <a:blip xmlns:r="http://schemas.openxmlformats.org/officeDocument/2006/relationships" r:embed="rId15" cstate="print">
                  <a:alphaModFix/>
                  <a:extLst>
                    <a:ext uri="{28A0092B-C50C-407E-A947-70E740481C1C}">
                      <a14:useLocalDpi xmlns:a14="http://schemas.microsoft.com/office/drawing/2010/main" val="0"/>
                    </a:ext>
                  </a:extLst>
                </a:blip>
                <a:stretch>
                  <a:fillRect/>
                </a:stretch>
              </xdr:blipFill>
              <xdr:spPr>
                <a:xfrm>
                  <a:off x="9777770" y="19549"/>
                  <a:ext cx="214188" cy="248554"/>
                </a:xfrm>
                <a:prstGeom prst="rect">
                  <a:avLst/>
                </a:prstGeom>
              </xdr:spPr>
            </xdr:pic>
            <xdr:sp macro="" textlink="">
              <xdr:nvSpPr>
                <xdr:cNvPr id="27" name="TextBox 26">
                  <a:hlinkClick xmlns:r="http://schemas.openxmlformats.org/officeDocument/2006/relationships" r:id="rId16"/>
                  <a:extLst>
                    <a:ext uri="{FF2B5EF4-FFF2-40B4-BE49-F238E27FC236}">
                      <a16:creationId xmlns:a16="http://schemas.microsoft.com/office/drawing/2014/main" id="{2CCF6B47-D697-C5A0-365A-13A07C997998}"/>
                    </a:ext>
                  </a:extLst>
                </xdr:cNvPr>
                <xdr:cNvSpPr txBox="1"/>
              </xdr:nvSpPr>
              <xdr:spPr>
                <a:xfrm>
                  <a:off x="9133984" y="0"/>
                  <a:ext cx="49680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VERSUS</a:t>
                  </a:r>
                </a:p>
              </xdr:txBody>
            </xdr:sp>
            <xdr:pic>
              <xdr:nvPicPr>
                <xdr:cNvPr id="28" name="Picture 27">
                  <a:hlinkClick xmlns:r="http://schemas.openxmlformats.org/officeDocument/2006/relationships" r:id="rId16"/>
                  <a:extLst>
                    <a:ext uri="{FF2B5EF4-FFF2-40B4-BE49-F238E27FC236}">
                      <a16:creationId xmlns:a16="http://schemas.microsoft.com/office/drawing/2014/main" id="{FD9FD9E8-E72C-5432-D44A-38740B28F7FA}"/>
                    </a:ext>
                  </a:extLst>
                </xdr:cNvPr>
                <xdr:cNvPicPr>
                  <a:picLocks noChangeAspect="1"/>
                </xdr:cNvPicPr>
              </xdr:nvPicPr>
              <xdr:blipFill>
                <a:blip xmlns:r="http://schemas.openxmlformats.org/officeDocument/2006/relationships" r:embed="rId17" cstate="print">
                  <a:alphaModFix/>
                  <a:extLst>
                    <a:ext uri="{28A0092B-C50C-407E-A947-70E740481C1C}">
                      <a14:useLocalDpi xmlns:a14="http://schemas.microsoft.com/office/drawing/2010/main" val="0"/>
                    </a:ext>
                  </a:extLst>
                </a:blip>
                <a:stretch>
                  <a:fillRect/>
                </a:stretch>
              </xdr:blipFill>
              <xdr:spPr>
                <a:xfrm>
                  <a:off x="8938203" y="19549"/>
                  <a:ext cx="214187" cy="248554"/>
                </a:xfrm>
                <a:prstGeom prst="rect">
                  <a:avLst/>
                </a:prstGeom>
              </xdr:spPr>
            </xdr:pic>
            <xdr:sp macro="" textlink="">
              <xdr:nvSpPr>
                <xdr:cNvPr id="29" name="TextBox 28">
                  <a:hlinkClick xmlns:r="http://schemas.openxmlformats.org/officeDocument/2006/relationships" r:id="rId18"/>
                  <a:extLst>
                    <a:ext uri="{FF2B5EF4-FFF2-40B4-BE49-F238E27FC236}">
                      <a16:creationId xmlns:a16="http://schemas.microsoft.com/office/drawing/2014/main" id="{3589BE3B-7486-EF7E-0C6B-1E75EC76EC65}"/>
                    </a:ext>
                  </a:extLst>
                </xdr:cNvPr>
                <xdr:cNvSpPr txBox="1"/>
              </xdr:nvSpPr>
              <xdr:spPr>
                <a:xfrm>
                  <a:off x="3510385" y="0"/>
                  <a:ext cx="52312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REPAIRS</a:t>
                  </a:r>
                </a:p>
              </xdr:txBody>
            </xdr:sp>
            <xdr:pic>
              <xdr:nvPicPr>
                <xdr:cNvPr id="30" name="Picture 29">
                  <a:hlinkClick xmlns:r="http://schemas.openxmlformats.org/officeDocument/2006/relationships" r:id="rId18"/>
                  <a:extLst>
                    <a:ext uri="{FF2B5EF4-FFF2-40B4-BE49-F238E27FC236}">
                      <a16:creationId xmlns:a16="http://schemas.microsoft.com/office/drawing/2014/main" id="{BF2837F6-321B-F3BA-C8A6-3D520EE8A169}"/>
                    </a:ext>
                  </a:extLst>
                </xdr:cNvPr>
                <xdr:cNvPicPr>
                  <a:picLocks noChangeAspect="1"/>
                </xdr:cNvPicPr>
              </xdr:nvPicPr>
              <xdr:blipFill>
                <a:blip xmlns:r="http://schemas.openxmlformats.org/officeDocument/2006/relationships" r:embed="rId19" cstate="print">
                  <a:alphaModFix/>
                  <a:extLst>
                    <a:ext uri="{28A0092B-C50C-407E-A947-70E740481C1C}">
                      <a14:useLocalDpi xmlns:a14="http://schemas.microsoft.com/office/drawing/2010/main" val="0"/>
                    </a:ext>
                  </a:extLst>
                </a:blip>
                <a:stretch>
                  <a:fillRect/>
                </a:stretch>
              </xdr:blipFill>
              <xdr:spPr>
                <a:xfrm>
                  <a:off x="3296296" y="28376"/>
                  <a:ext cx="214435" cy="230900"/>
                </a:xfrm>
                <a:prstGeom prst="rect">
                  <a:avLst/>
                </a:prstGeom>
              </xdr:spPr>
            </xdr:pic>
            <xdr:sp macro="" textlink="">
              <xdr:nvSpPr>
                <xdr:cNvPr id="31" name="TextBox 30">
                  <a:hlinkClick xmlns:r="http://schemas.openxmlformats.org/officeDocument/2006/relationships" r:id="rId20"/>
                  <a:extLst>
                    <a:ext uri="{FF2B5EF4-FFF2-40B4-BE49-F238E27FC236}">
                      <a16:creationId xmlns:a16="http://schemas.microsoft.com/office/drawing/2014/main" id="{500131DD-1F66-EB85-B5B3-42FD38111AD8}"/>
                    </a:ext>
                  </a:extLst>
                </xdr:cNvPr>
                <xdr:cNvSpPr txBox="1"/>
              </xdr:nvSpPr>
              <xdr:spPr>
                <a:xfrm>
                  <a:off x="4388587" y="0"/>
                  <a:ext cx="63170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FURNITURE</a:t>
                  </a:r>
                </a:p>
              </xdr:txBody>
            </xdr:sp>
            <xdr:pic>
              <xdr:nvPicPr>
                <xdr:cNvPr id="32" name="Picture 31">
                  <a:hlinkClick xmlns:r="http://schemas.openxmlformats.org/officeDocument/2006/relationships" r:id="rId20"/>
                  <a:extLst>
                    <a:ext uri="{FF2B5EF4-FFF2-40B4-BE49-F238E27FC236}">
                      <a16:creationId xmlns:a16="http://schemas.microsoft.com/office/drawing/2014/main" id="{F6492315-DC1A-DE30-8827-31F87BE44969}"/>
                    </a:ext>
                  </a:extLst>
                </xdr:cNvPr>
                <xdr:cNvPicPr>
                  <a:picLocks noChangeAspect="1"/>
                </xdr:cNvPicPr>
              </xdr:nvPicPr>
              <xdr:blipFill>
                <a:blip xmlns:r="http://schemas.openxmlformats.org/officeDocument/2006/relationships" r:embed="rId21" cstate="print">
                  <a:alphaModFix/>
                  <a:extLst>
                    <a:ext uri="{28A0092B-C50C-407E-A947-70E740481C1C}">
                      <a14:useLocalDpi xmlns:a14="http://schemas.microsoft.com/office/drawing/2010/main" val="0"/>
                    </a:ext>
                  </a:extLst>
                </a:blip>
                <a:stretch>
                  <a:fillRect/>
                </a:stretch>
              </xdr:blipFill>
              <xdr:spPr>
                <a:xfrm>
                  <a:off x="4180491" y="28376"/>
                  <a:ext cx="214435" cy="230900"/>
                </a:xfrm>
                <a:prstGeom prst="rect">
                  <a:avLst/>
                </a:prstGeom>
              </xdr:spPr>
            </xdr:pic>
            <xdr:pic>
              <xdr:nvPicPr>
                <xdr:cNvPr id="33" name="Picture 32">
                  <a:hlinkClick xmlns:r="http://schemas.openxmlformats.org/officeDocument/2006/relationships" r:id="rId22"/>
                  <a:extLst>
                    <a:ext uri="{FF2B5EF4-FFF2-40B4-BE49-F238E27FC236}">
                      <a16:creationId xmlns:a16="http://schemas.microsoft.com/office/drawing/2014/main" id="{19465E09-9674-9B76-0654-79532A3082EE}"/>
                    </a:ext>
                  </a:extLst>
                </xdr:cNvPr>
                <xdr:cNvPicPr>
                  <a:picLocks noChangeAspect="1"/>
                </xdr:cNvPicPr>
              </xdr:nvPicPr>
              <xdr:blipFill>
                <a:blip xmlns:r="http://schemas.openxmlformats.org/officeDocument/2006/relationships" r:embed="rId23" cstate="print">
                  <a:alphaModFix/>
                  <a:extLst>
                    <a:ext uri="{28A0092B-C50C-407E-A947-70E740481C1C}">
                      <a14:useLocalDpi xmlns:a14="http://schemas.microsoft.com/office/drawing/2010/main" val="0"/>
                    </a:ext>
                  </a:extLst>
                </a:blip>
                <a:stretch>
                  <a:fillRect/>
                </a:stretch>
              </xdr:blipFill>
              <xdr:spPr>
                <a:xfrm>
                  <a:off x="10812480" y="19549"/>
                  <a:ext cx="214188" cy="248554"/>
                </a:xfrm>
                <a:prstGeom prst="rect">
                  <a:avLst/>
                </a:prstGeom>
              </xdr:spPr>
            </xdr:pic>
            <xdr:sp macro="" textlink="">
              <xdr:nvSpPr>
                <xdr:cNvPr id="34" name="TextBox 33">
                  <a:hlinkClick xmlns:r="http://schemas.openxmlformats.org/officeDocument/2006/relationships" r:id="rId22"/>
                  <a:extLst>
                    <a:ext uri="{FF2B5EF4-FFF2-40B4-BE49-F238E27FC236}">
                      <a16:creationId xmlns:a16="http://schemas.microsoft.com/office/drawing/2014/main" id="{37447988-F3AF-2D44-2C0D-EE4C21918648}"/>
                    </a:ext>
                  </a:extLst>
                </xdr:cNvPr>
                <xdr:cNvSpPr txBox="1"/>
              </xdr:nvSpPr>
              <xdr:spPr>
                <a:xfrm>
                  <a:off x="11008843" y="0"/>
                  <a:ext cx="40705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PEERS</a:t>
                  </a:r>
                </a:p>
              </xdr:txBody>
            </xdr:sp>
            <xdr:sp macro="" textlink="">
              <xdr:nvSpPr>
                <xdr:cNvPr id="35" name="TextBox 34">
                  <a:hlinkClick xmlns:r="http://schemas.openxmlformats.org/officeDocument/2006/relationships" r:id="rId24"/>
                  <a:extLst>
                    <a:ext uri="{FF2B5EF4-FFF2-40B4-BE49-F238E27FC236}">
                      <a16:creationId xmlns:a16="http://schemas.microsoft.com/office/drawing/2014/main" id="{12F2B846-FE90-91BE-903A-C47DC124DB63}"/>
                    </a:ext>
                  </a:extLst>
                </xdr:cNvPr>
                <xdr:cNvSpPr txBox="1"/>
              </xdr:nvSpPr>
              <xdr:spPr>
                <a:xfrm>
                  <a:off x="9581756" y="397481"/>
                  <a:ext cx="656781"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MAX PRICE</a:t>
                  </a:r>
                </a:p>
              </xdr:txBody>
            </xdr:sp>
            <xdr:pic>
              <xdr:nvPicPr>
                <xdr:cNvPr id="36" name="Picture 35">
                  <a:hlinkClick xmlns:r="http://schemas.openxmlformats.org/officeDocument/2006/relationships" r:id="rId24"/>
                  <a:extLst>
                    <a:ext uri="{FF2B5EF4-FFF2-40B4-BE49-F238E27FC236}">
                      <a16:creationId xmlns:a16="http://schemas.microsoft.com/office/drawing/2014/main" id="{7626F940-DB32-3D8A-2C2C-BF0CDB4F26AE}"/>
                    </a:ext>
                  </a:extLst>
                </xdr:cNvPr>
                <xdr:cNvPicPr>
                  <a:picLocks noChangeAspect="1"/>
                </xdr:cNvPicPr>
              </xdr:nvPicPr>
              <xdr:blipFill>
                <a:blip xmlns:r="http://schemas.openxmlformats.org/officeDocument/2006/relationships" r:embed="rId25" cstate="print">
                  <a:alphaModFix/>
                  <a:extLst>
                    <a:ext uri="{28A0092B-C50C-407E-A947-70E740481C1C}">
                      <a14:useLocalDpi xmlns:a14="http://schemas.microsoft.com/office/drawing/2010/main" val="0"/>
                    </a:ext>
                  </a:extLst>
                </a:blip>
                <a:stretch>
                  <a:fillRect/>
                </a:stretch>
              </xdr:blipFill>
              <xdr:spPr>
                <a:xfrm>
                  <a:off x="9433997" y="425857"/>
                  <a:ext cx="214435" cy="230900"/>
                </a:xfrm>
                <a:prstGeom prst="rect">
                  <a:avLst/>
                </a:prstGeom>
              </xdr:spPr>
            </xdr:pic>
            <xdr:sp macro="" textlink="">
              <xdr:nvSpPr>
                <xdr:cNvPr id="37" name="TextBox 36">
                  <a:hlinkClick xmlns:r="http://schemas.openxmlformats.org/officeDocument/2006/relationships" r:id="rId26"/>
                  <a:extLst>
                    <a:ext uri="{FF2B5EF4-FFF2-40B4-BE49-F238E27FC236}">
                      <a16:creationId xmlns:a16="http://schemas.microsoft.com/office/drawing/2014/main" id="{A958662C-34F8-AAA4-9FC7-D57412367661}"/>
                    </a:ext>
                  </a:extLst>
                </xdr:cNvPr>
                <xdr:cNvSpPr txBox="1"/>
              </xdr:nvSpPr>
              <xdr:spPr>
                <a:xfrm>
                  <a:off x="7733272" y="389861"/>
                  <a:ext cx="6384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SCENARIOS</a:t>
                  </a:r>
                </a:p>
              </xdr:txBody>
            </xdr:sp>
            <xdr:pic>
              <xdr:nvPicPr>
                <xdr:cNvPr id="38" name="Picture 37">
                  <a:hlinkClick xmlns:r="http://schemas.openxmlformats.org/officeDocument/2006/relationships" r:id="rId26"/>
                  <a:extLst>
                    <a:ext uri="{FF2B5EF4-FFF2-40B4-BE49-F238E27FC236}">
                      <a16:creationId xmlns:a16="http://schemas.microsoft.com/office/drawing/2014/main" id="{F784D04F-EF5E-FFD1-3256-9C8C43B3CA89}"/>
                    </a:ext>
                  </a:extLst>
                </xdr:cNvPr>
                <xdr:cNvPicPr>
                  <a:picLocks noChangeAspect="1"/>
                </xdr:cNvPicPr>
              </xdr:nvPicPr>
              <xdr:blipFill>
                <a:blip xmlns:r="http://schemas.openxmlformats.org/officeDocument/2006/relationships" r:embed="rId27" cstate="print">
                  <a:alphaModFix/>
                  <a:extLst>
                    <a:ext uri="{28A0092B-C50C-407E-A947-70E740481C1C}">
                      <a14:useLocalDpi xmlns:a14="http://schemas.microsoft.com/office/drawing/2010/main" val="0"/>
                    </a:ext>
                  </a:extLst>
                </a:blip>
                <a:stretch>
                  <a:fillRect/>
                </a:stretch>
              </xdr:blipFill>
              <xdr:spPr>
                <a:xfrm>
                  <a:off x="7536090" y="418237"/>
                  <a:ext cx="214435" cy="230900"/>
                </a:xfrm>
                <a:prstGeom prst="rect">
                  <a:avLst/>
                </a:prstGeom>
              </xdr:spPr>
            </xdr:pic>
            <xdr:sp macro="" textlink="">
              <xdr:nvSpPr>
                <xdr:cNvPr id="39" name="TextBox 38">
                  <a:hlinkClick xmlns:r="http://schemas.openxmlformats.org/officeDocument/2006/relationships" r:id="rId28"/>
                  <a:extLst>
                    <a:ext uri="{FF2B5EF4-FFF2-40B4-BE49-F238E27FC236}">
                      <a16:creationId xmlns:a16="http://schemas.microsoft.com/office/drawing/2014/main" id="{96AC36BB-3197-25F0-FC4B-D6458CEB1F07}"/>
                    </a:ext>
                  </a:extLst>
                </xdr:cNvPr>
                <xdr:cNvSpPr txBox="1"/>
              </xdr:nvSpPr>
              <xdr:spPr>
                <a:xfrm>
                  <a:off x="11757467" y="49286"/>
                  <a:ext cx="110218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MARKET RESEARCH</a:t>
                  </a:r>
                </a:p>
              </xdr:txBody>
            </xdr:sp>
            <xdr:pic>
              <xdr:nvPicPr>
                <xdr:cNvPr id="40" name="Picture 39" descr="A white and brown hourglass&#10;&#10;AI-generated content may be incorrect.">
                  <a:hlinkClick xmlns:r="http://schemas.openxmlformats.org/officeDocument/2006/relationships" r:id="rId28"/>
                  <a:extLst>
                    <a:ext uri="{FF2B5EF4-FFF2-40B4-BE49-F238E27FC236}">
                      <a16:creationId xmlns:a16="http://schemas.microsoft.com/office/drawing/2014/main" id="{70F91298-F4C9-D31C-0B72-9F1B96C6AADD}"/>
                    </a:ext>
                  </a:extLst>
                </xdr:cNvPr>
                <xdr:cNvPicPr>
                  <a:picLocks noChangeAspect="1"/>
                </xdr:cNvPicPr>
              </xdr:nvPicPr>
              <xdr:blipFill>
                <a:blip xmlns:r="http://schemas.openxmlformats.org/officeDocument/2006/relationships" r:embed="rId29" cstate="print">
                  <a:alphaModFix/>
                  <a:extLst>
                    <a:ext uri="{28A0092B-C50C-407E-A947-70E740481C1C}">
                      <a14:useLocalDpi xmlns:a14="http://schemas.microsoft.com/office/drawing/2010/main" val="0"/>
                    </a:ext>
                  </a:extLst>
                </a:blip>
                <a:stretch>
                  <a:fillRect/>
                </a:stretch>
              </xdr:blipFill>
              <xdr:spPr>
                <a:xfrm>
                  <a:off x="11563464" y="33893"/>
                  <a:ext cx="235575" cy="261687"/>
                </a:xfrm>
                <a:prstGeom prst="rect">
                  <a:avLst/>
                </a:prstGeom>
              </xdr:spPr>
            </xdr:pic>
            <xdr:pic>
              <xdr:nvPicPr>
                <xdr:cNvPr id="41" name="Picture 40">
                  <a:hlinkClick xmlns:r="http://schemas.openxmlformats.org/officeDocument/2006/relationships" r:id="rId30"/>
                  <a:extLst>
                    <a:ext uri="{FF2B5EF4-FFF2-40B4-BE49-F238E27FC236}">
                      <a16:creationId xmlns:a16="http://schemas.microsoft.com/office/drawing/2014/main" id="{3F9638E1-B3A6-2AEB-F4C2-50916019B836}"/>
                    </a:ext>
                  </a:extLst>
                </xdr:cNvPr>
                <xdr:cNvPicPr>
                  <a:picLocks noChangeAspect="1" noChangeArrowheads="1"/>
                </xdr:cNvPicPr>
              </xdr:nvPicPr>
              <xdr:blipFill>
                <a:blip xmlns:r="http://schemas.openxmlformats.org/officeDocument/2006/relationships" r:embed="rId3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33032" y="384834"/>
                  <a:ext cx="261600" cy="33288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0" name="TextBox 89">
                  <a:hlinkClick xmlns:r="http://schemas.openxmlformats.org/officeDocument/2006/relationships" r:id="rId30"/>
                  <a:extLst>
                    <a:ext uri="{FF2B5EF4-FFF2-40B4-BE49-F238E27FC236}">
                      <a16:creationId xmlns:a16="http://schemas.microsoft.com/office/drawing/2014/main" id="{2BFB6DD7-F871-9568-6AD6-2F343C73AF44}"/>
                    </a:ext>
                  </a:extLst>
                </xdr:cNvPr>
                <xdr:cNvSpPr txBox="1"/>
              </xdr:nvSpPr>
              <xdr:spPr>
                <a:xfrm>
                  <a:off x="3637195" y="315564"/>
                  <a:ext cx="914586" cy="433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BALANCE SHEET</a:t>
                  </a:r>
                </a:p>
                <a:p>
                  <a:pPr algn="ctr"/>
                  <a:r>
                    <a:rPr lang="en-US" sz="900" b="1">
                      <a:solidFill>
                        <a:schemeClr val="bg1"/>
                      </a:solidFill>
                    </a:rPr>
                    <a:t>SUMMARY</a:t>
                  </a:r>
                </a:p>
              </xdr:txBody>
            </xdr:sp>
            <xdr:pic>
              <xdr:nvPicPr>
                <xdr:cNvPr id="91" name="Picture 90">
                  <a:hlinkClick xmlns:r="http://schemas.openxmlformats.org/officeDocument/2006/relationships" r:id="rId32"/>
                  <a:extLst>
                    <a:ext uri="{FF2B5EF4-FFF2-40B4-BE49-F238E27FC236}">
                      <a16:creationId xmlns:a16="http://schemas.microsoft.com/office/drawing/2014/main" id="{2FF8F4E0-FFCE-41E7-7587-783D2EB3E80B}"/>
                    </a:ext>
                  </a:extLst>
                </xdr:cNvPr>
                <xdr:cNvPicPr>
                  <a:picLocks noChangeAspect="1" noChangeArrowheads="1"/>
                </xdr:cNvPicPr>
              </xdr:nvPicPr>
              <xdr:blipFill>
                <a:blip xmlns:r="http://schemas.openxmlformats.org/officeDocument/2006/relationships" r:embed="rId33" cstate="print">
                  <a:clrChange>
                    <a:clrFrom>
                      <a:srgbClr val="F8F8F8"/>
                    </a:clrFrom>
                    <a:clrTo>
                      <a:srgbClr val="F8F8F8">
                        <a:alpha val="0"/>
                      </a:srgbClr>
                    </a:clrTo>
                  </a:clrChange>
                  <a:extLst>
                    <a:ext uri="{28A0092B-C50C-407E-A947-70E740481C1C}">
                      <a14:useLocalDpi xmlns:a14="http://schemas.microsoft.com/office/drawing/2010/main" val="0"/>
                    </a:ext>
                  </a:extLst>
                </a:blip>
                <a:srcRect/>
                <a:stretch>
                  <a:fillRect/>
                </a:stretch>
              </xdr:blipFill>
              <xdr:spPr bwMode="auto">
                <a:xfrm>
                  <a:off x="4602713" y="384834"/>
                  <a:ext cx="326621" cy="3113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2" name="TextBox 91">
                  <a:hlinkClick xmlns:r="http://schemas.openxmlformats.org/officeDocument/2006/relationships" r:id="rId32"/>
                  <a:extLst>
                    <a:ext uri="{FF2B5EF4-FFF2-40B4-BE49-F238E27FC236}">
                      <a16:creationId xmlns:a16="http://schemas.microsoft.com/office/drawing/2014/main" id="{97279E84-A52E-59BC-8977-C20C65C2666B}"/>
                    </a:ext>
                  </a:extLst>
                </xdr:cNvPr>
                <xdr:cNvSpPr txBox="1"/>
              </xdr:nvSpPr>
              <xdr:spPr>
                <a:xfrm>
                  <a:off x="4880678" y="423317"/>
                  <a:ext cx="56334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ASSETS</a:t>
                  </a:r>
                </a:p>
              </xdr:txBody>
            </xdr:sp>
            <xdr:pic>
              <xdr:nvPicPr>
                <xdr:cNvPr id="93" name="Picture 92">
                  <a:hlinkClick xmlns:r="http://schemas.openxmlformats.org/officeDocument/2006/relationships" r:id="rId34"/>
                  <a:extLst>
                    <a:ext uri="{FF2B5EF4-FFF2-40B4-BE49-F238E27FC236}">
                      <a16:creationId xmlns:a16="http://schemas.microsoft.com/office/drawing/2014/main" id="{F4310FD7-326B-B101-D112-25687F080061}"/>
                    </a:ext>
                  </a:extLst>
                </xdr:cNvPr>
                <xdr:cNvPicPr>
                  <a:picLocks noChangeAspect="1" noChangeArrowheads="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35903" y="354046"/>
                  <a:ext cx="278234" cy="3540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4" name="TextBox 93">
                  <a:hlinkClick xmlns:r="http://schemas.openxmlformats.org/officeDocument/2006/relationships" r:id="rId34"/>
                  <a:extLst>
                    <a:ext uri="{FF2B5EF4-FFF2-40B4-BE49-F238E27FC236}">
                      <a16:creationId xmlns:a16="http://schemas.microsoft.com/office/drawing/2014/main" id="{DEB3A06D-C0ED-929A-3895-EBA0E7DBAB4B}"/>
                    </a:ext>
                  </a:extLst>
                </xdr:cNvPr>
                <xdr:cNvSpPr txBox="1"/>
              </xdr:nvSpPr>
              <xdr:spPr>
                <a:xfrm>
                  <a:off x="5717678" y="431014"/>
                  <a:ext cx="750091"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LIABILITIES</a:t>
                  </a:r>
                </a:p>
              </xdr:txBody>
            </xdr:sp>
            <xdr:pic>
              <xdr:nvPicPr>
                <xdr:cNvPr id="95" name="Picture 94">
                  <a:hlinkClick xmlns:r="http://schemas.openxmlformats.org/officeDocument/2006/relationships" r:id="rId36"/>
                  <a:extLst>
                    <a:ext uri="{FF2B5EF4-FFF2-40B4-BE49-F238E27FC236}">
                      <a16:creationId xmlns:a16="http://schemas.microsoft.com/office/drawing/2014/main" id="{6CBF4B87-9176-2D1B-22F1-39C698234F7D}"/>
                    </a:ext>
                  </a:extLst>
                </xdr:cNvPr>
                <xdr:cNvPicPr>
                  <a:picLocks noChangeAspect="1"/>
                </xdr:cNvPicPr>
              </xdr:nvPicPr>
              <xdr:blipFill>
                <a:blip xmlns:r="http://schemas.openxmlformats.org/officeDocument/2006/relationships" r:embed="rId37">
                  <a:clrChange>
                    <a:clrFrom>
                      <a:srgbClr val="FFFFFF"/>
                    </a:clrFrom>
                    <a:clrTo>
                      <a:srgbClr val="FFFFFF">
                        <a:alpha val="0"/>
                      </a:srgbClr>
                    </a:clrTo>
                  </a:clrChange>
                </a:blip>
                <a:stretch>
                  <a:fillRect/>
                </a:stretch>
              </xdr:blipFill>
              <xdr:spPr>
                <a:xfrm>
                  <a:off x="6454424" y="361268"/>
                  <a:ext cx="368693" cy="354523"/>
                </a:xfrm>
                <a:prstGeom prst="rect">
                  <a:avLst/>
                </a:prstGeom>
              </xdr:spPr>
            </xdr:pic>
            <xdr:sp macro="" textlink="">
              <xdr:nvSpPr>
                <xdr:cNvPr id="96" name="TextBox 95">
                  <a:hlinkClick xmlns:r="http://schemas.openxmlformats.org/officeDocument/2006/relationships" r:id="rId36"/>
                  <a:extLst>
                    <a:ext uri="{FF2B5EF4-FFF2-40B4-BE49-F238E27FC236}">
                      <a16:creationId xmlns:a16="http://schemas.microsoft.com/office/drawing/2014/main" id="{83533F4A-A44A-8B74-860A-891DB8A5E04F}"/>
                    </a:ext>
                  </a:extLst>
                </xdr:cNvPr>
                <xdr:cNvSpPr txBox="1"/>
              </xdr:nvSpPr>
              <xdr:spPr>
                <a:xfrm>
                  <a:off x="6742924" y="369440"/>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EDIT</a:t>
                  </a:r>
                </a:p>
                <a:p>
                  <a:r>
                    <a:rPr lang="en-US" sz="900" b="1">
                      <a:solidFill>
                        <a:schemeClr val="bg1"/>
                      </a:solidFill>
                    </a:rPr>
                    <a:t>CATEGORIES</a:t>
                  </a:r>
                </a:p>
              </xdr:txBody>
            </xdr:sp>
            <xdr:grpSp>
              <xdr:nvGrpSpPr>
                <xdr:cNvPr id="97" name="Group 96">
                  <a:hlinkClick xmlns:r="http://schemas.openxmlformats.org/officeDocument/2006/relationships" r:id="rId38"/>
                  <a:extLst>
                    <a:ext uri="{FF2B5EF4-FFF2-40B4-BE49-F238E27FC236}">
                      <a16:creationId xmlns:a16="http://schemas.microsoft.com/office/drawing/2014/main" id="{5963D0FB-5756-F360-28A9-1D56A63552D2}"/>
                    </a:ext>
                  </a:extLst>
                </xdr:cNvPr>
                <xdr:cNvGrpSpPr/>
              </xdr:nvGrpSpPr>
              <xdr:grpSpPr>
                <a:xfrm>
                  <a:off x="10231249" y="237461"/>
                  <a:ext cx="1281586" cy="502920"/>
                  <a:chOff x="11732389" y="237461"/>
                  <a:chExt cx="1281586" cy="502920"/>
                </a:xfrm>
              </xdr:grpSpPr>
              <xdr:pic>
                <xdr:nvPicPr>
                  <xdr:cNvPr id="98" name="Picture 97">
                    <a:hlinkClick xmlns:r="http://schemas.openxmlformats.org/officeDocument/2006/relationships" r:id="rId39"/>
                    <a:extLst>
                      <a:ext uri="{FF2B5EF4-FFF2-40B4-BE49-F238E27FC236}">
                        <a16:creationId xmlns:a16="http://schemas.microsoft.com/office/drawing/2014/main" id="{EEA559FA-5F79-74A3-109B-60055E024C0A}"/>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1732389" y="237461"/>
                    <a:ext cx="502920" cy="502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9" name="TextBox 98">
                    <a:hlinkClick xmlns:r="http://schemas.openxmlformats.org/officeDocument/2006/relationships" r:id="rId39"/>
                    <a:extLst>
                      <a:ext uri="{FF2B5EF4-FFF2-40B4-BE49-F238E27FC236}">
                        <a16:creationId xmlns:a16="http://schemas.microsoft.com/office/drawing/2014/main" id="{F7D0540C-FE19-5A43-39CD-3BB92D92235F}"/>
                      </a:ext>
                    </a:extLst>
                  </xdr:cNvPr>
                  <xdr:cNvSpPr txBox="1"/>
                </xdr:nvSpPr>
                <xdr:spPr>
                  <a:xfrm>
                    <a:off x="12197209" y="344142"/>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 GAME APPS</a:t>
                    </a:r>
                  </a:p>
                </xdr:txBody>
              </xdr:sp>
            </xdr:grpSp>
          </xdr:grpSp>
          <xdr:grpSp>
            <xdr:nvGrpSpPr>
              <xdr:cNvPr id="10" name="Group 9">
                <a:extLst>
                  <a:ext uri="{FF2B5EF4-FFF2-40B4-BE49-F238E27FC236}">
                    <a16:creationId xmlns:a16="http://schemas.microsoft.com/office/drawing/2014/main" id="{02FBD0E8-5E08-49D4-78F6-638F2A63EEB3}"/>
                  </a:ext>
                </a:extLst>
              </xdr:cNvPr>
              <xdr:cNvGrpSpPr/>
            </xdr:nvGrpSpPr>
            <xdr:grpSpPr>
              <a:xfrm>
                <a:off x="3030070" y="313765"/>
                <a:ext cx="1219410" cy="438976"/>
                <a:chOff x="3030070" y="313765"/>
                <a:chExt cx="1219410" cy="438976"/>
              </a:xfrm>
            </xdr:grpSpPr>
            <xdr:sp macro="" textlink="">
              <xdr:nvSpPr>
                <xdr:cNvPr id="11" name="TextBox 10">
                  <a:hlinkClick xmlns:r="http://schemas.openxmlformats.org/officeDocument/2006/relationships" r:id="rId41"/>
                  <a:extLst>
                    <a:ext uri="{FF2B5EF4-FFF2-40B4-BE49-F238E27FC236}">
                      <a16:creationId xmlns:a16="http://schemas.microsoft.com/office/drawing/2014/main" id="{1091CB88-E3F9-AB00-9852-71AC59DACE6D}"/>
                    </a:ext>
                  </a:extLst>
                </xdr:cNvPr>
                <xdr:cNvSpPr txBox="1"/>
              </xdr:nvSpPr>
              <xdr:spPr>
                <a:xfrm>
                  <a:off x="3307528" y="313765"/>
                  <a:ext cx="941952" cy="43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BOOK KEEPING</a:t>
                  </a:r>
                </a:p>
                <a:p>
                  <a:pPr algn="ctr"/>
                  <a:r>
                    <a:rPr lang="en-US" sz="900" b="1">
                      <a:solidFill>
                        <a:schemeClr val="bg1"/>
                      </a:solidFill>
                    </a:rPr>
                    <a:t>LEDGER</a:t>
                  </a:r>
                </a:p>
              </xdr:txBody>
            </xdr:sp>
            <xdr:pic>
              <xdr:nvPicPr>
                <xdr:cNvPr id="12" name="Picture 11">
                  <a:hlinkClick xmlns:r="http://schemas.openxmlformats.org/officeDocument/2006/relationships" r:id="rId41"/>
                  <a:extLst>
                    <a:ext uri="{FF2B5EF4-FFF2-40B4-BE49-F238E27FC236}">
                      <a16:creationId xmlns:a16="http://schemas.microsoft.com/office/drawing/2014/main" id="{57FEE9DA-3F03-CA2A-20E0-82311768107A}"/>
                    </a:ext>
                  </a:extLst>
                </xdr:cNvPr>
                <xdr:cNvPicPr>
                  <a:picLocks noChangeAspect="1"/>
                </xdr:cNvPicPr>
              </xdr:nvPicPr>
              <xdr:blipFill>
                <a:blip xmlns:r="http://schemas.openxmlformats.org/officeDocument/2006/relationships" r:embed="rId4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0070" y="367554"/>
                  <a:ext cx="327770" cy="349622"/>
                </a:xfrm>
                <a:prstGeom prst="rect">
                  <a:avLst/>
                </a:prstGeom>
              </xdr:spPr>
            </xdr:pic>
          </xdr:grpSp>
        </xdr:grpSp>
        <xdr:grpSp>
          <xdr:nvGrpSpPr>
            <xdr:cNvPr id="6" name="Group 5">
              <a:extLst>
                <a:ext uri="{FF2B5EF4-FFF2-40B4-BE49-F238E27FC236}">
                  <a16:creationId xmlns:a16="http://schemas.microsoft.com/office/drawing/2014/main" id="{4B9E32BE-D5E6-E84B-84E9-AE9286DCB174}"/>
                </a:ext>
              </a:extLst>
            </xdr:cNvPr>
            <xdr:cNvGrpSpPr/>
          </xdr:nvGrpSpPr>
          <xdr:grpSpPr>
            <a:xfrm>
              <a:off x="12626340" y="243840"/>
              <a:ext cx="1344125" cy="571500"/>
              <a:chOff x="12626340" y="243840"/>
              <a:chExt cx="1344125" cy="571500"/>
            </a:xfrm>
          </xdr:grpSpPr>
          <xdr:pic>
            <xdr:nvPicPr>
              <xdr:cNvPr id="7" name="Picture 6">
                <a:hlinkClick xmlns:r="http://schemas.openxmlformats.org/officeDocument/2006/relationships" r:id="rId43"/>
                <a:extLst>
                  <a:ext uri="{FF2B5EF4-FFF2-40B4-BE49-F238E27FC236}">
                    <a16:creationId xmlns:a16="http://schemas.microsoft.com/office/drawing/2014/main" id="{E7A1D761-9DF0-E822-C2C9-C1F7516C5E6B}"/>
                  </a:ext>
                </a:extLst>
              </xdr:cNvPr>
              <xdr:cNvPicPr>
                <a:picLocks noChangeAspect="1" noChangeArrowheads="1"/>
              </xdr:cNvPicPr>
            </xdr:nvPicPr>
            <xdr:blipFill>
              <a:blip xmlns:r="http://schemas.openxmlformats.org/officeDocument/2006/relationships" r:embed="rId4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26340" y="243840"/>
                <a:ext cx="571500" cy="571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 name="TextBox 7">
                <a:hlinkClick xmlns:r="http://schemas.openxmlformats.org/officeDocument/2006/relationships" r:id="rId43"/>
                <a:extLst>
                  <a:ext uri="{FF2B5EF4-FFF2-40B4-BE49-F238E27FC236}">
                    <a16:creationId xmlns:a16="http://schemas.microsoft.com/office/drawing/2014/main" id="{52335F87-524C-6F10-35ED-CF9583262C84}"/>
                  </a:ext>
                </a:extLst>
              </xdr:cNvPr>
              <xdr:cNvSpPr txBox="1"/>
            </xdr:nvSpPr>
            <xdr:spPr>
              <a:xfrm>
                <a:off x="13129260" y="327660"/>
                <a:ext cx="841205" cy="4000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TRAVEL</a:t>
                </a:r>
              </a:p>
              <a:p>
                <a:pPr algn="ctr"/>
                <a:r>
                  <a:rPr lang="en-US" sz="900" b="1">
                    <a:solidFill>
                      <a:schemeClr val="bg1"/>
                    </a:solidFill>
                  </a:rPr>
                  <a:t>SANDBOX</a:t>
                </a:r>
              </a:p>
            </xdr:txBody>
          </xdr:sp>
        </xdr:grpSp>
      </xdr:grpSp>
      <xdr:pic>
        <xdr:nvPicPr>
          <xdr:cNvPr id="4" name="Picture 3">
            <a:hlinkClick xmlns:r="http://schemas.openxmlformats.org/officeDocument/2006/relationships" r:id="rId11"/>
            <a:extLst>
              <a:ext uri="{FF2B5EF4-FFF2-40B4-BE49-F238E27FC236}">
                <a16:creationId xmlns:a16="http://schemas.microsoft.com/office/drawing/2014/main" id="{E1604270-1A59-73D0-54F0-5CD9C42445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34100" y="30480"/>
            <a:ext cx="234698" cy="246078"/>
          </a:xfrm>
          <a:prstGeom prst="rect">
            <a:avLst/>
          </a:prstGeom>
          <a:solidFill>
            <a:srgbClr val="7FA6C7"/>
          </a:solidFill>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0</xdr:colOff>
      <xdr:row>0</xdr:row>
      <xdr:rowOff>0</xdr:rowOff>
    </xdr:from>
    <xdr:to>
      <xdr:col>62</xdr:col>
      <xdr:colOff>152157</xdr:colOff>
      <xdr:row>3</xdr:row>
      <xdr:rowOff>7620</xdr:rowOff>
    </xdr:to>
    <xdr:grpSp>
      <xdr:nvGrpSpPr>
        <xdr:cNvPr id="50" name="Group 49">
          <a:extLst>
            <a:ext uri="{FF2B5EF4-FFF2-40B4-BE49-F238E27FC236}">
              <a16:creationId xmlns:a16="http://schemas.microsoft.com/office/drawing/2014/main" id="{8169E7DA-86EA-46F8-A1C5-393009508F9F}"/>
            </a:ext>
          </a:extLst>
        </xdr:cNvPr>
        <xdr:cNvGrpSpPr/>
      </xdr:nvGrpSpPr>
      <xdr:grpSpPr>
        <a:xfrm>
          <a:off x="990600" y="0"/>
          <a:ext cx="11894577" cy="815340"/>
          <a:chOff x="2194560" y="0"/>
          <a:chExt cx="11894577" cy="815340"/>
        </a:xfrm>
      </xdr:grpSpPr>
      <xdr:grpSp>
        <xdr:nvGrpSpPr>
          <xdr:cNvPr id="51" name="Group 50">
            <a:extLst>
              <a:ext uri="{FF2B5EF4-FFF2-40B4-BE49-F238E27FC236}">
                <a16:creationId xmlns:a16="http://schemas.microsoft.com/office/drawing/2014/main" id="{4EF50CD1-5090-4C91-90F3-F638D4D8EE32}"/>
              </a:ext>
            </a:extLst>
          </xdr:cNvPr>
          <xdr:cNvGrpSpPr/>
        </xdr:nvGrpSpPr>
        <xdr:grpSpPr>
          <a:xfrm>
            <a:off x="2194560" y="0"/>
            <a:ext cx="11894577" cy="815340"/>
            <a:chOff x="2194560" y="0"/>
            <a:chExt cx="11894577" cy="815340"/>
          </a:xfrm>
        </xdr:grpSpPr>
        <xdr:grpSp>
          <xdr:nvGrpSpPr>
            <xdr:cNvPr id="53" name="Group 52">
              <a:extLst>
                <a:ext uri="{FF2B5EF4-FFF2-40B4-BE49-F238E27FC236}">
                  <a16:creationId xmlns:a16="http://schemas.microsoft.com/office/drawing/2014/main" id="{EA1D8A37-37C9-DA79-8A71-07D3E5F3F778}"/>
                </a:ext>
              </a:extLst>
            </xdr:cNvPr>
            <xdr:cNvGrpSpPr/>
          </xdr:nvGrpSpPr>
          <xdr:grpSpPr>
            <a:xfrm>
              <a:off x="2194560" y="0"/>
              <a:ext cx="11894577" cy="773812"/>
              <a:chOff x="2160046" y="0"/>
              <a:chExt cx="11894577" cy="773812"/>
            </a:xfrm>
          </xdr:grpSpPr>
          <xdr:grpSp>
            <xdr:nvGrpSpPr>
              <xdr:cNvPr id="57" name="Group 56">
                <a:extLst>
                  <a:ext uri="{FF2B5EF4-FFF2-40B4-BE49-F238E27FC236}">
                    <a16:creationId xmlns:a16="http://schemas.microsoft.com/office/drawing/2014/main" id="{5B72C07F-DF52-B218-FCBB-EAF4520F6DDB}"/>
                  </a:ext>
                </a:extLst>
              </xdr:cNvPr>
              <xdr:cNvGrpSpPr/>
            </xdr:nvGrpSpPr>
            <xdr:grpSpPr>
              <a:xfrm>
                <a:off x="2160046" y="0"/>
                <a:ext cx="11894577" cy="773812"/>
                <a:chOff x="1310640" y="0"/>
                <a:chExt cx="11549013" cy="764847"/>
              </a:xfrm>
            </xdr:grpSpPr>
            <xdr:pic>
              <xdr:nvPicPr>
                <xdr:cNvPr id="61" name="Picture 60">
                  <a:hlinkClick xmlns:r="http://schemas.openxmlformats.org/officeDocument/2006/relationships" r:id="rId1"/>
                  <a:extLst>
                    <a:ext uri="{FF2B5EF4-FFF2-40B4-BE49-F238E27FC236}">
                      <a16:creationId xmlns:a16="http://schemas.microsoft.com/office/drawing/2014/main" id="{9ECBD78E-4714-21DF-7EFE-36D53ADD96E3}"/>
                    </a:ext>
                  </a:extLst>
                </xdr:cNvPr>
                <xdr:cNvPicPr>
                  <a:picLocks/>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rcRect/>
                <a:stretch/>
              </xdr:blipFill>
              <xdr:spPr>
                <a:xfrm>
                  <a:off x="1310640" y="46180"/>
                  <a:ext cx="499211" cy="554546"/>
                </a:xfrm>
                <a:prstGeom prst="rect">
                  <a:avLst/>
                </a:prstGeom>
              </xdr:spPr>
            </xdr:pic>
            <xdr:pic>
              <xdr:nvPicPr>
                <xdr:cNvPr id="62" name="Picture 61">
                  <a:hlinkClick xmlns:r="http://schemas.openxmlformats.org/officeDocument/2006/relationships" r:id="rId3"/>
                  <a:extLst>
                    <a:ext uri="{FF2B5EF4-FFF2-40B4-BE49-F238E27FC236}">
                      <a16:creationId xmlns:a16="http://schemas.microsoft.com/office/drawing/2014/main" id="{7A45A8E6-ADA1-FDE7-8FF1-8F0CEFF90990}"/>
                    </a:ext>
                  </a:extLst>
                </xdr:cNvPr>
                <xdr:cNvPicPr>
                  <a:picLocks noChangeAspect="1" noChangeArrowheads="1"/>
                </xdr:cNvPicPr>
              </xdr:nvPicPr>
              <xdr:blipFill>
                <a:blip xmlns:r="http://schemas.openxmlformats.org/officeDocument/2006/relationships" r:embed="rId4" cstate="print">
                  <a:alphaModFix/>
                  <a:extLst>
                    <a:ext uri="{28A0092B-C50C-407E-A947-70E740481C1C}">
                      <a14:useLocalDpi xmlns:a14="http://schemas.microsoft.com/office/drawing/2010/main" val="0"/>
                    </a:ext>
                  </a:extLst>
                </a:blip>
                <a:srcRect/>
                <a:stretch>
                  <a:fillRect/>
                </a:stretch>
              </xdr:blipFill>
              <xdr:spPr bwMode="auto">
                <a:xfrm>
                  <a:off x="2163693" y="30823"/>
                  <a:ext cx="214188" cy="2260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3" name="TextBox 62">
                  <a:hlinkClick xmlns:r="http://schemas.openxmlformats.org/officeDocument/2006/relationships" r:id="rId3"/>
                  <a:extLst>
                    <a:ext uri="{FF2B5EF4-FFF2-40B4-BE49-F238E27FC236}">
                      <a16:creationId xmlns:a16="http://schemas.microsoft.com/office/drawing/2014/main" id="{EDC45969-B0C0-4ABC-C0B8-AC112CA4D3F3}"/>
                    </a:ext>
                  </a:extLst>
                </xdr:cNvPr>
                <xdr:cNvSpPr txBox="1"/>
              </xdr:nvSpPr>
              <xdr:spPr>
                <a:xfrm>
                  <a:off x="2369194" y="17046"/>
                  <a:ext cx="846446" cy="25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US" sz="900" b="1">
                      <a:solidFill>
                        <a:schemeClr val="bg1"/>
                      </a:solidFill>
                    </a:rPr>
                    <a:t>DASHBOARD</a:t>
                  </a:r>
                </a:p>
              </xdr:txBody>
            </xdr:sp>
            <xdr:pic>
              <xdr:nvPicPr>
                <xdr:cNvPr id="64" name="Picture 63">
                  <a:hlinkClick xmlns:r="http://schemas.openxmlformats.org/officeDocument/2006/relationships" r:id="rId5"/>
                  <a:extLst>
                    <a:ext uri="{FF2B5EF4-FFF2-40B4-BE49-F238E27FC236}">
                      <a16:creationId xmlns:a16="http://schemas.microsoft.com/office/drawing/2014/main" id="{153501F5-589D-D576-992F-1320EE340B8F}"/>
                    </a:ext>
                  </a:extLst>
                </xdr:cNvPr>
                <xdr:cNvPicPr>
                  <a:picLocks noChangeAspect="1" noChangeArrowheads="1"/>
                </xdr:cNvPicPr>
              </xdr:nvPicPr>
              <xdr:blipFill>
                <a:blip xmlns:r="http://schemas.openxmlformats.org/officeDocument/2006/relationships" r:embed="rId6" cstate="print">
                  <a:alphaModFix/>
                  <a:extLst>
                    <a:ext uri="{28A0092B-C50C-407E-A947-70E740481C1C}">
                      <a14:useLocalDpi xmlns:a14="http://schemas.microsoft.com/office/drawing/2010/main" val="0"/>
                    </a:ext>
                  </a:extLst>
                </a:blip>
                <a:srcRect/>
                <a:stretch>
                  <a:fillRect/>
                </a:stretch>
              </xdr:blipFill>
              <xdr:spPr bwMode="auto">
                <a:xfrm>
                  <a:off x="8461655" y="433462"/>
                  <a:ext cx="214188" cy="20819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5" name="TextBox 64">
                  <a:hlinkClick xmlns:r="http://schemas.openxmlformats.org/officeDocument/2006/relationships" r:id="rId5"/>
                  <a:extLst>
                    <a:ext uri="{FF2B5EF4-FFF2-40B4-BE49-F238E27FC236}">
                      <a16:creationId xmlns:a16="http://schemas.microsoft.com/office/drawing/2014/main" id="{DF125779-FFF6-8541-0720-3A7AA17CB60B}"/>
                    </a:ext>
                  </a:extLst>
                </xdr:cNvPr>
                <xdr:cNvSpPr txBox="1"/>
              </xdr:nvSpPr>
              <xdr:spPr>
                <a:xfrm>
                  <a:off x="8647283" y="413913"/>
                  <a:ext cx="56836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REPORTS</a:t>
                  </a:r>
                </a:p>
              </xdr:txBody>
            </xdr:sp>
            <xdr:pic>
              <xdr:nvPicPr>
                <xdr:cNvPr id="66" name="Picture 65">
                  <a:hlinkClick xmlns:r="http://schemas.openxmlformats.org/officeDocument/2006/relationships" r:id="rId7"/>
                  <a:extLst>
                    <a:ext uri="{FF2B5EF4-FFF2-40B4-BE49-F238E27FC236}">
                      <a16:creationId xmlns:a16="http://schemas.microsoft.com/office/drawing/2014/main" id="{D893C131-C0FC-64C2-FC67-24AD6AE81B2D}"/>
                    </a:ext>
                  </a:extLst>
                </xdr:cNvPr>
                <xdr:cNvPicPr>
                  <a:picLocks noChangeAspect="1"/>
                </xdr:cNvPicPr>
              </xdr:nvPicPr>
              <xdr:blipFill>
                <a:blip xmlns:r="http://schemas.openxmlformats.org/officeDocument/2006/relationships" r:embed="rId8" cstate="print">
                  <a:alphaModFix/>
                  <a:extLst>
                    <a:ext uri="{28A0092B-C50C-407E-A947-70E740481C1C}">
                      <a14:useLocalDpi xmlns:a14="http://schemas.microsoft.com/office/drawing/2010/main" val="0"/>
                    </a:ext>
                  </a:extLst>
                </a:blip>
                <a:stretch>
                  <a:fillRect/>
                </a:stretch>
              </xdr:blipFill>
              <xdr:spPr>
                <a:xfrm>
                  <a:off x="6903860" y="19549"/>
                  <a:ext cx="214187" cy="248554"/>
                </a:xfrm>
                <a:prstGeom prst="rect">
                  <a:avLst/>
                </a:prstGeom>
              </xdr:spPr>
            </xdr:pic>
            <xdr:sp macro="" textlink="">
              <xdr:nvSpPr>
                <xdr:cNvPr id="67" name="TextBox 66">
                  <a:hlinkClick xmlns:r="http://schemas.openxmlformats.org/officeDocument/2006/relationships" r:id="rId7"/>
                  <a:extLst>
                    <a:ext uri="{FF2B5EF4-FFF2-40B4-BE49-F238E27FC236}">
                      <a16:creationId xmlns:a16="http://schemas.microsoft.com/office/drawing/2014/main" id="{5F4EAB94-6893-BEB9-BB02-17E8762B32A5}"/>
                    </a:ext>
                  </a:extLst>
                </xdr:cNvPr>
                <xdr:cNvSpPr txBox="1"/>
              </xdr:nvSpPr>
              <xdr:spPr>
                <a:xfrm>
                  <a:off x="7099062" y="0"/>
                  <a:ext cx="67589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MORTGAGE</a:t>
                  </a:r>
                </a:p>
              </xdr:txBody>
            </xdr:sp>
            <xdr:sp macro="" textlink="">
              <xdr:nvSpPr>
                <xdr:cNvPr id="68" name="TextBox 67">
                  <a:hlinkClick xmlns:r="http://schemas.openxmlformats.org/officeDocument/2006/relationships" r:id="rId9"/>
                  <a:extLst>
                    <a:ext uri="{FF2B5EF4-FFF2-40B4-BE49-F238E27FC236}">
                      <a16:creationId xmlns:a16="http://schemas.microsoft.com/office/drawing/2014/main" id="{9F42EFC2-AB01-248F-38B6-B3744F2818D1}"/>
                    </a:ext>
                  </a:extLst>
                </xdr:cNvPr>
                <xdr:cNvSpPr txBox="1"/>
              </xdr:nvSpPr>
              <xdr:spPr>
                <a:xfrm>
                  <a:off x="6375474" y="0"/>
                  <a:ext cx="381400"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DEBT</a:t>
                  </a:r>
                </a:p>
              </xdr:txBody>
            </xdr:sp>
            <xdr:pic>
              <xdr:nvPicPr>
                <xdr:cNvPr id="69" name="Picture 68">
                  <a:hlinkClick xmlns:r="http://schemas.openxmlformats.org/officeDocument/2006/relationships" r:id="rId9"/>
                  <a:extLst>
                    <a:ext uri="{FF2B5EF4-FFF2-40B4-BE49-F238E27FC236}">
                      <a16:creationId xmlns:a16="http://schemas.microsoft.com/office/drawing/2014/main" id="{9C37699C-C51F-EE00-10D8-2F77C9E00AD1}"/>
                    </a:ext>
                  </a:extLst>
                </xdr:cNvPr>
                <xdr:cNvPicPr>
                  <a:picLocks noChangeAspect="1"/>
                </xdr:cNvPicPr>
              </xdr:nvPicPr>
              <xdr:blipFill>
                <a:blip xmlns:r="http://schemas.openxmlformats.org/officeDocument/2006/relationships" r:embed="rId10" cstate="print">
                  <a:alphaModFix/>
                  <a:extLst>
                    <a:ext uri="{28A0092B-C50C-407E-A947-70E740481C1C}">
                      <a14:useLocalDpi xmlns:a14="http://schemas.microsoft.com/office/drawing/2010/main" val="0"/>
                    </a:ext>
                  </a:extLst>
                </a:blip>
                <a:stretch>
                  <a:fillRect/>
                </a:stretch>
              </xdr:blipFill>
              <xdr:spPr>
                <a:xfrm>
                  <a:off x="6158378" y="19549"/>
                  <a:ext cx="214188" cy="248554"/>
                </a:xfrm>
                <a:prstGeom prst="rect">
                  <a:avLst/>
                </a:prstGeom>
              </xdr:spPr>
            </xdr:pic>
            <xdr:sp macro="" textlink="">
              <xdr:nvSpPr>
                <xdr:cNvPr id="70" name="TextBox 69">
                  <a:hlinkClick xmlns:r="http://schemas.openxmlformats.org/officeDocument/2006/relationships" r:id="rId11"/>
                  <a:extLst>
                    <a:ext uri="{FF2B5EF4-FFF2-40B4-BE49-F238E27FC236}">
                      <a16:creationId xmlns:a16="http://schemas.microsoft.com/office/drawing/2014/main" id="{D5DCF9AB-F8C5-6E1A-E8D1-C73A90793526}"/>
                    </a:ext>
                  </a:extLst>
                </xdr:cNvPr>
                <xdr:cNvSpPr txBox="1"/>
              </xdr:nvSpPr>
              <xdr:spPr>
                <a:xfrm>
                  <a:off x="5370816" y="37659"/>
                  <a:ext cx="64057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FORECASTS</a:t>
                  </a:r>
                </a:p>
              </xdr:txBody>
            </xdr:sp>
            <xdr:sp macro="" textlink="">
              <xdr:nvSpPr>
                <xdr:cNvPr id="71" name="TextBox 70">
                  <a:hlinkClick xmlns:r="http://schemas.openxmlformats.org/officeDocument/2006/relationships" r:id="rId12"/>
                  <a:extLst>
                    <a:ext uri="{FF2B5EF4-FFF2-40B4-BE49-F238E27FC236}">
                      <a16:creationId xmlns:a16="http://schemas.microsoft.com/office/drawing/2014/main" id="{09D99D02-9BDE-1D4A-CF4B-BDF11905413C}"/>
                    </a:ext>
                  </a:extLst>
                </xdr:cNvPr>
                <xdr:cNvSpPr txBox="1"/>
              </xdr:nvSpPr>
              <xdr:spPr>
                <a:xfrm>
                  <a:off x="8104032" y="0"/>
                  <a:ext cx="7732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a:t>
                  </a:r>
                  <a:r>
                    <a:rPr lang="en-US" sz="900" b="1" baseline="0">
                      <a:solidFill>
                        <a:schemeClr val="bg1"/>
                      </a:solidFill>
                    </a:rPr>
                    <a:t> (M)</a:t>
                  </a:r>
                  <a:endParaRPr lang="en-US" sz="900" b="1">
                    <a:solidFill>
                      <a:schemeClr val="bg1"/>
                    </a:solidFill>
                  </a:endParaRPr>
                </a:p>
              </xdr:txBody>
            </xdr:sp>
            <xdr:pic>
              <xdr:nvPicPr>
                <xdr:cNvPr id="72" name="Picture 71">
                  <a:hlinkClick xmlns:r="http://schemas.openxmlformats.org/officeDocument/2006/relationships" r:id="rId12"/>
                  <a:extLst>
                    <a:ext uri="{FF2B5EF4-FFF2-40B4-BE49-F238E27FC236}">
                      <a16:creationId xmlns:a16="http://schemas.microsoft.com/office/drawing/2014/main" id="{60B6D30A-1C81-37E1-60F6-0C874AB35312}"/>
                    </a:ext>
                  </a:extLst>
                </xdr:cNvPr>
                <xdr:cNvPicPr>
                  <a:picLocks noChangeAspect="1"/>
                </xdr:cNvPicPr>
              </xdr:nvPicPr>
              <xdr:blipFill>
                <a:blip xmlns:r="http://schemas.openxmlformats.org/officeDocument/2006/relationships" r:embed="rId13" cstate="print">
                  <a:alphaModFix/>
                  <a:extLst>
                    <a:ext uri="{28A0092B-C50C-407E-A947-70E740481C1C}">
                      <a14:useLocalDpi xmlns:a14="http://schemas.microsoft.com/office/drawing/2010/main" val="0"/>
                    </a:ext>
                  </a:extLst>
                </a:blip>
                <a:stretch>
                  <a:fillRect/>
                </a:stretch>
              </xdr:blipFill>
              <xdr:spPr>
                <a:xfrm>
                  <a:off x="7921943" y="19549"/>
                  <a:ext cx="214188" cy="248554"/>
                </a:xfrm>
                <a:prstGeom prst="rect">
                  <a:avLst/>
                </a:prstGeom>
              </xdr:spPr>
            </xdr:pic>
            <xdr:sp macro="" textlink="">
              <xdr:nvSpPr>
                <xdr:cNvPr id="73" name="TextBox 72">
                  <a:hlinkClick xmlns:r="http://schemas.openxmlformats.org/officeDocument/2006/relationships" r:id="rId14"/>
                  <a:extLst>
                    <a:ext uri="{FF2B5EF4-FFF2-40B4-BE49-F238E27FC236}">
                      <a16:creationId xmlns:a16="http://schemas.microsoft.com/office/drawing/2014/main" id="{9F25244D-7CF1-CF0F-2765-95CE04E76291}"/>
                    </a:ext>
                  </a:extLst>
                </xdr:cNvPr>
                <xdr:cNvSpPr txBox="1"/>
              </xdr:nvSpPr>
              <xdr:spPr>
                <a:xfrm>
                  <a:off x="9978309" y="0"/>
                  <a:ext cx="687187"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 (Y)</a:t>
                  </a:r>
                </a:p>
              </xdr:txBody>
            </xdr:sp>
            <xdr:pic>
              <xdr:nvPicPr>
                <xdr:cNvPr id="74" name="Picture 73">
                  <a:hlinkClick xmlns:r="http://schemas.openxmlformats.org/officeDocument/2006/relationships" r:id="rId14"/>
                  <a:extLst>
                    <a:ext uri="{FF2B5EF4-FFF2-40B4-BE49-F238E27FC236}">
                      <a16:creationId xmlns:a16="http://schemas.microsoft.com/office/drawing/2014/main" id="{C54BABD4-E5DC-0450-FF0D-8029DE0FA176}"/>
                    </a:ext>
                  </a:extLst>
                </xdr:cNvPr>
                <xdr:cNvPicPr>
                  <a:picLocks noChangeAspect="1"/>
                </xdr:cNvPicPr>
              </xdr:nvPicPr>
              <xdr:blipFill>
                <a:blip xmlns:r="http://schemas.openxmlformats.org/officeDocument/2006/relationships" r:embed="rId15" cstate="print">
                  <a:alphaModFix/>
                  <a:extLst>
                    <a:ext uri="{28A0092B-C50C-407E-A947-70E740481C1C}">
                      <a14:useLocalDpi xmlns:a14="http://schemas.microsoft.com/office/drawing/2010/main" val="0"/>
                    </a:ext>
                  </a:extLst>
                </a:blip>
                <a:stretch>
                  <a:fillRect/>
                </a:stretch>
              </xdr:blipFill>
              <xdr:spPr>
                <a:xfrm>
                  <a:off x="9777770" y="19549"/>
                  <a:ext cx="214188" cy="248554"/>
                </a:xfrm>
                <a:prstGeom prst="rect">
                  <a:avLst/>
                </a:prstGeom>
              </xdr:spPr>
            </xdr:pic>
            <xdr:sp macro="" textlink="">
              <xdr:nvSpPr>
                <xdr:cNvPr id="75" name="TextBox 74">
                  <a:hlinkClick xmlns:r="http://schemas.openxmlformats.org/officeDocument/2006/relationships" r:id="rId16"/>
                  <a:extLst>
                    <a:ext uri="{FF2B5EF4-FFF2-40B4-BE49-F238E27FC236}">
                      <a16:creationId xmlns:a16="http://schemas.microsoft.com/office/drawing/2014/main" id="{8A5B1404-3968-444D-1785-08B81D19586B}"/>
                    </a:ext>
                  </a:extLst>
                </xdr:cNvPr>
                <xdr:cNvSpPr txBox="1"/>
              </xdr:nvSpPr>
              <xdr:spPr>
                <a:xfrm>
                  <a:off x="9133984" y="0"/>
                  <a:ext cx="49680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VERSUS</a:t>
                  </a:r>
                </a:p>
              </xdr:txBody>
            </xdr:sp>
            <xdr:pic>
              <xdr:nvPicPr>
                <xdr:cNvPr id="76" name="Picture 75">
                  <a:hlinkClick xmlns:r="http://schemas.openxmlformats.org/officeDocument/2006/relationships" r:id="rId16"/>
                  <a:extLst>
                    <a:ext uri="{FF2B5EF4-FFF2-40B4-BE49-F238E27FC236}">
                      <a16:creationId xmlns:a16="http://schemas.microsoft.com/office/drawing/2014/main" id="{21B10F4B-6F6D-E576-1E74-BA98D1322F77}"/>
                    </a:ext>
                  </a:extLst>
                </xdr:cNvPr>
                <xdr:cNvPicPr>
                  <a:picLocks noChangeAspect="1"/>
                </xdr:cNvPicPr>
              </xdr:nvPicPr>
              <xdr:blipFill>
                <a:blip xmlns:r="http://schemas.openxmlformats.org/officeDocument/2006/relationships" r:embed="rId17" cstate="print">
                  <a:alphaModFix/>
                  <a:extLst>
                    <a:ext uri="{28A0092B-C50C-407E-A947-70E740481C1C}">
                      <a14:useLocalDpi xmlns:a14="http://schemas.microsoft.com/office/drawing/2010/main" val="0"/>
                    </a:ext>
                  </a:extLst>
                </a:blip>
                <a:stretch>
                  <a:fillRect/>
                </a:stretch>
              </xdr:blipFill>
              <xdr:spPr>
                <a:xfrm>
                  <a:off x="8938203" y="19549"/>
                  <a:ext cx="214187" cy="248554"/>
                </a:xfrm>
                <a:prstGeom prst="rect">
                  <a:avLst/>
                </a:prstGeom>
              </xdr:spPr>
            </xdr:pic>
            <xdr:sp macro="" textlink="">
              <xdr:nvSpPr>
                <xdr:cNvPr id="77" name="TextBox 76">
                  <a:hlinkClick xmlns:r="http://schemas.openxmlformats.org/officeDocument/2006/relationships" r:id="rId18"/>
                  <a:extLst>
                    <a:ext uri="{FF2B5EF4-FFF2-40B4-BE49-F238E27FC236}">
                      <a16:creationId xmlns:a16="http://schemas.microsoft.com/office/drawing/2014/main" id="{02332477-2DB1-7DCC-C9A0-DC1E7C3AF205}"/>
                    </a:ext>
                  </a:extLst>
                </xdr:cNvPr>
                <xdr:cNvSpPr txBox="1"/>
              </xdr:nvSpPr>
              <xdr:spPr>
                <a:xfrm>
                  <a:off x="3510385" y="0"/>
                  <a:ext cx="52312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REPAIRS</a:t>
                  </a:r>
                </a:p>
              </xdr:txBody>
            </xdr:sp>
            <xdr:pic>
              <xdr:nvPicPr>
                <xdr:cNvPr id="78" name="Picture 77">
                  <a:hlinkClick xmlns:r="http://schemas.openxmlformats.org/officeDocument/2006/relationships" r:id="rId18"/>
                  <a:extLst>
                    <a:ext uri="{FF2B5EF4-FFF2-40B4-BE49-F238E27FC236}">
                      <a16:creationId xmlns:a16="http://schemas.microsoft.com/office/drawing/2014/main" id="{85A5EEA2-5D57-359C-0410-8C1317A89318}"/>
                    </a:ext>
                  </a:extLst>
                </xdr:cNvPr>
                <xdr:cNvPicPr>
                  <a:picLocks noChangeAspect="1"/>
                </xdr:cNvPicPr>
              </xdr:nvPicPr>
              <xdr:blipFill>
                <a:blip xmlns:r="http://schemas.openxmlformats.org/officeDocument/2006/relationships" r:embed="rId19" cstate="print">
                  <a:alphaModFix/>
                  <a:extLst>
                    <a:ext uri="{28A0092B-C50C-407E-A947-70E740481C1C}">
                      <a14:useLocalDpi xmlns:a14="http://schemas.microsoft.com/office/drawing/2010/main" val="0"/>
                    </a:ext>
                  </a:extLst>
                </a:blip>
                <a:stretch>
                  <a:fillRect/>
                </a:stretch>
              </xdr:blipFill>
              <xdr:spPr>
                <a:xfrm>
                  <a:off x="3296296" y="28376"/>
                  <a:ext cx="214435" cy="230900"/>
                </a:xfrm>
                <a:prstGeom prst="rect">
                  <a:avLst/>
                </a:prstGeom>
              </xdr:spPr>
            </xdr:pic>
            <xdr:sp macro="" textlink="">
              <xdr:nvSpPr>
                <xdr:cNvPr id="79" name="TextBox 78">
                  <a:hlinkClick xmlns:r="http://schemas.openxmlformats.org/officeDocument/2006/relationships" r:id="rId20"/>
                  <a:extLst>
                    <a:ext uri="{FF2B5EF4-FFF2-40B4-BE49-F238E27FC236}">
                      <a16:creationId xmlns:a16="http://schemas.microsoft.com/office/drawing/2014/main" id="{C85D3B30-4956-69E8-C9D9-3045C18C4C97}"/>
                    </a:ext>
                  </a:extLst>
                </xdr:cNvPr>
                <xdr:cNvSpPr txBox="1"/>
              </xdr:nvSpPr>
              <xdr:spPr>
                <a:xfrm>
                  <a:off x="4388587" y="0"/>
                  <a:ext cx="63170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FURNITURE</a:t>
                  </a:r>
                </a:p>
              </xdr:txBody>
            </xdr:sp>
            <xdr:pic>
              <xdr:nvPicPr>
                <xdr:cNvPr id="80" name="Picture 79">
                  <a:hlinkClick xmlns:r="http://schemas.openxmlformats.org/officeDocument/2006/relationships" r:id="rId20"/>
                  <a:extLst>
                    <a:ext uri="{FF2B5EF4-FFF2-40B4-BE49-F238E27FC236}">
                      <a16:creationId xmlns:a16="http://schemas.microsoft.com/office/drawing/2014/main" id="{23D9DB2F-6044-47FA-154E-88FE9720C3E9}"/>
                    </a:ext>
                  </a:extLst>
                </xdr:cNvPr>
                <xdr:cNvPicPr>
                  <a:picLocks noChangeAspect="1"/>
                </xdr:cNvPicPr>
              </xdr:nvPicPr>
              <xdr:blipFill>
                <a:blip xmlns:r="http://schemas.openxmlformats.org/officeDocument/2006/relationships" r:embed="rId21" cstate="print">
                  <a:alphaModFix/>
                  <a:extLst>
                    <a:ext uri="{28A0092B-C50C-407E-A947-70E740481C1C}">
                      <a14:useLocalDpi xmlns:a14="http://schemas.microsoft.com/office/drawing/2010/main" val="0"/>
                    </a:ext>
                  </a:extLst>
                </a:blip>
                <a:stretch>
                  <a:fillRect/>
                </a:stretch>
              </xdr:blipFill>
              <xdr:spPr>
                <a:xfrm>
                  <a:off x="4180491" y="28376"/>
                  <a:ext cx="214435" cy="230900"/>
                </a:xfrm>
                <a:prstGeom prst="rect">
                  <a:avLst/>
                </a:prstGeom>
              </xdr:spPr>
            </xdr:pic>
            <xdr:pic>
              <xdr:nvPicPr>
                <xdr:cNvPr id="81" name="Picture 80">
                  <a:hlinkClick xmlns:r="http://schemas.openxmlformats.org/officeDocument/2006/relationships" r:id="rId22"/>
                  <a:extLst>
                    <a:ext uri="{FF2B5EF4-FFF2-40B4-BE49-F238E27FC236}">
                      <a16:creationId xmlns:a16="http://schemas.microsoft.com/office/drawing/2014/main" id="{B8A95563-EF78-A79D-7001-8F2EAAA333AD}"/>
                    </a:ext>
                  </a:extLst>
                </xdr:cNvPr>
                <xdr:cNvPicPr>
                  <a:picLocks noChangeAspect="1"/>
                </xdr:cNvPicPr>
              </xdr:nvPicPr>
              <xdr:blipFill>
                <a:blip xmlns:r="http://schemas.openxmlformats.org/officeDocument/2006/relationships" r:embed="rId23" cstate="print">
                  <a:alphaModFix/>
                  <a:extLst>
                    <a:ext uri="{28A0092B-C50C-407E-A947-70E740481C1C}">
                      <a14:useLocalDpi xmlns:a14="http://schemas.microsoft.com/office/drawing/2010/main" val="0"/>
                    </a:ext>
                  </a:extLst>
                </a:blip>
                <a:stretch>
                  <a:fillRect/>
                </a:stretch>
              </xdr:blipFill>
              <xdr:spPr>
                <a:xfrm>
                  <a:off x="10812480" y="19549"/>
                  <a:ext cx="214188" cy="248554"/>
                </a:xfrm>
                <a:prstGeom prst="rect">
                  <a:avLst/>
                </a:prstGeom>
              </xdr:spPr>
            </xdr:pic>
            <xdr:sp macro="" textlink="">
              <xdr:nvSpPr>
                <xdr:cNvPr id="82" name="TextBox 81">
                  <a:hlinkClick xmlns:r="http://schemas.openxmlformats.org/officeDocument/2006/relationships" r:id="rId22"/>
                  <a:extLst>
                    <a:ext uri="{FF2B5EF4-FFF2-40B4-BE49-F238E27FC236}">
                      <a16:creationId xmlns:a16="http://schemas.microsoft.com/office/drawing/2014/main" id="{1225C1E1-AC25-70F9-CBBD-F0B4E048BD49}"/>
                    </a:ext>
                  </a:extLst>
                </xdr:cNvPr>
                <xdr:cNvSpPr txBox="1"/>
              </xdr:nvSpPr>
              <xdr:spPr>
                <a:xfrm>
                  <a:off x="11008843" y="0"/>
                  <a:ext cx="40705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PEERS</a:t>
                  </a:r>
                </a:p>
              </xdr:txBody>
            </xdr:sp>
            <xdr:sp macro="" textlink="">
              <xdr:nvSpPr>
                <xdr:cNvPr id="83" name="TextBox 82">
                  <a:hlinkClick xmlns:r="http://schemas.openxmlformats.org/officeDocument/2006/relationships" r:id="rId24"/>
                  <a:extLst>
                    <a:ext uri="{FF2B5EF4-FFF2-40B4-BE49-F238E27FC236}">
                      <a16:creationId xmlns:a16="http://schemas.microsoft.com/office/drawing/2014/main" id="{D56302A3-CD08-CBCA-947C-094A51EDDCB8}"/>
                    </a:ext>
                  </a:extLst>
                </xdr:cNvPr>
                <xdr:cNvSpPr txBox="1"/>
              </xdr:nvSpPr>
              <xdr:spPr>
                <a:xfrm>
                  <a:off x="9581756" y="397481"/>
                  <a:ext cx="656781"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MAX PRICE</a:t>
                  </a:r>
                </a:p>
              </xdr:txBody>
            </xdr:sp>
            <xdr:pic>
              <xdr:nvPicPr>
                <xdr:cNvPr id="84" name="Picture 83">
                  <a:hlinkClick xmlns:r="http://schemas.openxmlformats.org/officeDocument/2006/relationships" r:id="rId24"/>
                  <a:extLst>
                    <a:ext uri="{FF2B5EF4-FFF2-40B4-BE49-F238E27FC236}">
                      <a16:creationId xmlns:a16="http://schemas.microsoft.com/office/drawing/2014/main" id="{4D6532E6-E197-1CFA-4691-CF4D2B614DF8}"/>
                    </a:ext>
                  </a:extLst>
                </xdr:cNvPr>
                <xdr:cNvPicPr>
                  <a:picLocks noChangeAspect="1"/>
                </xdr:cNvPicPr>
              </xdr:nvPicPr>
              <xdr:blipFill>
                <a:blip xmlns:r="http://schemas.openxmlformats.org/officeDocument/2006/relationships" r:embed="rId25" cstate="print">
                  <a:alphaModFix/>
                  <a:extLst>
                    <a:ext uri="{28A0092B-C50C-407E-A947-70E740481C1C}">
                      <a14:useLocalDpi xmlns:a14="http://schemas.microsoft.com/office/drawing/2010/main" val="0"/>
                    </a:ext>
                  </a:extLst>
                </a:blip>
                <a:stretch>
                  <a:fillRect/>
                </a:stretch>
              </xdr:blipFill>
              <xdr:spPr>
                <a:xfrm>
                  <a:off x="9433997" y="425857"/>
                  <a:ext cx="214435" cy="230900"/>
                </a:xfrm>
                <a:prstGeom prst="rect">
                  <a:avLst/>
                </a:prstGeom>
              </xdr:spPr>
            </xdr:pic>
            <xdr:sp macro="" textlink="">
              <xdr:nvSpPr>
                <xdr:cNvPr id="85" name="TextBox 84">
                  <a:hlinkClick xmlns:r="http://schemas.openxmlformats.org/officeDocument/2006/relationships" r:id="rId26"/>
                  <a:extLst>
                    <a:ext uri="{FF2B5EF4-FFF2-40B4-BE49-F238E27FC236}">
                      <a16:creationId xmlns:a16="http://schemas.microsoft.com/office/drawing/2014/main" id="{6BBD63DF-550E-F44F-7A3D-3E6C52B60AD6}"/>
                    </a:ext>
                  </a:extLst>
                </xdr:cNvPr>
                <xdr:cNvSpPr txBox="1"/>
              </xdr:nvSpPr>
              <xdr:spPr>
                <a:xfrm>
                  <a:off x="7733272" y="389861"/>
                  <a:ext cx="6384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SCENARIOS</a:t>
                  </a:r>
                </a:p>
              </xdr:txBody>
            </xdr:sp>
            <xdr:pic>
              <xdr:nvPicPr>
                <xdr:cNvPr id="86" name="Picture 85">
                  <a:hlinkClick xmlns:r="http://schemas.openxmlformats.org/officeDocument/2006/relationships" r:id="rId26"/>
                  <a:extLst>
                    <a:ext uri="{FF2B5EF4-FFF2-40B4-BE49-F238E27FC236}">
                      <a16:creationId xmlns:a16="http://schemas.microsoft.com/office/drawing/2014/main" id="{CAB9423F-9669-1506-42A8-0D6C876F9197}"/>
                    </a:ext>
                  </a:extLst>
                </xdr:cNvPr>
                <xdr:cNvPicPr>
                  <a:picLocks noChangeAspect="1"/>
                </xdr:cNvPicPr>
              </xdr:nvPicPr>
              <xdr:blipFill>
                <a:blip xmlns:r="http://schemas.openxmlformats.org/officeDocument/2006/relationships" r:embed="rId27" cstate="print">
                  <a:alphaModFix/>
                  <a:extLst>
                    <a:ext uri="{28A0092B-C50C-407E-A947-70E740481C1C}">
                      <a14:useLocalDpi xmlns:a14="http://schemas.microsoft.com/office/drawing/2010/main" val="0"/>
                    </a:ext>
                  </a:extLst>
                </a:blip>
                <a:stretch>
                  <a:fillRect/>
                </a:stretch>
              </xdr:blipFill>
              <xdr:spPr>
                <a:xfrm>
                  <a:off x="7536090" y="418237"/>
                  <a:ext cx="214435" cy="230900"/>
                </a:xfrm>
                <a:prstGeom prst="rect">
                  <a:avLst/>
                </a:prstGeom>
              </xdr:spPr>
            </xdr:pic>
            <xdr:sp macro="" textlink="">
              <xdr:nvSpPr>
                <xdr:cNvPr id="87" name="TextBox 86">
                  <a:hlinkClick xmlns:r="http://schemas.openxmlformats.org/officeDocument/2006/relationships" r:id="rId28"/>
                  <a:extLst>
                    <a:ext uri="{FF2B5EF4-FFF2-40B4-BE49-F238E27FC236}">
                      <a16:creationId xmlns:a16="http://schemas.microsoft.com/office/drawing/2014/main" id="{827D2163-836A-18D0-D79C-4606B5CF703A}"/>
                    </a:ext>
                  </a:extLst>
                </xdr:cNvPr>
                <xdr:cNvSpPr txBox="1"/>
              </xdr:nvSpPr>
              <xdr:spPr>
                <a:xfrm>
                  <a:off x="11757467" y="49286"/>
                  <a:ext cx="110218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MARKET RESEARCH</a:t>
                  </a:r>
                </a:p>
              </xdr:txBody>
            </xdr:sp>
            <xdr:pic>
              <xdr:nvPicPr>
                <xdr:cNvPr id="88" name="Picture 87" descr="A white and brown hourglass&#10;&#10;AI-generated content may be incorrect.">
                  <a:hlinkClick xmlns:r="http://schemas.openxmlformats.org/officeDocument/2006/relationships" r:id="rId28"/>
                  <a:extLst>
                    <a:ext uri="{FF2B5EF4-FFF2-40B4-BE49-F238E27FC236}">
                      <a16:creationId xmlns:a16="http://schemas.microsoft.com/office/drawing/2014/main" id="{5F0C477C-5109-A4E6-AA6E-21FD21E90186}"/>
                    </a:ext>
                  </a:extLst>
                </xdr:cNvPr>
                <xdr:cNvPicPr>
                  <a:picLocks noChangeAspect="1"/>
                </xdr:cNvPicPr>
              </xdr:nvPicPr>
              <xdr:blipFill>
                <a:blip xmlns:r="http://schemas.openxmlformats.org/officeDocument/2006/relationships" r:embed="rId29" cstate="print">
                  <a:alphaModFix/>
                  <a:extLst>
                    <a:ext uri="{28A0092B-C50C-407E-A947-70E740481C1C}">
                      <a14:useLocalDpi xmlns:a14="http://schemas.microsoft.com/office/drawing/2010/main" val="0"/>
                    </a:ext>
                  </a:extLst>
                </a:blip>
                <a:stretch>
                  <a:fillRect/>
                </a:stretch>
              </xdr:blipFill>
              <xdr:spPr>
                <a:xfrm>
                  <a:off x="11563464" y="33893"/>
                  <a:ext cx="235575" cy="261687"/>
                </a:xfrm>
                <a:prstGeom prst="rect">
                  <a:avLst/>
                </a:prstGeom>
              </xdr:spPr>
            </xdr:pic>
            <xdr:pic>
              <xdr:nvPicPr>
                <xdr:cNvPr id="89" name="Picture 88">
                  <a:hlinkClick xmlns:r="http://schemas.openxmlformats.org/officeDocument/2006/relationships" r:id="rId30"/>
                  <a:extLst>
                    <a:ext uri="{FF2B5EF4-FFF2-40B4-BE49-F238E27FC236}">
                      <a16:creationId xmlns:a16="http://schemas.microsoft.com/office/drawing/2014/main" id="{33AB704A-A813-D892-61AA-EAF0C5E59140}"/>
                    </a:ext>
                  </a:extLst>
                </xdr:cNvPr>
                <xdr:cNvPicPr>
                  <a:picLocks noChangeAspect="1" noChangeArrowheads="1"/>
                </xdr:cNvPicPr>
              </xdr:nvPicPr>
              <xdr:blipFill>
                <a:blip xmlns:r="http://schemas.openxmlformats.org/officeDocument/2006/relationships" r:embed="rId3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33032" y="384834"/>
                  <a:ext cx="261600" cy="33288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0" name="TextBox 89">
                  <a:hlinkClick xmlns:r="http://schemas.openxmlformats.org/officeDocument/2006/relationships" r:id="rId30"/>
                  <a:extLst>
                    <a:ext uri="{FF2B5EF4-FFF2-40B4-BE49-F238E27FC236}">
                      <a16:creationId xmlns:a16="http://schemas.microsoft.com/office/drawing/2014/main" id="{A6C64C3D-4756-EDC0-E234-9198871DC7A3}"/>
                    </a:ext>
                  </a:extLst>
                </xdr:cNvPr>
                <xdr:cNvSpPr txBox="1"/>
              </xdr:nvSpPr>
              <xdr:spPr>
                <a:xfrm>
                  <a:off x="3637195" y="315564"/>
                  <a:ext cx="914586" cy="433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BALANCE SHEET</a:t>
                  </a:r>
                </a:p>
                <a:p>
                  <a:pPr algn="ctr"/>
                  <a:r>
                    <a:rPr lang="en-US" sz="900" b="1">
                      <a:solidFill>
                        <a:schemeClr val="bg1"/>
                      </a:solidFill>
                    </a:rPr>
                    <a:t>SUMMARY</a:t>
                  </a:r>
                </a:p>
              </xdr:txBody>
            </xdr:sp>
            <xdr:pic>
              <xdr:nvPicPr>
                <xdr:cNvPr id="91" name="Picture 90">
                  <a:hlinkClick xmlns:r="http://schemas.openxmlformats.org/officeDocument/2006/relationships" r:id="rId32"/>
                  <a:extLst>
                    <a:ext uri="{FF2B5EF4-FFF2-40B4-BE49-F238E27FC236}">
                      <a16:creationId xmlns:a16="http://schemas.microsoft.com/office/drawing/2014/main" id="{EE752C4A-7E16-1E28-4F3C-9AAF59AC2E98}"/>
                    </a:ext>
                  </a:extLst>
                </xdr:cNvPr>
                <xdr:cNvPicPr>
                  <a:picLocks noChangeAspect="1" noChangeArrowheads="1"/>
                </xdr:cNvPicPr>
              </xdr:nvPicPr>
              <xdr:blipFill>
                <a:blip xmlns:r="http://schemas.openxmlformats.org/officeDocument/2006/relationships" r:embed="rId33" cstate="print">
                  <a:clrChange>
                    <a:clrFrom>
                      <a:srgbClr val="F8F8F8"/>
                    </a:clrFrom>
                    <a:clrTo>
                      <a:srgbClr val="F8F8F8">
                        <a:alpha val="0"/>
                      </a:srgbClr>
                    </a:clrTo>
                  </a:clrChange>
                  <a:extLst>
                    <a:ext uri="{28A0092B-C50C-407E-A947-70E740481C1C}">
                      <a14:useLocalDpi xmlns:a14="http://schemas.microsoft.com/office/drawing/2010/main" val="0"/>
                    </a:ext>
                  </a:extLst>
                </a:blip>
                <a:srcRect/>
                <a:stretch>
                  <a:fillRect/>
                </a:stretch>
              </xdr:blipFill>
              <xdr:spPr bwMode="auto">
                <a:xfrm>
                  <a:off x="4602713" y="384834"/>
                  <a:ext cx="326621" cy="3113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2" name="TextBox 91">
                  <a:hlinkClick xmlns:r="http://schemas.openxmlformats.org/officeDocument/2006/relationships" r:id="rId32"/>
                  <a:extLst>
                    <a:ext uri="{FF2B5EF4-FFF2-40B4-BE49-F238E27FC236}">
                      <a16:creationId xmlns:a16="http://schemas.microsoft.com/office/drawing/2014/main" id="{1484368B-5761-E423-E178-894AC9312DB8}"/>
                    </a:ext>
                  </a:extLst>
                </xdr:cNvPr>
                <xdr:cNvSpPr txBox="1"/>
              </xdr:nvSpPr>
              <xdr:spPr>
                <a:xfrm>
                  <a:off x="4880678" y="423317"/>
                  <a:ext cx="56334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ASSETS</a:t>
                  </a:r>
                </a:p>
              </xdr:txBody>
            </xdr:sp>
            <xdr:pic>
              <xdr:nvPicPr>
                <xdr:cNvPr id="93" name="Picture 92">
                  <a:hlinkClick xmlns:r="http://schemas.openxmlformats.org/officeDocument/2006/relationships" r:id="rId34"/>
                  <a:extLst>
                    <a:ext uri="{FF2B5EF4-FFF2-40B4-BE49-F238E27FC236}">
                      <a16:creationId xmlns:a16="http://schemas.microsoft.com/office/drawing/2014/main" id="{A8A16628-7F36-CCEF-7A6E-E992873974B2}"/>
                    </a:ext>
                  </a:extLst>
                </xdr:cNvPr>
                <xdr:cNvPicPr>
                  <a:picLocks noChangeAspect="1" noChangeArrowheads="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35903" y="354046"/>
                  <a:ext cx="278234" cy="3540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4" name="TextBox 93">
                  <a:hlinkClick xmlns:r="http://schemas.openxmlformats.org/officeDocument/2006/relationships" r:id="rId34"/>
                  <a:extLst>
                    <a:ext uri="{FF2B5EF4-FFF2-40B4-BE49-F238E27FC236}">
                      <a16:creationId xmlns:a16="http://schemas.microsoft.com/office/drawing/2014/main" id="{CA4EEECB-37A1-42B6-6A29-EF580962B337}"/>
                    </a:ext>
                  </a:extLst>
                </xdr:cNvPr>
                <xdr:cNvSpPr txBox="1"/>
              </xdr:nvSpPr>
              <xdr:spPr>
                <a:xfrm>
                  <a:off x="5717678" y="431014"/>
                  <a:ext cx="750091"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LIABILITIES</a:t>
                  </a:r>
                </a:p>
              </xdr:txBody>
            </xdr:sp>
            <xdr:pic>
              <xdr:nvPicPr>
                <xdr:cNvPr id="95" name="Picture 94">
                  <a:hlinkClick xmlns:r="http://schemas.openxmlformats.org/officeDocument/2006/relationships" r:id="rId36"/>
                  <a:extLst>
                    <a:ext uri="{FF2B5EF4-FFF2-40B4-BE49-F238E27FC236}">
                      <a16:creationId xmlns:a16="http://schemas.microsoft.com/office/drawing/2014/main" id="{17459079-DD3B-3BBE-ED99-54F0E1F07516}"/>
                    </a:ext>
                  </a:extLst>
                </xdr:cNvPr>
                <xdr:cNvPicPr>
                  <a:picLocks noChangeAspect="1"/>
                </xdr:cNvPicPr>
              </xdr:nvPicPr>
              <xdr:blipFill>
                <a:blip xmlns:r="http://schemas.openxmlformats.org/officeDocument/2006/relationships" r:embed="rId37">
                  <a:clrChange>
                    <a:clrFrom>
                      <a:srgbClr val="FFFFFF"/>
                    </a:clrFrom>
                    <a:clrTo>
                      <a:srgbClr val="FFFFFF">
                        <a:alpha val="0"/>
                      </a:srgbClr>
                    </a:clrTo>
                  </a:clrChange>
                </a:blip>
                <a:stretch>
                  <a:fillRect/>
                </a:stretch>
              </xdr:blipFill>
              <xdr:spPr>
                <a:xfrm>
                  <a:off x="6454424" y="361268"/>
                  <a:ext cx="368693" cy="354523"/>
                </a:xfrm>
                <a:prstGeom prst="rect">
                  <a:avLst/>
                </a:prstGeom>
              </xdr:spPr>
            </xdr:pic>
            <xdr:sp macro="" textlink="">
              <xdr:nvSpPr>
                <xdr:cNvPr id="96" name="TextBox 95">
                  <a:hlinkClick xmlns:r="http://schemas.openxmlformats.org/officeDocument/2006/relationships" r:id="rId36"/>
                  <a:extLst>
                    <a:ext uri="{FF2B5EF4-FFF2-40B4-BE49-F238E27FC236}">
                      <a16:creationId xmlns:a16="http://schemas.microsoft.com/office/drawing/2014/main" id="{E6FF36B8-8BC9-5180-1544-34B6584DA42E}"/>
                    </a:ext>
                  </a:extLst>
                </xdr:cNvPr>
                <xdr:cNvSpPr txBox="1"/>
              </xdr:nvSpPr>
              <xdr:spPr>
                <a:xfrm>
                  <a:off x="6742924" y="369440"/>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EDIT</a:t>
                  </a:r>
                </a:p>
                <a:p>
                  <a:r>
                    <a:rPr lang="en-US" sz="900" b="1">
                      <a:solidFill>
                        <a:schemeClr val="bg1"/>
                      </a:solidFill>
                    </a:rPr>
                    <a:t>CATEGORIES</a:t>
                  </a:r>
                </a:p>
              </xdr:txBody>
            </xdr:sp>
            <xdr:grpSp>
              <xdr:nvGrpSpPr>
                <xdr:cNvPr id="97" name="Group 96">
                  <a:hlinkClick xmlns:r="http://schemas.openxmlformats.org/officeDocument/2006/relationships" r:id="rId38"/>
                  <a:extLst>
                    <a:ext uri="{FF2B5EF4-FFF2-40B4-BE49-F238E27FC236}">
                      <a16:creationId xmlns:a16="http://schemas.microsoft.com/office/drawing/2014/main" id="{5ECB5FF8-EBA6-3A03-D421-BE629A24556D}"/>
                    </a:ext>
                  </a:extLst>
                </xdr:cNvPr>
                <xdr:cNvGrpSpPr/>
              </xdr:nvGrpSpPr>
              <xdr:grpSpPr>
                <a:xfrm>
                  <a:off x="10231249" y="237461"/>
                  <a:ext cx="1281586" cy="502920"/>
                  <a:chOff x="11732389" y="237461"/>
                  <a:chExt cx="1281586" cy="502920"/>
                </a:xfrm>
              </xdr:grpSpPr>
              <xdr:pic>
                <xdr:nvPicPr>
                  <xdr:cNvPr id="98" name="Picture 97">
                    <a:hlinkClick xmlns:r="http://schemas.openxmlformats.org/officeDocument/2006/relationships" r:id="rId39"/>
                    <a:extLst>
                      <a:ext uri="{FF2B5EF4-FFF2-40B4-BE49-F238E27FC236}">
                        <a16:creationId xmlns:a16="http://schemas.microsoft.com/office/drawing/2014/main" id="{B7C489A5-FB02-6E13-D897-B42ACF2FF4D7}"/>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1732389" y="237461"/>
                    <a:ext cx="502920" cy="502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9" name="TextBox 98">
                    <a:hlinkClick xmlns:r="http://schemas.openxmlformats.org/officeDocument/2006/relationships" r:id="rId39"/>
                    <a:extLst>
                      <a:ext uri="{FF2B5EF4-FFF2-40B4-BE49-F238E27FC236}">
                        <a16:creationId xmlns:a16="http://schemas.microsoft.com/office/drawing/2014/main" id="{87E5F867-E733-4DA1-F99A-1F0D4B093E7B}"/>
                      </a:ext>
                    </a:extLst>
                  </xdr:cNvPr>
                  <xdr:cNvSpPr txBox="1"/>
                </xdr:nvSpPr>
                <xdr:spPr>
                  <a:xfrm>
                    <a:off x="12197209" y="344142"/>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 GAME APPS</a:t>
                    </a:r>
                  </a:p>
                </xdr:txBody>
              </xdr:sp>
            </xdr:grpSp>
          </xdr:grpSp>
          <xdr:grpSp>
            <xdr:nvGrpSpPr>
              <xdr:cNvPr id="58" name="Group 57">
                <a:extLst>
                  <a:ext uri="{FF2B5EF4-FFF2-40B4-BE49-F238E27FC236}">
                    <a16:creationId xmlns:a16="http://schemas.microsoft.com/office/drawing/2014/main" id="{B5C73990-8C0F-5BDD-007C-7475F43422D2}"/>
                  </a:ext>
                </a:extLst>
              </xdr:cNvPr>
              <xdr:cNvGrpSpPr/>
            </xdr:nvGrpSpPr>
            <xdr:grpSpPr>
              <a:xfrm>
                <a:off x="3030070" y="313765"/>
                <a:ext cx="1219410" cy="438976"/>
                <a:chOff x="3030070" y="313765"/>
                <a:chExt cx="1219410" cy="438976"/>
              </a:xfrm>
            </xdr:grpSpPr>
            <xdr:sp macro="" textlink="">
              <xdr:nvSpPr>
                <xdr:cNvPr id="59" name="TextBox 58">
                  <a:hlinkClick xmlns:r="http://schemas.openxmlformats.org/officeDocument/2006/relationships" r:id="rId41"/>
                  <a:extLst>
                    <a:ext uri="{FF2B5EF4-FFF2-40B4-BE49-F238E27FC236}">
                      <a16:creationId xmlns:a16="http://schemas.microsoft.com/office/drawing/2014/main" id="{82AABC3C-0D20-2064-FF1D-40E5C0A3F99E}"/>
                    </a:ext>
                  </a:extLst>
                </xdr:cNvPr>
                <xdr:cNvSpPr txBox="1"/>
              </xdr:nvSpPr>
              <xdr:spPr>
                <a:xfrm>
                  <a:off x="3307528" y="313765"/>
                  <a:ext cx="941952" cy="43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BOOK KEEPING</a:t>
                  </a:r>
                </a:p>
                <a:p>
                  <a:pPr algn="ctr"/>
                  <a:r>
                    <a:rPr lang="en-US" sz="900" b="1">
                      <a:solidFill>
                        <a:schemeClr val="bg1"/>
                      </a:solidFill>
                    </a:rPr>
                    <a:t>LEDGER</a:t>
                  </a:r>
                </a:p>
              </xdr:txBody>
            </xdr:sp>
            <xdr:pic>
              <xdr:nvPicPr>
                <xdr:cNvPr id="60" name="Picture 59">
                  <a:hlinkClick xmlns:r="http://schemas.openxmlformats.org/officeDocument/2006/relationships" r:id="rId41"/>
                  <a:extLst>
                    <a:ext uri="{FF2B5EF4-FFF2-40B4-BE49-F238E27FC236}">
                      <a16:creationId xmlns:a16="http://schemas.microsoft.com/office/drawing/2014/main" id="{2828DA3D-6D16-80FC-57AB-48FD7D04D2A5}"/>
                    </a:ext>
                  </a:extLst>
                </xdr:cNvPr>
                <xdr:cNvPicPr>
                  <a:picLocks noChangeAspect="1"/>
                </xdr:cNvPicPr>
              </xdr:nvPicPr>
              <xdr:blipFill>
                <a:blip xmlns:r="http://schemas.openxmlformats.org/officeDocument/2006/relationships" r:embed="rId4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0070" y="367554"/>
                  <a:ext cx="327770" cy="349622"/>
                </a:xfrm>
                <a:prstGeom prst="rect">
                  <a:avLst/>
                </a:prstGeom>
              </xdr:spPr>
            </xdr:pic>
          </xdr:grpSp>
        </xdr:grpSp>
        <xdr:grpSp>
          <xdr:nvGrpSpPr>
            <xdr:cNvPr id="54" name="Group 53">
              <a:extLst>
                <a:ext uri="{FF2B5EF4-FFF2-40B4-BE49-F238E27FC236}">
                  <a16:creationId xmlns:a16="http://schemas.microsoft.com/office/drawing/2014/main" id="{B57D9E11-40E8-D03A-B71A-3AA749BFE998}"/>
                </a:ext>
              </a:extLst>
            </xdr:cNvPr>
            <xdr:cNvGrpSpPr/>
          </xdr:nvGrpSpPr>
          <xdr:grpSpPr>
            <a:xfrm>
              <a:off x="12626340" y="243840"/>
              <a:ext cx="1344125" cy="571500"/>
              <a:chOff x="12626340" y="243840"/>
              <a:chExt cx="1344125" cy="571500"/>
            </a:xfrm>
          </xdr:grpSpPr>
          <xdr:pic>
            <xdr:nvPicPr>
              <xdr:cNvPr id="55" name="Picture 54">
                <a:hlinkClick xmlns:r="http://schemas.openxmlformats.org/officeDocument/2006/relationships" r:id="rId43"/>
                <a:extLst>
                  <a:ext uri="{FF2B5EF4-FFF2-40B4-BE49-F238E27FC236}">
                    <a16:creationId xmlns:a16="http://schemas.microsoft.com/office/drawing/2014/main" id="{57A5B388-F0BA-842B-7BB6-2F2489631C7C}"/>
                  </a:ext>
                </a:extLst>
              </xdr:cNvPr>
              <xdr:cNvPicPr>
                <a:picLocks noChangeAspect="1" noChangeArrowheads="1"/>
              </xdr:cNvPicPr>
            </xdr:nvPicPr>
            <xdr:blipFill>
              <a:blip xmlns:r="http://schemas.openxmlformats.org/officeDocument/2006/relationships" r:embed="rId4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26340" y="243840"/>
                <a:ext cx="571500" cy="571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6" name="TextBox 55">
                <a:hlinkClick xmlns:r="http://schemas.openxmlformats.org/officeDocument/2006/relationships" r:id="rId43"/>
                <a:extLst>
                  <a:ext uri="{FF2B5EF4-FFF2-40B4-BE49-F238E27FC236}">
                    <a16:creationId xmlns:a16="http://schemas.microsoft.com/office/drawing/2014/main" id="{66854F9C-2F55-7AA1-19E4-94E52B8D93C9}"/>
                  </a:ext>
                </a:extLst>
              </xdr:cNvPr>
              <xdr:cNvSpPr txBox="1"/>
            </xdr:nvSpPr>
            <xdr:spPr>
              <a:xfrm>
                <a:off x="13129260" y="327660"/>
                <a:ext cx="841205" cy="4000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TRAVEL</a:t>
                </a:r>
              </a:p>
              <a:p>
                <a:pPr algn="ctr"/>
                <a:r>
                  <a:rPr lang="en-US" sz="900" b="1">
                    <a:solidFill>
                      <a:schemeClr val="bg1"/>
                    </a:solidFill>
                  </a:rPr>
                  <a:t>SANDBOX</a:t>
                </a:r>
              </a:p>
            </xdr:txBody>
          </xdr:sp>
        </xdr:grpSp>
      </xdr:grpSp>
      <xdr:pic>
        <xdr:nvPicPr>
          <xdr:cNvPr id="52" name="Picture 51">
            <a:hlinkClick xmlns:r="http://schemas.openxmlformats.org/officeDocument/2006/relationships" r:id="rId11"/>
            <a:extLst>
              <a:ext uri="{FF2B5EF4-FFF2-40B4-BE49-F238E27FC236}">
                <a16:creationId xmlns:a16="http://schemas.microsoft.com/office/drawing/2014/main" id="{B1C2547C-1911-029A-1B71-F2680E07D2C9}"/>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34100" y="30480"/>
            <a:ext cx="234698" cy="246078"/>
          </a:xfrm>
          <a:prstGeom prst="rect">
            <a:avLst/>
          </a:prstGeom>
          <a:solidFill>
            <a:srgbClr val="7FA6C7"/>
          </a:solidFill>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800100</xdr:colOff>
      <xdr:row>0</xdr:row>
      <xdr:rowOff>0</xdr:rowOff>
    </xdr:from>
    <xdr:to>
      <xdr:col>16</xdr:col>
      <xdr:colOff>647457</xdr:colOff>
      <xdr:row>2</xdr:row>
      <xdr:rowOff>198120</xdr:rowOff>
    </xdr:to>
    <xdr:grpSp>
      <xdr:nvGrpSpPr>
        <xdr:cNvPr id="50" name="Group 49">
          <a:extLst>
            <a:ext uri="{FF2B5EF4-FFF2-40B4-BE49-F238E27FC236}">
              <a16:creationId xmlns:a16="http://schemas.microsoft.com/office/drawing/2014/main" id="{58FDF4AD-D02B-4D04-9649-EDEABCC12310}"/>
            </a:ext>
          </a:extLst>
        </xdr:cNvPr>
        <xdr:cNvGrpSpPr/>
      </xdr:nvGrpSpPr>
      <xdr:grpSpPr>
        <a:xfrm>
          <a:off x="1394460" y="0"/>
          <a:ext cx="11894577" cy="815340"/>
          <a:chOff x="2194560" y="0"/>
          <a:chExt cx="11894577" cy="815340"/>
        </a:xfrm>
      </xdr:grpSpPr>
      <xdr:grpSp>
        <xdr:nvGrpSpPr>
          <xdr:cNvPr id="51" name="Group 50">
            <a:extLst>
              <a:ext uri="{FF2B5EF4-FFF2-40B4-BE49-F238E27FC236}">
                <a16:creationId xmlns:a16="http://schemas.microsoft.com/office/drawing/2014/main" id="{0599A00E-7D57-DE23-1505-C44D214795F4}"/>
              </a:ext>
            </a:extLst>
          </xdr:cNvPr>
          <xdr:cNvGrpSpPr/>
        </xdr:nvGrpSpPr>
        <xdr:grpSpPr>
          <a:xfrm>
            <a:off x="2194560" y="0"/>
            <a:ext cx="11894577" cy="815340"/>
            <a:chOff x="2194560" y="0"/>
            <a:chExt cx="11894577" cy="815340"/>
          </a:xfrm>
        </xdr:grpSpPr>
        <xdr:grpSp>
          <xdr:nvGrpSpPr>
            <xdr:cNvPr id="53" name="Group 52">
              <a:extLst>
                <a:ext uri="{FF2B5EF4-FFF2-40B4-BE49-F238E27FC236}">
                  <a16:creationId xmlns:a16="http://schemas.microsoft.com/office/drawing/2014/main" id="{303B5EB5-F7ED-51CC-5270-02920A1B1271}"/>
                </a:ext>
              </a:extLst>
            </xdr:cNvPr>
            <xdr:cNvGrpSpPr/>
          </xdr:nvGrpSpPr>
          <xdr:grpSpPr>
            <a:xfrm>
              <a:off x="2194560" y="0"/>
              <a:ext cx="11894577" cy="773812"/>
              <a:chOff x="2160046" y="0"/>
              <a:chExt cx="11894577" cy="773812"/>
            </a:xfrm>
          </xdr:grpSpPr>
          <xdr:grpSp>
            <xdr:nvGrpSpPr>
              <xdr:cNvPr id="57" name="Group 56">
                <a:extLst>
                  <a:ext uri="{FF2B5EF4-FFF2-40B4-BE49-F238E27FC236}">
                    <a16:creationId xmlns:a16="http://schemas.microsoft.com/office/drawing/2014/main" id="{05153F00-B7AA-9BFF-04F2-22943411D274}"/>
                  </a:ext>
                </a:extLst>
              </xdr:cNvPr>
              <xdr:cNvGrpSpPr/>
            </xdr:nvGrpSpPr>
            <xdr:grpSpPr>
              <a:xfrm>
                <a:off x="2160046" y="0"/>
                <a:ext cx="11894577" cy="773812"/>
                <a:chOff x="1310640" y="0"/>
                <a:chExt cx="11549013" cy="764847"/>
              </a:xfrm>
            </xdr:grpSpPr>
            <xdr:pic>
              <xdr:nvPicPr>
                <xdr:cNvPr id="61" name="Picture 60">
                  <a:hlinkClick xmlns:r="http://schemas.openxmlformats.org/officeDocument/2006/relationships" r:id="rId1"/>
                  <a:extLst>
                    <a:ext uri="{FF2B5EF4-FFF2-40B4-BE49-F238E27FC236}">
                      <a16:creationId xmlns:a16="http://schemas.microsoft.com/office/drawing/2014/main" id="{8A169515-E5C9-583B-D8C9-DC8F69CB36A7}"/>
                    </a:ext>
                  </a:extLst>
                </xdr:cNvPr>
                <xdr:cNvPicPr>
                  <a:picLocks/>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rcRect/>
                <a:stretch/>
              </xdr:blipFill>
              <xdr:spPr>
                <a:xfrm>
                  <a:off x="1310640" y="46180"/>
                  <a:ext cx="499211" cy="554546"/>
                </a:xfrm>
                <a:prstGeom prst="rect">
                  <a:avLst/>
                </a:prstGeom>
              </xdr:spPr>
            </xdr:pic>
            <xdr:pic>
              <xdr:nvPicPr>
                <xdr:cNvPr id="62" name="Picture 61">
                  <a:hlinkClick xmlns:r="http://schemas.openxmlformats.org/officeDocument/2006/relationships" r:id="rId3"/>
                  <a:extLst>
                    <a:ext uri="{FF2B5EF4-FFF2-40B4-BE49-F238E27FC236}">
                      <a16:creationId xmlns:a16="http://schemas.microsoft.com/office/drawing/2014/main" id="{59CE019E-BEAC-A78C-F003-218EB7B0BC71}"/>
                    </a:ext>
                  </a:extLst>
                </xdr:cNvPr>
                <xdr:cNvPicPr>
                  <a:picLocks noChangeAspect="1" noChangeArrowheads="1"/>
                </xdr:cNvPicPr>
              </xdr:nvPicPr>
              <xdr:blipFill>
                <a:blip xmlns:r="http://schemas.openxmlformats.org/officeDocument/2006/relationships" r:embed="rId4" cstate="print">
                  <a:alphaModFix/>
                  <a:extLst>
                    <a:ext uri="{28A0092B-C50C-407E-A947-70E740481C1C}">
                      <a14:useLocalDpi xmlns:a14="http://schemas.microsoft.com/office/drawing/2010/main" val="0"/>
                    </a:ext>
                  </a:extLst>
                </a:blip>
                <a:srcRect/>
                <a:stretch>
                  <a:fillRect/>
                </a:stretch>
              </xdr:blipFill>
              <xdr:spPr bwMode="auto">
                <a:xfrm>
                  <a:off x="2163693" y="30823"/>
                  <a:ext cx="214188" cy="2260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3" name="TextBox 62">
                  <a:hlinkClick xmlns:r="http://schemas.openxmlformats.org/officeDocument/2006/relationships" r:id="rId3"/>
                  <a:extLst>
                    <a:ext uri="{FF2B5EF4-FFF2-40B4-BE49-F238E27FC236}">
                      <a16:creationId xmlns:a16="http://schemas.microsoft.com/office/drawing/2014/main" id="{7383C6AF-297A-107B-3544-D3E9AAE1A63C}"/>
                    </a:ext>
                  </a:extLst>
                </xdr:cNvPr>
                <xdr:cNvSpPr txBox="1"/>
              </xdr:nvSpPr>
              <xdr:spPr>
                <a:xfrm>
                  <a:off x="2369194" y="17046"/>
                  <a:ext cx="846446" cy="25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US" sz="900" b="1">
                      <a:solidFill>
                        <a:schemeClr val="bg1"/>
                      </a:solidFill>
                    </a:rPr>
                    <a:t>DASHBOARD</a:t>
                  </a:r>
                </a:p>
              </xdr:txBody>
            </xdr:sp>
            <xdr:pic>
              <xdr:nvPicPr>
                <xdr:cNvPr id="64" name="Picture 63">
                  <a:hlinkClick xmlns:r="http://schemas.openxmlformats.org/officeDocument/2006/relationships" r:id="rId5"/>
                  <a:extLst>
                    <a:ext uri="{FF2B5EF4-FFF2-40B4-BE49-F238E27FC236}">
                      <a16:creationId xmlns:a16="http://schemas.microsoft.com/office/drawing/2014/main" id="{6C7E0D7E-F40C-CF38-5742-3B96756858D6}"/>
                    </a:ext>
                  </a:extLst>
                </xdr:cNvPr>
                <xdr:cNvPicPr>
                  <a:picLocks noChangeAspect="1" noChangeArrowheads="1"/>
                </xdr:cNvPicPr>
              </xdr:nvPicPr>
              <xdr:blipFill>
                <a:blip xmlns:r="http://schemas.openxmlformats.org/officeDocument/2006/relationships" r:embed="rId6" cstate="print">
                  <a:alphaModFix/>
                  <a:extLst>
                    <a:ext uri="{28A0092B-C50C-407E-A947-70E740481C1C}">
                      <a14:useLocalDpi xmlns:a14="http://schemas.microsoft.com/office/drawing/2010/main" val="0"/>
                    </a:ext>
                  </a:extLst>
                </a:blip>
                <a:srcRect/>
                <a:stretch>
                  <a:fillRect/>
                </a:stretch>
              </xdr:blipFill>
              <xdr:spPr bwMode="auto">
                <a:xfrm>
                  <a:off x="8461655" y="433462"/>
                  <a:ext cx="214188" cy="20819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5" name="TextBox 64">
                  <a:hlinkClick xmlns:r="http://schemas.openxmlformats.org/officeDocument/2006/relationships" r:id="rId5"/>
                  <a:extLst>
                    <a:ext uri="{FF2B5EF4-FFF2-40B4-BE49-F238E27FC236}">
                      <a16:creationId xmlns:a16="http://schemas.microsoft.com/office/drawing/2014/main" id="{C4EF5262-4569-8B1E-8D73-02EAC2D25EC1}"/>
                    </a:ext>
                  </a:extLst>
                </xdr:cNvPr>
                <xdr:cNvSpPr txBox="1"/>
              </xdr:nvSpPr>
              <xdr:spPr>
                <a:xfrm>
                  <a:off x="8647283" y="413913"/>
                  <a:ext cx="56836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REPORTS</a:t>
                  </a:r>
                </a:p>
              </xdr:txBody>
            </xdr:sp>
            <xdr:pic>
              <xdr:nvPicPr>
                <xdr:cNvPr id="66" name="Picture 65">
                  <a:hlinkClick xmlns:r="http://schemas.openxmlformats.org/officeDocument/2006/relationships" r:id="rId7"/>
                  <a:extLst>
                    <a:ext uri="{FF2B5EF4-FFF2-40B4-BE49-F238E27FC236}">
                      <a16:creationId xmlns:a16="http://schemas.microsoft.com/office/drawing/2014/main" id="{3911BD22-DD20-F78E-E507-732EB1FA5CDD}"/>
                    </a:ext>
                  </a:extLst>
                </xdr:cNvPr>
                <xdr:cNvPicPr>
                  <a:picLocks noChangeAspect="1"/>
                </xdr:cNvPicPr>
              </xdr:nvPicPr>
              <xdr:blipFill>
                <a:blip xmlns:r="http://schemas.openxmlformats.org/officeDocument/2006/relationships" r:embed="rId8" cstate="print">
                  <a:alphaModFix/>
                  <a:extLst>
                    <a:ext uri="{28A0092B-C50C-407E-A947-70E740481C1C}">
                      <a14:useLocalDpi xmlns:a14="http://schemas.microsoft.com/office/drawing/2010/main" val="0"/>
                    </a:ext>
                  </a:extLst>
                </a:blip>
                <a:stretch>
                  <a:fillRect/>
                </a:stretch>
              </xdr:blipFill>
              <xdr:spPr>
                <a:xfrm>
                  <a:off x="6903860" y="19549"/>
                  <a:ext cx="214187" cy="248554"/>
                </a:xfrm>
                <a:prstGeom prst="rect">
                  <a:avLst/>
                </a:prstGeom>
              </xdr:spPr>
            </xdr:pic>
            <xdr:sp macro="" textlink="">
              <xdr:nvSpPr>
                <xdr:cNvPr id="67" name="TextBox 66">
                  <a:hlinkClick xmlns:r="http://schemas.openxmlformats.org/officeDocument/2006/relationships" r:id="rId7"/>
                  <a:extLst>
                    <a:ext uri="{FF2B5EF4-FFF2-40B4-BE49-F238E27FC236}">
                      <a16:creationId xmlns:a16="http://schemas.microsoft.com/office/drawing/2014/main" id="{9A23E3CA-B671-B479-C014-D18C2EDAA56C}"/>
                    </a:ext>
                  </a:extLst>
                </xdr:cNvPr>
                <xdr:cNvSpPr txBox="1"/>
              </xdr:nvSpPr>
              <xdr:spPr>
                <a:xfrm>
                  <a:off x="7099062" y="0"/>
                  <a:ext cx="67589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MORTGAGE</a:t>
                  </a:r>
                </a:p>
              </xdr:txBody>
            </xdr:sp>
            <xdr:sp macro="" textlink="">
              <xdr:nvSpPr>
                <xdr:cNvPr id="68" name="TextBox 67">
                  <a:hlinkClick xmlns:r="http://schemas.openxmlformats.org/officeDocument/2006/relationships" r:id="rId9"/>
                  <a:extLst>
                    <a:ext uri="{FF2B5EF4-FFF2-40B4-BE49-F238E27FC236}">
                      <a16:creationId xmlns:a16="http://schemas.microsoft.com/office/drawing/2014/main" id="{F5FCFFE4-A113-5664-296D-9D54D4C5D52A}"/>
                    </a:ext>
                  </a:extLst>
                </xdr:cNvPr>
                <xdr:cNvSpPr txBox="1"/>
              </xdr:nvSpPr>
              <xdr:spPr>
                <a:xfrm>
                  <a:off x="6375474" y="0"/>
                  <a:ext cx="381400"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DEBT</a:t>
                  </a:r>
                </a:p>
              </xdr:txBody>
            </xdr:sp>
            <xdr:pic>
              <xdr:nvPicPr>
                <xdr:cNvPr id="69" name="Picture 68">
                  <a:hlinkClick xmlns:r="http://schemas.openxmlformats.org/officeDocument/2006/relationships" r:id="rId9"/>
                  <a:extLst>
                    <a:ext uri="{FF2B5EF4-FFF2-40B4-BE49-F238E27FC236}">
                      <a16:creationId xmlns:a16="http://schemas.microsoft.com/office/drawing/2014/main" id="{323B47D1-8B32-44D7-0E22-A4CC4CFC15F1}"/>
                    </a:ext>
                  </a:extLst>
                </xdr:cNvPr>
                <xdr:cNvPicPr>
                  <a:picLocks noChangeAspect="1"/>
                </xdr:cNvPicPr>
              </xdr:nvPicPr>
              <xdr:blipFill>
                <a:blip xmlns:r="http://schemas.openxmlformats.org/officeDocument/2006/relationships" r:embed="rId10" cstate="print">
                  <a:alphaModFix/>
                  <a:extLst>
                    <a:ext uri="{28A0092B-C50C-407E-A947-70E740481C1C}">
                      <a14:useLocalDpi xmlns:a14="http://schemas.microsoft.com/office/drawing/2010/main" val="0"/>
                    </a:ext>
                  </a:extLst>
                </a:blip>
                <a:stretch>
                  <a:fillRect/>
                </a:stretch>
              </xdr:blipFill>
              <xdr:spPr>
                <a:xfrm>
                  <a:off x="6158378" y="19549"/>
                  <a:ext cx="214188" cy="248554"/>
                </a:xfrm>
                <a:prstGeom prst="rect">
                  <a:avLst/>
                </a:prstGeom>
              </xdr:spPr>
            </xdr:pic>
            <xdr:sp macro="" textlink="">
              <xdr:nvSpPr>
                <xdr:cNvPr id="70" name="TextBox 69">
                  <a:hlinkClick xmlns:r="http://schemas.openxmlformats.org/officeDocument/2006/relationships" r:id="rId11"/>
                  <a:extLst>
                    <a:ext uri="{FF2B5EF4-FFF2-40B4-BE49-F238E27FC236}">
                      <a16:creationId xmlns:a16="http://schemas.microsoft.com/office/drawing/2014/main" id="{EC1C07DC-9485-789F-DA44-4942F1154576}"/>
                    </a:ext>
                  </a:extLst>
                </xdr:cNvPr>
                <xdr:cNvSpPr txBox="1"/>
              </xdr:nvSpPr>
              <xdr:spPr>
                <a:xfrm>
                  <a:off x="5370816" y="37659"/>
                  <a:ext cx="640576"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FORECASTS</a:t>
                  </a:r>
                </a:p>
              </xdr:txBody>
            </xdr:sp>
            <xdr:sp macro="" textlink="">
              <xdr:nvSpPr>
                <xdr:cNvPr id="71" name="TextBox 70">
                  <a:hlinkClick xmlns:r="http://schemas.openxmlformats.org/officeDocument/2006/relationships" r:id="rId12"/>
                  <a:extLst>
                    <a:ext uri="{FF2B5EF4-FFF2-40B4-BE49-F238E27FC236}">
                      <a16:creationId xmlns:a16="http://schemas.microsoft.com/office/drawing/2014/main" id="{00FD2CF1-2077-D98D-D790-DB7F9E0689C0}"/>
                    </a:ext>
                  </a:extLst>
                </xdr:cNvPr>
                <xdr:cNvSpPr txBox="1"/>
              </xdr:nvSpPr>
              <xdr:spPr>
                <a:xfrm>
                  <a:off x="8104032" y="0"/>
                  <a:ext cx="7732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a:t>
                  </a:r>
                  <a:r>
                    <a:rPr lang="en-US" sz="900" b="1" baseline="0">
                      <a:solidFill>
                        <a:schemeClr val="bg1"/>
                      </a:solidFill>
                    </a:rPr>
                    <a:t> (M)</a:t>
                  </a:r>
                  <a:endParaRPr lang="en-US" sz="900" b="1">
                    <a:solidFill>
                      <a:schemeClr val="bg1"/>
                    </a:solidFill>
                  </a:endParaRPr>
                </a:p>
              </xdr:txBody>
            </xdr:sp>
            <xdr:pic>
              <xdr:nvPicPr>
                <xdr:cNvPr id="72" name="Picture 71">
                  <a:hlinkClick xmlns:r="http://schemas.openxmlformats.org/officeDocument/2006/relationships" r:id="rId12"/>
                  <a:extLst>
                    <a:ext uri="{FF2B5EF4-FFF2-40B4-BE49-F238E27FC236}">
                      <a16:creationId xmlns:a16="http://schemas.microsoft.com/office/drawing/2014/main" id="{D129D358-C576-952D-2A42-F94D5CAF170C}"/>
                    </a:ext>
                  </a:extLst>
                </xdr:cNvPr>
                <xdr:cNvPicPr>
                  <a:picLocks noChangeAspect="1"/>
                </xdr:cNvPicPr>
              </xdr:nvPicPr>
              <xdr:blipFill>
                <a:blip xmlns:r="http://schemas.openxmlformats.org/officeDocument/2006/relationships" r:embed="rId13" cstate="print">
                  <a:alphaModFix/>
                  <a:extLst>
                    <a:ext uri="{28A0092B-C50C-407E-A947-70E740481C1C}">
                      <a14:useLocalDpi xmlns:a14="http://schemas.microsoft.com/office/drawing/2010/main" val="0"/>
                    </a:ext>
                  </a:extLst>
                </a:blip>
                <a:stretch>
                  <a:fillRect/>
                </a:stretch>
              </xdr:blipFill>
              <xdr:spPr>
                <a:xfrm>
                  <a:off x="7921943" y="19549"/>
                  <a:ext cx="214188" cy="248554"/>
                </a:xfrm>
                <a:prstGeom prst="rect">
                  <a:avLst/>
                </a:prstGeom>
              </xdr:spPr>
            </xdr:pic>
            <xdr:sp macro="" textlink="">
              <xdr:nvSpPr>
                <xdr:cNvPr id="73" name="TextBox 72">
                  <a:hlinkClick xmlns:r="http://schemas.openxmlformats.org/officeDocument/2006/relationships" r:id="rId14"/>
                  <a:extLst>
                    <a:ext uri="{FF2B5EF4-FFF2-40B4-BE49-F238E27FC236}">
                      <a16:creationId xmlns:a16="http://schemas.microsoft.com/office/drawing/2014/main" id="{E993ABD5-CC67-0288-24EE-28F7592F7F03}"/>
                    </a:ext>
                  </a:extLst>
                </xdr:cNvPr>
                <xdr:cNvSpPr txBox="1"/>
              </xdr:nvSpPr>
              <xdr:spPr>
                <a:xfrm>
                  <a:off x="9978309" y="0"/>
                  <a:ext cx="687187"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ACTUALS (Y)</a:t>
                  </a:r>
                </a:p>
              </xdr:txBody>
            </xdr:sp>
            <xdr:pic>
              <xdr:nvPicPr>
                <xdr:cNvPr id="74" name="Picture 73">
                  <a:hlinkClick xmlns:r="http://schemas.openxmlformats.org/officeDocument/2006/relationships" r:id="rId14"/>
                  <a:extLst>
                    <a:ext uri="{FF2B5EF4-FFF2-40B4-BE49-F238E27FC236}">
                      <a16:creationId xmlns:a16="http://schemas.microsoft.com/office/drawing/2014/main" id="{E22EB6A8-7B33-D1A5-E33F-58BA57845370}"/>
                    </a:ext>
                  </a:extLst>
                </xdr:cNvPr>
                <xdr:cNvPicPr>
                  <a:picLocks noChangeAspect="1"/>
                </xdr:cNvPicPr>
              </xdr:nvPicPr>
              <xdr:blipFill>
                <a:blip xmlns:r="http://schemas.openxmlformats.org/officeDocument/2006/relationships" r:embed="rId15" cstate="print">
                  <a:alphaModFix/>
                  <a:extLst>
                    <a:ext uri="{28A0092B-C50C-407E-A947-70E740481C1C}">
                      <a14:useLocalDpi xmlns:a14="http://schemas.microsoft.com/office/drawing/2010/main" val="0"/>
                    </a:ext>
                  </a:extLst>
                </a:blip>
                <a:stretch>
                  <a:fillRect/>
                </a:stretch>
              </xdr:blipFill>
              <xdr:spPr>
                <a:xfrm>
                  <a:off x="9777770" y="19549"/>
                  <a:ext cx="214188" cy="248554"/>
                </a:xfrm>
                <a:prstGeom prst="rect">
                  <a:avLst/>
                </a:prstGeom>
              </xdr:spPr>
            </xdr:pic>
            <xdr:sp macro="" textlink="">
              <xdr:nvSpPr>
                <xdr:cNvPr id="75" name="TextBox 74">
                  <a:hlinkClick xmlns:r="http://schemas.openxmlformats.org/officeDocument/2006/relationships" r:id="rId16"/>
                  <a:extLst>
                    <a:ext uri="{FF2B5EF4-FFF2-40B4-BE49-F238E27FC236}">
                      <a16:creationId xmlns:a16="http://schemas.microsoft.com/office/drawing/2014/main" id="{14EB3DB3-2BCC-D22D-50DE-50EC201092BB}"/>
                    </a:ext>
                  </a:extLst>
                </xdr:cNvPr>
                <xdr:cNvSpPr txBox="1"/>
              </xdr:nvSpPr>
              <xdr:spPr>
                <a:xfrm>
                  <a:off x="9133984" y="0"/>
                  <a:ext cx="49680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VERSUS</a:t>
                  </a:r>
                </a:p>
              </xdr:txBody>
            </xdr:sp>
            <xdr:pic>
              <xdr:nvPicPr>
                <xdr:cNvPr id="76" name="Picture 75">
                  <a:hlinkClick xmlns:r="http://schemas.openxmlformats.org/officeDocument/2006/relationships" r:id="rId16"/>
                  <a:extLst>
                    <a:ext uri="{FF2B5EF4-FFF2-40B4-BE49-F238E27FC236}">
                      <a16:creationId xmlns:a16="http://schemas.microsoft.com/office/drawing/2014/main" id="{6C4A17C8-D729-11AF-E671-F1ACD5398DD2}"/>
                    </a:ext>
                  </a:extLst>
                </xdr:cNvPr>
                <xdr:cNvPicPr>
                  <a:picLocks noChangeAspect="1"/>
                </xdr:cNvPicPr>
              </xdr:nvPicPr>
              <xdr:blipFill>
                <a:blip xmlns:r="http://schemas.openxmlformats.org/officeDocument/2006/relationships" r:embed="rId17" cstate="print">
                  <a:alphaModFix/>
                  <a:extLst>
                    <a:ext uri="{28A0092B-C50C-407E-A947-70E740481C1C}">
                      <a14:useLocalDpi xmlns:a14="http://schemas.microsoft.com/office/drawing/2010/main" val="0"/>
                    </a:ext>
                  </a:extLst>
                </a:blip>
                <a:stretch>
                  <a:fillRect/>
                </a:stretch>
              </xdr:blipFill>
              <xdr:spPr>
                <a:xfrm>
                  <a:off x="8938203" y="19549"/>
                  <a:ext cx="214187" cy="248554"/>
                </a:xfrm>
                <a:prstGeom prst="rect">
                  <a:avLst/>
                </a:prstGeom>
              </xdr:spPr>
            </xdr:pic>
            <xdr:sp macro="" textlink="">
              <xdr:nvSpPr>
                <xdr:cNvPr id="77" name="TextBox 76">
                  <a:hlinkClick xmlns:r="http://schemas.openxmlformats.org/officeDocument/2006/relationships" r:id="rId18"/>
                  <a:extLst>
                    <a:ext uri="{FF2B5EF4-FFF2-40B4-BE49-F238E27FC236}">
                      <a16:creationId xmlns:a16="http://schemas.microsoft.com/office/drawing/2014/main" id="{40A2B38A-991D-5B9B-1234-3CB0CC8A0DE9}"/>
                    </a:ext>
                  </a:extLst>
                </xdr:cNvPr>
                <xdr:cNvSpPr txBox="1"/>
              </xdr:nvSpPr>
              <xdr:spPr>
                <a:xfrm>
                  <a:off x="3510385" y="0"/>
                  <a:ext cx="523122"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REPAIRS</a:t>
                  </a:r>
                </a:p>
              </xdr:txBody>
            </xdr:sp>
            <xdr:pic>
              <xdr:nvPicPr>
                <xdr:cNvPr id="78" name="Picture 77">
                  <a:hlinkClick xmlns:r="http://schemas.openxmlformats.org/officeDocument/2006/relationships" r:id="rId18"/>
                  <a:extLst>
                    <a:ext uri="{FF2B5EF4-FFF2-40B4-BE49-F238E27FC236}">
                      <a16:creationId xmlns:a16="http://schemas.microsoft.com/office/drawing/2014/main" id="{F52DF89F-2090-8F7E-855B-E1A827C277A5}"/>
                    </a:ext>
                  </a:extLst>
                </xdr:cNvPr>
                <xdr:cNvPicPr>
                  <a:picLocks noChangeAspect="1"/>
                </xdr:cNvPicPr>
              </xdr:nvPicPr>
              <xdr:blipFill>
                <a:blip xmlns:r="http://schemas.openxmlformats.org/officeDocument/2006/relationships" r:embed="rId19" cstate="print">
                  <a:alphaModFix/>
                  <a:extLst>
                    <a:ext uri="{28A0092B-C50C-407E-A947-70E740481C1C}">
                      <a14:useLocalDpi xmlns:a14="http://schemas.microsoft.com/office/drawing/2010/main" val="0"/>
                    </a:ext>
                  </a:extLst>
                </a:blip>
                <a:stretch>
                  <a:fillRect/>
                </a:stretch>
              </xdr:blipFill>
              <xdr:spPr>
                <a:xfrm>
                  <a:off x="3296296" y="28376"/>
                  <a:ext cx="214435" cy="230900"/>
                </a:xfrm>
                <a:prstGeom prst="rect">
                  <a:avLst/>
                </a:prstGeom>
              </xdr:spPr>
            </xdr:pic>
            <xdr:sp macro="" textlink="">
              <xdr:nvSpPr>
                <xdr:cNvPr id="79" name="TextBox 78">
                  <a:hlinkClick xmlns:r="http://schemas.openxmlformats.org/officeDocument/2006/relationships" r:id="rId20"/>
                  <a:extLst>
                    <a:ext uri="{FF2B5EF4-FFF2-40B4-BE49-F238E27FC236}">
                      <a16:creationId xmlns:a16="http://schemas.microsoft.com/office/drawing/2014/main" id="{6EB54732-50C0-12AB-A395-BE73699C2418}"/>
                    </a:ext>
                  </a:extLst>
                </xdr:cNvPr>
                <xdr:cNvSpPr txBox="1"/>
              </xdr:nvSpPr>
              <xdr:spPr>
                <a:xfrm>
                  <a:off x="4388587" y="0"/>
                  <a:ext cx="63170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FURNITURE</a:t>
                  </a:r>
                </a:p>
              </xdr:txBody>
            </xdr:sp>
            <xdr:pic>
              <xdr:nvPicPr>
                <xdr:cNvPr id="80" name="Picture 79">
                  <a:hlinkClick xmlns:r="http://schemas.openxmlformats.org/officeDocument/2006/relationships" r:id="rId20"/>
                  <a:extLst>
                    <a:ext uri="{FF2B5EF4-FFF2-40B4-BE49-F238E27FC236}">
                      <a16:creationId xmlns:a16="http://schemas.microsoft.com/office/drawing/2014/main" id="{539562A8-AABA-32C3-D16D-FF35C1F9E03D}"/>
                    </a:ext>
                  </a:extLst>
                </xdr:cNvPr>
                <xdr:cNvPicPr>
                  <a:picLocks noChangeAspect="1"/>
                </xdr:cNvPicPr>
              </xdr:nvPicPr>
              <xdr:blipFill>
                <a:blip xmlns:r="http://schemas.openxmlformats.org/officeDocument/2006/relationships" r:embed="rId21" cstate="print">
                  <a:alphaModFix/>
                  <a:extLst>
                    <a:ext uri="{28A0092B-C50C-407E-A947-70E740481C1C}">
                      <a14:useLocalDpi xmlns:a14="http://schemas.microsoft.com/office/drawing/2010/main" val="0"/>
                    </a:ext>
                  </a:extLst>
                </a:blip>
                <a:stretch>
                  <a:fillRect/>
                </a:stretch>
              </xdr:blipFill>
              <xdr:spPr>
                <a:xfrm>
                  <a:off x="4180491" y="28376"/>
                  <a:ext cx="214435" cy="230900"/>
                </a:xfrm>
                <a:prstGeom prst="rect">
                  <a:avLst/>
                </a:prstGeom>
              </xdr:spPr>
            </xdr:pic>
            <xdr:pic>
              <xdr:nvPicPr>
                <xdr:cNvPr id="81" name="Picture 80">
                  <a:hlinkClick xmlns:r="http://schemas.openxmlformats.org/officeDocument/2006/relationships" r:id="rId22"/>
                  <a:extLst>
                    <a:ext uri="{FF2B5EF4-FFF2-40B4-BE49-F238E27FC236}">
                      <a16:creationId xmlns:a16="http://schemas.microsoft.com/office/drawing/2014/main" id="{1D0BDF42-07F2-F224-DEBB-B4CC8E9943EF}"/>
                    </a:ext>
                  </a:extLst>
                </xdr:cNvPr>
                <xdr:cNvPicPr>
                  <a:picLocks noChangeAspect="1"/>
                </xdr:cNvPicPr>
              </xdr:nvPicPr>
              <xdr:blipFill>
                <a:blip xmlns:r="http://schemas.openxmlformats.org/officeDocument/2006/relationships" r:embed="rId23" cstate="print">
                  <a:alphaModFix/>
                  <a:extLst>
                    <a:ext uri="{28A0092B-C50C-407E-A947-70E740481C1C}">
                      <a14:useLocalDpi xmlns:a14="http://schemas.microsoft.com/office/drawing/2010/main" val="0"/>
                    </a:ext>
                  </a:extLst>
                </a:blip>
                <a:stretch>
                  <a:fillRect/>
                </a:stretch>
              </xdr:blipFill>
              <xdr:spPr>
                <a:xfrm>
                  <a:off x="10812480" y="19549"/>
                  <a:ext cx="214188" cy="248554"/>
                </a:xfrm>
                <a:prstGeom prst="rect">
                  <a:avLst/>
                </a:prstGeom>
              </xdr:spPr>
            </xdr:pic>
            <xdr:sp macro="" textlink="">
              <xdr:nvSpPr>
                <xdr:cNvPr id="82" name="TextBox 81">
                  <a:hlinkClick xmlns:r="http://schemas.openxmlformats.org/officeDocument/2006/relationships" r:id="rId22"/>
                  <a:extLst>
                    <a:ext uri="{FF2B5EF4-FFF2-40B4-BE49-F238E27FC236}">
                      <a16:creationId xmlns:a16="http://schemas.microsoft.com/office/drawing/2014/main" id="{75FDCFF6-01A8-DD44-CE53-7BE2F6881760}"/>
                    </a:ext>
                  </a:extLst>
                </xdr:cNvPr>
                <xdr:cNvSpPr txBox="1"/>
              </xdr:nvSpPr>
              <xdr:spPr>
                <a:xfrm>
                  <a:off x="11008843" y="0"/>
                  <a:ext cx="407054"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PEERS</a:t>
                  </a:r>
                </a:p>
              </xdr:txBody>
            </xdr:sp>
            <xdr:sp macro="" textlink="">
              <xdr:nvSpPr>
                <xdr:cNvPr id="83" name="TextBox 82">
                  <a:hlinkClick xmlns:r="http://schemas.openxmlformats.org/officeDocument/2006/relationships" r:id="rId24"/>
                  <a:extLst>
                    <a:ext uri="{FF2B5EF4-FFF2-40B4-BE49-F238E27FC236}">
                      <a16:creationId xmlns:a16="http://schemas.microsoft.com/office/drawing/2014/main" id="{6BB9DEF5-1FF9-42D2-C4CF-FD83C946CAF0}"/>
                    </a:ext>
                  </a:extLst>
                </xdr:cNvPr>
                <xdr:cNvSpPr txBox="1"/>
              </xdr:nvSpPr>
              <xdr:spPr>
                <a:xfrm>
                  <a:off x="9581756" y="397481"/>
                  <a:ext cx="656781"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MAX PRICE</a:t>
                  </a:r>
                </a:p>
              </xdr:txBody>
            </xdr:sp>
            <xdr:pic>
              <xdr:nvPicPr>
                <xdr:cNvPr id="84" name="Picture 83">
                  <a:hlinkClick xmlns:r="http://schemas.openxmlformats.org/officeDocument/2006/relationships" r:id="rId24"/>
                  <a:extLst>
                    <a:ext uri="{FF2B5EF4-FFF2-40B4-BE49-F238E27FC236}">
                      <a16:creationId xmlns:a16="http://schemas.microsoft.com/office/drawing/2014/main" id="{01F527BF-2942-36A4-5C63-E790FFDB6101}"/>
                    </a:ext>
                  </a:extLst>
                </xdr:cNvPr>
                <xdr:cNvPicPr>
                  <a:picLocks noChangeAspect="1"/>
                </xdr:cNvPicPr>
              </xdr:nvPicPr>
              <xdr:blipFill>
                <a:blip xmlns:r="http://schemas.openxmlformats.org/officeDocument/2006/relationships" r:embed="rId25" cstate="print">
                  <a:alphaModFix/>
                  <a:extLst>
                    <a:ext uri="{28A0092B-C50C-407E-A947-70E740481C1C}">
                      <a14:useLocalDpi xmlns:a14="http://schemas.microsoft.com/office/drawing/2010/main" val="0"/>
                    </a:ext>
                  </a:extLst>
                </a:blip>
                <a:stretch>
                  <a:fillRect/>
                </a:stretch>
              </xdr:blipFill>
              <xdr:spPr>
                <a:xfrm>
                  <a:off x="9433997" y="425857"/>
                  <a:ext cx="214435" cy="230900"/>
                </a:xfrm>
                <a:prstGeom prst="rect">
                  <a:avLst/>
                </a:prstGeom>
              </xdr:spPr>
            </xdr:pic>
            <xdr:sp macro="" textlink="">
              <xdr:nvSpPr>
                <xdr:cNvPr id="85" name="TextBox 84">
                  <a:hlinkClick xmlns:r="http://schemas.openxmlformats.org/officeDocument/2006/relationships" r:id="rId26"/>
                  <a:extLst>
                    <a:ext uri="{FF2B5EF4-FFF2-40B4-BE49-F238E27FC236}">
                      <a16:creationId xmlns:a16="http://schemas.microsoft.com/office/drawing/2014/main" id="{8EA684BC-89CB-78F0-93FF-933F24A5C8CE}"/>
                    </a:ext>
                  </a:extLst>
                </xdr:cNvPr>
                <xdr:cNvSpPr txBox="1"/>
              </xdr:nvSpPr>
              <xdr:spPr>
                <a:xfrm>
                  <a:off x="7733272" y="389861"/>
                  <a:ext cx="638468" cy="287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en-US" sz="900" b="1">
                      <a:solidFill>
                        <a:schemeClr val="bg1"/>
                      </a:solidFill>
                    </a:rPr>
                    <a:t>SCENARIOS</a:t>
                  </a:r>
                </a:p>
              </xdr:txBody>
            </xdr:sp>
            <xdr:pic>
              <xdr:nvPicPr>
                <xdr:cNvPr id="86" name="Picture 85">
                  <a:hlinkClick xmlns:r="http://schemas.openxmlformats.org/officeDocument/2006/relationships" r:id="rId26"/>
                  <a:extLst>
                    <a:ext uri="{FF2B5EF4-FFF2-40B4-BE49-F238E27FC236}">
                      <a16:creationId xmlns:a16="http://schemas.microsoft.com/office/drawing/2014/main" id="{BA053A20-7589-CA9B-D03A-245A9531CC2C}"/>
                    </a:ext>
                  </a:extLst>
                </xdr:cNvPr>
                <xdr:cNvPicPr>
                  <a:picLocks noChangeAspect="1"/>
                </xdr:cNvPicPr>
              </xdr:nvPicPr>
              <xdr:blipFill>
                <a:blip xmlns:r="http://schemas.openxmlformats.org/officeDocument/2006/relationships" r:embed="rId27" cstate="print">
                  <a:alphaModFix/>
                  <a:extLst>
                    <a:ext uri="{28A0092B-C50C-407E-A947-70E740481C1C}">
                      <a14:useLocalDpi xmlns:a14="http://schemas.microsoft.com/office/drawing/2010/main" val="0"/>
                    </a:ext>
                  </a:extLst>
                </a:blip>
                <a:stretch>
                  <a:fillRect/>
                </a:stretch>
              </xdr:blipFill>
              <xdr:spPr>
                <a:xfrm>
                  <a:off x="7536090" y="418237"/>
                  <a:ext cx="214435" cy="230900"/>
                </a:xfrm>
                <a:prstGeom prst="rect">
                  <a:avLst/>
                </a:prstGeom>
              </xdr:spPr>
            </xdr:pic>
            <xdr:sp macro="" textlink="">
              <xdr:nvSpPr>
                <xdr:cNvPr id="87" name="TextBox 86">
                  <a:hlinkClick xmlns:r="http://schemas.openxmlformats.org/officeDocument/2006/relationships" r:id="rId28"/>
                  <a:extLst>
                    <a:ext uri="{FF2B5EF4-FFF2-40B4-BE49-F238E27FC236}">
                      <a16:creationId xmlns:a16="http://schemas.microsoft.com/office/drawing/2014/main" id="{41B317B0-E560-D583-9E58-C9321E641F9E}"/>
                    </a:ext>
                  </a:extLst>
                </xdr:cNvPr>
                <xdr:cNvSpPr txBox="1"/>
              </xdr:nvSpPr>
              <xdr:spPr>
                <a:xfrm>
                  <a:off x="11757467" y="49286"/>
                  <a:ext cx="110218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MARKET RESEARCH</a:t>
                  </a:r>
                </a:p>
              </xdr:txBody>
            </xdr:sp>
            <xdr:pic>
              <xdr:nvPicPr>
                <xdr:cNvPr id="88" name="Picture 87" descr="A white and brown hourglass&#10;&#10;AI-generated content may be incorrect.">
                  <a:hlinkClick xmlns:r="http://schemas.openxmlformats.org/officeDocument/2006/relationships" r:id="rId28"/>
                  <a:extLst>
                    <a:ext uri="{FF2B5EF4-FFF2-40B4-BE49-F238E27FC236}">
                      <a16:creationId xmlns:a16="http://schemas.microsoft.com/office/drawing/2014/main" id="{BA684489-0F12-94B2-35A7-54D84028E7D4}"/>
                    </a:ext>
                  </a:extLst>
                </xdr:cNvPr>
                <xdr:cNvPicPr>
                  <a:picLocks noChangeAspect="1"/>
                </xdr:cNvPicPr>
              </xdr:nvPicPr>
              <xdr:blipFill>
                <a:blip xmlns:r="http://schemas.openxmlformats.org/officeDocument/2006/relationships" r:embed="rId29" cstate="print">
                  <a:alphaModFix/>
                  <a:extLst>
                    <a:ext uri="{28A0092B-C50C-407E-A947-70E740481C1C}">
                      <a14:useLocalDpi xmlns:a14="http://schemas.microsoft.com/office/drawing/2010/main" val="0"/>
                    </a:ext>
                  </a:extLst>
                </a:blip>
                <a:stretch>
                  <a:fillRect/>
                </a:stretch>
              </xdr:blipFill>
              <xdr:spPr>
                <a:xfrm>
                  <a:off x="11563464" y="33893"/>
                  <a:ext cx="235575" cy="261687"/>
                </a:xfrm>
                <a:prstGeom prst="rect">
                  <a:avLst/>
                </a:prstGeom>
              </xdr:spPr>
            </xdr:pic>
            <xdr:pic>
              <xdr:nvPicPr>
                <xdr:cNvPr id="89" name="Picture 88">
                  <a:hlinkClick xmlns:r="http://schemas.openxmlformats.org/officeDocument/2006/relationships" r:id="rId30"/>
                  <a:extLst>
                    <a:ext uri="{FF2B5EF4-FFF2-40B4-BE49-F238E27FC236}">
                      <a16:creationId xmlns:a16="http://schemas.microsoft.com/office/drawing/2014/main" id="{B2E0AF95-2AF2-7B29-BDF5-2AE6A451CADC}"/>
                    </a:ext>
                  </a:extLst>
                </xdr:cNvPr>
                <xdr:cNvPicPr>
                  <a:picLocks noChangeAspect="1" noChangeArrowheads="1"/>
                </xdr:cNvPicPr>
              </xdr:nvPicPr>
              <xdr:blipFill>
                <a:blip xmlns:r="http://schemas.openxmlformats.org/officeDocument/2006/relationships" r:embed="rId3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33032" y="384834"/>
                  <a:ext cx="261600" cy="33288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0" name="TextBox 89">
                  <a:hlinkClick xmlns:r="http://schemas.openxmlformats.org/officeDocument/2006/relationships" r:id="rId30"/>
                  <a:extLst>
                    <a:ext uri="{FF2B5EF4-FFF2-40B4-BE49-F238E27FC236}">
                      <a16:creationId xmlns:a16="http://schemas.microsoft.com/office/drawing/2014/main" id="{5A2F1431-5CE3-4BE9-5648-A47F96306F1D}"/>
                    </a:ext>
                  </a:extLst>
                </xdr:cNvPr>
                <xdr:cNvSpPr txBox="1"/>
              </xdr:nvSpPr>
              <xdr:spPr>
                <a:xfrm>
                  <a:off x="3637195" y="315564"/>
                  <a:ext cx="914586" cy="433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BALANCE SHEET</a:t>
                  </a:r>
                </a:p>
                <a:p>
                  <a:pPr algn="ctr"/>
                  <a:r>
                    <a:rPr lang="en-US" sz="900" b="1">
                      <a:solidFill>
                        <a:schemeClr val="bg1"/>
                      </a:solidFill>
                    </a:rPr>
                    <a:t>SUMMARY</a:t>
                  </a:r>
                </a:p>
              </xdr:txBody>
            </xdr:sp>
            <xdr:pic>
              <xdr:nvPicPr>
                <xdr:cNvPr id="91" name="Picture 90">
                  <a:hlinkClick xmlns:r="http://schemas.openxmlformats.org/officeDocument/2006/relationships" r:id="rId32"/>
                  <a:extLst>
                    <a:ext uri="{FF2B5EF4-FFF2-40B4-BE49-F238E27FC236}">
                      <a16:creationId xmlns:a16="http://schemas.microsoft.com/office/drawing/2014/main" id="{D336B93C-4340-2CDB-B709-D25B18ED2984}"/>
                    </a:ext>
                  </a:extLst>
                </xdr:cNvPr>
                <xdr:cNvPicPr>
                  <a:picLocks noChangeAspect="1" noChangeArrowheads="1"/>
                </xdr:cNvPicPr>
              </xdr:nvPicPr>
              <xdr:blipFill>
                <a:blip xmlns:r="http://schemas.openxmlformats.org/officeDocument/2006/relationships" r:embed="rId33" cstate="print">
                  <a:clrChange>
                    <a:clrFrom>
                      <a:srgbClr val="F8F8F8"/>
                    </a:clrFrom>
                    <a:clrTo>
                      <a:srgbClr val="F8F8F8">
                        <a:alpha val="0"/>
                      </a:srgbClr>
                    </a:clrTo>
                  </a:clrChange>
                  <a:extLst>
                    <a:ext uri="{28A0092B-C50C-407E-A947-70E740481C1C}">
                      <a14:useLocalDpi xmlns:a14="http://schemas.microsoft.com/office/drawing/2010/main" val="0"/>
                    </a:ext>
                  </a:extLst>
                </a:blip>
                <a:srcRect/>
                <a:stretch>
                  <a:fillRect/>
                </a:stretch>
              </xdr:blipFill>
              <xdr:spPr bwMode="auto">
                <a:xfrm>
                  <a:off x="4602713" y="384834"/>
                  <a:ext cx="326621" cy="3113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2" name="TextBox 91">
                  <a:hlinkClick xmlns:r="http://schemas.openxmlformats.org/officeDocument/2006/relationships" r:id="rId32"/>
                  <a:extLst>
                    <a:ext uri="{FF2B5EF4-FFF2-40B4-BE49-F238E27FC236}">
                      <a16:creationId xmlns:a16="http://schemas.microsoft.com/office/drawing/2014/main" id="{C596BF24-1B2F-F04C-07FB-777797E7C20F}"/>
                    </a:ext>
                  </a:extLst>
                </xdr:cNvPr>
                <xdr:cNvSpPr txBox="1"/>
              </xdr:nvSpPr>
              <xdr:spPr>
                <a:xfrm>
                  <a:off x="4880678" y="423317"/>
                  <a:ext cx="563346"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ASSETS</a:t>
                  </a:r>
                </a:p>
              </xdr:txBody>
            </xdr:sp>
            <xdr:pic>
              <xdr:nvPicPr>
                <xdr:cNvPr id="93" name="Picture 92">
                  <a:hlinkClick xmlns:r="http://schemas.openxmlformats.org/officeDocument/2006/relationships" r:id="rId34"/>
                  <a:extLst>
                    <a:ext uri="{FF2B5EF4-FFF2-40B4-BE49-F238E27FC236}">
                      <a16:creationId xmlns:a16="http://schemas.microsoft.com/office/drawing/2014/main" id="{94FB5AD0-8317-6992-1677-DE604AFDDE32}"/>
                    </a:ext>
                  </a:extLst>
                </xdr:cNvPr>
                <xdr:cNvPicPr>
                  <a:picLocks noChangeAspect="1" noChangeArrowheads="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35903" y="354046"/>
                  <a:ext cx="278234" cy="3540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4" name="TextBox 93">
                  <a:hlinkClick xmlns:r="http://schemas.openxmlformats.org/officeDocument/2006/relationships" r:id="rId34"/>
                  <a:extLst>
                    <a:ext uri="{FF2B5EF4-FFF2-40B4-BE49-F238E27FC236}">
                      <a16:creationId xmlns:a16="http://schemas.microsoft.com/office/drawing/2014/main" id="{73E60E71-AAAD-4C1C-D752-149C6D4E913D}"/>
                    </a:ext>
                  </a:extLst>
                </xdr:cNvPr>
                <xdr:cNvSpPr txBox="1"/>
              </xdr:nvSpPr>
              <xdr:spPr>
                <a:xfrm>
                  <a:off x="5717678" y="431014"/>
                  <a:ext cx="750091" cy="287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LIABILITIES</a:t>
                  </a:r>
                </a:p>
              </xdr:txBody>
            </xdr:sp>
            <xdr:pic>
              <xdr:nvPicPr>
                <xdr:cNvPr id="95" name="Picture 94">
                  <a:hlinkClick xmlns:r="http://schemas.openxmlformats.org/officeDocument/2006/relationships" r:id="rId36"/>
                  <a:extLst>
                    <a:ext uri="{FF2B5EF4-FFF2-40B4-BE49-F238E27FC236}">
                      <a16:creationId xmlns:a16="http://schemas.microsoft.com/office/drawing/2014/main" id="{E320FAA5-17F1-CF0B-F8FF-1E193759CCFC}"/>
                    </a:ext>
                  </a:extLst>
                </xdr:cNvPr>
                <xdr:cNvPicPr>
                  <a:picLocks noChangeAspect="1"/>
                </xdr:cNvPicPr>
              </xdr:nvPicPr>
              <xdr:blipFill>
                <a:blip xmlns:r="http://schemas.openxmlformats.org/officeDocument/2006/relationships" r:embed="rId37">
                  <a:clrChange>
                    <a:clrFrom>
                      <a:srgbClr val="FFFFFF"/>
                    </a:clrFrom>
                    <a:clrTo>
                      <a:srgbClr val="FFFFFF">
                        <a:alpha val="0"/>
                      </a:srgbClr>
                    </a:clrTo>
                  </a:clrChange>
                </a:blip>
                <a:stretch>
                  <a:fillRect/>
                </a:stretch>
              </xdr:blipFill>
              <xdr:spPr>
                <a:xfrm>
                  <a:off x="6454424" y="361268"/>
                  <a:ext cx="368693" cy="354523"/>
                </a:xfrm>
                <a:prstGeom prst="rect">
                  <a:avLst/>
                </a:prstGeom>
              </xdr:spPr>
            </xdr:pic>
            <xdr:sp macro="" textlink="">
              <xdr:nvSpPr>
                <xdr:cNvPr id="96" name="TextBox 95">
                  <a:hlinkClick xmlns:r="http://schemas.openxmlformats.org/officeDocument/2006/relationships" r:id="rId36"/>
                  <a:extLst>
                    <a:ext uri="{FF2B5EF4-FFF2-40B4-BE49-F238E27FC236}">
                      <a16:creationId xmlns:a16="http://schemas.microsoft.com/office/drawing/2014/main" id="{28A04F2E-241D-06F7-9B8D-9ED42941AD8E}"/>
                    </a:ext>
                  </a:extLst>
                </xdr:cNvPr>
                <xdr:cNvSpPr txBox="1"/>
              </xdr:nvSpPr>
              <xdr:spPr>
                <a:xfrm>
                  <a:off x="6742924" y="369440"/>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900" b="1">
                      <a:solidFill>
                        <a:schemeClr val="bg1"/>
                      </a:solidFill>
                    </a:rPr>
                    <a:t>EDIT</a:t>
                  </a:r>
                </a:p>
                <a:p>
                  <a:r>
                    <a:rPr lang="en-US" sz="900" b="1">
                      <a:solidFill>
                        <a:schemeClr val="bg1"/>
                      </a:solidFill>
                    </a:rPr>
                    <a:t>CATEGORIES</a:t>
                  </a:r>
                </a:p>
              </xdr:txBody>
            </xdr:sp>
            <xdr:grpSp>
              <xdr:nvGrpSpPr>
                <xdr:cNvPr id="97" name="Group 96">
                  <a:hlinkClick xmlns:r="http://schemas.openxmlformats.org/officeDocument/2006/relationships" r:id="rId38"/>
                  <a:extLst>
                    <a:ext uri="{FF2B5EF4-FFF2-40B4-BE49-F238E27FC236}">
                      <a16:creationId xmlns:a16="http://schemas.microsoft.com/office/drawing/2014/main" id="{2F3B730B-F2D1-B525-7DE5-A18ECF2E8E94}"/>
                    </a:ext>
                  </a:extLst>
                </xdr:cNvPr>
                <xdr:cNvGrpSpPr/>
              </xdr:nvGrpSpPr>
              <xdr:grpSpPr>
                <a:xfrm>
                  <a:off x="10231249" y="237461"/>
                  <a:ext cx="1281586" cy="502920"/>
                  <a:chOff x="11732389" y="237461"/>
                  <a:chExt cx="1281586" cy="502920"/>
                </a:xfrm>
              </xdr:grpSpPr>
              <xdr:pic>
                <xdr:nvPicPr>
                  <xdr:cNvPr id="98" name="Picture 97">
                    <a:hlinkClick xmlns:r="http://schemas.openxmlformats.org/officeDocument/2006/relationships" r:id="rId39"/>
                    <a:extLst>
                      <a:ext uri="{FF2B5EF4-FFF2-40B4-BE49-F238E27FC236}">
                        <a16:creationId xmlns:a16="http://schemas.microsoft.com/office/drawing/2014/main" id="{E86237C4-C75F-A93B-8509-0311670DCB06}"/>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1732389" y="237461"/>
                    <a:ext cx="502920" cy="502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9" name="TextBox 98">
                    <a:hlinkClick xmlns:r="http://schemas.openxmlformats.org/officeDocument/2006/relationships" r:id="rId39"/>
                    <a:extLst>
                      <a:ext uri="{FF2B5EF4-FFF2-40B4-BE49-F238E27FC236}">
                        <a16:creationId xmlns:a16="http://schemas.microsoft.com/office/drawing/2014/main" id="{D821522D-F3F0-B12F-7B34-1106A8EB3311}"/>
                      </a:ext>
                    </a:extLst>
                  </xdr:cNvPr>
                  <xdr:cNvSpPr txBox="1"/>
                </xdr:nvSpPr>
                <xdr:spPr>
                  <a:xfrm>
                    <a:off x="12197209" y="344142"/>
                    <a:ext cx="816766" cy="3954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 GAME APPS</a:t>
                    </a:r>
                  </a:p>
                </xdr:txBody>
              </xdr:sp>
            </xdr:grpSp>
          </xdr:grpSp>
          <xdr:grpSp>
            <xdr:nvGrpSpPr>
              <xdr:cNvPr id="58" name="Group 57">
                <a:extLst>
                  <a:ext uri="{FF2B5EF4-FFF2-40B4-BE49-F238E27FC236}">
                    <a16:creationId xmlns:a16="http://schemas.microsoft.com/office/drawing/2014/main" id="{C041FC77-6C50-01C1-7689-84468FDA3309}"/>
                  </a:ext>
                </a:extLst>
              </xdr:cNvPr>
              <xdr:cNvGrpSpPr/>
            </xdr:nvGrpSpPr>
            <xdr:grpSpPr>
              <a:xfrm>
                <a:off x="3030070" y="313765"/>
                <a:ext cx="1219410" cy="438976"/>
                <a:chOff x="3030070" y="313765"/>
                <a:chExt cx="1219410" cy="438976"/>
              </a:xfrm>
            </xdr:grpSpPr>
            <xdr:sp macro="" textlink="">
              <xdr:nvSpPr>
                <xdr:cNvPr id="59" name="TextBox 58">
                  <a:hlinkClick xmlns:r="http://schemas.openxmlformats.org/officeDocument/2006/relationships" r:id="rId41"/>
                  <a:extLst>
                    <a:ext uri="{FF2B5EF4-FFF2-40B4-BE49-F238E27FC236}">
                      <a16:creationId xmlns:a16="http://schemas.microsoft.com/office/drawing/2014/main" id="{286556A5-EB99-115B-D2CF-E33D42651F0C}"/>
                    </a:ext>
                  </a:extLst>
                </xdr:cNvPr>
                <xdr:cNvSpPr txBox="1"/>
              </xdr:nvSpPr>
              <xdr:spPr>
                <a:xfrm>
                  <a:off x="3307528" y="313765"/>
                  <a:ext cx="941952" cy="438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BOOK KEEPING</a:t>
                  </a:r>
                </a:p>
                <a:p>
                  <a:pPr algn="ctr"/>
                  <a:r>
                    <a:rPr lang="en-US" sz="900" b="1">
                      <a:solidFill>
                        <a:schemeClr val="bg1"/>
                      </a:solidFill>
                    </a:rPr>
                    <a:t>LEDGER</a:t>
                  </a:r>
                </a:p>
              </xdr:txBody>
            </xdr:sp>
            <xdr:pic>
              <xdr:nvPicPr>
                <xdr:cNvPr id="60" name="Picture 59">
                  <a:hlinkClick xmlns:r="http://schemas.openxmlformats.org/officeDocument/2006/relationships" r:id="rId41"/>
                  <a:extLst>
                    <a:ext uri="{FF2B5EF4-FFF2-40B4-BE49-F238E27FC236}">
                      <a16:creationId xmlns:a16="http://schemas.microsoft.com/office/drawing/2014/main" id="{3BFE1EC8-A9A3-D0B6-35ED-CC1CFCEF90E9}"/>
                    </a:ext>
                  </a:extLst>
                </xdr:cNvPr>
                <xdr:cNvPicPr>
                  <a:picLocks noChangeAspect="1"/>
                </xdr:cNvPicPr>
              </xdr:nvPicPr>
              <xdr:blipFill>
                <a:blip xmlns:r="http://schemas.openxmlformats.org/officeDocument/2006/relationships" r:embed="rId4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0070" y="367554"/>
                  <a:ext cx="327770" cy="349622"/>
                </a:xfrm>
                <a:prstGeom prst="rect">
                  <a:avLst/>
                </a:prstGeom>
              </xdr:spPr>
            </xdr:pic>
          </xdr:grpSp>
        </xdr:grpSp>
        <xdr:grpSp>
          <xdr:nvGrpSpPr>
            <xdr:cNvPr id="54" name="Group 53">
              <a:extLst>
                <a:ext uri="{FF2B5EF4-FFF2-40B4-BE49-F238E27FC236}">
                  <a16:creationId xmlns:a16="http://schemas.microsoft.com/office/drawing/2014/main" id="{FB0F9ECA-0139-0A75-A457-14F0CF640FCC}"/>
                </a:ext>
              </a:extLst>
            </xdr:cNvPr>
            <xdr:cNvGrpSpPr/>
          </xdr:nvGrpSpPr>
          <xdr:grpSpPr>
            <a:xfrm>
              <a:off x="12626340" y="243840"/>
              <a:ext cx="1344125" cy="571500"/>
              <a:chOff x="12626340" y="243840"/>
              <a:chExt cx="1344125" cy="571500"/>
            </a:xfrm>
          </xdr:grpSpPr>
          <xdr:pic>
            <xdr:nvPicPr>
              <xdr:cNvPr id="55" name="Picture 54">
                <a:hlinkClick xmlns:r="http://schemas.openxmlformats.org/officeDocument/2006/relationships" r:id="rId43"/>
                <a:extLst>
                  <a:ext uri="{FF2B5EF4-FFF2-40B4-BE49-F238E27FC236}">
                    <a16:creationId xmlns:a16="http://schemas.microsoft.com/office/drawing/2014/main" id="{CD9C1E24-9AAF-5483-D5BE-3F32D1AA8DB2}"/>
                  </a:ext>
                </a:extLst>
              </xdr:cNvPr>
              <xdr:cNvPicPr>
                <a:picLocks noChangeAspect="1" noChangeArrowheads="1"/>
              </xdr:cNvPicPr>
            </xdr:nvPicPr>
            <xdr:blipFill>
              <a:blip xmlns:r="http://schemas.openxmlformats.org/officeDocument/2006/relationships" r:embed="rId4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26340" y="243840"/>
                <a:ext cx="571500" cy="5715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6" name="TextBox 55">
                <a:hlinkClick xmlns:r="http://schemas.openxmlformats.org/officeDocument/2006/relationships" r:id="rId43"/>
                <a:extLst>
                  <a:ext uri="{FF2B5EF4-FFF2-40B4-BE49-F238E27FC236}">
                    <a16:creationId xmlns:a16="http://schemas.microsoft.com/office/drawing/2014/main" id="{1C7FD046-87C2-4AAD-B728-4A6E02752E6A}"/>
                  </a:ext>
                </a:extLst>
              </xdr:cNvPr>
              <xdr:cNvSpPr txBox="1"/>
            </xdr:nvSpPr>
            <xdr:spPr>
              <a:xfrm>
                <a:off x="13129260" y="327660"/>
                <a:ext cx="841205" cy="4000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US" sz="900" b="1">
                    <a:solidFill>
                      <a:schemeClr val="bg1"/>
                    </a:solidFill>
                  </a:rPr>
                  <a:t>TRAVEL</a:t>
                </a:r>
              </a:p>
              <a:p>
                <a:pPr algn="ctr"/>
                <a:r>
                  <a:rPr lang="en-US" sz="900" b="1">
                    <a:solidFill>
                      <a:schemeClr val="bg1"/>
                    </a:solidFill>
                  </a:rPr>
                  <a:t>SANDBOX</a:t>
                </a:r>
              </a:p>
            </xdr:txBody>
          </xdr:sp>
        </xdr:grpSp>
      </xdr:grpSp>
      <xdr:pic>
        <xdr:nvPicPr>
          <xdr:cNvPr id="52" name="Picture 51">
            <a:hlinkClick xmlns:r="http://schemas.openxmlformats.org/officeDocument/2006/relationships" r:id="rId11"/>
            <a:extLst>
              <a:ext uri="{FF2B5EF4-FFF2-40B4-BE49-F238E27FC236}">
                <a16:creationId xmlns:a16="http://schemas.microsoft.com/office/drawing/2014/main" id="{33AD3E34-E73A-34CC-AFA6-B549F384BF5F}"/>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34100" y="30480"/>
            <a:ext cx="234698" cy="246078"/>
          </a:xfrm>
          <a:prstGeom prst="rect">
            <a:avLst/>
          </a:prstGeom>
          <a:solidFill>
            <a:srgbClr val="7FA6C7"/>
          </a:solidFill>
        </xdr:spPr>
      </xdr:pic>
    </xdr:grpSp>
    <xdr:clientData/>
  </xdr:twoCellAnchor>
</xdr:wsDr>
</file>

<file path=xl/persons/person.xml><?xml version="1.0" encoding="utf-8"?>
<personList xmlns="http://schemas.microsoft.com/office/spreadsheetml/2018/threadedcomments" xmlns:x="http://schemas.openxmlformats.org/spreadsheetml/2006/main">
  <person displayName="Mike Forsberg" id="{2D333DC3-E3D5-4047-B066-12E0CDB57318}" userId="14358f85e4e265f3" providerId="Windows Liv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848E408-280B-4EE9-B162-BE1B8C653866}" name="Table3" displayName="Table3" ref="D12:R32" totalsRowShown="0" headerRowDxfId="523" dataDxfId="522" tableBorderDxfId="521" dataCellStyle="Normal 2">
  <autoFilter ref="D12:R32" xr:uid="{B848E408-280B-4EE9-B162-BE1B8C653866}"/>
  <tableColumns count="15">
    <tableColumn id="1" xr3:uid="{E9C73D25-2BD1-4468-8048-F27616C97019}" name="Category" dataDxfId="520" dataCellStyle="Normal 2"/>
    <tableColumn id="2" xr3:uid="{FA4A4AF7-CD76-43D2-B304-63D7174E12FF}" name="Sub-Category" dataDxfId="519" dataCellStyle="Normal 2"/>
    <tableColumn id="3" xr3:uid="{7CA481E4-2333-4582-910B-79C9AC308C26}" name="Description" dataDxfId="518" dataCellStyle="Normal 2"/>
    <tableColumn id="4" xr3:uid="{6A28BFC3-7C5C-4FB7-A87C-5F27AA832365}" name="Vendor" dataDxfId="517" dataCellStyle="Normal 2"/>
    <tableColumn id="5" xr3:uid="{150BBD8C-761C-43BC-8275-8FDCA7947F9F}" name="Quantity" dataDxfId="516" dataCellStyle="Normal 2"/>
    <tableColumn id="6" xr3:uid="{AB0C79EE-E720-4A2F-9138-FB9492DA8688}" name="Unit Price" dataDxfId="515" dataCellStyle="Normal 2"/>
    <tableColumn id="7" xr3:uid="{91D7BEFD-2F7A-491D-B73B-9A19A0E3C294}" name="Total" dataDxfId="514" dataCellStyle="Normal 2">
      <calculatedColumnFormula>Table3[[#This Row],[Quantity]]*Table3[[#This Row],[Unit Price]]</calculatedColumnFormula>
    </tableColumn>
    <tableColumn id="8" xr3:uid="{EC9BE2EA-C94A-4B2A-8D99-80835BE49FB9}" name="Comment" dataDxfId="513" dataCellStyle="Normal 2"/>
    <tableColumn id="15" xr3:uid="{F73D428B-B3C6-4B0F-B6F4-8880464C75BB}" name="Link" dataDxfId="512" dataCellStyle="Normal 2"/>
    <tableColumn id="10" xr3:uid="{BBF5101A-B45E-4E5A-8543-0C3524D92D70}" name="P1" dataDxfId="511" dataCellStyle="Normal 2"/>
    <tableColumn id="11" xr3:uid="{C54CB166-444F-475F-9290-D8DDDE86B112}" name="P2" dataDxfId="510" dataCellStyle="Normal 2"/>
    <tableColumn id="12" xr3:uid="{BD9A585B-77D9-4422-95AE-A9180D8C56C9}" name="P3" dataDxfId="509" dataCellStyle="Normal 2"/>
    <tableColumn id="13" xr3:uid="{AEA1F371-9652-4543-B836-3F816DDBD220}" name="P4" dataDxfId="508" dataCellStyle="Normal 2"/>
    <tableColumn id="14" xr3:uid="{460DBDE3-5BDC-4798-9222-EFAD6EEE72BA}" name="P5" dataDxfId="507" dataCellStyle="Normal 2"/>
    <tableColumn id="16" xr3:uid="{3CC2E63C-2300-4FB1-B627-6F1CFFD7E876}" name="Check" dataDxfId="506" dataCellStyle="Normal 2">
      <calculatedColumnFormula array="1">INDEX(Table3[[#This Row],[P1]:[P5]],1,$H$34)</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001C2D9-F5F9-4BD3-B94B-679FED68B792}" name="Table3789101112131415" displayName="Table3789101112131415" ref="D354:R374" totalsRowShown="0" headerRowDxfId="361" dataDxfId="360" tableBorderDxfId="359" dataCellStyle="Normal 2">
  <autoFilter ref="D354:R374" xr:uid="{6001C2D9-F5F9-4BD3-B94B-679FED68B792}"/>
  <tableColumns count="15">
    <tableColumn id="1" xr3:uid="{8D2DBDD1-3C78-4732-B8E1-8C42187928A3}" name="Category" dataDxfId="358" dataCellStyle="Normal 2"/>
    <tableColumn id="2" xr3:uid="{D07A42D8-3B79-43FA-8EEA-20D8CB3EBBF2}" name="Sub-Category" dataDxfId="357" dataCellStyle="Normal 2"/>
    <tableColumn id="3" xr3:uid="{44FC324F-2213-419C-BF88-A32E51F1FFA1}" name="Description" dataDxfId="356" dataCellStyle="Normal 2"/>
    <tableColumn id="4" xr3:uid="{FC436D65-6112-4E55-A3AB-B66A2A38FF4F}" name="Vendor" dataDxfId="355" dataCellStyle="Normal 2"/>
    <tableColumn id="5" xr3:uid="{570F9ADB-35CF-4E59-A76F-CB7EBA73F405}" name="Quantity" dataDxfId="354" dataCellStyle="Normal 2"/>
    <tableColumn id="6" xr3:uid="{6C2624B8-6CA1-4C4D-9812-813DBCD3D924}" name="Unit Price" dataDxfId="353" dataCellStyle="Normal 2"/>
    <tableColumn id="7" xr3:uid="{E40F0A9D-5872-4F02-8A64-9B53AB02A251}" name="Total" dataDxfId="352" dataCellStyle="Normal 2">
      <calculatedColumnFormula>Table3789101112131415[[#This Row],[Quantity]]*Table3789101112131415[[#This Row],[Unit Price]]</calculatedColumnFormula>
    </tableColumn>
    <tableColumn id="8" xr3:uid="{5202A7BE-09E8-4989-80AF-7F058D57EB89}" name="Comment" dataDxfId="351" dataCellStyle="Normal 2"/>
    <tableColumn id="15" xr3:uid="{C3DD561E-0088-490C-BDE8-1F90CC7459AC}" name="Link" dataDxfId="350" dataCellStyle="Normal 2"/>
    <tableColumn id="10" xr3:uid="{71B8E84A-7788-466B-9987-77FF10D990E6}" name="P1" dataDxfId="349" dataCellStyle="Normal 2"/>
    <tableColumn id="11" xr3:uid="{E7ABBB80-CE2F-49E6-AFF2-F96356EE95FD}" name="P2" dataDxfId="348" dataCellStyle="Normal 2"/>
    <tableColumn id="12" xr3:uid="{4DED64BF-956E-435E-BA52-5288349E63A3}" name="P3" dataDxfId="347" dataCellStyle="Normal 2"/>
    <tableColumn id="13" xr3:uid="{80B501D6-C5FF-4027-B37E-A43F6E223537}" name="P4" dataDxfId="346" dataCellStyle="Normal 2"/>
    <tableColumn id="14" xr3:uid="{3B4A76E2-A154-48E2-B58F-10FABB6D6DBF}" name="P5" dataDxfId="345" dataCellStyle="Normal 2"/>
    <tableColumn id="16" xr3:uid="{52D5D189-A938-4716-BB6C-89727B6C2499}" name="Check" dataDxfId="344" dataCellStyle="Normal 2">
      <calculatedColumnFormula array="1">INDEX(Table3789101112131415[[#This Row],[P1]:[P5]],1,$H$34)</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D2A9B2A-C50D-431B-B280-20866ECF073F}" name="Table378910111213141516" displayName="Table378910111213141516" ref="D392:R412" totalsRowShown="0" headerRowDxfId="343" dataDxfId="342" tableBorderDxfId="341" dataCellStyle="Normal 2">
  <autoFilter ref="D392:R412" xr:uid="{0D2A9B2A-C50D-431B-B280-20866ECF073F}"/>
  <tableColumns count="15">
    <tableColumn id="1" xr3:uid="{B8CA668C-5F60-4F90-A15E-8C1987E5B77B}" name="Category" dataDxfId="340" dataCellStyle="Normal 2"/>
    <tableColumn id="2" xr3:uid="{D377BAFE-6265-438D-8FCB-3C9FE887720C}" name="Sub-Category" dataDxfId="339" dataCellStyle="Normal 2"/>
    <tableColumn id="3" xr3:uid="{1C23E956-8B3F-45D5-9373-8447256DD1D7}" name="Description" dataDxfId="338" dataCellStyle="Normal 2"/>
    <tableColumn id="4" xr3:uid="{CD80BF58-545F-43F3-B0BE-52BE5406755C}" name="Vendor" dataDxfId="337" dataCellStyle="Normal 2"/>
    <tableColumn id="5" xr3:uid="{05867CE2-4470-42FD-9964-2F423683FF7C}" name="Quantity" dataDxfId="336" dataCellStyle="Normal 2"/>
    <tableColumn id="6" xr3:uid="{365D2CFB-4F49-4D9A-A3CA-63B909B9EFCA}" name="Unit Price" dataDxfId="335" dataCellStyle="Normal 2"/>
    <tableColumn id="7" xr3:uid="{76EEAAE3-7EC4-4B18-9263-76353094CCDF}" name="Total" dataDxfId="334" dataCellStyle="Normal 2">
      <calculatedColumnFormula>Table378910111213141516[[#This Row],[Quantity]]*Table378910111213141516[[#This Row],[Unit Price]]</calculatedColumnFormula>
    </tableColumn>
    <tableColumn id="8" xr3:uid="{98713591-455A-4FD0-9791-00464E180EE8}" name="Comment" dataDxfId="333" dataCellStyle="Normal 2"/>
    <tableColumn id="15" xr3:uid="{5882D9BA-03C8-42A3-A8DA-3F9970A4FB1D}" name="Link" dataDxfId="332" dataCellStyle="Normal 2"/>
    <tableColumn id="10" xr3:uid="{8F46B04F-A6C1-4AB3-A3BF-AB11EB0E8667}" name="P1" dataDxfId="331" dataCellStyle="Normal 2"/>
    <tableColumn id="11" xr3:uid="{405C9457-F901-4027-ABA2-E64A01BACCAE}" name="P2" dataDxfId="330" dataCellStyle="Normal 2"/>
    <tableColumn id="12" xr3:uid="{D58EED98-2677-4956-A217-216C47956BF7}" name="P3" dataDxfId="329" dataCellStyle="Normal 2"/>
    <tableColumn id="13" xr3:uid="{4DF85682-6C36-4833-BF03-C2094A8C0AAB}" name="P4" dataDxfId="328" dataCellStyle="Normal 2"/>
    <tableColumn id="14" xr3:uid="{113B601A-1E60-4CBD-870F-60987225F259}" name="P5" dataDxfId="327" dataCellStyle="Normal 2"/>
    <tableColumn id="16" xr3:uid="{4D8BE263-D0A5-4172-ABD5-06BADBC2D9B2}" name="Check" dataDxfId="326" dataCellStyle="Normal 2">
      <calculatedColumnFormula array="1">INDEX(Table378910111213141516[[#This Row],[P1]:[P5]],1,$H$34)</calculatedColumnFormula>
    </tableColumn>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7A0223A1-6125-4E2D-B0D5-3CA65A1FA294}" name="Table37891011121314151617" displayName="Table37891011121314151617" ref="D430:R450" totalsRowShown="0" headerRowDxfId="325" dataDxfId="324" tableBorderDxfId="323" dataCellStyle="Normal 2">
  <autoFilter ref="D430:R450" xr:uid="{7A0223A1-6125-4E2D-B0D5-3CA65A1FA294}"/>
  <tableColumns count="15">
    <tableColumn id="1" xr3:uid="{E4E50BCC-DCBC-46E5-AEB0-C61A5048A2D8}" name="Category" dataDxfId="322" dataCellStyle="Normal 2"/>
    <tableColumn id="2" xr3:uid="{F6F461E4-51E4-4FB5-BA87-17B121F4596D}" name="Sub-Category" dataDxfId="321" dataCellStyle="Normal 2"/>
    <tableColumn id="3" xr3:uid="{BE99FB99-FCB0-4D40-B304-EFA2E72F5DFF}" name="Description" dataDxfId="320" dataCellStyle="Normal 2"/>
    <tableColumn id="4" xr3:uid="{B93C0649-761F-45F2-81CF-10D45D5B0884}" name="Vendor" dataDxfId="319" dataCellStyle="Normal 2"/>
    <tableColumn id="5" xr3:uid="{C3B663F9-377B-4626-BEE1-90930138A3E6}" name="Quantity" dataDxfId="318" dataCellStyle="Normal 2"/>
    <tableColumn id="6" xr3:uid="{6F3A5E8F-5685-4158-81C4-5EDE8141D2EA}" name="Unit Price" dataDxfId="317" dataCellStyle="Normal 2"/>
    <tableColumn id="7" xr3:uid="{99844274-E7FB-46D3-ADDB-26116B7992FF}" name="Total" dataDxfId="316" dataCellStyle="Normal 2">
      <calculatedColumnFormula>Table37891011121314151617[[#This Row],[Quantity]]*Table37891011121314151617[[#This Row],[Unit Price]]</calculatedColumnFormula>
    </tableColumn>
    <tableColumn id="8" xr3:uid="{468AEF0E-8243-4081-8AC8-CFAB67F7903F}" name="Comment" dataDxfId="315" dataCellStyle="Normal 2"/>
    <tableColumn id="15" xr3:uid="{5919C7FA-62D3-42A7-A9BB-463F25FD8143}" name="Link" dataDxfId="314" dataCellStyle="Normal 2"/>
    <tableColumn id="10" xr3:uid="{5E630156-D763-42C2-AC7D-B585CDBADFFB}" name="P1" dataDxfId="313" dataCellStyle="Normal 2"/>
    <tableColumn id="11" xr3:uid="{B09DEF4F-2923-4E06-A93F-47B3B787557B}" name="P2" dataDxfId="312" dataCellStyle="Normal 2"/>
    <tableColumn id="12" xr3:uid="{B6B9296F-793D-4924-B8CC-BFDFF3F45B88}" name="P3" dataDxfId="311" dataCellStyle="Normal 2"/>
    <tableColumn id="13" xr3:uid="{88D197AE-C69F-4CFF-8E1D-7D31E643143D}" name="P4" dataDxfId="310" dataCellStyle="Normal 2"/>
    <tableColumn id="14" xr3:uid="{27D8D47F-C3E1-452E-9BF2-D63EF939CAAC}" name="P5" dataDxfId="309" dataCellStyle="Normal 2"/>
    <tableColumn id="16" xr3:uid="{B72D6C2F-FE13-4BE4-A896-69F9D915EBE3}" name="Check" dataDxfId="308" dataCellStyle="Normal 2">
      <calculatedColumnFormula array="1">INDEX(Table37891011121314151617[[#This Row],[P1]:[P5]],1,$H$34)</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2B66349E-E973-41EC-9BCE-2DE01BDD90C2}" name="Table3789101112131415161718" displayName="Table3789101112131415161718" ref="D468:R488" totalsRowShown="0" headerRowDxfId="307" dataDxfId="306" tableBorderDxfId="305" dataCellStyle="Normal 2">
  <autoFilter ref="D468:R488" xr:uid="{2B66349E-E973-41EC-9BCE-2DE01BDD90C2}"/>
  <tableColumns count="15">
    <tableColumn id="1" xr3:uid="{7EDE20BF-6297-499D-88E4-637E312C2B52}" name="Category" dataDxfId="304" dataCellStyle="Normal 2"/>
    <tableColumn id="2" xr3:uid="{F6C44D52-057C-45C1-8DEA-99F03D3BA623}" name="Sub-Category" dataDxfId="303" dataCellStyle="Normal 2"/>
    <tableColumn id="3" xr3:uid="{F89490F1-2BFF-469D-8F61-85731C3EEED7}" name="Description" dataDxfId="302" dataCellStyle="Normal 2"/>
    <tableColumn id="4" xr3:uid="{BFCB7ADB-43BA-420A-9CFB-BEBE80AA5A5A}" name="Vendor" dataDxfId="301" dataCellStyle="Normal 2"/>
    <tableColumn id="5" xr3:uid="{D8BE9C1C-6429-4689-89C3-EA24CC41DA38}" name="Quantity" dataDxfId="300" dataCellStyle="Normal 2"/>
    <tableColumn id="6" xr3:uid="{48D1D997-129D-4141-BC46-2E285A32C363}" name="Unit Price" dataDxfId="299" dataCellStyle="Normal 2"/>
    <tableColumn id="7" xr3:uid="{C3F1B6A6-6824-4F4E-99B3-DF54E022981B}" name="Total" dataDxfId="298" dataCellStyle="Normal 2">
      <calculatedColumnFormula>Table3789101112131415161718[[#This Row],[Quantity]]*Table3789101112131415161718[[#This Row],[Unit Price]]</calculatedColumnFormula>
    </tableColumn>
    <tableColumn id="8" xr3:uid="{DC090076-AEBA-472C-8581-07EEC83C8051}" name="Comment" dataDxfId="297" dataCellStyle="Normal 2"/>
    <tableColumn id="15" xr3:uid="{EC077496-7419-49A9-A703-A77270DE57AF}" name="Link" dataDxfId="296" dataCellStyle="Normal 2"/>
    <tableColumn id="10" xr3:uid="{A7392E3F-F637-4CC8-A821-5319073BE488}" name="P1" dataDxfId="295" dataCellStyle="Normal 2"/>
    <tableColumn id="11" xr3:uid="{51DD3851-281E-4846-AC08-8141EC51CEA4}" name="P2" dataDxfId="294" dataCellStyle="Normal 2"/>
    <tableColumn id="12" xr3:uid="{E9F0F262-6A4A-4D47-9BEF-76663C3D35AD}" name="P3" dataDxfId="293" dataCellStyle="Normal 2"/>
    <tableColumn id="13" xr3:uid="{857B2886-2E99-40AD-81E9-DC2E039B505B}" name="P4" dataDxfId="292" dataCellStyle="Normal 2"/>
    <tableColumn id="14" xr3:uid="{8E99CA0D-6070-4EE9-A7D5-7A8A03E7C027}" name="P5" dataDxfId="291" dataCellStyle="Normal 2"/>
    <tableColumn id="16" xr3:uid="{36D95DC9-D644-4876-8B12-81F80334E296}" name="Check" dataDxfId="290" dataCellStyle="Normal 2">
      <calculatedColumnFormula array="1">INDEX(Table3789101112131415161718[[#This Row],[P1]:[P5]],1,$H$34)</calculatedColumnFormula>
    </tableColumn>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2E9F05EB-5F17-4DE4-8997-B6901A2EFED4}" name="Table378910111213141516171819" displayName="Table378910111213141516171819" ref="D506:R526" totalsRowShown="0" headerRowDxfId="289" dataDxfId="288" tableBorderDxfId="287" dataCellStyle="Normal 2">
  <autoFilter ref="D506:R526" xr:uid="{2E9F05EB-5F17-4DE4-8997-B6901A2EFED4}"/>
  <tableColumns count="15">
    <tableColumn id="1" xr3:uid="{EC1C68D8-41EC-4E69-A044-5E7DD90FDC8D}" name="Category" dataDxfId="286" dataCellStyle="Normal 2"/>
    <tableColumn id="2" xr3:uid="{EE202110-0E7B-4F85-AAC9-EE32A23D1B67}" name="Sub-Category" dataDxfId="285" dataCellStyle="Normal 2"/>
    <tableColumn id="3" xr3:uid="{EF0BC648-024E-4F92-90B3-35DC0A1CAEFA}" name="Description" dataDxfId="284" dataCellStyle="Normal 2"/>
    <tableColumn id="4" xr3:uid="{F28F9919-52CC-4A50-BF03-6A10B41F4B24}" name="Vendor" dataDxfId="283" dataCellStyle="Normal 2"/>
    <tableColumn id="5" xr3:uid="{DC4F6370-8639-4994-A996-37D90F271489}" name="Quantity" dataDxfId="282" dataCellStyle="Normal 2"/>
    <tableColumn id="6" xr3:uid="{4363873F-088C-4FB4-863A-A69DDE2AB8BC}" name="Unit Price" dataDxfId="281" dataCellStyle="Normal 2"/>
    <tableColumn id="7" xr3:uid="{99CAD787-E79A-424B-8F71-95838E18517F}" name="Total" dataDxfId="280" dataCellStyle="Normal 2">
      <calculatedColumnFormula>Table378910111213141516171819[[#This Row],[Quantity]]*Table378910111213141516171819[[#This Row],[Unit Price]]</calculatedColumnFormula>
    </tableColumn>
    <tableColumn id="8" xr3:uid="{A2B8ED1F-DEA2-4099-A8F8-4368464B2114}" name="Comment" dataDxfId="279" dataCellStyle="Normal 2"/>
    <tableColumn id="15" xr3:uid="{AAAB62FF-8F14-449E-A89E-3A79117B4E10}" name="Link" dataDxfId="278" dataCellStyle="Normal 2"/>
    <tableColumn id="10" xr3:uid="{E7C871B5-05FB-4E2B-B21A-41B61E6AF1D8}" name="P1" dataDxfId="277" dataCellStyle="Normal 2"/>
    <tableColumn id="11" xr3:uid="{123649D6-B26E-4F93-B930-5AA467C7BDE9}" name="P2" dataDxfId="276" dataCellStyle="Normal 2"/>
    <tableColumn id="12" xr3:uid="{340E2B15-63A7-456A-8A51-2CD9FFD1AD13}" name="P3" dataDxfId="275" dataCellStyle="Normal 2"/>
    <tableColumn id="13" xr3:uid="{68EF50BE-E102-4CC6-9E11-BFED1A3711AB}" name="P4" dataDxfId="274" dataCellStyle="Normal 2"/>
    <tableColumn id="14" xr3:uid="{6FC3D819-E6A3-4EE3-A921-88D4340240C1}" name="P5" dataDxfId="273" dataCellStyle="Normal 2"/>
    <tableColumn id="16" xr3:uid="{FB0A2938-B587-4CE7-B006-B57DB683A868}" name="Check" dataDxfId="272" dataCellStyle="Normal 2">
      <calculatedColumnFormula array="1">INDEX(Table378910111213141516171819[[#This Row],[P1]:[P5]],1,$H$34)</calculatedColumnFormula>
    </tableColumn>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CF79956F-47B2-4B1A-89D8-995A0637D683}" name="Table37891011121314151617181920" displayName="Table37891011121314151617181920" ref="D544:R564" totalsRowShown="0" headerRowDxfId="271" dataDxfId="270" tableBorderDxfId="269" dataCellStyle="Normal 2">
  <autoFilter ref="D544:R564" xr:uid="{CF79956F-47B2-4B1A-89D8-995A0637D683}"/>
  <tableColumns count="15">
    <tableColumn id="1" xr3:uid="{826A3460-DD81-4FC2-AD27-C52B8ACEF2D3}" name="Category" dataDxfId="268" dataCellStyle="Normal 2"/>
    <tableColumn id="2" xr3:uid="{60AB436F-D2F0-4B6B-A7D5-D69FDE130421}" name="Sub-Category" dataDxfId="267" dataCellStyle="Normal 2"/>
    <tableColumn id="3" xr3:uid="{68922B84-AED5-461E-8F3F-CB1ED6E93B0F}" name="Description" dataDxfId="266" dataCellStyle="Normal 2"/>
    <tableColumn id="4" xr3:uid="{420F0A2D-DA84-4B49-AADC-21D1982A4070}" name="Vendor" dataDxfId="265" dataCellStyle="Normal 2"/>
    <tableColumn id="5" xr3:uid="{D69E033B-213B-40F7-A794-4C4F49111BD3}" name="Quantity" dataDxfId="264" dataCellStyle="Normal 2"/>
    <tableColumn id="6" xr3:uid="{18258E8D-67C1-4EC3-B09A-8A5298C33437}" name="Unit Price" dataDxfId="263" dataCellStyle="Normal 2"/>
    <tableColumn id="7" xr3:uid="{3A7E44F4-AA29-442E-960E-8D266FB83A38}" name="Total" dataDxfId="262" dataCellStyle="Normal 2">
      <calculatedColumnFormula>Table37891011121314151617181920[[#This Row],[Quantity]]*Table37891011121314151617181920[[#This Row],[Unit Price]]</calculatedColumnFormula>
    </tableColumn>
    <tableColumn id="8" xr3:uid="{C5D33F10-9AE5-4434-BCF1-72A4DD074F58}" name="Comment" dataDxfId="261" dataCellStyle="Normal 2"/>
    <tableColumn id="15" xr3:uid="{171C6EA6-2225-4FBF-922D-C4B17BAFFEED}" name="Link" dataDxfId="260" dataCellStyle="Normal 2"/>
    <tableColumn id="10" xr3:uid="{65D30258-C1ED-4D12-A5C5-9EED3D342CED}" name="P1" dataDxfId="259" dataCellStyle="Normal 2"/>
    <tableColumn id="11" xr3:uid="{5ABFD4E6-3AEA-4B07-B8E9-856BB06D80F7}" name="P2" dataDxfId="258" dataCellStyle="Normal 2"/>
    <tableColumn id="12" xr3:uid="{4FCB1C41-A9B7-4455-A6F2-B31EE97CD969}" name="P3" dataDxfId="257" dataCellStyle="Normal 2"/>
    <tableColumn id="13" xr3:uid="{F9F9569F-F5C5-4178-A7C1-1FADE0404AB4}" name="P4" dataDxfId="256" dataCellStyle="Normal 2"/>
    <tableColumn id="14" xr3:uid="{7F0CF343-A86E-42FC-96C3-79B905166DFB}" name="P5" dataDxfId="255" dataCellStyle="Normal 2"/>
    <tableColumn id="16" xr3:uid="{20C13075-1155-4B6D-8B94-4275509EF9E2}" name="Check" dataDxfId="254" dataCellStyle="Normal 2">
      <calculatedColumnFormula array="1">INDEX(Table37891011121314151617181920[[#This Row],[P1]:[P5]],1,$H$34)</calculatedColumnFormula>
    </tableColumn>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CD0565B-AF4F-48C1-9351-AA89C3C8D98E}" name="Dashboard" displayName="Dashboard" ref="B6:D12" headerRowDxfId="229" dataDxfId="228" totalsRowDxfId="227">
  <autoFilter ref="B6:D12" xr:uid="{00000000-0009-0000-0100-000001000000}">
    <filterColumn colId="0" hiddenButton="1"/>
    <filterColumn colId="1" hiddenButton="1"/>
    <filterColumn colId="2" hiddenButton="1"/>
  </autoFilter>
  <tableColumns count="3">
    <tableColumn id="1" xr3:uid="{00000000-0010-0000-0000-000001000000}" name="ASSET TYPE" totalsRowLabel="Total" dataDxfId="226"/>
    <tableColumn id="2" xr3:uid="{00000000-0010-0000-0000-000002000000}" name="PRIOR YEAR" totalsRowFunction="sum" dataDxfId="225">
      <calculatedColumnFormula>SUMIFS(Assets[PRIOR YEAR],Assets[ASSET TYPE],Dashboard[[#This Row],[ASSET TYPE]])+SUMIFS(Liabilities[PRIOR YEAR],Liabilities[LIABILITY TYPE],Dashboard[[#This Row],[ASSET TYPE]])</calculatedColumnFormula>
    </tableColumn>
    <tableColumn id="3" xr3:uid="{00000000-0010-0000-0000-000003000000}" name="CURRENT YEAR" totalsRowFunction="sum" dataDxfId="224">
      <calculatedColumnFormula>SUMIFS(Assets[CURRENT YEAR
from ''FINANCIAL STATEMENT'' tab],Assets[ASSET TYPE],Dashboard[[#This Row],[ASSET TYPE]])+SUMIFS(Liabilities[CURRENT YEAR
from ''FINANCIAL STATEMENT'' tab],Liabilities[LIABILITY TYPE],Dashboard[[#This Row],[ASSET TYPE]])</calculatedColumnFormula>
    </tableColumn>
  </tableColumns>
  <tableStyleInfo name="Balance Sheet" showFirstColumn="0" showLastColumn="0" showRowStripes="0" showColumnStripes="0"/>
  <extLst>
    <ext xmlns:x14="http://schemas.microsoft.com/office/spreadsheetml/2009/9/main" uri="{504A1905-F514-4f6f-8877-14C23A59335A}">
      <x14:table altTextSummary="Select Asset Type to automatically update  comparison year values in this table. Total Assets, Total Liabilities &amp; Stockholder Equity, and Balance are calculated at end of table"/>
    </ext>
  </extLst>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D80970E-F862-4EF1-81EA-0F07279AA5C6}" name="Assets" displayName="Assets" ref="B5:E16" totalsRowCount="1" headerRowDxfId="214" dataDxfId="213" totalsRowDxfId="212">
  <autoFilter ref="B5:E15" xr:uid="{00000000-0009-0000-0100-000010000000}">
    <filterColumn colId="0" hiddenButton="1"/>
    <filterColumn colId="1" hiddenButton="1"/>
    <filterColumn colId="2" hiddenButton="1"/>
    <filterColumn colId="3" hiddenButton="1"/>
  </autoFilter>
  <tableColumns count="4">
    <tableColumn id="5" xr3:uid="{00000000-0010-0000-0100-000005000000}" name="ASSET TYPE" totalsRowLabel="TOTAL ASSETS" dataDxfId="211" totalsRowDxfId="210"/>
    <tableColumn id="1" xr3:uid="{00000000-0010-0000-0100-000001000000}" name="DESCRIPTION" dataDxfId="209" totalsRowDxfId="208"/>
    <tableColumn id="3" xr3:uid="{00000000-0010-0000-0100-000003000000}" name="PRIOR YEAR" totalsRowFunction="sum" dataDxfId="207" totalsRowDxfId="206" dataCellStyle="Currency"/>
    <tableColumn id="4" xr3:uid="{00000000-0010-0000-0100-000004000000}" name="CURRENT YEAR_x000a_from 'FINANCIAL STATEMENT' tab" totalsRowFunction="sum" dataDxfId="205" totalsRowDxfId="204" dataCellStyle="Currency">
      <calculatedColumnFormula>'FINANCIAL STATEMENT'!C58+'FINANCIAL STATEMENT'!C71</calculatedColumnFormula>
    </tableColumn>
  </tableColumns>
  <tableStyleInfo name="Balance Sheet" showFirstColumn="0" showLastColumn="0" showRowStripes="1" showColumnStripes="0"/>
  <extLst>
    <ext xmlns:x14="http://schemas.microsoft.com/office/spreadsheetml/2009/9/main" uri="{504A1905-F514-4f6f-8877-14C23A59335A}">
      <x14:table altTextSummary="Select Asset Type and enter corresponding Descriptions and values for comparison years in this table. Total Assets are calculated at end of table"/>
    </ext>
  </extLst>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BF30CDB-9019-42B9-A428-D2E286B05253}" name="Liabilities" displayName="Liabilities" ref="B5:E16" totalsRowCount="1" headerRowDxfId="200" dataDxfId="199" totalsRowDxfId="198">
  <autoFilter ref="B5:E15" xr:uid="{00000000-0009-0000-0100-000015000000}">
    <filterColumn colId="0" hiddenButton="1"/>
    <filterColumn colId="1" hiddenButton="1"/>
    <filterColumn colId="2" hiddenButton="1"/>
    <filterColumn colId="3" hiddenButton="1"/>
  </autoFilter>
  <tableColumns count="4">
    <tableColumn id="5" xr3:uid="{00000000-0010-0000-0200-000005000000}" name="LIABILITY TYPE" totalsRowLabel="TOTAL LIABILITIES &amp; STOCKHOLDER EQUITY" dataDxfId="197" totalsRowDxfId="196"/>
    <tableColumn id="1" xr3:uid="{00000000-0010-0000-0200-000001000000}" name="DESCRIPTION" dataDxfId="195" totalsRowDxfId="194"/>
    <tableColumn id="3" xr3:uid="{00000000-0010-0000-0200-000003000000}" name="PRIOR YEAR" totalsRowFunction="sum" dataDxfId="193" totalsRowDxfId="192"/>
    <tableColumn id="4" xr3:uid="{00000000-0010-0000-0200-000004000000}" name="CURRENT YEAR_x000a_from 'FINANCIAL STATEMENT' tab" totalsRowFunction="sum" dataDxfId="191" totalsRowDxfId="190" dataCellStyle="Currency"/>
  </tableColumns>
  <tableStyleInfo name="Balance Sheet" showFirstColumn="0" showLastColumn="0" showRowStripes="1" showColumnStripes="0"/>
  <extLst>
    <ext xmlns:x14="http://schemas.microsoft.com/office/spreadsheetml/2009/9/main" uri="{504A1905-F514-4f6f-8877-14C23A59335A}">
      <x14:table altTextSummary="Select Liability Type and enter corresponding Descriptions and values for comparison years in this table. Total Liabilities &amp; Stockholder Equity are calculated at end of table"/>
    </ext>
  </extLst>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9492089-3818-4650-9C46-C5F7DEF368E2}" name="Categories" displayName="Categories" ref="B5:B11" totalsRowShown="0" headerRowDxfId="189" dataDxfId="188">
  <autoFilter ref="B5:B11" xr:uid="{00000000-0009-0000-0100-000002000000}">
    <filterColumn colId="0" hiddenButton="1"/>
  </autoFilter>
  <tableColumns count="1">
    <tableColumn id="1" xr3:uid="{00000000-0010-0000-0300-000001000000}" name="*CATEGORIES for Assets, Liabilities" dataDxfId="187"/>
  </tableColumns>
  <tableStyleInfo name="Balance Sheet" showFirstColumn="0" showLastColumn="0" showRowStripes="0" showColumnStripes="0"/>
  <extLst>
    <ext xmlns:x14="http://schemas.microsoft.com/office/spreadsheetml/2009/9/main" uri="{504A1905-F514-4f6f-8877-14C23A59335A}">
      <x14:table altTextSummary="Enter categories for assest and liabilities in this table"/>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6114775-D5B0-49B1-B134-A95820C6FB67}" name="Table37" displayName="Table37" ref="D50:R70" totalsRowShown="0" headerRowDxfId="505" dataDxfId="504" tableBorderDxfId="503" dataCellStyle="Normal 2">
  <autoFilter ref="D50:R70" xr:uid="{96114775-D5B0-49B1-B134-A95820C6FB67}"/>
  <tableColumns count="15">
    <tableColumn id="1" xr3:uid="{84E4210C-B146-4BBF-B229-050B83553A91}" name="Category" dataDxfId="502" dataCellStyle="Normal 2"/>
    <tableColumn id="2" xr3:uid="{F0809BF5-F58B-4D96-A242-0A10D996B5FF}" name="Sub-Category" dataDxfId="501" dataCellStyle="Normal 2"/>
    <tableColumn id="3" xr3:uid="{8BC01C3E-70E7-48E2-9000-D2B6EFF43935}" name="Description" dataDxfId="500" dataCellStyle="Normal 2"/>
    <tableColumn id="4" xr3:uid="{F79EA47B-C494-412D-8CD1-068221B2AFBC}" name="Vendor" dataDxfId="499" dataCellStyle="Normal 2"/>
    <tableColumn id="5" xr3:uid="{B71411D8-5978-4FAB-9FE5-66454A02BA94}" name="Quantity" dataDxfId="498" dataCellStyle="Normal 2"/>
    <tableColumn id="6" xr3:uid="{395A7AA9-A50C-4570-96AE-7D21465B0FA2}" name="Unit Price" dataDxfId="497" dataCellStyle="Normal 2"/>
    <tableColumn id="7" xr3:uid="{FE9FCB02-4071-4D89-8A40-750F8A727CDB}" name="Total" dataDxfId="496" dataCellStyle="Normal 2">
      <calculatedColumnFormula>Table37[[#This Row],[Quantity]]*Table37[[#This Row],[Unit Price]]</calculatedColumnFormula>
    </tableColumn>
    <tableColumn id="8" xr3:uid="{A21C2B87-25F5-4E4D-A50A-DA659B75E898}" name="Comment" dataDxfId="495" dataCellStyle="Normal 2"/>
    <tableColumn id="15" xr3:uid="{C3A58EAD-1CEB-4D18-851B-CB588D8BEE43}" name="Link" dataDxfId="494" dataCellStyle="Normal 2"/>
    <tableColumn id="10" xr3:uid="{0FC274B2-547E-413B-B777-75C9A0A921DE}" name="P1" dataDxfId="493" dataCellStyle="Normal 2"/>
    <tableColumn id="11" xr3:uid="{3C0F90AA-EAFB-483F-AA45-BA8DB8128BD1}" name="P2" dataDxfId="492" dataCellStyle="Normal 2"/>
    <tableColumn id="12" xr3:uid="{5F2B965B-5A8E-4D61-A6E0-8CC830A19397}" name="P3" dataDxfId="491" dataCellStyle="Normal 2"/>
    <tableColumn id="13" xr3:uid="{D983C155-5710-4E8E-BB95-204E90AC5953}" name="P4" dataDxfId="490" dataCellStyle="Normal 2"/>
    <tableColumn id="14" xr3:uid="{3728C260-89AF-4A8F-8A27-FD90915AEF1F}" name="P5" dataDxfId="489" dataCellStyle="Normal 2"/>
    <tableColumn id="16" xr3:uid="{F63EA2C5-BAA8-4FCA-9E24-6D8A38375B42}" name="Check" dataDxfId="488" dataCellStyle="Normal 2">
      <calculatedColumnFormula array="1">INDEX(Table37[[#This Row],[P1]:[P5]],1,$H$34)</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7EE7D6D-8207-410C-8178-6AEF7AE93FED}" name="Categories21" displayName="Categories21" ref="E5:F11" totalsRowShown="0" headerRowDxfId="186" dataDxfId="185" headerRowCellStyle="Heading 1 2">
  <tableColumns count="2">
    <tableColumn id="1" xr3:uid="{0233F0D7-8AF2-458D-B315-02105323C0E1}" name="LEGEND" dataDxfId="184"/>
    <tableColumn id="2" xr3:uid="{3A81CDEC-497B-40D4-9608-09C4E14CD430}" name="*Book Keeping Ledger Check/Code" dataDxfId="183"/>
  </tableColumns>
  <tableStyleInfo name="Balance Sheet" showFirstColumn="0" showLastColumn="0" showRowStripes="0" showColumnStripes="0"/>
  <extLst>
    <ext xmlns:x14="http://schemas.microsoft.com/office/spreadsheetml/2009/9/main" uri="{504A1905-F514-4f6f-8877-14C23A59335A}">
      <x14:table altTextSummary="Enter categories for assest and liabilities in this table"/>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646CD95-D93D-4E89-9801-1A63B2F60CDA}" name="Table378" displayName="Table378" ref="D88:R108" totalsRowShown="0" headerRowDxfId="487" dataDxfId="486" tableBorderDxfId="485" dataCellStyle="Normal 2">
  <autoFilter ref="D88:R108" xr:uid="{8646CD95-D93D-4E89-9801-1A63B2F60CDA}"/>
  <tableColumns count="15">
    <tableColumn id="1" xr3:uid="{5B48721B-43C6-4D37-9674-DCCC0410BDE5}" name="Category" dataDxfId="484" dataCellStyle="Normal 2"/>
    <tableColumn id="2" xr3:uid="{68839968-2257-4E48-B86D-7DCBF3C757B8}" name="Sub-Category" dataDxfId="483" dataCellStyle="Normal 2"/>
    <tableColumn id="3" xr3:uid="{B981978E-891D-4669-8FDA-8ECF5590E294}" name="Description" dataDxfId="482" dataCellStyle="Normal 2"/>
    <tableColumn id="4" xr3:uid="{87B018A6-E848-4500-A8B9-006646D04108}" name="Vendor" dataDxfId="481" dataCellStyle="Normal 2"/>
    <tableColumn id="5" xr3:uid="{A145C774-DF00-4912-A6A4-CA89EF386E9F}" name="Quantity" dataDxfId="480" dataCellStyle="Normal 2"/>
    <tableColumn id="6" xr3:uid="{E2AFBFAA-9E25-4326-B29A-FD583513D87E}" name="Unit Price" dataDxfId="479" dataCellStyle="Normal 2"/>
    <tableColumn id="7" xr3:uid="{823D9790-6EA0-48CC-8B0C-A35D82B82A26}" name="Total" dataDxfId="478" dataCellStyle="Normal 2">
      <calculatedColumnFormula>Table378[[#This Row],[Quantity]]*Table378[[#This Row],[Unit Price]]</calculatedColumnFormula>
    </tableColumn>
    <tableColumn id="8" xr3:uid="{765D5F9A-2DB7-4290-9C4B-6000CFBFA871}" name="Comment" dataDxfId="477" dataCellStyle="Normal 2"/>
    <tableColumn id="15" xr3:uid="{8F7B62ED-8677-41C2-B14D-F62C28AD4C48}" name="Link" dataDxfId="476" dataCellStyle="Normal 2"/>
    <tableColumn id="10" xr3:uid="{A94B1126-431A-40B3-B281-92D489B249A7}" name="P1" dataDxfId="475" dataCellStyle="Normal 2"/>
    <tableColumn id="11" xr3:uid="{0609A008-10BB-49DF-A03B-B2F7171F56A6}" name="P2" dataDxfId="474" dataCellStyle="Normal 2"/>
    <tableColumn id="12" xr3:uid="{E521870B-6A79-43C8-B0BA-30A92EB90105}" name="P3" dataDxfId="473" dataCellStyle="Normal 2"/>
    <tableColumn id="13" xr3:uid="{14921583-F9E8-4D30-9C4C-F86331E019E0}" name="P4" dataDxfId="472" dataCellStyle="Normal 2"/>
    <tableColumn id="14" xr3:uid="{1FD6FC7E-895C-464C-B75B-6D164DFADA9E}" name="P5" dataDxfId="471" dataCellStyle="Normal 2"/>
    <tableColumn id="16" xr3:uid="{699C44C2-1557-4446-8CC6-2831940D58F2}" name="Check" dataDxfId="470" dataCellStyle="Normal 2">
      <calculatedColumnFormula array="1">INDEX(Table378[[#This Row],[P1]:[P5]],1,$H$34)</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4C3BF20-EEE9-469A-A890-18712D44464B}" name="Table3789" displayName="Table3789" ref="D126:R146" totalsRowShown="0" headerRowDxfId="469" dataDxfId="468" tableBorderDxfId="467" dataCellStyle="Normal 2">
  <autoFilter ref="D126:R146" xr:uid="{D4C3BF20-EEE9-469A-A890-18712D44464B}"/>
  <tableColumns count="15">
    <tableColumn id="1" xr3:uid="{C4BDBE8A-2BC1-4B78-86C2-E9E4FFC60CA6}" name="Category" dataDxfId="466" dataCellStyle="Normal 2"/>
    <tableColumn id="2" xr3:uid="{1C5C97C2-5FDA-4579-81A7-E91774C4A6F8}" name="Sub-Category" dataDxfId="465" dataCellStyle="Normal 2"/>
    <tableColumn id="3" xr3:uid="{3CA10474-8C48-4479-A8DD-B012E4288018}" name="Description" dataDxfId="464" dataCellStyle="Normal 2"/>
    <tableColumn id="4" xr3:uid="{52679C26-719C-43D1-A5A3-2396D0EBB513}" name="Vendor" dataDxfId="463" dataCellStyle="Normal 2"/>
    <tableColumn id="5" xr3:uid="{45F2366A-D20C-453A-BE2F-9832F2C03E4B}" name="Quantity" dataDxfId="462" dataCellStyle="Normal 2"/>
    <tableColumn id="6" xr3:uid="{F5D0160F-63E9-4799-9247-320D81E0EC6B}" name="Unit Price" dataDxfId="461" dataCellStyle="Normal 2"/>
    <tableColumn id="7" xr3:uid="{BEC39552-E374-4009-8552-9AE870FBA549}" name="Total" dataDxfId="460" dataCellStyle="Normal 2">
      <calculatedColumnFormula>Table3789[[#This Row],[Quantity]]*Table3789[[#This Row],[Unit Price]]</calculatedColumnFormula>
    </tableColumn>
    <tableColumn id="8" xr3:uid="{C6BA1478-981A-434C-BDDD-7ED66B278292}" name="Comment" dataDxfId="459" dataCellStyle="Normal 2"/>
    <tableColumn id="15" xr3:uid="{328F6413-8E32-4A0F-9999-405E987BCC39}" name="Link" dataDxfId="458" dataCellStyle="Normal 2"/>
    <tableColumn id="10" xr3:uid="{52527347-74E3-49A2-887A-B280AE55ACB0}" name="P1" dataDxfId="457" dataCellStyle="Normal 2"/>
    <tableColumn id="11" xr3:uid="{575AB1B3-CE10-4D7B-9217-B36EA07CE24B}" name="P2" dataDxfId="456" dataCellStyle="Normal 2"/>
    <tableColumn id="12" xr3:uid="{15148AEB-7E55-46F8-AD5A-A71DBF4C96F4}" name="P3" dataDxfId="455" dataCellStyle="Normal 2"/>
    <tableColumn id="13" xr3:uid="{775675A4-CE85-466A-A4F7-7E6E796B741C}" name="P4" dataDxfId="454" dataCellStyle="Normal 2"/>
    <tableColumn id="14" xr3:uid="{E546D2CF-9DCB-4109-84E2-D625398E3FBF}" name="P5" dataDxfId="453" dataCellStyle="Normal 2"/>
    <tableColumn id="16" xr3:uid="{1B0183A5-4FF7-40EB-94C2-98C26EE6F04E}" name="Check" dataDxfId="452" dataCellStyle="Normal 2">
      <calculatedColumnFormula array="1">INDEX(Table3789[[#This Row],[P1]:[P5]],1,$H$34)</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B104D3B-87B7-4D01-A269-0B8330B75B92}" name="Table378910" displayName="Table378910" ref="D164:R184" totalsRowShown="0" headerRowDxfId="451" dataDxfId="450" tableBorderDxfId="449" dataCellStyle="Normal 2">
  <autoFilter ref="D164:R184" xr:uid="{AB104D3B-87B7-4D01-A269-0B8330B75B92}"/>
  <tableColumns count="15">
    <tableColumn id="1" xr3:uid="{9B84B198-450F-402D-9F74-CCFB511301B0}" name="Category" dataDxfId="448" dataCellStyle="Normal 2"/>
    <tableColumn id="2" xr3:uid="{359C20B1-D4B3-4386-A64F-68FA76117420}" name="Sub-Category" dataDxfId="447" dataCellStyle="Normal 2"/>
    <tableColumn id="3" xr3:uid="{03058F3A-B451-44F1-9F18-F1EF4F13FC3F}" name="Description" dataDxfId="446" dataCellStyle="Normal 2"/>
    <tableColumn id="4" xr3:uid="{111A3AC2-DEDC-4FD7-8F1C-5AEB414C9492}" name="Vendor" dataDxfId="445" dataCellStyle="Normal 2"/>
    <tableColumn id="5" xr3:uid="{473C8502-2109-49D0-949D-F6052F7498E7}" name="Quantity" dataDxfId="444" dataCellStyle="Normal 2"/>
    <tableColumn id="6" xr3:uid="{AA102B62-1091-45D7-A8BB-9F218A1F2C08}" name="Unit Price" dataDxfId="443" dataCellStyle="Normal 2"/>
    <tableColumn id="7" xr3:uid="{8D2E2DE4-F174-42AF-B30D-335D7D45E659}" name="Total" dataDxfId="442" dataCellStyle="Normal 2">
      <calculatedColumnFormula>Table378910[[#This Row],[Quantity]]*Table378910[[#This Row],[Unit Price]]</calculatedColumnFormula>
    </tableColumn>
    <tableColumn id="8" xr3:uid="{943CC9F4-B26E-4AE5-A230-3C9693ABE5D2}" name="Comment" dataDxfId="441" dataCellStyle="Normal 2"/>
    <tableColumn id="15" xr3:uid="{B7BD7361-4370-4BBE-8A7D-BF035100FDB4}" name="Link" dataDxfId="440" dataCellStyle="Normal 2"/>
    <tableColumn id="10" xr3:uid="{D492B0AE-B040-4851-804B-25D274241143}" name="P1" dataDxfId="439" dataCellStyle="Normal 2"/>
    <tableColumn id="11" xr3:uid="{1679754B-71B0-4FD4-BE0E-80527220CB4E}" name="P2" dataDxfId="438" dataCellStyle="Normal 2"/>
    <tableColumn id="12" xr3:uid="{15B61540-DF83-4CC2-9A36-86B5BE575E43}" name="P3" dataDxfId="437" dataCellStyle="Normal 2"/>
    <tableColumn id="13" xr3:uid="{203B0572-1A34-40B8-BA2C-0CBE3C5EA9E5}" name="P4" dataDxfId="436" dataCellStyle="Normal 2"/>
    <tableColumn id="14" xr3:uid="{BF8F3472-7E9F-4348-8A1D-CFFBE9B6661D}" name="P5" dataDxfId="435" dataCellStyle="Normal 2"/>
    <tableColumn id="16" xr3:uid="{C86D1601-2095-43BE-9873-48D0DF79555F}" name="Check" dataDxfId="434" dataCellStyle="Normal 2">
      <calculatedColumnFormula array="1">INDEX(Table378910[[#This Row],[P1]:[P5]],1,$H$34)</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C80531D-16C1-4933-8DB3-E3CB3F96EE39}" name="Table37891011" displayName="Table37891011" ref="D202:R222" totalsRowShown="0" headerRowDxfId="433" dataDxfId="432" tableBorderDxfId="431" dataCellStyle="Normal 2">
  <autoFilter ref="D202:R222" xr:uid="{3C80531D-16C1-4933-8DB3-E3CB3F96EE39}"/>
  <tableColumns count="15">
    <tableColumn id="1" xr3:uid="{7DDC7F28-3475-423A-8FBB-C27CDCDEDA3C}" name="Category" dataDxfId="430" dataCellStyle="Normal 2"/>
    <tableColumn id="2" xr3:uid="{06161D7F-EED4-4A40-B31C-BA871C92419B}" name="Sub-Category" dataDxfId="429" dataCellStyle="Normal 2"/>
    <tableColumn id="3" xr3:uid="{2A6CF361-41B4-420D-9642-A6B892251B44}" name="Description" dataDxfId="428" dataCellStyle="Normal 2"/>
    <tableColumn id="4" xr3:uid="{B29348FA-32EE-450D-9479-840341F86E52}" name="Vendor" dataDxfId="427" dataCellStyle="Normal 2"/>
    <tableColumn id="5" xr3:uid="{56E11FF2-29A1-4276-9A80-464099A729AE}" name="Quantity" dataDxfId="426" dataCellStyle="Normal 2"/>
    <tableColumn id="6" xr3:uid="{ED18E444-2030-4D29-9D6D-589C747F3BEF}" name="Unit Price" dataDxfId="425" dataCellStyle="Normal 2"/>
    <tableColumn id="7" xr3:uid="{1BEE6A8A-F0C7-4864-8872-3381D45579EC}" name="Total" dataDxfId="424" dataCellStyle="Normal 2">
      <calculatedColumnFormula>Table37891011[[#This Row],[Quantity]]*Table37891011[[#This Row],[Unit Price]]</calculatedColumnFormula>
    </tableColumn>
    <tableColumn id="8" xr3:uid="{2AD9AB20-1F69-4654-A086-85CB661E0F73}" name="Comment" dataDxfId="423" dataCellStyle="Normal 2"/>
    <tableColumn id="15" xr3:uid="{8471F726-66F7-462A-A1F4-1953118FFF3E}" name="Link" dataDxfId="422" dataCellStyle="Normal 2"/>
    <tableColumn id="10" xr3:uid="{D103C45D-ABFA-4410-AAB2-F22BE9C6EBB0}" name="P1" dataDxfId="421" dataCellStyle="Normal 2"/>
    <tableColumn id="11" xr3:uid="{75D9F437-3F16-4175-B5B5-5ADCCC5AA93C}" name="P2" dataDxfId="420" dataCellStyle="Normal 2"/>
    <tableColumn id="12" xr3:uid="{77339235-1BCA-45CF-8A75-3796ADC50838}" name="P3" dataDxfId="419" dataCellStyle="Normal 2"/>
    <tableColumn id="13" xr3:uid="{B8BDE71B-402C-4213-A4F5-086A078B0329}" name="P4" dataDxfId="418" dataCellStyle="Normal 2"/>
    <tableColumn id="14" xr3:uid="{967249D5-DC64-46ED-A5DA-E995621B0093}" name="P5" dataDxfId="417" dataCellStyle="Normal 2"/>
    <tableColumn id="16" xr3:uid="{42D8DD44-1D58-4BCD-8963-4D2C4BCEC4D3}" name="Check" dataDxfId="416" dataCellStyle="Normal 2">
      <calculatedColumnFormula array="1">INDEX(Table37891011[[#This Row],[P1]:[P5]],1,$H$34)</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58B190E-F2FB-4938-A564-C8D53A229D3E}" name="Table3789101112" displayName="Table3789101112" ref="D240:R260" totalsRowShown="0" headerRowDxfId="415" dataDxfId="414" tableBorderDxfId="413" dataCellStyle="Normal 2">
  <autoFilter ref="D240:R260" xr:uid="{458B190E-F2FB-4938-A564-C8D53A229D3E}"/>
  <tableColumns count="15">
    <tableColumn id="1" xr3:uid="{9A281D52-5279-47EC-8AAE-DD8132882D5C}" name="Category" dataDxfId="412" dataCellStyle="Normal 2"/>
    <tableColumn id="2" xr3:uid="{66773135-02A1-4652-B9C1-79C139478343}" name="Sub-Category" dataDxfId="411" dataCellStyle="Normal 2"/>
    <tableColumn id="3" xr3:uid="{F8EB2684-C8B5-4326-96B9-5D12941E141D}" name="Description" dataDxfId="410" dataCellStyle="Normal 2"/>
    <tableColumn id="4" xr3:uid="{F22C7D24-7520-452F-ACD2-05E690C3026B}" name="Vendor" dataDxfId="409" dataCellStyle="Normal 2"/>
    <tableColumn id="5" xr3:uid="{2A1684F3-431B-412A-9CF9-B3789FC6A3C9}" name="Quantity" dataDxfId="408" dataCellStyle="Normal 2"/>
    <tableColumn id="6" xr3:uid="{CE1DAEE7-B24B-405F-BE0C-0797F36571F7}" name="Unit Price" dataDxfId="407" dataCellStyle="Normal 2"/>
    <tableColumn id="7" xr3:uid="{09B54BF2-F820-466B-82EF-57F7DC28FBC9}" name="Total" dataDxfId="406" dataCellStyle="Normal 2">
      <calculatedColumnFormula>Table3789101112[[#This Row],[Quantity]]*Table3789101112[[#This Row],[Unit Price]]</calculatedColumnFormula>
    </tableColumn>
    <tableColumn id="8" xr3:uid="{E7C44A20-EA6A-43FF-8CBF-69A9B5CF2EDC}" name="Comment" dataDxfId="405" dataCellStyle="Normal 2"/>
    <tableColumn id="15" xr3:uid="{1252C38E-512F-417B-897A-398166F12F11}" name="Link" dataDxfId="404" dataCellStyle="Normal 2"/>
    <tableColumn id="10" xr3:uid="{16C9E2C6-91A3-4FA2-B8BA-6A310D6EFCD4}" name="P1" dataDxfId="403" dataCellStyle="Normal 2"/>
    <tableColumn id="11" xr3:uid="{1C4F2D26-1316-4428-9B66-1EC95FF80C4C}" name="P2" dataDxfId="402" dataCellStyle="Normal 2"/>
    <tableColumn id="12" xr3:uid="{E5DA5E92-4506-4F7B-8679-C80C0515E385}" name="P3" dataDxfId="401" dataCellStyle="Normal 2"/>
    <tableColumn id="13" xr3:uid="{2D8CA100-5D30-4FF6-B785-1433AC334048}" name="P4" dataDxfId="400" dataCellStyle="Normal 2"/>
    <tableColumn id="14" xr3:uid="{2F56823A-4841-4F16-99F3-FBCA03B956AE}" name="P5" dataDxfId="399" dataCellStyle="Normal 2"/>
    <tableColumn id="16" xr3:uid="{0D59CAC7-6997-4C89-8C50-E621CE40B550}" name="Check" dataDxfId="398" dataCellStyle="Normal 2">
      <calculatedColumnFormula array="1">INDEX(Table3789101112[[#This Row],[P1]:[P5]],1,$H$34)</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F7012A-04A1-4BEA-B5C1-80C666B8AD86}" name="Table378910111213" displayName="Table378910111213" ref="D278:R298" totalsRowShown="0" headerRowDxfId="397" dataDxfId="396" tableBorderDxfId="395" dataCellStyle="Normal 2">
  <autoFilter ref="D278:R298" xr:uid="{00F7012A-04A1-4BEA-B5C1-80C666B8AD86}"/>
  <tableColumns count="15">
    <tableColumn id="1" xr3:uid="{5FB282B5-5E6E-4EE6-8ABA-93E91FDD264A}" name="Category" dataDxfId="394" dataCellStyle="Normal 2"/>
    <tableColumn id="2" xr3:uid="{F40EBD00-9FC7-4CA2-B161-032F3A86AAC0}" name="Sub-Category" dataDxfId="393" dataCellStyle="Normal 2"/>
    <tableColumn id="3" xr3:uid="{3F165E82-DD8B-40C8-B75B-AF7CBF3464F7}" name="Description" dataDxfId="392" dataCellStyle="Normal 2"/>
    <tableColumn id="4" xr3:uid="{A7DA75E2-E043-46B3-B462-281D5C42CD42}" name="Vendor" dataDxfId="391" dataCellStyle="Normal 2"/>
    <tableColumn id="5" xr3:uid="{5538E1D7-37DB-4C45-9FA9-1B324C43A7F1}" name="Quantity" dataDxfId="390" dataCellStyle="Normal 2"/>
    <tableColumn id="6" xr3:uid="{EC46C5E3-E180-4A4E-A6E2-B7B2FFB4E673}" name="Unit Price" dataDxfId="389" dataCellStyle="Normal 2"/>
    <tableColumn id="7" xr3:uid="{BB8450B1-29D0-4FD2-B7CF-BD371C1714EF}" name="Total" dataDxfId="388" dataCellStyle="Normal 2">
      <calculatedColumnFormula>Table378910111213[[#This Row],[Quantity]]*Table378910111213[[#This Row],[Unit Price]]</calculatedColumnFormula>
    </tableColumn>
    <tableColumn id="8" xr3:uid="{09E12EA3-B0AF-42BF-B812-86EFAB82047B}" name="Comment" dataDxfId="387" dataCellStyle="Normal 2"/>
    <tableColumn id="15" xr3:uid="{CB0A6945-0146-4160-9E67-FD324D757D1B}" name="Link" dataDxfId="386" dataCellStyle="Normal 2"/>
    <tableColumn id="10" xr3:uid="{9F621709-5A5F-4D01-9D4C-8FDDEC0694C1}" name="P1" dataDxfId="385" dataCellStyle="Normal 2"/>
    <tableColumn id="11" xr3:uid="{19C771AD-8596-48F5-BF4F-AFF50E34BBD4}" name="P2" dataDxfId="384" dataCellStyle="Normal 2"/>
    <tableColumn id="12" xr3:uid="{611E877A-E5CC-4325-BA4A-42331E81F79F}" name="P3" dataDxfId="383" dataCellStyle="Normal 2"/>
    <tableColumn id="13" xr3:uid="{574CCADE-33EA-4060-A836-4FB83169F624}" name="P4" dataDxfId="382" dataCellStyle="Normal 2"/>
    <tableColumn id="14" xr3:uid="{E0A6D10C-DF4F-43C4-985F-B96687ADA1B4}" name="P5" dataDxfId="381" dataCellStyle="Normal 2"/>
    <tableColumn id="16" xr3:uid="{05FA265C-7802-41F2-8A16-14EC56504D17}" name="Check" dataDxfId="380" dataCellStyle="Normal 2">
      <calculatedColumnFormula array="1">INDEX(Table378910111213[[#This Row],[P1]:[P5]],1,$H$34)</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1FA4293-4232-4617-BA57-8DC9A4D5E271}" name="Table37891011121314" displayName="Table37891011121314" ref="D316:R336" totalsRowShown="0" headerRowDxfId="379" dataDxfId="378" tableBorderDxfId="377" dataCellStyle="Normal 2">
  <autoFilter ref="D316:R336" xr:uid="{D1FA4293-4232-4617-BA57-8DC9A4D5E271}"/>
  <tableColumns count="15">
    <tableColumn id="1" xr3:uid="{40B071C6-32CE-41CD-9C40-3F7BAD9155A3}" name="Category" dataDxfId="376" dataCellStyle="Normal 2"/>
    <tableColumn id="2" xr3:uid="{B5E15511-CF26-4019-A78F-152AFD07BFA5}" name="Sub-Category" dataDxfId="375" dataCellStyle="Normal 2"/>
    <tableColumn id="3" xr3:uid="{1BF54A80-29B7-476E-8E21-09617C9D955B}" name="Description" dataDxfId="374" dataCellStyle="Normal 2"/>
    <tableColumn id="4" xr3:uid="{07C62698-DF5C-41C8-92E3-7DFA07C42857}" name="Vendor" dataDxfId="373" dataCellStyle="Normal 2"/>
    <tableColumn id="5" xr3:uid="{00D601CA-8659-4A90-937E-F510F5C9986A}" name="Quantity" dataDxfId="372" dataCellStyle="Normal 2"/>
    <tableColumn id="6" xr3:uid="{2B12F3D1-8127-46F6-9712-87E26155FABB}" name="Unit Price" dataDxfId="371" dataCellStyle="Normal 2"/>
    <tableColumn id="7" xr3:uid="{B754F535-E0FD-42CF-9C05-C2D48B5AF625}" name="Total" dataDxfId="370" dataCellStyle="Normal 2">
      <calculatedColumnFormula>Table37891011121314[[#This Row],[Quantity]]*Table37891011121314[[#This Row],[Unit Price]]</calculatedColumnFormula>
    </tableColumn>
    <tableColumn id="8" xr3:uid="{172BEBA4-1098-4D2D-924E-567F0189C737}" name="Comment" dataDxfId="369" dataCellStyle="Normal 2"/>
    <tableColumn id="15" xr3:uid="{F99975EC-DD31-4BA7-AC8E-65A45F91D27F}" name="Link" dataDxfId="368" dataCellStyle="Normal 2"/>
    <tableColumn id="10" xr3:uid="{45887518-1AD4-4B50-AFDE-AC56A53C6DB8}" name="P1" dataDxfId="367" dataCellStyle="Normal 2"/>
    <tableColumn id="11" xr3:uid="{C8FED2FB-CC7F-4AA0-8FC6-94FBFF6ED43E}" name="P2" dataDxfId="366" dataCellStyle="Normal 2"/>
    <tableColumn id="12" xr3:uid="{B06DC14E-F397-4CE9-8EE3-E202CDC1B02D}" name="P3" dataDxfId="365" dataCellStyle="Normal 2"/>
    <tableColumn id="13" xr3:uid="{7C6FAAED-30D2-4318-A5E4-E72265A0F1CC}" name="P4" dataDxfId="364" dataCellStyle="Normal 2"/>
    <tableColumn id="14" xr3:uid="{AA973355-09A3-4E75-A607-7D6F94999D2D}" name="P5" dataDxfId="363" dataCellStyle="Normal 2"/>
    <tableColumn id="16" xr3:uid="{0EACB141-C15F-4627-BC09-2165710968C7}" name="Check" dataDxfId="362" dataCellStyle="Normal 2">
      <calculatedColumnFormula array="1">INDEX(Table37891011121314[[#This Row],[P1]:[P5]],1,$H$34)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E21" dT="2025-09-15T21:12:02.56" personId="{2D333DC3-E3D5-4047-B066-12E0CDB57318}" id="{85027D23-4C94-4786-B3B6-B5A7B86660AD}">
    <text>This is the value entered in the ‘Book Keeping Ledger’ tab for your property ¯\_(ツ)_/¯ recommend reviewing annually from your area property assessor’s website as part of your tax process.</text>
  </threadedComment>
  <threadedComment ref="D27" dT="2025-09-01T00:45:23.64" personId="{2D333DC3-E3D5-4047-B066-12E0CDB57318}" id="{14A9C25A-C39E-4753-8527-1F67C5B50918}">
    <text xml:space="preserve">Original Purchase Price (PP) from purchase_price_input from cell AE9 re-enter it here ¯\_(ツ)_/¯ </text>
  </threadedComment>
  <threadedComment ref="L118" dT="2025-09-01T00:50:53.35" personId="{2D333DC3-E3D5-4047-B066-12E0CDB57318}" id="{3E970034-8473-4D39-85B0-222A42F1996F}">
    <text>$40 for Nampa, Idaho is a good start as of 20250831</text>
  </threadedComment>
  <threadedComment ref="L119" dT="2025-09-01T00:50:15.63" personId="{2D333DC3-E3D5-4047-B066-12E0CDB57318}" id="{63767646-3D68-4F37-BD64-4B5126ACCFC6}">
    <text>I get 50% as of 20250831</text>
  </threadedComment>
  <threadedComment ref="BD119" dT="2025-09-01T01:50:01.82" personId="{2D333DC3-E3D5-4047-B066-12E0CDB57318}" id="{131317C9-EA30-48CC-90CF-85CDECDAE29E}">
    <text>Update as your maintenance adjusts year over year</text>
  </threadedComment>
  <threadedComment ref="I130" dT="2025-09-01T01:59:45.73" personId="{2D333DC3-E3D5-4047-B066-12E0CDB57318}" id="{52430442-6ECE-4471-819B-A8FDEE1D7439}">
    <text xml:space="preserve">Retirement(s), SSD, other investments, etc ¯\_(ツ)_/¯ </text>
  </threadedComment>
  <threadedComment ref="AF134" dT="2025-09-01T01:06:50.88" personId="{2D333DC3-E3D5-4047-B066-12E0CDB57318}" id="{C84FB73C-FB47-4BFF-B796-B0485FF37E66}">
    <text xml:space="preserve">Look at your AirBnb for a past hosted guest. It’s 3% as of 20250831.  </text>
  </threadedComment>
  <threadedComment ref="AF136" dT="2025-09-01T01:07:49.83" personId="{2D333DC3-E3D5-4047-B066-12E0CDB57318}" id="{CAD86C5B-AE0D-4709-A838-A4D79777055D}">
    <text>Track this on the actuals tab</text>
  </threadedComment>
  <threadedComment ref="P137" dT="2025-09-01T00:57:25.63" personId="{2D333DC3-E3D5-4047-B066-12E0CDB57318}" id="{CD816F25-6FE7-481A-8ADB-127C38BA7238}">
    <text>I take (the daily rate of 1 additional guest) / (the daily rate of 1st guest) Example: $50/$40 = 1.3% as of 20250831</text>
  </threadedComment>
  <threadedComment ref="P138" dT="2025-09-01T00:59:05.21" personId="{2D333DC3-E3D5-4047-B066-12E0CDB57318}" id="{3B1C552B-C8EF-40B3-9B78-57DE9BF7B4D0}">
    <text>I use the Appreciation Above Inflation in cell AZ13</text>
  </threadedComment>
</ThreadedComments>
</file>

<file path=xl/threadedComments/threadedComment10.xml><?xml version="1.0" encoding="utf-8"?>
<ThreadedComments xmlns="http://schemas.microsoft.com/office/spreadsheetml/2018/threadedcomments" xmlns:x="http://schemas.openxmlformats.org/spreadsheetml/2006/main">
  <threadedComment ref="D1" dT="2025-09-05T20:16:00.09" personId="{2D333DC3-E3D5-4047-B066-12E0CDB57318}" id="{C59057AD-4924-4635-B8E1-61FD78CDD76E}">
    <text xml:space="preserve">Over time, this dials in an even more accurate market average; I recommend adding your numbers monthly or quarterly ¯\_(ツ)_/¯ </text>
  </threadedComment>
  <threadedComment ref="G5" dT="2025-09-05T20:14:46.03" personId="{2D333DC3-E3D5-4047-B066-12E0CDB57318}" id="{F5D6DE0A-E71A-4DB1-A059-F271166EAA98}">
    <text xml:space="preserve">I used the AirBnb as a guest looking for one room near my zip code; just plug in up to 1,000 market comparisons to get your average, min, and max to plug into your listing as an AirBnb Host ¯\_(ツ)_/¯ </text>
  </threadedComment>
</ThreadedComments>
</file>

<file path=xl/threadedComments/threadedComment2.xml><?xml version="1.0" encoding="utf-8"?>
<ThreadedComments xmlns="http://schemas.microsoft.com/office/spreadsheetml/2018/threadedcomments" xmlns:x="http://schemas.openxmlformats.org/spreadsheetml/2006/main">
  <threadedComment ref="B13" dT="2025-09-15T23:49:04.71" personId="{2D333DC3-E3D5-4047-B066-12E0CDB57318}" id="{ABEEDC97-E7D3-468F-813A-AD05DBEA403C}">
    <text>Update on the Categories Tab</text>
  </threadedComment>
  <threadedComment ref="C13" dT="2025-09-15T23:49:56.18" personId="{2D333DC3-E3D5-4047-B066-12E0CDB57318}" id="{BFA22068-8ED7-4981-8FF4-C3CF0D4FDDC6}">
    <text>XX/XX/XXX date format</text>
  </threadedComment>
  <threadedComment ref="G13" dT="2025-09-15T23:50:23.18" personId="{2D333DC3-E3D5-4047-B066-12E0CDB57318}" id="{DD70A1C0-BE8F-4808-A70C-638D7A0FA34D}">
    <text>Update on the Categories Tab</text>
  </threadedComment>
  <threadedComment ref="I19" dT="2025-09-16T20:24:34.66" personId="{2D333DC3-E3D5-4047-B066-12E0CDB57318}" id="{68832E7B-21EA-4B5C-A5E8-FB796D764749}">
    <text xml:space="preserve">+-5% of INCOME Real Estate (NET) is average but I put 20% here ¯\_(ツ)_/¯ </text>
  </threadedComment>
  <threadedComment ref="B52" dT="2025-09-15T23:49:04.71" personId="{2D333DC3-E3D5-4047-B066-12E0CDB57318}" id="{EE010A5D-59D9-45DC-9267-AAE0A7B87B65}">
    <text>Update on the Categories Tab</text>
  </threadedComment>
  <threadedComment ref="C52" dT="2025-09-15T23:49:56.18" personId="{2D333DC3-E3D5-4047-B066-12E0CDB57318}" id="{77BF3739-B952-41FB-9886-9A1FF3849B84}">
    <text>XX/XX/XXX date format</text>
  </threadedComment>
  <threadedComment ref="G52" dT="2025-09-15T23:50:23.18" personId="{2D333DC3-E3D5-4047-B066-12E0CDB57318}" id="{BE628725-BA10-40CF-8A18-53DB6ADA975C}">
    <text>Update on the Categories Tab</text>
  </threadedComment>
</ThreadedComments>
</file>

<file path=xl/threadedComments/threadedComment3.xml><?xml version="1.0" encoding="utf-8"?>
<ThreadedComments xmlns="http://schemas.microsoft.com/office/spreadsheetml/2018/threadedcomments" xmlns:x="http://schemas.openxmlformats.org/spreadsheetml/2006/main">
  <threadedComment ref="B18" dT="2025-09-15T22:59:59.93" personId="{2D333DC3-E3D5-4047-B066-12E0CDB57318}" id="{5BD138F6-E4D4-49FF-BECD-CC7A95B148F3}">
    <text>A strong ratio is typically no higher than 5%, while a ratio above 15% could suggest that the business is wearing out its capital too quickly.</text>
  </threadedComment>
  <threadedComment ref="J53" dT="2025-09-16T01:02:32.41" personId="{2D333DC3-E3D5-4047-B066-12E0CDB57318}" id="{56FEA7A5-5D06-4376-BB83-3496166A5E85}">
    <text>A strong ratio is typically no higher than 5%, while a ratio above 15% could suggest that the business is wearing out its capital too quickly.</text>
  </threadedComment>
  <threadedComment ref="M63" dT="2025-09-16T01:02:49.29" personId="{2D333DC3-E3D5-4047-B066-12E0CDB57318}" id="{3BEC45D6-F9C0-43CC-B358-F077D12B44CE}">
    <text>A strong ratio is typically no higher than 5%, while a ratio above 15% could suggest that the business is wearing out its capital too quickly.</text>
  </threadedComment>
</ThreadedComments>
</file>

<file path=xl/threadedComments/threadedComment4.xml><?xml version="1.0" encoding="utf-8"?>
<ThreadedComments xmlns="http://schemas.microsoft.com/office/spreadsheetml/2018/threadedcomments" xmlns:x="http://schemas.openxmlformats.org/spreadsheetml/2006/main">
  <threadedComment ref="I10" dT="2025-09-20T13:40:42.56" personId="{2D333DC3-E3D5-4047-B066-12E0CDB57318}" id="{4667CB1F-47BB-4200-AE95-255A7FD888AB}">
    <text>Commercials are 0 &lt; 30 seconds; recommend watching anything over $10 gain; Especially VIP Gold Cards (need 40 to cash out)</text>
  </threadedComment>
  <threadedComment ref="L10" dT="2025-09-20T12:58:04.08" personId="{2D333DC3-E3D5-4047-B066-12E0CDB57318}" id="{16BFEE75-C64D-43C9-8402-3402ECD5625F}">
    <text xml:space="preserve">You can obtain VIP Gold Cards in the game Bingo Money Win: Real Cash by:
Leveling Up: Players earn VIP points by leveling up through gameplay.
Purchasing In-Game Items: Certain purchases can grant enough VIP points to reach a VIP level that includes VIP Gold Cards as a reward.
Opening Card Packs: Card packs obtained from tournaments with a card pack icon can contain gold cards.
Swapping Duplicate Cards: Trading in duplicate cards for a chest might yield gold cards.
Winning Games and Challenges: Winning games and challenges, or opening chests, can also provide gold.
</text>
  </threadedComment>
</ThreadedComments>
</file>

<file path=xl/threadedComments/threadedComment5.xml><?xml version="1.0" encoding="utf-8"?>
<ThreadedComments xmlns="http://schemas.microsoft.com/office/spreadsheetml/2018/threadedcomments" xmlns:x="http://schemas.openxmlformats.org/spreadsheetml/2006/main">
  <threadedComment ref="B4" dT="2025-09-05T19:26:20.17" personId="{2D333DC3-E3D5-4047-B066-12E0CDB57318}" id="{D1DDBA6E-37B2-42F3-9F8D-0B33D8F70E77}">
    <text xml:space="preserve">Enter the actual data into the Assets and Liabilities columns. This sheet is a protected sheet but no password ¯\_(ツ)_/¯ </text>
  </threadedComment>
</ThreadedComments>
</file>

<file path=xl/threadedComments/threadedComment6.xml><?xml version="1.0" encoding="utf-8"?>
<ThreadedComments xmlns="http://schemas.microsoft.com/office/spreadsheetml/2018/threadedcomments" xmlns:x="http://schemas.openxmlformats.org/spreadsheetml/2006/main">
  <threadedComment ref="B5" dT="2025-09-05T19:28:09.13" personId="{2D333DC3-E3D5-4047-B066-12E0CDB57318}" id="{2650870C-F328-47BC-B6C9-45DB658817F0}">
    <text xml:space="preserve">Update the drop down in the Categories Tab; recommend keeping the common accounting terms (words used in accounting) ¯\_(ツ)_/¯ </text>
  </threadedComment>
  <threadedComment ref="C5" dT="2025-09-05T19:30:04.58" personId="{2D333DC3-E3D5-4047-B066-12E0CDB57318}" id="{1FEDC55A-06A6-4774-A8D1-337DBA1FF166}">
    <text xml:space="preserve">These descriptions are common 
accounting terms (feel free to update)
¯\_(ツ)_/¯ </text>
  </threadedComment>
  <threadedComment ref="C6" dT="2025-09-16T01:44:55.12" personId="{2D333DC3-E3D5-4047-B066-12E0CDB57318}" id="{7C4E9837-1773-410F-97FC-DFD2BFCEB288}">
    <text xml:space="preserve">Cash and Cash Equivalents (CCE) represent an individual or company's most liquid assets, used to cover expected or unexpected expenses. This line item is reported on an individual or company's balance sheet under current assets because they are easily converted to cash to meet short-term obligations. </text>
  </threadedComment>
  <threadedComment ref="C7" dT="2025-09-16T01:46:24.44" personId="{2D333DC3-E3D5-4047-B066-12E0CDB57318}" id="{D4422AC5-38FB-44A0-B33F-E38F78F9D753}">
    <text>An investment is an asset or property acquired to generate income or gain appreciation.
Investments are typically categorized as either current or non-current assets depending on the intended holding period.</text>
  </threadedComment>
  <threadedComment ref="C8" dT="2025-09-16T01:49:15.54" personId="{2D333DC3-E3D5-4047-B066-12E0CDB57318}" id="{C05BC3B1-A0D4-46BB-923D-DC64D3D46067}">
    <text>Inventory is recorded as a current asset on an individual or company's balance sheet, representing the value of goods and materials held potentially “for sale”. The value of this asset is continually updated to reflect new purchases and sales. Depreciation is not included here.</text>
  </threadedComment>
  <threadedComment ref="C9" dT="2025-09-16T01:50:40.59" personId="{2D333DC3-E3D5-4047-B066-12E0CDB57318}" id="{8A7B16A6-5E39-4E40-99B1-A547A86AACCE}">
    <text xml:space="preserve">Accounts receivable (AR) appears on an individual or company's balance sheet as a current asset, representing the money owed to the individual or business by customers for goods or services delivered on credit. This reflects a future cash inflow, since the individual or company expects to collect these payments within a year. </text>
  </threadedComment>
  <threadedComment ref="C10" dT="2025-09-16T01:51:54.89" personId="{2D333DC3-E3D5-4047-B066-12E0CDB57318}" id="{306711E1-73E1-4CDB-9504-E2356550445C}">
    <text xml:space="preserve">Prepaid expenses appear on the balance sheet as a current asset because they represent a future economic benefit that an individual or company has paid for in advance. Examples include prepaid rent, insurance premiums, and software subscriptions paid upfront. </text>
  </threadedComment>
  <threadedComment ref="C11" dT="2025-09-16T01:52:53.67" personId="{2D333DC3-E3D5-4047-B066-12E0CDB57318}" id="{5F2525A6-EBC2-4C7C-8261-9C7BE72DDA5D}">
    <text xml:space="preserve">Property, Plant, and Equipment (PP&amp;E) are crucial long-term, tangible assets that an individual or company utilizes in its business operations to generate revenue. They are also known as fixed assets and cannot be easily converted into cash within a year, unlike current assets. </text>
  </threadedComment>
  <threadedComment ref="E11" dT="2025-09-15T22:05:31.49" personId="{2D333DC3-E3D5-4047-B066-12E0CDB57318}" id="{35EB38C1-DF55-4CDF-92F8-0EEEB0F90E33}">
    <text>Fills from ‘Financial Statement’ Doodads</text>
  </threadedComment>
  <threadedComment ref="C12" dT="2025-09-16T01:54:19.07" personId="{2D333DC3-E3D5-4047-B066-12E0CDB57318}" id="{4227D79A-AEE4-470C-8E76-63A9FF357436}">
    <text xml:space="preserve">Leasehold improvements are recorded as a long-term asset on the balance sheet and are then systematically reduced over time through amortization. As fixtures and modifications to a rented space, these improvements are not owned by the tenant, so they cannot be depreciated like a typical asset. Instead, the cost is amortized over the shorter of the asset's useful life or the lease term. </text>
  </threadedComment>
  <threadedComment ref="C13" dT="2025-09-16T01:55:55.32" personId="{2D333DC3-E3D5-4047-B066-12E0CDB57318}" id="{AB49534B-6ED0-489D-95FE-7CF23514A3F8}">
    <text>Stocks: Owning shares of another company represents an equity investment.
Mutual Funds and ETFs: These pools of investments, often comprised of stocks, bonds, or a combination, are also considered equity investments.
Equity Method Investments: When a company has significant influence over another entity (typically owning between 20% and 50%), it may account for that investment using the equity method. This method reflects the investor's proportionate share of the investee's net assets on its balance sheet.</text>
  </threadedComment>
  <threadedComment ref="C14" dT="2025-09-15T22:47:26.72" personId="{2D333DC3-E3D5-4047-B066-12E0CDB57318}" id="{C657782B-4E5F-452F-824D-C722B7DEFCF6}">
    <text xml:space="preserve">A strong ratio is typically no higher than 5%, while a ratio above 15% could suggest that the business is wearing out its capital too quickly. </text>
  </threadedComment>
  <threadedComment ref="C15" dT="2025-09-16T02:01:27.87" personId="{2D333DC3-E3D5-4047-B066-12E0CDB57318}" id="{F076D31E-62AD-4C8A-9312-C0113F469182}">
    <text>Net assets without donor restrictions: These are donations that the nonprofit can use for any purpose, such as general operating expenses.
Net assets with donor restrictions: These are funds with limitations on their use, as specified by the donor. The funds must be used for a particular purpose or within a certain time frame.</text>
  </threadedComment>
</ThreadedComments>
</file>

<file path=xl/threadedComments/threadedComment7.xml><?xml version="1.0" encoding="utf-8"?>
<ThreadedComments xmlns="http://schemas.microsoft.com/office/spreadsheetml/2018/threadedcomments" xmlns:x="http://schemas.openxmlformats.org/spreadsheetml/2006/main">
  <threadedComment ref="C6" dT="2025-09-16T01:38:15.69" personId="{2D333DC3-E3D5-4047-B066-12E0CDB57318}" id="{F0D7C7FC-79E2-4022-A934-89E571F97EDA}">
    <text xml:space="preserve">Accounts payable (AP) is the money an individual or business owes to its suppliers or creditors for goods and services purchased on credit. AP is classified as a current liability on a company's balance sheet, meaning the debts are expected to be paid within a short period, typically less than one year. </text>
  </threadedComment>
  <threadedComment ref="C7" dT="2025-09-16T01:39:34.02" personId="{2D333DC3-E3D5-4047-B066-12E0CDB57318}" id="{1BA56B7C-969C-4D70-8299-21FE2F4A6C1C}">
    <text xml:space="preserve">Accrued wages are employee wages, salaries, and other forms of compensation that an individual or company has incurred as an expense but has not yet paid. As a business liability, they are recorded to ensure financial statements accurately reflect the company's full payroll obligations, adhering to the accrual basis of accounting. </text>
  </threadedComment>
  <threadedComment ref="C8" dT="2025-09-16T01:36:16.78" personId="{2D333DC3-E3D5-4047-B066-12E0CDB57318}" id="{9255C27F-C3D8-4E8C-AD3A-0334D07002DB}">
    <text xml:space="preserve">Accrued compensation is a liability on a personal or company's balance sheet representing wages, benefits, and other payments that employees have earned but have not yet been paid. It is a key part of the accrual method of accounting, which matches expenses to the period in which they were incurred, regardless of when cash is actually paid. </text>
  </threadedComment>
  <threadedComment ref="C9" dT="2025-09-16T01:40:36.87" personId="{2D333DC3-E3D5-4047-B066-12E0CDB57318}" id="{A215F00F-B81E-42A5-98BE-A29B79272F81}">
    <text xml:space="preserve">Income taxes payable represents the income tax amount an individual or company owes to the government based on tax regulations, which has not yet been paid. It is classified as a current liability on the balance sheet, as it is a debt expected to be paid within the company's operating cycle. </text>
  </threadedComment>
  <threadedComment ref="C10" dT="2025-09-16T01:35:09.85" personId="{2D333DC3-E3D5-4047-B066-12E0CDB57318}" id="{66D0434D-16CB-487C-993D-A6BE819D85B2}">
    <text xml:space="preserve">Unearned revenue, also known as deferred revenue, is an advance payment an individual or company receives for products or services that have not yet been delivered. In accrual accounting, it is treated as a liability because the company has an obligation to provide the goods or services in the future. </text>
  </threadedComment>
  <threadedComment ref="C11" dT="2025-09-16T01:41:24.30" personId="{2D333DC3-E3D5-4047-B066-12E0CDB57318}" id="{774300F5-BE97-4119-9647-7EFBEA2B1F39}">
    <text xml:space="preserve">A mortgage payable is the liability of a property owner to pay a loan that is secured by the property. From the perspective of the borrower, the remaining principal balance on the mortgage that is not to be paid off within the next 12 months is classified as a long-term liability. </text>
  </threadedComment>
  <threadedComment ref="C12" dT="2025-09-16T01:42:23.37" personId="{2D333DC3-E3D5-4047-B066-12E0CDB57318}" id="{56EC8A90-06C5-4237-8B95-993AC8919680}">
    <text xml:space="preserve">Investment capital, also referred to as invested capital, is the total amount of equity and debt an individual or company raises to finance its operations, growth, and long-term investments.  </text>
  </threadedComment>
  <threadedComment ref="C13" dT="2025-09-16T01:43:35.41" personId="{2D333DC3-E3D5-4047-B066-12E0CDB57318}" id="{A16698BF-FBDD-47CD-BD53-7D4E7C60160E}">
    <text xml:space="preserve">Accumulated retained earnings, often simply called retained earnings, is the total amount of an individual or company's profit that has been saved over time rather than being paid out to shareholders as dividends. This amount is located in the shareholders' equity section of the balance sheet and represents the portion of profit reinvested in the business. </text>
  </threadedComment>
</ThreadedComments>
</file>

<file path=xl/threadedComments/threadedComment8.xml><?xml version="1.0" encoding="utf-8"?>
<ThreadedComments xmlns="http://schemas.microsoft.com/office/spreadsheetml/2018/threadedcomments" xmlns:x="http://schemas.openxmlformats.org/spreadsheetml/2006/main">
  <threadedComment ref="B6" dT="2025-09-05T21:57:21.95" personId="{2D333DC3-E3D5-4047-B066-12E0CDB57318}" id="{25B971A4-B981-4604-BB6F-D3B31314CA6E}">
    <text xml:space="preserve">Updating this list simply updates the drop downs in Assets and Liabilities tabs ¯\_(ツ)_/¯ </text>
  </threadedComment>
  <threadedComment ref="E6" dT="2025-09-05T21:57:21.95" personId="{2D333DC3-E3D5-4047-B066-12E0CDB57318}" id="{CBA51DA2-D464-48A1-A23C-C281F84A94E5}">
    <text xml:space="preserve">Updating this list simply updates the drop downs in Assets and Liabilities tabs ¯\_(ツ)_/¯ </text>
  </threadedComment>
</ThreadedComments>
</file>

<file path=xl/threadedComments/threadedComment9.xml><?xml version="1.0" encoding="utf-8"?>
<ThreadedComments xmlns="http://schemas.microsoft.com/office/spreadsheetml/2018/threadedcomments" xmlns:x="http://schemas.openxmlformats.org/spreadsheetml/2006/main">
  <threadedComment ref="D7" dT="2025-09-01T01:15:41.64" personId="{2D333DC3-E3D5-4047-B066-12E0CDB57318}" id="{24CC7BF3-1D90-40D7-8518-3BD52F77180D}">
    <text>Fixed glitch 20250831</text>
  </threadedComment>
</ThreadedComment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drawing" Target="../drawings/drawing7.xml"/><Relationship Id="rId4" Type="http://schemas.microsoft.com/office/2017/10/relationships/threadedComment" Target="../threadedComments/threadedComment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3" Type="http://schemas.openxmlformats.org/officeDocument/2006/relationships/table" Target="../tables/table1.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 Type="http://schemas.openxmlformats.org/officeDocument/2006/relationships/drawing" Target="../drawings/drawing9.xml"/><Relationship Id="rId16" Type="http://schemas.openxmlformats.org/officeDocument/2006/relationships/table" Target="../tables/table14.xml"/><Relationship Id="rId1" Type="http://schemas.openxmlformats.org/officeDocument/2006/relationships/printerSettings" Target="../printerSettings/printerSettings9.bin"/><Relationship Id="rId6" Type="http://schemas.openxmlformats.org/officeDocument/2006/relationships/table" Target="../tables/table4.xml"/><Relationship Id="rId11" Type="http://schemas.openxmlformats.org/officeDocument/2006/relationships/table" Target="../tables/table9.xml"/><Relationship Id="rId5" Type="http://schemas.openxmlformats.org/officeDocument/2006/relationships/table" Target="../tables/table3.xml"/><Relationship Id="rId15" Type="http://schemas.openxmlformats.org/officeDocument/2006/relationships/table" Target="../tables/table13.xml"/><Relationship Id="rId10" Type="http://schemas.openxmlformats.org/officeDocument/2006/relationships/table" Target="../tables/table8.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17" Type="http://schemas.openxmlformats.org/officeDocument/2006/relationships/hyperlink" Target="https://play.google.com/store/search?q=Good%20Charge&amp;c=apps&amp;hl=en-US" TargetMode="External"/><Relationship Id="rId21" Type="http://schemas.openxmlformats.org/officeDocument/2006/relationships/hyperlink" Target="https://play.google.com/store/apps/dev?id=7560053061648053455&amp;hl=en-US" TargetMode="External"/><Relationship Id="rId42" Type="http://schemas.openxmlformats.org/officeDocument/2006/relationships/hyperlink" Target="https://play.google.com/store/search?q=Animal%20Match%20Party%3A%20Earn%20Cash&amp;c=apps&amp;hl=en-US" TargetMode="External"/><Relationship Id="rId63" Type="http://schemas.openxmlformats.org/officeDocument/2006/relationships/hyperlink" Target="https://play.google.com/store/apps/details?id=com.templequest.relicspin.hieroglyph.golden&amp;hl=en-US" TargetMode="External"/><Relationship Id="rId84" Type="http://schemas.openxmlformats.org/officeDocument/2006/relationships/hyperlink" Target="https://www.bluestacks.com/apps/board/bingo-mania-lucky-win-on-pc.html" TargetMode="External"/><Relationship Id="rId138" Type="http://schemas.openxmlformats.org/officeDocument/2006/relationships/hyperlink" Target="https://play.google.com/store/search?q=Good%20Charge&amp;c=apps&amp;hl=en-US" TargetMode="External"/><Relationship Id="rId159" Type="http://schemas.openxmlformats.org/officeDocument/2006/relationships/hyperlink" Target="https://www.paypal.com/donate/?hosted_button_id=95K5LFHZEZKUG" TargetMode="External"/><Relationship Id="rId107" Type="http://schemas.openxmlformats.org/officeDocument/2006/relationships/hyperlink" Target="https://play.google.com/store/apps/dev?id=8888129759365609391&amp;hl=en-US" TargetMode="External"/><Relationship Id="rId11" Type="http://schemas.openxmlformats.org/officeDocument/2006/relationships/hyperlink" Target="https://play.google.com/store/apps/dev?id=7014515913059906153&amp;hl=en-US" TargetMode="External"/><Relationship Id="rId32" Type="http://schemas.openxmlformats.org/officeDocument/2006/relationships/hyperlink" Target="https://www.appbrain.com/" TargetMode="External"/><Relationship Id="rId53" Type="http://schemas.openxmlformats.org/officeDocument/2006/relationships/hyperlink" Target="https://play.google.com/store/search?q=Catch%26Spin%3ABass%20Fishing&amp;c=apps&amp;hl=en-US" TargetMode="External"/><Relationship Id="rId74" Type="http://schemas.openxmlformats.org/officeDocument/2006/relationships/hyperlink" Target="https://play.google.com/store/search?q=scratch%20for%20luck&amp;c=apps&amp;hl=en-US" TargetMode="External"/><Relationship Id="rId128" Type="http://schemas.openxmlformats.org/officeDocument/2006/relationships/hyperlink" Target="https://play.google.com/store/apps/details?id=com.fortunedivine.slots.dynasty.moneytree" TargetMode="External"/><Relationship Id="rId149" Type="http://schemas.openxmlformats.org/officeDocument/2006/relationships/hyperlink" Target="https://play.google.com/" TargetMode="External"/><Relationship Id="rId5" Type="http://schemas.openxmlformats.org/officeDocument/2006/relationships/hyperlink" Target="https://play.google.com/store/search?q=Aged%20Studio%20Limited&amp;c=apps&amp;hl=en-US" TargetMode="External"/><Relationship Id="rId95" Type="http://schemas.openxmlformats.org/officeDocument/2006/relationships/hyperlink" Target="https://play.google.com/store/apps/details?id=com.pinmaster.screwpuzzle&amp;hl=en-US" TargetMode="External"/><Relationship Id="rId160" Type="http://schemas.openxmlformats.org/officeDocument/2006/relationships/drawing" Target="../drawings/drawing15.xml"/><Relationship Id="rId22" Type="http://schemas.openxmlformats.org/officeDocument/2006/relationships/hyperlink" Target="https://play.google.com/store/search?q=Gimica%20GmbH&amp;c=apps&amp;hl=en-US" TargetMode="External"/><Relationship Id="rId43" Type="http://schemas.openxmlformats.org/officeDocument/2006/relationships/hyperlink" Target="https://play.google.com/store/search?q=Billiards%20Talent%202048&amp;c=apps&amp;hl=en-US" TargetMode="External"/><Relationship Id="rId64" Type="http://schemas.openxmlformats.org/officeDocument/2006/relationships/hyperlink" Target="https://play.google.com/store/search?q=Golden%20Tree%20Fortunes&amp;c=apps&amp;hl=en-US" TargetMode="External"/><Relationship Id="rId118" Type="http://schemas.openxmlformats.org/officeDocument/2006/relationships/hyperlink" Target="https://play.google.com/store/apps/details?id=com.thought.bargain.equity" TargetMode="External"/><Relationship Id="rId139" Type="http://schemas.openxmlformats.org/officeDocument/2006/relationships/hyperlink" Target="https://play.google.com/store/apps/dev?id=5939962054843119988&amp;hl=en-US" TargetMode="External"/><Relationship Id="rId85" Type="http://schemas.openxmlformats.org/officeDocument/2006/relationships/hyperlink" Target="https://bubblecash.onelink.me/76xI/GeneralInvite?af_sub1=C4NDW1" TargetMode="External"/><Relationship Id="rId150" Type="http://schemas.openxmlformats.org/officeDocument/2006/relationships/hyperlink" Target="https://www.bluestacks.com/apps/board.html" TargetMode="External"/><Relationship Id="rId12" Type="http://schemas.openxmlformats.org/officeDocument/2006/relationships/hyperlink" Target="https://play.google.com/store/apps/developer?id=DextersLab&amp;hl=en-US" TargetMode="External"/><Relationship Id="rId17" Type="http://schemas.openxmlformats.org/officeDocument/2006/relationships/hyperlink" Target="https://play.google.com/store/apps/developer?id=Great-strream&amp;hl=en-US" TargetMode="External"/><Relationship Id="rId33" Type="http://schemas.openxmlformats.org/officeDocument/2006/relationships/hyperlink" Target="https://play.google.com/store/apps/developer?id=nulevoy+fayl&amp;hl=en-US" TargetMode="External"/><Relationship Id="rId38" Type="http://schemas.openxmlformats.org/officeDocument/2006/relationships/hyperlink" Target="https://play.google.com/store/apps/dev?id=5859031232895862527&amp;hl=en-US" TargetMode="External"/><Relationship Id="rId59" Type="http://schemas.openxmlformats.org/officeDocument/2006/relationships/hyperlink" Target="https://play.google.com/store/search?q=fortune+clover+slot+game+reviews&amp;c=apps&amp;hl=en-US" TargetMode="External"/><Relationship Id="rId103" Type="http://schemas.openxmlformats.org/officeDocument/2006/relationships/hyperlink" Target="https://play.google.com/store/apps/details?id=com.classic.cardstile.suite.poker.cactus.frost&amp;hl=en-US" TargetMode="External"/><Relationship Id="rId108" Type="http://schemas.openxmlformats.org/officeDocument/2006/relationships/hyperlink" Target="https://play.google.com/store/apps/developer?id=Quizer+Infotech&amp;hl=en-US" TargetMode="External"/><Relationship Id="rId124" Type="http://schemas.openxmlformats.org/officeDocument/2006/relationships/hyperlink" Target="https://play.google.com/store/apps/developer?id=PlayWell+Team&amp;hl=en-US" TargetMode="External"/><Relationship Id="rId129" Type="http://schemas.openxmlformats.org/officeDocument/2006/relationships/hyperlink" Target="https://play.google.com/store/apps/dev?id=4854294153764490350" TargetMode="External"/><Relationship Id="rId54" Type="http://schemas.openxmlformats.org/officeDocument/2006/relationships/hyperlink" Target="https://play.google.com/store/search?q=Copper%20Boom&amp;c=apps&amp;hl=en-US" TargetMode="External"/><Relationship Id="rId70" Type="http://schemas.openxmlformats.org/officeDocument/2006/relationships/hyperlink" Target="https://play.google.com/store/search?q=Luxury%20Vault%20Slots&amp;c=apps&amp;hl=en-US" TargetMode="External"/><Relationship Id="rId75" Type="http://schemas.openxmlformats.org/officeDocument/2006/relationships/hyperlink" Target="https://galaxystore.samsung.com/detail/com.winrealcash.solitairedash.game" TargetMode="External"/><Relationship Id="rId91" Type="http://schemas.openxmlformats.org/officeDocument/2006/relationships/hyperlink" Target="https://play.google.com/store/apps/details?id=com.justplay.app" TargetMode="External"/><Relationship Id="rId96" Type="http://schemas.openxmlformats.org/officeDocument/2006/relationships/hyperlink" Target="https://play.google.com/store/apps/details?id=com.gimica.solitaireverse&amp;hl=en-US" TargetMode="External"/><Relationship Id="rId140" Type="http://schemas.openxmlformats.org/officeDocument/2006/relationships/hyperlink" Target="https://play.google.com/store/apps/details?id=com.increased.without.sky&amp;hl=en_US" TargetMode="External"/><Relationship Id="rId145" Type="http://schemas.openxmlformats.org/officeDocument/2006/relationships/hyperlink" Target="https://play.google.com/" TargetMode="External"/><Relationship Id="rId161" Type="http://schemas.openxmlformats.org/officeDocument/2006/relationships/vmlDrawing" Target="../drawings/vmlDrawing5.vml"/><Relationship Id="rId1" Type="http://schemas.openxmlformats.org/officeDocument/2006/relationships/hyperlink" Target="https://play.google.com/store/apps/dev?id=7324710450522141395&amp;hl=en-US" TargetMode="External"/><Relationship Id="rId6" Type="http://schemas.openxmlformats.org/officeDocument/2006/relationships/hyperlink" Target="https://play.google.com/store/search?q=AmrElssadwy&amp;c=apps&amp;hl=en-US" TargetMode="External"/><Relationship Id="rId23" Type="http://schemas.openxmlformats.org/officeDocument/2006/relationships/hyperlink" Target="https://play.google.com/store/apps/developer?id=Khan+Gaming+Studio&amp;hl=en-US" TargetMode="External"/><Relationship Id="rId28" Type="http://schemas.openxmlformats.org/officeDocument/2006/relationships/hyperlink" Target="https://play.google.com/store/apps/developer?id=Milton+Gomez&amp;hl=en-US" TargetMode="External"/><Relationship Id="rId49" Type="http://schemas.openxmlformats.org/officeDocument/2006/relationships/hyperlink" Target="https://totalsolutionapp.com/gamedetail1.html" TargetMode="External"/><Relationship Id="rId114" Type="http://schemas.openxmlformats.org/officeDocument/2006/relationships/hyperlink" Target="https://apkpure.com/olympus-slots-goddess-wins/com.olympus.slots.goddesswins/download" TargetMode="External"/><Relationship Id="rId119" Type="http://schemas.openxmlformats.org/officeDocument/2006/relationships/hyperlink" Target="https://play.google.com/store/apps/developer?id=Reverse+Number+Lookup+Search+Team" TargetMode="External"/><Relationship Id="rId44" Type="http://schemas.openxmlformats.org/officeDocument/2006/relationships/hyperlink" Target="https://play.google.com/store/search?q=bingo%20bonus&amp;c=apps&amp;hl=en-US" TargetMode="External"/><Relationship Id="rId60" Type="http://schemas.openxmlformats.org/officeDocument/2006/relationships/hyperlink" Target="https://play.google.com/store/search?q=Frosty%20Reel%20Challenge&amp;c=apps&amp;hl=en-US" TargetMode="External"/><Relationship Id="rId65" Type="http://schemas.openxmlformats.org/officeDocument/2006/relationships/hyperlink" Target="https://r.honeygain.me/MLFOR9D359" TargetMode="External"/><Relationship Id="rId81" Type="http://schemas.openxmlformats.org/officeDocument/2006/relationships/hyperlink" Target="https://play.google.com/store/apps/details?id=com.MoneyBingo.LuckyRewards.CashGame.RealMoney&amp;hl=en-US" TargetMode="External"/><Relationship Id="rId86" Type="http://schemas.openxmlformats.org/officeDocument/2006/relationships/hyperlink" Target="https://play.google.com/store/search?q=MoneyTime%20-%20Play%20%26%20Earn%20Money&amp;c=apps&amp;hl=en-US" TargetMode="External"/><Relationship Id="rId130" Type="http://schemas.openxmlformats.org/officeDocument/2006/relationships/hyperlink" Target="https://play.google.com/store/search?q=Good%20Charge&amp;c=apps&amp;hl=en-US" TargetMode="External"/><Relationship Id="rId135" Type="http://schemas.openxmlformats.org/officeDocument/2006/relationships/hyperlink" Target="https://play.google.com/store/apps/dev?id=5939962054843119988&amp;hl=en-US" TargetMode="External"/><Relationship Id="rId151" Type="http://schemas.openxmlformats.org/officeDocument/2006/relationships/hyperlink" Target="https://play.google.com/store/search?q=Good%20Charge&amp;c=apps&amp;hl=en-US" TargetMode="External"/><Relationship Id="rId156" Type="http://schemas.openxmlformats.org/officeDocument/2006/relationships/hyperlink" Target="https://galaxystore.samsung.com/games" TargetMode="External"/><Relationship Id="rId13" Type="http://schemas.openxmlformats.org/officeDocument/2006/relationships/hyperlink" Target="https://play.google.com/store/apps/developer?id=FatMan+Studio&amp;hl=en-US" TargetMode="External"/><Relationship Id="rId18" Type="http://schemas.openxmlformats.org/officeDocument/2006/relationships/hyperlink" Target="https://play.google.com/store/apps/dev?id=8406651543647538578&amp;hl=en-US" TargetMode="External"/><Relationship Id="rId39" Type="http://schemas.openxmlformats.org/officeDocument/2006/relationships/hyperlink" Target="https://play.google.com/store/apps/dev?id=6198708609552536175&amp;hl=en-US" TargetMode="External"/><Relationship Id="rId109" Type="http://schemas.openxmlformats.org/officeDocument/2006/relationships/hyperlink" Target="https://play.google.com/store/apps/details?id=slots.pcg.casino.games.free.android&amp;hl=en-US" TargetMode="External"/><Relationship Id="rId34" Type="http://schemas.openxmlformats.org/officeDocument/2006/relationships/hyperlink" Target="https://play.google.com/store/apps/developer?id=PongDigital&amp;hl=en-US" TargetMode="External"/><Relationship Id="rId50" Type="http://schemas.openxmlformats.org/officeDocument/2006/relationships/hyperlink" Target="https://play.google.com/store/search?q=Block%20Puzzle%20Relax&amp;c=apps&amp;hl=en-US" TargetMode="External"/><Relationship Id="rId55" Type="http://schemas.openxmlformats.org/officeDocument/2006/relationships/hyperlink" Target="https://play.google.com/store/search?q=Crazy%20Cash&amp;c=apps&amp;hl=en-US" TargetMode="External"/><Relationship Id="rId76" Type="http://schemas.openxmlformats.org/officeDocument/2006/relationships/hyperlink" Target="https://www.appbrain.com/app/solitaire-delight/com.solitairedelight.joy.game" TargetMode="External"/><Relationship Id="rId97" Type="http://schemas.openxmlformats.org/officeDocument/2006/relationships/hyperlink" Target="https://play.google.com/store/apps/details?id=com.gimica.spidersolitaire&amp;hl=en-US" TargetMode="External"/><Relationship Id="rId104" Type="http://schemas.openxmlformats.org/officeDocument/2006/relationships/hyperlink" Target="https://play.google.com/store/apps/developer?id=MEDODEV&amp;hl=en-US" TargetMode="External"/><Relationship Id="rId120" Type="http://schemas.openxmlformats.org/officeDocument/2006/relationships/hyperlink" Target="https://play.google.com/store/search?q=Good%20Charge&amp;c=apps&amp;hl=en-US" TargetMode="External"/><Relationship Id="rId125" Type="http://schemas.openxmlformats.org/officeDocument/2006/relationships/hyperlink" Target="https://play.google.com/store/apps/developer?id=PlayWell+Team&amp;hl=en-US" TargetMode="External"/><Relationship Id="rId141" Type="http://schemas.openxmlformats.org/officeDocument/2006/relationships/hyperlink" Target="https://play.google.com/store/apps/developer?id=ValVenie+Inx&amp;hl=en_US" TargetMode="External"/><Relationship Id="rId146" Type="http://schemas.openxmlformats.org/officeDocument/2006/relationships/hyperlink" Target="https://play.google.com/" TargetMode="External"/><Relationship Id="rId7" Type="http://schemas.openxmlformats.org/officeDocument/2006/relationships/hyperlink" Target="https://play.google.com/store/apps/dev?id=5939962054843119988&amp;hl=en-US" TargetMode="External"/><Relationship Id="rId71" Type="http://schemas.openxmlformats.org/officeDocument/2006/relationships/hyperlink" Target="https://play.google.com/store/apps/developer?id=Lakeseal+Bulls&amp;hl=en-US" TargetMode="External"/><Relationship Id="rId92" Type="http://schemas.openxmlformats.org/officeDocument/2006/relationships/hyperlink" Target="https://play.google.com/store/search?q=GravFort%20Nexus&amp;c=apps&amp;hl=en-US" TargetMode="External"/><Relationship Id="rId162" Type="http://schemas.openxmlformats.org/officeDocument/2006/relationships/comments" Target="../comments4.xml"/><Relationship Id="rId2" Type="http://schemas.openxmlformats.org/officeDocument/2006/relationships/hyperlink" Target="https://r.honeygain.me/MLFOR9D359" TargetMode="External"/><Relationship Id="rId29" Type="http://schemas.openxmlformats.org/officeDocument/2006/relationships/hyperlink" Target="https://play.google.com/store/search?q=Gimica%20GmbH&amp;c=apps&amp;hl=en-US" TargetMode="External"/><Relationship Id="rId24" Type="http://schemas.openxmlformats.org/officeDocument/2006/relationships/hyperlink" Target="https://play.google.com/store/search?q=woody+cube+sort+color+puzzle&amp;c=apps&amp;hl=en-US" TargetMode="External"/><Relationship Id="rId40" Type="http://schemas.openxmlformats.org/officeDocument/2006/relationships/hyperlink" Target="https://play.unity.com/en" TargetMode="External"/><Relationship Id="rId45" Type="http://schemas.openxmlformats.org/officeDocument/2006/relationships/hyperlink" Target="https://play.google.com/store/search?q=Bingo%20Crown&amp;c=apps&amp;hl=en-US" TargetMode="External"/><Relationship Id="rId66" Type="http://schemas.openxmlformats.org/officeDocument/2006/relationships/hyperlink" Target="https://play.google.com/store/search?q=Joyful%20Solitaire%20Challenge&amp;c=apps&amp;hl=en-US" TargetMode="External"/><Relationship Id="rId87" Type="http://schemas.openxmlformats.org/officeDocument/2006/relationships/hyperlink" Target="https://play.google.com/store/apps/details?id=com.play.lucky.real.earn.money.free.fun.games.play.reward.income&amp;hl=en-US" TargetMode="External"/><Relationship Id="rId110" Type="http://schemas.openxmlformats.org/officeDocument/2006/relationships/hyperlink" Target="https://cashfrenzy.net/gift/hmsf3g" TargetMode="External"/><Relationship Id="rId115" Type="http://schemas.openxmlformats.org/officeDocument/2006/relationships/hyperlink" Target="https://apkpure.com/olympus-slots-goddess-wins/com.olympus.slots.goddesswins/download" TargetMode="External"/><Relationship Id="rId131" Type="http://schemas.openxmlformats.org/officeDocument/2006/relationships/hyperlink" Target="https://play.google.com/store/apps/details?id=com.justplay.app&amp;hl=en-US" TargetMode="External"/><Relationship Id="rId136" Type="http://schemas.openxmlformats.org/officeDocument/2006/relationships/hyperlink" Target="https://galaxystore.samsung.com/detail/com.winrealcash.solitairedash.game" TargetMode="External"/><Relationship Id="rId157" Type="http://schemas.openxmlformats.org/officeDocument/2006/relationships/hyperlink" Target="https://galaxystore.samsung.com/games" TargetMode="External"/><Relationship Id="rId61" Type="http://schemas.openxmlformats.org/officeDocument/2006/relationships/hyperlink" Target="https://play.google.com/store/search?q=gold+frenzy&amp;c=apps&amp;hl=en-US" TargetMode="External"/><Relationship Id="rId82" Type="http://schemas.openxmlformats.org/officeDocument/2006/relationships/hyperlink" Target="https://play.google.com/store/search?q=Bingo%20Mania%3A%20Lucky%20Win&amp;c=apps&amp;hl=en-US" TargetMode="External"/><Relationship Id="rId152" Type="http://schemas.openxmlformats.org/officeDocument/2006/relationships/hyperlink" Target="https://play.google.com/store/games?device=windows" TargetMode="External"/><Relationship Id="rId19" Type="http://schemas.openxmlformats.org/officeDocument/2006/relationships/hyperlink" Target="https://play.google.com/store/apps/dev?id=5120485662869302107&amp;hl=en-US" TargetMode="External"/><Relationship Id="rId14" Type="http://schemas.openxmlformats.org/officeDocument/2006/relationships/hyperlink" Target="https://play.google.com/store/apps/developer?id=Funk+Live&amp;hl=en-US" TargetMode="External"/><Relationship Id="rId30" Type="http://schemas.openxmlformats.org/officeDocument/2006/relationships/hyperlink" Target="https://play.google.com/store/apps/dev?id=6055412679758027108&amp;hl=en-US" TargetMode="External"/><Relationship Id="rId35" Type="http://schemas.openxmlformats.org/officeDocument/2006/relationships/hyperlink" Target="https://play.google.com/store/apps/dev?id=6049986774420111837&amp;hl=en-US" TargetMode="External"/><Relationship Id="rId56" Type="http://schemas.openxmlformats.org/officeDocument/2006/relationships/hyperlink" Target="https://play.google.com/store/apps/details?id=com.dozer.coin.pu8sher&amp;hl=en-US&amp;pli=1" TargetMode="External"/><Relationship Id="rId77" Type="http://schemas.openxmlformats.org/officeDocument/2006/relationships/hyperlink" Target="https://play.google.com/store/apps/details?id=com.fatman.games.solitaire.oasis&amp;hl=en-US" TargetMode="External"/><Relationship Id="rId100" Type="http://schemas.openxmlformats.org/officeDocument/2006/relationships/hyperlink" Target="https://play.google.com/store/apps/details?id=com.bash.party.night&amp;hl=en-US" TargetMode="External"/><Relationship Id="rId105" Type="http://schemas.openxmlformats.org/officeDocument/2006/relationships/hyperlink" Target="https://www.papaya.com/" TargetMode="External"/><Relationship Id="rId126" Type="http://schemas.openxmlformats.org/officeDocument/2006/relationships/hyperlink" Target="https://play.google.com/store/apps/developer?id=PlayWell+Team&amp;hl=en-US" TargetMode="External"/><Relationship Id="rId147" Type="http://schemas.openxmlformats.org/officeDocument/2006/relationships/hyperlink" Target="https://play.google.com/" TargetMode="External"/><Relationship Id="rId8" Type="http://schemas.openxmlformats.org/officeDocument/2006/relationships/hyperlink" Target="https://play.google.com/store/apps/developer?id=Bookly&amp;hl=en-US" TargetMode="External"/><Relationship Id="rId51" Type="http://schemas.openxmlformats.org/officeDocument/2006/relationships/hyperlink" Target="https://play.google.com/store/apps/details?id=com.agedstudio.bubble.magic.puzzle.game.classic&amp;hl=en-US" TargetMode="External"/><Relationship Id="rId72" Type="http://schemas.openxmlformats.org/officeDocument/2006/relationships/hyperlink" Target="https://play.google.com/store/search?q=Pool%20Journey&amp;c=apps&amp;hl=en-US" TargetMode="External"/><Relationship Id="rId93" Type="http://schemas.openxmlformats.org/officeDocument/2006/relationships/hyperlink" Target="https://play.google.com/store/search?q=GravFort%20Nexus&amp;c=apps&amp;hl=en-US" TargetMode="External"/><Relationship Id="rId98" Type="http://schemas.openxmlformats.org/officeDocument/2006/relationships/hyperlink" Target="https://play.google.com/store/apps/details?id=com.gimica.treasuremaster&amp;hl=en-US" TargetMode="External"/><Relationship Id="rId121" Type="http://schemas.openxmlformats.org/officeDocument/2006/relationships/hyperlink" Target="https://play.google.com/store/apps/details?id=com.push.needed.session.preview" TargetMode="External"/><Relationship Id="rId142" Type="http://schemas.openxmlformats.org/officeDocument/2006/relationships/hyperlink" Target="https://play.google.com/" TargetMode="External"/><Relationship Id="rId163" Type="http://schemas.microsoft.com/office/2017/10/relationships/threadedComment" Target="../threadedComments/threadedComment4.xml"/><Relationship Id="rId3" Type="http://schemas.openxmlformats.org/officeDocument/2006/relationships/hyperlink" Target="https://play.google.com/store/apps/dev?id=7398057986676567648&amp;hl=en-US" TargetMode="External"/><Relationship Id="rId25" Type="http://schemas.openxmlformats.org/officeDocument/2006/relationships/hyperlink" Target="https://play.google.com/store/apps/developer?id=kingapk&amp;hl=en-US" TargetMode="External"/><Relationship Id="rId46" Type="http://schemas.openxmlformats.org/officeDocument/2006/relationships/hyperlink" Target="https://play.google.com/store/search?q=Bingo%20Legends&amp;c=apps&amp;hl=en-US" TargetMode="External"/><Relationship Id="rId67" Type="http://schemas.openxmlformats.org/officeDocument/2006/relationships/hyperlink" Target="https://play.google.com/store/search?q=JustPlay%3A%20Earn%20Money%20or%20Donate&amp;c=apps&amp;hl=en-US" TargetMode="External"/><Relationship Id="rId116" Type="http://schemas.openxmlformats.org/officeDocument/2006/relationships/hyperlink" Target="https://play.google.com/store/search?q=Good%20Charge&amp;c=apps&amp;hl=en-US" TargetMode="External"/><Relationship Id="rId137" Type="http://schemas.openxmlformats.org/officeDocument/2006/relationships/hyperlink" Target="https://galaxystore.samsung.com/detail/com.gold.rush.classic.game" TargetMode="External"/><Relationship Id="rId158" Type="http://schemas.openxmlformats.org/officeDocument/2006/relationships/hyperlink" Target="https://galaxystore.samsung.com/games" TargetMode="External"/><Relationship Id="rId20" Type="http://schemas.openxmlformats.org/officeDocument/2006/relationships/hyperlink" Target="https://play.google.com/store/apps/developer?id=Ismail+EL+BAKALI&amp;hl=en-US" TargetMode="External"/><Relationship Id="rId41" Type="http://schemas.openxmlformats.org/officeDocument/2006/relationships/hyperlink" Target="https://play.google.com/store/apps/developer?id=webexposs&amp;hl=en-US" TargetMode="External"/><Relationship Id="rId62" Type="http://schemas.openxmlformats.org/officeDocument/2006/relationships/hyperlink" Target="https://play.google.com/store/search?q=golden+dragon+blessing&amp;c=apps&amp;hl=en-US" TargetMode="External"/><Relationship Id="rId83" Type="http://schemas.openxmlformats.org/officeDocument/2006/relationships/hyperlink" Target="https://play.google.com/store/search?q=Good%20Charge&amp;c=apps&amp;hl=en-US" TargetMode="External"/><Relationship Id="rId88" Type="http://schemas.openxmlformats.org/officeDocument/2006/relationships/hyperlink" Target="https://play.google.com/store/apps/developer?id=PlayWell+Team&amp;hl=en-US" TargetMode="External"/><Relationship Id="rId111" Type="http://schemas.openxmlformats.org/officeDocument/2006/relationships/hyperlink" Target="https://play.google.com/store/apps/developer?id=WRBDEV" TargetMode="External"/><Relationship Id="rId132" Type="http://schemas.openxmlformats.org/officeDocument/2006/relationships/hyperlink" Target="https://play.google.com/store/search?q=Gimica%20GmbH&amp;c=apps&amp;hl=en-US" TargetMode="External"/><Relationship Id="rId153" Type="http://schemas.openxmlformats.org/officeDocument/2006/relationships/hyperlink" Target="https://galaxystore.samsung.com/games" TargetMode="External"/><Relationship Id="rId15" Type="http://schemas.openxmlformats.org/officeDocument/2006/relationships/hyperlink" Target="https://play.google.com/store/apps/dev?id=6158055569808859947&amp;hl=en-US" TargetMode="External"/><Relationship Id="rId36" Type="http://schemas.openxmlformats.org/officeDocument/2006/relationships/hyperlink" Target="https://play.google.com/store/apps/developer?id=Shezar&amp;hl=en-US" TargetMode="External"/><Relationship Id="rId57" Type="http://schemas.openxmlformats.org/officeDocument/2006/relationships/hyperlink" Target="https://play.google.com/store/search?q=Dream%20Card%20Solitaire%203D&amp;c=apps&amp;hl=en-US" TargetMode="External"/><Relationship Id="rId106" Type="http://schemas.openxmlformats.org/officeDocument/2006/relationships/hyperlink" Target="https://play.google.com/store/apps/details?id=com.playvalve.solitaire&amp;hl=en-US" TargetMode="External"/><Relationship Id="rId127" Type="http://schemas.openxmlformats.org/officeDocument/2006/relationships/hyperlink" Target="https://www.bluestacks.com/apps/board.html" TargetMode="External"/><Relationship Id="rId10" Type="http://schemas.openxmlformats.org/officeDocument/2006/relationships/hyperlink" Target="https://play.google.com/store/apps/developer?id=Cahaya+Mitra+Sukses&amp;hl=en-US" TargetMode="External"/><Relationship Id="rId31" Type="http://schemas.openxmlformats.org/officeDocument/2006/relationships/hyperlink" Target="https://www.appbrain.com/dev/Nizar+Abdalla+App/" TargetMode="External"/><Relationship Id="rId52" Type="http://schemas.openxmlformats.org/officeDocument/2006/relationships/hyperlink" Target="https://play.google.com/store/search?q=business%20journey&amp;c=apps&amp;hl=en-US" TargetMode="External"/><Relationship Id="rId73" Type="http://schemas.openxmlformats.org/officeDocument/2006/relationships/hyperlink" Target="https://play.google.com/store/search?q=Push%20The%20Coin&amp;c=apps&amp;hl=en-US" TargetMode="External"/><Relationship Id="rId78" Type="http://schemas.openxmlformats.org/officeDocument/2006/relationships/hyperlink" Target="https://play.google.com/store/search?q=Water%20Sorting%20Expedition&amp;c=apps&amp;hl=en-US" TargetMode="External"/><Relationship Id="rId94" Type="http://schemas.openxmlformats.org/officeDocument/2006/relationships/hyperlink" Target="https://play.google.com/store/search?q=Gimica%20GmbH&amp;c=apps&amp;hl=en-US" TargetMode="External"/><Relationship Id="rId99" Type="http://schemas.openxmlformats.org/officeDocument/2006/relationships/hyperlink" Target="https://play.google.com/store/search?q=Agus%20Budiono&amp;c=apps&amp;hl=en-US" TargetMode="External"/><Relationship Id="rId101" Type="http://schemas.openxmlformats.org/officeDocument/2006/relationships/hyperlink" Target="https://play.google.com/store/search?q=Solitaire%20TriPeaks%20Journey&amp;c=apps&amp;hl=en-US" TargetMode="External"/><Relationship Id="rId122" Type="http://schemas.openxmlformats.org/officeDocument/2006/relationships/hyperlink" Target="https://play.google.com/store/apps/developer?id=Lexi+Browser" TargetMode="External"/><Relationship Id="rId143" Type="http://schemas.openxmlformats.org/officeDocument/2006/relationships/hyperlink" Target="https://play.google.com/" TargetMode="External"/><Relationship Id="rId148" Type="http://schemas.openxmlformats.org/officeDocument/2006/relationships/hyperlink" Target="https://play.google.com/" TargetMode="External"/><Relationship Id="rId4" Type="http://schemas.openxmlformats.org/officeDocument/2006/relationships/hyperlink" Target="https://play.google.com/store/search?q=Ademi%20Y&amp;c=apps&amp;hl=en-US" TargetMode="External"/><Relationship Id="rId9" Type="http://schemas.openxmlformats.org/officeDocument/2006/relationships/hyperlink" Target="https://play.google.com/store/apps/dev?id=7466393318785969480&amp;hl=en-US" TargetMode="External"/><Relationship Id="rId26" Type="http://schemas.openxmlformats.org/officeDocument/2006/relationships/hyperlink" Target="https://play.google.com/store/apps/developer?id=Lakeseal+Bulls&amp;hl=en-US" TargetMode="External"/><Relationship Id="rId47" Type="http://schemas.openxmlformats.org/officeDocument/2006/relationships/hyperlink" Target="https://play.google.com/store/apps/details?id=com.dealer.bingo.game&amp;hl=en-US" TargetMode="External"/><Relationship Id="rId68" Type="http://schemas.openxmlformats.org/officeDocument/2006/relationships/hyperlink" Target="https://play.google.com/store/search?q=Lake%20Big%20Bass&amp;c=apps&amp;hl=en-US" TargetMode="External"/><Relationship Id="rId89" Type="http://schemas.openxmlformats.org/officeDocument/2006/relationships/hyperlink" Target="https://play.google.com/store/apps/developer?id=Money-Time&amp;hl=en-US" TargetMode="External"/><Relationship Id="rId112" Type="http://schemas.openxmlformats.org/officeDocument/2006/relationships/hyperlink" Target="https://play.google.com/store/apps/details?id=com.ball.bubb8le" TargetMode="External"/><Relationship Id="rId133" Type="http://schemas.openxmlformats.org/officeDocument/2006/relationships/hyperlink" Target="https://play.google.com/store/search?q=Bubble%20Pop%3A%20Wild%20Rescue&amp;c=apps&amp;hl=en-US" TargetMode="External"/><Relationship Id="rId154" Type="http://schemas.openxmlformats.org/officeDocument/2006/relationships/hyperlink" Target="https://galaxystore.samsung.com/games" TargetMode="External"/><Relationship Id="rId16" Type="http://schemas.openxmlformats.org/officeDocument/2006/relationships/hyperlink" Target="https://play.google.com/store/apps/developer?id=Gaming+Egy&amp;hl=en-US" TargetMode="External"/><Relationship Id="rId37" Type="http://schemas.openxmlformats.org/officeDocument/2006/relationships/hyperlink" Target="https://totalsolutionapp.com/" TargetMode="External"/><Relationship Id="rId58" Type="http://schemas.openxmlformats.org/officeDocument/2006/relationships/hyperlink" Target="https://play.google.com/store/search?q=Egg%20Tile%20Match%20Earn&amp;c=apps&amp;hl=en-US" TargetMode="External"/><Relationship Id="rId79" Type="http://schemas.openxmlformats.org/officeDocument/2006/relationships/hyperlink" Target="https://play.google.com/store/search?q=woody+cube+sort+color+puzzle&amp;c=apps&amp;hl=en-US" TargetMode="External"/><Relationship Id="rId102" Type="http://schemas.openxmlformats.org/officeDocument/2006/relationships/hyperlink" Target="https://play.google.com/store/apps/dev?id=6624032394863046201&amp;hl=en-US" TargetMode="External"/><Relationship Id="rId123" Type="http://schemas.openxmlformats.org/officeDocument/2006/relationships/hyperlink" Target="https://play.google.com/store/apps/details?id=com.justplay.app&amp;hl=en-US" TargetMode="External"/><Relationship Id="rId144" Type="http://schemas.openxmlformats.org/officeDocument/2006/relationships/hyperlink" Target="https://play.google.com/" TargetMode="External"/><Relationship Id="rId90" Type="http://schemas.openxmlformats.org/officeDocument/2006/relationships/hyperlink" Target="https://play.google.com/store/apps/details?id=com.justplay.app" TargetMode="External"/><Relationship Id="rId27" Type="http://schemas.openxmlformats.org/officeDocument/2006/relationships/hyperlink" Target="https://play.google.com/store/apps/dev?id=6003442294050188720&amp;hl=en-US" TargetMode="External"/><Relationship Id="rId48" Type="http://schemas.openxmlformats.org/officeDocument/2006/relationships/hyperlink" Target="https://play.google.com/store/apps/details?id=com.MoneyBingo.LuckyRewards.CashGame.RealMoney&amp;hl=en-US" TargetMode="External"/><Relationship Id="rId69" Type="http://schemas.openxmlformats.org/officeDocument/2006/relationships/hyperlink" Target="https://play.google.com/store/search?q=Logic%20Car%20Challenge&amp;c=apps&amp;hl=en-US" TargetMode="External"/><Relationship Id="rId113" Type="http://schemas.openxmlformats.org/officeDocument/2006/relationships/hyperlink" Target="https://play.google.com/store/search?q=Good%20Charge&amp;c=apps&amp;hl=en-US" TargetMode="External"/><Relationship Id="rId134" Type="http://schemas.openxmlformats.org/officeDocument/2006/relationships/hyperlink" Target="https://play.google.com/store/apps/details?id=com.justplay.app&amp;hl=en-US" TargetMode="External"/><Relationship Id="rId80" Type="http://schemas.openxmlformats.org/officeDocument/2006/relationships/hyperlink" Target="https://play.google.com/store/apps/dev?id=5939962054843119988&amp;hl=en-US" TargetMode="External"/><Relationship Id="rId155" Type="http://schemas.openxmlformats.org/officeDocument/2006/relationships/hyperlink" Target="https://galaxystore.samsung.com/games"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7.xml"/><Relationship Id="rId1" Type="http://schemas.openxmlformats.org/officeDocument/2006/relationships/printerSettings" Target="../printerSettings/printerSettings14.bin"/><Relationship Id="rId6" Type="http://schemas.microsoft.com/office/2017/10/relationships/threadedComment" Target="../threadedComments/threadedComment5.xml"/><Relationship Id="rId5" Type="http://schemas.openxmlformats.org/officeDocument/2006/relationships/comments" Target="../comments5.xml"/><Relationship Id="rId4" Type="http://schemas.openxmlformats.org/officeDocument/2006/relationships/table" Target="../tables/table16.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8.xml"/><Relationship Id="rId1" Type="http://schemas.openxmlformats.org/officeDocument/2006/relationships/printerSettings" Target="../printerSettings/printerSettings15.bin"/><Relationship Id="rId6" Type="http://schemas.microsoft.com/office/2017/10/relationships/threadedComment" Target="../threadedComments/threadedComment6.xml"/><Relationship Id="rId5" Type="http://schemas.openxmlformats.org/officeDocument/2006/relationships/comments" Target="../comments6.xml"/><Relationship Id="rId4" Type="http://schemas.openxmlformats.org/officeDocument/2006/relationships/table" Target="../tables/table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9.xml"/><Relationship Id="rId1" Type="http://schemas.openxmlformats.org/officeDocument/2006/relationships/printerSettings" Target="../printerSettings/printerSettings16.bin"/><Relationship Id="rId6" Type="http://schemas.microsoft.com/office/2017/10/relationships/threadedComment" Target="../threadedComments/threadedComment7.xml"/><Relationship Id="rId5" Type="http://schemas.openxmlformats.org/officeDocument/2006/relationships/comments" Target="../comments7.xml"/><Relationship Id="rId4" Type="http://schemas.openxmlformats.org/officeDocument/2006/relationships/table" Target="../tables/table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9.vml"/><Relationship Id="rId7" Type="http://schemas.microsoft.com/office/2017/10/relationships/threadedComment" Target="../threadedComments/threadedComment8.xml"/><Relationship Id="rId2" Type="http://schemas.openxmlformats.org/officeDocument/2006/relationships/drawing" Target="../drawings/drawing20.xml"/><Relationship Id="rId1" Type="http://schemas.openxmlformats.org/officeDocument/2006/relationships/printerSettings" Target="../printerSettings/printerSettings17.bin"/><Relationship Id="rId6" Type="http://schemas.openxmlformats.org/officeDocument/2006/relationships/comments" Target="../comments8.xml"/><Relationship Id="rId5" Type="http://schemas.openxmlformats.org/officeDocument/2006/relationships/table" Target="../tables/table20.xml"/><Relationship Id="rId4" Type="http://schemas.openxmlformats.org/officeDocument/2006/relationships/table" Target="../tables/table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1.xml"/><Relationship Id="rId1" Type="http://schemas.openxmlformats.org/officeDocument/2006/relationships/printerSettings" Target="../printerSettings/printerSettings18.bin"/><Relationship Id="rId5" Type="http://schemas.microsoft.com/office/2017/10/relationships/threadedComment" Target="../threadedComments/threadedComment9.xml"/><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2.vml"/><Relationship Id="rId1" Type="http://schemas.openxmlformats.org/officeDocument/2006/relationships/drawing" Target="../drawings/drawing39.xml"/><Relationship Id="rId4" Type="http://schemas.microsoft.com/office/2017/10/relationships/threadedComment" Target="../threadedComments/threadedComment10.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inswithmike.com/airbnb" TargetMode="External"/><Relationship Id="rId1" Type="http://schemas.openxmlformats.org/officeDocument/2006/relationships/hyperlink" Target="https://winswithmike.com/airbnb" TargetMode="External"/><Relationship Id="rId4"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realestatespreadsheets.com/"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7" Type="http://schemas.microsoft.com/office/2017/10/relationships/threadedComment" Target="../threadedComments/threadedComment1.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83A25-69C8-48AF-A632-354F612645B9}">
  <sheetPr codeName="shtAdmin"/>
  <dimension ref="A1"/>
  <sheetViews>
    <sheetView showGridLines="0" showRowColHeaders="0" workbookViewId="0">
      <selection activeCell="T12" sqref="T12"/>
    </sheetView>
  </sheetViews>
  <sheetFormatPr defaultRowHeight="14.4" x14ac:dyDescent="0.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9AF94-2D9C-408B-AA95-E4F1C0BEBC99}">
  <sheetPr codeName="Sheet17">
    <tabColor theme="1" tint="0.499984740745262"/>
    <pageSetUpPr fitToPage="1"/>
  </sheetPr>
  <dimension ref="A1:O95"/>
  <sheetViews>
    <sheetView zoomScale="85" zoomScaleNormal="85" workbookViewId="0">
      <pane xSplit="1" ySplit="13" topLeftCell="B28" activePane="bottomRight" state="frozen"/>
      <selection pane="topRight" activeCell="B1" sqref="B1"/>
      <selection pane="bottomLeft" activeCell="A14" sqref="A14"/>
      <selection pane="bottomRight" activeCell="J8" sqref="J8"/>
    </sheetView>
  </sheetViews>
  <sheetFormatPr defaultColWidth="9.77734375" defaultRowHeight="14.4" x14ac:dyDescent="0.3"/>
  <cols>
    <col min="1" max="1" width="3.109375" style="1916" customWidth="1"/>
    <col min="2" max="2" width="23.109375" style="1916" customWidth="1"/>
    <col min="3" max="3" width="11.33203125" style="1916" customWidth="1"/>
    <col min="4" max="4" width="34.109375" style="1916" bestFit="1" customWidth="1"/>
    <col min="5" max="5" width="2.109375" style="1916" customWidth="1"/>
    <col min="6" max="6" width="35.77734375" style="1916" customWidth="1"/>
    <col min="7" max="7" width="34.6640625" style="1916" bestFit="1" customWidth="1"/>
    <col min="8" max="8" width="18.77734375" style="1916" bestFit="1" customWidth="1"/>
    <col min="9" max="9" width="20.5546875" style="1916" customWidth="1"/>
    <col min="10" max="10" width="24.44140625" style="1916" customWidth="1"/>
    <col min="11" max="11" width="3.109375" style="1916" customWidth="1"/>
    <col min="12" max="15" width="9.77734375" style="2006"/>
    <col min="16" max="16384" width="9.77734375" style="1916"/>
  </cols>
  <sheetData>
    <row r="1" spans="1:15" s="1685" customFormat="1" ht="30" customHeight="1" x14ac:dyDescent="0.3">
      <c r="A1" s="1685" t="s">
        <v>2586</v>
      </c>
      <c r="L1" s="2005"/>
      <c r="M1" s="2005"/>
      <c r="N1" s="2005"/>
      <c r="O1" s="2005"/>
    </row>
    <row r="2" spans="1:15" s="1685" customFormat="1" ht="30" customHeight="1" x14ac:dyDescent="0.3">
      <c r="L2" s="2005"/>
      <c r="M2" s="2005"/>
      <c r="N2" s="2005"/>
      <c r="O2" s="2005"/>
    </row>
    <row r="3" spans="1:15" s="1858" customFormat="1" ht="21.6" customHeight="1" x14ac:dyDescent="0.3">
      <c r="A3" s="283"/>
      <c r="B3" s="1963"/>
      <c r="C3" s="283"/>
      <c r="D3" s="283"/>
      <c r="E3" s="283"/>
      <c r="F3" s="283"/>
      <c r="G3" s="283"/>
      <c r="H3" s="283"/>
      <c r="I3" s="283"/>
      <c r="J3" s="283"/>
      <c r="K3" s="283"/>
      <c r="L3" s="1873"/>
      <c r="M3" s="1873"/>
      <c r="N3" s="1873"/>
      <c r="O3" s="1873"/>
    </row>
    <row r="4" spans="1:15" x14ac:dyDescent="0.3">
      <c r="A4" s="521" t="s">
        <v>2615</v>
      </c>
      <c r="B4" s="521"/>
      <c r="C4" s="521"/>
      <c r="D4" s="521"/>
      <c r="E4" s="521"/>
      <c r="F4" s="521"/>
      <c r="G4" s="521"/>
      <c r="H4" s="521"/>
      <c r="I4" s="521"/>
      <c r="J4" s="521"/>
      <c r="K4" s="521"/>
    </row>
    <row r="5" spans="1:15" ht="4.8" customHeight="1" x14ac:dyDescent="0.3">
      <c r="A5" s="1915"/>
      <c r="B5" s="1972"/>
      <c r="C5" s="1971"/>
      <c r="D5" s="1971"/>
      <c r="E5" s="1971"/>
      <c r="F5" s="1971"/>
      <c r="G5" s="1971"/>
      <c r="H5" s="1915"/>
      <c r="I5" s="1915"/>
      <c r="J5" s="1971"/>
      <c r="K5" s="1915"/>
    </row>
    <row r="6" spans="1:15" x14ac:dyDescent="0.3">
      <c r="A6" s="1917"/>
      <c r="B6" s="1918" t="s">
        <v>369</v>
      </c>
      <c r="C6" s="1919"/>
      <c r="D6" s="1919"/>
      <c r="E6" s="1919"/>
      <c r="F6" s="1919"/>
      <c r="G6" s="1919"/>
      <c r="H6" s="1920"/>
      <c r="I6" s="1952" t="s">
        <v>2422</v>
      </c>
      <c r="J6" s="1955" t="s">
        <v>2605</v>
      </c>
      <c r="K6" s="1915"/>
    </row>
    <row r="7" spans="1:15" x14ac:dyDescent="0.3">
      <c r="A7" s="1917"/>
      <c r="B7" s="2484" t="s">
        <v>2440</v>
      </c>
      <c r="C7" s="2484"/>
      <c r="D7" s="1974">
        <f>SUMIF($B$29:$B93,"*DC*",$H$29:$H93)</f>
        <v>-155.75</v>
      </c>
      <c r="E7" s="1921"/>
      <c r="F7" s="1922" t="s">
        <v>2441</v>
      </c>
      <c r="G7" s="1973">
        <f>SUMIF($B$29:$B93,"*AP*",$H$29:$H93)</f>
        <v>-417367</v>
      </c>
      <c r="H7" s="1920"/>
      <c r="I7" s="1953"/>
      <c r="J7" s="1954"/>
      <c r="K7" s="1915"/>
    </row>
    <row r="8" spans="1:15" x14ac:dyDescent="0.3">
      <c r="A8" s="1917"/>
      <c r="B8" s="2484" t="s">
        <v>2442</v>
      </c>
      <c r="C8" s="2484"/>
      <c r="D8" s="1975">
        <f>SUMIF($B$29:$B91,"*ATM*",$H$29:$H91)</f>
        <v>-50</v>
      </c>
      <c r="E8" s="1923"/>
      <c r="F8" s="1922" t="s">
        <v>2443</v>
      </c>
      <c r="G8" s="1973">
        <f>SUMIF($B$29:$B91,"*BP*",$H$29:$H91)</f>
        <v>-100</v>
      </c>
      <c r="H8" s="1920"/>
      <c r="I8" s="1949">
        <f>J91</f>
        <v>464419.25</v>
      </c>
      <c r="J8" s="1987">
        <v>0</v>
      </c>
      <c r="K8" s="1915"/>
    </row>
    <row r="9" spans="1:15" x14ac:dyDescent="0.3">
      <c r="A9" s="1917"/>
      <c r="B9" s="2485" t="s">
        <v>2542</v>
      </c>
      <c r="C9" s="2485"/>
      <c r="D9" s="1924">
        <f>SUMIF($B$29:$B93,"*AD*",$I$29:$I93)</f>
        <v>165960</v>
      </c>
      <c r="E9" s="1924"/>
      <c r="F9" s="1925" t="s">
        <v>2541</v>
      </c>
      <c r="G9" s="1926">
        <f>SUMIF($B$29:$B93,"*TR*",$I$29:$I93)</f>
        <v>1500</v>
      </c>
      <c r="H9" s="1920"/>
      <c r="I9" s="1950"/>
      <c r="J9" s="1951"/>
      <c r="K9" s="1915"/>
    </row>
    <row r="10" spans="1:15" x14ac:dyDescent="0.3">
      <c r="A10" s="1915"/>
      <c r="B10" s="1927" t="s">
        <v>2543</v>
      </c>
      <c r="C10" s="1928">
        <f ca="1">TODAY()</f>
        <v>45920</v>
      </c>
      <c r="D10" s="1929"/>
      <c r="E10" s="1929"/>
      <c r="F10" s="1915"/>
      <c r="G10" s="1915"/>
      <c r="H10" s="1915"/>
      <c r="I10" s="1915"/>
      <c r="J10" s="1915"/>
      <c r="K10" s="1915"/>
    </row>
    <row r="11" spans="1:15" x14ac:dyDescent="0.3">
      <c r="A11" s="1915"/>
      <c r="B11" s="1956"/>
      <c r="C11" s="2478" t="s">
        <v>2609</v>
      </c>
      <c r="D11" s="2479"/>
      <c r="E11" s="2479"/>
      <c r="F11" s="2479"/>
      <c r="G11" s="2479"/>
      <c r="H11" s="2479"/>
      <c r="I11" s="2479"/>
      <c r="J11" s="2480"/>
      <c r="K11" s="1915"/>
    </row>
    <row r="12" spans="1:15" ht="15" thickBot="1" x14ac:dyDescent="0.35">
      <c r="A12" s="521" t="s">
        <v>2613</v>
      </c>
      <c r="B12" s="521"/>
      <c r="C12" s="521"/>
      <c r="D12" s="521"/>
      <c r="E12" s="521"/>
      <c r="F12" s="521"/>
      <c r="G12" s="521"/>
      <c r="H12" s="521"/>
      <c r="I12" s="1986" t="s">
        <v>2614</v>
      </c>
      <c r="J12" s="1985">
        <f ca="1">C10</f>
        <v>45920</v>
      </c>
      <c r="K12" s="521"/>
    </row>
    <row r="13" spans="1:15" x14ac:dyDescent="0.3">
      <c r="A13" s="1964"/>
      <c r="B13" s="1965" t="s">
        <v>2423</v>
      </c>
      <c r="C13" s="1966" t="s">
        <v>2424</v>
      </c>
      <c r="D13" s="1966" t="s">
        <v>2425</v>
      </c>
      <c r="E13" s="1967"/>
      <c r="F13" s="1966" t="s">
        <v>1205</v>
      </c>
      <c r="G13" s="1966" t="s">
        <v>2581</v>
      </c>
      <c r="H13" s="1966" t="s">
        <v>2426</v>
      </c>
      <c r="I13" s="1966" t="s">
        <v>2427</v>
      </c>
      <c r="J13" s="1966" t="s">
        <v>1192</v>
      </c>
      <c r="K13" s="1964"/>
    </row>
    <row r="14" spans="1:15" x14ac:dyDescent="0.3">
      <c r="A14" s="1915"/>
      <c r="B14" s="1976"/>
      <c r="C14" s="2481" t="s">
        <v>2610</v>
      </c>
      <c r="D14" s="2482"/>
      <c r="E14" s="2482"/>
      <c r="F14" s="2482"/>
      <c r="G14" s="2482"/>
      <c r="H14" s="2482"/>
      <c r="I14" s="2482"/>
      <c r="J14" s="2483"/>
      <c r="K14" s="1915"/>
    </row>
    <row r="15" spans="1:15" ht="20.399999999999999" x14ac:dyDescent="0.3">
      <c r="A15" s="1964"/>
      <c r="B15" s="1980" t="s">
        <v>2430</v>
      </c>
      <c r="C15" s="1982">
        <f ca="1">$C$10</f>
        <v>45920</v>
      </c>
      <c r="D15" s="1981" t="s">
        <v>2606</v>
      </c>
      <c r="E15" s="1957"/>
      <c r="F15" s="1983" t="s">
        <v>2548</v>
      </c>
      <c r="G15" s="1981" t="s">
        <v>2487</v>
      </c>
      <c r="H15" s="1944"/>
      <c r="I15" s="1944">
        <f>5000*12</f>
        <v>60000</v>
      </c>
      <c r="J15" s="1968">
        <f>IFERROR((J8+I15+H15),"")</f>
        <v>60000</v>
      </c>
      <c r="K15" s="1964"/>
    </row>
    <row r="16" spans="1:15" ht="20.399999999999999" x14ac:dyDescent="0.3">
      <c r="A16" s="1964"/>
      <c r="B16" s="1978" t="s">
        <v>2430</v>
      </c>
      <c r="C16" s="1979">
        <f t="shared" ref="C16:C49" ca="1" si="0">$C$10</f>
        <v>45920</v>
      </c>
      <c r="D16" s="1977" t="s">
        <v>2606</v>
      </c>
      <c r="E16" s="1957"/>
      <c r="F16" s="1984" t="s">
        <v>2548</v>
      </c>
      <c r="G16" s="1977" t="s">
        <v>2488</v>
      </c>
      <c r="H16" s="1944"/>
      <c r="I16" s="1944">
        <f>5000*12</f>
        <v>60000</v>
      </c>
      <c r="J16" s="1968">
        <f>IFERROR((J15+I16+H16),"")</f>
        <v>120000</v>
      </c>
      <c r="K16" s="1964"/>
    </row>
    <row r="17" spans="1:11" x14ac:dyDescent="0.3">
      <c r="A17" s="1964"/>
      <c r="B17" s="1980" t="s">
        <v>2430</v>
      </c>
      <c r="C17" s="1982">
        <f t="shared" ca="1" si="0"/>
        <v>45920</v>
      </c>
      <c r="D17" s="1981" t="s">
        <v>2606</v>
      </c>
      <c r="E17" s="1957"/>
      <c r="F17" s="2011" t="s">
        <v>2620</v>
      </c>
      <c r="G17" s="1981" t="s">
        <v>2489</v>
      </c>
      <c r="H17" s="1944"/>
      <c r="I17" s="1944">
        <v>330000</v>
      </c>
      <c r="J17" s="1968">
        <f t="shared" ref="J17:J49" si="1">IFERROR((J16+I17+H17),"")</f>
        <v>450000</v>
      </c>
      <c r="K17" s="1964"/>
    </row>
    <row r="18" spans="1:11" ht="20.399999999999999" x14ac:dyDescent="0.3">
      <c r="A18" s="1964"/>
      <c r="B18" s="1978" t="s">
        <v>2430</v>
      </c>
      <c r="C18" s="1979">
        <f t="shared" ca="1" si="0"/>
        <v>45920</v>
      </c>
      <c r="D18" s="1977" t="s">
        <v>2606</v>
      </c>
      <c r="E18" s="1957"/>
      <c r="F18" s="1984" t="s">
        <v>2548</v>
      </c>
      <c r="G18" s="1977" t="s">
        <v>2589</v>
      </c>
      <c r="H18" s="1944"/>
      <c r="I18" s="1944">
        <f>50*12</f>
        <v>600</v>
      </c>
      <c r="J18" s="1968">
        <f t="shared" si="1"/>
        <v>450600</v>
      </c>
      <c r="K18" s="1964"/>
    </row>
    <row r="19" spans="1:11" ht="20.399999999999999" x14ac:dyDescent="0.3">
      <c r="A19" s="1964"/>
      <c r="B19" s="1980" t="s">
        <v>2430</v>
      </c>
      <c r="C19" s="1982">
        <f t="shared" ca="1" si="0"/>
        <v>45920</v>
      </c>
      <c r="D19" s="1981" t="s">
        <v>2606</v>
      </c>
      <c r="E19" s="1957"/>
      <c r="F19" s="1983" t="s">
        <v>2548</v>
      </c>
      <c r="G19" s="1981" t="s">
        <v>2552</v>
      </c>
      <c r="H19" s="1944"/>
      <c r="I19" s="1944">
        <f>I17*20%</f>
        <v>66000</v>
      </c>
      <c r="J19" s="1968">
        <f t="shared" si="1"/>
        <v>516600</v>
      </c>
      <c r="K19" s="1964"/>
    </row>
    <row r="20" spans="1:11" ht="20.399999999999999" x14ac:dyDescent="0.3">
      <c r="A20" s="1964"/>
      <c r="B20" s="1978" t="s">
        <v>2430</v>
      </c>
      <c r="C20" s="1979">
        <f t="shared" ca="1" si="0"/>
        <v>45920</v>
      </c>
      <c r="D20" s="1977" t="s">
        <v>2606</v>
      </c>
      <c r="E20" s="1957"/>
      <c r="F20" s="1984" t="s">
        <v>2548</v>
      </c>
      <c r="G20" s="1977" t="s">
        <v>2558</v>
      </c>
      <c r="H20" s="1944"/>
      <c r="I20" s="1944">
        <f>I17*5%</f>
        <v>16500</v>
      </c>
      <c r="J20" s="1968">
        <f t="shared" si="1"/>
        <v>533100</v>
      </c>
      <c r="K20" s="1964"/>
    </row>
    <row r="21" spans="1:11" ht="20.399999999999999" x14ac:dyDescent="0.3">
      <c r="A21" s="1964"/>
      <c r="B21" s="1980" t="s">
        <v>2430</v>
      </c>
      <c r="C21" s="1982">
        <f t="shared" ca="1" si="0"/>
        <v>45920</v>
      </c>
      <c r="D21" s="1981" t="s">
        <v>2606</v>
      </c>
      <c r="E21" s="1957"/>
      <c r="F21" s="1983" t="s">
        <v>2548</v>
      </c>
      <c r="G21" s="1981" t="s">
        <v>2564</v>
      </c>
      <c r="H21" s="1944"/>
      <c r="I21" s="1944">
        <f>100*12</f>
        <v>1200</v>
      </c>
      <c r="J21" s="1968">
        <f t="shared" si="1"/>
        <v>534300</v>
      </c>
      <c r="K21" s="1964"/>
    </row>
    <row r="22" spans="1:11" ht="20.399999999999999" x14ac:dyDescent="0.3">
      <c r="A22" s="1964"/>
      <c r="B22" s="1978" t="s">
        <v>2430</v>
      </c>
      <c r="C22" s="1979">
        <f t="shared" ca="1" si="0"/>
        <v>45920</v>
      </c>
      <c r="D22" s="1977" t="s">
        <v>2606</v>
      </c>
      <c r="E22" s="1957"/>
      <c r="F22" s="1984" t="s">
        <v>2548</v>
      </c>
      <c r="G22" s="1977" t="s">
        <v>2490</v>
      </c>
      <c r="H22" s="1944"/>
      <c r="I22" s="1944">
        <f>5000*12</f>
        <v>60000</v>
      </c>
      <c r="J22" s="1968">
        <f t="shared" si="1"/>
        <v>594300</v>
      </c>
      <c r="K22" s="1964"/>
    </row>
    <row r="23" spans="1:11" ht="20.399999999999999" x14ac:dyDescent="0.3">
      <c r="A23" s="1964"/>
      <c r="B23" s="1980" t="s">
        <v>2430</v>
      </c>
      <c r="C23" s="1982">
        <f t="shared" ca="1" si="0"/>
        <v>45920</v>
      </c>
      <c r="D23" s="1981" t="s">
        <v>2606</v>
      </c>
      <c r="E23" s="1957"/>
      <c r="F23" s="1983" t="s">
        <v>2548</v>
      </c>
      <c r="G23" s="1981" t="s">
        <v>2572</v>
      </c>
      <c r="H23" s="1944">
        <v>-9534</v>
      </c>
      <c r="I23" s="1944"/>
      <c r="J23" s="1968">
        <f t="shared" si="1"/>
        <v>584766</v>
      </c>
      <c r="K23" s="1964"/>
    </row>
    <row r="24" spans="1:11" ht="28.8" x14ac:dyDescent="0.3">
      <c r="A24" s="1964"/>
      <c r="B24" s="1978" t="s">
        <v>2430</v>
      </c>
      <c r="C24" s="1979">
        <f t="shared" ca="1" si="0"/>
        <v>45920</v>
      </c>
      <c r="D24" s="1977" t="s">
        <v>2606</v>
      </c>
      <c r="E24" s="1957"/>
      <c r="F24" s="1984" t="s">
        <v>2548</v>
      </c>
      <c r="G24" s="1977" t="s">
        <v>2516</v>
      </c>
      <c r="H24" s="1944"/>
      <c r="I24" s="1944">
        <v>100000</v>
      </c>
      <c r="J24" s="1968">
        <f t="shared" si="1"/>
        <v>684766</v>
      </c>
      <c r="K24" s="1964"/>
    </row>
    <row r="25" spans="1:11" ht="20.399999999999999" x14ac:dyDescent="0.3">
      <c r="A25" s="1964"/>
      <c r="B25" s="1980" t="s">
        <v>2430</v>
      </c>
      <c r="C25" s="1982">
        <f t="shared" ca="1" si="0"/>
        <v>45920</v>
      </c>
      <c r="D25" s="1981" t="s">
        <v>2606</v>
      </c>
      <c r="E25" s="1957"/>
      <c r="F25" s="1983" t="s">
        <v>2548</v>
      </c>
      <c r="G25" s="1981" t="s">
        <v>2517</v>
      </c>
      <c r="H25" s="1944"/>
      <c r="I25" s="1944">
        <f>25000+5000+1200</f>
        <v>31200</v>
      </c>
      <c r="J25" s="1968">
        <f t="shared" si="1"/>
        <v>715966</v>
      </c>
      <c r="K25" s="1964"/>
    </row>
    <row r="26" spans="1:11" ht="20.399999999999999" x14ac:dyDescent="0.3">
      <c r="A26" s="1964"/>
      <c r="B26" s="1978" t="s">
        <v>2430</v>
      </c>
      <c r="C26" s="1979">
        <f t="shared" ca="1" si="0"/>
        <v>45920</v>
      </c>
      <c r="D26" s="1977" t="s">
        <v>2606</v>
      </c>
      <c r="E26" s="1957"/>
      <c r="F26" s="1984" t="s">
        <v>2548</v>
      </c>
      <c r="G26" s="1977" t="s">
        <v>2486</v>
      </c>
      <c r="H26" s="1944"/>
      <c r="I26" s="1944">
        <v>6400</v>
      </c>
      <c r="J26" s="1968">
        <f t="shared" si="1"/>
        <v>722366</v>
      </c>
      <c r="K26" s="1964"/>
    </row>
    <row r="27" spans="1:11" ht="20.399999999999999" x14ac:dyDescent="0.3">
      <c r="A27" s="1964"/>
      <c r="B27" s="1980" t="s">
        <v>2430</v>
      </c>
      <c r="C27" s="1982">
        <f t="shared" ca="1" si="0"/>
        <v>45920</v>
      </c>
      <c r="D27" s="1981" t="s">
        <v>2606</v>
      </c>
      <c r="E27" s="1957"/>
      <c r="F27" s="1983" t="s">
        <v>2548</v>
      </c>
      <c r="G27" s="1981" t="s">
        <v>2502</v>
      </c>
      <c r="H27" s="1944"/>
      <c r="I27" s="1944">
        <f>50*12</f>
        <v>600</v>
      </c>
      <c r="J27" s="1968">
        <f t="shared" si="1"/>
        <v>722966</v>
      </c>
      <c r="K27" s="1964"/>
    </row>
    <row r="28" spans="1:11" ht="20.399999999999999" x14ac:dyDescent="0.3">
      <c r="A28" s="1964"/>
      <c r="B28" s="1978" t="s">
        <v>2430</v>
      </c>
      <c r="C28" s="1979">
        <f t="shared" ca="1" si="0"/>
        <v>45920</v>
      </c>
      <c r="D28" s="1977" t="s">
        <v>2606</v>
      </c>
      <c r="E28" s="1957"/>
      <c r="F28" s="1984" t="s">
        <v>2548</v>
      </c>
      <c r="G28" s="1977" t="s">
        <v>2503</v>
      </c>
      <c r="H28" s="1944"/>
      <c r="I28" s="1944">
        <f>100*12</f>
        <v>1200</v>
      </c>
      <c r="J28" s="1968">
        <f t="shared" si="1"/>
        <v>724166</v>
      </c>
      <c r="K28" s="1964"/>
    </row>
    <row r="29" spans="1:11" ht="20.399999999999999" x14ac:dyDescent="0.3">
      <c r="A29" s="1969"/>
      <c r="B29" s="1980" t="s">
        <v>2430</v>
      </c>
      <c r="C29" s="1982">
        <f t="shared" ca="1" si="0"/>
        <v>45920</v>
      </c>
      <c r="D29" s="1981" t="s">
        <v>2606</v>
      </c>
      <c r="E29" s="1957"/>
      <c r="F29" s="1983" t="s">
        <v>2548</v>
      </c>
      <c r="G29" s="1981" t="s">
        <v>2504</v>
      </c>
      <c r="H29" s="1944"/>
      <c r="I29" s="1944">
        <v>2000</v>
      </c>
      <c r="J29" s="1968">
        <f t="shared" si="1"/>
        <v>726166</v>
      </c>
      <c r="K29" s="1964"/>
    </row>
    <row r="30" spans="1:11" ht="20.399999999999999" x14ac:dyDescent="0.3">
      <c r="A30" s="1969"/>
      <c r="B30" s="1978" t="s">
        <v>2430</v>
      </c>
      <c r="C30" s="1979">
        <f t="shared" ca="1" si="0"/>
        <v>45920</v>
      </c>
      <c r="D30" s="1977" t="s">
        <v>2606</v>
      </c>
      <c r="E30" s="1957"/>
      <c r="F30" s="1984" t="s">
        <v>2548</v>
      </c>
      <c r="G30" s="1977" t="s">
        <v>2554</v>
      </c>
      <c r="H30" s="1944"/>
      <c r="I30" s="1944">
        <v>2000</v>
      </c>
      <c r="J30" s="1968">
        <f t="shared" si="1"/>
        <v>728166</v>
      </c>
      <c r="K30" s="1964"/>
    </row>
    <row r="31" spans="1:11" ht="20.399999999999999" x14ac:dyDescent="0.3">
      <c r="A31" s="1969"/>
      <c r="B31" s="1980" t="s">
        <v>2430</v>
      </c>
      <c r="C31" s="1982">
        <f t="shared" ca="1" si="0"/>
        <v>45920</v>
      </c>
      <c r="D31" s="1981" t="s">
        <v>2606</v>
      </c>
      <c r="E31" s="1957"/>
      <c r="F31" s="1983" t="s">
        <v>2548</v>
      </c>
      <c r="G31" s="1981" t="s">
        <v>2553</v>
      </c>
      <c r="H31" s="1944"/>
      <c r="I31" s="1944">
        <v>2000</v>
      </c>
      <c r="J31" s="1968">
        <f t="shared" si="1"/>
        <v>730166</v>
      </c>
      <c r="K31" s="1964"/>
    </row>
    <row r="32" spans="1:11" ht="28.8" x14ac:dyDescent="0.3">
      <c r="A32" s="1969"/>
      <c r="B32" s="1978" t="s">
        <v>2540</v>
      </c>
      <c r="C32" s="1979">
        <f t="shared" ca="1" si="0"/>
        <v>45920</v>
      </c>
      <c r="D32" s="1977" t="s">
        <v>2607</v>
      </c>
      <c r="E32" s="1957"/>
      <c r="F32" s="1984" t="s">
        <v>2548</v>
      </c>
      <c r="G32" s="1977" t="s">
        <v>2591</v>
      </c>
      <c r="H32" s="1944">
        <f>-(12*50)</f>
        <v>-600</v>
      </c>
      <c r="I32" s="1944"/>
      <c r="J32" s="1968">
        <f t="shared" si="1"/>
        <v>729566</v>
      </c>
      <c r="K32" s="1964"/>
    </row>
    <row r="33" spans="1:11" x14ac:dyDescent="0.3">
      <c r="A33" s="1969"/>
      <c r="B33" s="1980" t="s">
        <v>2540</v>
      </c>
      <c r="C33" s="1982">
        <f t="shared" ca="1" si="0"/>
        <v>45920</v>
      </c>
      <c r="D33" s="1981" t="s">
        <v>2607</v>
      </c>
      <c r="E33" s="1957"/>
      <c r="F33" s="2011" t="s">
        <v>2619</v>
      </c>
      <c r="G33" s="1981" t="s">
        <v>2491</v>
      </c>
      <c r="H33" s="1944">
        <f>-(250*36)</f>
        <v>-9000</v>
      </c>
      <c r="I33" s="1944"/>
      <c r="J33" s="1968">
        <f t="shared" si="1"/>
        <v>720566</v>
      </c>
      <c r="K33" s="1964"/>
    </row>
    <row r="34" spans="1:11" ht="30.6" customHeight="1" x14ac:dyDescent="0.3">
      <c r="A34" s="1969"/>
      <c r="B34" s="1978" t="s">
        <v>2540</v>
      </c>
      <c r="C34" s="1979">
        <f t="shared" ca="1" si="0"/>
        <v>45920</v>
      </c>
      <c r="D34" s="1977" t="s">
        <v>2607</v>
      </c>
      <c r="E34" s="1957"/>
      <c r="F34" s="2011" t="s">
        <v>2626</v>
      </c>
      <c r="G34" s="1977" t="s">
        <v>2492</v>
      </c>
      <c r="H34" s="1944">
        <v>-198000</v>
      </c>
      <c r="I34" s="1944"/>
      <c r="J34" s="1968">
        <f t="shared" si="1"/>
        <v>522566</v>
      </c>
      <c r="K34" s="1964"/>
    </row>
    <row r="35" spans="1:11" ht="20.399999999999999" x14ac:dyDescent="0.3">
      <c r="A35" s="1969"/>
      <c r="B35" s="1980" t="s">
        <v>2540</v>
      </c>
      <c r="C35" s="1982">
        <f t="shared" ca="1" si="0"/>
        <v>45920</v>
      </c>
      <c r="D35" s="1981" t="s">
        <v>2607</v>
      </c>
      <c r="E35" s="1957"/>
      <c r="F35" s="1983" t="s">
        <v>2548</v>
      </c>
      <c r="G35" s="1981" t="s">
        <v>2493</v>
      </c>
      <c r="H35" s="1944">
        <f>-100*12</f>
        <v>-1200</v>
      </c>
      <c r="I35" s="1944"/>
      <c r="J35" s="1968">
        <f t="shared" si="1"/>
        <v>521366</v>
      </c>
      <c r="K35" s="1964"/>
    </row>
    <row r="36" spans="1:11" ht="20.399999999999999" x14ac:dyDescent="0.3">
      <c r="A36" s="1969"/>
      <c r="B36" s="1978" t="s">
        <v>2540</v>
      </c>
      <c r="C36" s="1979">
        <f t="shared" ca="1" si="0"/>
        <v>45920</v>
      </c>
      <c r="D36" s="1977" t="s">
        <v>2607</v>
      </c>
      <c r="E36" s="1957"/>
      <c r="F36" s="1984" t="s">
        <v>2548</v>
      </c>
      <c r="G36" s="1977" t="s">
        <v>2519</v>
      </c>
      <c r="H36" s="1944">
        <f>H34*5%</f>
        <v>-9900</v>
      </c>
      <c r="I36" s="1944"/>
      <c r="J36" s="1968">
        <f t="shared" si="1"/>
        <v>511466</v>
      </c>
      <c r="K36" s="1964"/>
    </row>
    <row r="37" spans="1:11" ht="27" customHeight="1" x14ac:dyDescent="0.3">
      <c r="A37" s="1969"/>
      <c r="B37" s="1980" t="s">
        <v>2540</v>
      </c>
      <c r="C37" s="1982">
        <f t="shared" ca="1" si="0"/>
        <v>45920</v>
      </c>
      <c r="D37" s="1981" t="s">
        <v>2607</v>
      </c>
      <c r="E37" s="1957"/>
      <c r="F37" s="2011" t="s">
        <v>2624</v>
      </c>
      <c r="G37" s="1981" t="s">
        <v>2494</v>
      </c>
      <c r="H37" s="1944">
        <f>H34*1%</f>
        <v>-1980</v>
      </c>
      <c r="I37" s="1944"/>
      <c r="J37" s="1968">
        <f t="shared" si="1"/>
        <v>509486</v>
      </c>
      <c r="K37" s="1964"/>
    </row>
    <row r="38" spans="1:11" ht="20.399999999999999" x14ac:dyDescent="0.3">
      <c r="A38" s="1969"/>
      <c r="B38" s="1978" t="s">
        <v>2540</v>
      </c>
      <c r="C38" s="1979">
        <f t="shared" ca="1" si="0"/>
        <v>45920</v>
      </c>
      <c r="D38" s="1977" t="s">
        <v>2607</v>
      </c>
      <c r="E38" s="1957"/>
      <c r="F38" s="1984" t="s">
        <v>2548</v>
      </c>
      <c r="G38" s="1977" t="s">
        <v>2588</v>
      </c>
      <c r="H38" s="1944">
        <f>-12*100</f>
        <v>-1200</v>
      </c>
      <c r="I38" s="1944"/>
      <c r="J38" s="1968">
        <f t="shared" si="1"/>
        <v>508286</v>
      </c>
      <c r="K38" s="1964"/>
    </row>
    <row r="39" spans="1:11" ht="20.399999999999999" x14ac:dyDescent="0.3">
      <c r="A39" s="1969"/>
      <c r="B39" s="1980" t="s">
        <v>2540</v>
      </c>
      <c r="C39" s="1982">
        <f t="shared" ca="1" si="0"/>
        <v>45920</v>
      </c>
      <c r="D39" s="1981" t="s">
        <v>2607</v>
      </c>
      <c r="E39" s="1957"/>
      <c r="F39" s="1983" t="s">
        <v>2548</v>
      </c>
      <c r="G39" s="1981" t="s">
        <v>2495</v>
      </c>
      <c r="H39" s="1944">
        <f>-400*12</f>
        <v>-4800</v>
      </c>
      <c r="I39" s="1944"/>
      <c r="J39" s="1968">
        <f t="shared" si="1"/>
        <v>503486</v>
      </c>
      <c r="K39" s="1964"/>
    </row>
    <row r="40" spans="1:11" ht="20.399999999999999" x14ac:dyDescent="0.3">
      <c r="A40" s="1969"/>
      <c r="B40" s="1978" t="s">
        <v>2540</v>
      </c>
      <c r="C40" s="1979">
        <f t="shared" ca="1" si="0"/>
        <v>45920</v>
      </c>
      <c r="D40" s="1977" t="s">
        <v>2607</v>
      </c>
      <c r="E40" s="1957"/>
      <c r="F40" s="1984" t="s">
        <v>2548</v>
      </c>
      <c r="G40" s="1977" t="s">
        <v>2467</v>
      </c>
      <c r="H40" s="1944">
        <f>-50*12</f>
        <v>-600</v>
      </c>
      <c r="I40" s="1944"/>
      <c r="J40" s="1968">
        <f t="shared" si="1"/>
        <v>502886</v>
      </c>
      <c r="K40" s="1964"/>
    </row>
    <row r="41" spans="1:11" ht="20.399999999999999" x14ac:dyDescent="0.3">
      <c r="A41" s="1969"/>
      <c r="B41" s="1980" t="s">
        <v>2540</v>
      </c>
      <c r="C41" s="1982">
        <f t="shared" ca="1" si="0"/>
        <v>45920</v>
      </c>
      <c r="D41" s="1981" t="s">
        <v>2607</v>
      </c>
      <c r="E41" s="1957"/>
      <c r="F41" s="1983" t="s">
        <v>2548</v>
      </c>
      <c r="G41" s="1981" t="s">
        <v>2546</v>
      </c>
      <c r="H41" s="1944">
        <f>-(SUM(I15:I31)-SUM(H32:H40))*10%</f>
        <v>-96698</v>
      </c>
      <c r="I41" s="1944"/>
      <c r="J41" s="1968">
        <f t="shared" si="1"/>
        <v>406188</v>
      </c>
      <c r="K41" s="1964"/>
    </row>
    <row r="42" spans="1:11" ht="20.399999999999999" x14ac:dyDescent="0.3">
      <c r="A42" s="1969"/>
      <c r="B42" s="1978" t="s">
        <v>2540</v>
      </c>
      <c r="C42" s="1979">
        <f t="shared" ca="1" si="0"/>
        <v>45920</v>
      </c>
      <c r="D42" s="1977" t="s">
        <v>2607</v>
      </c>
      <c r="E42" s="1957"/>
      <c r="F42" s="1984" t="s">
        <v>2548</v>
      </c>
      <c r="G42" s="1977" t="s">
        <v>2514</v>
      </c>
      <c r="H42" s="1944">
        <v>-1100</v>
      </c>
      <c r="I42" s="1944"/>
      <c r="J42" s="1968">
        <f t="shared" si="1"/>
        <v>405088</v>
      </c>
      <c r="K42" s="1964"/>
    </row>
    <row r="43" spans="1:11" ht="20.399999999999999" x14ac:dyDescent="0.3">
      <c r="A43" s="1969"/>
      <c r="B43" s="1980" t="s">
        <v>2540</v>
      </c>
      <c r="C43" s="1982">
        <f t="shared" ca="1" si="0"/>
        <v>45920</v>
      </c>
      <c r="D43" s="1981" t="s">
        <v>2607</v>
      </c>
      <c r="E43" s="1957"/>
      <c r="F43" s="1983" t="s">
        <v>2548</v>
      </c>
      <c r="G43" s="1981" t="s">
        <v>2515</v>
      </c>
      <c r="H43" s="1944">
        <v>-1500</v>
      </c>
      <c r="I43" s="1944"/>
      <c r="J43" s="1968">
        <f t="shared" si="1"/>
        <v>403588</v>
      </c>
      <c r="K43" s="1964"/>
    </row>
    <row r="44" spans="1:11" ht="20.399999999999999" x14ac:dyDescent="0.3">
      <c r="A44" s="1969"/>
      <c r="B44" s="1978" t="s">
        <v>2540</v>
      </c>
      <c r="C44" s="1979">
        <f t="shared" ca="1" si="0"/>
        <v>45920</v>
      </c>
      <c r="D44" s="1977" t="s">
        <v>2607</v>
      </c>
      <c r="E44" s="1957"/>
      <c r="F44" s="1984" t="s">
        <v>2548</v>
      </c>
      <c r="G44" s="1977" t="s">
        <v>2496</v>
      </c>
      <c r="H44" s="1944">
        <v>-1000</v>
      </c>
      <c r="I44" s="1944"/>
      <c r="J44" s="1968">
        <f t="shared" si="1"/>
        <v>402588</v>
      </c>
      <c r="K44" s="1964"/>
    </row>
    <row r="45" spans="1:11" ht="20.399999999999999" x14ac:dyDescent="0.3">
      <c r="A45" s="1969"/>
      <c r="B45" s="1980" t="s">
        <v>2540</v>
      </c>
      <c r="C45" s="1982">
        <f t="shared" ca="1" si="0"/>
        <v>45920</v>
      </c>
      <c r="D45" s="1981" t="s">
        <v>2607</v>
      </c>
      <c r="E45" s="1957"/>
      <c r="F45" s="1983" t="s">
        <v>2548</v>
      </c>
      <c r="G45" s="1981" t="s">
        <v>2497</v>
      </c>
      <c r="H45" s="1944">
        <v>-500</v>
      </c>
      <c r="I45" s="1944"/>
      <c r="J45" s="1968">
        <f t="shared" si="1"/>
        <v>402088</v>
      </c>
      <c r="K45" s="1964"/>
    </row>
    <row r="46" spans="1:11" ht="20.399999999999999" x14ac:dyDescent="0.3">
      <c r="A46" s="1969"/>
      <c r="B46" s="1978" t="s">
        <v>2540</v>
      </c>
      <c r="C46" s="1979">
        <f t="shared" ca="1" si="0"/>
        <v>45920</v>
      </c>
      <c r="D46" s="1977" t="s">
        <v>2607</v>
      </c>
      <c r="E46" s="1957"/>
      <c r="F46" s="1984" t="s">
        <v>2548</v>
      </c>
      <c r="G46" s="1977" t="s">
        <v>2498</v>
      </c>
      <c r="H46" s="1944">
        <v>-21531</v>
      </c>
      <c r="I46" s="1944"/>
      <c r="J46" s="1968">
        <f t="shared" si="1"/>
        <v>380557</v>
      </c>
      <c r="K46" s="1964"/>
    </row>
    <row r="47" spans="1:11" ht="20.399999999999999" x14ac:dyDescent="0.3">
      <c r="A47" s="1969"/>
      <c r="B47" s="1980" t="s">
        <v>2540</v>
      </c>
      <c r="C47" s="1982">
        <f t="shared" ca="1" si="0"/>
        <v>45920</v>
      </c>
      <c r="D47" s="1981" t="s">
        <v>2607</v>
      </c>
      <c r="E47" s="1957"/>
      <c r="F47" s="1983" t="s">
        <v>2548</v>
      </c>
      <c r="G47" s="1981" t="s">
        <v>2499</v>
      </c>
      <c r="H47" s="1944">
        <v>0</v>
      </c>
      <c r="I47" s="1944"/>
      <c r="J47" s="1968">
        <f t="shared" si="1"/>
        <v>380557</v>
      </c>
      <c r="K47" s="1964"/>
    </row>
    <row r="48" spans="1:11" ht="20.399999999999999" x14ac:dyDescent="0.3">
      <c r="A48" s="1969"/>
      <c r="B48" s="1978" t="s">
        <v>2540</v>
      </c>
      <c r="C48" s="1979">
        <f t="shared" ca="1" si="0"/>
        <v>45920</v>
      </c>
      <c r="D48" s="1977" t="s">
        <v>2607</v>
      </c>
      <c r="E48" s="1957"/>
      <c r="F48" s="1984" t="s">
        <v>2548</v>
      </c>
      <c r="G48" s="1977" t="s">
        <v>2500</v>
      </c>
      <c r="H48" s="1944">
        <v>-16500</v>
      </c>
      <c r="I48" s="1944"/>
      <c r="J48" s="1968">
        <f t="shared" si="1"/>
        <v>364057</v>
      </c>
      <c r="K48" s="1964"/>
    </row>
    <row r="49" spans="1:11" ht="20.399999999999999" x14ac:dyDescent="0.3">
      <c r="A49" s="1969"/>
      <c r="B49" s="1980" t="s">
        <v>2540</v>
      </c>
      <c r="C49" s="1982">
        <f t="shared" ca="1" si="0"/>
        <v>45920</v>
      </c>
      <c r="D49" s="1981" t="s">
        <v>2607</v>
      </c>
      <c r="E49" s="1957"/>
      <c r="F49" s="1983" t="s">
        <v>2548</v>
      </c>
      <c r="G49" s="1981" t="s">
        <v>2501</v>
      </c>
      <c r="H49" s="1944">
        <v>-51235</v>
      </c>
      <c r="I49" s="1944"/>
      <c r="J49" s="1968">
        <f t="shared" si="1"/>
        <v>312822</v>
      </c>
      <c r="K49" s="1964"/>
    </row>
    <row r="50" spans="1:11" x14ac:dyDescent="0.3">
      <c r="A50" s="1930"/>
      <c r="B50" s="1956"/>
      <c r="C50" s="2478" t="s">
        <v>2608</v>
      </c>
      <c r="D50" s="2479"/>
      <c r="E50" s="2479"/>
      <c r="F50" s="2479"/>
      <c r="G50" s="2479"/>
      <c r="H50" s="2479"/>
      <c r="I50" s="2479"/>
      <c r="J50" s="2480"/>
      <c r="K50" s="1915"/>
    </row>
    <row r="51" spans="1:11" ht="15" thickBot="1" x14ac:dyDescent="0.35">
      <c r="A51" s="521" t="s">
        <v>2613</v>
      </c>
      <c r="B51" s="521"/>
      <c r="C51" s="521"/>
      <c r="D51" s="521"/>
      <c r="E51" s="521"/>
      <c r="F51" s="521"/>
      <c r="G51" s="521"/>
      <c r="H51" s="521"/>
      <c r="I51" s="1986" t="s">
        <v>2614</v>
      </c>
      <c r="J51" s="1985">
        <f ca="1">C49</f>
        <v>45920</v>
      </c>
      <c r="K51" s="521"/>
    </row>
    <row r="52" spans="1:11" x14ac:dyDescent="0.3">
      <c r="A52" s="1964"/>
      <c r="B52" s="1965" t="s">
        <v>2423</v>
      </c>
      <c r="C52" s="1966" t="s">
        <v>2424</v>
      </c>
      <c r="D52" s="1966" t="s">
        <v>2425</v>
      </c>
      <c r="E52" s="1967"/>
      <c r="F52" s="1966" t="s">
        <v>1205</v>
      </c>
      <c r="G52" s="1966" t="s">
        <v>2581</v>
      </c>
      <c r="H52" s="1966" t="s">
        <v>2426</v>
      </c>
      <c r="I52" s="1966" t="s">
        <v>2427</v>
      </c>
      <c r="J52" s="1966" t="s">
        <v>1192</v>
      </c>
      <c r="K52" s="1964"/>
    </row>
    <row r="53" spans="1:11" x14ac:dyDescent="0.3">
      <c r="A53" s="1915"/>
      <c r="B53" s="1976"/>
      <c r="C53" s="2481" t="s">
        <v>2611</v>
      </c>
      <c r="D53" s="2482"/>
      <c r="E53" s="2482"/>
      <c r="F53" s="2482"/>
      <c r="G53" s="2482"/>
      <c r="H53" s="2482"/>
      <c r="I53" s="2482"/>
      <c r="J53" s="2483"/>
      <c r="K53" s="1915"/>
    </row>
    <row r="54" spans="1:11" x14ac:dyDescent="0.3">
      <c r="A54" s="1969"/>
      <c r="B54" s="1988" t="s">
        <v>2437</v>
      </c>
      <c r="C54" s="1982" t="s">
        <v>1218</v>
      </c>
      <c r="D54" s="1989" t="s">
        <v>2428</v>
      </c>
      <c r="E54" s="1957"/>
      <c r="F54" s="1992" t="s">
        <v>2429</v>
      </c>
      <c r="G54" s="1989" t="s">
        <v>2500</v>
      </c>
      <c r="H54" s="1944">
        <v>-100</v>
      </c>
      <c r="I54" s="1944"/>
      <c r="J54" s="1968">
        <f>IFERROR((J49+I54+H54),"")</f>
        <v>312722</v>
      </c>
      <c r="K54" s="1964"/>
    </row>
    <row r="55" spans="1:11" x14ac:dyDescent="0.3">
      <c r="A55" s="1969"/>
      <c r="B55" s="1990" t="s">
        <v>2539</v>
      </c>
      <c r="C55" s="1979" t="s">
        <v>1218</v>
      </c>
      <c r="D55" s="1991" t="s">
        <v>2431</v>
      </c>
      <c r="E55" s="1957"/>
      <c r="F55" s="1993"/>
      <c r="G55" s="1991" t="s">
        <v>2488</v>
      </c>
      <c r="H55" s="1944"/>
      <c r="I55" s="1944">
        <v>1500</v>
      </c>
      <c r="J55" s="1968">
        <f>IFERROR((J54+I55+H55),"")</f>
        <v>314222</v>
      </c>
      <c r="K55" s="1964"/>
    </row>
    <row r="56" spans="1:11" x14ac:dyDescent="0.3">
      <c r="A56" s="1969"/>
      <c r="B56" s="1988" t="s">
        <v>2432</v>
      </c>
      <c r="C56" s="1982" t="s">
        <v>1218</v>
      </c>
      <c r="D56" s="1989" t="s">
        <v>2433</v>
      </c>
      <c r="E56" s="1957"/>
      <c r="F56" s="1992" t="s">
        <v>2434</v>
      </c>
      <c r="G56" s="1989" t="s">
        <v>2467</v>
      </c>
      <c r="H56" s="1944">
        <v>-16</v>
      </c>
      <c r="I56" s="1944"/>
      <c r="J56" s="1968">
        <f t="shared" ref="J56:J89" si="2">IFERROR((J55+I56+H56),"")</f>
        <v>314206</v>
      </c>
      <c r="K56" s="1964"/>
    </row>
    <row r="57" spans="1:11" x14ac:dyDescent="0.3">
      <c r="A57" s="1969"/>
      <c r="B57" s="1990" t="s">
        <v>2435</v>
      </c>
      <c r="C57" s="1979" t="s">
        <v>1218</v>
      </c>
      <c r="D57" s="1991"/>
      <c r="E57" s="1957"/>
      <c r="F57" s="1993" t="s">
        <v>2436</v>
      </c>
      <c r="G57" s="1991" t="s">
        <v>2495</v>
      </c>
      <c r="H57" s="1944">
        <v>-50</v>
      </c>
      <c r="I57" s="1944"/>
      <c r="J57" s="1968">
        <f t="shared" si="2"/>
        <v>314156</v>
      </c>
      <c r="K57" s="1964"/>
    </row>
    <row r="58" spans="1:11" x14ac:dyDescent="0.3">
      <c r="A58" s="1969"/>
      <c r="B58" s="1988" t="s">
        <v>2540</v>
      </c>
      <c r="C58" s="1982" t="s">
        <v>1218</v>
      </c>
      <c r="D58" s="1989" t="s">
        <v>2438</v>
      </c>
      <c r="E58" s="1957"/>
      <c r="F58" s="1992"/>
      <c r="G58" s="1989" t="s">
        <v>2493</v>
      </c>
      <c r="H58" s="1944">
        <v>-23</v>
      </c>
      <c r="I58" s="1944"/>
      <c r="J58" s="1968">
        <f t="shared" si="2"/>
        <v>314133</v>
      </c>
      <c r="K58" s="1964"/>
    </row>
    <row r="59" spans="1:11" x14ac:dyDescent="0.3">
      <c r="A59" s="1964"/>
      <c r="B59" s="1990" t="s">
        <v>2432</v>
      </c>
      <c r="C59" s="1979" t="s">
        <v>1218</v>
      </c>
      <c r="D59" s="1991" t="s">
        <v>2535</v>
      </c>
      <c r="E59" s="1957"/>
      <c r="F59" s="1993" t="s">
        <v>2536</v>
      </c>
      <c r="G59" s="1991" t="s">
        <v>2519</v>
      </c>
      <c r="H59" s="1944">
        <v>-46</v>
      </c>
      <c r="I59" s="1944"/>
      <c r="J59" s="1968">
        <f t="shared" si="2"/>
        <v>314087</v>
      </c>
      <c r="K59" s="1964"/>
    </row>
    <row r="60" spans="1:11" x14ac:dyDescent="0.3">
      <c r="A60" s="1964"/>
      <c r="B60" s="1980" t="s">
        <v>2430</v>
      </c>
      <c r="C60" s="1982" t="s">
        <v>1218</v>
      </c>
      <c r="D60" s="1981" t="s">
        <v>2623</v>
      </c>
      <c r="E60" s="1957"/>
      <c r="F60" s="2007" t="s">
        <v>2625</v>
      </c>
      <c r="G60" s="1981"/>
      <c r="H60" s="1944">
        <v>0</v>
      </c>
      <c r="I60" s="1944"/>
      <c r="J60" s="1968">
        <f t="shared" si="2"/>
        <v>314087</v>
      </c>
      <c r="K60" s="1964"/>
    </row>
    <row r="61" spans="1:11" ht="34.200000000000003" customHeight="1" x14ac:dyDescent="0.3">
      <c r="A61" s="1964"/>
      <c r="B61" s="1990" t="s">
        <v>2430</v>
      </c>
      <c r="C61" s="1979" t="s">
        <v>1218</v>
      </c>
      <c r="D61" s="1991" t="s">
        <v>2618</v>
      </c>
      <c r="E61" s="1957"/>
      <c r="F61" s="1993" t="s">
        <v>2622</v>
      </c>
      <c r="G61" s="1991" t="s">
        <v>2491</v>
      </c>
      <c r="H61" s="1944">
        <v>0</v>
      </c>
      <c r="I61" s="1944"/>
      <c r="J61" s="1968">
        <f t="shared" si="2"/>
        <v>314087</v>
      </c>
      <c r="K61" s="1964"/>
    </row>
    <row r="62" spans="1:11" ht="57.6" x14ac:dyDescent="0.3">
      <c r="A62" s="1964"/>
      <c r="B62" s="1988" t="s">
        <v>2430</v>
      </c>
      <c r="C62" s="1982" t="s">
        <v>1218</v>
      </c>
      <c r="D62" s="1989" t="s">
        <v>2544</v>
      </c>
      <c r="E62" s="1957"/>
      <c r="F62" s="2008" t="s">
        <v>2621</v>
      </c>
      <c r="G62" s="1989" t="s">
        <v>2489</v>
      </c>
      <c r="H62" s="1944"/>
      <c r="I62" s="1944">
        <v>0</v>
      </c>
      <c r="J62" s="1968">
        <f>IFERROR((J59+I62+H62),"")</f>
        <v>314087</v>
      </c>
      <c r="K62" s="1964"/>
    </row>
    <row r="63" spans="1:11" ht="43.2" x14ac:dyDescent="0.3">
      <c r="A63" s="1964"/>
      <c r="B63" s="1990" t="s">
        <v>2430</v>
      </c>
      <c r="C63" s="1979">
        <v>45658</v>
      </c>
      <c r="D63" s="1991" t="s">
        <v>2549</v>
      </c>
      <c r="E63" s="1957"/>
      <c r="F63" s="1993" t="s">
        <v>2548</v>
      </c>
      <c r="G63" s="1991" t="s">
        <v>2516</v>
      </c>
      <c r="H63" s="1944"/>
      <c r="I63" s="1944">
        <v>105000</v>
      </c>
      <c r="J63" s="1968">
        <f t="shared" si="2"/>
        <v>419087</v>
      </c>
      <c r="K63" s="1964"/>
    </row>
    <row r="64" spans="1:11" ht="43.2" x14ac:dyDescent="0.3">
      <c r="A64" s="1964"/>
      <c r="B64" s="1988" t="s">
        <v>2430</v>
      </c>
      <c r="C64" s="1982">
        <v>45659</v>
      </c>
      <c r="D64" s="1989" t="s">
        <v>2551</v>
      </c>
      <c r="E64" s="1957"/>
      <c r="F64" s="1992" t="s">
        <v>2548</v>
      </c>
      <c r="G64" s="1989" t="s">
        <v>2517</v>
      </c>
      <c r="H64" s="1944"/>
      <c r="I64" s="1944">
        <v>42840</v>
      </c>
      <c r="J64" s="1968">
        <f t="shared" si="2"/>
        <v>461927</v>
      </c>
      <c r="K64" s="1964"/>
    </row>
    <row r="65" spans="1:11" ht="28.8" x14ac:dyDescent="0.3">
      <c r="A65" s="1964"/>
      <c r="B65" s="1990" t="s">
        <v>2430</v>
      </c>
      <c r="C65" s="1979">
        <v>45660</v>
      </c>
      <c r="D65" s="1991" t="s">
        <v>2550</v>
      </c>
      <c r="E65" s="1957"/>
      <c r="F65" s="1993" t="s">
        <v>2548</v>
      </c>
      <c r="G65" s="1991" t="s">
        <v>2486</v>
      </c>
      <c r="H65" s="1944"/>
      <c r="I65" s="1944">
        <v>12120</v>
      </c>
      <c r="J65" s="1968">
        <f t="shared" si="2"/>
        <v>474047</v>
      </c>
      <c r="K65" s="1964"/>
    </row>
    <row r="66" spans="1:11" ht="28.8" x14ac:dyDescent="0.3">
      <c r="A66" s="1964"/>
      <c r="B66" s="1988" t="s">
        <v>2432</v>
      </c>
      <c r="C66" s="1982">
        <v>45662</v>
      </c>
      <c r="D66" s="1989" t="s">
        <v>2592</v>
      </c>
      <c r="E66" s="1957"/>
      <c r="F66" s="1992" t="s">
        <v>2593</v>
      </c>
      <c r="G66" s="1989" t="s">
        <v>2591</v>
      </c>
      <c r="H66" s="1944">
        <v>-55</v>
      </c>
      <c r="I66" s="1944"/>
      <c r="J66" s="1968">
        <f t="shared" si="2"/>
        <v>473992</v>
      </c>
      <c r="K66" s="1964"/>
    </row>
    <row r="67" spans="1:11" ht="28.8" x14ac:dyDescent="0.3">
      <c r="A67" s="1964"/>
      <c r="B67" s="1990" t="s">
        <v>2432</v>
      </c>
      <c r="C67" s="1979">
        <v>45662</v>
      </c>
      <c r="D67" s="1991" t="s">
        <v>2594</v>
      </c>
      <c r="E67" s="1957"/>
      <c r="F67" s="1993" t="s">
        <v>2595</v>
      </c>
      <c r="G67" s="1991" t="s">
        <v>2591</v>
      </c>
      <c r="H67" s="1944">
        <v>-38.75</v>
      </c>
      <c r="I67" s="1944"/>
      <c r="J67" s="1968">
        <f t="shared" si="2"/>
        <v>473953.25</v>
      </c>
      <c r="K67" s="1964"/>
    </row>
    <row r="68" spans="1:11" x14ac:dyDescent="0.3">
      <c r="A68" s="1964"/>
      <c r="B68" s="1988" t="s">
        <v>2430</v>
      </c>
      <c r="C68" s="1982">
        <v>45662</v>
      </c>
      <c r="D68" s="1989" t="s">
        <v>2597</v>
      </c>
      <c r="E68" s="1957"/>
      <c r="F68" s="1992" t="s">
        <v>2598</v>
      </c>
      <c r="G68" s="1989" t="s">
        <v>2572</v>
      </c>
      <c r="H68" s="1944">
        <v>-9534</v>
      </c>
      <c r="I68" s="1944"/>
      <c r="J68" s="1968">
        <f t="shared" si="2"/>
        <v>464419.25</v>
      </c>
      <c r="K68" s="1964"/>
    </row>
    <row r="69" spans="1:11" x14ac:dyDescent="0.3">
      <c r="A69" s="1964"/>
      <c r="B69" s="1990"/>
      <c r="C69" s="1979"/>
      <c r="D69" s="1991"/>
      <c r="E69" s="1957"/>
      <c r="F69" s="1993"/>
      <c r="G69" s="1991"/>
      <c r="H69" s="1944"/>
      <c r="I69" s="1944"/>
      <c r="J69" s="1968">
        <f t="shared" si="2"/>
        <v>464419.25</v>
      </c>
      <c r="K69" s="1964"/>
    </row>
    <row r="70" spans="1:11" x14ac:dyDescent="0.3">
      <c r="A70" s="1964"/>
      <c r="B70" s="1988"/>
      <c r="C70" s="1982"/>
      <c r="D70" s="1989"/>
      <c r="E70" s="1957"/>
      <c r="F70" s="1992"/>
      <c r="G70" s="1989"/>
      <c r="H70" s="1944"/>
      <c r="I70" s="1944"/>
      <c r="J70" s="1968">
        <f t="shared" si="2"/>
        <v>464419.25</v>
      </c>
      <c r="K70" s="1964"/>
    </row>
    <row r="71" spans="1:11" x14ac:dyDescent="0.3">
      <c r="A71" s="1964"/>
      <c r="B71" s="1990"/>
      <c r="C71" s="1979"/>
      <c r="D71" s="1991"/>
      <c r="E71" s="1957"/>
      <c r="F71" s="1993"/>
      <c r="G71" s="1991"/>
      <c r="H71" s="1944"/>
      <c r="I71" s="1944"/>
      <c r="J71" s="1968">
        <f t="shared" si="2"/>
        <v>464419.25</v>
      </c>
      <c r="K71" s="1964"/>
    </row>
    <row r="72" spans="1:11" x14ac:dyDescent="0.3">
      <c r="A72" s="1964"/>
      <c r="B72" s="1988"/>
      <c r="C72" s="1982"/>
      <c r="D72" s="1989"/>
      <c r="E72" s="1957"/>
      <c r="F72" s="1992"/>
      <c r="G72" s="1989"/>
      <c r="H72" s="1944"/>
      <c r="I72" s="1944"/>
      <c r="J72" s="1968">
        <f t="shared" si="2"/>
        <v>464419.25</v>
      </c>
      <c r="K72" s="1964"/>
    </row>
    <row r="73" spans="1:11" x14ac:dyDescent="0.3">
      <c r="A73" s="1964"/>
      <c r="B73" s="1990"/>
      <c r="C73" s="1979"/>
      <c r="D73" s="1991"/>
      <c r="E73" s="1957"/>
      <c r="F73" s="1993"/>
      <c r="G73" s="1991"/>
      <c r="H73" s="1944"/>
      <c r="I73" s="1944"/>
      <c r="J73" s="1968">
        <f t="shared" si="2"/>
        <v>464419.25</v>
      </c>
      <c r="K73" s="1964"/>
    </row>
    <row r="74" spans="1:11" x14ac:dyDescent="0.3">
      <c r="A74" s="1964"/>
      <c r="B74" s="1988"/>
      <c r="C74" s="1982"/>
      <c r="D74" s="1989"/>
      <c r="E74" s="1957"/>
      <c r="F74" s="1992"/>
      <c r="G74" s="1989"/>
      <c r="H74" s="1944"/>
      <c r="I74" s="1944"/>
      <c r="J74" s="1968">
        <f t="shared" si="2"/>
        <v>464419.25</v>
      </c>
      <c r="K74" s="1964"/>
    </row>
    <row r="75" spans="1:11" x14ac:dyDescent="0.3">
      <c r="A75" s="1964"/>
      <c r="B75" s="1990"/>
      <c r="C75" s="1979"/>
      <c r="D75" s="1991"/>
      <c r="E75" s="1957"/>
      <c r="F75" s="1993"/>
      <c r="G75" s="1991"/>
      <c r="H75" s="1944"/>
      <c r="I75" s="1944"/>
      <c r="J75" s="1968">
        <f t="shared" si="2"/>
        <v>464419.25</v>
      </c>
      <c r="K75" s="1964"/>
    </row>
    <row r="76" spans="1:11" x14ac:dyDescent="0.3">
      <c r="A76" s="1964"/>
      <c r="B76" s="1988"/>
      <c r="C76" s="1982"/>
      <c r="D76" s="1989"/>
      <c r="E76" s="1957"/>
      <c r="F76" s="1992"/>
      <c r="G76" s="1989"/>
      <c r="H76" s="1944"/>
      <c r="I76" s="1944"/>
      <c r="J76" s="1968">
        <f t="shared" si="2"/>
        <v>464419.25</v>
      </c>
      <c r="K76" s="1964"/>
    </row>
    <row r="77" spans="1:11" x14ac:dyDescent="0.3">
      <c r="A77" s="1964"/>
      <c r="B77" s="1990"/>
      <c r="C77" s="1979"/>
      <c r="D77" s="1991"/>
      <c r="E77" s="1957"/>
      <c r="F77" s="1993"/>
      <c r="G77" s="1991"/>
      <c r="H77" s="1944"/>
      <c r="I77" s="1944"/>
      <c r="J77" s="1968">
        <f t="shared" si="2"/>
        <v>464419.25</v>
      </c>
      <c r="K77" s="1964"/>
    </row>
    <row r="78" spans="1:11" x14ac:dyDescent="0.3">
      <c r="A78" s="1964"/>
      <c r="B78" s="1988"/>
      <c r="C78" s="1982"/>
      <c r="D78" s="1989"/>
      <c r="E78" s="1957"/>
      <c r="F78" s="1992"/>
      <c r="G78" s="1989"/>
      <c r="H78" s="1944"/>
      <c r="I78" s="1944"/>
      <c r="J78" s="1968">
        <f t="shared" si="2"/>
        <v>464419.25</v>
      </c>
      <c r="K78" s="1964"/>
    </row>
    <row r="79" spans="1:11" x14ac:dyDescent="0.3">
      <c r="A79" s="1964"/>
      <c r="B79" s="1990"/>
      <c r="C79" s="1979"/>
      <c r="D79" s="1991"/>
      <c r="E79" s="1957"/>
      <c r="F79" s="1993"/>
      <c r="G79" s="1991"/>
      <c r="H79" s="1944"/>
      <c r="I79" s="1944"/>
      <c r="J79" s="1968">
        <f t="shared" si="2"/>
        <v>464419.25</v>
      </c>
      <c r="K79" s="1964"/>
    </row>
    <row r="80" spans="1:11" x14ac:dyDescent="0.3">
      <c r="A80" s="1964"/>
      <c r="B80" s="1988"/>
      <c r="C80" s="1982"/>
      <c r="D80" s="1989"/>
      <c r="E80" s="1957"/>
      <c r="F80" s="1992"/>
      <c r="G80" s="1989"/>
      <c r="H80" s="1944"/>
      <c r="I80" s="1944"/>
      <c r="J80" s="1968">
        <f t="shared" si="2"/>
        <v>464419.25</v>
      </c>
      <c r="K80" s="1964"/>
    </row>
    <row r="81" spans="1:11" x14ac:dyDescent="0.3">
      <c r="A81" s="1964"/>
      <c r="B81" s="1990"/>
      <c r="C81" s="1979"/>
      <c r="D81" s="1991"/>
      <c r="E81" s="1957"/>
      <c r="F81" s="1993"/>
      <c r="G81" s="1991"/>
      <c r="H81" s="1944"/>
      <c r="I81" s="1944"/>
      <c r="J81" s="1968">
        <f t="shared" si="2"/>
        <v>464419.25</v>
      </c>
      <c r="K81" s="1964"/>
    </row>
    <row r="82" spans="1:11" x14ac:dyDescent="0.3">
      <c r="A82" s="1964"/>
      <c r="B82" s="1988"/>
      <c r="C82" s="1982"/>
      <c r="D82" s="1989"/>
      <c r="E82" s="1957"/>
      <c r="F82" s="1992"/>
      <c r="G82" s="1989"/>
      <c r="H82" s="1944"/>
      <c r="I82" s="1944"/>
      <c r="J82" s="1968">
        <f t="shared" si="2"/>
        <v>464419.25</v>
      </c>
      <c r="K82" s="1964"/>
    </row>
    <row r="83" spans="1:11" x14ac:dyDescent="0.3">
      <c r="A83" s="1964"/>
      <c r="B83" s="1990"/>
      <c r="C83" s="1979"/>
      <c r="D83" s="1991"/>
      <c r="E83" s="1957"/>
      <c r="F83" s="1993"/>
      <c r="G83" s="1991"/>
      <c r="H83" s="1944"/>
      <c r="I83" s="1944"/>
      <c r="J83" s="1968">
        <f t="shared" si="2"/>
        <v>464419.25</v>
      </c>
      <c r="K83" s="1964"/>
    </row>
    <row r="84" spans="1:11" x14ac:dyDescent="0.3">
      <c r="A84" s="1964"/>
      <c r="B84" s="1988"/>
      <c r="C84" s="1982"/>
      <c r="D84" s="1989"/>
      <c r="E84" s="1957"/>
      <c r="F84" s="1992"/>
      <c r="G84" s="1989"/>
      <c r="H84" s="1944"/>
      <c r="I84" s="1944"/>
      <c r="J84" s="1968">
        <f t="shared" si="2"/>
        <v>464419.25</v>
      </c>
      <c r="K84" s="1964"/>
    </row>
    <row r="85" spans="1:11" x14ac:dyDescent="0.3">
      <c r="A85" s="1964"/>
      <c r="B85" s="1990"/>
      <c r="C85" s="1979"/>
      <c r="D85" s="1991"/>
      <c r="E85" s="1957"/>
      <c r="F85" s="1993"/>
      <c r="G85" s="1991"/>
      <c r="H85" s="1944"/>
      <c r="I85" s="1944"/>
      <c r="J85" s="1968">
        <f t="shared" si="2"/>
        <v>464419.25</v>
      </c>
      <c r="K85" s="1964"/>
    </row>
    <row r="86" spans="1:11" x14ac:dyDescent="0.3">
      <c r="A86" s="1964"/>
      <c r="B86" s="1988"/>
      <c r="C86" s="1982"/>
      <c r="D86" s="1989"/>
      <c r="E86" s="1957"/>
      <c r="F86" s="1992"/>
      <c r="G86" s="1989"/>
      <c r="H86" s="1944"/>
      <c r="I86" s="1944"/>
      <c r="J86" s="1968">
        <f t="shared" si="2"/>
        <v>464419.25</v>
      </c>
      <c r="K86" s="1964"/>
    </row>
    <row r="87" spans="1:11" x14ac:dyDescent="0.3">
      <c r="A87" s="1964"/>
      <c r="B87" s="1990"/>
      <c r="C87" s="1979"/>
      <c r="D87" s="1991"/>
      <c r="E87" s="1957"/>
      <c r="F87" s="1993"/>
      <c r="G87" s="1991"/>
      <c r="H87" s="1944"/>
      <c r="I87" s="1944"/>
      <c r="J87" s="1968">
        <f t="shared" si="2"/>
        <v>464419.25</v>
      </c>
      <c r="K87" s="1964"/>
    </row>
    <row r="88" spans="1:11" x14ac:dyDescent="0.3">
      <c r="A88" s="1964"/>
      <c r="B88" s="1988"/>
      <c r="C88" s="1982"/>
      <c r="D88" s="1989"/>
      <c r="E88" s="1957"/>
      <c r="F88" s="1992"/>
      <c r="G88" s="1989"/>
      <c r="H88" s="1944"/>
      <c r="I88" s="1944"/>
      <c r="J88" s="1968">
        <f t="shared" si="2"/>
        <v>464419.25</v>
      </c>
      <c r="K88" s="1964"/>
    </row>
    <row r="89" spans="1:11" x14ac:dyDescent="0.3">
      <c r="A89" s="1964"/>
      <c r="B89" s="1990"/>
      <c r="C89" s="1979"/>
      <c r="D89" s="1991"/>
      <c r="E89" s="1957"/>
      <c r="F89" s="1993"/>
      <c r="G89" s="1991"/>
      <c r="H89" s="1944"/>
      <c r="I89" s="1944"/>
      <c r="J89" s="1968">
        <f t="shared" si="2"/>
        <v>464419.25</v>
      </c>
      <c r="K89" s="1964"/>
    </row>
    <row r="90" spans="1:11" x14ac:dyDescent="0.3">
      <c r="A90" s="1964"/>
      <c r="B90" s="1988"/>
      <c r="C90" s="1982"/>
      <c r="D90" s="1989"/>
      <c r="E90" s="1957"/>
      <c r="F90" s="1992"/>
      <c r="G90" s="1989"/>
      <c r="H90" s="1944"/>
      <c r="I90" s="1944"/>
      <c r="J90" s="1968">
        <f>IFERROR((J89+I90+H90),"")</f>
        <v>464419.25</v>
      </c>
      <c r="K90" s="1964"/>
    </row>
    <row r="91" spans="1:11" ht="15" thickBot="1" x14ac:dyDescent="0.35">
      <c r="A91" s="1964"/>
      <c r="B91" s="1960"/>
      <c r="C91" s="1961"/>
      <c r="D91" s="1961"/>
      <c r="E91" s="1962"/>
      <c r="F91" s="1961"/>
      <c r="G91" s="1961" t="s">
        <v>2439</v>
      </c>
      <c r="H91" s="1959">
        <f>SUM(H15:H49)+SUM(H54:H90)</f>
        <v>-436740.75</v>
      </c>
      <c r="I91" s="1958">
        <f>SUM(I15:I49)+SUM(I54:I90)</f>
        <v>901160</v>
      </c>
      <c r="J91" s="1958">
        <f>IFERROR(I91+H91,"UN-PROTECT sheet, check formula(s); this number should match the number above")</f>
        <v>464419.25</v>
      </c>
      <c r="K91" s="1964"/>
    </row>
    <row r="92" spans="1:11" x14ac:dyDescent="0.3">
      <c r="A92" s="1964"/>
      <c r="B92" s="1964"/>
      <c r="C92" s="1964"/>
      <c r="D92" s="1964"/>
      <c r="E92" s="1970"/>
      <c r="F92" s="1964"/>
      <c r="G92" s="1964"/>
      <c r="H92" s="1964"/>
      <c r="I92" s="1964"/>
      <c r="J92" s="1964"/>
      <c r="K92" s="1964"/>
    </row>
    <row r="93" spans="1:11" x14ac:dyDescent="0.3">
      <c r="A93" s="1915"/>
      <c r="B93" s="1956"/>
      <c r="C93" s="2478" t="s">
        <v>2612</v>
      </c>
      <c r="D93" s="2479"/>
      <c r="E93" s="2479"/>
      <c r="F93" s="2479"/>
      <c r="G93" s="2479"/>
      <c r="H93" s="2479"/>
      <c r="I93" s="2479"/>
      <c r="J93" s="2480"/>
      <c r="K93" s="1915"/>
    </row>
    <row r="94" spans="1:11" x14ac:dyDescent="0.3">
      <c r="A94" s="283"/>
      <c r="B94" s="283"/>
      <c r="C94" s="283"/>
      <c r="D94" s="283"/>
      <c r="E94" s="283"/>
      <c r="F94" s="283"/>
      <c r="G94" s="283"/>
      <c r="H94" s="283"/>
      <c r="I94" s="283"/>
      <c r="J94" s="283"/>
      <c r="K94" s="283"/>
    </row>
    <row r="95" spans="1:11" x14ac:dyDescent="0.3">
      <c r="A95" s="283"/>
      <c r="B95" s="283"/>
      <c r="C95" s="283" t="str">
        <f>DISCLAIMER!$A$35</f>
        <v>© 2025 by WinsWithMike.com or Michael Forsberg Nampa, Idaho. All rights reserved</v>
      </c>
      <c r="D95" s="283"/>
      <c r="E95" s="283"/>
      <c r="F95" s="283"/>
      <c r="G95" s="283"/>
      <c r="H95" s="283"/>
      <c r="I95" s="283"/>
      <c r="J95" s="283"/>
      <c r="K95" s="283"/>
    </row>
  </sheetData>
  <sheetProtection sheet="1" objects="1" scenarios="1" formatRows="0" deleteRows="0" selectLockedCells="1" sort="0" autoFilter="0" pivotTables="0"/>
  <autoFilter ref="B13:J91" xr:uid="{00B9AF94-2D9C-408B-AA95-E4F1C0BEBC99}"/>
  <mergeCells count="8">
    <mergeCell ref="C93:J93"/>
    <mergeCell ref="C14:J14"/>
    <mergeCell ref="C53:J53"/>
    <mergeCell ref="B7:C7"/>
    <mergeCell ref="B8:C8"/>
    <mergeCell ref="B9:C9"/>
    <mergeCell ref="C50:J50"/>
    <mergeCell ref="C11:J11"/>
  </mergeCells>
  <phoneticPr fontId="2" type="noConversion"/>
  <conditionalFormatting sqref="H15:I49 H54:I90">
    <cfRule type="cellIs" dxfId="577" priority="9" operator="lessThan">
      <formula>0</formula>
    </cfRule>
    <cfRule type="cellIs" dxfId="576" priority="10" operator="equal">
      <formula>0</formula>
    </cfRule>
    <cfRule type="cellIs" dxfId="575" priority="11" operator="greaterThan">
      <formula>0</formula>
    </cfRule>
    <cfRule type="expression" dxfId="574" priority="15">
      <formula>AND($H15&gt;0,$I15&gt;0)</formula>
    </cfRule>
  </conditionalFormatting>
  <conditionalFormatting sqref="J15:J49 J54:J90">
    <cfRule type="cellIs" dxfId="573" priority="12" operator="lessThan">
      <formula>0</formula>
    </cfRule>
    <cfRule type="cellIs" dxfId="572" priority="13" operator="equal">
      <formula>0</formula>
    </cfRule>
    <cfRule type="cellIs" dxfId="571" priority="14" operator="greaterThan">
      <formula>0</formula>
    </cfRule>
  </conditionalFormatting>
  <conditionalFormatting sqref="H91:J91">
    <cfRule type="cellIs" dxfId="570" priority="1" operator="lessThan">
      <formula>0</formula>
    </cfRule>
    <cfRule type="cellIs" dxfId="569" priority="2" operator="equal">
      <formula>0</formula>
    </cfRule>
    <cfRule type="cellIs" dxfId="568" priority="3" operator="greaterThan">
      <formula>0</formula>
    </cfRule>
    <cfRule type="expression" dxfId="567" priority="4">
      <formula>AND($H91&gt;0,$I91&gt;0)</formula>
    </cfRule>
  </conditionalFormatting>
  <dataValidations count="10">
    <dataValidation allowBlank="1" showInputMessage="1" showErrorMessage="1" prompt="Balance amount is automatically calculated in this column under this heading" sqref="J13 J52" xr:uid="{BFA26B1A-7F28-40F9-AFFD-68500F14D89E}"/>
    <dataValidation allowBlank="1" showInputMessage="1" showErrorMessage="1" prompt="Enter deposit amount in this column under this heading" sqref="I13 I52" xr:uid="{3EA496F9-996C-48D1-A88C-199A8B731F73}"/>
    <dataValidation allowBlank="1" showInputMessage="1" showErrorMessage="1" prompt="Enter withdrawal amount in this column under this heading" sqref="H13 H52" xr:uid="{78485508-3EB1-4E36-8058-6B6F2E885998}"/>
    <dataValidation allowBlank="1" showInputMessage="1" showErrorMessage="1" prompt="Enter description in this column under this heading" sqref="F13:G13 F52:G52" xr:uid="{7F911D79-0216-495D-9EE3-0BC3DE0B3019}"/>
    <dataValidation allowBlank="1" showInputMessage="1" showErrorMessage="1" prompt="Enter transaction in this column under this heading" sqref="D13:E13 D52:E52" xr:uid="{E35ED664-9D78-49DB-88E9-B6E974FEF54D}"/>
    <dataValidation allowBlank="1" showInputMessage="1" showErrorMessage="1" prompt="Enter date in this column under this heading" sqref="C13 C52" xr:uid="{6F2A15D6-4128-428E-BA64-C12618B0DEC8}"/>
    <dataValidation allowBlank="1" showInputMessage="1" showErrorMessage="1" prompt="Enter check number or transaction code in this column under this heading. Use heading filters to find specific entries." sqref="B13 B52" xr:uid="{EEA6E44A-FF22-4B26-BB8E-601C5408738D}"/>
    <dataValidation allowBlank="1" showInputMessage="1" showErrorMessage="1" prompt="Current Balance is automatically calculated in this cell" sqref="I8" xr:uid="{6D9498EA-25EF-4336-A995-61BB6385B652}"/>
    <dataValidation allowBlank="1" showInputMessage="1" showErrorMessage="1" prompt="Current Balance is automatically calculated in cell below" sqref="I6" xr:uid="{84947980-D0E5-4222-9148-5C77C3256CDF}"/>
    <dataValidation allowBlank="1" showInputMessage="1" showErrorMessage="1" prompt="Transaction codes are in cells B4 through D6" sqref="B6" xr:uid="{33CACAAF-FC67-4485-9A37-70EF0818431A}"/>
  </dataValidations>
  <pageMargins left="0.25" right="0.25" top="0.75" bottom="0.75" header="0.3" footer="0.3"/>
  <pageSetup scale="63" fitToHeight="0" orientation="landscape" r:id="rId1"/>
  <headerFooter>
    <oddHeader>&amp;LPERSONAL OR BUSINESS INFORMATION:
DESTROY PER POLICY AFTER USE&amp;CLEDGER FOR [YOUR NAME or COMPANY]&amp;RPrinted &amp;D       &amp;T</oddHeader>
    <oddFooter>&amp;LBOOK KEEPING LEDGER SHEET&amp;CPERSONAL OR BUISINESS INFORMATION:
DESTROY PER POLICY AFTER USE&amp;RPage &amp;P of &amp;N</oddFooter>
  </headerFooter>
  <drawing r:id="rId2"/>
  <legacyDrawing r:id="rId3"/>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errorTitle="CATEGORIES TAB" error="Update the 'Categories' Tab for Income and Expenses. ¯\_(ツ)_/¯" xr:uid="{F121080E-6D91-4E13-A312-C630630595CC}">
          <x14:formula1>
            <xm:f>'CATEGORIES'!$H$5:$H$40</xm:f>
          </x14:formula1>
          <xm:sqref>G15:G49 G54:G90</xm:sqref>
        </x14:dataValidation>
        <x14:dataValidation type="list" errorStyle="information" allowBlank="1" showInputMessage="1" showErrorMessage="1" errorTitle="Information:" error="Please select from the list. Update the list by unlocking the 'Book Keeping Ledger' tab, update the list in cells A9:A14 etc. then Data Validation Settings for cells B:9 etc where you wish to update the list. Protect the tab." xr:uid="{9192F960-3725-4DE9-914C-0D7D2B3165C5}">
          <x14:formula1>
            <xm:f>'CATEGORIES'!$E$6:$E$11</xm:f>
          </x14:formula1>
          <xm:sqref>B53:B90 B11 B93 B14:B50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2373C-2CF2-402F-BF7B-D4BB32D712A5}">
  <sheetPr codeName="Sheet33">
    <tabColor theme="1" tint="0.499984740745262"/>
  </sheetPr>
  <dimension ref="A1:R92"/>
  <sheetViews>
    <sheetView workbookViewId="0">
      <pane ySplit="2" topLeftCell="A5" activePane="bottomLeft" state="frozen"/>
      <selection pane="bottomLeft" activeCell="C2" sqref="C2"/>
    </sheetView>
  </sheetViews>
  <sheetFormatPr defaultRowHeight="14.4" x14ac:dyDescent="0.3"/>
  <cols>
    <col min="1" max="1" width="5.109375" customWidth="1"/>
    <col min="2" max="2" width="20.6640625" customWidth="1"/>
    <col min="3" max="3" width="15.88671875" bestFit="1" customWidth="1"/>
    <col min="4" max="4" width="1" customWidth="1"/>
    <col min="5" max="5" width="1.44140625" customWidth="1"/>
    <col min="6" max="6" width="5.77734375" customWidth="1"/>
    <col min="7" max="7" width="21.6640625" customWidth="1"/>
    <col min="8" max="8" width="15" bestFit="1" customWidth="1"/>
    <col min="9" max="9" width="1.33203125" customWidth="1"/>
    <col min="10" max="10" width="6.5546875" customWidth="1"/>
    <col min="11" max="12" width="11.5546875" customWidth="1"/>
    <col min="13" max="13" width="16.44140625" bestFit="1" customWidth="1"/>
    <col min="14" max="17" width="15" customWidth="1"/>
    <col min="18" max="260" width="11.5546875" customWidth="1"/>
    <col min="261" max="261" width="5.109375" customWidth="1"/>
    <col min="262" max="262" width="20.6640625" customWidth="1"/>
    <col min="263" max="263" width="13.77734375" customWidth="1"/>
    <col min="264" max="264" width="1" customWidth="1"/>
    <col min="265" max="265" width="1.44140625" customWidth="1"/>
    <col min="266" max="266" width="5.77734375" customWidth="1"/>
    <col min="267" max="267" width="21.6640625" customWidth="1"/>
    <col min="268" max="268" width="13.77734375" customWidth="1"/>
    <col min="269" max="269" width="1.33203125" customWidth="1"/>
    <col min="270" max="516" width="11.5546875" customWidth="1"/>
    <col min="517" max="517" width="5.109375" customWidth="1"/>
    <col min="518" max="518" width="20.6640625" customWidth="1"/>
    <col min="519" max="519" width="13.77734375" customWidth="1"/>
    <col min="520" max="520" width="1" customWidth="1"/>
    <col min="521" max="521" width="1.44140625" customWidth="1"/>
    <col min="522" max="522" width="5.77734375" customWidth="1"/>
    <col min="523" max="523" width="21.6640625" customWidth="1"/>
    <col min="524" max="524" width="13.77734375" customWidth="1"/>
    <col min="525" max="525" width="1.33203125" customWidth="1"/>
    <col min="526" max="772" width="11.5546875" customWidth="1"/>
    <col min="773" max="773" width="5.109375" customWidth="1"/>
    <col min="774" max="774" width="20.6640625" customWidth="1"/>
    <col min="775" max="775" width="13.77734375" customWidth="1"/>
    <col min="776" max="776" width="1" customWidth="1"/>
    <col min="777" max="777" width="1.44140625" customWidth="1"/>
    <col min="778" max="778" width="5.77734375" customWidth="1"/>
    <col min="779" max="779" width="21.6640625" customWidth="1"/>
    <col min="780" max="780" width="13.77734375" customWidth="1"/>
    <col min="781" max="781" width="1.33203125" customWidth="1"/>
    <col min="782" max="1028" width="11.5546875" customWidth="1"/>
    <col min="1029" max="1029" width="5.109375" customWidth="1"/>
    <col min="1030" max="1030" width="20.6640625" customWidth="1"/>
    <col min="1031" max="1031" width="13.77734375" customWidth="1"/>
    <col min="1032" max="1032" width="1" customWidth="1"/>
    <col min="1033" max="1033" width="1.44140625" customWidth="1"/>
    <col min="1034" max="1034" width="5.77734375" customWidth="1"/>
    <col min="1035" max="1035" width="21.6640625" customWidth="1"/>
    <col min="1036" max="1036" width="13.77734375" customWidth="1"/>
    <col min="1037" max="1037" width="1.33203125" customWidth="1"/>
    <col min="1038" max="1284" width="11.5546875" customWidth="1"/>
    <col min="1285" max="1285" width="5.109375" customWidth="1"/>
    <col min="1286" max="1286" width="20.6640625" customWidth="1"/>
    <col min="1287" max="1287" width="13.77734375" customWidth="1"/>
    <col min="1288" max="1288" width="1" customWidth="1"/>
    <col min="1289" max="1289" width="1.44140625" customWidth="1"/>
    <col min="1290" max="1290" width="5.77734375" customWidth="1"/>
    <col min="1291" max="1291" width="21.6640625" customWidth="1"/>
    <col min="1292" max="1292" width="13.77734375" customWidth="1"/>
    <col min="1293" max="1293" width="1.33203125" customWidth="1"/>
    <col min="1294" max="1540" width="11.5546875" customWidth="1"/>
    <col min="1541" max="1541" width="5.109375" customWidth="1"/>
    <col min="1542" max="1542" width="20.6640625" customWidth="1"/>
    <col min="1543" max="1543" width="13.77734375" customWidth="1"/>
    <col min="1544" max="1544" width="1" customWidth="1"/>
    <col min="1545" max="1545" width="1.44140625" customWidth="1"/>
    <col min="1546" max="1546" width="5.77734375" customWidth="1"/>
    <col min="1547" max="1547" width="21.6640625" customWidth="1"/>
    <col min="1548" max="1548" width="13.77734375" customWidth="1"/>
    <col min="1549" max="1549" width="1.33203125" customWidth="1"/>
    <col min="1550" max="1796" width="11.5546875" customWidth="1"/>
    <col min="1797" max="1797" width="5.109375" customWidth="1"/>
    <col min="1798" max="1798" width="20.6640625" customWidth="1"/>
    <col min="1799" max="1799" width="13.77734375" customWidth="1"/>
    <col min="1800" max="1800" width="1" customWidth="1"/>
    <col min="1801" max="1801" width="1.44140625" customWidth="1"/>
    <col min="1802" max="1802" width="5.77734375" customWidth="1"/>
    <col min="1803" max="1803" width="21.6640625" customWidth="1"/>
    <col min="1804" max="1804" width="13.77734375" customWidth="1"/>
    <col min="1805" max="1805" width="1.33203125" customWidth="1"/>
    <col min="1806" max="2052" width="11.5546875" customWidth="1"/>
    <col min="2053" max="2053" width="5.109375" customWidth="1"/>
    <col min="2054" max="2054" width="20.6640625" customWidth="1"/>
    <col min="2055" max="2055" width="13.77734375" customWidth="1"/>
    <col min="2056" max="2056" width="1" customWidth="1"/>
    <col min="2057" max="2057" width="1.44140625" customWidth="1"/>
    <col min="2058" max="2058" width="5.77734375" customWidth="1"/>
    <col min="2059" max="2059" width="21.6640625" customWidth="1"/>
    <col min="2060" max="2060" width="13.77734375" customWidth="1"/>
    <col min="2061" max="2061" width="1.33203125" customWidth="1"/>
    <col min="2062" max="2308" width="11.5546875" customWidth="1"/>
    <col min="2309" max="2309" width="5.109375" customWidth="1"/>
    <col min="2310" max="2310" width="20.6640625" customWidth="1"/>
    <col min="2311" max="2311" width="13.77734375" customWidth="1"/>
    <col min="2312" max="2312" width="1" customWidth="1"/>
    <col min="2313" max="2313" width="1.44140625" customWidth="1"/>
    <col min="2314" max="2314" width="5.77734375" customWidth="1"/>
    <col min="2315" max="2315" width="21.6640625" customWidth="1"/>
    <col min="2316" max="2316" width="13.77734375" customWidth="1"/>
    <col min="2317" max="2317" width="1.33203125" customWidth="1"/>
    <col min="2318" max="2564" width="11.5546875" customWidth="1"/>
    <col min="2565" max="2565" width="5.109375" customWidth="1"/>
    <col min="2566" max="2566" width="20.6640625" customWidth="1"/>
    <col min="2567" max="2567" width="13.77734375" customWidth="1"/>
    <col min="2568" max="2568" width="1" customWidth="1"/>
    <col min="2569" max="2569" width="1.44140625" customWidth="1"/>
    <col min="2570" max="2570" width="5.77734375" customWidth="1"/>
    <col min="2571" max="2571" width="21.6640625" customWidth="1"/>
    <col min="2572" max="2572" width="13.77734375" customWidth="1"/>
    <col min="2573" max="2573" width="1.33203125" customWidth="1"/>
    <col min="2574" max="2820" width="11.5546875" customWidth="1"/>
    <col min="2821" max="2821" width="5.109375" customWidth="1"/>
    <col min="2822" max="2822" width="20.6640625" customWidth="1"/>
    <col min="2823" max="2823" width="13.77734375" customWidth="1"/>
    <col min="2824" max="2824" width="1" customWidth="1"/>
    <col min="2825" max="2825" width="1.44140625" customWidth="1"/>
    <col min="2826" max="2826" width="5.77734375" customWidth="1"/>
    <col min="2827" max="2827" width="21.6640625" customWidth="1"/>
    <col min="2828" max="2828" width="13.77734375" customWidth="1"/>
    <col min="2829" max="2829" width="1.33203125" customWidth="1"/>
    <col min="2830" max="3076" width="11.5546875" customWidth="1"/>
    <col min="3077" max="3077" width="5.109375" customWidth="1"/>
    <col min="3078" max="3078" width="20.6640625" customWidth="1"/>
    <col min="3079" max="3079" width="13.77734375" customWidth="1"/>
    <col min="3080" max="3080" width="1" customWidth="1"/>
    <col min="3081" max="3081" width="1.44140625" customWidth="1"/>
    <col min="3082" max="3082" width="5.77734375" customWidth="1"/>
    <col min="3083" max="3083" width="21.6640625" customWidth="1"/>
    <col min="3084" max="3084" width="13.77734375" customWidth="1"/>
    <col min="3085" max="3085" width="1.33203125" customWidth="1"/>
    <col min="3086" max="3332" width="11.5546875" customWidth="1"/>
    <col min="3333" max="3333" width="5.109375" customWidth="1"/>
    <col min="3334" max="3334" width="20.6640625" customWidth="1"/>
    <col min="3335" max="3335" width="13.77734375" customWidth="1"/>
    <col min="3336" max="3336" width="1" customWidth="1"/>
    <col min="3337" max="3337" width="1.44140625" customWidth="1"/>
    <col min="3338" max="3338" width="5.77734375" customWidth="1"/>
    <col min="3339" max="3339" width="21.6640625" customWidth="1"/>
    <col min="3340" max="3340" width="13.77734375" customWidth="1"/>
    <col min="3341" max="3341" width="1.33203125" customWidth="1"/>
    <col min="3342" max="3588" width="11.5546875" customWidth="1"/>
    <col min="3589" max="3589" width="5.109375" customWidth="1"/>
    <col min="3590" max="3590" width="20.6640625" customWidth="1"/>
    <col min="3591" max="3591" width="13.77734375" customWidth="1"/>
    <col min="3592" max="3592" width="1" customWidth="1"/>
    <col min="3593" max="3593" width="1.44140625" customWidth="1"/>
    <col min="3594" max="3594" width="5.77734375" customWidth="1"/>
    <col min="3595" max="3595" width="21.6640625" customWidth="1"/>
    <col min="3596" max="3596" width="13.77734375" customWidth="1"/>
    <col min="3597" max="3597" width="1.33203125" customWidth="1"/>
    <col min="3598" max="3844" width="11.5546875" customWidth="1"/>
    <col min="3845" max="3845" width="5.109375" customWidth="1"/>
    <col min="3846" max="3846" width="20.6640625" customWidth="1"/>
    <col min="3847" max="3847" width="13.77734375" customWidth="1"/>
    <col min="3848" max="3848" width="1" customWidth="1"/>
    <col min="3849" max="3849" width="1.44140625" customWidth="1"/>
    <col min="3850" max="3850" width="5.77734375" customWidth="1"/>
    <col min="3851" max="3851" width="21.6640625" customWidth="1"/>
    <col min="3852" max="3852" width="13.77734375" customWidth="1"/>
    <col min="3853" max="3853" width="1.33203125" customWidth="1"/>
    <col min="3854" max="4100" width="11.5546875" customWidth="1"/>
    <col min="4101" max="4101" width="5.109375" customWidth="1"/>
    <col min="4102" max="4102" width="20.6640625" customWidth="1"/>
    <col min="4103" max="4103" width="13.77734375" customWidth="1"/>
    <col min="4104" max="4104" width="1" customWidth="1"/>
    <col min="4105" max="4105" width="1.44140625" customWidth="1"/>
    <col min="4106" max="4106" width="5.77734375" customWidth="1"/>
    <col min="4107" max="4107" width="21.6640625" customWidth="1"/>
    <col min="4108" max="4108" width="13.77734375" customWidth="1"/>
    <col min="4109" max="4109" width="1.33203125" customWidth="1"/>
    <col min="4110" max="4356" width="11.5546875" customWidth="1"/>
    <col min="4357" max="4357" width="5.109375" customWidth="1"/>
    <col min="4358" max="4358" width="20.6640625" customWidth="1"/>
    <col min="4359" max="4359" width="13.77734375" customWidth="1"/>
    <col min="4360" max="4360" width="1" customWidth="1"/>
    <col min="4361" max="4361" width="1.44140625" customWidth="1"/>
    <col min="4362" max="4362" width="5.77734375" customWidth="1"/>
    <col min="4363" max="4363" width="21.6640625" customWidth="1"/>
    <col min="4364" max="4364" width="13.77734375" customWidth="1"/>
    <col min="4365" max="4365" width="1.33203125" customWidth="1"/>
    <col min="4366" max="4612" width="11.5546875" customWidth="1"/>
    <col min="4613" max="4613" width="5.109375" customWidth="1"/>
    <col min="4614" max="4614" width="20.6640625" customWidth="1"/>
    <col min="4615" max="4615" width="13.77734375" customWidth="1"/>
    <col min="4616" max="4616" width="1" customWidth="1"/>
    <col min="4617" max="4617" width="1.44140625" customWidth="1"/>
    <col min="4618" max="4618" width="5.77734375" customWidth="1"/>
    <col min="4619" max="4619" width="21.6640625" customWidth="1"/>
    <col min="4620" max="4620" width="13.77734375" customWidth="1"/>
    <col min="4621" max="4621" width="1.33203125" customWidth="1"/>
    <col min="4622" max="4868" width="11.5546875" customWidth="1"/>
    <col min="4869" max="4869" width="5.109375" customWidth="1"/>
    <col min="4870" max="4870" width="20.6640625" customWidth="1"/>
    <col min="4871" max="4871" width="13.77734375" customWidth="1"/>
    <col min="4872" max="4872" width="1" customWidth="1"/>
    <col min="4873" max="4873" width="1.44140625" customWidth="1"/>
    <col min="4874" max="4874" width="5.77734375" customWidth="1"/>
    <col min="4875" max="4875" width="21.6640625" customWidth="1"/>
    <col min="4876" max="4876" width="13.77734375" customWidth="1"/>
    <col min="4877" max="4877" width="1.33203125" customWidth="1"/>
    <col min="4878" max="5124" width="11.5546875" customWidth="1"/>
    <col min="5125" max="5125" width="5.109375" customWidth="1"/>
    <col min="5126" max="5126" width="20.6640625" customWidth="1"/>
    <col min="5127" max="5127" width="13.77734375" customWidth="1"/>
    <col min="5128" max="5128" width="1" customWidth="1"/>
    <col min="5129" max="5129" width="1.44140625" customWidth="1"/>
    <col min="5130" max="5130" width="5.77734375" customWidth="1"/>
    <col min="5131" max="5131" width="21.6640625" customWidth="1"/>
    <col min="5132" max="5132" width="13.77734375" customWidth="1"/>
    <col min="5133" max="5133" width="1.33203125" customWidth="1"/>
    <col min="5134" max="5380" width="11.5546875" customWidth="1"/>
    <col min="5381" max="5381" width="5.109375" customWidth="1"/>
    <col min="5382" max="5382" width="20.6640625" customWidth="1"/>
    <col min="5383" max="5383" width="13.77734375" customWidth="1"/>
    <col min="5384" max="5384" width="1" customWidth="1"/>
    <col min="5385" max="5385" width="1.44140625" customWidth="1"/>
    <col min="5386" max="5386" width="5.77734375" customWidth="1"/>
    <col min="5387" max="5387" width="21.6640625" customWidth="1"/>
    <col min="5388" max="5388" width="13.77734375" customWidth="1"/>
    <col min="5389" max="5389" width="1.33203125" customWidth="1"/>
    <col min="5390" max="5636" width="11.5546875" customWidth="1"/>
    <col min="5637" max="5637" width="5.109375" customWidth="1"/>
    <col min="5638" max="5638" width="20.6640625" customWidth="1"/>
    <col min="5639" max="5639" width="13.77734375" customWidth="1"/>
    <col min="5640" max="5640" width="1" customWidth="1"/>
    <col min="5641" max="5641" width="1.44140625" customWidth="1"/>
    <col min="5642" max="5642" width="5.77734375" customWidth="1"/>
    <col min="5643" max="5643" width="21.6640625" customWidth="1"/>
    <col min="5644" max="5644" width="13.77734375" customWidth="1"/>
    <col min="5645" max="5645" width="1.33203125" customWidth="1"/>
    <col min="5646" max="5892" width="11.5546875" customWidth="1"/>
    <col min="5893" max="5893" width="5.109375" customWidth="1"/>
    <col min="5894" max="5894" width="20.6640625" customWidth="1"/>
    <col min="5895" max="5895" width="13.77734375" customWidth="1"/>
    <col min="5896" max="5896" width="1" customWidth="1"/>
    <col min="5897" max="5897" width="1.44140625" customWidth="1"/>
    <col min="5898" max="5898" width="5.77734375" customWidth="1"/>
    <col min="5899" max="5899" width="21.6640625" customWidth="1"/>
    <col min="5900" max="5900" width="13.77734375" customWidth="1"/>
    <col min="5901" max="5901" width="1.33203125" customWidth="1"/>
    <col min="5902" max="6148" width="11.5546875" customWidth="1"/>
    <col min="6149" max="6149" width="5.109375" customWidth="1"/>
    <col min="6150" max="6150" width="20.6640625" customWidth="1"/>
    <col min="6151" max="6151" width="13.77734375" customWidth="1"/>
    <col min="6152" max="6152" width="1" customWidth="1"/>
    <col min="6153" max="6153" width="1.44140625" customWidth="1"/>
    <col min="6154" max="6154" width="5.77734375" customWidth="1"/>
    <col min="6155" max="6155" width="21.6640625" customWidth="1"/>
    <col min="6156" max="6156" width="13.77734375" customWidth="1"/>
    <col min="6157" max="6157" width="1.33203125" customWidth="1"/>
    <col min="6158" max="6404" width="11.5546875" customWidth="1"/>
    <col min="6405" max="6405" width="5.109375" customWidth="1"/>
    <col min="6406" max="6406" width="20.6640625" customWidth="1"/>
    <col min="6407" max="6407" width="13.77734375" customWidth="1"/>
    <col min="6408" max="6408" width="1" customWidth="1"/>
    <col min="6409" max="6409" width="1.44140625" customWidth="1"/>
    <col min="6410" max="6410" width="5.77734375" customWidth="1"/>
    <col min="6411" max="6411" width="21.6640625" customWidth="1"/>
    <col min="6412" max="6412" width="13.77734375" customWidth="1"/>
    <col min="6413" max="6413" width="1.33203125" customWidth="1"/>
    <col min="6414" max="6660" width="11.5546875" customWidth="1"/>
    <col min="6661" max="6661" width="5.109375" customWidth="1"/>
    <col min="6662" max="6662" width="20.6640625" customWidth="1"/>
    <col min="6663" max="6663" width="13.77734375" customWidth="1"/>
    <col min="6664" max="6664" width="1" customWidth="1"/>
    <col min="6665" max="6665" width="1.44140625" customWidth="1"/>
    <col min="6666" max="6666" width="5.77734375" customWidth="1"/>
    <col min="6667" max="6667" width="21.6640625" customWidth="1"/>
    <col min="6668" max="6668" width="13.77734375" customWidth="1"/>
    <col min="6669" max="6669" width="1.33203125" customWidth="1"/>
    <col min="6670" max="6916" width="11.5546875" customWidth="1"/>
    <col min="6917" max="6917" width="5.109375" customWidth="1"/>
    <col min="6918" max="6918" width="20.6640625" customWidth="1"/>
    <col min="6919" max="6919" width="13.77734375" customWidth="1"/>
    <col min="6920" max="6920" width="1" customWidth="1"/>
    <col min="6921" max="6921" width="1.44140625" customWidth="1"/>
    <col min="6922" max="6922" width="5.77734375" customWidth="1"/>
    <col min="6923" max="6923" width="21.6640625" customWidth="1"/>
    <col min="6924" max="6924" width="13.77734375" customWidth="1"/>
    <col min="6925" max="6925" width="1.33203125" customWidth="1"/>
    <col min="6926" max="7172" width="11.5546875" customWidth="1"/>
    <col min="7173" max="7173" width="5.109375" customWidth="1"/>
    <col min="7174" max="7174" width="20.6640625" customWidth="1"/>
    <col min="7175" max="7175" width="13.77734375" customWidth="1"/>
    <col min="7176" max="7176" width="1" customWidth="1"/>
    <col min="7177" max="7177" width="1.44140625" customWidth="1"/>
    <col min="7178" max="7178" width="5.77734375" customWidth="1"/>
    <col min="7179" max="7179" width="21.6640625" customWidth="1"/>
    <col min="7180" max="7180" width="13.77734375" customWidth="1"/>
    <col min="7181" max="7181" width="1.33203125" customWidth="1"/>
    <col min="7182" max="7428" width="11.5546875" customWidth="1"/>
    <col min="7429" max="7429" width="5.109375" customWidth="1"/>
    <col min="7430" max="7430" width="20.6640625" customWidth="1"/>
    <col min="7431" max="7431" width="13.77734375" customWidth="1"/>
    <col min="7432" max="7432" width="1" customWidth="1"/>
    <col min="7433" max="7433" width="1.44140625" customWidth="1"/>
    <col min="7434" max="7434" width="5.77734375" customWidth="1"/>
    <col min="7435" max="7435" width="21.6640625" customWidth="1"/>
    <col min="7436" max="7436" width="13.77734375" customWidth="1"/>
    <col min="7437" max="7437" width="1.33203125" customWidth="1"/>
    <col min="7438" max="7684" width="11.5546875" customWidth="1"/>
    <col min="7685" max="7685" width="5.109375" customWidth="1"/>
    <col min="7686" max="7686" width="20.6640625" customWidth="1"/>
    <col min="7687" max="7687" width="13.77734375" customWidth="1"/>
    <col min="7688" max="7688" width="1" customWidth="1"/>
    <col min="7689" max="7689" width="1.44140625" customWidth="1"/>
    <col min="7690" max="7690" width="5.77734375" customWidth="1"/>
    <col min="7691" max="7691" width="21.6640625" customWidth="1"/>
    <col min="7692" max="7692" width="13.77734375" customWidth="1"/>
    <col min="7693" max="7693" width="1.33203125" customWidth="1"/>
    <col min="7694" max="7940" width="11.5546875" customWidth="1"/>
    <col min="7941" max="7941" width="5.109375" customWidth="1"/>
    <col min="7942" max="7942" width="20.6640625" customWidth="1"/>
    <col min="7943" max="7943" width="13.77734375" customWidth="1"/>
    <col min="7944" max="7944" width="1" customWidth="1"/>
    <col min="7945" max="7945" width="1.44140625" customWidth="1"/>
    <col min="7946" max="7946" width="5.77734375" customWidth="1"/>
    <col min="7947" max="7947" width="21.6640625" customWidth="1"/>
    <col min="7948" max="7948" width="13.77734375" customWidth="1"/>
    <col min="7949" max="7949" width="1.33203125" customWidth="1"/>
    <col min="7950" max="8196" width="11.5546875" customWidth="1"/>
    <col min="8197" max="8197" width="5.109375" customWidth="1"/>
    <col min="8198" max="8198" width="20.6640625" customWidth="1"/>
    <col min="8199" max="8199" width="13.77734375" customWidth="1"/>
    <col min="8200" max="8200" width="1" customWidth="1"/>
    <col min="8201" max="8201" width="1.44140625" customWidth="1"/>
    <col min="8202" max="8202" width="5.77734375" customWidth="1"/>
    <col min="8203" max="8203" width="21.6640625" customWidth="1"/>
    <col min="8204" max="8204" width="13.77734375" customWidth="1"/>
    <col min="8205" max="8205" width="1.33203125" customWidth="1"/>
    <col min="8206" max="8452" width="11.5546875" customWidth="1"/>
    <col min="8453" max="8453" width="5.109375" customWidth="1"/>
    <col min="8454" max="8454" width="20.6640625" customWidth="1"/>
    <col min="8455" max="8455" width="13.77734375" customWidth="1"/>
    <col min="8456" max="8456" width="1" customWidth="1"/>
    <col min="8457" max="8457" width="1.44140625" customWidth="1"/>
    <col min="8458" max="8458" width="5.77734375" customWidth="1"/>
    <col min="8459" max="8459" width="21.6640625" customWidth="1"/>
    <col min="8460" max="8460" width="13.77734375" customWidth="1"/>
    <col min="8461" max="8461" width="1.33203125" customWidth="1"/>
    <col min="8462" max="8708" width="11.5546875" customWidth="1"/>
    <col min="8709" max="8709" width="5.109375" customWidth="1"/>
    <col min="8710" max="8710" width="20.6640625" customWidth="1"/>
    <col min="8711" max="8711" width="13.77734375" customWidth="1"/>
    <col min="8712" max="8712" width="1" customWidth="1"/>
    <col min="8713" max="8713" width="1.44140625" customWidth="1"/>
    <col min="8714" max="8714" width="5.77734375" customWidth="1"/>
    <col min="8715" max="8715" width="21.6640625" customWidth="1"/>
    <col min="8716" max="8716" width="13.77734375" customWidth="1"/>
    <col min="8717" max="8717" width="1.33203125" customWidth="1"/>
    <col min="8718" max="8964" width="11.5546875" customWidth="1"/>
    <col min="8965" max="8965" width="5.109375" customWidth="1"/>
    <col min="8966" max="8966" width="20.6640625" customWidth="1"/>
    <col min="8967" max="8967" width="13.77734375" customWidth="1"/>
    <col min="8968" max="8968" width="1" customWidth="1"/>
    <col min="8969" max="8969" width="1.44140625" customWidth="1"/>
    <col min="8970" max="8970" width="5.77734375" customWidth="1"/>
    <col min="8971" max="8971" width="21.6640625" customWidth="1"/>
    <col min="8972" max="8972" width="13.77734375" customWidth="1"/>
    <col min="8973" max="8973" width="1.33203125" customWidth="1"/>
    <col min="8974" max="9220" width="11.5546875" customWidth="1"/>
    <col min="9221" max="9221" width="5.109375" customWidth="1"/>
    <col min="9222" max="9222" width="20.6640625" customWidth="1"/>
    <col min="9223" max="9223" width="13.77734375" customWidth="1"/>
    <col min="9224" max="9224" width="1" customWidth="1"/>
    <col min="9225" max="9225" width="1.44140625" customWidth="1"/>
    <col min="9226" max="9226" width="5.77734375" customWidth="1"/>
    <col min="9227" max="9227" width="21.6640625" customWidth="1"/>
    <col min="9228" max="9228" width="13.77734375" customWidth="1"/>
    <col min="9229" max="9229" width="1.33203125" customWidth="1"/>
    <col min="9230" max="9476" width="11.5546875" customWidth="1"/>
    <col min="9477" max="9477" width="5.109375" customWidth="1"/>
    <col min="9478" max="9478" width="20.6640625" customWidth="1"/>
    <col min="9479" max="9479" width="13.77734375" customWidth="1"/>
    <col min="9480" max="9480" width="1" customWidth="1"/>
    <col min="9481" max="9481" width="1.44140625" customWidth="1"/>
    <col min="9482" max="9482" width="5.77734375" customWidth="1"/>
    <col min="9483" max="9483" width="21.6640625" customWidth="1"/>
    <col min="9484" max="9484" width="13.77734375" customWidth="1"/>
    <col min="9485" max="9485" width="1.33203125" customWidth="1"/>
    <col min="9486" max="9732" width="11.5546875" customWidth="1"/>
    <col min="9733" max="9733" width="5.109375" customWidth="1"/>
    <col min="9734" max="9734" width="20.6640625" customWidth="1"/>
    <col min="9735" max="9735" width="13.77734375" customWidth="1"/>
    <col min="9736" max="9736" width="1" customWidth="1"/>
    <col min="9737" max="9737" width="1.44140625" customWidth="1"/>
    <col min="9738" max="9738" width="5.77734375" customWidth="1"/>
    <col min="9739" max="9739" width="21.6640625" customWidth="1"/>
    <col min="9740" max="9740" width="13.77734375" customWidth="1"/>
    <col min="9741" max="9741" width="1.33203125" customWidth="1"/>
    <col min="9742" max="9988" width="11.5546875" customWidth="1"/>
    <col min="9989" max="9989" width="5.109375" customWidth="1"/>
    <col min="9990" max="9990" width="20.6640625" customWidth="1"/>
    <col min="9991" max="9991" width="13.77734375" customWidth="1"/>
    <col min="9992" max="9992" width="1" customWidth="1"/>
    <col min="9993" max="9993" width="1.44140625" customWidth="1"/>
    <col min="9994" max="9994" width="5.77734375" customWidth="1"/>
    <col min="9995" max="9995" width="21.6640625" customWidth="1"/>
    <col min="9996" max="9996" width="13.77734375" customWidth="1"/>
    <col min="9997" max="9997" width="1.33203125" customWidth="1"/>
    <col min="9998" max="10244" width="11.5546875" customWidth="1"/>
    <col min="10245" max="10245" width="5.109375" customWidth="1"/>
    <col min="10246" max="10246" width="20.6640625" customWidth="1"/>
    <col min="10247" max="10247" width="13.77734375" customWidth="1"/>
    <col min="10248" max="10248" width="1" customWidth="1"/>
    <col min="10249" max="10249" width="1.44140625" customWidth="1"/>
    <col min="10250" max="10250" width="5.77734375" customWidth="1"/>
    <col min="10251" max="10251" width="21.6640625" customWidth="1"/>
    <col min="10252" max="10252" width="13.77734375" customWidth="1"/>
    <col min="10253" max="10253" width="1.33203125" customWidth="1"/>
    <col min="10254" max="10500" width="11.5546875" customWidth="1"/>
    <col min="10501" max="10501" width="5.109375" customWidth="1"/>
    <col min="10502" max="10502" width="20.6640625" customWidth="1"/>
    <col min="10503" max="10503" width="13.77734375" customWidth="1"/>
    <col min="10504" max="10504" width="1" customWidth="1"/>
    <col min="10505" max="10505" width="1.44140625" customWidth="1"/>
    <col min="10506" max="10506" width="5.77734375" customWidth="1"/>
    <col min="10507" max="10507" width="21.6640625" customWidth="1"/>
    <col min="10508" max="10508" width="13.77734375" customWidth="1"/>
    <col min="10509" max="10509" width="1.33203125" customWidth="1"/>
    <col min="10510" max="10756" width="11.5546875" customWidth="1"/>
    <col min="10757" max="10757" width="5.109375" customWidth="1"/>
    <col min="10758" max="10758" width="20.6640625" customWidth="1"/>
    <col min="10759" max="10759" width="13.77734375" customWidth="1"/>
    <col min="10760" max="10760" width="1" customWidth="1"/>
    <col min="10761" max="10761" width="1.44140625" customWidth="1"/>
    <col min="10762" max="10762" width="5.77734375" customWidth="1"/>
    <col min="10763" max="10763" width="21.6640625" customWidth="1"/>
    <col min="10764" max="10764" width="13.77734375" customWidth="1"/>
    <col min="10765" max="10765" width="1.33203125" customWidth="1"/>
    <col min="10766" max="11012" width="11.5546875" customWidth="1"/>
    <col min="11013" max="11013" width="5.109375" customWidth="1"/>
    <col min="11014" max="11014" width="20.6640625" customWidth="1"/>
    <col min="11015" max="11015" width="13.77734375" customWidth="1"/>
    <col min="11016" max="11016" width="1" customWidth="1"/>
    <col min="11017" max="11017" width="1.44140625" customWidth="1"/>
    <col min="11018" max="11018" width="5.77734375" customWidth="1"/>
    <col min="11019" max="11019" width="21.6640625" customWidth="1"/>
    <col min="11020" max="11020" width="13.77734375" customWidth="1"/>
    <col min="11021" max="11021" width="1.33203125" customWidth="1"/>
    <col min="11022" max="11268" width="11.5546875" customWidth="1"/>
    <col min="11269" max="11269" width="5.109375" customWidth="1"/>
    <col min="11270" max="11270" width="20.6640625" customWidth="1"/>
    <col min="11271" max="11271" width="13.77734375" customWidth="1"/>
    <col min="11272" max="11272" width="1" customWidth="1"/>
    <col min="11273" max="11273" width="1.44140625" customWidth="1"/>
    <col min="11274" max="11274" width="5.77734375" customWidth="1"/>
    <col min="11275" max="11275" width="21.6640625" customWidth="1"/>
    <col min="11276" max="11276" width="13.77734375" customWidth="1"/>
    <col min="11277" max="11277" width="1.33203125" customWidth="1"/>
    <col min="11278" max="11524" width="11.5546875" customWidth="1"/>
    <col min="11525" max="11525" width="5.109375" customWidth="1"/>
    <col min="11526" max="11526" width="20.6640625" customWidth="1"/>
    <col min="11527" max="11527" width="13.77734375" customWidth="1"/>
    <col min="11528" max="11528" width="1" customWidth="1"/>
    <col min="11529" max="11529" width="1.44140625" customWidth="1"/>
    <col min="11530" max="11530" width="5.77734375" customWidth="1"/>
    <col min="11531" max="11531" width="21.6640625" customWidth="1"/>
    <col min="11532" max="11532" width="13.77734375" customWidth="1"/>
    <col min="11533" max="11533" width="1.33203125" customWidth="1"/>
    <col min="11534" max="11780" width="11.5546875" customWidth="1"/>
    <col min="11781" max="11781" width="5.109375" customWidth="1"/>
    <col min="11782" max="11782" width="20.6640625" customWidth="1"/>
    <col min="11783" max="11783" width="13.77734375" customWidth="1"/>
    <col min="11784" max="11784" width="1" customWidth="1"/>
    <col min="11785" max="11785" width="1.44140625" customWidth="1"/>
    <col min="11786" max="11786" width="5.77734375" customWidth="1"/>
    <col min="11787" max="11787" width="21.6640625" customWidth="1"/>
    <col min="11788" max="11788" width="13.77734375" customWidth="1"/>
    <col min="11789" max="11789" width="1.33203125" customWidth="1"/>
    <col min="11790" max="12036" width="11.5546875" customWidth="1"/>
    <col min="12037" max="12037" width="5.109375" customWidth="1"/>
    <col min="12038" max="12038" width="20.6640625" customWidth="1"/>
    <col min="12039" max="12039" width="13.77734375" customWidth="1"/>
    <col min="12040" max="12040" width="1" customWidth="1"/>
    <col min="12041" max="12041" width="1.44140625" customWidth="1"/>
    <col min="12042" max="12042" width="5.77734375" customWidth="1"/>
    <col min="12043" max="12043" width="21.6640625" customWidth="1"/>
    <col min="12044" max="12044" width="13.77734375" customWidth="1"/>
    <col min="12045" max="12045" width="1.33203125" customWidth="1"/>
    <col min="12046" max="12292" width="11.5546875" customWidth="1"/>
    <col min="12293" max="12293" width="5.109375" customWidth="1"/>
    <col min="12294" max="12294" width="20.6640625" customWidth="1"/>
    <col min="12295" max="12295" width="13.77734375" customWidth="1"/>
    <col min="12296" max="12296" width="1" customWidth="1"/>
    <col min="12297" max="12297" width="1.44140625" customWidth="1"/>
    <col min="12298" max="12298" width="5.77734375" customWidth="1"/>
    <col min="12299" max="12299" width="21.6640625" customWidth="1"/>
    <col min="12300" max="12300" width="13.77734375" customWidth="1"/>
    <col min="12301" max="12301" width="1.33203125" customWidth="1"/>
    <col min="12302" max="12548" width="11.5546875" customWidth="1"/>
    <col min="12549" max="12549" width="5.109375" customWidth="1"/>
    <col min="12550" max="12550" width="20.6640625" customWidth="1"/>
    <col min="12551" max="12551" width="13.77734375" customWidth="1"/>
    <col min="12552" max="12552" width="1" customWidth="1"/>
    <col min="12553" max="12553" width="1.44140625" customWidth="1"/>
    <col min="12554" max="12554" width="5.77734375" customWidth="1"/>
    <col min="12555" max="12555" width="21.6640625" customWidth="1"/>
    <col min="12556" max="12556" width="13.77734375" customWidth="1"/>
    <col min="12557" max="12557" width="1.33203125" customWidth="1"/>
    <col min="12558" max="12804" width="11.5546875" customWidth="1"/>
    <col min="12805" max="12805" width="5.109375" customWidth="1"/>
    <col min="12806" max="12806" width="20.6640625" customWidth="1"/>
    <col min="12807" max="12807" width="13.77734375" customWidth="1"/>
    <col min="12808" max="12808" width="1" customWidth="1"/>
    <col min="12809" max="12809" width="1.44140625" customWidth="1"/>
    <col min="12810" max="12810" width="5.77734375" customWidth="1"/>
    <col min="12811" max="12811" width="21.6640625" customWidth="1"/>
    <col min="12812" max="12812" width="13.77734375" customWidth="1"/>
    <col min="12813" max="12813" width="1.33203125" customWidth="1"/>
    <col min="12814" max="13060" width="11.5546875" customWidth="1"/>
    <col min="13061" max="13061" width="5.109375" customWidth="1"/>
    <col min="13062" max="13062" width="20.6640625" customWidth="1"/>
    <col min="13063" max="13063" width="13.77734375" customWidth="1"/>
    <col min="13064" max="13064" width="1" customWidth="1"/>
    <col min="13065" max="13065" width="1.44140625" customWidth="1"/>
    <col min="13066" max="13066" width="5.77734375" customWidth="1"/>
    <col min="13067" max="13067" width="21.6640625" customWidth="1"/>
    <col min="13068" max="13068" width="13.77734375" customWidth="1"/>
    <col min="13069" max="13069" width="1.33203125" customWidth="1"/>
    <col min="13070" max="13316" width="11.5546875" customWidth="1"/>
    <col min="13317" max="13317" width="5.109375" customWidth="1"/>
    <col min="13318" max="13318" width="20.6640625" customWidth="1"/>
    <col min="13319" max="13319" width="13.77734375" customWidth="1"/>
    <col min="13320" max="13320" width="1" customWidth="1"/>
    <col min="13321" max="13321" width="1.44140625" customWidth="1"/>
    <col min="13322" max="13322" width="5.77734375" customWidth="1"/>
    <col min="13323" max="13323" width="21.6640625" customWidth="1"/>
    <col min="13324" max="13324" width="13.77734375" customWidth="1"/>
    <col min="13325" max="13325" width="1.33203125" customWidth="1"/>
    <col min="13326" max="13572" width="11.5546875" customWidth="1"/>
    <col min="13573" max="13573" width="5.109375" customWidth="1"/>
    <col min="13574" max="13574" width="20.6640625" customWidth="1"/>
    <col min="13575" max="13575" width="13.77734375" customWidth="1"/>
    <col min="13576" max="13576" width="1" customWidth="1"/>
    <col min="13577" max="13577" width="1.44140625" customWidth="1"/>
    <col min="13578" max="13578" width="5.77734375" customWidth="1"/>
    <col min="13579" max="13579" width="21.6640625" customWidth="1"/>
    <col min="13580" max="13580" width="13.77734375" customWidth="1"/>
    <col min="13581" max="13581" width="1.33203125" customWidth="1"/>
    <col min="13582" max="13828" width="11.5546875" customWidth="1"/>
    <col min="13829" max="13829" width="5.109375" customWidth="1"/>
    <col min="13830" max="13830" width="20.6640625" customWidth="1"/>
    <col min="13831" max="13831" width="13.77734375" customWidth="1"/>
    <col min="13832" max="13832" width="1" customWidth="1"/>
    <col min="13833" max="13833" width="1.44140625" customWidth="1"/>
    <col min="13834" max="13834" width="5.77734375" customWidth="1"/>
    <col min="13835" max="13835" width="21.6640625" customWidth="1"/>
    <col min="13836" max="13836" width="13.77734375" customWidth="1"/>
    <col min="13837" max="13837" width="1.33203125" customWidth="1"/>
    <col min="13838" max="14084" width="11.5546875" customWidth="1"/>
    <col min="14085" max="14085" width="5.109375" customWidth="1"/>
    <col min="14086" max="14086" width="20.6640625" customWidth="1"/>
    <col min="14087" max="14087" width="13.77734375" customWidth="1"/>
    <col min="14088" max="14088" width="1" customWidth="1"/>
    <col min="14089" max="14089" width="1.44140625" customWidth="1"/>
    <col min="14090" max="14090" width="5.77734375" customWidth="1"/>
    <col min="14091" max="14091" width="21.6640625" customWidth="1"/>
    <col min="14092" max="14092" width="13.77734375" customWidth="1"/>
    <col min="14093" max="14093" width="1.33203125" customWidth="1"/>
    <col min="14094" max="14340" width="11.5546875" customWidth="1"/>
    <col min="14341" max="14341" width="5.109375" customWidth="1"/>
    <col min="14342" max="14342" width="20.6640625" customWidth="1"/>
    <col min="14343" max="14343" width="13.77734375" customWidth="1"/>
    <col min="14344" max="14344" width="1" customWidth="1"/>
    <col min="14345" max="14345" width="1.44140625" customWidth="1"/>
    <col min="14346" max="14346" width="5.77734375" customWidth="1"/>
    <col min="14347" max="14347" width="21.6640625" customWidth="1"/>
    <col min="14348" max="14348" width="13.77734375" customWidth="1"/>
    <col min="14349" max="14349" width="1.33203125" customWidth="1"/>
    <col min="14350" max="14596" width="11.5546875" customWidth="1"/>
    <col min="14597" max="14597" width="5.109375" customWidth="1"/>
    <col min="14598" max="14598" width="20.6640625" customWidth="1"/>
    <col min="14599" max="14599" width="13.77734375" customWidth="1"/>
    <col min="14600" max="14600" width="1" customWidth="1"/>
    <col min="14601" max="14601" width="1.44140625" customWidth="1"/>
    <col min="14602" max="14602" width="5.77734375" customWidth="1"/>
    <col min="14603" max="14603" width="21.6640625" customWidth="1"/>
    <col min="14604" max="14604" width="13.77734375" customWidth="1"/>
    <col min="14605" max="14605" width="1.33203125" customWidth="1"/>
    <col min="14606" max="14852" width="11.5546875" customWidth="1"/>
    <col min="14853" max="14853" width="5.109375" customWidth="1"/>
    <col min="14854" max="14854" width="20.6640625" customWidth="1"/>
    <col min="14855" max="14855" width="13.77734375" customWidth="1"/>
    <col min="14856" max="14856" width="1" customWidth="1"/>
    <col min="14857" max="14857" width="1.44140625" customWidth="1"/>
    <col min="14858" max="14858" width="5.77734375" customWidth="1"/>
    <col min="14859" max="14859" width="21.6640625" customWidth="1"/>
    <col min="14860" max="14860" width="13.77734375" customWidth="1"/>
    <col min="14861" max="14861" width="1.33203125" customWidth="1"/>
    <col min="14862" max="15108" width="11.5546875" customWidth="1"/>
    <col min="15109" max="15109" width="5.109375" customWidth="1"/>
    <col min="15110" max="15110" width="20.6640625" customWidth="1"/>
    <col min="15111" max="15111" width="13.77734375" customWidth="1"/>
    <col min="15112" max="15112" width="1" customWidth="1"/>
    <col min="15113" max="15113" width="1.44140625" customWidth="1"/>
    <col min="15114" max="15114" width="5.77734375" customWidth="1"/>
    <col min="15115" max="15115" width="21.6640625" customWidth="1"/>
    <col min="15116" max="15116" width="13.77734375" customWidth="1"/>
    <col min="15117" max="15117" width="1.33203125" customWidth="1"/>
    <col min="15118" max="15364" width="11.5546875" customWidth="1"/>
    <col min="15365" max="15365" width="5.109375" customWidth="1"/>
    <col min="15366" max="15366" width="20.6640625" customWidth="1"/>
    <col min="15367" max="15367" width="13.77734375" customWidth="1"/>
    <col min="15368" max="15368" width="1" customWidth="1"/>
    <col min="15369" max="15369" width="1.44140625" customWidth="1"/>
    <col min="15370" max="15370" width="5.77734375" customWidth="1"/>
    <col min="15371" max="15371" width="21.6640625" customWidth="1"/>
    <col min="15372" max="15372" width="13.77734375" customWidth="1"/>
    <col min="15373" max="15373" width="1.33203125" customWidth="1"/>
    <col min="15374" max="15620" width="11.5546875" customWidth="1"/>
    <col min="15621" max="15621" width="5.109375" customWidth="1"/>
    <col min="15622" max="15622" width="20.6640625" customWidth="1"/>
    <col min="15623" max="15623" width="13.77734375" customWidth="1"/>
    <col min="15624" max="15624" width="1" customWidth="1"/>
    <col min="15625" max="15625" width="1.44140625" customWidth="1"/>
    <col min="15626" max="15626" width="5.77734375" customWidth="1"/>
    <col min="15627" max="15627" width="21.6640625" customWidth="1"/>
    <col min="15628" max="15628" width="13.77734375" customWidth="1"/>
    <col min="15629" max="15629" width="1.33203125" customWidth="1"/>
    <col min="15630" max="15876" width="11.5546875" customWidth="1"/>
    <col min="15877" max="15877" width="5.109375" customWidth="1"/>
    <col min="15878" max="15878" width="20.6640625" customWidth="1"/>
    <col min="15879" max="15879" width="13.77734375" customWidth="1"/>
    <col min="15880" max="15880" width="1" customWidth="1"/>
    <col min="15881" max="15881" width="1.44140625" customWidth="1"/>
    <col min="15882" max="15882" width="5.77734375" customWidth="1"/>
    <col min="15883" max="15883" width="21.6640625" customWidth="1"/>
    <col min="15884" max="15884" width="13.77734375" customWidth="1"/>
    <col min="15885" max="15885" width="1.33203125" customWidth="1"/>
    <col min="15886" max="16132" width="11.5546875" customWidth="1"/>
    <col min="16133" max="16133" width="5.109375" customWidth="1"/>
    <col min="16134" max="16134" width="20.6640625" customWidth="1"/>
    <col min="16135" max="16135" width="13.77734375" customWidth="1"/>
    <col min="16136" max="16136" width="1" customWidth="1"/>
    <col min="16137" max="16137" width="1.44140625" customWidth="1"/>
    <col min="16138" max="16138" width="5.77734375" customWidth="1"/>
    <col min="16139" max="16139" width="21.6640625" customWidth="1"/>
    <col min="16140" max="16140" width="13.77734375" customWidth="1"/>
    <col min="16141" max="16141" width="1.33203125" customWidth="1"/>
    <col min="16142" max="16384" width="11.5546875" customWidth="1"/>
  </cols>
  <sheetData>
    <row r="1" spans="1:18" s="1685" customFormat="1" ht="30" customHeight="1" x14ac:dyDescent="0.3">
      <c r="A1" s="1685" t="s">
        <v>2587</v>
      </c>
    </row>
    <row r="2" spans="1:18" s="1685" customFormat="1" ht="30" customHeight="1" x14ac:dyDescent="0.3"/>
    <row r="3" spans="1:18" s="1821" customFormat="1" ht="20.100000000000001" customHeight="1" x14ac:dyDescent="0.3">
      <c r="A3" s="1859"/>
      <c r="B3" s="1943"/>
      <c r="C3" s="1859"/>
      <c r="D3" s="1859"/>
      <c r="E3" s="1859"/>
      <c r="F3" s="1859"/>
      <c r="G3" s="1859"/>
      <c r="H3" s="1859"/>
      <c r="I3" s="1859"/>
      <c r="J3" s="1859"/>
      <c r="K3" s="1859"/>
      <c r="L3" s="1859"/>
      <c r="M3" s="1859"/>
      <c r="N3" s="1859"/>
      <c r="O3" s="1859"/>
      <c r="P3" s="1859"/>
      <c r="Q3" s="1859"/>
      <c r="R3" s="1859"/>
    </row>
    <row r="4" spans="1:18" x14ac:dyDescent="0.3">
      <c r="A4" s="1882"/>
      <c r="B4" s="2488" t="str">
        <f>IFERROR(DASHBOARD!K12,"Project Name from 'DASHBOARD' tab")</f>
        <v>WinsWithMike.com</v>
      </c>
      <c r="C4" s="2488"/>
      <c r="D4" s="1882"/>
      <c r="E4" s="1882"/>
      <c r="F4" s="1882"/>
      <c r="G4" s="2489">
        <f ca="1">IFERROR(TODAY(),"AS OF DATE")</f>
        <v>45920</v>
      </c>
      <c r="H4" s="2489"/>
      <c r="I4" s="1882"/>
      <c r="J4" s="1856"/>
      <c r="K4" s="1856"/>
      <c r="L4" s="1856"/>
      <c r="M4" s="1856"/>
      <c r="N4" s="1856"/>
      <c r="O4" s="1856"/>
      <c r="P4" s="1856"/>
      <c r="Q4" s="1856"/>
      <c r="R4" s="1856"/>
    </row>
    <row r="5" spans="1:18" ht="15" thickBot="1" x14ac:dyDescent="0.35">
      <c r="A5" s="1882"/>
      <c r="B5" s="1882"/>
      <c r="C5" s="1882"/>
      <c r="D5" s="1882"/>
      <c r="E5" s="1882"/>
      <c r="F5" s="1882"/>
      <c r="G5" s="1882"/>
      <c r="H5" s="1882"/>
      <c r="I5" s="1882"/>
      <c r="J5" s="1856"/>
      <c r="K5" s="1856"/>
      <c r="L5" s="1856"/>
      <c r="M5" s="1856"/>
      <c r="N5" s="1856"/>
      <c r="O5" s="1856"/>
      <c r="P5" s="1856"/>
      <c r="Q5" s="1856"/>
      <c r="R5" s="1856"/>
    </row>
    <row r="6" spans="1:18" x14ac:dyDescent="0.3">
      <c r="A6" s="2493" t="s">
        <v>2444</v>
      </c>
      <c r="B6" s="2494"/>
      <c r="C6" s="2494"/>
      <c r="D6" s="2495"/>
      <c r="E6" s="1882"/>
      <c r="F6" s="2493" t="s">
        <v>2445</v>
      </c>
      <c r="G6" s="2494"/>
      <c r="H6" s="2494"/>
      <c r="I6" s="2495"/>
      <c r="J6" s="1856"/>
      <c r="K6" s="1856"/>
      <c r="L6" s="1856"/>
      <c r="M6" s="1856"/>
      <c r="N6" s="1856"/>
      <c r="O6" s="1856"/>
      <c r="P6" s="1856"/>
      <c r="Q6" s="1856"/>
      <c r="R6" s="1856"/>
    </row>
    <row r="7" spans="1:18" x14ac:dyDescent="0.3">
      <c r="A7" s="1896" t="s">
        <v>2446</v>
      </c>
      <c r="B7" s="1882"/>
      <c r="C7" s="1897"/>
      <c r="D7" s="1885"/>
      <c r="E7" s="1882"/>
      <c r="F7" s="1898" t="s">
        <v>2447</v>
      </c>
      <c r="G7" s="1882"/>
      <c r="H7" s="1882"/>
      <c r="I7" s="1885"/>
      <c r="J7" s="1856"/>
      <c r="K7" s="1856"/>
      <c r="L7" s="1856"/>
      <c r="M7" s="1856"/>
      <c r="N7" s="1856"/>
      <c r="O7" s="1856"/>
      <c r="P7" s="1856"/>
      <c r="Q7" s="1856"/>
      <c r="R7" s="1856"/>
    </row>
    <row r="8" spans="1:18" x14ac:dyDescent="0.3">
      <c r="A8" s="1899"/>
      <c r="B8" s="1893" t="s">
        <v>2487</v>
      </c>
      <c r="C8" s="1878">
        <f>IFERROR(SUMIF('BOOK KEEPING LEDGER'!G:G,B8,'BOOK KEEPING LEDGER'!I:I),0)</f>
        <v>60000</v>
      </c>
      <c r="D8" s="1885"/>
      <c r="E8" s="1882"/>
      <c r="F8" s="1898"/>
      <c r="G8" s="1900" t="s">
        <v>2448</v>
      </c>
      <c r="H8" s="1901">
        <f>C54/C30</f>
        <v>1.6965856404269513</v>
      </c>
      <c r="I8" s="1885"/>
      <c r="J8" s="1856"/>
      <c r="K8" s="1856"/>
      <c r="L8" s="1856"/>
      <c r="M8" s="1856"/>
      <c r="N8" s="1856"/>
      <c r="O8" s="1856"/>
      <c r="P8" s="1856"/>
      <c r="Q8" s="1856"/>
      <c r="R8" s="1856"/>
    </row>
    <row r="9" spans="1:18" x14ac:dyDescent="0.3">
      <c r="A9" s="1899"/>
      <c r="B9" s="1893" t="s">
        <v>2488</v>
      </c>
      <c r="C9" s="1878">
        <f>IFERROR(SUMIF('BOOK KEEPING LEDGER'!G:G,B9,'BOOK KEEPING LEDGER'!I:I),0)</f>
        <v>61500</v>
      </c>
      <c r="D9" s="1885"/>
      <c r="E9" s="1882"/>
      <c r="F9" s="1898"/>
      <c r="G9" s="1902" t="s">
        <v>2449</v>
      </c>
      <c r="H9" s="1882"/>
      <c r="I9" s="1885"/>
      <c r="J9" s="1856"/>
      <c r="K9" s="1856"/>
      <c r="L9" s="1856"/>
      <c r="M9" s="1856"/>
      <c r="N9" s="1856"/>
      <c r="O9" s="1856"/>
      <c r="P9" s="1856"/>
      <c r="Q9" s="1856"/>
      <c r="R9" s="1856"/>
    </row>
    <row r="10" spans="1:18" x14ac:dyDescent="0.3">
      <c r="A10" s="1896"/>
      <c r="B10" s="1883" t="s">
        <v>2555</v>
      </c>
      <c r="C10" s="1879">
        <f>SUM(C8:C9)</f>
        <v>121500</v>
      </c>
      <c r="D10" s="1885"/>
      <c r="E10" s="1882"/>
      <c r="F10" s="1898"/>
      <c r="G10" s="1882"/>
      <c r="H10" s="1882"/>
      <c r="I10" s="1885"/>
      <c r="J10" s="1856"/>
      <c r="K10" s="1856"/>
      <c r="L10" s="1856"/>
      <c r="M10" s="1856"/>
      <c r="N10" s="1856"/>
      <c r="O10" s="1856"/>
      <c r="P10" s="1856"/>
      <c r="Q10" s="1856"/>
      <c r="R10" s="1856"/>
    </row>
    <row r="11" spans="1:18" x14ac:dyDescent="0.3">
      <c r="A11" s="1896" t="s">
        <v>2450</v>
      </c>
      <c r="B11" s="1882"/>
      <c r="C11" s="1879"/>
      <c r="D11" s="1885"/>
      <c r="E11" s="1882"/>
      <c r="F11" s="1898" t="s">
        <v>2451</v>
      </c>
      <c r="G11" s="1882"/>
      <c r="H11" s="1882"/>
      <c r="I11" s="1885"/>
      <c r="J11" s="1856"/>
      <c r="K11" s="1856"/>
      <c r="L11" s="1856"/>
      <c r="M11" s="1856"/>
      <c r="N11" s="1856"/>
      <c r="O11" s="1856"/>
      <c r="P11" s="1856"/>
      <c r="Q11" s="1856"/>
      <c r="R11" s="1856"/>
    </row>
    <row r="12" spans="1:18" x14ac:dyDescent="0.3">
      <c r="A12" s="1899"/>
      <c r="B12" s="1893" t="s">
        <v>2489</v>
      </c>
      <c r="C12" s="1878">
        <f>IFERROR(SUMIF('BOOK KEEPING LEDGER'!G:G,B12,'BOOK KEEPING LEDGER'!I:I),0)</f>
        <v>330000</v>
      </c>
      <c r="D12" s="1885"/>
      <c r="E12" s="1882"/>
      <c r="F12" s="1898"/>
      <c r="G12" s="1900" t="s">
        <v>2452</v>
      </c>
      <c r="H12" s="1901">
        <f>(C29+C22)/C30</f>
        <v>0.79736490993996001</v>
      </c>
      <c r="I12" s="1885"/>
      <c r="J12" s="1856"/>
      <c r="K12" s="1856"/>
      <c r="L12" s="1856"/>
      <c r="M12" s="1856"/>
      <c r="N12" s="1856"/>
      <c r="O12" s="1856"/>
      <c r="P12" s="1856"/>
      <c r="Q12" s="1856"/>
      <c r="R12" s="1856"/>
    </row>
    <row r="13" spans="1:18" x14ac:dyDescent="0.3">
      <c r="A13" s="1899"/>
      <c r="B13" s="1890" t="s">
        <v>2589</v>
      </c>
      <c r="C13" s="1878">
        <f>IFERROR(SUMIF('BOOK KEEPING LEDGER'!G:G,B13,'BOOK KEEPING LEDGER'!I:I),0)</f>
        <v>600</v>
      </c>
      <c r="D13" s="1885"/>
      <c r="E13" s="1882"/>
      <c r="F13" s="1898"/>
      <c r="G13" s="1902" t="s">
        <v>2449</v>
      </c>
      <c r="H13" s="1882"/>
      <c r="I13" s="1885"/>
      <c r="J13" s="1856"/>
      <c r="K13" s="1856"/>
      <c r="L13" s="1856"/>
      <c r="M13" s="1856"/>
      <c r="N13" s="1856"/>
      <c r="O13" s="1856"/>
      <c r="P13" s="1856"/>
      <c r="Q13" s="1856"/>
      <c r="R13" s="1856"/>
    </row>
    <row r="14" spans="1:18" x14ac:dyDescent="0.3">
      <c r="A14" s="1899"/>
      <c r="B14" s="1892" t="s">
        <v>2552</v>
      </c>
      <c r="C14" s="1878">
        <f>IFERROR(SUMIF('BOOK KEEPING LEDGER'!G:G,B14,'BOOK KEEPING LEDGER'!I:I),0)</f>
        <v>66000</v>
      </c>
      <c r="D14" s="1885"/>
      <c r="E14" s="1882"/>
      <c r="F14" s="1898"/>
      <c r="G14" s="1882"/>
      <c r="H14" s="1882"/>
      <c r="I14" s="1885"/>
      <c r="J14" s="1856"/>
      <c r="K14" s="1856"/>
      <c r="L14" s="1856"/>
      <c r="M14" s="1856"/>
      <c r="N14" s="1856"/>
      <c r="O14" s="1856"/>
      <c r="P14" s="1856"/>
      <c r="Q14" s="1856"/>
      <c r="R14" s="1856"/>
    </row>
    <row r="15" spans="1:18" x14ac:dyDescent="0.3">
      <c r="A15" s="1899"/>
      <c r="B15" s="1892" t="s">
        <v>2558</v>
      </c>
      <c r="C15" s="1878">
        <f>IFERROR(SUMIF('BOOK KEEPING LEDGER'!G:G,B15,'BOOK KEEPING LEDGER'!I:I),0)</f>
        <v>16500</v>
      </c>
      <c r="D15" s="1885"/>
      <c r="E15" s="1882"/>
      <c r="F15" s="1898" t="s">
        <v>2454</v>
      </c>
      <c r="G15" s="1882"/>
      <c r="H15" s="1882"/>
      <c r="I15" s="1885"/>
      <c r="J15" s="1856"/>
      <c r="K15" s="1856"/>
      <c r="L15" s="1856"/>
      <c r="M15" s="1856"/>
      <c r="N15" s="1856"/>
      <c r="O15" s="1856"/>
      <c r="P15" s="1856"/>
      <c r="Q15" s="1856"/>
      <c r="R15" s="1856"/>
    </row>
    <row r="16" spans="1:18" x14ac:dyDescent="0.3">
      <c r="A16" s="1899"/>
      <c r="B16" s="1893" t="s">
        <v>2564</v>
      </c>
      <c r="C16" s="1878">
        <f>IFERROR(SUMIF('BOOK KEEPING LEDGER'!G:G,B16,'BOOK KEEPING LEDGER'!I:I),0)</f>
        <v>1200</v>
      </c>
      <c r="D16" s="1885"/>
      <c r="E16" s="1882"/>
      <c r="F16" s="1898"/>
      <c r="G16" s="1900" t="s">
        <v>2455</v>
      </c>
      <c r="H16" s="1948">
        <f>C34/C30</f>
        <v>-1.1570213475650434E-3</v>
      </c>
      <c r="I16" s="1885"/>
      <c r="J16" s="1856"/>
      <c r="K16" s="1856"/>
      <c r="L16" s="1856"/>
      <c r="M16" s="1856"/>
      <c r="N16" s="1856"/>
      <c r="O16" s="1856"/>
      <c r="P16" s="1856"/>
      <c r="Q16" s="1856"/>
      <c r="R16" s="1856"/>
    </row>
    <row r="17" spans="1:18" x14ac:dyDescent="0.3">
      <c r="A17" s="1899"/>
      <c r="B17" s="1893" t="s">
        <v>2490</v>
      </c>
      <c r="C17" s="1878">
        <f>IFERROR(SUMIF('BOOK KEEPING LEDGER'!G:G,B17,'BOOK KEEPING LEDGER'!I:I),0)</f>
        <v>60000</v>
      </c>
      <c r="D17" s="1885"/>
      <c r="E17" s="1882"/>
      <c r="F17" s="1898"/>
      <c r="G17" s="1882"/>
      <c r="H17" s="1882"/>
      <c r="I17" s="1885"/>
      <c r="J17" s="1856"/>
      <c r="K17" s="1856"/>
      <c r="L17" s="1856"/>
      <c r="M17" s="1856"/>
      <c r="N17" s="1856"/>
      <c r="O17" s="1856"/>
      <c r="P17" s="1856"/>
      <c r="Q17" s="1856"/>
      <c r="R17" s="1856"/>
    </row>
    <row r="18" spans="1:18" x14ac:dyDescent="0.3">
      <c r="A18" s="1899"/>
      <c r="B18" s="1893" t="s">
        <v>2572</v>
      </c>
      <c r="C18" s="1878">
        <f>IFERROR(SUMIF('BOOK KEEPING LEDGER'!G:G,B18,'BOOK KEEPING LEDGER'!H:H),0)</f>
        <v>-19068</v>
      </c>
      <c r="D18" s="1885"/>
      <c r="E18" s="1882"/>
      <c r="F18" s="1898" t="s">
        <v>2456</v>
      </c>
      <c r="G18" s="1882"/>
      <c r="H18" s="1882"/>
      <c r="I18" s="1885"/>
      <c r="J18" s="1856"/>
      <c r="K18" s="1856"/>
      <c r="L18" s="1856"/>
      <c r="M18" s="1856"/>
      <c r="N18" s="1856"/>
      <c r="O18" s="1856"/>
      <c r="P18" s="1856"/>
      <c r="Q18" s="1856"/>
      <c r="R18" s="1856"/>
    </row>
    <row r="19" spans="1:18" x14ac:dyDescent="0.3">
      <c r="A19" s="1899"/>
      <c r="B19" s="1890" t="s">
        <v>2516</v>
      </c>
      <c r="C19" s="1878">
        <f>IFERROR(SUMIF('BOOK KEEPING LEDGER'!G:G,B19,'BOOK KEEPING LEDGER'!I:I),0)</f>
        <v>205000</v>
      </c>
      <c r="D19" s="1885"/>
      <c r="E19" s="1882"/>
      <c r="F19" s="1898"/>
      <c r="G19" s="1900" t="s">
        <v>2458</v>
      </c>
      <c r="H19" s="1948">
        <f>(C35+C36+C37+C38+C39)/C30</f>
        <v>-0.3671597731821214</v>
      </c>
      <c r="I19" s="1885"/>
      <c r="J19" s="1856"/>
      <c r="K19" s="1856"/>
      <c r="L19" s="1856"/>
      <c r="M19" s="1856"/>
      <c r="N19" s="1856"/>
      <c r="O19" s="1856"/>
      <c r="P19" s="1856"/>
      <c r="Q19" s="1856"/>
      <c r="R19" s="1856"/>
    </row>
    <row r="20" spans="1:18" x14ac:dyDescent="0.3">
      <c r="A20" s="1899"/>
      <c r="B20" s="1892" t="s">
        <v>2517</v>
      </c>
      <c r="C20" s="1878">
        <f>IFERROR(SUMIF('BOOK KEEPING LEDGER'!G:G,B20,'BOOK KEEPING LEDGER'!I:I),0)</f>
        <v>74040</v>
      </c>
      <c r="D20" s="1885"/>
      <c r="E20" s="1882"/>
      <c r="F20" s="1898"/>
      <c r="G20" s="1902" t="s">
        <v>2460</v>
      </c>
      <c r="H20" s="1882"/>
      <c r="I20" s="1885"/>
      <c r="J20" s="1856"/>
      <c r="K20" s="1856"/>
      <c r="L20" s="1856"/>
      <c r="M20" s="1856"/>
      <c r="N20" s="1856"/>
      <c r="O20" s="1856"/>
      <c r="P20" s="1856"/>
      <c r="Q20" s="1856"/>
      <c r="R20" s="1856"/>
    </row>
    <row r="21" spans="1:18" ht="15" thickBot="1" x14ac:dyDescent="0.35">
      <c r="A21" s="1899"/>
      <c r="B21" s="1893" t="s">
        <v>2486</v>
      </c>
      <c r="C21" s="1878">
        <f>IFERROR(SUMIF('BOOK KEEPING LEDGER'!G:G,B21,'BOOK KEEPING LEDGER'!I:I),0)</f>
        <v>18520</v>
      </c>
      <c r="D21" s="1885"/>
      <c r="E21" s="1882"/>
      <c r="F21" s="1898"/>
      <c r="G21" s="1882"/>
      <c r="H21" s="1882"/>
      <c r="I21" s="1885"/>
      <c r="J21" s="1856"/>
      <c r="K21" s="1856"/>
      <c r="L21" s="1856"/>
      <c r="M21" s="1856"/>
      <c r="N21" s="1856"/>
      <c r="O21" s="1856"/>
      <c r="P21" s="1856"/>
      <c r="Q21" s="1856"/>
      <c r="R21" s="1856"/>
    </row>
    <row r="22" spans="1:18" ht="15" thickTop="1" x14ac:dyDescent="0.3">
      <c r="A22" s="1896"/>
      <c r="B22" s="1883" t="s">
        <v>2453</v>
      </c>
      <c r="C22" s="1881">
        <f>SUM(C12:C17)</f>
        <v>474300</v>
      </c>
      <c r="D22" s="1885"/>
      <c r="E22" s="1882"/>
      <c r="F22" s="1898" t="s">
        <v>2461</v>
      </c>
      <c r="G22" s="1882"/>
      <c r="H22" s="1882"/>
      <c r="I22" s="1885"/>
      <c r="J22" s="1856"/>
      <c r="K22" s="1856"/>
      <c r="L22" s="1856"/>
      <c r="M22" s="1856"/>
      <c r="N22" s="1856"/>
      <c r="O22" s="1856"/>
      <c r="P22" s="1856"/>
      <c r="Q22" s="1856"/>
      <c r="R22" s="1856"/>
    </row>
    <row r="23" spans="1:18" x14ac:dyDescent="0.3">
      <c r="A23" s="1896" t="s">
        <v>2556</v>
      </c>
      <c r="B23" s="1882"/>
      <c r="C23" s="1879"/>
      <c r="D23" s="1885"/>
      <c r="E23" s="1882"/>
      <c r="F23" s="1898"/>
      <c r="G23" s="1900" t="s">
        <v>2463</v>
      </c>
      <c r="H23" s="1948">
        <f>C76/C78</f>
        <v>0.33093109124071357</v>
      </c>
      <c r="I23" s="1885"/>
      <c r="J23" s="1856"/>
      <c r="K23" s="1856"/>
      <c r="L23" s="1856"/>
      <c r="M23" s="1856"/>
      <c r="N23" s="1856"/>
      <c r="O23" s="1856"/>
      <c r="P23" s="1856"/>
      <c r="Q23" s="1856"/>
      <c r="R23" s="1856"/>
    </row>
    <row r="24" spans="1:18" x14ac:dyDescent="0.3">
      <c r="A24" s="1899"/>
      <c r="B24" s="1893" t="s">
        <v>2502</v>
      </c>
      <c r="C24" s="1878">
        <f>IFERROR(SUMIF('BOOK KEEPING LEDGER'!G:G,B24,'BOOK KEEPING LEDGER'!I:I),0)</f>
        <v>600</v>
      </c>
      <c r="D24" s="1885"/>
      <c r="E24" s="1882"/>
      <c r="F24" s="1898"/>
      <c r="G24" s="1902" t="s">
        <v>2460</v>
      </c>
      <c r="H24" s="1882"/>
      <c r="I24" s="1885"/>
      <c r="J24" s="1856"/>
      <c r="K24" s="1856"/>
      <c r="L24" s="1856"/>
      <c r="M24" s="1856"/>
      <c r="N24" s="1856"/>
      <c r="O24" s="1856"/>
      <c r="P24" s="1856"/>
      <c r="Q24" s="1856"/>
      <c r="R24" s="1856"/>
    </row>
    <row r="25" spans="1:18" x14ac:dyDescent="0.3">
      <c r="A25" s="1899"/>
      <c r="B25" s="1893" t="s">
        <v>2503</v>
      </c>
      <c r="C25" s="1878">
        <f>IFERROR(SUMIF('BOOK KEEPING LEDGER'!G:G,B25,'BOOK KEEPING LEDGER'!I:I),0)</f>
        <v>1200</v>
      </c>
      <c r="D25" s="1885"/>
      <c r="E25" s="1882"/>
      <c r="F25" s="1898"/>
      <c r="G25" s="1902"/>
      <c r="H25" s="1882"/>
      <c r="I25" s="1885"/>
      <c r="J25" s="1856"/>
      <c r="K25" s="1856"/>
      <c r="L25" s="1856"/>
      <c r="M25" s="1856"/>
      <c r="N25" s="1856"/>
      <c r="O25" s="1856"/>
      <c r="P25" s="1856"/>
      <c r="Q25" s="1856"/>
      <c r="R25" s="1856"/>
    </row>
    <row r="26" spans="1:18" x14ac:dyDescent="0.3">
      <c r="A26" s="1899"/>
      <c r="B26" s="1892" t="s">
        <v>2504</v>
      </c>
      <c r="C26" s="1878">
        <f>IFERROR(SUMIF('BOOK KEEPING LEDGER'!G:G,B26,'BOOK KEEPING LEDGER'!I:I),0)</f>
        <v>2000</v>
      </c>
      <c r="D26" s="1885"/>
      <c r="E26" s="1882"/>
      <c r="F26" s="1898" t="s">
        <v>2464</v>
      </c>
      <c r="G26" s="1882"/>
      <c r="H26" s="1882"/>
      <c r="I26" s="1885"/>
      <c r="J26" s="1856"/>
      <c r="K26" s="1856"/>
      <c r="L26" s="1856"/>
      <c r="M26" s="1856"/>
      <c r="N26" s="1856"/>
      <c r="O26" s="1856"/>
      <c r="P26" s="1856"/>
      <c r="Q26" s="1856"/>
      <c r="R26" s="1856"/>
    </row>
    <row r="27" spans="1:18" x14ac:dyDescent="0.3">
      <c r="A27" s="1899"/>
      <c r="B27" s="1892" t="s">
        <v>2554</v>
      </c>
      <c r="C27" s="1878">
        <f>IFERROR(SUMIF('BOOK KEEPING LEDGER'!G:G,B27,'BOOK KEEPING LEDGER'!I:I),0)</f>
        <v>2000</v>
      </c>
      <c r="D27" s="1885"/>
      <c r="E27" s="1882"/>
      <c r="F27" s="1898"/>
      <c r="G27" s="1900" t="s">
        <v>2465</v>
      </c>
      <c r="H27" s="1948">
        <f>((C29+C22)*12)/C80</f>
        <v>9.5365691489361701</v>
      </c>
      <c r="I27" s="1885"/>
      <c r="J27" s="1856"/>
      <c r="K27" s="1856"/>
      <c r="L27" s="1856"/>
      <c r="M27" s="1856"/>
      <c r="N27" s="1856"/>
      <c r="O27" s="1856"/>
      <c r="P27" s="1856"/>
      <c r="Q27" s="1856"/>
      <c r="R27" s="1856"/>
    </row>
    <row r="28" spans="1:18" x14ac:dyDescent="0.3">
      <c r="A28" s="1899"/>
      <c r="B28" s="1892" t="s">
        <v>2553</v>
      </c>
      <c r="C28" s="1878">
        <f>IFERROR(SUMIF('BOOK KEEPING LEDGER'!G:G,B28,'BOOK KEEPING LEDGER'!I:I),0)</f>
        <v>2000</v>
      </c>
      <c r="D28" s="1885"/>
      <c r="E28" s="1882"/>
      <c r="F28" s="1898"/>
      <c r="G28" s="1902" t="s">
        <v>2449</v>
      </c>
      <c r="H28" s="1882"/>
      <c r="I28" s="1885"/>
      <c r="J28" s="1856"/>
      <c r="K28" s="1856"/>
      <c r="L28" s="1856"/>
      <c r="M28" s="1856"/>
      <c r="N28" s="1856"/>
      <c r="O28" s="1856"/>
      <c r="P28" s="1856"/>
      <c r="Q28" s="1856"/>
      <c r="R28" s="1856"/>
    </row>
    <row r="29" spans="1:18" x14ac:dyDescent="0.3">
      <c r="A29" s="1896"/>
      <c r="B29" s="1883" t="s">
        <v>2457</v>
      </c>
      <c r="C29" s="1879">
        <f>SUM(C24:C26)</f>
        <v>3800</v>
      </c>
      <c r="D29" s="1885"/>
      <c r="E29" s="1882"/>
      <c r="F29" s="1898"/>
      <c r="G29" s="1882"/>
      <c r="H29" s="1882"/>
      <c r="I29" s="1885"/>
      <c r="J29" s="1856"/>
      <c r="K29" s="1856"/>
      <c r="L29" s="1856"/>
      <c r="M29" s="1856"/>
      <c r="N29" s="1856"/>
      <c r="O29" s="1856"/>
      <c r="P29" s="1856"/>
      <c r="Q29" s="1856"/>
      <c r="R29" s="1856"/>
    </row>
    <row r="30" spans="1:18" x14ac:dyDescent="0.3">
      <c r="A30" s="1896" t="s">
        <v>2459</v>
      </c>
      <c r="B30" s="1882"/>
      <c r="C30" s="1880">
        <f>C29+C22+C10</f>
        <v>599600</v>
      </c>
      <c r="D30" s="1885"/>
      <c r="E30" s="1882"/>
      <c r="F30" s="1898" t="s">
        <v>2466</v>
      </c>
      <c r="G30" s="1882"/>
      <c r="H30" s="1882"/>
      <c r="I30" s="1885"/>
      <c r="J30" s="1856"/>
      <c r="K30" s="1856"/>
      <c r="L30" s="1856"/>
      <c r="M30" s="1856"/>
      <c r="N30" s="1856"/>
      <c r="O30" s="1856"/>
      <c r="P30" s="1856"/>
      <c r="Q30" s="1856"/>
      <c r="R30" s="1856"/>
    </row>
    <row r="31" spans="1:18" x14ac:dyDescent="0.3">
      <c r="A31" s="1896"/>
      <c r="B31" s="1882"/>
      <c r="C31" s="1879"/>
      <c r="D31" s="1885"/>
      <c r="E31" s="1882"/>
      <c r="F31" s="1898"/>
      <c r="G31" s="1900" t="s">
        <v>2468</v>
      </c>
      <c r="H31" s="1878">
        <f>C80/C52</f>
        <v>-1.4403621016693093</v>
      </c>
      <c r="I31" s="1885"/>
      <c r="J31" s="1856"/>
      <c r="K31" s="1856"/>
      <c r="L31" s="1856"/>
      <c r="M31" s="1856"/>
      <c r="N31" s="1856"/>
      <c r="O31" s="1856"/>
      <c r="P31" s="1856"/>
      <c r="Q31" s="1856"/>
      <c r="R31" s="1856"/>
    </row>
    <row r="32" spans="1:18" x14ac:dyDescent="0.3">
      <c r="A32" s="2496" t="s">
        <v>434</v>
      </c>
      <c r="B32" s="2490"/>
      <c r="C32" s="2490"/>
      <c r="D32" s="2497"/>
      <c r="E32" s="1882"/>
      <c r="F32" s="1898"/>
      <c r="G32" s="1902" t="s">
        <v>2469</v>
      </c>
      <c r="H32" s="1882"/>
      <c r="I32" s="1885"/>
      <c r="J32" s="1856"/>
      <c r="K32" s="1856"/>
      <c r="L32" s="1856"/>
      <c r="M32" s="1856"/>
      <c r="N32" s="1856"/>
      <c r="O32" s="1856"/>
      <c r="P32" s="1856"/>
      <c r="Q32" s="1856"/>
      <c r="R32" s="1856"/>
    </row>
    <row r="33" spans="1:18" ht="15" thickBot="1" x14ac:dyDescent="0.35">
      <c r="A33" s="1896" t="s">
        <v>2462</v>
      </c>
      <c r="B33" s="1882"/>
      <c r="C33" s="1897"/>
      <c r="D33" s="1885"/>
      <c r="E33" s="1882"/>
      <c r="F33" s="1905"/>
      <c r="G33" s="1906"/>
      <c r="H33" s="1906"/>
      <c r="I33" s="1908"/>
      <c r="J33" s="1856"/>
      <c r="K33" s="1856"/>
      <c r="L33" s="1856"/>
      <c r="M33" s="1856"/>
      <c r="N33" s="1856"/>
      <c r="O33" s="1856"/>
      <c r="P33" s="1856"/>
      <c r="Q33" s="1856"/>
      <c r="R33" s="1856"/>
    </row>
    <row r="34" spans="1:18" x14ac:dyDescent="0.3">
      <c r="A34" s="1899"/>
      <c r="B34" s="1890" t="s">
        <v>2591</v>
      </c>
      <c r="C34" s="1878">
        <f>IFERROR(SUMIF('BOOK KEEPING LEDGER'!G:G,B34,'BOOK KEEPING LEDGER'!H:H),0)</f>
        <v>-693.75</v>
      </c>
      <c r="D34" s="1885"/>
      <c r="E34" s="1882"/>
      <c r="F34" s="1856"/>
      <c r="G34" s="1856"/>
      <c r="H34" s="1856"/>
      <c r="I34" s="1856"/>
      <c r="J34" s="1856"/>
      <c r="K34" s="1856"/>
      <c r="L34" s="1856"/>
      <c r="M34" s="1856"/>
      <c r="N34" s="1856"/>
      <c r="O34" s="1856"/>
      <c r="P34" s="1856"/>
      <c r="Q34" s="1856"/>
      <c r="R34" s="1856"/>
    </row>
    <row r="35" spans="1:18" x14ac:dyDescent="0.3">
      <c r="A35" s="1899"/>
      <c r="B35" s="1892" t="s">
        <v>2491</v>
      </c>
      <c r="C35" s="1878">
        <f>IFERROR(SUMIF('BOOK KEEPING LEDGER'!G:G,B35,'BOOK KEEPING LEDGER'!H:H),0)</f>
        <v>-9000</v>
      </c>
      <c r="D35" s="1885"/>
      <c r="E35" s="1882"/>
      <c r="F35" s="1856"/>
      <c r="G35" s="1856"/>
      <c r="H35" s="1856"/>
      <c r="I35" s="1856"/>
      <c r="J35" s="1856"/>
      <c r="K35" s="1856"/>
      <c r="L35" s="1856"/>
      <c r="M35" s="1856"/>
      <c r="N35" s="1856"/>
      <c r="O35" s="1856"/>
      <c r="P35" s="1856"/>
      <c r="Q35" s="1856"/>
      <c r="R35" s="1856"/>
    </row>
    <row r="36" spans="1:18" x14ac:dyDescent="0.3">
      <c r="A36" s="1899"/>
      <c r="B36" s="1890" t="s">
        <v>2492</v>
      </c>
      <c r="C36" s="1878">
        <f>IFERROR(SUMIF('BOOK KEEPING LEDGER'!G:G,B36,'BOOK KEEPING LEDGER'!H:H),0)</f>
        <v>-198000</v>
      </c>
      <c r="D36" s="1885"/>
      <c r="E36" s="1856"/>
      <c r="F36" s="1856"/>
      <c r="G36" s="1856"/>
      <c r="H36" s="1856"/>
      <c r="I36" s="1856"/>
      <c r="J36" s="1856"/>
      <c r="K36" s="1856"/>
      <c r="L36" s="1856"/>
      <c r="M36" s="1856"/>
      <c r="N36" s="1856"/>
      <c r="O36" s="1856"/>
      <c r="P36" s="1856"/>
      <c r="Q36" s="1856"/>
      <c r="R36" s="1856"/>
    </row>
    <row r="37" spans="1:18" x14ac:dyDescent="0.3">
      <c r="A37" s="1899"/>
      <c r="B37" s="1893" t="s">
        <v>2493</v>
      </c>
      <c r="C37" s="1878">
        <f>IFERROR(SUMIF('BOOK KEEPING LEDGER'!G:G,B37,'BOOK KEEPING LEDGER'!H:H),0)</f>
        <v>-1223</v>
      </c>
      <c r="D37" s="1885"/>
      <c r="E37" s="1856"/>
      <c r="F37" s="1856"/>
      <c r="G37" s="1856"/>
      <c r="H37" s="1856"/>
      <c r="I37" s="1856"/>
      <c r="J37" s="1856"/>
      <c r="K37" s="1856"/>
      <c r="L37" s="1856"/>
      <c r="M37" s="1856"/>
      <c r="N37" s="1856"/>
      <c r="O37" s="1856"/>
      <c r="P37" s="1856"/>
      <c r="Q37" s="1856"/>
      <c r="R37" s="1856"/>
    </row>
    <row r="38" spans="1:18" x14ac:dyDescent="0.3">
      <c r="A38" s="1899"/>
      <c r="B38" s="1893" t="s">
        <v>2519</v>
      </c>
      <c r="C38" s="1878">
        <f>IFERROR(SUMIF('BOOK KEEPING LEDGER'!G:G,B38,'BOOK KEEPING LEDGER'!H:H),0)</f>
        <v>-9946</v>
      </c>
      <c r="D38" s="1885"/>
      <c r="E38" s="1856"/>
      <c r="F38" s="1856"/>
      <c r="G38" s="1856"/>
      <c r="H38" s="1856"/>
      <c r="I38" s="1856"/>
      <c r="J38" s="1856"/>
      <c r="K38" s="1856"/>
      <c r="L38" s="1856"/>
      <c r="M38" s="1856"/>
      <c r="N38" s="1856"/>
      <c r="O38" s="1856"/>
      <c r="P38" s="1856"/>
      <c r="Q38" s="1856"/>
      <c r="R38" s="1856"/>
    </row>
    <row r="39" spans="1:18" x14ac:dyDescent="0.3">
      <c r="A39" s="1899"/>
      <c r="B39" s="1893" t="s">
        <v>2494</v>
      </c>
      <c r="C39" s="1878">
        <f>IFERROR(SUMIF('BOOK KEEPING LEDGER'!G:G,B39,'BOOK KEEPING LEDGER'!H:H),0)</f>
        <v>-1980</v>
      </c>
      <c r="D39" s="1885"/>
      <c r="E39" s="1856"/>
      <c r="F39" s="1856"/>
      <c r="G39" s="1856"/>
      <c r="H39" s="1856"/>
      <c r="I39" s="1856"/>
      <c r="J39" s="1856"/>
      <c r="K39" s="1856"/>
      <c r="L39" s="1856"/>
      <c r="M39" s="1856"/>
      <c r="N39" s="1856"/>
      <c r="O39" s="1856"/>
      <c r="P39" s="1856"/>
      <c r="Q39" s="1856"/>
      <c r="R39" s="1856"/>
    </row>
    <row r="40" spans="1:18" x14ac:dyDescent="0.3">
      <c r="A40" s="1899"/>
      <c r="B40" s="1893" t="s">
        <v>2588</v>
      </c>
      <c r="C40" s="1878">
        <f>IFERROR(SUMIF('BOOK KEEPING LEDGER'!G:G,B40,'BOOK KEEPING LEDGER'!H:H),0)</f>
        <v>-1200</v>
      </c>
      <c r="D40" s="1885"/>
      <c r="E40" s="1856"/>
      <c r="F40" s="1856"/>
      <c r="G40" s="1856"/>
      <c r="H40" s="1856"/>
      <c r="I40" s="1856"/>
      <c r="J40" s="1856"/>
      <c r="K40" s="1856"/>
      <c r="L40" s="1856"/>
      <c r="M40" s="1856"/>
      <c r="N40" s="1856"/>
      <c r="O40" s="1856"/>
      <c r="P40" s="1856"/>
      <c r="Q40" s="1856"/>
      <c r="R40" s="1856"/>
    </row>
    <row r="41" spans="1:18" x14ac:dyDescent="0.3">
      <c r="A41" s="1899"/>
      <c r="B41" s="1893" t="s">
        <v>2495</v>
      </c>
      <c r="C41" s="1878">
        <f>IFERROR(SUMIF('BOOK KEEPING LEDGER'!G:G,B41,'BOOK KEEPING LEDGER'!H:H),0)</f>
        <v>-4850</v>
      </c>
      <c r="D41" s="1885"/>
      <c r="E41" s="1856"/>
      <c r="F41" s="1856"/>
      <c r="G41" s="1856"/>
      <c r="H41" s="1856"/>
      <c r="I41" s="1856"/>
      <c r="J41" s="1856"/>
      <c r="K41" s="1856"/>
      <c r="L41" s="1856"/>
      <c r="M41" s="1856"/>
      <c r="N41" s="1856"/>
      <c r="O41" s="1856"/>
      <c r="P41" s="1856"/>
      <c r="Q41" s="1856"/>
      <c r="R41" s="1856"/>
    </row>
    <row r="42" spans="1:18" x14ac:dyDescent="0.3">
      <c r="A42" s="1899"/>
      <c r="B42" s="1893" t="s">
        <v>2467</v>
      </c>
      <c r="C42" s="1878">
        <f>IFERROR(SUMIF('BOOK KEEPING LEDGER'!G:G,B42,'BOOK KEEPING LEDGER'!H:H),0)</f>
        <v>-616</v>
      </c>
      <c r="D42" s="1885"/>
      <c r="E42" s="1856"/>
      <c r="F42" s="1856"/>
      <c r="G42" s="1856"/>
      <c r="H42" s="1856"/>
      <c r="I42" s="1856"/>
      <c r="J42" s="1856"/>
      <c r="K42" s="1856"/>
      <c r="L42" s="1856"/>
      <c r="M42" s="1856"/>
      <c r="N42" s="1856"/>
      <c r="O42" s="1856"/>
      <c r="P42" s="1856"/>
      <c r="Q42" s="1856"/>
      <c r="R42" s="1856"/>
    </row>
    <row r="43" spans="1:18" x14ac:dyDescent="0.3">
      <c r="A43" s="1899"/>
      <c r="B43" s="1893" t="s">
        <v>2546</v>
      </c>
      <c r="C43" s="1878">
        <f>IFERROR(SUMIF('BOOK KEEPING LEDGER'!G:G,B43,'BOOK KEEPING LEDGER'!H:H),0)</f>
        <v>-96698</v>
      </c>
      <c r="D43" s="1885"/>
      <c r="E43" s="1856"/>
      <c r="F43" s="1856"/>
      <c r="G43" s="1856"/>
      <c r="H43" s="1856"/>
      <c r="I43" s="1856"/>
      <c r="J43" s="1856"/>
      <c r="K43" s="1856"/>
      <c r="L43" s="1856"/>
      <c r="M43" s="1856"/>
      <c r="N43" s="1856"/>
      <c r="O43" s="1856"/>
      <c r="P43" s="1856"/>
      <c r="Q43" s="1856"/>
      <c r="R43" s="1856"/>
    </row>
    <row r="44" spans="1:18" x14ac:dyDescent="0.3">
      <c r="A44" s="1899"/>
      <c r="B44" s="1893" t="s">
        <v>2514</v>
      </c>
      <c r="C44" s="1878">
        <f>IFERROR(SUMIF('BOOK KEEPING LEDGER'!G:G,B44,'BOOK KEEPING LEDGER'!H:H),0)</f>
        <v>-1100</v>
      </c>
      <c r="D44" s="1885"/>
      <c r="E44" s="1856"/>
      <c r="F44" s="1856"/>
      <c r="G44" s="1856"/>
      <c r="H44" s="1856"/>
      <c r="I44" s="1856"/>
      <c r="J44" s="1856"/>
      <c r="K44" s="1856"/>
      <c r="L44" s="1856"/>
      <c r="M44" s="1856"/>
      <c r="N44" s="1856"/>
      <c r="O44" s="1856"/>
      <c r="P44" s="1856"/>
      <c r="Q44" s="1856"/>
      <c r="R44" s="1856"/>
    </row>
    <row r="45" spans="1:18" x14ac:dyDescent="0.3">
      <c r="A45" s="1899"/>
      <c r="B45" s="1893" t="s">
        <v>2515</v>
      </c>
      <c r="C45" s="1878">
        <f>IFERROR(SUMIF('BOOK KEEPING LEDGER'!G:G,B45,'BOOK KEEPING LEDGER'!H:H),0)</f>
        <v>-1500</v>
      </c>
      <c r="D45" s="1885"/>
      <c r="E45" s="1856"/>
      <c r="F45" s="1856"/>
      <c r="G45" s="1856"/>
      <c r="H45" s="1856"/>
      <c r="I45" s="1856"/>
      <c r="J45" s="1856"/>
      <c r="K45" s="1856"/>
      <c r="L45" s="1856"/>
      <c r="M45" s="1856"/>
      <c r="N45" s="1856"/>
      <c r="O45" s="1856"/>
      <c r="P45" s="1856"/>
      <c r="Q45" s="1856"/>
      <c r="R45" s="1856"/>
    </row>
    <row r="46" spans="1:18" x14ac:dyDescent="0.3">
      <c r="A46" s="1899"/>
      <c r="B46" s="1893" t="s">
        <v>2496</v>
      </c>
      <c r="C46" s="1878">
        <f>IFERROR(SUMIF('BOOK KEEPING LEDGER'!G:G,B46,'BOOK KEEPING LEDGER'!H:H),0)</f>
        <v>-1000</v>
      </c>
      <c r="D46" s="1885"/>
      <c r="E46" s="1882"/>
      <c r="F46" s="1882"/>
      <c r="G46" s="1882"/>
      <c r="H46" s="1882"/>
      <c r="I46" s="1882"/>
      <c r="J46" s="1856"/>
      <c r="K46" s="1856"/>
      <c r="L46" s="1856"/>
      <c r="M46" s="1856"/>
      <c r="N46" s="1856"/>
      <c r="O46" s="1856"/>
      <c r="P46" s="1856"/>
      <c r="Q46" s="1856"/>
      <c r="R46" s="1856"/>
    </row>
    <row r="47" spans="1:18" x14ac:dyDescent="0.3">
      <c r="A47" s="1899"/>
      <c r="B47" s="1893" t="s">
        <v>2497</v>
      </c>
      <c r="C47" s="1878">
        <f>IFERROR(SUMIF('BOOK KEEPING LEDGER'!G:G,B47,'BOOK KEEPING LEDGER'!H:H),0)</f>
        <v>-500</v>
      </c>
      <c r="D47" s="1885"/>
      <c r="E47" s="1882"/>
      <c r="F47" s="1882"/>
      <c r="G47" s="1882"/>
      <c r="H47" s="1882"/>
      <c r="I47" s="1882"/>
      <c r="J47" s="1856"/>
      <c r="K47" s="1856"/>
      <c r="L47" s="1856"/>
      <c r="M47" s="1856"/>
      <c r="N47" s="1856"/>
      <c r="O47" s="1856"/>
      <c r="P47" s="1856"/>
      <c r="Q47" s="1856"/>
      <c r="R47" s="1856"/>
    </row>
    <row r="48" spans="1:18" x14ac:dyDescent="0.3">
      <c r="A48" s="1899"/>
      <c r="B48" s="1893" t="s">
        <v>2498</v>
      </c>
      <c r="C48" s="1878">
        <f>IFERROR(SUMIF('BOOK KEEPING LEDGER'!G:G,B48,'BOOK KEEPING LEDGER'!H:H),0)</f>
        <v>-21531</v>
      </c>
      <c r="D48" s="1885"/>
      <c r="E48" s="1882"/>
      <c r="F48" s="1882"/>
      <c r="G48" s="1882"/>
      <c r="H48" s="1882"/>
      <c r="I48" s="1882"/>
      <c r="J48" s="1856"/>
      <c r="K48" s="1856"/>
      <c r="L48" s="1856"/>
      <c r="M48" s="1856"/>
      <c r="N48" s="1856"/>
      <c r="O48" s="1856"/>
      <c r="P48" s="1856"/>
      <c r="Q48" s="1856"/>
      <c r="R48" s="1856"/>
    </row>
    <row r="49" spans="1:18" x14ac:dyDescent="0.3">
      <c r="A49" s="1899"/>
      <c r="B49" s="1893" t="s">
        <v>2499</v>
      </c>
      <c r="C49" s="1878">
        <f>IFERROR(SUMIF('BOOK KEEPING LEDGER'!G:G,B49,'BOOK KEEPING LEDGER'!H:H),0)</f>
        <v>0</v>
      </c>
      <c r="D49" s="1885"/>
      <c r="E49" s="1882"/>
      <c r="F49" s="1882"/>
      <c r="G49" s="1882"/>
      <c r="H49" s="1882"/>
      <c r="I49" s="1882"/>
      <c r="J49" s="1856"/>
      <c r="K49" s="1856"/>
      <c r="L49" s="1856"/>
      <c r="M49" s="1856"/>
      <c r="N49" s="1856"/>
      <c r="O49" s="1856"/>
      <c r="P49" s="1856"/>
      <c r="Q49" s="1856"/>
      <c r="R49" s="1856"/>
    </row>
    <row r="50" spans="1:18" x14ac:dyDescent="0.3">
      <c r="A50" s="1899"/>
      <c r="B50" s="1893" t="s">
        <v>2500</v>
      </c>
      <c r="C50" s="1878">
        <f>IFERROR(SUMIF('BOOK KEEPING LEDGER'!G:G,B50,'BOOK KEEPING LEDGER'!H:H),0)</f>
        <v>-16600</v>
      </c>
      <c r="D50" s="1885"/>
      <c r="E50" s="1882"/>
      <c r="F50" s="1882"/>
      <c r="G50" s="1882"/>
      <c r="H50" s="1882"/>
      <c r="I50" s="1882"/>
      <c r="J50" s="1856"/>
      <c r="K50" s="1856"/>
      <c r="L50" s="1856"/>
      <c r="M50" s="1856"/>
      <c r="N50" s="1856"/>
      <c r="O50" s="1856"/>
      <c r="P50" s="1856"/>
      <c r="Q50" s="1856"/>
      <c r="R50" s="1856"/>
    </row>
    <row r="51" spans="1:18" x14ac:dyDescent="0.3">
      <c r="A51" s="1899"/>
      <c r="B51" s="1893" t="s">
        <v>2501</v>
      </c>
      <c r="C51" s="1878">
        <f>IFERROR(SUMIF('BOOK KEEPING LEDGER'!G:G,B51,'BOOK KEEPING LEDGER'!H:H),0)</f>
        <v>-51235</v>
      </c>
      <c r="D51" s="1885"/>
      <c r="E51" s="1882"/>
      <c r="F51" s="1882"/>
      <c r="G51" s="1882"/>
      <c r="H51" s="1882"/>
      <c r="I51" s="1882"/>
      <c r="J51" s="1856"/>
      <c r="K51" s="1856"/>
      <c r="L51" s="1856"/>
      <c r="M51" s="1856"/>
      <c r="N51" s="1856"/>
      <c r="O51" s="1856"/>
      <c r="P51" s="1856"/>
      <c r="Q51" s="1856"/>
      <c r="R51" s="1856"/>
    </row>
    <row r="52" spans="1:18" x14ac:dyDescent="0.3">
      <c r="A52" s="1896" t="s">
        <v>2470</v>
      </c>
      <c r="B52" s="1882"/>
      <c r="C52" s="1895">
        <f>SUM(C34:C51)</f>
        <v>-417672.75</v>
      </c>
      <c r="D52" s="1885"/>
      <c r="E52" s="1882"/>
      <c r="F52" s="1882"/>
      <c r="G52" s="1882"/>
      <c r="H52" s="1882"/>
      <c r="I52" s="1882"/>
      <c r="J52" s="1856"/>
      <c r="K52" s="1856"/>
      <c r="L52" s="1856"/>
      <c r="M52" s="1856"/>
      <c r="N52" s="1856"/>
      <c r="O52" s="1856"/>
      <c r="P52" s="1856"/>
      <c r="Q52" s="1856"/>
      <c r="R52" s="1856"/>
    </row>
    <row r="53" spans="1:18" x14ac:dyDescent="0.3">
      <c r="A53" s="1896"/>
      <c r="B53" s="1882"/>
      <c r="C53" s="1897"/>
      <c r="D53" s="1885"/>
      <c r="E53" s="1903"/>
      <c r="F53" s="1903"/>
      <c r="G53" s="1903"/>
      <c r="H53" s="1903"/>
      <c r="I53" s="1904"/>
      <c r="J53" s="2490" t="s">
        <v>2596</v>
      </c>
      <c r="K53" s="2490"/>
      <c r="L53" s="2490"/>
      <c r="M53" s="2490"/>
      <c r="N53" s="2490"/>
      <c r="O53" s="2490"/>
      <c r="P53" s="2490"/>
      <c r="Q53" s="2490"/>
      <c r="R53" s="2491"/>
    </row>
    <row r="54" spans="1:18" x14ac:dyDescent="0.3">
      <c r="A54" s="1896" t="s">
        <v>2471</v>
      </c>
      <c r="B54" s="1882"/>
      <c r="C54" s="1895">
        <f>C30-C52</f>
        <v>1017272.75</v>
      </c>
      <c r="D54" s="1885"/>
      <c r="E54" s="1882"/>
      <c r="F54" s="1883" t="s">
        <v>2474</v>
      </c>
      <c r="G54" s="1882"/>
      <c r="H54" s="1882"/>
      <c r="I54" s="1885"/>
      <c r="J54" s="1882"/>
      <c r="K54" s="1883" t="s">
        <v>2524</v>
      </c>
      <c r="L54" s="1882"/>
      <c r="M54" s="1882"/>
      <c r="N54" s="1884">
        <v>0.05</v>
      </c>
      <c r="O54" s="1884">
        <v>0.01</v>
      </c>
      <c r="P54" s="1884">
        <v>0.05</v>
      </c>
      <c r="Q54" s="1884">
        <v>0.05</v>
      </c>
      <c r="R54" s="1885"/>
    </row>
    <row r="55" spans="1:18" ht="15" thickBot="1" x14ac:dyDescent="0.35">
      <c r="A55" s="1905"/>
      <c r="B55" s="1906"/>
      <c r="C55" s="1907"/>
      <c r="D55" s="1908"/>
      <c r="E55" s="1882"/>
      <c r="F55" s="1889"/>
      <c r="G55" s="1893" t="s">
        <v>2505</v>
      </c>
      <c r="H55" s="1878">
        <f>SUM(C46:C47)</f>
        <v>-1500</v>
      </c>
      <c r="I55" s="1885"/>
      <c r="J55" s="1882"/>
      <c r="K55" s="2492" t="s">
        <v>1205</v>
      </c>
      <c r="L55" s="2492"/>
      <c r="M55" s="1887" t="s">
        <v>2527</v>
      </c>
      <c r="N55" s="1886" t="s">
        <v>2528</v>
      </c>
      <c r="O55" s="1886" t="s">
        <v>2529</v>
      </c>
      <c r="P55" s="1886" t="s">
        <v>2530</v>
      </c>
      <c r="Q55" s="1886" t="s">
        <v>2531</v>
      </c>
      <c r="R55" s="1888" t="s">
        <v>2532</v>
      </c>
    </row>
    <row r="56" spans="1:18" x14ac:dyDescent="0.3">
      <c r="A56" s="1882"/>
      <c r="B56" s="1882"/>
      <c r="C56" s="1897"/>
      <c r="D56" s="1885"/>
      <c r="E56" s="1882"/>
      <c r="F56" s="1889"/>
      <c r="G56" s="1893" t="s">
        <v>2506</v>
      </c>
      <c r="H56" s="1878">
        <f>SUM(C48:C49)</f>
        <v>-21531</v>
      </c>
      <c r="I56" s="1885"/>
      <c r="J56" s="1889"/>
      <c r="K56" s="1889"/>
      <c r="L56" s="1890" t="s">
        <v>2520</v>
      </c>
      <c r="M56" s="1878">
        <v>100000</v>
      </c>
      <c r="N56" s="1878">
        <f>M56*5%</f>
        <v>5000</v>
      </c>
      <c r="O56" s="1878">
        <f>M56*1%</f>
        <v>1000</v>
      </c>
      <c r="P56" s="1878">
        <f>M56*5%</f>
        <v>5000</v>
      </c>
      <c r="Q56" s="1878">
        <f>M56*5%</f>
        <v>5000</v>
      </c>
      <c r="R56" s="1891">
        <f>M56-N56-O56-P56-Q56</f>
        <v>84000</v>
      </c>
    </row>
    <row r="57" spans="1:18" x14ac:dyDescent="0.3">
      <c r="A57" s="2496" t="s">
        <v>2472</v>
      </c>
      <c r="B57" s="2490"/>
      <c r="C57" s="2490"/>
      <c r="D57" s="2490"/>
      <c r="E57" s="1882"/>
      <c r="F57" s="1889"/>
      <c r="G57" s="1893" t="s">
        <v>2507</v>
      </c>
      <c r="H57" s="1878">
        <f>SUM(C50:C51)</f>
        <v>-67835</v>
      </c>
      <c r="I57" s="1885"/>
      <c r="J57" s="1889"/>
      <c r="K57" s="1889"/>
      <c r="L57" s="1890" t="s">
        <v>2521</v>
      </c>
      <c r="M57" s="1878">
        <v>25000</v>
      </c>
      <c r="N57" s="1878">
        <f t="shared" ref="N57:N61" si="0">M57*5%</f>
        <v>1250</v>
      </c>
      <c r="O57" s="1878">
        <f t="shared" ref="O57:O61" si="1">M57*1%</f>
        <v>250</v>
      </c>
      <c r="P57" s="1878">
        <f t="shared" ref="P57:P61" si="2">M57*5%</f>
        <v>1250</v>
      </c>
      <c r="Q57" s="1878">
        <f t="shared" ref="Q57:Q61" si="3">M57*5%</f>
        <v>1250</v>
      </c>
      <c r="R57" s="1891">
        <f t="shared" ref="R57:R61" si="4">M57-N57-O57-P57-Q57</f>
        <v>21000</v>
      </c>
    </row>
    <row r="58" spans="1:18" x14ac:dyDescent="0.3">
      <c r="A58" s="1909" t="s">
        <v>2473</v>
      </c>
      <c r="B58" s="1882"/>
      <c r="C58" s="1897"/>
      <c r="D58" s="1885"/>
      <c r="E58" s="1882"/>
      <c r="F58" s="1889"/>
      <c r="G58" s="1893" t="s">
        <v>2508</v>
      </c>
      <c r="H58" s="1878">
        <f>C35+C36+C38+C39+C37</f>
        <v>-220149</v>
      </c>
      <c r="I58" s="1885"/>
      <c r="J58" s="1889"/>
      <c r="K58" s="1889"/>
      <c r="L58" s="1892" t="s">
        <v>2522</v>
      </c>
      <c r="M58" s="1878">
        <v>35000</v>
      </c>
      <c r="N58" s="1878">
        <f t="shared" si="0"/>
        <v>1750</v>
      </c>
      <c r="O58" s="1878">
        <f t="shared" si="1"/>
        <v>350</v>
      </c>
      <c r="P58" s="1878">
        <f t="shared" si="2"/>
        <v>1750</v>
      </c>
      <c r="Q58" s="1878">
        <f t="shared" si="3"/>
        <v>1750</v>
      </c>
      <c r="R58" s="1891">
        <f t="shared" si="4"/>
        <v>29400</v>
      </c>
    </row>
    <row r="59" spans="1:18" x14ac:dyDescent="0.3">
      <c r="A59" s="1899"/>
      <c r="B59" s="1892" t="s">
        <v>2559</v>
      </c>
      <c r="C59" s="1878">
        <f>C10</f>
        <v>121500</v>
      </c>
      <c r="D59" s="1885"/>
      <c r="E59" s="1882"/>
      <c r="F59" s="1889"/>
      <c r="G59" s="1893" t="s">
        <v>2509</v>
      </c>
      <c r="H59" s="1878">
        <f>SUM(C44:C45)</f>
        <v>-2600</v>
      </c>
      <c r="I59" s="1885"/>
      <c r="J59" s="1889"/>
      <c r="K59" s="1889"/>
      <c r="L59" s="1892" t="s">
        <v>2523</v>
      </c>
      <c r="M59" s="1878">
        <v>16000</v>
      </c>
      <c r="N59" s="1878">
        <f t="shared" si="0"/>
        <v>800</v>
      </c>
      <c r="O59" s="1878">
        <f t="shared" si="1"/>
        <v>160</v>
      </c>
      <c r="P59" s="1878">
        <f t="shared" si="2"/>
        <v>800</v>
      </c>
      <c r="Q59" s="1878">
        <f t="shared" si="3"/>
        <v>800</v>
      </c>
      <c r="R59" s="1891">
        <f t="shared" si="4"/>
        <v>13440</v>
      </c>
    </row>
    <row r="60" spans="1:18" x14ac:dyDescent="0.3">
      <c r="A60" s="1899"/>
      <c r="B60" s="1892" t="s">
        <v>2560</v>
      </c>
      <c r="C60" s="1878">
        <f>C24+C25+C13+C27</f>
        <v>4400</v>
      </c>
      <c r="D60" s="1885"/>
      <c r="E60" s="1945"/>
      <c r="F60" s="1889"/>
      <c r="G60" s="1893" t="s">
        <v>2510</v>
      </c>
      <c r="H60" s="1878">
        <f>C42+C41+C40+C39+C33</f>
        <v>-8646</v>
      </c>
      <c r="I60" s="1885"/>
      <c r="J60" s="1889"/>
      <c r="K60" s="1889"/>
      <c r="L60" s="1893" t="s">
        <v>2534</v>
      </c>
      <c r="M60" s="1878">
        <v>15000</v>
      </c>
      <c r="N60" s="1878">
        <f t="shared" si="0"/>
        <v>750</v>
      </c>
      <c r="O60" s="1878">
        <f t="shared" si="1"/>
        <v>150</v>
      </c>
      <c r="P60" s="1878">
        <f t="shared" si="2"/>
        <v>750</v>
      </c>
      <c r="Q60" s="1878">
        <f t="shared" si="3"/>
        <v>750</v>
      </c>
      <c r="R60" s="1891">
        <f t="shared" si="4"/>
        <v>12600</v>
      </c>
    </row>
    <row r="61" spans="1:18" x14ac:dyDescent="0.3">
      <c r="A61" s="1899"/>
      <c r="B61" s="1892" t="s">
        <v>2511</v>
      </c>
      <c r="C61" s="1878">
        <f>C26</f>
        <v>2000</v>
      </c>
      <c r="D61" s="1885"/>
      <c r="E61" s="1882"/>
      <c r="F61" s="1889"/>
      <c r="G61" s="1893" t="s">
        <v>2590</v>
      </c>
      <c r="H61" s="1878">
        <f>C34</f>
        <v>-693.75</v>
      </c>
      <c r="I61" s="1885"/>
      <c r="J61" s="1889"/>
      <c r="K61" s="1894"/>
      <c r="L61" s="1893" t="s">
        <v>2533</v>
      </c>
      <c r="M61" s="1878">
        <v>36000</v>
      </c>
      <c r="N61" s="1878">
        <f t="shared" si="0"/>
        <v>1800</v>
      </c>
      <c r="O61" s="1878">
        <f t="shared" si="1"/>
        <v>360</v>
      </c>
      <c r="P61" s="1878">
        <f t="shared" si="2"/>
        <v>1800</v>
      </c>
      <c r="Q61" s="1878">
        <f t="shared" si="3"/>
        <v>1800</v>
      </c>
      <c r="R61" s="1891">
        <f t="shared" si="4"/>
        <v>30240</v>
      </c>
    </row>
    <row r="62" spans="1:18" x14ac:dyDescent="0.3">
      <c r="A62" s="1899"/>
      <c r="B62" s="1893" t="s">
        <v>2562</v>
      </c>
      <c r="C62" s="1878">
        <f>C15</f>
        <v>16500</v>
      </c>
      <c r="D62" s="1885"/>
      <c r="E62" s="1882"/>
      <c r="F62" s="1889"/>
      <c r="G62" s="1890" t="s">
        <v>2602</v>
      </c>
      <c r="H62" s="1878"/>
      <c r="I62" s="1885"/>
      <c r="J62" s="1882"/>
      <c r="K62" s="1883" t="s">
        <v>2526</v>
      </c>
      <c r="L62" s="1883"/>
      <c r="M62" s="1895">
        <f>SUM(M56:M61)</f>
        <v>227000</v>
      </c>
      <c r="N62" s="1895"/>
      <c r="O62" s="1895"/>
      <c r="P62" s="1895"/>
      <c r="Q62" s="1895"/>
      <c r="R62" s="1885"/>
    </row>
    <row r="63" spans="1:18" x14ac:dyDescent="0.3">
      <c r="A63" s="1899"/>
      <c r="B63" s="1893" t="s">
        <v>2512</v>
      </c>
      <c r="C63" s="1878">
        <f>C12</f>
        <v>330000</v>
      </c>
      <c r="D63" s="1885"/>
      <c r="E63" s="1882"/>
      <c r="F63" s="1889"/>
      <c r="G63" s="1890" t="s">
        <v>2603</v>
      </c>
      <c r="H63" s="1878"/>
      <c r="I63" s="1885"/>
      <c r="J63" s="1882"/>
      <c r="K63" s="1882" t="s">
        <v>2538</v>
      </c>
      <c r="L63" s="1882"/>
      <c r="M63" s="1878">
        <f>-(SUM(R56:R61)*5%)</f>
        <v>-9534</v>
      </c>
      <c r="N63" s="2486" t="s">
        <v>2599</v>
      </c>
      <c r="O63" s="2486"/>
      <c r="P63" s="2486"/>
      <c r="Q63" s="2486"/>
      <c r="R63" s="2487"/>
    </row>
    <row r="64" spans="1:18" x14ac:dyDescent="0.3">
      <c r="A64" s="1899"/>
      <c r="B64" s="1910" t="s">
        <v>2475</v>
      </c>
      <c r="C64" s="1935"/>
      <c r="D64" s="1885"/>
      <c r="E64" s="1882"/>
      <c r="F64" s="1883" t="s">
        <v>2476</v>
      </c>
      <c r="G64" s="1883"/>
      <c r="H64" s="1895">
        <f>SUM(H55:H61)</f>
        <v>-322954.75</v>
      </c>
      <c r="I64" s="1885"/>
      <c r="J64" s="1882"/>
      <c r="K64" s="1882" t="s">
        <v>2537</v>
      </c>
      <c r="L64" s="1882"/>
      <c r="M64" s="1878">
        <f>C68</f>
        <v>-19068</v>
      </c>
      <c r="N64" s="2486"/>
      <c r="O64" s="2486"/>
      <c r="P64" s="2486"/>
      <c r="Q64" s="2486"/>
      <c r="R64" s="2487"/>
    </row>
    <row r="65" spans="1:18" x14ac:dyDescent="0.3">
      <c r="A65" s="1899"/>
      <c r="B65" s="1893" t="s">
        <v>2563</v>
      </c>
      <c r="C65" s="1878">
        <f>C14</f>
        <v>66000</v>
      </c>
      <c r="D65" s="1885"/>
      <c r="E65" s="1882"/>
      <c r="F65" s="1882"/>
      <c r="G65" s="1882"/>
      <c r="H65" s="1882"/>
      <c r="I65" s="1885"/>
      <c r="J65" s="1882"/>
      <c r="K65" s="1882"/>
      <c r="L65" s="1882"/>
      <c r="M65" s="1882"/>
      <c r="N65" s="1882"/>
      <c r="O65" s="1882"/>
      <c r="P65" s="1882"/>
      <c r="Q65" s="1882"/>
      <c r="R65" s="1885"/>
    </row>
    <row r="66" spans="1:18" ht="15" thickBot="1" x14ac:dyDescent="0.35">
      <c r="A66" s="1899"/>
      <c r="B66" s="1893" t="s">
        <v>2565</v>
      </c>
      <c r="C66" s="1878">
        <f>C16</f>
        <v>1200</v>
      </c>
      <c r="D66" s="1885"/>
      <c r="E66" s="1882"/>
      <c r="F66" s="1883" t="s">
        <v>2479</v>
      </c>
      <c r="G66" s="1883"/>
      <c r="H66" s="1911">
        <f>C78-H64</f>
        <v>1222114.75</v>
      </c>
      <c r="I66" s="1885"/>
      <c r="J66" s="1882"/>
      <c r="K66" s="1882"/>
      <c r="L66" s="1882"/>
      <c r="M66" s="1882"/>
      <c r="N66" s="1882"/>
      <c r="O66" s="1882"/>
      <c r="P66" s="1882"/>
      <c r="Q66" s="1882"/>
      <c r="R66" s="1885"/>
    </row>
    <row r="67" spans="1:18" ht="15" thickTop="1" x14ac:dyDescent="0.3">
      <c r="A67" s="1899"/>
      <c r="B67" s="1893" t="s">
        <v>2513</v>
      </c>
      <c r="C67" s="1878">
        <f>C17</f>
        <v>60000</v>
      </c>
      <c r="D67" s="1885"/>
      <c r="E67" s="1882"/>
      <c r="F67" s="1882"/>
      <c r="G67" s="1912" t="s">
        <v>2481</v>
      </c>
      <c r="H67" s="1897"/>
      <c r="I67" s="1885"/>
      <c r="J67" s="1882"/>
      <c r="K67" s="1882"/>
      <c r="L67" s="1882"/>
      <c r="M67" s="1882"/>
      <c r="N67" s="1882"/>
      <c r="O67" s="1882"/>
      <c r="P67" s="1882"/>
      <c r="Q67" s="1882"/>
      <c r="R67" s="1885"/>
    </row>
    <row r="68" spans="1:18" ht="15" thickBot="1" x14ac:dyDescent="0.35">
      <c r="A68" s="1899"/>
      <c r="B68" s="1893" t="s">
        <v>2574</v>
      </c>
      <c r="C68" s="1878">
        <f>C18</f>
        <v>-19068</v>
      </c>
      <c r="D68" s="1885"/>
      <c r="E68" s="1882"/>
      <c r="F68" s="1883" t="s">
        <v>2483</v>
      </c>
      <c r="G68" s="1883"/>
      <c r="H68" s="1911">
        <f>C80-H64</f>
        <v>924554.75</v>
      </c>
      <c r="I68" s="1885"/>
      <c r="J68" s="1882"/>
      <c r="K68" s="1882"/>
      <c r="L68" s="1882"/>
      <c r="M68" s="1882"/>
      <c r="N68" s="1882"/>
      <c r="O68" s="1882"/>
      <c r="P68" s="1882"/>
      <c r="Q68" s="1882"/>
      <c r="R68" s="1885"/>
    </row>
    <row r="69" spans="1:18" ht="15" thickTop="1" x14ac:dyDescent="0.3">
      <c r="A69" s="1899"/>
      <c r="B69" s="1893" t="s">
        <v>2566</v>
      </c>
      <c r="C69" s="1878">
        <f>C28</f>
        <v>2000</v>
      </c>
      <c r="D69" s="1885"/>
      <c r="E69" s="1882"/>
      <c r="F69" s="1882"/>
      <c r="G69" s="1912" t="s">
        <v>2485</v>
      </c>
      <c r="H69" s="1882"/>
      <c r="I69" s="1885"/>
      <c r="J69" s="1882"/>
      <c r="K69" s="1882"/>
      <c r="L69" s="1882"/>
      <c r="M69" s="1882"/>
      <c r="N69" s="1882"/>
      <c r="O69" s="1882"/>
      <c r="P69" s="1882"/>
      <c r="Q69" s="1882"/>
      <c r="R69" s="1885"/>
    </row>
    <row r="70" spans="1:18" ht="15" thickBot="1" x14ac:dyDescent="0.35">
      <c r="A70" s="1896" t="s">
        <v>2477</v>
      </c>
      <c r="B70" s="1883"/>
      <c r="C70" s="1895">
        <f>SUM(C59:C67)</f>
        <v>601600</v>
      </c>
      <c r="D70" s="1885"/>
      <c r="E70" s="1906"/>
      <c r="F70" s="1906"/>
      <c r="G70" s="1906"/>
      <c r="H70" s="1906"/>
      <c r="I70" s="1908"/>
      <c r="J70" s="1882"/>
      <c r="K70" s="1883"/>
      <c r="L70" s="1883"/>
      <c r="M70" s="1895"/>
      <c r="N70" s="1895"/>
      <c r="O70" s="1895"/>
      <c r="P70" s="1895"/>
      <c r="Q70" s="1895"/>
      <c r="R70" s="1885"/>
    </row>
    <row r="71" spans="1:18" x14ac:dyDescent="0.3">
      <c r="A71" s="1898"/>
      <c r="B71" s="1882"/>
      <c r="C71" s="1882"/>
      <c r="D71" s="1885"/>
      <c r="E71" s="1882"/>
      <c r="F71" s="23"/>
      <c r="G71" s="23"/>
      <c r="H71" s="23"/>
      <c r="I71" s="23"/>
      <c r="J71" s="1882"/>
      <c r="K71" s="1882"/>
      <c r="L71" s="1912"/>
      <c r="M71" s="1897"/>
      <c r="N71" s="1897"/>
      <c r="O71" s="1897"/>
      <c r="P71" s="1897"/>
      <c r="Q71" s="1897"/>
      <c r="R71" s="1885"/>
    </row>
    <row r="72" spans="1:18" x14ac:dyDescent="0.3">
      <c r="A72" s="1896" t="s">
        <v>2518</v>
      </c>
      <c r="B72" s="1882"/>
      <c r="C72" s="1882"/>
      <c r="D72" s="1885"/>
      <c r="E72" s="1882"/>
      <c r="F72" s="23"/>
      <c r="G72" s="23"/>
      <c r="H72" s="23"/>
      <c r="I72" s="23"/>
      <c r="J72" s="1882"/>
      <c r="K72" s="1883"/>
      <c r="L72" s="1883"/>
      <c r="M72" s="1895"/>
      <c r="N72" s="1895"/>
      <c r="O72" s="1895"/>
      <c r="P72" s="1895"/>
      <c r="Q72" s="1895"/>
      <c r="R72" s="1885"/>
    </row>
    <row r="73" spans="1:18" x14ac:dyDescent="0.3">
      <c r="A73" s="1899"/>
      <c r="B73" s="1890" t="s">
        <v>2516</v>
      </c>
      <c r="C73" s="1878">
        <f>C19</f>
        <v>205000</v>
      </c>
      <c r="D73" s="1885"/>
      <c r="E73" s="1882"/>
      <c r="F73" s="1856"/>
      <c r="G73" s="1856"/>
      <c r="H73" s="1856"/>
      <c r="I73" s="1856"/>
      <c r="J73" s="1882"/>
      <c r="K73" s="1882"/>
      <c r="L73" s="1912"/>
      <c r="M73" s="1882"/>
      <c r="N73" s="1882"/>
      <c r="O73" s="1882"/>
      <c r="P73" s="1882"/>
      <c r="Q73" s="1882"/>
      <c r="R73" s="1885"/>
    </row>
    <row r="74" spans="1:18" x14ac:dyDescent="0.3">
      <c r="A74" s="1899"/>
      <c r="B74" s="1892" t="s">
        <v>2517</v>
      </c>
      <c r="C74" s="1878">
        <f>C20</f>
        <v>74040</v>
      </c>
      <c r="D74" s="1885"/>
      <c r="E74" s="1882"/>
      <c r="F74" s="1856"/>
      <c r="G74" s="1856"/>
      <c r="H74" s="1856"/>
      <c r="I74" s="1856"/>
      <c r="J74" s="1882"/>
      <c r="K74" s="1882"/>
      <c r="L74" s="1912"/>
      <c r="M74" s="1882"/>
      <c r="N74" s="1882"/>
      <c r="O74" s="1882"/>
      <c r="P74" s="1882"/>
      <c r="Q74" s="1882"/>
      <c r="R74" s="1885"/>
    </row>
    <row r="75" spans="1:18" x14ac:dyDescent="0.3">
      <c r="A75" s="1899"/>
      <c r="B75" s="1893" t="s">
        <v>2486</v>
      </c>
      <c r="C75" s="1878">
        <f>C21</f>
        <v>18520</v>
      </c>
      <c r="D75" s="1885"/>
      <c r="E75" s="1882"/>
      <c r="F75" s="1856"/>
      <c r="G75" s="1856"/>
      <c r="H75" s="1856"/>
      <c r="I75" s="1856"/>
      <c r="J75" s="1882"/>
      <c r="K75" s="1882"/>
      <c r="L75" s="1912"/>
      <c r="M75" s="1882"/>
      <c r="N75" s="1882"/>
      <c r="O75" s="1882"/>
      <c r="P75" s="1882"/>
      <c r="Q75" s="1882"/>
      <c r="R75" s="1885"/>
    </row>
    <row r="76" spans="1:18" x14ac:dyDescent="0.3">
      <c r="A76" s="1896" t="s">
        <v>2561</v>
      </c>
      <c r="B76" s="1883"/>
      <c r="C76" s="1895">
        <f>SUM(C73:C75)</f>
        <v>297560</v>
      </c>
      <c r="D76" s="1885"/>
      <c r="E76" s="1882"/>
      <c r="F76" s="1856"/>
      <c r="G76" s="1856"/>
      <c r="H76" s="1856"/>
      <c r="I76" s="1856"/>
      <c r="J76" s="1882"/>
      <c r="K76" s="1882"/>
      <c r="L76" s="1912"/>
      <c r="M76" s="1882"/>
      <c r="N76" s="1882"/>
      <c r="O76" s="1882"/>
      <c r="P76" s="1882"/>
      <c r="Q76" s="1882"/>
      <c r="R76" s="1885"/>
    </row>
    <row r="77" spans="1:18" x14ac:dyDescent="0.3">
      <c r="A77" s="1898"/>
      <c r="B77" s="1882"/>
      <c r="C77" s="1882"/>
      <c r="D77" s="1885"/>
      <c r="E77" s="1856"/>
      <c r="F77" s="1856"/>
      <c r="G77" s="1856"/>
      <c r="H77" s="1856"/>
      <c r="I77" s="1856"/>
      <c r="J77" s="1882"/>
      <c r="K77" s="1882"/>
      <c r="L77" s="1912"/>
      <c r="M77" s="1882"/>
      <c r="N77" s="1882"/>
      <c r="O77" s="1882"/>
      <c r="P77" s="1882"/>
      <c r="Q77" s="1882"/>
      <c r="R77" s="1885"/>
    </row>
    <row r="78" spans="1:18" ht="15" thickBot="1" x14ac:dyDescent="0.35">
      <c r="A78" s="1896" t="s">
        <v>2478</v>
      </c>
      <c r="B78" s="1883"/>
      <c r="C78" s="1911">
        <f>C70+C76</f>
        <v>899160</v>
      </c>
      <c r="D78" s="1885"/>
      <c r="E78" s="23"/>
      <c r="F78" s="1856"/>
      <c r="G78" s="1856"/>
      <c r="H78" s="1856"/>
      <c r="I78" s="1856"/>
      <c r="J78" s="1882"/>
      <c r="K78" s="1882"/>
      <c r="L78" s="1912"/>
      <c r="M78" s="1882"/>
      <c r="N78" s="1882"/>
      <c r="O78" s="1882"/>
      <c r="P78" s="1882"/>
      <c r="Q78" s="1882"/>
      <c r="R78" s="1885"/>
    </row>
    <row r="79" spans="1:18" ht="15" thickTop="1" x14ac:dyDescent="0.3">
      <c r="A79" s="1898"/>
      <c r="B79" s="1912" t="s">
        <v>2480</v>
      </c>
      <c r="C79" s="1897"/>
      <c r="D79" s="1885"/>
      <c r="E79" s="23"/>
      <c r="F79" s="1856"/>
      <c r="G79" s="1856"/>
      <c r="H79" s="1856"/>
      <c r="I79" s="1856"/>
      <c r="J79" s="1882"/>
      <c r="K79" s="1882"/>
      <c r="L79" s="1912"/>
      <c r="M79" s="1882"/>
      <c r="N79" s="1882"/>
      <c r="O79" s="1882"/>
      <c r="P79" s="1882"/>
      <c r="Q79" s="1882"/>
      <c r="R79" s="1885"/>
    </row>
    <row r="80" spans="1:18" ht="15" thickBot="1" x14ac:dyDescent="0.35">
      <c r="A80" s="1896" t="s">
        <v>2482</v>
      </c>
      <c r="B80" s="1883"/>
      <c r="C80" s="1911">
        <f>C70</f>
        <v>601600</v>
      </c>
      <c r="D80" s="1885"/>
      <c r="E80" s="1856"/>
      <c r="F80" s="1856"/>
      <c r="G80" s="1856"/>
      <c r="H80" s="1856"/>
      <c r="I80" s="1856"/>
      <c r="J80" s="1882"/>
      <c r="K80" s="1882"/>
      <c r="L80" s="1912"/>
      <c r="M80" s="1882"/>
      <c r="N80" s="1882"/>
      <c r="O80" s="1882"/>
      <c r="P80" s="1882"/>
      <c r="Q80" s="1882"/>
      <c r="R80" s="1885"/>
    </row>
    <row r="81" spans="1:18" ht="15" thickTop="1" x14ac:dyDescent="0.3">
      <c r="A81" s="1898"/>
      <c r="B81" s="1912" t="s">
        <v>2484</v>
      </c>
      <c r="C81" s="1882"/>
      <c r="D81" s="1885"/>
      <c r="E81" s="1856"/>
      <c r="F81" s="1856"/>
      <c r="G81" s="1856"/>
      <c r="H81" s="1856"/>
      <c r="I81" s="1856"/>
      <c r="J81" s="1882"/>
      <c r="K81" s="1882"/>
      <c r="L81" s="1912"/>
      <c r="M81" s="1882"/>
      <c r="N81" s="1882"/>
      <c r="O81" s="1882"/>
      <c r="P81" s="1882"/>
      <c r="Q81" s="1882"/>
      <c r="R81" s="1885"/>
    </row>
    <row r="82" spans="1:18" ht="15" thickBot="1" x14ac:dyDescent="0.35">
      <c r="A82" s="1905"/>
      <c r="B82" s="1906"/>
      <c r="C82" s="1906"/>
      <c r="D82" s="1908"/>
      <c r="E82" s="1856"/>
      <c r="F82" s="1856"/>
      <c r="G82" s="1856"/>
      <c r="H82" s="1856"/>
      <c r="I82" s="1856"/>
      <c r="J82" s="1906"/>
      <c r="K82" s="1906"/>
      <c r="L82" s="1906"/>
      <c r="M82" s="1906"/>
      <c r="N82" s="1906"/>
      <c r="O82" s="1906"/>
      <c r="P82" s="1906"/>
      <c r="Q82" s="1906"/>
      <c r="R82" s="1908"/>
    </row>
    <row r="83" spans="1:18" x14ac:dyDescent="0.3">
      <c r="A83" s="283"/>
      <c r="B83" s="283"/>
      <c r="C83" s="283"/>
      <c r="D83" s="283"/>
      <c r="E83" s="1856"/>
      <c r="F83" s="1856"/>
      <c r="G83" s="1856"/>
      <c r="H83" s="1856"/>
      <c r="I83" s="1856"/>
      <c r="J83" s="283"/>
      <c r="K83" s="283"/>
      <c r="L83" s="283"/>
      <c r="M83" s="283"/>
      <c r="N83" s="283"/>
      <c r="O83" s="283"/>
      <c r="P83" s="283"/>
      <c r="Q83" s="283"/>
      <c r="R83" s="283"/>
    </row>
    <row r="84" spans="1:18" ht="15" thickBot="1" x14ac:dyDescent="0.35">
      <c r="A84" s="283"/>
      <c r="B84" s="283" t="str">
        <f>DISCLAIMER!$A$35</f>
        <v>© 2025 by WinsWithMike.com or Michael Forsberg Nampa, Idaho. All rights reserved</v>
      </c>
      <c r="C84" s="283"/>
      <c r="D84" s="283"/>
      <c r="E84" s="1906"/>
      <c r="F84" s="1906"/>
      <c r="G84" s="1906"/>
      <c r="H84" s="1906"/>
      <c r="I84" s="1906"/>
      <c r="J84" s="283"/>
      <c r="K84" s="283"/>
      <c r="L84" s="283"/>
      <c r="M84" s="283"/>
      <c r="N84" s="283"/>
      <c r="O84" s="283"/>
      <c r="P84" s="283"/>
      <c r="Q84" s="283"/>
      <c r="R84" s="283"/>
    </row>
    <row r="85" spans="1:18" x14ac:dyDescent="0.3">
      <c r="E85" s="283"/>
      <c r="F85" s="283"/>
      <c r="G85" s="283"/>
      <c r="H85" s="283"/>
      <c r="I85" s="283"/>
    </row>
    <row r="86" spans="1:18" x14ac:dyDescent="0.3">
      <c r="E86" s="283"/>
      <c r="F86" s="283"/>
      <c r="G86" s="283"/>
      <c r="H86" s="283"/>
      <c r="I86" s="283"/>
    </row>
    <row r="87" spans="1:18" x14ac:dyDescent="0.3">
      <c r="I87" s="1856"/>
    </row>
    <row r="88" spans="1:18" x14ac:dyDescent="0.3">
      <c r="I88" s="1856"/>
    </row>
    <row r="89" spans="1:18" x14ac:dyDescent="0.3">
      <c r="I89" s="1856"/>
    </row>
    <row r="90" spans="1:18" x14ac:dyDescent="0.3">
      <c r="I90" s="1856"/>
    </row>
    <row r="91" spans="1:18" x14ac:dyDescent="0.3">
      <c r="I91" s="1856"/>
    </row>
    <row r="92" spans="1:18" x14ac:dyDescent="0.3">
      <c r="I92" s="1856"/>
    </row>
  </sheetData>
  <sheetProtection sheet="1" objects="1" scenarios="1"/>
  <mergeCells count="9">
    <mergeCell ref="N63:R64"/>
    <mergeCell ref="B4:C4"/>
    <mergeCell ref="G4:H4"/>
    <mergeCell ref="J53:R53"/>
    <mergeCell ref="K55:L55"/>
    <mergeCell ref="A6:D6"/>
    <mergeCell ref="F6:I6"/>
    <mergeCell ref="A32:D32"/>
    <mergeCell ref="A57:D57"/>
  </mergeCells>
  <conditionalFormatting sqref="C65:C69 C8:C9 C12:C21 C24:C28 H55:H63">
    <cfRule type="cellIs" dxfId="566" priority="61" operator="lessThan">
      <formula>0</formula>
    </cfRule>
    <cfRule type="cellIs" dxfId="565" priority="62" operator="equal">
      <formula>0</formula>
    </cfRule>
    <cfRule type="cellIs" dxfId="564" priority="63" operator="greaterThan">
      <formula>0</formula>
    </cfRule>
  </conditionalFormatting>
  <conditionalFormatting sqref="C59:C63">
    <cfRule type="cellIs" dxfId="563" priority="55" operator="lessThan">
      <formula>0</formula>
    </cfRule>
    <cfRule type="cellIs" dxfId="562" priority="56" operator="equal">
      <formula>0</formula>
    </cfRule>
    <cfRule type="cellIs" dxfId="561" priority="57" operator="greaterThan">
      <formula>0</formula>
    </cfRule>
  </conditionalFormatting>
  <conditionalFormatting sqref="C73:C75">
    <cfRule type="cellIs" dxfId="560" priority="52" operator="lessThan">
      <formula>0</formula>
    </cfRule>
    <cfRule type="cellIs" dxfId="559" priority="53" operator="equal">
      <formula>0</formula>
    </cfRule>
    <cfRule type="cellIs" dxfId="558" priority="54" operator="greaterThan">
      <formula>0</formula>
    </cfRule>
  </conditionalFormatting>
  <conditionalFormatting sqref="M56:M61">
    <cfRule type="cellIs" dxfId="557" priority="40" operator="lessThan">
      <formula>0</formula>
    </cfRule>
    <cfRule type="cellIs" dxfId="556" priority="41" operator="equal">
      <formula>0</formula>
    </cfRule>
    <cfRule type="cellIs" dxfId="555" priority="42" operator="greaterThan">
      <formula>0</formula>
    </cfRule>
  </conditionalFormatting>
  <conditionalFormatting sqref="N56:Q61">
    <cfRule type="cellIs" dxfId="554" priority="37" operator="lessThan">
      <formula>0</formula>
    </cfRule>
    <cfRule type="cellIs" dxfId="553" priority="38" operator="equal">
      <formula>0</formula>
    </cfRule>
    <cfRule type="cellIs" dxfId="552" priority="39" operator="greaterThan">
      <formula>0</formula>
    </cfRule>
  </conditionalFormatting>
  <conditionalFormatting sqref="R56:R61">
    <cfRule type="cellIs" dxfId="551" priority="34" operator="lessThan">
      <formula>0</formula>
    </cfRule>
    <cfRule type="cellIs" dxfId="550" priority="35" operator="equal">
      <formula>0</formula>
    </cfRule>
    <cfRule type="cellIs" dxfId="549" priority="36" operator="greaterThan">
      <formula>0</formula>
    </cfRule>
  </conditionalFormatting>
  <conditionalFormatting sqref="C34:C51">
    <cfRule type="cellIs" dxfId="548" priority="22" operator="lessThan">
      <formula>0</formula>
    </cfRule>
    <cfRule type="cellIs" dxfId="547" priority="23" operator="equal">
      <formula>0</formula>
    </cfRule>
    <cfRule type="cellIs" dxfId="546" priority="24" operator="greaterThan">
      <formula>0</formula>
    </cfRule>
  </conditionalFormatting>
  <conditionalFormatting sqref="C51">
    <cfRule type="cellIs" dxfId="545" priority="19" operator="lessThan">
      <formula>0</formula>
    </cfRule>
    <cfRule type="cellIs" dxfId="544" priority="20" operator="equal">
      <formula>0</formula>
    </cfRule>
    <cfRule type="cellIs" dxfId="543" priority="21" operator="greaterThan">
      <formula>0</formula>
    </cfRule>
  </conditionalFormatting>
  <conditionalFormatting sqref="M63:M64">
    <cfRule type="cellIs" dxfId="542" priority="16" operator="lessThan">
      <formula>0</formula>
    </cfRule>
    <cfRule type="cellIs" dxfId="541" priority="17" operator="equal">
      <formula>0</formula>
    </cfRule>
    <cfRule type="cellIs" dxfId="540" priority="18" operator="greaterThan">
      <formula>0</formula>
    </cfRule>
  </conditionalFormatting>
  <conditionalFormatting sqref="H31">
    <cfRule type="cellIs" dxfId="539" priority="13" operator="lessThan">
      <formula>0</formula>
    </cfRule>
    <cfRule type="cellIs" dxfId="538" priority="14" operator="equal">
      <formula>0</formula>
    </cfRule>
    <cfRule type="cellIs" dxfId="537" priority="15" operator="greaterThan">
      <formula>0</formula>
    </cfRule>
  </conditionalFormatting>
  <conditionalFormatting sqref="H27">
    <cfRule type="cellIs" dxfId="536" priority="10" operator="lessThan">
      <formula>0</formula>
    </cfRule>
    <cfRule type="cellIs" dxfId="535" priority="11" operator="equal">
      <formula>0</formula>
    </cfRule>
    <cfRule type="cellIs" dxfId="534" priority="12" operator="greaterThan">
      <formula>0</formula>
    </cfRule>
  </conditionalFormatting>
  <conditionalFormatting sqref="H23">
    <cfRule type="cellIs" dxfId="533" priority="7" operator="lessThan">
      <formula>0</formula>
    </cfRule>
    <cfRule type="cellIs" dxfId="532" priority="8" operator="equal">
      <formula>0</formula>
    </cfRule>
    <cfRule type="cellIs" dxfId="531" priority="9" operator="greaterThan">
      <formula>0</formula>
    </cfRule>
  </conditionalFormatting>
  <conditionalFormatting sqref="H19">
    <cfRule type="cellIs" dxfId="530" priority="4" operator="lessThan">
      <formula>0</formula>
    </cfRule>
    <cfRule type="cellIs" dxfId="529" priority="5" operator="equal">
      <formula>0</formula>
    </cfRule>
    <cfRule type="cellIs" dxfId="528" priority="6" operator="greaterThan">
      <formula>0</formula>
    </cfRule>
  </conditionalFormatting>
  <conditionalFormatting sqref="H16">
    <cfRule type="cellIs" dxfId="527" priority="1" operator="lessThan">
      <formula>0</formula>
    </cfRule>
    <cfRule type="cellIs" dxfId="526" priority="2" operator="equal">
      <formula>0</formula>
    </cfRule>
    <cfRule type="cellIs" dxfId="525" priority="3" operator="greaterThan">
      <formula>0</formula>
    </cfRule>
  </conditionalFormatting>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CATEGORIES TAB" error="Update the 'Categories' Tab for Income and Expenses. ¯\_(ツ)_/¯" xr:uid="{D07D7C1C-1FA6-4352-8818-11DB55B7B930}">
          <x14:formula1>
            <xm:f>'CATEGORIES'!$H$5:$H$40</xm:f>
          </x14:formula1>
          <xm:sqref>B8:B9 B12:B21 B24:B28 B34:B51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354E-6748-454A-9AD1-9F4FF8CC24E9}">
  <sheetPr codeName="Sheet25">
    <tabColor rgb="FF5168B3"/>
    <pageSetUpPr fitToPage="1"/>
  </sheetPr>
  <dimension ref="A1:CA147"/>
  <sheetViews>
    <sheetView showGridLines="0" showRowColHeaders="0" zoomScaleNormal="100" workbookViewId="0">
      <pane ySplit="4" topLeftCell="A5" activePane="bottomLeft" state="frozen"/>
      <selection pane="bottomLeft" activeCell="A5" sqref="A5"/>
    </sheetView>
  </sheetViews>
  <sheetFormatPr defaultColWidth="9.109375" defaultRowHeight="13.8" outlineLevelRow="1" x14ac:dyDescent="0.3"/>
  <cols>
    <col min="1" max="58" width="2.88671875" style="283" customWidth="1"/>
    <col min="59" max="59" width="9.44140625" style="283" customWidth="1"/>
    <col min="60" max="63" width="2.88671875" style="283" customWidth="1"/>
    <col min="64" max="64" width="5.6640625" style="283" customWidth="1"/>
    <col min="65" max="67" width="2.88671875" style="283" customWidth="1"/>
    <col min="68" max="68" width="12.88671875" style="283" customWidth="1"/>
    <col min="69" max="75" width="2.88671875" style="283" customWidth="1"/>
    <col min="76" max="76" width="14.5546875" style="283" customWidth="1"/>
    <col min="77" max="77" width="2.88671875" style="283" customWidth="1"/>
    <col min="78" max="78" width="18.109375" style="283" hidden="1" customWidth="1"/>
    <col min="79" max="16384" width="9.109375" style="283"/>
  </cols>
  <sheetData>
    <row r="1" spans="1:79" s="1244" customFormat="1" ht="30" customHeight="1" x14ac:dyDescent="0.25">
      <c r="A1" s="1685" t="s">
        <v>725</v>
      </c>
      <c r="AU1" s="1364"/>
      <c r="AV1" s="1363"/>
      <c r="AW1" s="1365"/>
      <c r="AX1" s="2562"/>
      <c r="AY1" s="2562"/>
      <c r="AZ1" s="2562"/>
      <c r="BA1" s="2562"/>
      <c r="BB1" s="2562"/>
      <c r="BC1" s="2562"/>
      <c r="BD1" s="2498"/>
      <c r="BE1" s="2562"/>
      <c r="BF1" s="2562"/>
      <c r="BG1" s="2498"/>
      <c r="BH1" s="2562"/>
      <c r="BI1" s="2562"/>
      <c r="BJ1" s="2498"/>
      <c r="BK1" s="2562" t="s">
        <v>624</v>
      </c>
      <c r="BL1" s="2562"/>
      <c r="BM1" s="2498"/>
      <c r="BN1" s="2498"/>
      <c r="BO1" s="2498"/>
      <c r="BP1" s="2498"/>
      <c r="BQ1" s="2498"/>
    </row>
    <row r="2" spans="1:79" s="1" customFormat="1" ht="18.75" customHeight="1" x14ac:dyDescent="0.25">
      <c r="A2" s="1685"/>
      <c r="B2" s="1244"/>
      <c r="C2" s="1244"/>
      <c r="D2" s="1244"/>
      <c r="E2" s="1244"/>
      <c r="F2" s="1244"/>
      <c r="G2" s="1244"/>
      <c r="H2" s="1244"/>
      <c r="I2" s="1244"/>
      <c r="J2" s="1244"/>
      <c r="K2" s="1244"/>
      <c r="L2" s="1244"/>
      <c r="M2" s="1244"/>
      <c r="N2" s="1244"/>
      <c r="O2" s="1244"/>
      <c r="P2" s="1244"/>
      <c r="Q2" s="1244"/>
      <c r="R2" s="1244"/>
      <c r="S2" s="1244"/>
      <c r="T2" s="1244"/>
      <c r="U2" s="1244"/>
      <c r="V2" s="1244"/>
      <c r="W2" s="1244"/>
      <c r="X2" s="1244"/>
      <c r="Y2" s="1244"/>
      <c r="Z2" s="1244"/>
      <c r="AA2" s="1244"/>
      <c r="AB2" s="1244"/>
      <c r="AC2" s="1244"/>
      <c r="AD2" s="1244"/>
      <c r="AE2" s="1244"/>
      <c r="AF2" s="1244"/>
      <c r="AG2" s="1244"/>
      <c r="AH2" s="1244"/>
      <c r="AI2" s="1244"/>
      <c r="AJ2" s="1244"/>
      <c r="AK2" s="1244"/>
      <c r="AL2" s="1244"/>
      <c r="AM2" s="1244"/>
      <c r="AN2" s="1244"/>
      <c r="AO2" s="1244"/>
      <c r="AP2" s="1244"/>
      <c r="AQ2" s="1244"/>
      <c r="AR2" s="1244"/>
      <c r="AS2" s="1244"/>
      <c r="AT2" s="1244"/>
      <c r="AU2" s="1364"/>
      <c r="AV2" s="1363"/>
      <c r="AW2" s="1365"/>
      <c r="AX2" s="1363"/>
      <c r="AY2" s="1363"/>
      <c r="AZ2" s="1363"/>
      <c r="BA2" s="1363"/>
      <c r="BB2" s="1363"/>
      <c r="BC2" s="1363"/>
      <c r="BD2" s="1820"/>
      <c r="BE2" s="1363"/>
      <c r="BF2" s="1363"/>
      <c r="BG2" s="1820"/>
      <c r="BH2" s="1363"/>
      <c r="BI2" s="1363"/>
      <c r="BJ2" s="1820"/>
      <c r="BK2" s="1363"/>
      <c r="BL2" s="1363"/>
      <c r="BM2" s="1820"/>
      <c r="BN2" s="1820"/>
      <c r="BO2" s="1820"/>
      <c r="BP2" s="1820"/>
      <c r="BQ2" s="1820"/>
      <c r="BR2" s="1244"/>
      <c r="BS2" s="1244"/>
      <c r="BT2" s="1244"/>
      <c r="BU2" s="1244"/>
      <c r="BV2" s="1244"/>
      <c r="BW2" s="1244"/>
      <c r="BX2" s="1244"/>
      <c r="BY2" s="1244"/>
      <c r="BZ2" s="1244"/>
      <c r="CA2" s="1244"/>
    </row>
    <row r="3" spans="1:79" ht="15" customHeight="1" x14ac:dyDescent="0.25">
      <c r="A3" s="1685"/>
      <c r="B3" s="1244"/>
      <c r="C3" s="1244"/>
      <c r="D3" s="1244"/>
      <c r="E3" s="1244"/>
      <c r="F3" s="1244"/>
      <c r="G3" s="1244"/>
      <c r="H3" s="1244"/>
      <c r="I3" s="1244"/>
      <c r="J3" s="1244"/>
      <c r="K3" s="1244"/>
      <c r="L3" s="1244"/>
      <c r="M3" s="1244"/>
      <c r="N3" s="1244"/>
      <c r="O3" s="1244"/>
      <c r="P3" s="1244"/>
      <c r="Q3" s="1244"/>
      <c r="R3" s="1244"/>
      <c r="S3" s="1244"/>
      <c r="T3" s="1244"/>
      <c r="U3" s="1244"/>
      <c r="V3" s="1244"/>
      <c r="W3" s="1244"/>
      <c r="X3" s="1244"/>
      <c r="Y3" s="1244"/>
      <c r="Z3" s="1244"/>
      <c r="AA3" s="1244"/>
      <c r="AB3" s="1244"/>
      <c r="AC3" s="1244"/>
      <c r="AD3" s="1244"/>
      <c r="AE3" s="1244"/>
      <c r="AF3" s="1244"/>
      <c r="AG3" s="1244"/>
      <c r="AH3" s="1244"/>
      <c r="AI3" s="1244"/>
      <c r="AJ3" s="1244"/>
      <c r="AK3" s="1244"/>
      <c r="AL3" s="1244"/>
      <c r="AM3" s="1244"/>
      <c r="AN3" s="1244"/>
      <c r="AO3" s="1244"/>
      <c r="AP3" s="1244"/>
      <c r="AQ3" s="1244"/>
      <c r="AR3" s="1244"/>
      <c r="AS3" s="1244"/>
      <c r="AT3" s="1244"/>
      <c r="AU3" s="1364"/>
      <c r="AV3" s="1363"/>
      <c r="AW3" s="1365"/>
      <c r="AX3" s="1363"/>
      <c r="AY3" s="1363"/>
      <c r="AZ3" s="1363"/>
      <c r="BA3" s="1363"/>
      <c r="BB3" s="1363"/>
      <c r="BC3" s="1363"/>
      <c r="BD3" s="1820"/>
      <c r="BE3" s="1363"/>
      <c r="BF3" s="1363"/>
      <c r="BG3" s="1820"/>
      <c r="BH3" s="1363"/>
      <c r="BI3" s="1363"/>
      <c r="BJ3" s="1820"/>
      <c r="BK3" s="1363"/>
      <c r="BL3" s="1363"/>
      <c r="BM3" s="1820"/>
      <c r="BN3" s="1820"/>
      <c r="BO3" s="1820"/>
      <c r="BP3" s="1820"/>
      <c r="BQ3" s="1820"/>
      <c r="BR3" s="1244"/>
      <c r="BS3" s="1244"/>
      <c r="BT3" s="1244"/>
      <c r="BU3" s="1244"/>
      <c r="BV3" s="1244"/>
      <c r="BW3" s="1244"/>
      <c r="BX3" s="1244"/>
      <c r="BY3" s="1244"/>
      <c r="BZ3" s="1244"/>
      <c r="CA3" s="1244"/>
    </row>
    <row r="4" spans="1:79" ht="15" customHeight="1" x14ac:dyDescent="0.25">
      <c r="A4" s="490"/>
      <c r="B4" s="2354" t="s">
        <v>680</v>
      </c>
      <c r="C4" s="2354"/>
      <c r="D4" s="2354"/>
      <c r="E4" s="2499">
        <f>BH10</f>
        <v>0</v>
      </c>
      <c r="F4" s="2499"/>
      <c r="G4" s="2499"/>
      <c r="H4" s="2354" t="s">
        <v>681</v>
      </c>
      <c r="I4" s="2354"/>
      <c r="J4" s="2354"/>
      <c r="K4" s="2499">
        <f>BH11</f>
        <v>0</v>
      </c>
      <c r="L4" s="2499"/>
      <c r="M4" s="2499"/>
      <c r="N4" s="2354" t="s">
        <v>682</v>
      </c>
      <c r="O4" s="2354"/>
      <c r="P4" s="2354"/>
      <c r="Q4" s="2499">
        <f>BH12</f>
        <v>0</v>
      </c>
      <c r="R4" s="2499"/>
      <c r="S4" s="2499"/>
      <c r="T4" s="2354" t="s">
        <v>683</v>
      </c>
      <c r="U4" s="2354"/>
      <c r="V4" s="2354"/>
      <c r="W4" s="2354"/>
      <c r="X4" s="2499">
        <f>BH14</f>
        <v>0</v>
      </c>
      <c r="Y4" s="2499"/>
      <c r="Z4" s="2499"/>
      <c r="AA4" s="2354" t="s">
        <v>684</v>
      </c>
      <c r="AB4" s="2354"/>
      <c r="AC4" s="2354"/>
      <c r="AD4" s="2499">
        <f>BH16</f>
        <v>0</v>
      </c>
      <c r="AE4" s="2499"/>
      <c r="AF4" s="2499"/>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row>
    <row r="5" spans="1:79" ht="15" customHeight="1" outlineLevel="1" x14ac:dyDescent="0.3">
      <c r="A5" s="1859"/>
      <c r="B5" s="515"/>
      <c r="C5" s="515"/>
      <c r="D5" s="515"/>
      <c r="E5" s="515"/>
      <c r="F5" s="515"/>
      <c r="G5" s="515"/>
      <c r="H5" s="515"/>
      <c r="I5" s="515"/>
      <c r="J5" s="515"/>
      <c r="K5" s="515"/>
      <c r="L5" s="515"/>
      <c r="M5" s="515"/>
      <c r="N5" s="515"/>
      <c r="O5" s="515"/>
      <c r="P5" s="515"/>
      <c r="Q5" s="515"/>
      <c r="R5" s="515"/>
      <c r="S5" s="515"/>
      <c r="T5" s="515"/>
      <c r="U5" s="515"/>
      <c r="V5" s="515"/>
      <c r="W5" s="515"/>
      <c r="X5" s="515"/>
      <c r="Y5" s="515"/>
      <c r="Z5" s="515"/>
      <c r="AA5" s="515"/>
      <c r="AB5" s="515"/>
      <c r="AC5" s="515"/>
      <c r="AD5" s="515"/>
      <c r="AE5" s="515"/>
      <c r="AF5" s="515"/>
      <c r="AG5" s="515"/>
      <c r="AH5" s="515"/>
      <c r="AI5" s="515"/>
      <c r="AJ5" s="515"/>
      <c r="AK5" s="515"/>
      <c r="AL5" s="515"/>
      <c r="AM5" s="515"/>
      <c r="AN5" s="515"/>
      <c r="AO5" s="515"/>
      <c r="AP5" s="515"/>
      <c r="AQ5" s="515"/>
      <c r="AR5" s="515"/>
      <c r="AS5" s="515"/>
      <c r="AT5" s="515"/>
      <c r="AU5" s="516"/>
      <c r="AV5" s="516"/>
      <c r="AW5" s="516"/>
      <c r="AX5" s="516"/>
      <c r="AY5" s="516"/>
      <c r="AZ5" s="517"/>
      <c r="BA5" s="517"/>
      <c r="BB5" s="517"/>
      <c r="BC5" s="517"/>
      <c r="BD5" s="517"/>
      <c r="BE5" s="517"/>
      <c r="BF5" s="517"/>
      <c r="BG5" s="517"/>
      <c r="BH5" s="517"/>
      <c r="BI5" s="517"/>
      <c r="BJ5" s="517"/>
      <c r="BK5" s="517"/>
      <c r="BL5" s="517"/>
      <c r="BM5" s="517"/>
      <c r="BN5" s="517"/>
      <c r="BO5" s="517"/>
      <c r="BP5" s="517"/>
      <c r="BQ5" s="517"/>
      <c r="BR5" s="517"/>
      <c r="BS5" s="517"/>
      <c r="BT5" s="517"/>
      <c r="BZ5" s="518"/>
    </row>
    <row r="6" spans="1:79" ht="15" customHeight="1" outlineLevel="1" x14ac:dyDescent="0.3">
      <c r="B6" s="599" t="s">
        <v>626</v>
      </c>
      <c r="C6" s="521"/>
      <c r="D6" s="521"/>
      <c r="E6" s="521"/>
      <c r="F6" s="521"/>
      <c r="G6" s="521"/>
      <c r="H6" s="521"/>
      <c r="I6" s="521"/>
      <c r="J6" s="521"/>
      <c r="K6" s="521"/>
      <c r="L6" s="521"/>
      <c r="M6" s="521"/>
      <c r="N6" s="521"/>
      <c r="O6" s="521"/>
      <c r="P6" s="521"/>
      <c r="Q6" s="521"/>
      <c r="R6" s="521"/>
      <c r="S6" s="521"/>
      <c r="T6" s="521"/>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c r="AT6" s="521"/>
      <c r="AU6" s="521"/>
      <c r="AV6" s="521"/>
      <c r="AW6" s="521"/>
      <c r="AX6" s="521"/>
      <c r="AY6" s="521"/>
      <c r="AZ6" s="521"/>
      <c r="BA6" s="521"/>
      <c r="BB6" s="521"/>
      <c r="BC6" s="521"/>
      <c r="BD6" s="521"/>
      <c r="BE6" s="521"/>
      <c r="BF6" s="521"/>
      <c r="BG6" s="521"/>
      <c r="BH6" s="521"/>
      <c r="BI6" s="521"/>
      <c r="BJ6" s="521"/>
      <c r="BK6" s="521"/>
      <c r="BL6" s="521"/>
      <c r="BM6" s="521"/>
      <c r="BN6" s="289"/>
      <c r="BO6" s="599" t="s">
        <v>627</v>
      </c>
      <c r="BP6" s="521"/>
      <c r="BQ6" s="601"/>
      <c r="BR6" s="289"/>
      <c r="BS6" s="289"/>
      <c r="BT6" s="289"/>
    </row>
    <row r="7" spans="1:79" s="289" customFormat="1" outlineLevel="1" x14ac:dyDescent="0.3">
      <c r="A7" s="283"/>
      <c r="B7" s="373"/>
      <c r="C7" s="373"/>
      <c r="D7" s="373"/>
      <c r="E7" s="373"/>
      <c r="F7" s="373"/>
      <c r="G7" s="373"/>
      <c r="H7" s="373"/>
      <c r="I7" s="373"/>
      <c r="J7" s="373"/>
      <c r="K7" s="373"/>
      <c r="L7" s="373"/>
      <c r="M7" s="373"/>
      <c r="N7" s="373"/>
      <c r="O7" s="373"/>
      <c r="P7" s="373"/>
      <c r="Q7" s="373"/>
      <c r="R7" s="373"/>
      <c r="S7" s="373"/>
      <c r="T7" s="373"/>
      <c r="U7" s="373"/>
      <c r="V7" s="373"/>
      <c r="W7" s="373"/>
      <c r="X7" s="373"/>
      <c r="Y7" s="373"/>
      <c r="Z7" s="373"/>
      <c r="AA7" s="373"/>
      <c r="AB7" s="373"/>
      <c r="AC7" s="373"/>
      <c r="AD7" s="373"/>
      <c r="AE7" s="373"/>
      <c r="AF7" s="373"/>
      <c r="AG7" s="373"/>
      <c r="AH7" s="373"/>
      <c r="AI7" s="373"/>
      <c r="AJ7" s="373"/>
      <c r="AK7" s="373"/>
      <c r="AL7" s="373"/>
      <c r="AM7" s="373"/>
      <c r="AN7" s="373"/>
      <c r="AO7" s="373"/>
      <c r="AP7" s="373"/>
      <c r="AQ7" s="373"/>
      <c r="AR7" s="373"/>
      <c r="AS7" s="373"/>
      <c r="AT7" s="373"/>
      <c r="AU7" s="15"/>
      <c r="AV7" s="15"/>
      <c r="AW7" s="15"/>
      <c r="AX7" s="15"/>
      <c r="AY7" s="15"/>
      <c r="AZ7" s="132"/>
      <c r="BA7" s="132"/>
      <c r="BB7" s="132"/>
      <c r="BC7" s="132"/>
      <c r="BD7" s="132"/>
      <c r="BE7" s="132"/>
      <c r="BF7" s="132"/>
      <c r="BG7" s="132"/>
      <c r="BH7" s="132"/>
      <c r="BI7" s="132"/>
      <c r="BJ7" s="132"/>
      <c r="BK7" s="132"/>
      <c r="BL7" s="132"/>
      <c r="BM7" s="519"/>
      <c r="BO7" s="132"/>
      <c r="BP7" s="132"/>
      <c r="BQ7" s="519"/>
      <c r="BU7" s="283"/>
      <c r="BV7" s="283"/>
      <c r="BW7" s="283"/>
      <c r="BX7" s="283"/>
      <c r="BY7" s="283"/>
      <c r="BZ7" s="283"/>
      <c r="CA7" s="283"/>
    </row>
    <row r="8" spans="1:79" s="289" customFormat="1" ht="15" customHeight="1" outlineLevel="1" x14ac:dyDescent="0.3">
      <c r="A8" s="283"/>
      <c r="B8" s="373"/>
      <c r="C8" s="520">
        <v>1</v>
      </c>
      <c r="D8" s="602" t="s">
        <v>628</v>
      </c>
      <c r="E8" s="521"/>
      <c r="F8" s="521"/>
      <c r="G8" s="521"/>
      <c r="H8" s="521"/>
      <c r="I8" s="521"/>
      <c r="J8" s="521"/>
      <c r="K8" s="521"/>
      <c r="L8" s="521"/>
      <c r="M8" s="521"/>
      <c r="N8" s="521"/>
      <c r="O8" s="521"/>
      <c r="P8" s="521"/>
      <c r="Q8" s="521"/>
      <c r="R8" s="548"/>
      <c r="S8" s="548"/>
      <c r="T8" s="521"/>
      <c r="U8" s="521"/>
      <c r="V8" s="522"/>
      <c r="W8" s="522"/>
      <c r="X8" s="522"/>
      <c r="Y8" s="522"/>
      <c r="Z8" s="522"/>
      <c r="AA8" s="522"/>
      <c r="AB8" s="522"/>
      <c r="AC8" s="1799" t="s">
        <v>1149</v>
      </c>
      <c r="AD8" s="373"/>
      <c r="AE8" s="373"/>
      <c r="AF8" s="520">
        <v>2</v>
      </c>
      <c r="AG8" s="602" t="s">
        <v>629</v>
      </c>
      <c r="AH8" s="522"/>
      <c r="AI8" s="522"/>
      <c r="AJ8" s="522"/>
      <c r="AK8" s="522"/>
      <c r="AL8" s="522"/>
      <c r="AM8" s="522"/>
      <c r="AN8" s="522"/>
      <c r="AO8" s="522"/>
      <c r="AP8" s="522"/>
      <c r="AQ8" s="522"/>
      <c r="AR8" s="548"/>
      <c r="AS8" s="551"/>
      <c r="AT8" s="551"/>
      <c r="AU8" s="551"/>
      <c r="AV8" s="551"/>
      <c r="AW8" s="551"/>
      <c r="AX8" s="551"/>
      <c r="AY8" s="522"/>
      <c r="AZ8" s="1799" t="s">
        <v>1149</v>
      </c>
      <c r="BA8" s="553"/>
      <c r="BB8" s="553"/>
      <c r="BC8" s="520">
        <v>3</v>
      </c>
      <c r="BD8" s="602" t="s">
        <v>630</v>
      </c>
      <c r="BE8" s="521"/>
      <c r="BF8" s="521"/>
      <c r="BG8" s="521"/>
      <c r="BH8" s="521"/>
      <c r="BI8" s="521"/>
      <c r="BJ8" s="521"/>
      <c r="BK8" s="521"/>
      <c r="BL8" s="521"/>
      <c r="BM8" s="519"/>
      <c r="BO8" s="132"/>
      <c r="BP8" s="1757" t="s">
        <v>631</v>
      </c>
      <c r="BQ8" s="519"/>
      <c r="BU8" s="283"/>
      <c r="BV8" s="283"/>
      <c r="BW8" s="283"/>
      <c r="BX8" s="283"/>
      <c r="BY8" s="283"/>
      <c r="BZ8" s="523" t="str">
        <f t="array" ref="BZ8">IFERROR(INDEX($BP$8:$BP$18, SMALL(IF(NOT(ISBLANK($BP$8:$BP$18)), ROW($A$1:$A$16)), ROW(A1))),"")</f>
        <v/>
      </c>
      <c r="CA8" s="283"/>
    </row>
    <row r="9" spans="1:79" s="289" customFormat="1" ht="15" customHeight="1" outlineLevel="1" x14ac:dyDescent="0.3">
      <c r="B9" s="373"/>
      <c r="C9" s="524" t="s">
        <v>632</v>
      </c>
      <c r="D9" s="525"/>
      <c r="E9" s="2561" t="s">
        <v>633</v>
      </c>
      <c r="F9" s="2561"/>
      <c r="G9" s="2561"/>
      <c r="H9" s="2561"/>
      <c r="I9" s="2561"/>
      <c r="J9" s="2561"/>
      <c r="K9" s="2561"/>
      <c r="L9" s="2561" t="s">
        <v>20</v>
      </c>
      <c r="M9" s="2561"/>
      <c r="N9" s="2561"/>
      <c r="O9" s="2561"/>
      <c r="P9" s="526"/>
      <c r="Q9" s="524" t="s">
        <v>632</v>
      </c>
      <c r="R9" s="525"/>
      <c r="S9" s="2561" t="s">
        <v>633</v>
      </c>
      <c r="T9" s="2561"/>
      <c r="U9" s="2561"/>
      <c r="V9" s="2561"/>
      <c r="W9" s="2561"/>
      <c r="X9" s="2561"/>
      <c r="Y9" s="2561"/>
      <c r="Z9" s="2561" t="s">
        <v>20</v>
      </c>
      <c r="AA9" s="2561"/>
      <c r="AB9" s="2561"/>
      <c r="AC9" s="2561"/>
      <c r="AD9" s="373"/>
      <c r="AE9" s="373"/>
      <c r="AF9" s="2561" t="s">
        <v>634</v>
      </c>
      <c r="AG9" s="2561"/>
      <c r="AH9" s="2561"/>
      <c r="AI9" s="2561"/>
      <c r="AJ9" s="2561"/>
      <c r="AK9" s="2561"/>
      <c r="AL9" s="2561" t="s">
        <v>20</v>
      </c>
      <c r="AM9" s="2561"/>
      <c r="AN9" s="2561"/>
      <c r="AO9" s="2561"/>
      <c r="AP9" s="526"/>
      <c r="AQ9" s="2566" t="s">
        <v>634</v>
      </c>
      <c r="AR9" s="2566"/>
      <c r="AS9" s="2566"/>
      <c r="AT9" s="2566"/>
      <c r="AU9" s="2566"/>
      <c r="AV9" s="2566"/>
      <c r="AW9" s="2561" t="s">
        <v>20</v>
      </c>
      <c r="AX9" s="2561"/>
      <c r="AY9" s="2561"/>
      <c r="AZ9" s="2561"/>
      <c r="BA9" s="553"/>
      <c r="BB9" s="553"/>
      <c r="BC9" s="525"/>
      <c r="BD9" s="525"/>
      <c r="BE9" s="525"/>
      <c r="BF9" s="525"/>
      <c r="BG9" s="525"/>
      <c r="BH9" s="2561" t="s">
        <v>20</v>
      </c>
      <c r="BI9" s="2561"/>
      <c r="BJ9" s="2561"/>
      <c r="BK9" s="2561"/>
      <c r="BL9" s="557" t="s">
        <v>414</v>
      </c>
      <c r="BM9" s="519"/>
      <c r="BO9" s="132"/>
      <c r="BP9" s="1757" t="s">
        <v>635</v>
      </c>
      <c r="BQ9" s="519"/>
      <c r="BZ9" s="523" t="str">
        <f t="array" ref="BZ9">IFERROR(INDEX($BP$8:$BP$18, SMALL(IF(NOT(ISBLANK($BP$8:$BP$18)), ROW($A$1:$A$16)), ROW(A4))),"")</f>
        <v/>
      </c>
    </row>
    <row r="10" spans="1:79" s="289" customFormat="1" ht="15" customHeight="1" outlineLevel="1" x14ac:dyDescent="0.3">
      <c r="B10" s="373"/>
      <c r="C10" s="2537">
        <v>1</v>
      </c>
      <c r="D10" s="2538"/>
      <c r="E10" s="2563" t="str">
        <f>DASHBOARD!D46</f>
        <v>Exterior</v>
      </c>
      <c r="F10" s="2564"/>
      <c r="G10" s="2564"/>
      <c r="H10" s="2564"/>
      <c r="I10" s="2564"/>
      <c r="J10" s="2564"/>
      <c r="K10" s="2564"/>
      <c r="L10" s="2565">
        <f>AX26</f>
        <v>0</v>
      </c>
      <c r="M10" s="2565"/>
      <c r="N10" s="2565"/>
      <c r="O10" s="2565"/>
      <c r="P10" s="550"/>
      <c r="Q10" s="2537">
        <f>C17+1</f>
        <v>9</v>
      </c>
      <c r="R10" s="2538"/>
      <c r="S10" s="2563" t="str">
        <f>DASHBOARD!W49</f>
        <v>Landscaping</v>
      </c>
      <c r="T10" s="2564"/>
      <c r="U10" s="2564"/>
      <c r="V10" s="2564"/>
      <c r="W10" s="2564"/>
      <c r="X10" s="2564"/>
      <c r="Y10" s="2564"/>
      <c r="Z10" s="2565">
        <f>AX90</f>
        <v>0</v>
      </c>
      <c r="AA10" s="2565"/>
      <c r="AB10" s="2565"/>
      <c r="AC10" s="2565"/>
      <c r="AD10" s="373"/>
      <c r="AE10" s="373"/>
      <c r="AF10" s="2534" t="str">
        <f>DASHBOARD!D68</f>
        <v>Living Room</v>
      </c>
      <c r="AG10" s="2535"/>
      <c r="AH10" s="2535"/>
      <c r="AI10" s="2535"/>
      <c r="AJ10" s="2535"/>
      <c r="AK10" s="2535"/>
      <c r="AL10" s="2565">
        <f t="shared" ref="AL10:AL17" ca="1" si="0">SUMIF($BD$28:$BJ$145,AF10,$AX$28:$BB$145)</f>
        <v>0</v>
      </c>
      <c r="AM10" s="2565"/>
      <c r="AN10" s="2565"/>
      <c r="AO10" s="2565"/>
      <c r="AP10" s="553"/>
      <c r="AQ10" s="2534" t="str">
        <f>DASHBOARD!W71</f>
        <v>Bathroom #2</v>
      </c>
      <c r="AR10" s="2535"/>
      <c r="AS10" s="2535"/>
      <c r="AT10" s="2535"/>
      <c r="AU10" s="2535"/>
      <c r="AV10" s="2535"/>
      <c r="AW10" s="2565">
        <f t="shared" ref="AW10:AW16" ca="1" si="1">SUMIF($BD$28:$BJ$145,AQ10,$AX$28:$BB$145)</f>
        <v>0</v>
      </c>
      <c r="AX10" s="2565"/>
      <c r="AY10" s="2565"/>
      <c r="AZ10" s="2565"/>
      <c r="BA10" s="553"/>
      <c r="BB10" s="553"/>
      <c r="BC10" s="527" t="s">
        <v>637</v>
      </c>
      <c r="BD10" s="238"/>
      <c r="BE10" s="238"/>
      <c r="BF10" s="22"/>
      <c r="BG10" s="22"/>
      <c r="BH10" s="2567">
        <f>V26+V34+V42+V50+V58+V66+V74+V82+V90+V98+V106+V114+V122+V130+V138</f>
        <v>0</v>
      </c>
      <c r="BI10" s="2567"/>
      <c r="BJ10" s="2567"/>
      <c r="BK10" s="2567"/>
      <c r="BL10" s="554">
        <f>IFERROR(BH10/$BH$16,0)</f>
        <v>0</v>
      </c>
      <c r="BM10" s="519"/>
      <c r="BO10" s="132"/>
      <c r="BP10" s="1757" t="s">
        <v>638</v>
      </c>
      <c r="BQ10" s="519"/>
      <c r="BZ10" s="523" t="str">
        <f t="array" ref="BZ10">IFERROR(INDEX($BP$8:$BP$18, SMALL(IF(NOT(ISBLANK($BP$8:$BP$18)), ROW($A$1:$A$16)), ROW(A5))),"")</f>
        <v/>
      </c>
    </row>
    <row r="11" spans="1:79" s="289" customFormat="1" ht="15" customHeight="1" outlineLevel="1" x14ac:dyDescent="0.3">
      <c r="B11" s="373"/>
      <c r="C11" s="2537">
        <f t="shared" ref="C11:C17" si="2">C10+1</f>
        <v>2</v>
      </c>
      <c r="D11" s="2538"/>
      <c r="E11" s="2534" t="str">
        <f>DASHBOARD!D47</f>
        <v>Painting</v>
      </c>
      <c r="F11" s="2535"/>
      <c r="G11" s="2535"/>
      <c r="H11" s="2535"/>
      <c r="I11" s="2535"/>
      <c r="J11" s="2535"/>
      <c r="K11" s="2535"/>
      <c r="L11" s="2536">
        <f>AX34</f>
        <v>0</v>
      </c>
      <c r="M11" s="2536"/>
      <c r="N11" s="2536"/>
      <c r="O11" s="2536"/>
      <c r="P11" s="550"/>
      <c r="Q11" s="2537">
        <f t="shared" ref="Q11:Q16" si="3">Q10+1</f>
        <v>10</v>
      </c>
      <c r="R11" s="2538"/>
      <c r="S11" s="2534" t="str">
        <f>DASHBOARD!W50</f>
        <v>Other</v>
      </c>
      <c r="T11" s="2535"/>
      <c r="U11" s="2535"/>
      <c r="V11" s="2535"/>
      <c r="W11" s="2535"/>
      <c r="X11" s="2535"/>
      <c r="Y11" s="2535"/>
      <c r="Z11" s="2536">
        <f>AX98</f>
        <v>0</v>
      </c>
      <c r="AA11" s="2536"/>
      <c r="AB11" s="2536"/>
      <c r="AC11" s="2536"/>
      <c r="AD11" s="373"/>
      <c r="AE11" s="373"/>
      <c r="AF11" s="2534" t="str">
        <f>DASHBOARD!D69</f>
        <v>Dining Room</v>
      </c>
      <c r="AG11" s="2535"/>
      <c r="AH11" s="2535"/>
      <c r="AI11" s="2535"/>
      <c r="AJ11" s="2535"/>
      <c r="AK11" s="2535"/>
      <c r="AL11" s="2536">
        <f t="shared" ca="1" si="0"/>
        <v>0</v>
      </c>
      <c r="AM11" s="2536"/>
      <c r="AN11" s="2536"/>
      <c r="AO11" s="2536"/>
      <c r="AP11" s="553"/>
      <c r="AQ11" s="2534" t="str">
        <f>DASHBOARD!W72</f>
        <v>Bathroom #3</v>
      </c>
      <c r="AR11" s="2535"/>
      <c r="AS11" s="2535"/>
      <c r="AT11" s="2535"/>
      <c r="AU11" s="2535"/>
      <c r="AV11" s="2535"/>
      <c r="AW11" s="2536">
        <f t="shared" ca="1" si="1"/>
        <v>0</v>
      </c>
      <c r="AX11" s="2536"/>
      <c r="AY11" s="2536"/>
      <c r="AZ11" s="2536"/>
      <c r="BA11" s="553"/>
      <c r="BB11" s="553"/>
      <c r="BC11" s="527" t="s">
        <v>641</v>
      </c>
      <c r="BD11" s="238"/>
      <c r="BE11" s="238"/>
      <c r="BF11" s="238"/>
      <c r="BG11" s="22"/>
      <c r="BH11" s="2539">
        <f>AH26+AH34+AH42+AH50+AH58+AH66+AH74+AH82+AH90+AH98+AH106+AH114+AH122+AH130+AH138</f>
        <v>0</v>
      </c>
      <c r="BI11" s="2539"/>
      <c r="BJ11" s="2539"/>
      <c r="BK11" s="2539"/>
      <c r="BL11" s="554">
        <f>IFERROR(BH11/$BH$16,0)</f>
        <v>0</v>
      </c>
      <c r="BM11" s="519"/>
      <c r="BO11" s="132"/>
      <c r="BP11" s="1757" t="s">
        <v>642</v>
      </c>
      <c r="BQ11" s="519"/>
      <c r="BZ11" s="523" t="str">
        <f t="array" ref="BZ11">IFERROR(INDEX($BP$8:$BP$18, SMALL(IF(NOT(ISBLANK($BP$8:$BP$18)), ROW($A$1:$A$16)), ROW(A6))),"")</f>
        <v/>
      </c>
    </row>
    <row r="12" spans="1:79" s="289" customFormat="1" ht="15" customHeight="1" outlineLevel="1" x14ac:dyDescent="0.3">
      <c r="B12" s="373"/>
      <c r="C12" s="2537">
        <f t="shared" si="2"/>
        <v>3</v>
      </c>
      <c r="D12" s="2538"/>
      <c r="E12" s="2534" t="str">
        <f>DASHBOARD!D48</f>
        <v>Flooring</v>
      </c>
      <c r="F12" s="2535"/>
      <c r="G12" s="2535"/>
      <c r="H12" s="2535"/>
      <c r="I12" s="2535"/>
      <c r="J12" s="2535"/>
      <c r="K12" s="2535"/>
      <c r="L12" s="2536">
        <f>AX42</f>
        <v>0</v>
      </c>
      <c r="M12" s="2536"/>
      <c r="N12" s="2536"/>
      <c r="O12" s="2536"/>
      <c r="P12" s="550"/>
      <c r="Q12" s="2537">
        <f t="shared" si="3"/>
        <v>11</v>
      </c>
      <c r="R12" s="2538"/>
      <c r="S12" s="2534" t="str">
        <f>DASHBOARD!AP46</f>
        <v>Framing / Insulation</v>
      </c>
      <c r="T12" s="2535"/>
      <c r="U12" s="2535"/>
      <c r="V12" s="2535"/>
      <c r="W12" s="2535"/>
      <c r="X12" s="2535"/>
      <c r="Y12" s="2535"/>
      <c r="Z12" s="2536">
        <f>AX106</f>
        <v>0</v>
      </c>
      <c r="AA12" s="2536"/>
      <c r="AB12" s="2536"/>
      <c r="AC12" s="2536"/>
      <c r="AD12" s="373"/>
      <c r="AE12" s="373"/>
      <c r="AF12" s="2534" t="str">
        <f>DASHBOARD!D70</f>
        <v>Kitchen</v>
      </c>
      <c r="AG12" s="2535"/>
      <c r="AH12" s="2535"/>
      <c r="AI12" s="2535"/>
      <c r="AJ12" s="2535"/>
      <c r="AK12" s="2535"/>
      <c r="AL12" s="2536">
        <f t="shared" ca="1" si="0"/>
        <v>0</v>
      </c>
      <c r="AM12" s="2536"/>
      <c r="AN12" s="2536"/>
      <c r="AO12" s="2536"/>
      <c r="AP12" s="553"/>
      <c r="AQ12" s="2534" t="str">
        <f>DASHBOARD!AP68</f>
        <v>Bathroom #4</v>
      </c>
      <c r="AR12" s="2535"/>
      <c r="AS12" s="2535"/>
      <c r="AT12" s="2535"/>
      <c r="AU12" s="2535"/>
      <c r="AV12" s="2535"/>
      <c r="AW12" s="2536">
        <f t="shared" ca="1" si="1"/>
        <v>0</v>
      </c>
      <c r="AX12" s="2536"/>
      <c r="AY12" s="2536"/>
      <c r="AZ12" s="2536"/>
      <c r="BA12" s="553"/>
      <c r="BB12" s="553"/>
      <c r="BC12" s="527" t="s">
        <v>645</v>
      </c>
      <c r="BD12" s="238"/>
      <c r="BE12" s="238"/>
      <c r="BF12" s="238"/>
      <c r="BG12" s="22"/>
      <c r="BH12" s="2568">
        <f>AT26+AT34+AT42+AT50+AT58+AT66+AT74+AT82+AT90+AT98+AT106+AT114+AT122+AT130+AT138</f>
        <v>0</v>
      </c>
      <c r="BI12" s="2568"/>
      <c r="BJ12" s="2568"/>
      <c r="BK12" s="2568"/>
      <c r="BL12" s="555">
        <f>IFERROR(BH12/$BH$16,0)</f>
        <v>0</v>
      </c>
      <c r="BM12" s="519"/>
      <c r="BO12" s="132"/>
      <c r="BP12" s="1757" t="s">
        <v>646</v>
      </c>
      <c r="BQ12" s="519"/>
      <c r="BZ12" s="523" t="str">
        <f t="array" ref="BZ12">IFERROR(INDEX($BP$8:$BP$18, SMALL(IF(NOT(ISBLANK($BP$8:$BP$18)), ROW($A$1:$A$16)), ROW(A7))),"")</f>
        <v/>
      </c>
    </row>
    <row r="13" spans="1:79" s="289" customFormat="1" ht="15" customHeight="1" outlineLevel="1" x14ac:dyDescent="0.3">
      <c r="B13" s="373"/>
      <c r="C13" s="2537">
        <f t="shared" si="2"/>
        <v>4</v>
      </c>
      <c r="D13" s="2538"/>
      <c r="E13" s="2534" t="str">
        <f>DASHBOARD!D49</f>
        <v>Plumbing</v>
      </c>
      <c r="F13" s="2535"/>
      <c r="G13" s="2535"/>
      <c r="H13" s="2535"/>
      <c r="I13" s="2535"/>
      <c r="J13" s="2535"/>
      <c r="K13" s="2535"/>
      <c r="L13" s="2536">
        <f>AX50</f>
        <v>0</v>
      </c>
      <c r="M13" s="2536"/>
      <c r="N13" s="2536"/>
      <c r="O13" s="2536"/>
      <c r="P13" s="550"/>
      <c r="Q13" s="2537">
        <f t="shared" si="3"/>
        <v>12</v>
      </c>
      <c r="R13" s="2538"/>
      <c r="S13" s="2534" t="str">
        <f>DASHBOARD!AP47</f>
        <v>Carpentry</v>
      </c>
      <c r="T13" s="2535"/>
      <c r="U13" s="2535"/>
      <c r="V13" s="2535"/>
      <c r="W13" s="2535"/>
      <c r="X13" s="2535"/>
      <c r="Y13" s="2535"/>
      <c r="Z13" s="2536">
        <f>AX114</f>
        <v>0</v>
      </c>
      <c r="AA13" s="2536"/>
      <c r="AB13" s="2536"/>
      <c r="AC13" s="2536"/>
      <c r="AD13" s="373"/>
      <c r="AE13" s="373"/>
      <c r="AF13" s="2534" t="str">
        <f>DASHBOARD!D71</f>
        <v>Bedroom #1</v>
      </c>
      <c r="AG13" s="2535"/>
      <c r="AH13" s="2535"/>
      <c r="AI13" s="2535"/>
      <c r="AJ13" s="2535"/>
      <c r="AK13" s="2535"/>
      <c r="AL13" s="2536">
        <f t="shared" ca="1" si="0"/>
        <v>0</v>
      </c>
      <c r="AM13" s="2536"/>
      <c r="AN13" s="2536"/>
      <c r="AO13" s="2536"/>
      <c r="AP13" s="553"/>
      <c r="AQ13" s="2534" t="str">
        <f>DASHBOARD!AP69</f>
        <v>General</v>
      </c>
      <c r="AR13" s="2535"/>
      <c r="AS13" s="2535"/>
      <c r="AT13" s="2535"/>
      <c r="AU13" s="2535"/>
      <c r="AV13" s="2535"/>
      <c r="AW13" s="2536">
        <f t="shared" ca="1" si="1"/>
        <v>0</v>
      </c>
      <c r="AX13" s="2536"/>
      <c r="AY13" s="2536"/>
      <c r="AZ13" s="2536"/>
      <c r="BA13" s="553"/>
      <c r="BB13" s="553"/>
      <c r="BC13" s="528" t="s">
        <v>616</v>
      </c>
      <c r="BD13" s="529"/>
      <c r="BE13" s="529"/>
      <c r="BF13" s="529"/>
      <c r="BG13" s="530"/>
      <c r="BH13" s="2540">
        <f>SUM(BH10:BK12)</f>
        <v>0</v>
      </c>
      <c r="BI13" s="2540"/>
      <c r="BJ13" s="2540"/>
      <c r="BK13" s="2540"/>
      <c r="BL13" s="556">
        <f>IFERROR(BH13/$BH$16,0)</f>
        <v>0</v>
      </c>
      <c r="BM13" s="519"/>
      <c r="BO13" s="132"/>
      <c r="BP13" s="1757" t="s">
        <v>648</v>
      </c>
      <c r="BQ13" s="519"/>
      <c r="BZ13" s="523" t="str">
        <f t="array" ref="BZ13">IFERROR(INDEX($BP$8:$BP$18, SMALL(IF(NOT(ISBLANK($BP$8:$BP$18)), ROW($A$1:$A$16)), ROW(A8))),"")</f>
        <v/>
      </c>
    </row>
    <row r="14" spans="1:79" s="289" customFormat="1" ht="15" customHeight="1" outlineLevel="1" x14ac:dyDescent="0.3">
      <c r="B14" s="373"/>
      <c r="C14" s="2537">
        <f t="shared" si="2"/>
        <v>5</v>
      </c>
      <c r="D14" s="2538"/>
      <c r="E14" s="2534" t="str">
        <f>DASHBOARD!D50</f>
        <v>Electrical</v>
      </c>
      <c r="F14" s="2535"/>
      <c r="G14" s="2535"/>
      <c r="H14" s="2535"/>
      <c r="I14" s="2535"/>
      <c r="J14" s="2535"/>
      <c r="K14" s="2535"/>
      <c r="L14" s="2536">
        <f>AX58</f>
        <v>0</v>
      </c>
      <c r="M14" s="2536"/>
      <c r="N14" s="2536"/>
      <c r="O14" s="2536"/>
      <c r="P14" s="550"/>
      <c r="Q14" s="2537">
        <f t="shared" si="3"/>
        <v>13</v>
      </c>
      <c r="R14" s="2538"/>
      <c r="S14" s="2534" t="str">
        <f>DASHBOARD!AP48</f>
        <v>Cabinets / Countertops</v>
      </c>
      <c r="T14" s="2535"/>
      <c r="U14" s="2535"/>
      <c r="V14" s="2535"/>
      <c r="W14" s="2535"/>
      <c r="X14" s="2535"/>
      <c r="Y14" s="2535"/>
      <c r="Z14" s="2536">
        <f>AX122</f>
        <v>0</v>
      </c>
      <c r="AA14" s="2536"/>
      <c r="AB14" s="2536"/>
      <c r="AC14" s="2536"/>
      <c r="AD14" s="373"/>
      <c r="AE14" s="373"/>
      <c r="AF14" s="2534" t="str">
        <f>DASHBOARD!D72</f>
        <v>Bedroom #2</v>
      </c>
      <c r="AG14" s="2535"/>
      <c r="AH14" s="2535"/>
      <c r="AI14" s="2535"/>
      <c r="AJ14" s="2535"/>
      <c r="AK14" s="2535"/>
      <c r="AL14" s="2536">
        <f t="shared" ca="1" si="0"/>
        <v>0</v>
      </c>
      <c r="AM14" s="2536"/>
      <c r="AN14" s="2536"/>
      <c r="AO14" s="2536"/>
      <c r="AP14" s="553"/>
      <c r="AQ14" s="2534" t="str">
        <f>DASHBOARD!AP70</f>
        <v>Basement</v>
      </c>
      <c r="AR14" s="2535"/>
      <c r="AS14" s="2535"/>
      <c r="AT14" s="2535"/>
      <c r="AU14" s="2535"/>
      <c r="AV14" s="2535"/>
      <c r="AW14" s="2536">
        <f t="shared" ca="1" si="1"/>
        <v>0</v>
      </c>
      <c r="AX14" s="2536"/>
      <c r="AY14" s="2536"/>
      <c r="AZ14" s="2536"/>
      <c r="BA14" s="553"/>
      <c r="BB14" s="553"/>
      <c r="BC14" s="527" t="s">
        <v>617</v>
      </c>
      <c r="BD14" s="238"/>
      <c r="BE14" s="238"/>
      <c r="BF14" s="238"/>
      <c r="BG14" s="22"/>
      <c r="BH14" s="2568">
        <f>IFERROR(BL14*$BH$16,0)</f>
        <v>0</v>
      </c>
      <c r="BI14" s="2568"/>
      <c r="BJ14" s="2568"/>
      <c r="BK14" s="2568"/>
      <c r="BL14" s="1756">
        <v>0.25</v>
      </c>
      <c r="BM14" s="519"/>
      <c r="BO14" s="132"/>
      <c r="BP14" s="1757" t="s">
        <v>650</v>
      </c>
      <c r="BQ14" s="519"/>
      <c r="BZ14" s="523" t="str">
        <f t="array" ref="BZ14">IFERROR(INDEX($BP$8:$BP$18, SMALL(IF(NOT(ISBLANK($BP$8:$BP$18)), ROW($A$1:$A$16)), ROW(A9))),"")</f>
        <v/>
      </c>
    </row>
    <row r="15" spans="1:79" s="289" customFormat="1" ht="15" customHeight="1" outlineLevel="1" x14ac:dyDescent="0.3">
      <c r="B15" s="373"/>
      <c r="C15" s="2537">
        <f t="shared" si="2"/>
        <v>6</v>
      </c>
      <c r="D15" s="2538"/>
      <c r="E15" s="2534" t="str">
        <f>DASHBOARD!W46</f>
        <v>Framing / Insulation</v>
      </c>
      <c r="F15" s="2535"/>
      <c r="G15" s="2535"/>
      <c r="H15" s="2535"/>
      <c r="I15" s="2535"/>
      <c r="J15" s="2535"/>
      <c r="K15" s="2535"/>
      <c r="L15" s="2536">
        <f>AX66</f>
        <v>0</v>
      </c>
      <c r="M15" s="2536"/>
      <c r="N15" s="2536"/>
      <c r="O15" s="2536"/>
      <c r="P15" s="550"/>
      <c r="Q15" s="2537">
        <f t="shared" si="3"/>
        <v>14</v>
      </c>
      <c r="R15" s="2538"/>
      <c r="S15" s="2534" t="str">
        <f>DASHBOARD!AP49</f>
        <v>Landscaping</v>
      </c>
      <c r="T15" s="2535"/>
      <c r="U15" s="2535"/>
      <c r="V15" s="2535"/>
      <c r="W15" s="2535"/>
      <c r="X15" s="2535"/>
      <c r="Y15" s="2535"/>
      <c r="Z15" s="2536">
        <f>AX130</f>
        <v>0</v>
      </c>
      <c r="AA15" s="2536"/>
      <c r="AB15" s="2536"/>
      <c r="AC15" s="2536"/>
      <c r="AD15" s="373"/>
      <c r="AE15" s="373"/>
      <c r="AF15" s="2534" t="str">
        <f>DASHBOARD!W68</f>
        <v>Bedroom #3</v>
      </c>
      <c r="AG15" s="2535"/>
      <c r="AH15" s="2535"/>
      <c r="AI15" s="2535"/>
      <c r="AJ15" s="2535"/>
      <c r="AK15" s="2535"/>
      <c r="AL15" s="2536">
        <f t="shared" ca="1" si="0"/>
        <v>0</v>
      </c>
      <c r="AM15" s="2536"/>
      <c r="AN15" s="2536"/>
      <c r="AO15" s="2536"/>
      <c r="AP15" s="553"/>
      <c r="AQ15" s="2534" t="str">
        <f>DASHBOARD!AP71</f>
        <v>Exterior</v>
      </c>
      <c r="AR15" s="2535"/>
      <c r="AS15" s="2535"/>
      <c r="AT15" s="2535"/>
      <c r="AU15" s="2535"/>
      <c r="AV15" s="2535"/>
      <c r="AW15" s="2536">
        <f t="shared" ca="1" si="1"/>
        <v>0</v>
      </c>
      <c r="AX15" s="2536"/>
      <c r="AY15" s="2536"/>
      <c r="AZ15" s="2536"/>
      <c r="BA15" s="553"/>
      <c r="BB15" s="553"/>
      <c r="BC15" s="373"/>
      <c r="BD15" s="373"/>
      <c r="BE15" s="373"/>
      <c r="BF15" s="373"/>
      <c r="BG15" s="373"/>
      <c r="BH15" s="552"/>
      <c r="BI15" s="552"/>
      <c r="BJ15" s="552"/>
      <c r="BK15" s="552"/>
      <c r="BL15" s="373"/>
      <c r="BM15" s="519"/>
      <c r="BO15" s="132"/>
      <c r="BP15" s="1757" t="s">
        <v>652</v>
      </c>
      <c r="BQ15" s="519"/>
      <c r="BZ15" s="523" t="str">
        <f t="array" ref="BZ15">IFERROR(INDEX($BP$8:$BP$18, SMALL(IF(NOT(ISBLANK($BP$8:$BP$18)), ROW($A$1:$A$16)), ROW(A10))),"")</f>
        <v/>
      </c>
    </row>
    <row r="16" spans="1:79" s="289" customFormat="1" ht="15" customHeight="1" outlineLevel="1" x14ac:dyDescent="0.3">
      <c r="B16" s="373"/>
      <c r="C16" s="2537">
        <f t="shared" si="2"/>
        <v>7</v>
      </c>
      <c r="D16" s="2538"/>
      <c r="E16" s="2534" t="str">
        <f>DASHBOARD!W47</f>
        <v>Carpentry</v>
      </c>
      <c r="F16" s="2535"/>
      <c r="G16" s="2535"/>
      <c r="H16" s="2535"/>
      <c r="I16" s="2535"/>
      <c r="J16" s="2535"/>
      <c r="K16" s="2535"/>
      <c r="L16" s="2536">
        <f>AX74</f>
        <v>0</v>
      </c>
      <c r="M16" s="2536"/>
      <c r="N16" s="2536"/>
      <c r="O16" s="2536"/>
      <c r="P16" s="550"/>
      <c r="Q16" s="2537">
        <f t="shared" si="3"/>
        <v>15</v>
      </c>
      <c r="R16" s="2538"/>
      <c r="S16" s="2534" t="str">
        <f>DASHBOARD!AP50</f>
        <v>Other</v>
      </c>
      <c r="T16" s="2535"/>
      <c r="U16" s="2535"/>
      <c r="V16" s="2535"/>
      <c r="W16" s="2535"/>
      <c r="X16" s="2535"/>
      <c r="Y16" s="2535"/>
      <c r="Z16" s="2536">
        <f>AX138</f>
        <v>0</v>
      </c>
      <c r="AA16" s="2536"/>
      <c r="AB16" s="2536"/>
      <c r="AC16" s="2536"/>
      <c r="AD16" s="373"/>
      <c r="AE16" s="373"/>
      <c r="AF16" s="2534" t="str">
        <f>DASHBOARD!W69</f>
        <v>Bedroom #4</v>
      </c>
      <c r="AG16" s="2535"/>
      <c r="AH16" s="2535"/>
      <c r="AI16" s="2535"/>
      <c r="AJ16" s="2535"/>
      <c r="AK16" s="2535"/>
      <c r="AL16" s="2536">
        <f t="shared" ca="1" si="0"/>
        <v>0</v>
      </c>
      <c r="AM16" s="2536"/>
      <c r="AN16" s="2536"/>
      <c r="AO16" s="2536"/>
      <c r="AP16" s="553"/>
      <c r="AQ16" s="2534" t="str">
        <f>DASHBOARD!AP72</f>
        <v>Other</v>
      </c>
      <c r="AR16" s="2535"/>
      <c r="AS16" s="2535"/>
      <c r="AT16" s="2535"/>
      <c r="AU16" s="2535"/>
      <c r="AV16" s="2535"/>
      <c r="AW16" s="2536">
        <f t="shared" ca="1" si="1"/>
        <v>0</v>
      </c>
      <c r="AX16" s="2536"/>
      <c r="AY16" s="2536"/>
      <c r="AZ16" s="2536"/>
      <c r="BA16" s="553"/>
      <c r="BB16" s="553"/>
      <c r="BC16" s="2574" t="s">
        <v>618</v>
      </c>
      <c r="BD16" s="2575"/>
      <c r="BE16" s="2575"/>
      <c r="BF16" s="2575"/>
      <c r="BG16" s="2575"/>
      <c r="BH16" s="2578">
        <f>BH13/(1-BL14)</f>
        <v>0</v>
      </c>
      <c r="BI16" s="2578"/>
      <c r="BJ16" s="2578"/>
      <c r="BK16" s="2578"/>
      <c r="BL16" s="2569">
        <f>SUM(BL13:BM14)</f>
        <v>0.25</v>
      </c>
      <c r="BM16" s="519"/>
      <c r="BO16" s="132"/>
      <c r="BP16" s="1757" t="s">
        <v>654</v>
      </c>
      <c r="BQ16" s="519"/>
      <c r="BZ16" s="523" t="str">
        <f t="array" ref="BZ16">IFERROR(INDEX($BP$8:$BP$18, SMALL(IF(NOT(ISBLANK($BP$8:$BP$18)), ROW($A$1:$A$16)), ROW(A11))),"")</f>
        <v/>
      </c>
    </row>
    <row r="17" spans="1:79" s="289" customFormat="1" x14ac:dyDescent="0.3">
      <c r="B17" s="373"/>
      <c r="C17" s="2537">
        <f t="shared" si="2"/>
        <v>8</v>
      </c>
      <c r="D17" s="2538"/>
      <c r="E17" s="2572" t="str">
        <f>DASHBOARD!W48</f>
        <v>Cabinets / Countertops</v>
      </c>
      <c r="F17" s="2573"/>
      <c r="G17" s="2573"/>
      <c r="H17" s="2573"/>
      <c r="I17" s="2573"/>
      <c r="J17" s="2573"/>
      <c r="K17" s="2573"/>
      <c r="L17" s="2536">
        <f>AX82</f>
        <v>0</v>
      </c>
      <c r="M17" s="2536"/>
      <c r="N17" s="2536"/>
      <c r="O17" s="2536"/>
      <c r="P17" s="550"/>
      <c r="Q17" s="549"/>
      <c r="R17" s="373"/>
      <c r="S17" s="373"/>
      <c r="T17" s="373"/>
      <c r="U17" s="373"/>
      <c r="V17" s="373"/>
      <c r="W17" s="373"/>
      <c r="X17" s="373"/>
      <c r="Y17" s="373"/>
      <c r="Z17" s="373"/>
      <c r="AA17" s="373"/>
      <c r="AB17" s="373"/>
      <c r="AC17" s="373"/>
      <c r="AD17" s="373"/>
      <c r="AE17" s="373"/>
      <c r="AF17" s="2534" t="str">
        <f>DASHBOARD!W70</f>
        <v>Bathroom #1</v>
      </c>
      <c r="AG17" s="2535"/>
      <c r="AH17" s="2535"/>
      <c r="AI17" s="2535"/>
      <c r="AJ17" s="2535"/>
      <c r="AK17" s="2535"/>
      <c r="AL17" s="2571">
        <f t="shared" ca="1" si="0"/>
        <v>0</v>
      </c>
      <c r="AM17" s="2571"/>
      <c r="AN17" s="2571"/>
      <c r="AO17" s="2571"/>
      <c r="AP17" s="553"/>
      <c r="AQ17" s="2534"/>
      <c r="AR17" s="2535"/>
      <c r="AS17" s="2535"/>
      <c r="AT17" s="2535"/>
      <c r="AU17" s="2535"/>
      <c r="AV17" s="2535"/>
      <c r="AW17" s="2571"/>
      <c r="AX17" s="2571"/>
      <c r="AY17" s="2571"/>
      <c r="AZ17" s="2571"/>
      <c r="BA17" s="553"/>
      <c r="BB17" s="553"/>
      <c r="BC17" s="2576"/>
      <c r="BD17" s="2577"/>
      <c r="BE17" s="2577"/>
      <c r="BF17" s="2577"/>
      <c r="BG17" s="2577"/>
      <c r="BH17" s="2579"/>
      <c r="BI17" s="2579"/>
      <c r="BJ17" s="2579"/>
      <c r="BK17" s="2579"/>
      <c r="BL17" s="2570"/>
      <c r="BM17" s="519"/>
      <c r="BO17" s="132"/>
      <c r="BP17" s="1757" t="s">
        <v>656</v>
      </c>
      <c r="BQ17" s="519"/>
      <c r="BZ17" s="523" t="str">
        <f t="array" ref="BZ17">IFERROR(INDEX($BP$8:$BP$18, SMALL(IF(NOT(ISBLANK($BP$8:$BP$18)), ROW($A$1:$A$16)), ROW(A12))),"")</f>
        <v/>
      </c>
    </row>
    <row r="18" spans="1:79" s="289" customFormat="1" x14ac:dyDescent="0.3">
      <c r="B18" s="373"/>
      <c r="C18" s="373"/>
      <c r="D18" s="373"/>
      <c r="E18" s="373"/>
      <c r="F18" s="373"/>
      <c r="G18" s="373"/>
      <c r="H18" s="373"/>
      <c r="I18" s="373"/>
      <c r="J18" s="373"/>
      <c r="K18" s="373"/>
      <c r="L18" s="373"/>
      <c r="M18" s="373"/>
      <c r="N18" s="373"/>
      <c r="O18" s="373"/>
      <c r="P18" s="373"/>
      <c r="Q18" s="373"/>
      <c r="R18" s="373"/>
      <c r="S18" s="373"/>
      <c r="T18" s="373"/>
      <c r="U18" s="373"/>
      <c r="V18" s="373"/>
      <c r="W18" s="373"/>
      <c r="X18" s="373"/>
      <c r="Y18" s="373"/>
      <c r="Z18" s="373"/>
      <c r="AA18" s="373"/>
      <c r="AB18" s="373"/>
      <c r="AC18" s="373"/>
      <c r="AD18" s="373"/>
      <c r="AE18" s="373"/>
      <c r="AF18" s="373"/>
      <c r="AG18" s="373"/>
      <c r="AH18" s="373"/>
      <c r="AI18" s="373"/>
      <c r="AJ18" s="373"/>
      <c r="AK18" s="373"/>
      <c r="AL18" s="373"/>
      <c r="AM18" s="373"/>
      <c r="AN18" s="531"/>
      <c r="AO18" s="531"/>
      <c r="AP18" s="531"/>
      <c r="AQ18" s="531"/>
      <c r="AR18" s="531"/>
      <c r="AS18" s="531"/>
      <c r="AT18" s="531"/>
      <c r="AU18" s="531"/>
      <c r="AV18" s="531"/>
      <c r="AW18" s="531"/>
      <c r="AX18" s="531"/>
      <c r="AY18" s="531"/>
      <c r="AZ18" s="531"/>
      <c r="BA18" s="531"/>
      <c r="BB18" s="531"/>
      <c r="BC18" s="531"/>
      <c r="BD18" s="531"/>
      <c r="BE18" s="553"/>
      <c r="BF18" s="553"/>
      <c r="BG18" s="553"/>
      <c r="BH18" s="553"/>
      <c r="BI18" s="553"/>
      <c r="BJ18" s="531"/>
      <c r="BK18" s="531"/>
      <c r="BL18" s="531"/>
      <c r="BM18" s="532"/>
      <c r="BO18" s="132"/>
      <c r="BP18" s="545"/>
      <c r="BQ18" s="519"/>
      <c r="BZ18" s="523" t="str">
        <f t="array" ref="BZ18">IFERROR(INDEX($BP$8:$BP$18, SMALL(IF(NOT(ISBLANK($BP$8:$BP$18)), ROW($A$1:$A$16)), ROW(A13))),"")</f>
        <v/>
      </c>
    </row>
    <row r="19" spans="1:79" s="289" customFormat="1" x14ac:dyDescent="0.3">
      <c r="B19" s="533"/>
      <c r="C19" s="533"/>
      <c r="D19" s="533"/>
      <c r="E19" s="533"/>
      <c r="H19" s="533"/>
      <c r="I19" s="533"/>
      <c r="J19" s="533"/>
      <c r="K19" s="533"/>
      <c r="L19" s="533"/>
      <c r="M19" s="533"/>
      <c r="N19" s="533"/>
      <c r="O19" s="533"/>
      <c r="P19" s="515"/>
      <c r="Q19" s="515"/>
      <c r="R19" s="533"/>
      <c r="S19" s="533"/>
      <c r="T19" s="533"/>
      <c r="U19" s="533"/>
      <c r="V19" s="533"/>
      <c r="W19" s="533"/>
      <c r="X19" s="533"/>
      <c r="Y19" s="533"/>
      <c r="Z19" s="533"/>
      <c r="AA19" s="533"/>
      <c r="AB19" s="533"/>
      <c r="AC19" s="533"/>
      <c r="AD19" s="533"/>
      <c r="AE19" s="533"/>
      <c r="AF19" s="533"/>
      <c r="AG19" s="533"/>
      <c r="AH19" s="533"/>
      <c r="AI19" s="533"/>
      <c r="AJ19" s="533"/>
      <c r="AK19" s="533"/>
      <c r="AL19" s="294"/>
      <c r="AM19" s="294"/>
      <c r="AN19" s="294"/>
      <c r="AO19" s="534"/>
      <c r="AP19" s="376"/>
      <c r="AQ19" s="376"/>
      <c r="AR19" s="376"/>
      <c r="AS19" s="376"/>
      <c r="AT19" s="376"/>
      <c r="AU19" s="376"/>
      <c r="AV19" s="376"/>
      <c r="AW19" s="376"/>
      <c r="AX19" s="376"/>
      <c r="AY19" s="376"/>
      <c r="AZ19" s="376"/>
      <c r="BA19" s="376"/>
      <c r="BB19" s="376"/>
      <c r="BC19" s="376"/>
      <c r="BD19" s="376"/>
      <c r="BE19" s="376"/>
      <c r="BF19" s="376"/>
      <c r="BG19" s="376"/>
      <c r="BH19" s="376"/>
      <c r="BI19" s="376"/>
      <c r="BJ19" s="376"/>
      <c r="BK19" s="376"/>
      <c r="BL19" s="376"/>
      <c r="BS19" s="376"/>
      <c r="BT19" s="376"/>
    </row>
    <row r="20" spans="1:79" s="289" customFormat="1" x14ac:dyDescent="0.3">
      <c r="B20" s="533"/>
      <c r="C20" s="533"/>
      <c r="D20" s="533"/>
      <c r="E20" s="533"/>
      <c r="H20" s="533"/>
      <c r="I20" s="533"/>
      <c r="J20" s="533"/>
      <c r="K20" s="533"/>
      <c r="L20" s="533"/>
      <c r="M20" s="533"/>
      <c r="N20" s="533"/>
      <c r="O20" s="533"/>
      <c r="P20" s="515"/>
      <c r="Q20" s="515"/>
      <c r="R20" s="533"/>
      <c r="S20" s="533"/>
      <c r="T20" s="533"/>
      <c r="U20" s="533"/>
      <c r="V20" s="533"/>
      <c r="W20" s="533"/>
      <c r="X20" s="533"/>
      <c r="Y20" s="533"/>
      <c r="Z20" s="533"/>
      <c r="AA20" s="533"/>
      <c r="AB20" s="533"/>
      <c r="AC20" s="533"/>
      <c r="AD20" s="533"/>
      <c r="AE20" s="533"/>
      <c r="AF20" s="533"/>
      <c r="AG20" s="533"/>
      <c r="AH20" s="533"/>
      <c r="AI20" s="533"/>
      <c r="AJ20" s="533"/>
      <c r="AK20" s="533"/>
      <c r="AL20" s="294"/>
      <c r="AM20" s="294"/>
      <c r="AN20" s="294"/>
      <c r="AO20" s="534"/>
      <c r="AP20" s="376"/>
      <c r="AQ20" s="376"/>
      <c r="AR20" s="376"/>
      <c r="AS20" s="376"/>
      <c r="AT20" s="376"/>
      <c r="AU20" s="376"/>
      <c r="AV20" s="376"/>
      <c r="AW20" s="376"/>
      <c r="AX20" s="376"/>
      <c r="AY20" s="376"/>
      <c r="AZ20" s="376"/>
      <c r="BA20" s="376"/>
      <c r="BB20" s="376"/>
      <c r="BC20" s="376"/>
      <c r="BD20" s="376"/>
      <c r="BE20" s="376"/>
      <c r="BF20" s="376"/>
      <c r="BG20" s="376"/>
      <c r="BH20" s="376"/>
      <c r="BI20" s="376"/>
      <c r="BJ20" s="376"/>
      <c r="BK20" s="376"/>
      <c r="BL20" s="376"/>
      <c r="BP20" s="1610"/>
      <c r="BS20" s="376"/>
      <c r="BT20" s="376"/>
    </row>
    <row r="21" spans="1:79" ht="15.75" customHeight="1" x14ac:dyDescent="0.3">
      <c r="A21" s="289"/>
      <c r="B21" s="599" t="s">
        <v>657</v>
      </c>
      <c r="C21" s="521"/>
      <c r="D21" s="521"/>
      <c r="E21" s="521"/>
      <c r="F21" s="521"/>
      <c r="G21" s="521"/>
      <c r="H21" s="521"/>
      <c r="I21" s="521"/>
      <c r="J21" s="521"/>
      <c r="K21" s="521"/>
      <c r="L21" s="521"/>
      <c r="M21" s="521"/>
      <c r="N21" s="521"/>
      <c r="O21" s="521"/>
      <c r="P21" s="521"/>
      <c r="Q21" s="521"/>
      <c r="R21" s="521"/>
      <c r="S21" s="521"/>
      <c r="T21" s="521"/>
      <c r="U21" s="521"/>
      <c r="V21" s="521"/>
      <c r="W21" s="521"/>
      <c r="X21" s="521"/>
      <c r="Y21" s="521"/>
      <c r="Z21" s="521"/>
      <c r="AA21" s="521"/>
      <c r="AB21" s="521"/>
      <c r="AC21" s="521"/>
      <c r="AD21" s="521"/>
      <c r="AE21" s="521"/>
      <c r="AF21" s="521"/>
      <c r="AG21" s="521"/>
      <c r="AH21" s="521"/>
      <c r="AI21" s="521"/>
      <c r="AJ21" s="521"/>
      <c r="AK21" s="521"/>
      <c r="AL21" s="521"/>
      <c r="AM21" s="521"/>
      <c r="AN21" s="521"/>
      <c r="AO21" s="521"/>
      <c r="AP21" s="521"/>
      <c r="AQ21" s="521"/>
      <c r="AR21" s="521"/>
      <c r="AS21" s="521"/>
      <c r="AT21" s="521"/>
      <c r="AU21" s="521"/>
      <c r="AV21" s="521"/>
      <c r="AW21" s="521"/>
      <c r="AX21" s="521"/>
      <c r="AY21" s="521"/>
      <c r="AZ21" s="521"/>
      <c r="BA21" s="521"/>
      <c r="BB21" s="521"/>
      <c r="BC21" s="521"/>
      <c r="BD21" s="521"/>
      <c r="BE21" s="521"/>
      <c r="BF21" s="521"/>
      <c r="BG21" s="521"/>
      <c r="BH21" s="521"/>
      <c r="BI21" s="521"/>
      <c r="BJ21" s="521"/>
      <c r="BK21" s="521"/>
      <c r="BL21" s="600" t="s">
        <v>658</v>
      </c>
      <c r="BM21" s="521"/>
      <c r="BN21" s="289"/>
      <c r="BO21" s="289"/>
      <c r="BP21" s="289"/>
      <c r="BQ21" s="289"/>
      <c r="BR21" s="289"/>
      <c r="BS21" s="289"/>
      <c r="BT21" s="289"/>
      <c r="BU21" s="289"/>
      <c r="BV21" s="289"/>
      <c r="BW21" s="289"/>
      <c r="BX21" s="289"/>
      <c r="BY21" s="289"/>
      <c r="BZ21" s="289"/>
      <c r="CA21" s="289"/>
    </row>
    <row r="22" spans="1:79" ht="15.75" customHeight="1" thickBot="1" x14ac:dyDescent="0.35">
      <c r="A22" s="289"/>
      <c r="B22" s="373"/>
      <c r="C22" s="373"/>
      <c r="D22" s="373"/>
      <c r="E22" s="373"/>
      <c r="F22" s="373"/>
      <c r="G22" s="373"/>
      <c r="H22" s="373"/>
      <c r="I22" s="373"/>
      <c r="J22" s="373"/>
      <c r="K22" s="373"/>
      <c r="L22" s="373"/>
      <c r="M22" s="373"/>
      <c r="N22" s="373"/>
      <c r="O22" s="373"/>
      <c r="P22" s="373"/>
      <c r="Q22" s="373"/>
      <c r="R22" s="373"/>
      <c r="S22" s="373"/>
      <c r="T22" s="373"/>
      <c r="U22" s="373"/>
      <c r="V22" s="373"/>
      <c r="W22" s="373"/>
      <c r="X22" s="373"/>
      <c r="Y22" s="373"/>
      <c r="Z22" s="373"/>
      <c r="AA22" s="373"/>
      <c r="AB22" s="373"/>
      <c r="AC22" s="373"/>
      <c r="AD22" s="373"/>
      <c r="AE22" s="373"/>
      <c r="AF22" s="373"/>
      <c r="AG22" s="373"/>
      <c r="AH22" s="373"/>
      <c r="AI22" s="373"/>
      <c r="AJ22" s="373"/>
      <c r="AK22" s="373"/>
      <c r="AL22" s="373"/>
      <c r="AM22" s="373"/>
      <c r="AN22" s="373"/>
      <c r="AO22" s="373"/>
      <c r="AP22" s="373"/>
      <c r="AQ22" s="373"/>
      <c r="AR22" s="373"/>
      <c r="AS22" s="373"/>
      <c r="AT22" s="373"/>
      <c r="AU22" s="373"/>
      <c r="AV22" s="373"/>
      <c r="AW22" s="373"/>
      <c r="AX22" s="373"/>
      <c r="AY22" s="373"/>
      <c r="AZ22" s="373"/>
      <c r="BA22" s="373"/>
      <c r="BB22" s="373"/>
      <c r="BC22" s="373"/>
      <c r="BD22" s="373"/>
      <c r="BE22" s="373"/>
      <c r="BF22" s="373"/>
      <c r="BG22" s="373"/>
      <c r="BH22" s="373"/>
      <c r="BI22" s="373"/>
      <c r="BJ22" s="373"/>
      <c r="BK22" s="373"/>
      <c r="BL22" s="546" t="s">
        <v>1149</v>
      </c>
      <c r="BM22" s="373"/>
      <c r="BN22" s="289"/>
      <c r="BO22" s="289"/>
      <c r="BP22" s="289"/>
      <c r="BQ22" s="289"/>
      <c r="BR22" s="289"/>
      <c r="BS22" s="289"/>
      <c r="BT22" s="289"/>
      <c r="BU22" s="289"/>
      <c r="BV22" s="289"/>
      <c r="BW22" s="289"/>
      <c r="BX22" s="289"/>
      <c r="BY22" s="289"/>
      <c r="BZ22" s="289"/>
      <c r="CA22" s="289"/>
    </row>
    <row r="23" spans="1:79" ht="15.75" customHeight="1" x14ac:dyDescent="0.3">
      <c r="B23" s="373"/>
      <c r="C23" s="2541" t="s">
        <v>293</v>
      </c>
      <c r="D23" s="2541"/>
      <c r="E23" s="2541"/>
      <c r="F23" s="2541"/>
      <c r="G23" s="2541"/>
      <c r="H23" s="2541"/>
      <c r="I23" s="2541"/>
      <c r="J23" s="2541"/>
      <c r="K23" s="2541"/>
      <c r="L23" s="2541"/>
      <c r="M23" s="2542" t="s">
        <v>625</v>
      </c>
      <c r="N23" s="2542"/>
      <c r="O23" s="2542"/>
      <c r="P23" s="2542"/>
      <c r="Q23" s="2542"/>
      <c r="R23" s="2542"/>
      <c r="S23" s="2542"/>
      <c r="T23" s="2542"/>
      <c r="U23" s="2542"/>
      <c r="V23" s="2542"/>
      <c r="W23" s="2542"/>
      <c r="X23" s="2543"/>
      <c r="Y23" s="2544" t="s">
        <v>659</v>
      </c>
      <c r="Z23" s="2545"/>
      <c r="AA23" s="2545"/>
      <c r="AB23" s="2545"/>
      <c r="AC23" s="2545"/>
      <c r="AD23" s="2545"/>
      <c r="AE23" s="2545"/>
      <c r="AF23" s="2545"/>
      <c r="AG23" s="2545"/>
      <c r="AH23" s="2545"/>
      <c r="AI23" s="2545"/>
      <c r="AJ23" s="2546"/>
      <c r="AK23" s="2547" t="s">
        <v>66</v>
      </c>
      <c r="AL23" s="2548"/>
      <c r="AM23" s="2548"/>
      <c r="AN23" s="2548"/>
      <c r="AO23" s="2548"/>
      <c r="AP23" s="2548"/>
      <c r="AQ23" s="2548"/>
      <c r="AR23" s="2548"/>
      <c r="AS23" s="2548"/>
      <c r="AT23" s="2548"/>
      <c r="AU23" s="2548"/>
      <c r="AV23" s="2548"/>
      <c r="AW23" s="373"/>
      <c r="AX23" s="2549" t="s">
        <v>660</v>
      </c>
      <c r="AY23" s="2550"/>
      <c r="AZ23" s="2550"/>
      <c r="BA23" s="2550"/>
      <c r="BB23" s="2551"/>
      <c r="BC23" s="132"/>
      <c r="BD23" s="2555" t="s">
        <v>661</v>
      </c>
      <c r="BE23" s="2556"/>
      <c r="BF23" s="2556"/>
      <c r="BG23" s="2556"/>
      <c r="BH23" s="2556"/>
      <c r="BI23" s="2556"/>
      <c r="BJ23" s="2557"/>
      <c r="BK23" s="373"/>
      <c r="BL23" s="132"/>
      <c r="BM23" s="373"/>
    </row>
    <row r="24" spans="1:79" s="536" customFormat="1" ht="14.4" thickBot="1" x14ac:dyDescent="0.35">
      <c r="A24" s="283"/>
      <c r="B24" s="373"/>
      <c r="C24" s="2541"/>
      <c r="D24" s="2541"/>
      <c r="E24" s="2541"/>
      <c r="F24" s="2541"/>
      <c r="G24" s="2541"/>
      <c r="H24" s="2541"/>
      <c r="I24" s="2541"/>
      <c r="J24" s="2541"/>
      <c r="K24" s="2541"/>
      <c r="L24" s="2541"/>
      <c r="M24" s="2533" t="s">
        <v>662</v>
      </c>
      <c r="N24" s="2529"/>
      <c r="O24" s="2529"/>
      <c r="P24" s="2529" t="s">
        <v>413</v>
      </c>
      <c r="Q24" s="2529"/>
      <c r="R24" s="2529"/>
      <c r="S24" s="2529" t="s">
        <v>663</v>
      </c>
      <c r="T24" s="2529"/>
      <c r="U24" s="2529"/>
      <c r="V24" s="2531" t="s">
        <v>20</v>
      </c>
      <c r="W24" s="2531"/>
      <c r="X24" s="2531"/>
      <c r="Y24" s="2529" t="s">
        <v>662</v>
      </c>
      <c r="Z24" s="2529"/>
      <c r="AA24" s="2529"/>
      <c r="AB24" s="2529" t="s">
        <v>413</v>
      </c>
      <c r="AC24" s="2529"/>
      <c r="AD24" s="2529"/>
      <c r="AE24" s="2529" t="s">
        <v>663</v>
      </c>
      <c r="AF24" s="2529"/>
      <c r="AG24" s="2529"/>
      <c r="AH24" s="2531" t="s">
        <v>20</v>
      </c>
      <c r="AI24" s="2531"/>
      <c r="AJ24" s="2531"/>
      <c r="AK24" s="2529" t="s">
        <v>662</v>
      </c>
      <c r="AL24" s="2529"/>
      <c r="AM24" s="2529"/>
      <c r="AN24" s="2529" t="s">
        <v>413</v>
      </c>
      <c r="AO24" s="2529"/>
      <c r="AP24" s="2529"/>
      <c r="AQ24" s="2529" t="s">
        <v>663</v>
      </c>
      <c r="AR24" s="2529"/>
      <c r="AS24" s="2530"/>
      <c r="AT24" s="2531" t="s">
        <v>20</v>
      </c>
      <c r="AU24" s="2531"/>
      <c r="AV24" s="2532"/>
      <c r="AW24" s="373"/>
      <c r="AX24" s="2552"/>
      <c r="AY24" s="2553"/>
      <c r="AZ24" s="2553"/>
      <c r="BA24" s="2553"/>
      <c r="BB24" s="2554"/>
      <c r="BC24" s="132"/>
      <c r="BD24" s="2558"/>
      <c r="BE24" s="2559"/>
      <c r="BF24" s="2559"/>
      <c r="BG24" s="2559"/>
      <c r="BH24" s="2559"/>
      <c r="BI24" s="2559"/>
      <c r="BJ24" s="2560"/>
      <c r="BK24" s="373"/>
      <c r="BL24" s="132"/>
      <c r="BM24" s="373"/>
      <c r="BN24" s="283"/>
      <c r="BO24" s="283"/>
      <c r="BP24" s="283"/>
      <c r="BQ24" s="283"/>
      <c r="BR24" s="283"/>
      <c r="BS24" s="283"/>
      <c r="BT24" s="283"/>
      <c r="BU24" s="283"/>
      <c r="BV24" s="283"/>
      <c r="BW24" s="283"/>
      <c r="BX24" s="283"/>
      <c r="BY24" s="283"/>
      <c r="BZ24" s="283"/>
      <c r="CA24" s="283"/>
    </row>
    <row r="25" spans="1:79" ht="3.75" customHeight="1" thickBot="1" x14ac:dyDescent="0.35">
      <c r="B25" s="535"/>
      <c r="C25" s="373"/>
      <c r="D25" s="373"/>
      <c r="E25" s="373"/>
      <c r="F25" s="373"/>
      <c r="G25" s="373"/>
      <c r="H25" s="373"/>
      <c r="I25" s="373"/>
      <c r="J25" s="373"/>
      <c r="K25" s="373"/>
      <c r="L25" s="373"/>
      <c r="M25" s="373"/>
      <c r="N25" s="373"/>
      <c r="O25" s="373"/>
      <c r="P25" s="373"/>
      <c r="Q25" s="373"/>
      <c r="R25" s="373"/>
      <c r="S25" s="373"/>
      <c r="T25" s="373"/>
      <c r="U25" s="373"/>
      <c r="V25" s="373"/>
      <c r="W25" s="373"/>
      <c r="X25" s="373"/>
      <c r="Y25" s="373"/>
      <c r="Z25" s="373"/>
      <c r="AA25" s="373"/>
      <c r="AB25" s="373"/>
      <c r="AC25" s="373"/>
      <c r="AD25" s="373"/>
      <c r="AE25" s="373"/>
      <c r="AF25" s="373"/>
      <c r="AG25" s="373"/>
      <c r="AH25" s="373"/>
      <c r="AI25" s="373"/>
      <c r="AJ25" s="15"/>
      <c r="AK25" s="373"/>
      <c r="AL25" s="373"/>
      <c r="AM25" s="373"/>
      <c r="AN25" s="373"/>
      <c r="AO25" s="373"/>
      <c r="AP25" s="373"/>
      <c r="AQ25" s="373"/>
      <c r="AR25" s="373"/>
      <c r="AS25" s="373"/>
      <c r="AT25" s="15"/>
      <c r="AU25" s="15"/>
      <c r="AV25" s="15"/>
      <c r="AW25" s="373"/>
      <c r="AX25" s="15"/>
      <c r="AY25" s="132"/>
      <c r="AZ25" s="132"/>
      <c r="BA25" s="132"/>
      <c r="BB25" s="132"/>
      <c r="BC25" s="132"/>
      <c r="BD25" s="132"/>
      <c r="BE25" s="132"/>
      <c r="BF25" s="132"/>
      <c r="BG25" s="132"/>
      <c r="BH25" s="132"/>
      <c r="BI25" s="132"/>
      <c r="BJ25" s="132"/>
      <c r="BK25" s="373"/>
      <c r="BL25" s="132"/>
      <c r="BM25" s="373"/>
    </row>
    <row r="26" spans="1:79" s="289" customFormat="1" ht="15" customHeight="1" outlineLevel="1" thickBot="1" x14ac:dyDescent="0.25">
      <c r="A26" s="536"/>
      <c r="B26" s="373"/>
      <c r="C26" s="2524" t="s">
        <v>664</v>
      </c>
      <c r="D26" s="2525"/>
      <c r="E26" s="380" t="str">
        <f>UPPER($E$10)</f>
        <v>EXTERIOR</v>
      </c>
      <c r="F26" s="537"/>
      <c r="G26" s="537"/>
      <c r="H26" s="537"/>
      <c r="I26" s="537"/>
      <c r="J26" s="537"/>
      <c r="K26" s="537"/>
      <c r="L26" s="537"/>
      <c r="M26" s="537"/>
      <c r="N26" s="537"/>
      <c r="O26" s="537"/>
      <c r="P26" s="537"/>
      <c r="Q26" s="537"/>
      <c r="R26" s="537"/>
      <c r="S26" s="537"/>
      <c r="T26" s="537"/>
      <c r="U26" s="537"/>
      <c r="V26" s="2508">
        <f>SUM(V28:X32)</f>
        <v>0</v>
      </c>
      <c r="W26" s="2508"/>
      <c r="X26" s="2508"/>
      <c r="Y26" s="537"/>
      <c r="Z26" s="537"/>
      <c r="AA26" s="537"/>
      <c r="AB26" s="537"/>
      <c r="AC26" s="537"/>
      <c r="AD26" s="537"/>
      <c r="AE26" s="537"/>
      <c r="AF26" s="537"/>
      <c r="AG26" s="537"/>
      <c r="AH26" s="2508">
        <f>SUM(AH28:AJ32)</f>
        <v>0</v>
      </c>
      <c r="AI26" s="2508"/>
      <c r="AJ26" s="2508"/>
      <c r="AK26" s="537"/>
      <c r="AL26" s="537"/>
      <c r="AM26" s="537"/>
      <c r="AN26" s="537"/>
      <c r="AO26" s="537"/>
      <c r="AP26" s="537"/>
      <c r="AQ26" s="537"/>
      <c r="AR26" s="537"/>
      <c r="AS26" s="538"/>
      <c r="AT26" s="2508">
        <f>SUM(AT28:AV32)</f>
        <v>0</v>
      </c>
      <c r="AU26" s="2508"/>
      <c r="AV26" s="2508"/>
      <c r="AW26" s="373"/>
      <c r="AX26" s="2526">
        <f>SUM(AX28:BB32)</f>
        <v>0</v>
      </c>
      <c r="AY26" s="2526"/>
      <c r="AZ26" s="2526"/>
      <c r="BA26" s="2526"/>
      <c r="BB26" s="2526"/>
      <c r="BC26" s="539" t="s">
        <v>619</v>
      </c>
      <c r="BD26" s="540"/>
      <c r="BE26" s="541"/>
      <c r="BF26" s="541"/>
      <c r="BG26" s="541"/>
      <c r="BH26" s="541"/>
      <c r="BI26" s="541"/>
      <c r="BJ26" s="541"/>
      <c r="BK26" s="373"/>
      <c r="BL26" s="132"/>
      <c r="BM26" s="373"/>
      <c r="BN26" s="536"/>
      <c r="BO26" s="536"/>
      <c r="BP26" s="536"/>
      <c r="BQ26" s="536"/>
      <c r="BR26" s="536"/>
      <c r="BS26" s="536"/>
      <c r="BT26" s="536"/>
      <c r="BU26" s="536"/>
      <c r="BV26" s="536"/>
      <c r="BW26" s="536"/>
      <c r="BX26" s="536"/>
      <c r="BY26" s="536"/>
      <c r="BZ26" s="536"/>
      <c r="CA26" s="536"/>
    </row>
    <row r="27" spans="1:79" s="289" customFormat="1" outlineLevel="1" x14ac:dyDescent="0.3">
      <c r="A27" s="283"/>
      <c r="B27" s="373"/>
      <c r="C27" s="373"/>
      <c r="D27" s="373"/>
      <c r="E27" s="373"/>
      <c r="F27" s="373"/>
      <c r="G27" s="373"/>
      <c r="H27" s="373"/>
      <c r="I27" s="373"/>
      <c r="J27" s="373"/>
      <c r="K27" s="373"/>
      <c r="L27" s="373"/>
      <c r="M27" s="373"/>
      <c r="N27" s="373"/>
      <c r="O27" s="373"/>
      <c r="P27" s="373"/>
      <c r="Q27" s="373"/>
      <c r="R27" s="373"/>
      <c r="S27" s="373"/>
      <c r="T27" s="373"/>
      <c r="U27" s="373"/>
      <c r="V27" s="373"/>
      <c r="W27" s="373"/>
      <c r="X27" s="373"/>
      <c r="Y27" s="373"/>
      <c r="Z27" s="373"/>
      <c r="AA27" s="373"/>
      <c r="AB27" s="373"/>
      <c r="AC27" s="373"/>
      <c r="AD27" s="373"/>
      <c r="AE27" s="373"/>
      <c r="AF27" s="373"/>
      <c r="AG27" s="373"/>
      <c r="AH27" s="373"/>
      <c r="AI27" s="373"/>
      <c r="AJ27" s="15"/>
      <c r="AK27" s="373"/>
      <c r="AL27" s="373"/>
      <c r="AM27" s="373"/>
      <c r="AN27" s="373"/>
      <c r="AO27" s="373"/>
      <c r="AP27" s="373"/>
      <c r="AQ27" s="373"/>
      <c r="AR27" s="373"/>
      <c r="AS27" s="373"/>
      <c r="AT27" s="15"/>
      <c r="AU27" s="15"/>
      <c r="AV27" s="15"/>
      <c r="AW27" s="373"/>
      <c r="AX27" s="15"/>
      <c r="AY27" s="132"/>
      <c r="AZ27" s="132"/>
      <c r="BA27" s="132"/>
      <c r="BB27" s="132"/>
      <c r="BC27" s="539" t="s">
        <v>619</v>
      </c>
      <c r="BD27" s="132"/>
      <c r="BE27" s="132"/>
      <c r="BF27" s="132"/>
      <c r="BG27" s="132"/>
      <c r="BH27" s="132"/>
      <c r="BI27" s="132"/>
      <c r="BJ27" s="132"/>
      <c r="BK27" s="373"/>
      <c r="BL27" s="132"/>
      <c r="BM27" s="373"/>
      <c r="BN27" s="283"/>
      <c r="BO27" s="283"/>
      <c r="BP27" s="283"/>
      <c r="BQ27" s="283"/>
      <c r="BR27" s="283"/>
      <c r="BS27" s="283"/>
      <c r="BT27" s="283"/>
      <c r="BU27" s="283"/>
      <c r="BV27" s="283"/>
      <c r="BW27" s="283"/>
      <c r="BX27" s="283"/>
      <c r="BY27" s="283"/>
      <c r="BZ27" s="283"/>
      <c r="CA27" s="283"/>
    </row>
    <row r="28" spans="1:79" s="289" customFormat="1" outlineLevel="1" x14ac:dyDescent="0.3">
      <c r="A28" s="536"/>
      <c r="B28" s="373"/>
      <c r="C28" s="2527" t="s">
        <v>1157</v>
      </c>
      <c r="D28" s="2527"/>
      <c r="E28" s="2527"/>
      <c r="F28" s="2527"/>
      <c r="G28" s="2527"/>
      <c r="H28" s="2527"/>
      <c r="I28" s="2527"/>
      <c r="J28" s="2527"/>
      <c r="K28" s="2527"/>
      <c r="L28" s="2528"/>
      <c r="M28" s="2500"/>
      <c r="N28" s="2501"/>
      <c r="O28" s="2502"/>
      <c r="P28" s="2503" t="s">
        <v>648</v>
      </c>
      <c r="Q28" s="2504"/>
      <c r="R28" s="2505"/>
      <c r="S28" s="2506"/>
      <c r="T28" s="2506"/>
      <c r="U28" s="2506"/>
      <c r="V28" s="2511">
        <f>IFERROR(IF($BL28="x",M28*S28,0),0)</f>
        <v>0</v>
      </c>
      <c r="W28" s="2507"/>
      <c r="X28" s="2512"/>
      <c r="Y28" s="2500"/>
      <c r="Z28" s="2501"/>
      <c r="AA28" s="2502"/>
      <c r="AB28" s="2503" t="s">
        <v>631</v>
      </c>
      <c r="AC28" s="2504"/>
      <c r="AD28" s="2505"/>
      <c r="AE28" s="2506"/>
      <c r="AF28" s="2506"/>
      <c r="AG28" s="2506"/>
      <c r="AH28" s="2511">
        <f>IFERROR(IF($BL28="x",Y28*AE28,0),0)</f>
        <v>0</v>
      </c>
      <c r="AI28" s="2507"/>
      <c r="AJ28" s="2512"/>
      <c r="AK28" s="2500"/>
      <c r="AL28" s="2501"/>
      <c r="AM28" s="2502"/>
      <c r="AN28" s="2503"/>
      <c r="AO28" s="2504"/>
      <c r="AP28" s="2505"/>
      <c r="AQ28" s="2506"/>
      <c r="AR28" s="2506"/>
      <c r="AS28" s="2500"/>
      <c r="AT28" s="2507">
        <f>IFERROR(IF($BL28="x",AK28*AQ28,0),0)</f>
        <v>0</v>
      </c>
      <c r="AU28" s="2507"/>
      <c r="AV28" s="2507"/>
      <c r="AW28" s="373"/>
      <c r="AX28" s="2508">
        <f>V28+AH28+AT28</f>
        <v>0</v>
      </c>
      <c r="AY28" s="2508"/>
      <c r="AZ28" s="2508"/>
      <c r="BA28" s="2508"/>
      <c r="BB28" s="2508"/>
      <c r="BC28" s="539">
        <v>1</v>
      </c>
      <c r="BD28" s="2513" t="s">
        <v>649</v>
      </c>
      <c r="BE28" s="2513"/>
      <c r="BF28" s="2513"/>
      <c r="BG28" s="2513"/>
      <c r="BH28" s="2513"/>
      <c r="BI28" s="2513"/>
      <c r="BJ28" s="2514"/>
      <c r="BK28" s="373"/>
      <c r="BL28" s="1758" t="s">
        <v>665</v>
      </c>
      <c r="BM28" s="373"/>
    </row>
    <row r="29" spans="1:79" s="289" customFormat="1" outlineLevel="1" x14ac:dyDescent="0.3">
      <c r="A29" s="536"/>
      <c r="B29" s="373"/>
      <c r="C29" s="2515" t="s">
        <v>1158</v>
      </c>
      <c r="D29" s="2515"/>
      <c r="E29" s="2515"/>
      <c r="F29" s="2515"/>
      <c r="G29" s="2515"/>
      <c r="H29" s="2515"/>
      <c r="I29" s="2515"/>
      <c r="J29" s="2515"/>
      <c r="K29" s="2515"/>
      <c r="L29" s="2516"/>
      <c r="M29" s="2500"/>
      <c r="N29" s="2501"/>
      <c r="O29" s="2502"/>
      <c r="P29" s="2503" t="s">
        <v>648</v>
      </c>
      <c r="Q29" s="2504"/>
      <c r="R29" s="2505"/>
      <c r="S29" s="2506"/>
      <c r="T29" s="2506"/>
      <c r="U29" s="2506"/>
      <c r="V29" s="2507">
        <f>IFERROR(IF($BL29="x",M29*S29,0),0)</f>
        <v>0</v>
      </c>
      <c r="W29" s="2507"/>
      <c r="X29" s="2507"/>
      <c r="Y29" s="2500"/>
      <c r="Z29" s="2501"/>
      <c r="AA29" s="2502"/>
      <c r="AB29" s="2503" t="s">
        <v>631</v>
      </c>
      <c r="AC29" s="2504"/>
      <c r="AD29" s="2505"/>
      <c r="AE29" s="2506"/>
      <c r="AF29" s="2506"/>
      <c r="AG29" s="2506"/>
      <c r="AH29" s="2507">
        <f>IFERROR(IF($BL29="x",Y29*AE29,0),0)</f>
        <v>0</v>
      </c>
      <c r="AI29" s="2507"/>
      <c r="AJ29" s="2507"/>
      <c r="AK29" s="2500"/>
      <c r="AL29" s="2501"/>
      <c r="AM29" s="2502"/>
      <c r="AN29" s="2503"/>
      <c r="AO29" s="2504"/>
      <c r="AP29" s="2505"/>
      <c r="AQ29" s="2506"/>
      <c r="AR29" s="2506"/>
      <c r="AS29" s="2500"/>
      <c r="AT29" s="2507">
        <f>IFERROR(IF($BL29="x",AK29*AQ29,0),0)</f>
        <v>0</v>
      </c>
      <c r="AU29" s="2507"/>
      <c r="AV29" s="2507"/>
      <c r="AW29" s="373"/>
      <c r="AX29" s="2508">
        <f>V29+AH29+AT29</f>
        <v>0</v>
      </c>
      <c r="AY29" s="2508"/>
      <c r="AZ29" s="2508"/>
      <c r="BA29" s="2508"/>
      <c r="BB29" s="2508"/>
      <c r="BC29" s="539">
        <v>13</v>
      </c>
      <c r="BD29" s="2513" t="s">
        <v>651</v>
      </c>
      <c r="BE29" s="2513"/>
      <c r="BF29" s="2513"/>
      <c r="BG29" s="2513"/>
      <c r="BH29" s="2513"/>
      <c r="BI29" s="2513"/>
      <c r="BJ29" s="2514"/>
      <c r="BK29" s="373"/>
      <c r="BL29" s="1758" t="s">
        <v>665</v>
      </c>
      <c r="BM29" s="373"/>
    </row>
    <row r="30" spans="1:79" s="289" customFormat="1" outlineLevel="1" x14ac:dyDescent="0.3">
      <c r="A30" s="536"/>
      <c r="B30" s="373"/>
      <c r="C30" s="2515" t="s">
        <v>1154</v>
      </c>
      <c r="D30" s="2515"/>
      <c r="E30" s="2515"/>
      <c r="F30" s="2515"/>
      <c r="G30" s="2515"/>
      <c r="H30" s="2515"/>
      <c r="I30" s="2515"/>
      <c r="J30" s="2515"/>
      <c r="K30" s="2515"/>
      <c r="L30" s="2516"/>
      <c r="M30" s="2500"/>
      <c r="N30" s="2501"/>
      <c r="O30" s="2502"/>
      <c r="P30" s="2503" t="s">
        <v>648</v>
      </c>
      <c r="Q30" s="2504"/>
      <c r="R30" s="2505"/>
      <c r="S30" s="2506"/>
      <c r="T30" s="2506"/>
      <c r="U30" s="2506"/>
      <c r="V30" s="2507">
        <f>IFERROR(IF($BL30="x",M30*S30,0),0)</f>
        <v>0</v>
      </c>
      <c r="W30" s="2507"/>
      <c r="X30" s="2507"/>
      <c r="Y30" s="2500"/>
      <c r="Z30" s="2501"/>
      <c r="AA30" s="2502"/>
      <c r="AB30" s="2503" t="s">
        <v>631</v>
      </c>
      <c r="AC30" s="2504"/>
      <c r="AD30" s="2505"/>
      <c r="AE30" s="2506"/>
      <c r="AF30" s="2506"/>
      <c r="AG30" s="2506"/>
      <c r="AH30" s="2507">
        <f>IFERROR(IF($BL30="x",Y30*AE30,0),0)</f>
        <v>0</v>
      </c>
      <c r="AI30" s="2507"/>
      <c r="AJ30" s="2507"/>
      <c r="AK30" s="2500"/>
      <c r="AL30" s="2501"/>
      <c r="AM30" s="2502"/>
      <c r="AN30" s="2503"/>
      <c r="AO30" s="2504"/>
      <c r="AP30" s="2505"/>
      <c r="AQ30" s="2506"/>
      <c r="AR30" s="2506"/>
      <c r="AS30" s="2500"/>
      <c r="AT30" s="2507">
        <f>IFERROR(IF($BL30="x",AK30*AQ30,0),0)</f>
        <v>0</v>
      </c>
      <c r="AU30" s="2507"/>
      <c r="AV30" s="2507"/>
      <c r="AW30" s="373"/>
      <c r="AX30" s="2508">
        <f>V30+AH30+AT30</f>
        <v>0</v>
      </c>
      <c r="AY30" s="2508"/>
      <c r="AZ30" s="2508"/>
      <c r="BA30" s="2508"/>
      <c r="BB30" s="2508"/>
      <c r="BC30" s="539">
        <v>13</v>
      </c>
      <c r="BD30" s="2513" t="s">
        <v>606</v>
      </c>
      <c r="BE30" s="2513"/>
      <c r="BF30" s="2513"/>
      <c r="BG30" s="2513"/>
      <c r="BH30" s="2513"/>
      <c r="BI30" s="2513"/>
      <c r="BJ30" s="2514"/>
      <c r="BK30" s="373"/>
      <c r="BL30" s="1758" t="s">
        <v>665</v>
      </c>
      <c r="BM30" s="373"/>
    </row>
    <row r="31" spans="1:79" outlineLevel="1" x14ac:dyDescent="0.3">
      <c r="A31" s="536"/>
      <c r="B31" s="373"/>
      <c r="C31" s="2515" t="s">
        <v>1155</v>
      </c>
      <c r="D31" s="2515"/>
      <c r="E31" s="2515"/>
      <c r="F31" s="2515"/>
      <c r="G31" s="2515"/>
      <c r="H31" s="2515"/>
      <c r="I31" s="2515"/>
      <c r="J31" s="2515"/>
      <c r="K31" s="2515"/>
      <c r="L31" s="2516"/>
      <c r="M31" s="2500"/>
      <c r="N31" s="2501"/>
      <c r="O31" s="2502"/>
      <c r="P31" s="2503" t="s">
        <v>648</v>
      </c>
      <c r="Q31" s="2504"/>
      <c r="R31" s="2505"/>
      <c r="S31" s="2506"/>
      <c r="T31" s="2506"/>
      <c r="U31" s="2506"/>
      <c r="V31" s="2507">
        <f>IFERROR(IF($BL31="x",M31*S31,0),0)</f>
        <v>0</v>
      </c>
      <c r="W31" s="2507"/>
      <c r="X31" s="2507"/>
      <c r="Y31" s="2500"/>
      <c r="Z31" s="2501"/>
      <c r="AA31" s="2502"/>
      <c r="AB31" s="2503" t="s">
        <v>631</v>
      </c>
      <c r="AC31" s="2504"/>
      <c r="AD31" s="2505"/>
      <c r="AE31" s="2506"/>
      <c r="AF31" s="2506"/>
      <c r="AG31" s="2506"/>
      <c r="AH31" s="2507">
        <f>IFERROR(IF($BL31="x",Y31*AE31,0),0)</f>
        <v>0</v>
      </c>
      <c r="AI31" s="2507"/>
      <c r="AJ31" s="2507"/>
      <c r="AK31" s="2500"/>
      <c r="AL31" s="2501"/>
      <c r="AM31" s="2502"/>
      <c r="AN31" s="2503"/>
      <c r="AO31" s="2504"/>
      <c r="AP31" s="2505"/>
      <c r="AQ31" s="2506"/>
      <c r="AR31" s="2506"/>
      <c r="AS31" s="2500"/>
      <c r="AT31" s="2507">
        <f>IFERROR(IF($BL31="x",AK31*AQ31,0),0)</f>
        <v>0</v>
      </c>
      <c r="AU31" s="2507"/>
      <c r="AV31" s="2507"/>
      <c r="AW31" s="373"/>
      <c r="AX31" s="2508">
        <f>V31+AH31+AT31</f>
        <v>0</v>
      </c>
      <c r="AY31" s="2508"/>
      <c r="AZ31" s="2508"/>
      <c r="BA31" s="2508"/>
      <c r="BB31" s="2508"/>
      <c r="BC31" s="539">
        <v>1</v>
      </c>
      <c r="BD31" s="2513" t="s">
        <v>606</v>
      </c>
      <c r="BE31" s="2513"/>
      <c r="BF31" s="2513"/>
      <c r="BG31" s="2513"/>
      <c r="BH31" s="2513"/>
      <c r="BI31" s="2513"/>
      <c r="BJ31" s="2514"/>
      <c r="BK31" s="373"/>
      <c r="BL31" s="1758" t="s">
        <v>665</v>
      </c>
      <c r="BM31" s="373"/>
      <c r="BN31" s="289"/>
      <c r="BO31" s="289"/>
      <c r="BP31" s="289"/>
      <c r="BQ31" s="289"/>
      <c r="BR31" s="289"/>
      <c r="BS31" s="289"/>
      <c r="BT31" s="289"/>
      <c r="BU31" s="289"/>
      <c r="BV31" s="289"/>
      <c r="BW31" s="289"/>
      <c r="BX31" s="289"/>
      <c r="BY31" s="289"/>
      <c r="BZ31" s="289"/>
      <c r="CA31" s="289"/>
    </row>
    <row r="32" spans="1:79" s="536" customFormat="1" x14ac:dyDescent="0.3">
      <c r="B32" s="373"/>
      <c r="C32" s="2515" t="s">
        <v>1156</v>
      </c>
      <c r="D32" s="2515"/>
      <c r="E32" s="2515"/>
      <c r="F32" s="2515"/>
      <c r="G32" s="2515"/>
      <c r="H32" s="2515"/>
      <c r="I32" s="2515"/>
      <c r="J32" s="2515"/>
      <c r="K32" s="2515"/>
      <c r="L32" s="2516"/>
      <c r="M32" s="2500"/>
      <c r="N32" s="2501"/>
      <c r="O32" s="2502"/>
      <c r="P32" s="2503" t="s">
        <v>648</v>
      </c>
      <c r="Q32" s="2504"/>
      <c r="R32" s="2505"/>
      <c r="S32" s="2506"/>
      <c r="T32" s="2506"/>
      <c r="U32" s="2506"/>
      <c r="V32" s="2507">
        <f>IFERROR(IF($BL32="x",M32*S32,0),0)</f>
        <v>0</v>
      </c>
      <c r="W32" s="2507"/>
      <c r="X32" s="2507"/>
      <c r="Y32" s="2500"/>
      <c r="Z32" s="2501"/>
      <c r="AA32" s="2502"/>
      <c r="AB32" s="2503" t="s">
        <v>631</v>
      </c>
      <c r="AC32" s="2504"/>
      <c r="AD32" s="2505"/>
      <c r="AE32" s="2506"/>
      <c r="AF32" s="2506"/>
      <c r="AG32" s="2506"/>
      <c r="AH32" s="2507">
        <f>IFERROR(IF($BL32="x",Y32*AE32,0),0)</f>
        <v>0</v>
      </c>
      <c r="AI32" s="2507"/>
      <c r="AJ32" s="2507"/>
      <c r="AK32" s="2500"/>
      <c r="AL32" s="2501"/>
      <c r="AM32" s="2502"/>
      <c r="AN32" s="2503"/>
      <c r="AO32" s="2504"/>
      <c r="AP32" s="2505"/>
      <c r="AQ32" s="2506"/>
      <c r="AR32" s="2506"/>
      <c r="AS32" s="2500"/>
      <c r="AT32" s="2507">
        <f>IFERROR(IF($BL32="x",AK32*AQ32,0),0)</f>
        <v>0</v>
      </c>
      <c r="AU32" s="2507"/>
      <c r="AV32" s="2507"/>
      <c r="AW32" s="373"/>
      <c r="AX32" s="2508">
        <f>V32+AH32+AT32</f>
        <v>0</v>
      </c>
      <c r="AY32" s="2508"/>
      <c r="AZ32" s="2508"/>
      <c r="BA32" s="2508"/>
      <c r="BB32" s="2508"/>
      <c r="BC32" s="539">
        <v>1</v>
      </c>
      <c r="BD32" s="2513" t="s">
        <v>606</v>
      </c>
      <c r="BE32" s="2513"/>
      <c r="BF32" s="2513"/>
      <c r="BG32" s="2513"/>
      <c r="BH32" s="2513"/>
      <c r="BI32" s="2513"/>
      <c r="BJ32" s="2514"/>
      <c r="BK32" s="373"/>
      <c r="BL32" s="1758" t="s">
        <v>665</v>
      </c>
      <c r="BM32" s="373"/>
      <c r="BN32" s="289"/>
      <c r="BO32" s="289"/>
      <c r="BP32" s="289"/>
      <c r="BQ32" s="289"/>
      <c r="BR32" s="289"/>
      <c r="BS32" s="289"/>
      <c r="BT32" s="289"/>
      <c r="BU32" s="289"/>
      <c r="BV32" s="289"/>
      <c r="BW32" s="289"/>
      <c r="BX32" s="289"/>
      <c r="BY32" s="289"/>
      <c r="BZ32" s="289"/>
      <c r="CA32" s="289"/>
    </row>
    <row r="33" spans="1:79" ht="3.75" customHeight="1" thickBot="1" x14ac:dyDescent="0.35">
      <c r="A33" s="536"/>
      <c r="B33" s="373"/>
      <c r="C33" s="373"/>
      <c r="D33" s="373"/>
      <c r="E33" s="373"/>
      <c r="F33" s="373"/>
      <c r="G33" s="373"/>
      <c r="H33" s="373"/>
      <c r="I33" s="373"/>
      <c r="J33" s="373"/>
      <c r="K33" s="373"/>
      <c r="L33" s="373"/>
      <c r="M33" s="373"/>
      <c r="N33" s="373"/>
      <c r="O33" s="373"/>
      <c r="P33" s="373"/>
      <c r="Q33" s="373"/>
      <c r="R33" s="373"/>
      <c r="S33" s="373"/>
      <c r="T33" s="373"/>
      <c r="U33" s="373"/>
      <c r="V33" s="373"/>
      <c r="W33" s="373"/>
      <c r="X33" s="373"/>
      <c r="Y33" s="373"/>
      <c r="Z33" s="373"/>
      <c r="AA33" s="373"/>
      <c r="AB33" s="373"/>
      <c r="AC33" s="373"/>
      <c r="AD33" s="373"/>
      <c r="AE33" s="373"/>
      <c r="AF33" s="373"/>
      <c r="AG33" s="373"/>
      <c r="AH33" s="373"/>
      <c r="AI33" s="373"/>
      <c r="AJ33" s="15"/>
      <c r="AK33" s="373"/>
      <c r="AL33" s="373"/>
      <c r="AM33" s="373"/>
      <c r="AN33" s="373"/>
      <c r="AO33" s="373"/>
      <c r="AP33" s="373"/>
      <c r="AQ33" s="373"/>
      <c r="AR33" s="373"/>
      <c r="AS33" s="373"/>
      <c r="AT33" s="15"/>
      <c r="AU33" s="15"/>
      <c r="AV33" s="15"/>
      <c r="AW33" s="373"/>
      <c r="AX33" s="15"/>
      <c r="AY33" s="132"/>
      <c r="AZ33" s="132"/>
      <c r="BA33" s="132"/>
      <c r="BB33" s="132"/>
      <c r="BC33" s="539" t="s">
        <v>619</v>
      </c>
      <c r="BD33" s="132"/>
      <c r="BE33" s="132"/>
      <c r="BF33" s="132"/>
      <c r="BG33" s="132"/>
      <c r="BH33" s="132"/>
      <c r="BI33" s="132"/>
      <c r="BJ33" s="132"/>
      <c r="BK33" s="373"/>
      <c r="BL33" s="132"/>
      <c r="BM33" s="373"/>
      <c r="BO33" s="289"/>
      <c r="BP33" s="289"/>
      <c r="BQ33" s="289"/>
      <c r="BR33" s="289"/>
      <c r="BS33" s="289"/>
      <c r="BT33" s="289"/>
      <c r="BU33" s="289"/>
    </row>
    <row r="34" spans="1:79" s="289" customFormat="1" ht="15" customHeight="1" outlineLevel="1" thickBot="1" x14ac:dyDescent="0.25">
      <c r="A34" s="536"/>
      <c r="B34" s="373"/>
      <c r="C34" s="2524" t="s">
        <v>666</v>
      </c>
      <c r="D34" s="2525"/>
      <c r="E34" s="380" t="str">
        <f>UPPER($E$11)</f>
        <v>PAINTING</v>
      </c>
      <c r="F34" s="537"/>
      <c r="G34" s="537"/>
      <c r="H34" s="537"/>
      <c r="I34" s="537"/>
      <c r="J34" s="537"/>
      <c r="K34" s="537"/>
      <c r="L34" s="537"/>
      <c r="M34" s="537"/>
      <c r="N34" s="537"/>
      <c r="O34" s="537"/>
      <c r="P34" s="537"/>
      <c r="Q34" s="537"/>
      <c r="R34" s="537"/>
      <c r="S34" s="537"/>
      <c r="T34" s="537"/>
      <c r="U34" s="537"/>
      <c r="V34" s="2508">
        <f>SUM(V36:X40)</f>
        <v>0</v>
      </c>
      <c r="W34" s="2508"/>
      <c r="X34" s="2508"/>
      <c r="Y34" s="537"/>
      <c r="Z34" s="537"/>
      <c r="AA34" s="537"/>
      <c r="AB34" s="537"/>
      <c r="AC34" s="537"/>
      <c r="AD34" s="537"/>
      <c r="AE34" s="537"/>
      <c r="AF34" s="537"/>
      <c r="AG34" s="537"/>
      <c r="AH34" s="2508">
        <f>SUM(AH36:AJ40)</f>
        <v>0</v>
      </c>
      <c r="AI34" s="2508"/>
      <c r="AJ34" s="2508"/>
      <c r="AK34" s="537"/>
      <c r="AL34" s="537"/>
      <c r="AM34" s="537"/>
      <c r="AN34" s="537"/>
      <c r="AO34" s="537"/>
      <c r="AP34" s="537"/>
      <c r="AQ34" s="537"/>
      <c r="AR34" s="537"/>
      <c r="AS34" s="538"/>
      <c r="AT34" s="2508">
        <f>SUM(AT36:AV40)</f>
        <v>0</v>
      </c>
      <c r="AU34" s="2508"/>
      <c r="AV34" s="2508"/>
      <c r="AW34" s="373"/>
      <c r="AX34" s="2526">
        <f>SUM(AX36:BB40)</f>
        <v>0</v>
      </c>
      <c r="AY34" s="2526"/>
      <c r="AZ34" s="2526"/>
      <c r="BA34" s="2526"/>
      <c r="BB34" s="2526"/>
      <c r="BC34" s="539" t="s">
        <v>619</v>
      </c>
      <c r="BD34" s="540"/>
      <c r="BE34" s="541"/>
      <c r="BF34" s="541"/>
      <c r="BG34" s="541"/>
      <c r="BH34" s="541"/>
      <c r="BI34" s="541"/>
      <c r="BJ34" s="541"/>
      <c r="BK34" s="373"/>
      <c r="BL34" s="132"/>
      <c r="BM34" s="373"/>
      <c r="BN34" s="536"/>
      <c r="BV34" s="536"/>
      <c r="BW34" s="536"/>
      <c r="BX34" s="536"/>
      <c r="BY34" s="536"/>
      <c r="BZ34" s="536"/>
      <c r="CA34" s="536"/>
    </row>
    <row r="35" spans="1:79" s="289" customFormat="1" outlineLevel="1" x14ac:dyDescent="0.3">
      <c r="A35" s="283"/>
      <c r="B35" s="373"/>
      <c r="C35" s="373"/>
      <c r="D35" s="373"/>
      <c r="E35" s="373"/>
      <c r="F35" s="373"/>
      <c r="G35" s="373"/>
      <c r="H35" s="373"/>
      <c r="I35" s="373"/>
      <c r="J35" s="373"/>
      <c r="K35" s="373"/>
      <c r="L35" s="373"/>
      <c r="M35" s="373"/>
      <c r="N35" s="373"/>
      <c r="O35" s="373"/>
      <c r="P35" s="373"/>
      <c r="Q35" s="373"/>
      <c r="R35" s="373"/>
      <c r="S35" s="373"/>
      <c r="T35" s="373"/>
      <c r="U35" s="373"/>
      <c r="V35" s="373"/>
      <c r="W35" s="373"/>
      <c r="X35" s="373"/>
      <c r="Y35" s="373"/>
      <c r="Z35" s="373"/>
      <c r="AA35" s="373"/>
      <c r="AB35" s="373"/>
      <c r="AC35" s="373"/>
      <c r="AD35" s="373"/>
      <c r="AE35" s="373"/>
      <c r="AF35" s="373"/>
      <c r="AG35" s="373"/>
      <c r="AH35" s="373"/>
      <c r="AI35" s="373"/>
      <c r="AJ35" s="15"/>
      <c r="AK35" s="373"/>
      <c r="AL35" s="373"/>
      <c r="AM35" s="373"/>
      <c r="AN35" s="373"/>
      <c r="AO35" s="373"/>
      <c r="AP35" s="373"/>
      <c r="AQ35" s="373"/>
      <c r="AR35" s="373"/>
      <c r="AS35" s="373"/>
      <c r="AT35" s="15"/>
      <c r="AU35" s="15"/>
      <c r="AV35" s="15"/>
      <c r="AW35" s="373"/>
      <c r="AX35" s="15"/>
      <c r="AY35" s="132"/>
      <c r="AZ35" s="132"/>
      <c r="BA35" s="132"/>
      <c r="BB35" s="132"/>
      <c r="BC35" s="539" t="s">
        <v>619</v>
      </c>
      <c r="BD35" s="132"/>
      <c r="BE35" s="132"/>
      <c r="BF35" s="132"/>
      <c r="BG35" s="132"/>
      <c r="BH35" s="132"/>
      <c r="BI35" s="132"/>
      <c r="BJ35" s="132"/>
      <c r="BK35" s="373"/>
      <c r="BL35" s="132"/>
      <c r="BM35" s="373"/>
      <c r="BN35" s="283"/>
      <c r="BV35" s="283"/>
      <c r="BW35" s="283"/>
      <c r="BX35" s="283"/>
      <c r="BY35" s="283"/>
      <c r="BZ35" s="283"/>
      <c r="CA35" s="283"/>
    </row>
    <row r="36" spans="1:79" s="289" customFormat="1" outlineLevel="1" x14ac:dyDescent="0.3">
      <c r="B36" s="373"/>
      <c r="C36" s="2527" t="s">
        <v>606</v>
      </c>
      <c r="D36" s="2527"/>
      <c r="E36" s="2527"/>
      <c r="F36" s="2527"/>
      <c r="G36" s="2527"/>
      <c r="H36" s="2527"/>
      <c r="I36" s="2527"/>
      <c r="J36" s="2527"/>
      <c r="K36" s="2527"/>
      <c r="L36" s="2528"/>
      <c r="M36" s="2500"/>
      <c r="N36" s="2501"/>
      <c r="O36" s="2502"/>
      <c r="P36" s="2503" t="s">
        <v>648</v>
      </c>
      <c r="Q36" s="2504"/>
      <c r="R36" s="2505"/>
      <c r="S36" s="2506"/>
      <c r="T36" s="2506"/>
      <c r="U36" s="2506"/>
      <c r="V36" s="2511">
        <f>IFERROR(IF($BL36="x",M36*S36,0),0)</f>
        <v>0</v>
      </c>
      <c r="W36" s="2507"/>
      <c r="X36" s="2512"/>
      <c r="Y36" s="2500"/>
      <c r="Z36" s="2501"/>
      <c r="AA36" s="2502"/>
      <c r="AB36" s="2503" t="s">
        <v>631</v>
      </c>
      <c r="AC36" s="2504"/>
      <c r="AD36" s="2505"/>
      <c r="AE36" s="2506"/>
      <c r="AF36" s="2506"/>
      <c r="AG36" s="2506"/>
      <c r="AH36" s="2511">
        <f>IFERROR(IF($BL36="x",Y36*AE36,0),0)</f>
        <v>0</v>
      </c>
      <c r="AI36" s="2507"/>
      <c r="AJ36" s="2512"/>
      <c r="AK36" s="2500"/>
      <c r="AL36" s="2501"/>
      <c r="AM36" s="2502"/>
      <c r="AN36" s="2503"/>
      <c r="AO36" s="2504"/>
      <c r="AP36" s="2505"/>
      <c r="AQ36" s="2506"/>
      <c r="AR36" s="2506"/>
      <c r="AS36" s="2500"/>
      <c r="AT36" s="2511">
        <f>IFERROR(IF($BL36="x",AK36*AQ36,0),0)</f>
        <v>0</v>
      </c>
      <c r="AU36" s="2507"/>
      <c r="AV36" s="2512"/>
      <c r="AW36" s="373"/>
      <c r="AX36" s="2508">
        <f>V36+AH36+AT36</f>
        <v>0</v>
      </c>
      <c r="AY36" s="2508"/>
      <c r="AZ36" s="2508"/>
      <c r="BA36" s="2508"/>
      <c r="BB36" s="2508"/>
      <c r="BC36" s="539">
        <v>13</v>
      </c>
      <c r="BD36" s="2513" t="s">
        <v>606</v>
      </c>
      <c r="BE36" s="2513"/>
      <c r="BF36" s="2513"/>
      <c r="BG36" s="2513"/>
      <c r="BH36" s="2513"/>
      <c r="BI36" s="2513"/>
      <c r="BJ36" s="2514"/>
      <c r="BK36" s="373"/>
      <c r="BL36" s="1758" t="s">
        <v>665</v>
      </c>
      <c r="BM36" s="373"/>
    </row>
    <row r="37" spans="1:79" s="289" customFormat="1" outlineLevel="1" x14ac:dyDescent="0.3">
      <c r="B37" s="373"/>
      <c r="C37" s="2515" t="s">
        <v>1173</v>
      </c>
      <c r="D37" s="2515"/>
      <c r="E37" s="2515"/>
      <c r="F37" s="2515"/>
      <c r="G37" s="2515"/>
      <c r="H37" s="2515"/>
      <c r="I37" s="2515"/>
      <c r="J37" s="2515"/>
      <c r="K37" s="2515"/>
      <c r="L37" s="2516"/>
      <c r="M37" s="2500"/>
      <c r="N37" s="2501"/>
      <c r="O37" s="2502"/>
      <c r="P37" s="2503" t="s">
        <v>648</v>
      </c>
      <c r="Q37" s="2504"/>
      <c r="R37" s="2505"/>
      <c r="S37" s="2506"/>
      <c r="T37" s="2506"/>
      <c r="U37" s="2506"/>
      <c r="V37" s="2507">
        <f>IFERROR(IF($BL37="x",M37*S37,0),0)</f>
        <v>0</v>
      </c>
      <c r="W37" s="2507"/>
      <c r="X37" s="2507"/>
      <c r="Y37" s="2500"/>
      <c r="Z37" s="2501"/>
      <c r="AA37" s="2502"/>
      <c r="AB37" s="2503" t="s">
        <v>631</v>
      </c>
      <c r="AC37" s="2504"/>
      <c r="AD37" s="2505"/>
      <c r="AE37" s="2506"/>
      <c r="AF37" s="2506"/>
      <c r="AG37" s="2506"/>
      <c r="AH37" s="2507">
        <f>IFERROR(IF($BL37="x",Y37*AE37,0),0)</f>
        <v>0</v>
      </c>
      <c r="AI37" s="2507"/>
      <c r="AJ37" s="2507"/>
      <c r="AK37" s="2500"/>
      <c r="AL37" s="2501"/>
      <c r="AM37" s="2502"/>
      <c r="AN37" s="2503"/>
      <c r="AO37" s="2504"/>
      <c r="AP37" s="2505"/>
      <c r="AQ37" s="2506"/>
      <c r="AR37" s="2506"/>
      <c r="AS37" s="2500"/>
      <c r="AT37" s="2507">
        <f>IFERROR(IF($BL37="x",AK37*AQ37,0),0)</f>
        <v>0</v>
      </c>
      <c r="AU37" s="2507"/>
      <c r="AV37" s="2507"/>
      <c r="AW37" s="373"/>
      <c r="AX37" s="2508">
        <f>V37+AH37+AT37</f>
        <v>0</v>
      </c>
      <c r="AY37" s="2508"/>
      <c r="AZ37" s="2508"/>
      <c r="BA37" s="2508"/>
      <c r="BB37" s="2508"/>
      <c r="BC37" s="539">
        <v>13</v>
      </c>
      <c r="BD37" s="2509" t="s">
        <v>643</v>
      </c>
      <c r="BE37" s="2509"/>
      <c r="BF37" s="2509"/>
      <c r="BG37" s="2509"/>
      <c r="BH37" s="2509"/>
      <c r="BI37" s="2509"/>
      <c r="BJ37" s="2510"/>
      <c r="BK37" s="373"/>
      <c r="BL37" s="1758" t="s">
        <v>665</v>
      </c>
      <c r="BM37" s="373"/>
    </row>
    <row r="38" spans="1:79" s="289" customFormat="1" outlineLevel="1" x14ac:dyDescent="0.3">
      <c r="B38" s="373"/>
      <c r="C38" s="2515" t="s">
        <v>1159</v>
      </c>
      <c r="D38" s="2515"/>
      <c r="E38" s="2515"/>
      <c r="F38" s="2515"/>
      <c r="G38" s="2515"/>
      <c r="H38" s="2515"/>
      <c r="I38" s="2515"/>
      <c r="J38" s="2515"/>
      <c r="K38" s="2515"/>
      <c r="L38" s="2516"/>
      <c r="M38" s="2500"/>
      <c r="N38" s="2501"/>
      <c r="O38" s="2502"/>
      <c r="P38" s="2503" t="s">
        <v>648</v>
      </c>
      <c r="Q38" s="2504"/>
      <c r="R38" s="2505"/>
      <c r="S38" s="2506"/>
      <c r="T38" s="2506"/>
      <c r="U38" s="2506"/>
      <c r="V38" s="2507">
        <f>IFERROR(IF($BL38="x",M38*S38,0),0)</f>
        <v>0</v>
      </c>
      <c r="W38" s="2507"/>
      <c r="X38" s="2507"/>
      <c r="Y38" s="2500"/>
      <c r="Z38" s="2501"/>
      <c r="AA38" s="2502"/>
      <c r="AB38" s="2503" t="s">
        <v>631</v>
      </c>
      <c r="AC38" s="2504"/>
      <c r="AD38" s="2505"/>
      <c r="AE38" s="2506"/>
      <c r="AF38" s="2506"/>
      <c r="AG38" s="2506"/>
      <c r="AH38" s="2507">
        <f>IFERROR(IF($BL38="x",Y38*AE38,0),0)</f>
        <v>0</v>
      </c>
      <c r="AI38" s="2507"/>
      <c r="AJ38" s="2507"/>
      <c r="AK38" s="2500"/>
      <c r="AL38" s="2501"/>
      <c r="AM38" s="2502"/>
      <c r="AN38" s="2503"/>
      <c r="AO38" s="2504"/>
      <c r="AP38" s="2505"/>
      <c r="AQ38" s="2506"/>
      <c r="AR38" s="2506"/>
      <c r="AS38" s="2500"/>
      <c r="AT38" s="2507">
        <f>IFERROR(IF($BL38="x",AK38*AQ38,0),0)</f>
        <v>0</v>
      </c>
      <c r="AU38" s="2507"/>
      <c r="AV38" s="2507"/>
      <c r="AW38" s="373"/>
      <c r="AX38" s="2508">
        <f>V38+AH38+AT38</f>
        <v>0</v>
      </c>
      <c r="AY38" s="2508"/>
      <c r="AZ38" s="2508"/>
      <c r="BA38" s="2508"/>
      <c r="BB38" s="2508"/>
      <c r="BC38" s="539">
        <v>13</v>
      </c>
      <c r="BD38" s="2509" t="s">
        <v>421</v>
      </c>
      <c r="BE38" s="2509"/>
      <c r="BF38" s="2509"/>
      <c r="BG38" s="2509"/>
      <c r="BH38" s="2509"/>
      <c r="BI38" s="2509"/>
      <c r="BJ38" s="2510"/>
      <c r="BK38" s="373"/>
      <c r="BL38" s="1758" t="s">
        <v>665</v>
      </c>
      <c r="BM38" s="373"/>
    </row>
    <row r="39" spans="1:79" outlineLevel="1" x14ac:dyDescent="0.3">
      <c r="A39" s="289"/>
      <c r="B39" s="373"/>
      <c r="C39" s="2515" t="s">
        <v>1161</v>
      </c>
      <c r="D39" s="2515"/>
      <c r="E39" s="2515"/>
      <c r="F39" s="2515"/>
      <c r="G39" s="2515"/>
      <c r="H39" s="2515"/>
      <c r="I39" s="2515"/>
      <c r="J39" s="2515"/>
      <c r="K39" s="2515"/>
      <c r="L39" s="2516"/>
      <c r="M39" s="2500"/>
      <c r="N39" s="2501"/>
      <c r="O39" s="2502"/>
      <c r="P39" s="2503" t="s">
        <v>648</v>
      </c>
      <c r="Q39" s="2504"/>
      <c r="R39" s="2505"/>
      <c r="S39" s="2506"/>
      <c r="T39" s="2506"/>
      <c r="U39" s="2506"/>
      <c r="V39" s="2507">
        <f>IFERROR(IF($BL39="x",M39*S39,0),0)</f>
        <v>0</v>
      </c>
      <c r="W39" s="2507"/>
      <c r="X39" s="2507"/>
      <c r="Y39" s="2500"/>
      <c r="Z39" s="2501"/>
      <c r="AA39" s="2502"/>
      <c r="AB39" s="2503" t="s">
        <v>631</v>
      </c>
      <c r="AC39" s="2504"/>
      <c r="AD39" s="2505"/>
      <c r="AE39" s="2506"/>
      <c r="AF39" s="2506"/>
      <c r="AG39" s="2506"/>
      <c r="AH39" s="2507">
        <f>IFERROR(IF($BL39="x",Y39*AE39,0),0)</f>
        <v>0</v>
      </c>
      <c r="AI39" s="2507"/>
      <c r="AJ39" s="2507"/>
      <c r="AK39" s="2500"/>
      <c r="AL39" s="2501"/>
      <c r="AM39" s="2502"/>
      <c r="AN39" s="2503"/>
      <c r="AO39" s="2504"/>
      <c r="AP39" s="2505"/>
      <c r="AQ39" s="2506"/>
      <c r="AR39" s="2506"/>
      <c r="AS39" s="2500"/>
      <c r="AT39" s="2507">
        <f>IFERROR(IF($BL39="x",AK39*AQ39,0),0)</f>
        <v>0</v>
      </c>
      <c r="AU39" s="2507"/>
      <c r="AV39" s="2507"/>
      <c r="AW39" s="373"/>
      <c r="AX39" s="2508">
        <f>V39+AH39+AT39</f>
        <v>0</v>
      </c>
      <c r="AY39" s="2508"/>
      <c r="AZ39" s="2508"/>
      <c r="BA39" s="2508"/>
      <c r="BB39" s="2508"/>
      <c r="BC39" s="539">
        <v>1</v>
      </c>
      <c r="BD39" s="2509" t="s">
        <v>421</v>
      </c>
      <c r="BE39" s="2509"/>
      <c r="BF39" s="2509"/>
      <c r="BG39" s="2509"/>
      <c r="BH39" s="2509"/>
      <c r="BI39" s="2509"/>
      <c r="BJ39" s="2510"/>
      <c r="BK39" s="373"/>
      <c r="BL39" s="1758" t="s">
        <v>665</v>
      </c>
      <c r="BM39" s="373"/>
      <c r="BN39" s="289"/>
      <c r="BO39" s="289"/>
      <c r="BP39" s="289"/>
      <c r="BQ39" s="289"/>
      <c r="BR39" s="289"/>
      <c r="BS39" s="289"/>
      <c r="BT39" s="289"/>
      <c r="BU39" s="289"/>
      <c r="BV39" s="289"/>
      <c r="BW39" s="289"/>
      <c r="BX39" s="289"/>
      <c r="BY39" s="289"/>
      <c r="BZ39" s="289"/>
      <c r="CA39" s="289"/>
    </row>
    <row r="40" spans="1:79" s="536" customFormat="1" x14ac:dyDescent="0.3">
      <c r="A40" s="289"/>
      <c r="B40" s="373"/>
      <c r="C40" s="2515" t="s">
        <v>1160</v>
      </c>
      <c r="D40" s="2515"/>
      <c r="E40" s="2515"/>
      <c r="F40" s="2515"/>
      <c r="G40" s="2515"/>
      <c r="H40" s="2515"/>
      <c r="I40" s="2515"/>
      <c r="J40" s="2515"/>
      <c r="K40" s="2515"/>
      <c r="L40" s="2516"/>
      <c r="M40" s="2500"/>
      <c r="N40" s="2501"/>
      <c r="O40" s="2502"/>
      <c r="P40" s="2503" t="s">
        <v>648</v>
      </c>
      <c r="Q40" s="2504"/>
      <c r="R40" s="2505"/>
      <c r="S40" s="2506"/>
      <c r="T40" s="2506"/>
      <c r="U40" s="2506"/>
      <c r="V40" s="2507">
        <f>IFERROR(IF($BL40="x",M40*S40,0),0)</f>
        <v>0</v>
      </c>
      <c r="W40" s="2507"/>
      <c r="X40" s="2507"/>
      <c r="Y40" s="2500"/>
      <c r="Z40" s="2501"/>
      <c r="AA40" s="2502"/>
      <c r="AB40" s="2503" t="s">
        <v>631</v>
      </c>
      <c r="AC40" s="2504"/>
      <c r="AD40" s="2505"/>
      <c r="AE40" s="2506"/>
      <c r="AF40" s="2506"/>
      <c r="AG40" s="2506"/>
      <c r="AH40" s="2507">
        <f>IFERROR(IF($BL40="x",Y40*AE40,0),0)</f>
        <v>0</v>
      </c>
      <c r="AI40" s="2507"/>
      <c r="AJ40" s="2507"/>
      <c r="AK40" s="2500"/>
      <c r="AL40" s="2501"/>
      <c r="AM40" s="2502"/>
      <c r="AN40" s="2503"/>
      <c r="AO40" s="2504"/>
      <c r="AP40" s="2505"/>
      <c r="AQ40" s="2506"/>
      <c r="AR40" s="2506"/>
      <c r="AS40" s="2500"/>
      <c r="AT40" s="2507">
        <f>IFERROR(IF($BL40="x",AK40*AQ40,0),0)</f>
        <v>0</v>
      </c>
      <c r="AU40" s="2507"/>
      <c r="AV40" s="2507"/>
      <c r="AW40" s="373"/>
      <c r="AX40" s="2508">
        <f>V40+AH40+AT40</f>
        <v>0</v>
      </c>
      <c r="AY40" s="2508"/>
      <c r="AZ40" s="2508"/>
      <c r="BA40" s="2508"/>
      <c r="BB40" s="2508"/>
      <c r="BC40" s="539">
        <v>1</v>
      </c>
      <c r="BD40" s="2509" t="s">
        <v>421</v>
      </c>
      <c r="BE40" s="2509"/>
      <c r="BF40" s="2509"/>
      <c r="BG40" s="2509"/>
      <c r="BH40" s="2509"/>
      <c r="BI40" s="2509"/>
      <c r="BJ40" s="2510"/>
      <c r="BK40" s="373"/>
      <c r="BL40" s="1758" t="s">
        <v>665</v>
      </c>
      <c r="BM40" s="373"/>
      <c r="BN40" s="289"/>
      <c r="BO40" s="289"/>
      <c r="BP40" s="289"/>
      <c r="BQ40" s="289"/>
      <c r="BR40" s="289"/>
      <c r="BS40" s="289"/>
      <c r="BT40" s="289"/>
      <c r="BU40" s="289"/>
      <c r="BV40" s="289"/>
      <c r="BW40" s="289"/>
      <c r="BX40" s="289"/>
      <c r="BY40" s="289"/>
      <c r="BZ40" s="289"/>
      <c r="CA40" s="289"/>
    </row>
    <row r="41" spans="1:79" ht="3.75" customHeight="1" thickBot="1" x14ac:dyDescent="0.35">
      <c r="B41" s="373"/>
      <c r="C41" s="373"/>
      <c r="D41" s="373"/>
      <c r="E41" s="373"/>
      <c r="F41" s="373"/>
      <c r="G41" s="373"/>
      <c r="H41" s="373"/>
      <c r="I41" s="373"/>
      <c r="J41" s="373"/>
      <c r="K41" s="373"/>
      <c r="L41" s="373"/>
      <c r="M41" s="373"/>
      <c r="N41" s="373"/>
      <c r="O41" s="373"/>
      <c r="P41" s="373"/>
      <c r="Q41" s="373"/>
      <c r="R41" s="373"/>
      <c r="S41" s="373"/>
      <c r="T41" s="373"/>
      <c r="U41" s="373"/>
      <c r="V41" s="373"/>
      <c r="W41" s="373"/>
      <c r="X41" s="373"/>
      <c r="Y41" s="373"/>
      <c r="Z41" s="373"/>
      <c r="AA41" s="373"/>
      <c r="AB41" s="373"/>
      <c r="AC41" s="373"/>
      <c r="AD41" s="373"/>
      <c r="AE41" s="373"/>
      <c r="AF41" s="373"/>
      <c r="AG41" s="373"/>
      <c r="AH41" s="373"/>
      <c r="AI41" s="373"/>
      <c r="AJ41" s="15"/>
      <c r="AK41" s="373"/>
      <c r="AL41" s="373"/>
      <c r="AM41" s="373"/>
      <c r="AN41" s="373"/>
      <c r="AO41" s="373"/>
      <c r="AP41" s="373"/>
      <c r="AQ41" s="373"/>
      <c r="AR41" s="373"/>
      <c r="AS41" s="373"/>
      <c r="AT41" s="15"/>
      <c r="AU41" s="15"/>
      <c r="AV41" s="15"/>
      <c r="AW41" s="373"/>
      <c r="AX41" s="15"/>
      <c r="AY41" s="132"/>
      <c r="AZ41" s="132"/>
      <c r="BA41" s="132"/>
      <c r="BB41" s="132"/>
      <c r="BC41" s="539" t="s">
        <v>619</v>
      </c>
      <c r="BD41" s="132"/>
      <c r="BE41" s="132"/>
      <c r="BF41" s="132"/>
      <c r="BG41" s="132"/>
      <c r="BH41" s="132"/>
      <c r="BI41" s="132"/>
      <c r="BJ41" s="132"/>
      <c r="BK41" s="373"/>
      <c r="BL41" s="132"/>
      <c r="BM41" s="373"/>
      <c r="BO41" s="289"/>
      <c r="BP41" s="289"/>
      <c r="BQ41" s="289"/>
      <c r="BR41" s="289"/>
      <c r="BS41" s="289"/>
      <c r="BT41" s="289"/>
      <c r="BU41" s="289"/>
    </row>
    <row r="42" spans="1:79" s="289" customFormat="1" ht="15" customHeight="1" outlineLevel="1" thickBot="1" x14ac:dyDescent="0.25">
      <c r="A42" s="536"/>
      <c r="B42" s="373"/>
      <c r="C42" s="2524" t="s">
        <v>667</v>
      </c>
      <c r="D42" s="2525"/>
      <c r="E42" s="380" t="str">
        <f>UPPER($E$12)</f>
        <v>FLOORING</v>
      </c>
      <c r="F42" s="537"/>
      <c r="G42" s="537"/>
      <c r="H42" s="537"/>
      <c r="I42" s="537"/>
      <c r="J42" s="537"/>
      <c r="K42" s="537"/>
      <c r="L42" s="537"/>
      <c r="M42" s="537"/>
      <c r="N42" s="537"/>
      <c r="O42" s="537"/>
      <c r="P42" s="537"/>
      <c r="Q42" s="537"/>
      <c r="R42" s="537"/>
      <c r="S42" s="537"/>
      <c r="T42" s="537"/>
      <c r="U42" s="537"/>
      <c r="V42" s="2508">
        <f>SUM(V44:X48)</f>
        <v>0</v>
      </c>
      <c r="W42" s="2508"/>
      <c r="X42" s="2508"/>
      <c r="Y42" s="537"/>
      <c r="Z42" s="537"/>
      <c r="AA42" s="537"/>
      <c r="AB42" s="537"/>
      <c r="AC42" s="537"/>
      <c r="AD42" s="537"/>
      <c r="AE42" s="537"/>
      <c r="AF42" s="537"/>
      <c r="AG42" s="537"/>
      <c r="AH42" s="2508">
        <f>SUM(AH44:AJ48)</f>
        <v>0</v>
      </c>
      <c r="AI42" s="2508"/>
      <c r="AJ42" s="2508"/>
      <c r="AK42" s="537"/>
      <c r="AL42" s="537"/>
      <c r="AM42" s="537"/>
      <c r="AN42" s="537"/>
      <c r="AO42" s="537"/>
      <c r="AP42" s="537"/>
      <c r="AQ42" s="537"/>
      <c r="AR42" s="537"/>
      <c r="AS42" s="538"/>
      <c r="AT42" s="2508">
        <f>SUM(AT44:AV48)</f>
        <v>0</v>
      </c>
      <c r="AU42" s="2508"/>
      <c r="AV42" s="2508"/>
      <c r="AW42" s="373"/>
      <c r="AX42" s="2526">
        <f>SUM(AX44:BB48)</f>
        <v>0</v>
      </c>
      <c r="AY42" s="2526"/>
      <c r="AZ42" s="2526"/>
      <c r="BA42" s="2526"/>
      <c r="BB42" s="2526"/>
      <c r="BC42" s="539" t="s">
        <v>619</v>
      </c>
      <c r="BD42" s="540"/>
      <c r="BE42" s="541"/>
      <c r="BF42" s="541"/>
      <c r="BG42" s="541"/>
      <c r="BH42" s="541"/>
      <c r="BI42" s="541"/>
      <c r="BJ42" s="541"/>
      <c r="BK42" s="373"/>
      <c r="BL42" s="132"/>
      <c r="BM42" s="373"/>
      <c r="BN42" s="536"/>
      <c r="BV42" s="536"/>
      <c r="BW42" s="536"/>
      <c r="BX42" s="536"/>
      <c r="BY42" s="536"/>
      <c r="BZ42" s="536"/>
      <c r="CA42" s="536"/>
    </row>
    <row r="43" spans="1:79" s="289" customFormat="1" outlineLevel="1" x14ac:dyDescent="0.3">
      <c r="A43" s="283"/>
      <c r="B43" s="373"/>
      <c r="C43" s="373"/>
      <c r="D43" s="373"/>
      <c r="E43" s="373"/>
      <c r="F43" s="373"/>
      <c r="G43" s="373"/>
      <c r="H43" s="373"/>
      <c r="I43" s="373"/>
      <c r="J43" s="373"/>
      <c r="K43" s="373"/>
      <c r="L43" s="373"/>
      <c r="M43" s="373"/>
      <c r="N43" s="373"/>
      <c r="O43" s="373"/>
      <c r="P43" s="373"/>
      <c r="Q43" s="373"/>
      <c r="R43" s="373"/>
      <c r="S43" s="373"/>
      <c r="T43" s="373"/>
      <c r="U43" s="373"/>
      <c r="V43" s="373"/>
      <c r="W43" s="373"/>
      <c r="X43" s="373"/>
      <c r="Y43" s="373"/>
      <c r="Z43" s="373"/>
      <c r="AA43" s="373"/>
      <c r="AB43" s="373"/>
      <c r="AC43" s="373"/>
      <c r="AD43" s="373"/>
      <c r="AE43" s="373"/>
      <c r="AF43" s="373"/>
      <c r="AG43" s="373"/>
      <c r="AH43" s="373"/>
      <c r="AI43" s="373"/>
      <c r="AJ43" s="15"/>
      <c r="AK43" s="373"/>
      <c r="AL43" s="373"/>
      <c r="AM43" s="373"/>
      <c r="AN43" s="373"/>
      <c r="AO43" s="373"/>
      <c r="AP43" s="373"/>
      <c r="AQ43" s="373"/>
      <c r="AR43" s="373"/>
      <c r="AS43" s="373"/>
      <c r="AT43" s="15"/>
      <c r="AU43" s="15"/>
      <c r="AV43" s="15"/>
      <c r="AW43" s="373"/>
      <c r="AX43" s="15"/>
      <c r="AY43" s="132"/>
      <c r="AZ43" s="132"/>
      <c r="BA43" s="132"/>
      <c r="BB43" s="132"/>
      <c r="BC43" s="539" t="s">
        <v>619</v>
      </c>
      <c r="BD43" s="132"/>
      <c r="BE43" s="132"/>
      <c r="BF43" s="132"/>
      <c r="BG43" s="132"/>
      <c r="BH43" s="132"/>
      <c r="BI43" s="132"/>
      <c r="BJ43" s="132"/>
      <c r="BK43" s="373"/>
      <c r="BL43" s="132"/>
      <c r="BM43" s="373"/>
      <c r="BN43" s="283"/>
      <c r="BV43" s="283"/>
      <c r="BW43" s="283"/>
      <c r="BX43" s="283"/>
      <c r="BY43" s="283"/>
      <c r="BZ43" s="283"/>
      <c r="CA43" s="283"/>
    </row>
    <row r="44" spans="1:79" s="289" customFormat="1" outlineLevel="1" x14ac:dyDescent="0.3">
      <c r="B44" s="373"/>
      <c r="C44" s="2527" t="s">
        <v>1162</v>
      </c>
      <c r="D44" s="2527"/>
      <c r="E44" s="2527"/>
      <c r="F44" s="2527"/>
      <c r="G44" s="2527"/>
      <c r="H44" s="2527"/>
      <c r="I44" s="2527"/>
      <c r="J44" s="2527"/>
      <c r="K44" s="2527"/>
      <c r="L44" s="2528"/>
      <c r="M44" s="2500"/>
      <c r="N44" s="2501"/>
      <c r="O44" s="2502"/>
      <c r="P44" s="2503" t="s">
        <v>635</v>
      </c>
      <c r="Q44" s="2504"/>
      <c r="R44" s="2505"/>
      <c r="S44" s="2506"/>
      <c r="T44" s="2506"/>
      <c r="U44" s="2506"/>
      <c r="V44" s="2511">
        <f>IFERROR(IF($BL44="x",M44*S44,0),0)</f>
        <v>0</v>
      </c>
      <c r="W44" s="2507"/>
      <c r="X44" s="2512"/>
      <c r="Y44" s="2517"/>
      <c r="Z44" s="2518"/>
      <c r="AA44" s="2519"/>
      <c r="AB44" s="2520" t="s">
        <v>635</v>
      </c>
      <c r="AC44" s="2521"/>
      <c r="AD44" s="2522"/>
      <c r="AE44" s="2523"/>
      <c r="AF44" s="2523"/>
      <c r="AG44" s="2523"/>
      <c r="AH44" s="2511">
        <f>IFERROR(IF($BL44="x",Y44*AE44,0),0)</f>
        <v>0</v>
      </c>
      <c r="AI44" s="2507"/>
      <c r="AJ44" s="2512"/>
      <c r="AK44" s="2500"/>
      <c r="AL44" s="2501"/>
      <c r="AM44" s="2502"/>
      <c r="AN44" s="2503"/>
      <c r="AO44" s="2504"/>
      <c r="AP44" s="2505"/>
      <c r="AQ44" s="2506"/>
      <c r="AR44" s="2506"/>
      <c r="AS44" s="2500"/>
      <c r="AT44" s="2511">
        <f>IFERROR(IF($BL44="x",AK44*AQ44,0),0)</f>
        <v>0</v>
      </c>
      <c r="AU44" s="2507"/>
      <c r="AV44" s="2512"/>
      <c r="AW44" s="373"/>
      <c r="AX44" s="2508">
        <f>V44+AH44+AT44</f>
        <v>0</v>
      </c>
      <c r="AY44" s="2508"/>
      <c r="AZ44" s="2508"/>
      <c r="BA44" s="2508"/>
      <c r="BB44" s="2508"/>
      <c r="BC44" s="539">
        <v>4</v>
      </c>
      <c r="BD44" s="2513" t="s">
        <v>421</v>
      </c>
      <c r="BE44" s="2513"/>
      <c r="BF44" s="2513"/>
      <c r="BG44" s="2513"/>
      <c r="BH44" s="2513"/>
      <c r="BI44" s="2513"/>
      <c r="BJ44" s="2514"/>
      <c r="BK44" s="373"/>
      <c r="BL44" s="1758" t="s">
        <v>665</v>
      </c>
      <c r="BM44" s="373"/>
    </row>
    <row r="45" spans="1:79" s="289" customFormat="1" outlineLevel="1" x14ac:dyDescent="0.3">
      <c r="B45" s="373"/>
      <c r="C45" s="2515" t="s">
        <v>1163</v>
      </c>
      <c r="D45" s="2515"/>
      <c r="E45" s="2515"/>
      <c r="F45" s="2515"/>
      <c r="G45" s="2515"/>
      <c r="H45" s="2515"/>
      <c r="I45" s="2515"/>
      <c r="J45" s="2515"/>
      <c r="K45" s="2515"/>
      <c r="L45" s="2516"/>
      <c r="M45" s="2500"/>
      <c r="N45" s="2501"/>
      <c r="O45" s="2502"/>
      <c r="P45" s="2503" t="s">
        <v>635</v>
      </c>
      <c r="Q45" s="2504"/>
      <c r="R45" s="2505"/>
      <c r="S45" s="2506"/>
      <c r="T45" s="2506"/>
      <c r="U45" s="2506"/>
      <c r="V45" s="2507">
        <f>IFERROR(IF($BL45="x",M45*S45,0),0)</f>
        <v>0</v>
      </c>
      <c r="W45" s="2507"/>
      <c r="X45" s="2507"/>
      <c r="Y45" s="2517"/>
      <c r="Z45" s="2518"/>
      <c r="AA45" s="2519"/>
      <c r="AB45" s="2520" t="s">
        <v>635</v>
      </c>
      <c r="AC45" s="2521"/>
      <c r="AD45" s="2522"/>
      <c r="AE45" s="2523"/>
      <c r="AF45" s="2523"/>
      <c r="AG45" s="2523"/>
      <c r="AH45" s="2507">
        <f>IFERROR(IF($BL45="x",Y45*AE45,0),0)</f>
        <v>0</v>
      </c>
      <c r="AI45" s="2507"/>
      <c r="AJ45" s="2507"/>
      <c r="AK45" s="2500"/>
      <c r="AL45" s="2501"/>
      <c r="AM45" s="2502"/>
      <c r="AN45" s="2503"/>
      <c r="AO45" s="2504"/>
      <c r="AP45" s="2505"/>
      <c r="AQ45" s="2506"/>
      <c r="AR45" s="2506"/>
      <c r="AS45" s="2500"/>
      <c r="AT45" s="2507">
        <f>IFERROR(IF($BL45="x",AK45*AQ45,0),0)</f>
        <v>0</v>
      </c>
      <c r="AU45" s="2507"/>
      <c r="AV45" s="2507"/>
      <c r="AW45" s="373"/>
      <c r="AX45" s="2508">
        <f>V45+AH45+AT45</f>
        <v>0</v>
      </c>
      <c r="AY45" s="2508"/>
      <c r="AZ45" s="2508"/>
      <c r="BA45" s="2508"/>
      <c r="BB45" s="2508"/>
      <c r="BC45" s="539">
        <v>3</v>
      </c>
      <c r="BD45" s="2509" t="s">
        <v>421</v>
      </c>
      <c r="BE45" s="2509"/>
      <c r="BF45" s="2509"/>
      <c r="BG45" s="2509"/>
      <c r="BH45" s="2509"/>
      <c r="BI45" s="2509"/>
      <c r="BJ45" s="2510"/>
      <c r="BK45" s="373"/>
      <c r="BL45" s="1758" t="s">
        <v>665</v>
      </c>
      <c r="BM45" s="373"/>
    </row>
    <row r="46" spans="1:79" s="289" customFormat="1" outlineLevel="1" x14ac:dyDescent="0.3">
      <c r="B46" s="373"/>
      <c r="C46" s="2515"/>
      <c r="D46" s="2515"/>
      <c r="E46" s="2515"/>
      <c r="F46" s="2515"/>
      <c r="G46" s="2515"/>
      <c r="H46" s="2515"/>
      <c r="I46" s="2515"/>
      <c r="J46" s="2515"/>
      <c r="K46" s="2515"/>
      <c r="L46" s="2516"/>
      <c r="M46" s="2500"/>
      <c r="N46" s="2501"/>
      <c r="O46" s="2502"/>
      <c r="P46" s="2503"/>
      <c r="Q46" s="2504"/>
      <c r="R46" s="2505"/>
      <c r="S46" s="2506"/>
      <c r="T46" s="2506"/>
      <c r="U46" s="2506"/>
      <c r="V46" s="2507">
        <f>IFERROR(IF($BL46="x",M46*S46,0),0)</f>
        <v>0</v>
      </c>
      <c r="W46" s="2507"/>
      <c r="X46" s="2507"/>
      <c r="Y46" s="2517"/>
      <c r="Z46" s="2518"/>
      <c r="AA46" s="2519"/>
      <c r="AB46" s="2520"/>
      <c r="AC46" s="2521"/>
      <c r="AD46" s="2522"/>
      <c r="AE46" s="2523"/>
      <c r="AF46" s="2523"/>
      <c r="AG46" s="2523"/>
      <c r="AH46" s="2507">
        <f>IFERROR(IF($BL46="x",Y46*AE46,0),0)</f>
        <v>0</v>
      </c>
      <c r="AI46" s="2507"/>
      <c r="AJ46" s="2507"/>
      <c r="AK46" s="2500"/>
      <c r="AL46" s="2501"/>
      <c r="AM46" s="2502"/>
      <c r="AN46" s="2503"/>
      <c r="AO46" s="2504"/>
      <c r="AP46" s="2505"/>
      <c r="AQ46" s="2506"/>
      <c r="AR46" s="2506"/>
      <c r="AS46" s="2500"/>
      <c r="AT46" s="2507">
        <f>IFERROR(IF($BL46="x",AK46*AQ46,0),0)</f>
        <v>0</v>
      </c>
      <c r="AU46" s="2507"/>
      <c r="AV46" s="2507"/>
      <c r="AW46" s="373"/>
      <c r="AX46" s="2508">
        <f>V46+AH46+AT46</f>
        <v>0</v>
      </c>
      <c r="AY46" s="2508"/>
      <c r="AZ46" s="2508"/>
      <c r="BA46" s="2508"/>
      <c r="BB46" s="2508"/>
      <c r="BC46" s="539">
        <v>6</v>
      </c>
      <c r="BD46" s="2509"/>
      <c r="BE46" s="2509"/>
      <c r="BF46" s="2509"/>
      <c r="BG46" s="2509"/>
      <c r="BH46" s="2509"/>
      <c r="BI46" s="2509"/>
      <c r="BJ46" s="2510"/>
      <c r="BK46" s="373"/>
      <c r="BL46" s="1758" t="s">
        <v>665</v>
      </c>
      <c r="BM46" s="373"/>
    </row>
    <row r="47" spans="1:79" outlineLevel="1" x14ac:dyDescent="0.3">
      <c r="A47" s="289"/>
      <c r="B47" s="373"/>
      <c r="C47" s="2515"/>
      <c r="D47" s="2515"/>
      <c r="E47" s="2515"/>
      <c r="F47" s="2515"/>
      <c r="G47" s="2515"/>
      <c r="H47" s="2515"/>
      <c r="I47" s="2515"/>
      <c r="J47" s="2515"/>
      <c r="K47" s="2515"/>
      <c r="L47" s="2516"/>
      <c r="M47" s="2500"/>
      <c r="N47" s="2501"/>
      <c r="O47" s="2502"/>
      <c r="P47" s="2503"/>
      <c r="Q47" s="2504"/>
      <c r="R47" s="2505"/>
      <c r="S47" s="2506"/>
      <c r="T47" s="2506"/>
      <c r="U47" s="2506"/>
      <c r="V47" s="2507">
        <f>IFERROR(IF($BL47="x",M47*S47,0),0)</f>
        <v>0</v>
      </c>
      <c r="W47" s="2507"/>
      <c r="X47" s="2507"/>
      <c r="Y47" s="2517"/>
      <c r="Z47" s="2518"/>
      <c r="AA47" s="2519"/>
      <c r="AB47" s="2520"/>
      <c r="AC47" s="2521"/>
      <c r="AD47" s="2522"/>
      <c r="AE47" s="2523"/>
      <c r="AF47" s="2523"/>
      <c r="AG47" s="2523"/>
      <c r="AH47" s="2507">
        <f>IFERROR(IF($BL47="x",Y47*AE47,0),0)</f>
        <v>0</v>
      </c>
      <c r="AI47" s="2507"/>
      <c r="AJ47" s="2507"/>
      <c r="AK47" s="2500"/>
      <c r="AL47" s="2501"/>
      <c r="AM47" s="2502"/>
      <c r="AN47" s="2503"/>
      <c r="AO47" s="2504"/>
      <c r="AP47" s="2505"/>
      <c r="AQ47" s="2506"/>
      <c r="AR47" s="2506"/>
      <c r="AS47" s="2500"/>
      <c r="AT47" s="2507">
        <f>IFERROR(IF($BL47="x",AK47*AQ47,0),0)</f>
        <v>0</v>
      </c>
      <c r="AU47" s="2507"/>
      <c r="AV47" s="2507"/>
      <c r="AW47" s="373"/>
      <c r="AX47" s="2508">
        <f>V47+AH47+AT47</f>
        <v>0</v>
      </c>
      <c r="AY47" s="2508"/>
      <c r="AZ47" s="2508"/>
      <c r="BA47" s="2508"/>
      <c r="BB47" s="2508"/>
      <c r="BC47" s="539">
        <v>7</v>
      </c>
      <c r="BD47" s="2509"/>
      <c r="BE47" s="2509"/>
      <c r="BF47" s="2509"/>
      <c r="BG47" s="2509"/>
      <c r="BH47" s="2509"/>
      <c r="BI47" s="2509"/>
      <c r="BJ47" s="2510"/>
      <c r="BK47" s="373"/>
      <c r="BL47" s="1758" t="s">
        <v>665</v>
      </c>
      <c r="BM47" s="373"/>
      <c r="BN47" s="289"/>
      <c r="BO47" s="289"/>
      <c r="BP47" s="289"/>
      <c r="BQ47" s="289"/>
      <c r="BR47" s="289"/>
      <c r="BS47" s="289"/>
      <c r="BT47" s="289"/>
      <c r="BU47" s="289"/>
      <c r="BV47" s="289"/>
      <c r="BW47" s="289"/>
      <c r="BX47" s="289"/>
      <c r="BY47" s="289"/>
      <c r="BZ47" s="289"/>
      <c r="CA47" s="289"/>
    </row>
    <row r="48" spans="1:79" s="536" customFormat="1" x14ac:dyDescent="0.3">
      <c r="A48" s="289"/>
      <c r="B48" s="373"/>
      <c r="C48" s="2515"/>
      <c r="D48" s="2515"/>
      <c r="E48" s="2515"/>
      <c r="F48" s="2515"/>
      <c r="G48" s="2515"/>
      <c r="H48" s="2515"/>
      <c r="I48" s="2515"/>
      <c r="J48" s="2515"/>
      <c r="K48" s="2515"/>
      <c r="L48" s="2516"/>
      <c r="M48" s="2500"/>
      <c r="N48" s="2501"/>
      <c r="O48" s="2502"/>
      <c r="P48" s="2503"/>
      <c r="Q48" s="2504"/>
      <c r="R48" s="2505"/>
      <c r="S48" s="2506"/>
      <c r="T48" s="2506"/>
      <c r="U48" s="2506"/>
      <c r="V48" s="2507">
        <f>IFERROR(IF($BL48="x",M48*S48,0),0)</f>
        <v>0</v>
      </c>
      <c r="W48" s="2507"/>
      <c r="X48" s="2507"/>
      <c r="Y48" s="2517"/>
      <c r="Z48" s="2518"/>
      <c r="AA48" s="2519"/>
      <c r="AB48" s="2520"/>
      <c r="AC48" s="2521"/>
      <c r="AD48" s="2522"/>
      <c r="AE48" s="2523"/>
      <c r="AF48" s="2523"/>
      <c r="AG48" s="2523"/>
      <c r="AH48" s="2507">
        <f>IFERROR(IF($BL48="x",Y48*AE48,0),0)</f>
        <v>0</v>
      </c>
      <c r="AI48" s="2507"/>
      <c r="AJ48" s="2507"/>
      <c r="AK48" s="2500"/>
      <c r="AL48" s="2501"/>
      <c r="AM48" s="2502"/>
      <c r="AN48" s="2503"/>
      <c r="AO48" s="2504"/>
      <c r="AP48" s="2505"/>
      <c r="AQ48" s="2506"/>
      <c r="AR48" s="2506"/>
      <c r="AS48" s="2500"/>
      <c r="AT48" s="2507">
        <f>IFERROR(IF($BL48="x",AK48*AQ48,0),0)</f>
        <v>0</v>
      </c>
      <c r="AU48" s="2507"/>
      <c r="AV48" s="2507"/>
      <c r="AW48" s="373"/>
      <c r="AX48" s="2508">
        <f>V48+AH48+AT48</f>
        <v>0</v>
      </c>
      <c r="AY48" s="2508"/>
      <c r="AZ48" s="2508"/>
      <c r="BA48" s="2508"/>
      <c r="BB48" s="2508"/>
      <c r="BC48" s="539">
        <v>7</v>
      </c>
      <c r="BD48" s="2509"/>
      <c r="BE48" s="2509"/>
      <c r="BF48" s="2509"/>
      <c r="BG48" s="2509"/>
      <c r="BH48" s="2509"/>
      <c r="BI48" s="2509"/>
      <c r="BJ48" s="2510"/>
      <c r="BK48" s="373"/>
      <c r="BL48" s="1758" t="s">
        <v>665</v>
      </c>
      <c r="BM48" s="373"/>
      <c r="BN48" s="289"/>
      <c r="BO48" s="289"/>
      <c r="BP48" s="289"/>
      <c r="BQ48" s="289"/>
      <c r="BR48" s="289"/>
      <c r="BS48" s="289"/>
      <c r="BT48" s="289"/>
      <c r="BU48" s="289"/>
      <c r="BV48" s="289"/>
      <c r="BW48" s="289"/>
      <c r="BX48" s="289"/>
      <c r="BY48" s="289"/>
      <c r="BZ48" s="289"/>
      <c r="CA48" s="289"/>
    </row>
    <row r="49" spans="1:79" ht="3.75" customHeight="1" thickBot="1" x14ac:dyDescent="0.35">
      <c r="B49" s="373"/>
      <c r="C49" s="373"/>
      <c r="D49" s="373"/>
      <c r="E49" s="373"/>
      <c r="F49" s="373"/>
      <c r="G49" s="373"/>
      <c r="H49" s="373"/>
      <c r="I49" s="373"/>
      <c r="J49" s="373"/>
      <c r="K49" s="373"/>
      <c r="L49" s="373"/>
      <c r="M49" s="373"/>
      <c r="N49" s="373"/>
      <c r="O49" s="373"/>
      <c r="P49" s="373"/>
      <c r="Q49" s="373"/>
      <c r="R49" s="373"/>
      <c r="S49" s="373"/>
      <c r="T49" s="373"/>
      <c r="U49" s="373"/>
      <c r="V49" s="373"/>
      <c r="W49" s="373"/>
      <c r="X49" s="373"/>
      <c r="Y49" s="373"/>
      <c r="Z49" s="373"/>
      <c r="AA49" s="373"/>
      <c r="AB49" s="373"/>
      <c r="AC49" s="373"/>
      <c r="AD49" s="373"/>
      <c r="AE49" s="373"/>
      <c r="AF49" s="373"/>
      <c r="AG49" s="373"/>
      <c r="AH49" s="373"/>
      <c r="AI49" s="373"/>
      <c r="AJ49" s="15"/>
      <c r="AK49" s="373"/>
      <c r="AL49" s="373"/>
      <c r="AM49" s="373"/>
      <c r="AN49" s="373"/>
      <c r="AO49" s="373"/>
      <c r="AP49" s="373"/>
      <c r="AQ49" s="373"/>
      <c r="AR49" s="373"/>
      <c r="AS49" s="373"/>
      <c r="AT49" s="15"/>
      <c r="AU49" s="15"/>
      <c r="AV49" s="15"/>
      <c r="AW49" s="373"/>
      <c r="AX49" s="15"/>
      <c r="AY49" s="132"/>
      <c r="AZ49" s="132"/>
      <c r="BA49" s="132"/>
      <c r="BB49" s="132"/>
      <c r="BC49" s="539" t="s">
        <v>619</v>
      </c>
      <c r="BD49" s="132"/>
      <c r="BE49" s="132"/>
      <c r="BF49" s="132"/>
      <c r="BG49" s="132"/>
      <c r="BH49" s="132"/>
      <c r="BI49" s="132"/>
      <c r="BJ49" s="132"/>
      <c r="BK49" s="373"/>
      <c r="BL49" s="132"/>
      <c r="BM49" s="373"/>
      <c r="BO49" s="289"/>
      <c r="BP49" s="289"/>
      <c r="BQ49" s="289"/>
      <c r="BR49" s="289"/>
      <c r="BS49" s="289"/>
      <c r="BT49" s="289"/>
      <c r="BU49" s="289"/>
    </row>
    <row r="50" spans="1:79" s="289" customFormat="1" ht="15" customHeight="1" outlineLevel="1" thickBot="1" x14ac:dyDescent="0.25">
      <c r="A50" s="536"/>
      <c r="B50" s="373"/>
      <c r="C50" s="2524" t="s">
        <v>668</v>
      </c>
      <c r="D50" s="2525"/>
      <c r="E50" s="380" t="str">
        <f>UPPER($E$13)</f>
        <v>PLUMBING</v>
      </c>
      <c r="F50" s="537"/>
      <c r="G50" s="537"/>
      <c r="H50" s="537"/>
      <c r="I50" s="537"/>
      <c r="J50" s="537"/>
      <c r="K50" s="537"/>
      <c r="L50" s="537"/>
      <c r="M50" s="537"/>
      <c r="N50" s="537"/>
      <c r="O50" s="537"/>
      <c r="P50" s="537"/>
      <c r="Q50" s="537"/>
      <c r="R50" s="537"/>
      <c r="S50" s="537"/>
      <c r="T50" s="537"/>
      <c r="U50" s="537"/>
      <c r="V50" s="2508">
        <f>SUM(V52:X56)</f>
        <v>0</v>
      </c>
      <c r="W50" s="2508"/>
      <c r="X50" s="2508"/>
      <c r="Y50" s="537"/>
      <c r="Z50" s="537"/>
      <c r="AA50" s="537"/>
      <c r="AB50" s="537"/>
      <c r="AC50" s="537"/>
      <c r="AD50" s="537"/>
      <c r="AE50" s="537"/>
      <c r="AF50" s="537"/>
      <c r="AG50" s="537"/>
      <c r="AH50" s="2508">
        <f>SUM(AH52:AJ56)</f>
        <v>0</v>
      </c>
      <c r="AI50" s="2508"/>
      <c r="AJ50" s="2508"/>
      <c r="AK50" s="537"/>
      <c r="AL50" s="537"/>
      <c r="AM50" s="537"/>
      <c r="AN50" s="537"/>
      <c r="AO50" s="537"/>
      <c r="AP50" s="537"/>
      <c r="AQ50" s="537"/>
      <c r="AR50" s="537"/>
      <c r="AS50" s="538"/>
      <c r="AT50" s="2508">
        <f>SUM(AT52:AV56)</f>
        <v>0</v>
      </c>
      <c r="AU50" s="2508"/>
      <c r="AV50" s="2508"/>
      <c r="AW50" s="373"/>
      <c r="AX50" s="2526">
        <f>SUM(AX52:BB56)</f>
        <v>0</v>
      </c>
      <c r="AY50" s="2526"/>
      <c r="AZ50" s="2526"/>
      <c r="BA50" s="2526"/>
      <c r="BB50" s="2526"/>
      <c r="BC50" s="539" t="s">
        <v>619</v>
      </c>
      <c r="BD50" s="540"/>
      <c r="BE50" s="541"/>
      <c r="BF50" s="541"/>
      <c r="BG50" s="541"/>
      <c r="BH50" s="541"/>
      <c r="BI50" s="541"/>
      <c r="BJ50" s="541"/>
      <c r="BK50" s="373"/>
      <c r="BL50" s="132"/>
      <c r="BM50" s="373"/>
      <c r="BN50" s="536"/>
      <c r="BV50" s="536"/>
      <c r="BW50" s="536"/>
      <c r="BX50" s="536"/>
      <c r="BY50" s="536"/>
      <c r="BZ50" s="536"/>
      <c r="CA50" s="536"/>
    </row>
    <row r="51" spans="1:79" s="289" customFormat="1" outlineLevel="1" x14ac:dyDescent="0.3">
      <c r="A51" s="283"/>
      <c r="B51" s="373"/>
      <c r="C51" s="373"/>
      <c r="D51" s="373"/>
      <c r="E51" s="373"/>
      <c r="F51" s="373"/>
      <c r="G51" s="373"/>
      <c r="H51" s="373"/>
      <c r="I51" s="373"/>
      <c r="J51" s="373"/>
      <c r="K51" s="373"/>
      <c r="L51" s="373"/>
      <c r="M51" s="373"/>
      <c r="N51" s="373"/>
      <c r="O51" s="373"/>
      <c r="P51" s="373"/>
      <c r="Q51" s="373"/>
      <c r="R51" s="373"/>
      <c r="S51" s="373"/>
      <c r="T51" s="373"/>
      <c r="U51" s="373"/>
      <c r="V51" s="373"/>
      <c r="W51" s="373"/>
      <c r="X51" s="373"/>
      <c r="Y51" s="373"/>
      <c r="Z51" s="373"/>
      <c r="AA51" s="373"/>
      <c r="AB51" s="373"/>
      <c r="AC51" s="373"/>
      <c r="AD51" s="373"/>
      <c r="AE51" s="373"/>
      <c r="AF51" s="373"/>
      <c r="AG51" s="373"/>
      <c r="AH51" s="373"/>
      <c r="AI51" s="373"/>
      <c r="AJ51" s="15"/>
      <c r="AK51" s="373"/>
      <c r="AL51" s="373"/>
      <c r="AM51" s="373"/>
      <c r="AN51" s="373"/>
      <c r="AO51" s="373"/>
      <c r="AP51" s="373"/>
      <c r="AQ51" s="373"/>
      <c r="AR51" s="373"/>
      <c r="AS51" s="373"/>
      <c r="AT51" s="15"/>
      <c r="AU51" s="15"/>
      <c r="AV51" s="15"/>
      <c r="AW51" s="373"/>
      <c r="AX51" s="15"/>
      <c r="AY51" s="132"/>
      <c r="AZ51" s="132"/>
      <c r="BA51" s="132"/>
      <c r="BB51" s="132"/>
      <c r="BC51" s="539" t="s">
        <v>619</v>
      </c>
      <c r="BD51" s="132"/>
      <c r="BE51" s="132"/>
      <c r="BF51" s="132"/>
      <c r="BG51" s="132"/>
      <c r="BH51" s="132"/>
      <c r="BI51" s="132"/>
      <c r="BJ51" s="132"/>
      <c r="BK51" s="373"/>
      <c r="BL51" s="132"/>
      <c r="BM51" s="373"/>
      <c r="BN51" s="283"/>
      <c r="BV51" s="283"/>
      <c r="BW51" s="283"/>
      <c r="BX51" s="283"/>
      <c r="BY51" s="283"/>
      <c r="BZ51" s="283"/>
      <c r="CA51" s="283"/>
    </row>
    <row r="52" spans="1:79" s="289" customFormat="1" outlineLevel="1" x14ac:dyDescent="0.3">
      <c r="B52" s="373"/>
      <c r="C52" s="2527" t="s">
        <v>1164</v>
      </c>
      <c r="D52" s="2527"/>
      <c r="E52" s="2527"/>
      <c r="F52" s="2527"/>
      <c r="G52" s="2527"/>
      <c r="H52" s="2527"/>
      <c r="I52" s="2527"/>
      <c r="J52" s="2527"/>
      <c r="K52" s="2527"/>
      <c r="L52" s="2528"/>
      <c r="M52" s="2517"/>
      <c r="N52" s="2518"/>
      <c r="O52" s="2519"/>
      <c r="P52" s="2520" t="s">
        <v>635</v>
      </c>
      <c r="Q52" s="2521"/>
      <c r="R52" s="2522"/>
      <c r="S52" s="2506"/>
      <c r="T52" s="2506"/>
      <c r="U52" s="2506"/>
      <c r="V52" s="2511">
        <f>IFERROR(IF($BL52="x",M52*S52,0),0)</f>
        <v>0</v>
      </c>
      <c r="W52" s="2507"/>
      <c r="X52" s="2512"/>
      <c r="Y52" s="2517"/>
      <c r="Z52" s="2518"/>
      <c r="AA52" s="2519"/>
      <c r="AB52" s="2520" t="s">
        <v>635</v>
      </c>
      <c r="AC52" s="2521"/>
      <c r="AD52" s="2522"/>
      <c r="AE52" s="2523"/>
      <c r="AF52" s="2523"/>
      <c r="AG52" s="2523"/>
      <c r="AH52" s="2511">
        <f>IFERROR(IF($BL52="x",Y52*AE52,0),0)</f>
        <v>0</v>
      </c>
      <c r="AI52" s="2507"/>
      <c r="AJ52" s="2512"/>
      <c r="AK52" s="2500"/>
      <c r="AL52" s="2501"/>
      <c r="AM52" s="2502"/>
      <c r="AN52" s="2503"/>
      <c r="AO52" s="2504"/>
      <c r="AP52" s="2505"/>
      <c r="AQ52" s="2506"/>
      <c r="AR52" s="2506"/>
      <c r="AS52" s="2500"/>
      <c r="AT52" s="2511">
        <f>IFERROR(IF($BL52="x",AK52*AQ52,0),0)</f>
        <v>0</v>
      </c>
      <c r="AU52" s="2507"/>
      <c r="AV52" s="2512"/>
      <c r="AW52" s="373"/>
      <c r="AX52" s="2508">
        <f>V52+AH52+AT52</f>
        <v>0</v>
      </c>
      <c r="AY52" s="2508"/>
      <c r="AZ52" s="2508"/>
      <c r="BA52" s="2508"/>
      <c r="BB52" s="2508"/>
      <c r="BC52" s="539">
        <v>13</v>
      </c>
      <c r="BD52" s="2513" t="s">
        <v>421</v>
      </c>
      <c r="BE52" s="2513"/>
      <c r="BF52" s="2513"/>
      <c r="BG52" s="2513"/>
      <c r="BH52" s="2513"/>
      <c r="BI52" s="2513"/>
      <c r="BJ52" s="2514"/>
      <c r="BK52" s="373"/>
      <c r="BL52" s="1758" t="s">
        <v>665</v>
      </c>
      <c r="BM52" s="373"/>
    </row>
    <row r="53" spans="1:79" s="289" customFormat="1" outlineLevel="1" x14ac:dyDescent="0.3">
      <c r="B53" s="373"/>
      <c r="C53" s="2515" t="s">
        <v>1165</v>
      </c>
      <c r="D53" s="2515"/>
      <c r="E53" s="2515"/>
      <c r="F53" s="2515"/>
      <c r="G53" s="2515"/>
      <c r="H53" s="2515"/>
      <c r="I53" s="2515"/>
      <c r="J53" s="2515"/>
      <c r="K53" s="2515"/>
      <c r="L53" s="2516"/>
      <c r="M53" s="2517"/>
      <c r="N53" s="2518"/>
      <c r="O53" s="2519"/>
      <c r="P53" s="2520" t="s">
        <v>635</v>
      </c>
      <c r="Q53" s="2521"/>
      <c r="R53" s="2522"/>
      <c r="S53" s="2506"/>
      <c r="T53" s="2506"/>
      <c r="U53" s="2506"/>
      <c r="V53" s="2507">
        <f>IFERROR(IF($BL53="x",M53*S53,0),0)</f>
        <v>0</v>
      </c>
      <c r="W53" s="2507"/>
      <c r="X53" s="2507"/>
      <c r="Y53" s="2517"/>
      <c r="Z53" s="2518"/>
      <c r="AA53" s="2519"/>
      <c r="AB53" s="2520" t="s">
        <v>635</v>
      </c>
      <c r="AC53" s="2521"/>
      <c r="AD53" s="2522"/>
      <c r="AE53" s="2523"/>
      <c r="AF53" s="2523"/>
      <c r="AG53" s="2523"/>
      <c r="AH53" s="2507">
        <f>IFERROR(IF($BL53="x",Y53*AE53,0),0)</f>
        <v>0</v>
      </c>
      <c r="AI53" s="2507"/>
      <c r="AJ53" s="2507"/>
      <c r="AK53" s="2500"/>
      <c r="AL53" s="2501"/>
      <c r="AM53" s="2502"/>
      <c r="AN53" s="2503"/>
      <c r="AO53" s="2504"/>
      <c r="AP53" s="2505"/>
      <c r="AQ53" s="2506"/>
      <c r="AR53" s="2506"/>
      <c r="AS53" s="2500"/>
      <c r="AT53" s="2507">
        <f>IFERROR(IF($BL53="x",AK53*AQ53,0),0)</f>
        <v>0</v>
      </c>
      <c r="AU53" s="2507"/>
      <c r="AV53" s="2507"/>
      <c r="AW53" s="373"/>
      <c r="AX53" s="2508">
        <f>V53+AH53+AT53</f>
        <v>0</v>
      </c>
      <c r="AY53" s="2508"/>
      <c r="AZ53" s="2508"/>
      <c r="BA53" s="2508"/>
      <c r="BB53" s="2508"/>
      <c r="BC53" s="539">
        <v>13</v>
      </c>
      <c r="BD53" s="2509" t="s">
        <v>421</v>
      </c>
      <c r="BE53" s="2509"/>
      <c r="BF53" s="2509"/>
      <c r="BG53" s="2509"/>
      <c r="BH53" s="2509"/>
      <c r="BI53" s="2509"/>
      <c r="BJ53" s="2510"/>
      <c r="BK53" s="373"/>
      <c r="BL53" s="1758" t="s">
        <v>665</v>
      </c>
      <c r="BM53" s="373"/>
    </row>
    <row r="54" spans="1:79" s="289" customFormat="1" outlineLevel="1" x14ac:dyDescent="0.3">
      <c r="B54" s="373"/>
      <c r="C54" s="2515"/>
      <c r="D54" s="2515"/>
      <c r="E54" s="2515"/>
      <c r="F54" s="2515"/>
      <c r="G54" s="2515"/>
      <c r="H54" s="2515"/>
      <c r="I54" s="2515"/>
      <c r="J54" s="2515"/>
      <c r="K54" s="2515"/>
      <c r="L54" s="2516"/>
      <c r="M54" s="2500"/>
      <c r="N54" s="2501"/>
      <c r="O54" s="2502"/>
      <c r="P54" s="2503"/>
      <c r="Q54" s="2504"/>
      <c r="R54" s="2505"/>
      <c r="S54" s="2506"/>
      <c r="T54" s="2506"/>
      <c r="U54" s="2506"/>
      <c r="V54" s="2507">
        <f>IFERROR(IF($BL54="x",M54*S54,0),0)</f>
        <v>0</v>
      </c>
      <c r="W54" s="2507"/>
      <c r="X54" s="2507"/>
      <c r="Y54" s="2517"/>
      <c r="Z54" s="2518"/>
      <c r="AA54" s="2519"/>
      <c r="AB54" s="2520"/>
      <c r="AC54" s="2521"/>
      <c r="AD54" s="2522"/>
      <c r="AE54" s="2523"/>
      <c r="AF54" s="2523"/>
      <c r="AG54" s="2523"/>
      <c r="AH54" s="2507">
        <f>IFERROR(IF($BL54="x",Y54*AE54,0),0)</f>
        <v>0</v>
      </c>
      <c r="AI54" s="2507"/>
      <c r="AJ54" s="2507"/>
      <c r="AK54" s="2500"/>
      <c r="AL54" s="2501"/>
      <c r="AM54" s="2502"/>
      <c r="AN54" s="2503"/>
      <c r="AO54" s="2504"/>
      <c r="AP54" s="2505"/>
      <c r="AQ54" s="2506"/>
      <c r="AR54" s="2506"/>
      <c r="AS54" s="2500"/>
      <c r="AT54" s="2507">
        <f>IFERROR(IF($BL54="x",AK54*AQ54,0),0)</f>
        <v>0</v>
      </c>
      <c r="AU54" s="2507"/>
      <c r="AV54" s="2507"/>
      <c r="AW54" s="373"/>
      <c r="AX54" s="2508">
        <f>V54+AH54+AT54</f>
        <v>0</v>
      </c>
      <c r="AY54" s="2508"/>
      <c r="AZ54" s="2508"/>
      <c r="BA54" s="2508"/>
      <c r="BB54" s="2508"/>
      <c r="BC54" s="539">
        <v>1</v>
      </c>
      <c r="BD54" s="2509"/>
      <c r="BE54" s="2509"/>
      <c r="BF54" s="2509"/>
      <c r="BG54" s="2509"/>
      <c r="BH54" s="2509"/>
      <c r="BI54" s="2509"/>
      <c r="BJ54" s="2510"/>
      <c r="BK54" s="373"/>
      <c r="BL54" s="1758" t="s">
        <v>665</v>
      </c>
      <c r="BM54" s="373"/>
    </row>
    <row r="55" spans="1:79" outlineLevel="1" x14ac:dyDescent="0.3">
      <c r="A55" s="289"/>
      <c r="B55" s="373"/>
      <c r="C55" s="2515"/>
      <c r="D55" s="2515"/>
      <c r="E55" s="2515"/>
      <c r="F55" s="2515"/>
      <c r="G55" s="2515"/>
      <c r="H55" s="2515"/>
      <c r="I55" s="2515"/>
      <c r="J55" s="2515"/>
      <c r="K55" s="2515"/>
      <c r="L55" s="2516"/>
      <c r="M55" s="2500"/>
      <c r="N55" s="2501"/>
      <c r="O55" s="2502"/>
      <c r="P55" s="2503"/>
      <c r="Q55" s="2504"/>
      <c r="R55" s="2505"/>
      <c r="S55" s="2506"/>
      <c r="T55" s="2506"/>
      <c r="U55" s="2506"/>
      <c r="V55" s="2507">
        <f>IFERROR(IF($BL55="x",M55*S55,0),0)</f>
        <v>0</v>
      </c>
      <c r="W55" s="2507"/>
      <c r="X55" s="2507"/>
      <c r="Y55" s="2517"/>
      <c r="Z55" s="2518"/>
      <c r="AA55" s="2519"/>
      <c r="AB55" s="2520"/>
      <c r="AC55" s="2521"/>
      <c r="AD55" s="2522"/>
      <c r="AE55" s="2523"/>
      <c r="AF55" s="2523"/>
      <c r="AG55" s="2523"/>
      <c r="AH55" s="2507">
        <f>IFERROR(IF($BL55="x",Y55*AE55,0),0)</f>
        <v>0</v>
      </c>
      <c r="AI55" s="2507"/>
      <c r="AJ55" s="2507"/>
      <c r="AK55" s="2500"/>
      <c r="AL55" s="2501"/>
      <c r="AM55" s="2502"/>
      <c r="AN55" s="2503"/>
      <c r="AO55" s="2504"/>
      <c r="AP55" s="2505"/>
      <c r="AQ55" s="2506"/>
      <c r="AR55" s="2506"/>
      <c r="AS55" s="2500"/>
      <c r="AT55" s="2507">
        <f>IFERROR(IF($BL55="x",AK55*AQ55,0),0)</f>
        <v>0</v>
      </c>
      <c r="AU55" s="2507"/>
      <c r="AV55" s="2507"/>
      <c r="AW55" s="373"/>
      <c r="AX55" s="2508">
        <f>V55+AH55+AT55</f>
        <v>0</v>
      </c>
      <c r="AY55" s="2508"/>
      <c r="AZ55" s="2508"/>
      <c r="BA55" s="2508"/>
      <c r="BB55" s="2508"/>
      <c r="BC55" s="539">
        <v>1</v>
      </c>
      <c r="BD55" s="2509"/>
      <c r="BE55" s="2509"/>
      <c r="BF55" s="2509"/>
      <c r="BG55" s="2509"/>
      <c r="BH55" s="2509"/>
      <c r="BI55" s="2509"/>
      <c r="BJ55" s="2510"/>
      <c r="BK55" s="373"/>
      <c r="BL55" s="1758" t="s">
        <v>665</v>
      </c>
      <c r="BM55" s="373"/>
      <c r="BN55" s="289"/>
      <c r="BO55" s="289"/>
      <c r="BP55" s="289"/>
      <c r="BQ55" s="289"/>
      <c r="BR55" s="289"/>
      <c r="BS55" s="289"/>
      <c r="BT55" s="289"/>
      <c r="BU55" s="289"/>
      <c r="BV55" s="289"/>
      <c r="BW55" s="289"/>
      <c r="BX55" s="289"/>
      <c r="BY55" s="289"/>
      <c r="BZ55" s="289"/>
      <c r="CA55" s="289"/>
    </row>
    <row r="56" spans="1:79" s="536" customFormat="1" x14ac:dyDescent="0.3">
      <c r="A56" s="289"/>
      <c r="B56" s="373"/>
      <c r="C56" s="2515"/>
      <c r="D56" s="2515"/>
      <c r="E56" s="2515"/>
      <c r="F56" s="2515"/>
      <c r="G56" s="2515"/>
      <c r="H56" s="2515"/>
      <c r="I56" s="2515"/>
      <c r="J56" s="2515"/>
      <c r="K56" s="2515"/>
      <c r="L56" s="2516"/>
      <c r="M56" s="2500"/>
      <c r="N56" s="2501"/>
      <c r="O56" s="2502"/>
      <c r="P56" s="2503"/>
      <c r="Q56" s="2504"/>
      <c r="R56" s="2505"/>
      <c r="S56" s="2506"/>
      <c r="T56" s="2506"/>
      <c r="U56" s="2506"/>
      <c r="V56" s="2507">
        <f>IFERROR(IF($BL56="x",M56*S56,0),0)</f>
        <v>0</v>
      </c>
      <c r="W56" s="2507"/>
      <c r="X56" s="2507"/>
      <c r="Y56" s="2517"/>
      <c r="Z56" s="2518"/>
      <c r="AA56" s="2519"/>
      <c r="AB56" s="2520"/>
      <c r="AC56" s="2521"/>
      <c r="AD56" s="2522"/>
      <c r="AE56" s="2523"/>
      <c r="AF56" s="2523"/>
      <c r="AG56" s="2523"/>
      <c r="AH56" s="2507">
        <f>IFERROR(IF($BL56="x",Y56*AE56,0),0)</f>
        <v>0</v>
      </c>
      <c r="AI56" s="2507"/>
      <c r="AJ56" s="2507"/>
      <c r="AK56" s="2500"/>
      <c r="AL56" s="2501"/>
      <c r="AM56" s="2502"/>
      <c r="AN56" s="2503"/>
      <c r="AO56" s="2504"/>
      <c r="AP56" s="2505"/>
      <c r="AQ56" s="2506"/>
      <c r="AR56" s="2506"/>
      <c r="AS56" s="2500"/>
      <c r="AT56" s="2507">
        <f>IFERROR(IF($BL56="x",AK56*AQ56,0),0)</f>
        <v>0</v>
      </c>
      <c r="AU56" s="2507"/>
      <c r="AV56" s="2507"/>
      <c r="AW56" s="373"/>
      <c r="AX56" s="2508">
        <f>V56+AH56+AT56</f>
        <v>0</v>
      </c>
      <c r="AY56" s="2508"/>
      <c r="AZ56" s="2508"/>
      <c r="BA56" s="2508"/>
      <c r="BB56" s="2508"/>
      <c r="BC56" s="539">
        <v>1</v>
      </c>
      <c r="BD56" s="2509"/>
      <c r="BE56" s="2509"/>
      <c r="BF56" s="2509"/>
      <c r="BG56" s="2509"/>
      <c r="BH56" s="2509"/>
      <c r="BI56" s="2509"/>
      <c r="BJ56" s="2510"/>
      <c r="BK56" s="373"/>
      <c r="BL56" s="1758" t="s">
        <v>665</v>
      </c>
      <c r="BM56" s="373"/>
      <c r="BN56" s="289"/>
      <c r="BO56" s="289"/>
      <c r="BP56" s="289"/>
      <c r="BQ56" s="289"/>
      <c r="BR56" s="289"/>
      <c r="BS56" s="289"/>
      <c r="BT56" s="289"/>
      <c r="BU56" s="289"/>
      <c r="BV56" s="289"/>
      <c r="BW56" s="289"/>
      <c r="BX56" s="289"/>
      <c r="BY56" s="289"/>
      <c r="BZ56" s="289"/>
      <c r="CA56" s="289"/>
    </row>
    <row r="57" spans="1:79" ht="3.75" customHeight="1" thickBot="1" x14ac:dyDescent="0.35">
      <c r="B57" s="373"/>
      <c r="C57" s="373"/>
      <c r="D57" s="373"/>
      <c r="E57" s="373"/>
      <c r="F57" s="373"/>
      <c r="G57" s="373"/>
      <c r="H57" s="373"/>
      <c r="I57" s="373"/>
      <c r="J57" s="373"/>
      <c r="K57" s="373"/>
      <c r="L57" s="373"/>
      <c r="M57" s="373"/>
      <c r="N57" s="373"/>
      <c r="O57" s="373"/>
      <c r="P57" s="373"/>
      <c r="Q57" s="373"/>
      <c r="R57" s="373"/>
      <c r="S57" s="373"/>
      <c r="T57" s="373"/>
      <c r="U57" s="373"/>
      <c r="V57" s="373"/>
      <c r="W57" s="373"/>
      <c r="X57" s="373"/>
      <c r="Y57" s="373"/>
      <c r="Z57" s="373"/>
      <c r="AA57" s="373"/>
      <c r="AB57" s="373"/>
      <c r="AC57" s="373"/>
      <c r="AD57" s="373"/>
      <c r="AE57" s="373"/>
      <c r="AF57" s="373"/>
      <c r="AG57" s="373"/>
      <c r="AH57" s="373"/>
      <c r="AI57" s="373"/>
      <c r="AJ57" s="15"/>
      <c r="AK57" s="373"/>
      <c r="AL57" s="373"/>
      <c r="AM57" s="373"/>
      <c r="AN57" s="373"/>
      <c r="AO57" s="373"/>
      <c r="AP57" s="373"/>
      <c r="AQ57" s="373"/>
      <c r="AR57" s="373"/>
      <c r="AS57" s="373"/>
      <c r="AT57" s="15"/>
      <c r="AU57" s="15"/>
      <c r="AV57" s="15"/>
      <c r="AW57" s="373"/>
      <c r="AX57" s="15"/>
      <c r="AY57" s="132"/>
      <c r="AZ57" s="132"/>
      <c r="BA57" s="132"/>
      <c r="BB57" s="132"/>
      <c r="BC57" s="539" t="s">
        <v>619</v>
      </c>
      <c r="BD57" s="132"/>
      <c r="BE57" s="132"/>
      <c r="BF57" s="132"/>
      <c r="BG57" s="132"/>
      <c r="BH57" s="132"/>
      <c r="BI57" s="132"/>
      <c r="BJ57" s="132"/>
      <c r="BK57" s="373"/>
      <c r="BL57" s="132"/>
      <c r="BM57" s="373"/>
      <c r="BO57" s="289"/>
      <c r="BP57" s="289"/>
      <c r="BQ57" s="289"/>
      <c r="BR57" s="289"/>
      <c r="BS57" s="289"/>
      <c r="BT57" s="289"/>
      <c r="BU57" s="289"/>
    </row>
    <row r="58" spans="1:79" s="289" customFormat="1" ht="15" customHeight="1" outlineLevel="1" thickBot="1" x14ac:dyDescent="0.25">
      <c r="A58" s="536"/>
      <c r="B58" s="373"/>
      <c r="C58" s="2524" t="s">
        <v>669</v>
      </c>
      <c r="D58" s="2525"/>
      <c r="E58" s="380" t="str">
        <f>UPPER($E$14)</f>
        <v>ELECTRICAL</v>
      </c>
      <c r="F58" s="537"/>
      <c r="G58" s="537"/>
      <c r="H58" s="537"/>
      <c r="I58" s="537"/>
      <c r="J58" s="537"/>
      <c r="K58" s="537"/>
      <c r="L58" s="537"/>
      <c r="M58" s="537"/>
      <c r="N58" s="537"/>
      <c r="O58" s="537"/>
      <c r="P58" s="537"/>
      <c r="Q58" s="537"/>
      <c r="R58" s="537"/>
      <c r="S58" s="537"/>
      <c r="T58" s="537"/>
      <c r="U58" s="537"/>
      <c r="V58" s="2508">
        <f>SUM(V60:X64)</f>
        <v>0</v>
      </c>
      <c r="W58" s="2508"/>
      <c r="X58" s="2508"/>
      <c r="Y58" s="537"/>
      <c r="Z58" s="537"/>
      <c r="AA58" s="537"/>
      <c r="AB58" s="537"/>
      <c r="AC58" s="537"/>
      <c r="AD58" s="537"/>
      <c r="AE58" s="537"/>
      <c r="AF58" s="537"/>
      <c r="AG58" s="537"/>
      <c r="AH58" s="2508">
        <f>SUM(AH60:AJ64)</f>
        <v>0</v>
      </c>
      <c r="AI58" s="2508"/>
      <c r="AJ58" s="2508"/>
      <c r="AK58" s="537"/>
      <c r="AL58" s="537"/>
      <c r="AM58" s="537"/>
      <c r="AN58" s="537"/>
      <c r="AO58" s="537"/>
      <c r="AP58" s="537"/>
      <c r="AQ58" s="537"/>
      <c r="AR58" s="537"/>
      <c r="AS58" s="538"/>
      <c r="AT58" s="2508">
        <f>SUM(AT60:AV64)</f>
        <v>0</v>
      </c>
      <c r="AU58" s="2508"/>
      <c r="AV58" s="2508"/>
      <c r="AW58" s="373"/>
      <c r="AX58" s="2526">
        <f>SUM(AX60:BB64)</f>
        <v>0</v>
      </c>
      <c r="AY58" s="2526"/>
      <c r="AZ58" s="2526"/>
      <c r="BA58" s="2526"/>
      <c r="BB58" s="2526"/>
      <c r="BC58" s="539" t="s">
        <v>619</v>
      </c>
      <c r="BD58" s="540"/>
      <c r="BE58" s="541"/>
      <c r="BF58" s="541"/>
      <c r="BG58" s="541"/>
      <c r="BH58" s="541"/>
      <c r="BI58" s="541"/>
      <c r="BJ58" s="541"/>
      <c r="BK58" s="373"/>
      <c r="BL58" s="132"/>
      <c r="BM58" s="373"/>
      <c r="BN58" s="536"/>
      <c r="BV58" s="536"/>
      <c r="BW58" s="536"/>
      <c r="BX58" s="536"/>
      <c r="BY58" s="536"/>
      <c r="BZ58" s="536"/>
      <c r="CA58" s="536"/>
    </row>
    <row r="59" spans="1:79" s="289" customFormat="1" outlineLevel="1" x14ac:dyDescent="0.3">
      <c r="A59" s="283"/>
      <c r="B59" s="373"/>
      <c r="C59" s="373"/>
      <c r="D59" s="373"/>
      <c r="E59" s="373"/>
      <c r="F59" s="373"/>
      <c r="G59" s="373"/>
      <c r="H59" s="373"/>
      <c r="I59" s="373"/>
      <c r="J59" s="373"/>
      <c r="K59" s="373"/>
      <c r="L59" s="373"/>
      <c r="M59" s="373"/>
      <c r="N59" s="373"/>
      <c r="O59" s="373"/>
      <c r="P59" s="373"/>
      <c r="Q59" s="373"/>
      <c r="R59" s="373"/>
      <c r="S59" s="373"/>
      <c r="T59" s="373"/>
      <c r="U59" s="373"/>
      <c r="V59" s="373"/>
      <c r="W59" s="373"/>
      <c r="X59" s="373"/>
      <c r="Y59" s="373"/>
      <c r="Z59" s="373"/>
      <c r="AA59" s="373"/>
      <c r="AB59" s="373"/>
      <c r="AC59" s="373"/>
      <c r="AD59" s="373"/>
      <c r="AE59" s="373"/>
      <c r="AF59" s="373"/>
      <c r="AG59" s="373"/>
      <c r="AH59" s="373"/>
      <c r="AI59" s="373"/>
      <c r="AJ59" s="15"/>
      <c r="AK59" s="373"/>
      <c r="AL59" s="373"/>
      <c r="AM59" s="373"/>
      <c r="AN59" s="373"/>
      <c r="AO59" s="373"/>
      <c r="AP59" s="373"/>
      <c r="AQ59" s="373"/>
      <c r="AR59" s="373"/>
      <c r="AS59" s="373"/>
      <c r="AT59" s="15"/>
      <c r="AU59" s="15"/>
      <c r="AV59" s="15"/>
      <c r="AW59" s="373"/>
      <c r="AX59" s="15"/>
      <c r="AY59" s="132"/>
      <c r="AZ59" s="132"/>
      <c r="BA59" s="132"/>
      <c r="BB59" s="132"/>
      <c r="BC59" s="539" t="s">
        <v>619</v>
      </c>
      <c r="BD59" s="132"/>
      <c r="BE59" s="132"/>
      <c r="BF59" s="132"/>
      <c r="BG59" s="132"/>
      <c r="BH59" s="132"/>
      <c r="BI59" s="132"/>
      <c r="BJ59" s="132"/>
      <c r="BK59" s="373"/>
      <c r="BL59" s="132"/>
      <c r="BM59" s="373"/>
      <c r="BN59" s="283"/>
      <c r="BV59" s="283"/>
      <c r="BW59" s="283"/>
      <c r="BX59" s="283"/>
      <c r="BY59" s="283"/>
      <c r="BZ59" s="283"/>
      <c r="CA59" s="283"/>
    </row>
    <row r="60" spans="1:79" s="289" customFormat="1" outlineLevel="1" x14ac:dyDescent="0.3">
      <c r="B60" s="373"/>
      <c r="C60" s="2527" t="s">
        <v>1168</v>
      </c>
      <c r="D60" s="2527"/>
      <c r="E60" s="2527"/>
      <c r="F60" s="2527"/>
      <c r="G60" s="2527"/>
      <c r="H60" s="2527"/>
      <c r="I60" s="2527"/>
      <c r="J60" s="2527"/>
      <c r="K60" s="2527"/>
      <c r="L60" s="2528"/>
      <c r="M60" s="2500"/>
      <c r="N60" s="2501"/>
      <c r="O60" s="2502"/>
      <c r="P60" s="2503" t="s">
        <v>648</v>
      </c>
      <c r="Q60" s="2504"/>
      <c r="R60" s="2505"/>
      <c r="S60" s="2506"/>
      <c r="T60" s="2506"/>
      <c r="U60" s="2506"/>
      <c r="V60" s="2511">
        <f>IFERROR(IF($BL60="x",M60*S60,0),0)</f>
        <v>0</v>
      </c>
      <c r="W60" s="2507"/>
      <c r="X60" s="2512"/>
      <c r="Y60" s="2517"/>
      <c r="Z60" s="2518"/>
      <c r="AA60" s="2519"/>
      <c r="AB60" s="2520" t="s">
        <v>635</v>
      </c>
      <c r="AC60" s="2521"/>
      <c r="AD60" s="2522"/>
      <c r="AE60" s="2523"/>
      <c r="AF60" s="2523"/>
      <c r="AG60" s="2523"/>
      <c r="AH60" s="2511">
        <f>IFERROR(IF($BL60="x",Y60*AE60,0),0)</f>
        <v>0</v>
      </c>
      <c r="AI60" s="2507"/>
      <c r="AJ60" s="2512"/>
      <c r="AK60" s="2500"/>
      <c r="AL60" s="2501"/>
      <c r="AM60" s="2502"/>
      <c r="AN60" s="2503"/>
      <c r="AO60" s="2504"/>
      <c r="AP60" s="2505"/>
      <c r="AQ60" s="2506"/>
      <c r="AR60" s="2506"/>
      <c r="AS60" s="2500"/>
      <c r="AT60" s="2511">
        <f>IFERROR(IF($BL60="x",AK60*AQ60,0),0)</f>
        <v>0</v>
      </c>
      <c r="AU60" s="2507"/>
      <c r="AV60" s="2512"/>
      <c r="AW60" s="373"/>
      <c r="AX60" s="2508">
        <f>V60+AH60+AT60</f>
        <v>0</v>
      </c>
      <c r="AY60" s="2508"/>
      <c r="AZ60" s="2508"/>
      <c r="BA60" s="2508"/>
      <c r="BB60" s="2508"/>
      <c r="BC60" s="539">
        <v>1</v>
      </c>
      <c r="BD60" s="2513" t="s">
        <v>643</v>
      </c>
      <c r="BE60" s="2513"/>
      <c r="BF60" s="2513"/>
      <c r="BG60" s="2513"/>
      <c r="BH60" s="2513"/>
      <c r="BI60" s="2513"/>
      <c r="BJ60" s="2514"/>
      <c r="BK60" s="373"/>
      <c r="BL60" s="1758" t="s">
        <v>665</v>
      </c>
      <c r="BM60" s="373"/>
    </row>
    <row r="61" spans="1:79" s="289" customFormat="1" outlineLevel="1" x14ac:dyDescent="0.3">
      <c r="B61" s="373"/>
      <c r="C61" s="2515" t="s">
        <v>1167</v>
      </c>
      <c r="D61" s="2515"/>
      <c r="E61" s="2515"/>
      <c r="F61" s="2515"/>
      <c r="G61" s="2515"/>
      <c r="H61" s="2515"/>
      <c r="I61" s="2515"/>
      <c r="J61" s="2515"/>
      <c r="K61" s="2515"/>
      <c r="L61" s="2516"/>
      <c r="M61" s="2500"/>
      <c r="N61" s="2501"/>
      <c r="O61" s="2502"/>
      <c r="P61" s="2503" t="s">
        <v>648</v>
      </c>
      <c r="Q61" s="2504"/>
      <c r="R61" s="2505"/>
      <c r="S61" s="2506"/>
      <c r="T61" s="2506"/>
      <c r="U61" s="2506"/>
      <c r="V61" s="2507">
        <f>IFERROR(IF($BL61="x",M61*S61,0),0)</f>
        <v>0</v>
      </c>
      <c r="W61" s="2507"/>
      <c r="X61" s="2507"/>
      <c r="Y61" s="2517"/>
      <c r="Z61" s="2518"/>
      <c r="AA61" s="2519"/>
      <c r="AB61" s="2520" t="s">
        <v>635</v>
      </c>
      <c r="AC61" s="2521"/>
      <c r="AD61" s="2522"/>
      <c r="AE61" s="2523"/>
      <c r="AF61" s="2523"/>
      <c r="AG61" s="2523"/>
      <c r="AH61" s="2507">
        <f>IFERROR(IF($BL61="x",Y61*AE61,0),0)</f>
        <v>0</v>
      </c>
      <c r="AI61" s="2507"/>
      <c r="AJ61" s="2507"/>
      <c r="AK61" s="2500"/>
      <c r="AL61" s="2501"/>
      <c r="AM61" s="2502"/>
      <c r="AN61" s="2503"/>
      <c r="AO61" s="2504"/>
      <c r="AP61" s="2505"/>
      <c r="AQ61" s="2506"/>
      <c r="AR61" s="2506"/>
      <c r="AS61" s="2500"/>
      <c r="AT61" s="2507">
        <f>IFERROR(IF($BL61="x",AK61*AQ61,0),0)</f>
        <v>0</v>
      </c>
      <c r="AU61" s="2507"/>
      <c r="AV61" s="2507"/>
      <c r="AW61" s="373"/>
      <c r="AX61" s="2508">
        <f>V61+AH61+AT61</f>
        <v>0</v>
      </c>
      <c r="AY61" s="2508"/>
      <c r="AZ61" s="2508"/>
      <c r="BA61" s="2508"/>
      <c r="BB61" s="2508"/>
      <c r="BC61" s="539">
        <v>1</v>
      </c>
      <c r="BD61" s="2509" t="s">
        <v>421</v>
      </c>
      <c r="BE61" s="2509"/>
      <c r="BF61" s="2509"/>
      <c r="BG61" s="2509"/>
      <c r="BH61" s="2509"/>
      <c r="BI61" s="2509"/>
      <c r="BJ61" s="2510"/>
      <c r="BK61" s="373"/>
      <c r="BL61" s="1758" t="s">
        <v>665</v>
      </c>
      <c r="BM61" s="373"/>
    </row>
    <row r="62" spans="1:79" s="289" customFormat="1" outlineLevel="1" x14ac:dyDescent="0.3">
      <c r="B62" s="373"/>
      <c r="C62" s="2515" t="s">
        <v>1166</v>
      </c>
      <c r="D62" s="2515"/>
      <c r="E62" s="2515"/>
      <c r="F62" s="2515"/>
      <c r="G62" s="2515"/>
      <c r="H62" s="2515"/>
      <c r="I62" s="2515"/>
      <c r="J62" s="2515"/>
      <c r="K62" s="2515"/>
      <c r="L62" s="2516"/>
      <c r="M62" s="2500"/>
      <c r="N62" s="2501"/>
      <c r="O62" s="2502"/>
      <c r="P62" s="2503" t="s">
        <v>648</v>
      </c>
      <c r="Q62" s="2504"/>
      <c r="R62" s="2505"/>
      <c r="S62" s="2506"/>
      <c r="T62" s="2506"/>
      <c r="U62" s="2506"/>
      <c r="V62" s="2507">
        <f>IFERROR(IF($BL62="x",M62*S62,0),0)</f>
        <v>0</v>
      </c>
      <c r="W62" s="2507"/>
      <c r="X62" s="2507"/>
      <c r="Y62" s="2517"/>
      <c r="Z62" s="2518"/>
      <c r="AA62" s="2519"/>
      <c r="AB62" s="2520" t="s">
        <v>635</v>
      </c>
      <c r="AC62" s="2521"/>
      <c r="AD62" s="2522"/>
      <c r="AE62" s="2523"/>
      <c r="AF62" s="2523"/>
      <c r="AG62" s="2523"/>
      <c r="AH62" s="2507">
        <f>IFERROR(IF($BL62="x",Y62*AE62,0),0)</f>
        <v>0</v>
      </c>
      <c r="AI62" s="2507"/>
      <c r="AJ62" s="2507"/>
      <c r="AK62" s="2500"/>
      <c r="AL62" s="2501"/>
      <c r="AM62" s="2502"/>
      <c r="AN62" s="2503"/>
      <c r="AO62" s="2504"/>
      <c r="AP62" s="2505"/>
      <c r="AQ62" s="2506"/>
      <c r="AR62" s="2506"/>
      <c r="AS62" s="2500"/>
      <c r="AT62" s="2507">
        <f>IFERROR(IF($BL62="x",AK62*AQ62,0),0)</f>
        <v>0</v>
      </c>
      <c r="AU62" s="2507"/>
      <c r="AV62" s="2507"/>
      <c r="AW62" s="373"/>
      <c r="AX62" s="2508">
        <f>V62+AH62+AT62</f>
        <v>0</v>
      </c>
      <c r="AY62" s="2508"/>
      <c r="AZ62" s="2508"/>
      <c r="BA62" s="2508"/>
      <c r="BB62" s="2508"/>
      <c r="BC62" s="539">
        <v>1</v>
      </c>
      <c r="BD62" s="2509" t="s">
        <v>421</v>
      </c>
      <c r="BE62" s="2509"/>
      <c r="BF62" s="2509"/>
      <c r="BG62" s="2509"/>
      <c r="BH62" s="2509"/>
      <c r="BI62" s="2509"/>
      <c r="BJ62" s="2510"/>
      <c r="BK62" s="373"/>
      <c r="BL62" s="1758" t="s">
        <v>665</v>
      </c>
      <c r="BM62" s="373"/>
    </row>
    <row r="63" spans="1:79" outlineLevel="1" x14ac:dyDescent="0.3">
      <c r="A63" s="289"/>
      <c r="B63" s="373"/>
      <c r="C63" s="2515" t="s">
        <v>1169</v>
      </c>
      <c r="D63" s="2515"/>
      <c r="E63" s="2515"/>
      <c r="F63" s="2515"/>
      <c r="G63" s="2515"/>
      <c r="H63" s="2515"/>
      <c r="I63" s="2515"/>
      <c r="J63" s="2515"/>
      <c r="K63" s="2515"/>
      <c r="L63" s="2516"/>
      <c r="M63" s="2500"/>
      <c r="N63" s="2501"/>
      <c r="O63" s="2502"/>
      <c r="P63" s="2503" t="s">
        <v>648</v>
      </c>
      <c r="Q63" s="2504"/>
      <c r="R63" s="2505"/>
      <c r="S63" s="2506"/>
      <c r="T63" s="2506"/>
      <c r="U63" s="2506"/>
      <c r="V63" s="2507">
        <f>IFERROR(IF($BL63="x",M63*S63,0),0)</f>
        <v>0</v>
      </c>
      <c r="W63" s="2507"/>
      <c r="X63" s="2507"/>
      <c r="Y63" s="2517"/>
      <c r="Z63" s="2518"/>
      <c r="AA63" s="2519"/>
      <c r="AB63" s="2520" t="s">
        <v>635</v>
      </c>
      <c r="AC63" s="2521"/>
      <c r="AD63" s="2522"/>
      <c r="AE63" s="2523"/>
      <c r="AF63" s="2523"/>
      <c r="AG63" s="2523"/>
      <c r="AH63" s="2507">
        <f>IFERROR(IF($BL63="x",Y63*AE63,0),0)</f>
        <v>0</v>
      </c>
      <c r="AI63" s="2507"/>
      <c r="AJ63" s="2507"/>
      <c r="AK63" s="2500"/>
      <c r="AL63" s="2501"/>
      <c r="AM63" s="2502"/>
      <c r="AN63" s="2503"/>
      <c r="AO63" s="2504"/>
      <c r="AP63" s="2505"/>
      <c r="AQ63" s="2506"/>
      <c r="AR63" s="2506"/>
      <c r="AS63" s="2500"/>
      <c r="AT63" s="2507">
        <f>IFERROR(IF($BL63="x",AK63*AQ63,0),0)</f>
        <v>0</v>
      </c>
      <c r="AU63" s="2507"/>
      <c r="AV63" s="2507"/>
      <c r="AW63" s="373"/>
      <c r="AX63" s="2508">
        <f>V63+AH63+AT63</f>
        <v>0</v>
      </c>
      <c r="AY63" s="2508"/>
      <c r="AZ63" s="2508"/>
      <c r="BA63" s="2508"/>
      <c r="BB63" s="2508"/>
      <c r="BC63" s="539">
        <v>1</v>
      </c>
      <c r="BD63" s="2509" t="s">
        <v>606</v>
      </c>
      <c r="BE63" s="2509"/>
      <c r="BF63" s="2509"/>
      <c r="BG63" s="2509"/>
      <c r="BH63" s="2509"/>
      <c r="BI63" s="2509"/>
      <c r="BJ63" s="2510"/>
      <c r="BK63" s="373"/>
      <c r="BL63" s="1758" t="s">
        <v>665</v>
      </c>
      <c r="BM63" s="373"/>
      <c r="BN63" s="289"/>
      <c r="BO63" s="289"/>
      <c r="BP63" s="289"/>
      <c r="BQ63" s="289"/>
      <c r="BR63" s="289"/>
      <c r="BS63" s="289"/>
      <c r="BT63" s="289"/>
      <c r="BU63" s="289"/>
      <c r="BV63" s="289"/>
      <c r="BW63" s="289"/>
      <c r="BX63" s="289"/>
      <c r="BY63" s="289"/>
      <c r="BZ63" s="289"/>
      <c r="CA63" s="289"/>
    </row>
    <row r="64" spans="1:79" s="536" customFormat="1" x14ac:dyDescent="0.3">
      <c r="A64" s="289"/>
      <c r="B64" s="373"/>
      <c r="C64" s="2515"/>
      <c r="D64" s="2515"/>
      <c r="E64" s="2515"/>
      <c r="F64" s="2515"/>
      <c r="G64" s="2515"/>
      <c r="H64" s="2515"/>
      <c r="I64" s="2515"/>
      <c r="J64" s="2515"/>
      <c r="K64" s="2515"/>
      <c r="L64" s="2516"/>
      <c r="M64" s="2500"/>
      <c r="N64" s="2501"/>
      <c r="O64" s="2502"/>
      <c r="P64" s="2503"/>
      <c r="Q64" s="2504"/>
      <c r="R64" s="2505"/>
      <c r="S64" s="2506"/>
      <c r="T64" s="2506"/>
      <c r="U64" s="2506"/>
      <c r="V64" s="2507">
        <f>IFERROR(IF($BL64="x",M64*S64,0),0)</f>
        <v>0</v>
      </c>
      <c r="W64" s="2507"/>
      <c r="X64" s="2507"/>
      <c r="Y64" s="2517"/>
      <c r="Z64" s="2518"/>
      <c r="AA64" s="2519"/>
      <c r="AB64" s="2520"/>
      <c r="AC64" s="2521"/>
      <c r="AD64" s="2522"/>
      <c r="AE64" s="2523"/>
      <c r="AF64" s="2523"/>
      <c r="AG64" s="2523"/>
      <c r="AH64" s="2507">
        <f>IFERROR(IF($BL64="x",Y64*AE64,0),0)</f>
        <v>0</v>
      </c>
      <c r="AI64" s="2507"/>
      <c r="AJ64" s="2507"/>
      <c r="AK64" s="2500"/>
      <c r="AL64" s="2501"/>
      <c r="AM64" s="2502"/>
      <c r="AN64" s="2503"/>
      <c r="AO64" s="2504"/>
      <c r="AP64" s="2505"/>
      <c r="AQ64" s="2506"/>
      <c r="AR64" s="2506"/>
      <c r="AS64" s="2500"/>
      <c r="AT64" s="2507">
        <f>IFERROR(IF($BL64="x",AK64*AQ64,0),0)</f>
        <v>0</v>
      </c>
      <c r="AU64" s="2507"/>
      <c r="AV64" s="2507"/>
      <c r="AW64" s="373"/>
      <c r="AX64" s="2508">
        <f>V64+AH64+AT64</f>
        <v>0</v>
      </c>
      <c r="AY64" s="2508"/>
      <c r="AZ64" s="2508"/>
      <c r="BA64" s="2508"/>
      <c r="BB64" s="2508"/>
      <c r="BC64" s="539">
        <v>1</v>
      </c>
      <c r="BD64" s="2509"/>
      <c r="BE64" s="2509"/>
      <c r="BF64" s="2509"/>
      <c r="BG64" s="2509"/>
      <c r="BH64" s="2509"/>
      <c r="BI64" s="2509"/>
      <c r="BJ64" s="2510"/>
      <c r="BK64" s="373"/>
      <c r="BL64" s="1758" t="s">
        <v>665</v>
      </c>
      <c r="BM64" s="373"/>
      <c r="BN64" s="289"/>
      <c r="BO64" s="289"/>
      <c r="BP64" s="289"/>
      <c r="BQ64" s="289"/>
      <c r="BR64" s="289"/>
      <c r="BS64" s="289"/>
      <c r="BT64" s="289"/>
      <c r="BU64" s="289"/>
      <c r="BV64" s="289"/>
      <c r="BW64" s="289"/>
      <c r="BX64" s="289"/>
      <c r="BY64" s="289"/>
      <c r="BZ64" s="289"/>
      <c r="CA64" s="289"/>
    </row>
    <row r="65" spans="1:79" ht="3.75" customHeight="1" thickBot="1" x14ac:dyDescent="0.35">
      <c r="B65" s="373"/>
      <c r="C65" s="373"/>
      <c r="D65" s="373"/>
      <c r="E65" s="373"/>
      <c r="F65" s="373"/>
      <c r="G65" s="373"/>
      <c r="H65" s="373"/>
      <c r="I65" s="373"/>
      <c r="J65" s="373"/>
      <c r="K65" s="373"/>
      <c r="L65" s="373"/>
      <c r="M65" s="373"/>
      <c r="N65" s="373"/>
      <c r="O65" s="373"/>
      <c r="P65" s="373"/>
      <c r="Q65" s="373"/>
      <c r="R65" s="373"/>
      <c r="S65" s="373"/>
      <c r="T65" s="373"/>
      <c r="U65" s="373"/>
      <c r="V65" s="373"/>
      <c r="W65" s="373"/>
      <c r="X65" s="373"/>
      <c r="Y65" s="373"/>
      <c r="Z65" s="373"/>
      <c r="AA65" s="373"/>
      <c r="AB65" s="373"/>
      <c r="AC65" s="373"/>
      <c r="AD65" s="373"/>
      <c r="AE65" s="373"/>
      <c r="AF65" s="373"/>
      <c r="AG65" s="373"/>
      <c r="AH65" s="373"/>
      <c r="AI65" s="373"/>
      <c r="AJ65" s="15"/>
      <c r="AK65" s="373"/>
      <c r="AL65" s="373"/>
      <c r="AM65" s="373"/>
      <c r="AN65" s="373"/>
      <c r="AO65" s="373"/>
      <c r="AP65" s="373"/>
      <c r="AQ65" s="373"/>
      <c r="AR65" s="373"/>
      <c r="AS65" s="373"/>
      <c r="AT65" s="15"/>
      <c r="AU65" s="15"/>
      <c r="AV65" s="15"/>
      <c r="AW65" s="373"/>
      <c r="AX65" s="15"/>
      <c r="AY65" s="132"/>
      <c r="AZ65" s="132"/>
      <c r="BA65" s="132"/>
      <c r="BB65" s="132"/>
      <c r="BC65" s="539" t="s">
        <v>619</v>
      </c>
      <c r="BD65" s="132"/>
      <c r="BE65" s="132"/>
      <c r="BF65" s="132"/>
      <c r="BG65" s="132"/>
      <c r="BH65" s="132"/>
      <c r="BI65" s="132"/>
      <c r="BJ65" s="132"/>
      <c r="BK65" s="373"/>
      <c r="BL65" s="132"/>
      <c r="BM65" s="373"/>
      <c r="BO65" s="289"/>
      <c r="BP65" s="289"/>
      <c r="BQ65" s="289"/>
      <c r="BR65" s="289"/>
      <c r="BS65" s="289"/>
      <c r="BT65" s="289"/>
      <c r="BU65" s="289"/>
    </row>
    <row r="66" spans="1:79" s="289" customFormat="1" ht="15" customHeight="1" outlineLevel="1" thickBot="1" x14ac:dyDescent="0.25">
      <c r="A66" s="536"/>
      <c r="B66" s="373"/>
      <c r="C66" s="2524" t="s">
        <v>670</v>
      </c>
      <c r="D66" s="2525"/>
      <c r="E66" s="380" t="str">
        <f>UPPER($E$15)</f>
        <v>FRAMING / INSULATION</v>
      </c>
      <c r="F66" s="537"/>
      <c r="G66" s="537"/>
      <c r="H66" s="537"/>
      <c r="I66" s="537"/>
      <c r="J66" s="537"/>
      <c r="K66" s="537"/>
      <c r="L66" s="537"/>
      <c r="M66" s="537"/>
      <c r="N66" s="537"/>
      <c r="O66" s="537"/>
      <c r="P66" s="537"/>
      <c r="Q66" s="537"/>
      <c r="R66" s="537"/>
      <c r="S66" s="537"/>
      <c r="T66" s="537"/>
      <c r="U66" s="537"/>
      <c r="V66" s="2508">
        <f>SUM(V68:X72)</f>
        <v>0</v>
      </c>
      <c r="W66" s="2508"/>
      <c r="X66" s="2508"/>
      <c r="Y66" s="537"/>
      <c r="Z66" s="537"/>
      <c r="AA66" s="537"/>
      <c r="AB66" s="537"/>
      <c r="AC66" s="537"/>
      <c r="AD66" s="537"/>
      <c r="AE66" s="537"/>
      <c r="AF66" s="537"/>
      <c r="AG66" s="537"/>
      <c r="AH66" s="2508">
        <f>SUM(AH68:AJ72)</f>
        <v>0</v>
      </c>
      <c r="AI66" s="2508"/>
      <c r="AJ66" s="2508"/>
      <c r="AK66" s="537"/>
      <c r="AL66" s="537"/>
      <c r="AM66" s="537"/>
      <c r="AN66" s="537"/>
      <c r="AO66" s="537"/>
      <c r="AP66" s="537"/>
      <c r="AQ66" s="537"/>
      <c r="AR66" s="537"/>
      <c r="AS66" s="538"/>
      <c r="AT66" s="2508">
        <f>SUM(AT68:AV72)</f>
        <v>0</v>
      </c>
      <c r="AU66" s="2508"/>
      <c r="AV66" s="2508"/>
      <c r="AW66" s="373"/>
      <c r="AX66" s="2526">
        <f>SUM(AX68:BB72)</f>
        <v>0</v>
      </c>
      <c r="AY66" s="2526"/>
      <c r="AZ66" s="2526"/>
      <c r="BA66" s="2526"/>
      <c r="BB66" s="2526"/>
      <c r="BC66" s="539" t="s">
        <v>619</v>
      </c>
      <c r="BD66" s="540"/>
      <c r="BE66" s="541"/>
      <c r="BF66" s="541"/>
      <c r="BG66" s="541"/>
      <c r="BH66" s="541"/>
      <c r="BI66" s="541"/>
      <c r="BJ66" s="541"/>
      <c r="BK66" s="373"/>
      <c r="BL66" s="132"/>
      <c r="BM66" s="373"/>
      <c r="BN66" s="536"/>
      <c r="BV66" s="536"/>
      <c r="BW66" s="536"/>
      <c r="BX66" s="536"/>
      <c r="BY66" s="536"/>
      <c r="BZ66" s="536"/>
      <c r="CA66" s="536"/>
    </row>
    <row r="67" spans="1:79" s="289" customFormat="1" outlineLevel="1" x14ac:dyDescent="0.3">
      <c r="A67" s="283"/>
      <c r="B67" s="373"/>
      <c r="C67" s="373"/>
      <c r="D67" s="373"/>
      <c r="E67" s="373"/>
      <c r="F67" s="373"/>
      <c r="G67" s="373"/>
      <c r="H67" s="373"/>
      <c r="I67" s="373"/>
      <c r="J67" s="373"/>
      <c r="K67" s="373"/>
      <c r="L67" s="373"/>
      <c r="M67" s="373"/>
      <c r="N67" s="373"/>
      <c r="O67" s="373"/>
      <c r="P67" s="373"/>
      <c r="Q67" s="373"/>
      <c r="R67" s="373"/>
      <c r="S67" s="373"/>
      <c r="T67" s="373"/>
      <c r="U67" s="373"/>
      <c r="V67" s="373"/>
      <c r="W67" s="373"/>
      <c r="X67" s="373"/>
      <c r="Y67" s="373"/>
      <c r="Z67" s="373"/>
      <c r="AA67" s="373"/>
      <c r="AB67" s="373"/>
      <c r="AC67" s="373"/>
      <c r="AD67" s="373"/>
      <c r="AE67" s="373"/>
      <c r="AF67" s="373"/>
      <c r="AG67" s="373"/>
      <c r="AH67" s="373"/>
      <c r="AI67" s="373"/>
      <c r="AJ67" s="15"/>
      <c r="AK67" s="373"/>
      <c r="AL67" s="373"/>
      <c r="AM67" s="373"/>
      <c r="AN67" s="373"/>
      <c r="AO67" s="373"/>
      <c r="AP67" s="373"/>
      <c r="AQ67" s="373"/>
      <c r="AR67" s="373"/>
      <c r="AS67" s="373"/>
      <c r="AT67" s="15"/>
      <c r="AU67" s="15"/>
      <c r="AV67" s="15"/>
      <c r="AW67" s="373"/>
      <c r="AX67" s="15"/>
      <c r="AY67" s="132"/>
      <c r="AZ67" s="132"/>
      <c r="BA67" s="132"/>
      <c r="BB67" s="132"/>
      <c r="BC67" s="539" t="s">
        <v>619</v>
      </c>
      <c r="BD67" s="132"/>
      <c r="BE67" s="132"/>
      <c r="BF67" s="132"/>
      <c r="BG67" s="132"/>
      <c r="BH67" s="132"/>
      <c r="BI67" s="132"/>
      <c r="BJ67" s="132"/>
      <c r="BK67" s="373"/>
      <c r="BL67" s="132"/>
      <c r="BM67" s="373"/>
      <c r="BN67" s="283"/>
      <c r="BV67" s="283"/>
      <c r="BW67" s="283"/>
      <c r="BX67" s="283"/>
      <c r="BY67" s="283"/>
      <c r="BZ67" s="283"/>
      <c r="CA67" s="283"/>
    </row>
    <row r="68" spans="1:79" s="289" customFormat="1" outlineLevel="1" x14ac:dyDescent="0.3">
      <c r="B68" s="373"/>
      <c r="C68" s="2527" t="s">
        <v>1174</v>
      </c>
      <c r="D68" s="2527"/>
      <c r="E68" s="2527"/>
      <c r="F68" s="2527"/>
      <c r="G68" s="2527"/>
      <c r="H68" s="2527"/>
      <c r="I68" s="2527"/>
      <c r="J68" s="2527"/>
      <c r="K68" s="2527"/>
      <c r="L68" s="2528"/>
      <c r="M68" s="2500"/>
      <c r="N68" s="2501"/>
      <c r="O68" s="2502"/>
      <c r="P68" s="2503" t="s">
        <v>648</v>
      </c>
      <c r="Q68" s="2504"/>
      <c r="R68" s="2505"/>
      <c r="S68" s="2506"/>
      <c r="T68" s="2506"/>
      <c r="U68" s="2506"/>
      <c r="V68" s="2511">
        <f>IFERROR(IF($BL68="x",M68*S68,0),0)</f>
        <v>0</v>
      </c>
      <c r="W68" s="2507"/>
      <c r="X68" s="2512"/>
      <c r="Y68" s="2517"/>
      <c r="Z68" s="2518"/>
      <c r="AA68" s="2519"/>
      <c r="AB68" s="2520" t="s">
        <v>635</v>
      </c>
      <c r="AC68" s="2521"/>
      <c r="AD68" s="2522"/>
      <c r="AE68" s="2523"/>
      <c r="AF68" s="2523"/>
      <c r="AG68" s="2523"/>
      <c r="AH68" s="2511">
        <f>IFERROR(IF($BL68="x",Y68*AE68,0),0)</f>
        <v>0</v>
      </c>
      <c r="AI68" s="2507"/>
      <c r="AJ68" s="2512"/>
      <c r="AK68" s="2500"/>
      <c r="AL68" s="2501"/>
      <c r="AM68" s="2502"/>
      <c r="AN68" s="2503"/>
      <c r="AO68" s="2504"/>
      <c r="AP68" s="2505"/>
      <c r="AQ68" s="2506"/>
      <c r="AR68" s="2506"/>
      <c r="AS68" s="2500"/>
      <c r="AT68" s="2511">
        <f>IFERROR(IF($BL68="x",AK68*AQ68,0),0)</f>
        <v>0</v>
      </c>
      <c r="AU68" s="2507"/>
      <c r="AV68" s="2512"/>
      <c r="AW68" s="373"/>
      <c r="AX68" s="2508">
        <f>V68+AH68+AT68</f>
        <v>0</v>
      </c>
      <c r="AY68" s="2508"/>
      <c r="AZ68" s="2508"/>
      <c r="BA68" s="2508"/>
      <c r="BB68" s="2508"/>
      <c r="BC68" s="539">
        <v>1</v>
      </c>
      <c r="BD68" s="2513" t="s">
        <v>421</v>
      </c>
      <c r="BE68" s="2513"/>
      <c r="BF68" s="2513"/>
      <c r="BG68" s="2513"/>
      <c r="BH68" s="2513"/>
      <c r="BI68" s="2513"/>
      <c r="BJ68" s="2514"/>
      <c r="BK68" s="373"/>
      <c r="BL68" s="1758" t="s">
        <v>665</v>
      </c>
      <c r="BM68" s="373"/>
    </row>
    <row r="69" spans="1:79" s="289" customFormat="1" outlineLevel="1" x14ac:dyDescent="0.3">
      <c r="B69" s="373"/>
      <c r="C69" s="2515" t="s">
        <v>1175</v>
      </c>
      <c r="D69" s="2515"/>
      <c r="E69" s="2515"/>
      <c r="F69" s="2515"/>
      <c r="G69" s="2515"/>
      <c r="H69" s="2515"/>
      <c r="I69" s="2515"/>
      <c r="J69" s="2515"/>
      <c r="K69" s="2515"/>
      <c r="L69" s="2516"/>
      <c r="M69" s="2500"/>
      <c r="N69" s="2501"/>
      <c r="O69" s="2502"/>
      <c r="P69" s="2503" t="s">
        <v>648</v>
      </c>
      <c r="Q69" s="2504"/>
      <c r="R69" s="2505"/>
      <c r="S69" s="2506"/>
      <c r="T69" s="2506"/>
      <c r="U69" s="2506"/>
      <c r="V69" s="2507">
        <f>IFERROR(IF($BL69="x",M69*S69,0),0)</f>
        <v>0</v>
      </c>
      <c r="W69" s="2507"/>
      <c r="X69" s="2507"/>
      <c r="Y69" s="2517"/>
      <c r="Z69" s="2518"/>
      <c r="AA69" s="2519"/>
      <c r="AB69" s="2520" t="s">
        <v>635</v>
      </c>
      <c r="AC69" s="2521"/>
      <c r="AD69" s="2522"/>
      <c r="AE69" s="2523"/>
      <c r="AF69" s="2523"/>
      <c r="AG69" s="2523"/>
      <c r="AH69" s="2507">
        <f>IFERROR(IF($BL69="x",Y69*AE69,0),0)</f>
        <v>0</v>
      </c>
      <c r="AI69" s="2507"/>
      <c r="AJ69" s="2507"/>
      <c r="AK69" s="2500"/>
      <c r="AL69" s="2501"/>
      <c r="AM69" s="2502"/>
      <c r="AN69" s="2503"/>
      <c r="AO69" s="2504"/>
      <c r="AP69" s="2505"/>
      <c r="AQ69" s="2506"/>
      <c r="AR69" s="2506"/>
      <c r="AS69" s="2500"/>
      <c r="AT69" s="2507">
        <f>IFERROR(IF($BL69="x",AK69*AQ69,0),0)</f>
        <v>0</v>
      </c>
      <c r="AU69" s="2507"/>
      <c r="AV69" s="2507"/>
      <c r="AW69" s="373"/>
      <c r="AX69" s="2508">
        <f>V69+AH69+AT69</f>
        <v>0</v>
      </c>
      <c r="AY69" s="2508"/>
      <c r="AZ69" s="2508"/>
      <c r="BA69" s="2508"/>
      <c r="BB69" s="2508"/>
      <c r="BC69" s="539">
        <v>1</v>
      </c>
      <c r="BD69" s="2509" t="s">
        <v>421</v>
      </c>
      <c r="BE69" s="2509"/>
      <c r="BF69" s="2509"/>
      <c r="BG69" s="2509"/>
      <c r="BH69" s="2509"/>
      <c r="BI69" s="2509"/>
      <c r="BJ69" s="2510"/>
      <c r="BK69" s="373"/>
      <c r="BL69" s="1758" t="s">
        <v>665</v>
      </c>
      <c r="BM69" s="373"/>
    </row>
    <row r="70" spans="1:79" s="289" customFormat="1" outlineLevel="1" x14ac:dyDescent="0.3">
      <c r="B70" s="373"/>
      <c r="C70" s="2515"/>
      <c r="D70" s="2515"/>
      <c r="E70" s="2515"/>
      <c r="F70" s="2515"/>
      <c r="G70" s="2515"/>
      <c r="H70" s="2515"/>
      <c r="I70" s="2515"/>
      <c r="J70" s="2515"/>
      <c r="K70" s="2515"/>
      <c r="L70" s="2516"/>
      <c r="M70" s="2500"/>
      <c r="N70" s="2501"/>
      <c r="O70" s="2502"/>
      <c r="P70" s="2503"/>
      <c r="Q70" s="2504"/>
      <c r="R70" s="2505"/>
      <c r="S70" s="2506"/>
      <c r="T70" s="2506"/>
      <c r="U70" s="2506"/>
      <c r="V70" s="2507">
        <f>IFERROR(IF($BL70="x",M70*S70,0),0)</f>
        <v>0</v>
      </c>
      <c r="W70" s="2507"/>
      <c r="X70" s="2507"/>
      <c r="Y70" s="2517"/>
      <c r="Z70" s="2518"/>
      <c r="AA70" s="2519"/>
      <c r="AB70" s="2520"/>
      <c r="AC70" s="2521"/>
      <c r="AD70" s="2522"/>
      <c r="AE70" s="2523"/>
      <c r="AF70" s="2523"/>
      <c r="AG70" s="2523"/>
      <c r="AH70" s="2507">
        <f>IFERROR(IF($BL70="x",Y70*AE70,0),0)</f>
        <v>0</v>
      </c>
      <c r="AI70" s="2507"/>
      <c r="AJ70" s="2507"/>
      <c r="AK70" s="2500"/>
      <c r="AL70" s="2501"/>
      <c r="AM70" s="2502"/>
      <c r="AN70" s="2503"/>
      <c r="AO70" s="2504"/>
      <c r="AP70" s="2505"/>
      <c r="AQ70" s="2506"/>
      <c r="AR70" s="2506"/>
      <c r="AS70" s="2500"/>
      <c r="AT70" s="2507">
        <f>IFERROR(IF($BL70="x",AK70*AQ70,0),0)</f>
        <v>0</v>
      </c>
      <c r="AU70" s="2507"/>
      <c r="AV70" s="2507"/>
      <c r="AW70" s="373"/>
      <c r="AX70" s="2508">
        <f>V70+AH70+AT70</f>
        <v>0</v>
      </c>
      <c r="AY70" s="2508"/>
      <c r="AZ70" s="2508"/>
      <c r="BA70" s="2508"/>
      <c r="BB70" s="2508"/>
      <c r="BC70" s="539">
        <v>1</v>
      </c>
      <c r="BD70" s="2509"/>
      <c r="BE70" s="2509"/>
      <c r="BF70" s="2509"/>
      <c r="BG70" s="2509"/>
      <c r="BH70" s="2509"/>
      <c r="BI70" s="2509"/>
      <c r="BJ70" s="2510"/>
      <c r="BK70" s="373"/>
      <c r="BL70" s="1758" t="s">
        <v>665</v>
      </c>
      <c r="BM70" s="373"/>
    </row>
    <row r="71" spans="1:79" outlineLevel="1" x14ac:dyDescent="0.3">
      <c r="A71" s="289"/>
      <c r="B71" s="373"/>
      <c r="C71" s="2515"/>
      <c r="D71" s="2515"/>
      <c r="E71" s="2515"/>
      <c r="F71" s="2515"/>
      <c r="G71" s="2515"/>
      <c r="H71" s="2515"/>
      <c r="I71" s="2515"/>
      <c r="J71" s="2515"/>
      <c r="K71" s="2515"/>
      <c r="L71" s="2516"/>
      <c r="M71" s="2500"/>
      <c r="N71" s="2501"/>
      <c r="O71" s="2502"/>
      <c r="P71" s="2503"/>
      <c r="Q71" s="2504"/>
      <c r="R71" s="2505"/>
      <c r="S71" s="2506"/>
      <c r="T71" s="2506"/>
      <c r="U71" s="2506"/>
      <c r="V71" s="2507">
        <f>IFERROR(IF($BL71="x",M71*S71,0),0)</f>
        <v>0</v>
      </c>
      <c r="W71" s="2507"/>
      <c r="X71" s="2507"/>
      <c r="Y71" s="2517"/>
      <c r="Z71" s="2518"/>
      <c r="AA71" s="2519"/>
      <c r="AB71" s="2520"/>
      <c r="AC71" s="2521"/>
      <c r="AD71" s="2522"/>
      <c r="AE71" s="2523"/>
      <c r="AF71" s="2523"/>
      <c r="AG71" s="2523"/>
      <c r="AH71" s="2507">
        <f>IFERROR(IF($BL71="x",Y71*AE71,0),0)</f>
        <v>0</v>
      </c>
      <c r="AI71" s="2507"/>
      <c r="AJ71" s="2507"/>
      <c r="AK71" s="2500"/>
      <c r="AL71" s="2501"/>
      <c r="AM71" s="2502"/>
      <c r="AN71" s="2503"/>
      <c r="AO71" s="2504"/>
      <c r="AP71" s="2505"/>
      <c r="AQ71" s="2506"/>
      <c r="AR71" s="2506"/>
      <c r="AS71" s="2500"/>
      <c r="AT71" s="2507">
        <f>IFERROR(IF($BL71="x",AK71*AQ71,0),0)</f>
        <v>0</v>
      </c>
      <c r="AU71" s="2507"/>
      <c r="AV71" s="2507"/>
      <c r="AW71" s="373"/>
      <c r="AX71" s="2508">
        <f>V71+AH71+AT71</f>
        <v>0</v>
      </c>
      <c r="AY71" s="2508"/>
      <c r="AZ71" s="2508"/>
      <c r="BA71" s="2508"/>
      <c r="BB71" s="2508"/>
      <c r="BC71" s="539">
        <v>1</v>
      </c>
      <c r="BD71" s="2509"/>
      <c r="BE71" s="2509"/>
      <c r="BF71" s="2509"/>
      <c r="BG71" s="2509"/>
      <c r="BH71" s="2509"/>
      <c r="BI71" s="2509"/>
      <c r="BJ71" s="2510"/>
      <c r="BK71" s="373"/>
      <c r="BL71" s="1758" t="s">
        <v>665</v>
      </c>
      <c r="BM71" s="373"/>
      <c r="BN71" s="289"/>
      <c r="BO71" s="289"/>
      <c r="BP71" s="289"/>
      <c r="BQ71" s="289"/>
      <c r="BR71" s="289"/>
      <c r="BS71" s="289"/>
      <c r="BT71" s="289"/>
      <c r="BU71" s="289"/>
      <c r="BV71" s="289"/>
      <c r="BW71" s="289"/>
      <c r="BX71" s="289"/>
      <c r="BY71" s="289"/>
      <c r="BZ71" s="289"/>
      <c r="CA71" s="289"/>
    </row>
    <row r="72" spans="1:79" s="536" customFormat="1" x14ac:dyDescent="0.3">
      <c r="A72" s="289"/>
      <c r="B72" s="373"/>
      <c r="C72" s="2515"/>
      <c r="D72" s="2515"/>
      <c r="E72" s="2515"/>
      <c r="F72" s="2515"/>
      <c r="G72" s="2515"/>
      <c r="H72" s="2515"/>
      <c r="I72" s="2515"/>
      <c r="J72" s="2515"/>
      <c r="K72" s="2515"/>
      <c r="L72" s="2516"/>
      <c r="M72" s="2500"/>
      <c r="N72" s="2501"/>
      <c r="O72" s="2502"/>
      <c r="P72" s="2503"/>
      <c r="Q72" s="2504"/>
      <c r="R72" s="2505"/>
      <c r="S72" s="2506"/>
      <c r="T72" s="2506"/>
      <c r="U72" s="2506"/>
      <c r="V72" s="2507">
        <f>IFERROR(IF($BL72="x",M72*S72,0),0)</f>
        <v>0</v>
      </c>
      <c r="W72" s="2507"/>
      <c r="X72" s="2507"/>
      <c r="Y72" s="2517"/>
      <c r="Z72" s="2518"/>
      <c r="AA72" s="2519"/>
      <c r="AB72" s="2520"/>
      <c r="AC72" s="2521"/>
      <c r="AD72" s="2522"/>
      <c r="AE72" s="2523"/>
      <c r="AF72" s="2523"/>
      <c r="AG72" s="2523"/>
      <c r="AH72" s="2507">
        <f>IFERROR(IF($BL72="x",Y72*AE72,0),0)</f>
        <v>0</v>
      </c>
      <c r="AI72" s="2507"/>
      <c r="AJ72" s="2507"/>
      <c r="AK72" s="2500"/>
      <c r="AL72" s="2501"/>
      <c r="AM72" s="2502"/>
      <c r="AN72" s="2503"/>
      <c r="AO72" s="2504"/>
      <c r="AP72" s="2505"/>
      <c r="AQ72" s="2506"/>
      <c r="AR72" s="2506"/>
      <c r="AS72" s="2500"/>
      <c r="AT72" s="2507">
        <f>IFERROR(IF($BL72="x",AK72*AQ72,0),0)</f>
        <v>0</v>
      </c>
      <c r="AU72" s="2507"/>
      <c r="AV72" s="2507"/>
      <c r="AW72" s="373"/>
      <c r="AX72" s="2508">
        <f>V72+AH72+AT72</f>
        <v>0</v>
      </c>
      <c r="AY72" s="2508"/>
      <c r="AZ72" s="2508"/>
      <c r="BA72" s="2508"/>
      <c r="BB72" s="2508"/>
      <c r="BC72" s="539">
        <v>1</v>
      </c>
      <c r="BD72" s="2509"/>
      <c r="BE72" s="2509"/>
      <c r="BF72" s="2509"/>
      <c r="BG72" s="2509"/>
      <c r="BH72" s="2509"/>
      <c r="BI72" s="2509"/>
      <c r="BJ72" s="2510"/>
      <c r="BK72" s="373"/>
      <c r="BL72" s="1758" t="s">
        <v>665</v>
      </c>
      <c r="BM72" s="373"/>
      <c r="BN72" s="289"/>
      <c r="BO72" s="289"/>
      <c r="BP72" s="289"/>
      <c r="BQ72" s="289"/>
      <c r="BR72" s="289"/>
      <c r="BS72" s="289"/>
      <c r="BT72" s="289"/>
      <c r="BU72" s="289"/>
      <c r="BV72" s="289"/>
      <c r="BW72" s="289"/>
      <c r="BX72" s="289"/>
      <c r="BY72" s="289"/>
      <c r="BZ72" s="289"/>
      <c r="CA72" s="289"/>
    </row>
    <row r="73" spans="1:79" ht="3.75" customHeight="1" thickBot="1" x14ac:dyDescent="0.35">
      <c r="B73" s="373"/>
      <c r="C73" s="373"/>
      <c r="D73" s="373"/>
      <c r="E73" s="373"/>
      <c r="F73" s="373"/>
      <c r="G73" s="373"/>
      <c r="H73" s="373"/>
      <c r="I73" s="373"/>
      <c r="J73" s="373"/>
      <c r="K73" s="373"/>
      <c r="L73" s="373"/>
      <c r="M73" s="373"/>
      <c r="N73" s="373"/>
      <c r="O73" s="373"/>
      <c r="P73" s="373"/>
      <c r="Q73" s="373"/>
      <c r="R73" s="373"/>
      <c r="S73" s="373"/>
      <c r="T73" s="373"/>
      <c r="U73" s="373"/>
      <c r="V73" s="373"/>
      <c r="W73" s="373"/>
      <c r="X73" s="373"/>
      <c r="Y73" s="373"/>
      <c r="Z73" s="373"/>
      <c r="AA73" s="373"/>
      <c r="AB73" s="373"/>
      <c r="AC73" s="373"/>
      <c r="AD73" s="373"/>
      <c r="AE73" s="373"/>
      <c r="AF73" s="373"/>
      <c r="AG73" s="373"/>
      <c r="AH73" s="373"/>
      <c r="AI73" s="373"/>
      <c r="AJ73" s="15"/>
      <c r="AK73" s="373"/>
      <c r="AL73" s="373"/>
      <c r="AM73" s="373"/>
      <c r="AN73" s="373"/>
      <c r="AO73" s="373"/>
      <c r="AP73" s="373"/>
      <c r="AQ73" s="373"/>
      <c r="AR73" s="373"/>
      <c r="AS73" s="373"/>
      <c r="AT73" s="15"/>
      <c r="AU73" s="15"/>
      <c r="AV73" s="15"/>
      <c r="AW73" s="373"/>
      <c r="AX73" s="15"/>
      <c r="AY73" s="132"/>
      <c r="AZ73" s="132"/>
      <c r="BA73" s="132"/>
      <c r="BB73" s="132"/>
      <c r="BC73" s="539" t="s">
        <v>619</v>
      </c>
      <c r="BD73" s="132"/>
      <c r="BE73" s="132"/>
      <c r="BF73" s="132"/>
      <c r="BG73" s="132"/>
      <c r="BH73" s="132"/>
      <c r="BI73" s="132"/>
      <c r="BJ73" s="132"/>
      <c r="BK73" s="373"/>
      <c r="BL73" s="132"/>
      <c r="BM73" s="373"/>
      <c r="BO73" s="289"/>
      <c r="BP73" s="289"/>
      <c r="BQ73" s="289"/>
      <c r="BR73" s="289"/>
      <c r="BS73" s="289"/>
      <c r="BT73" s="289"/>
      <c r="BU73" s="289"/>
    </row>
    <row r="74" spans="1:79" s="289" customFormat="1" ht="15" customHeight="1" outlineLevel="1" thickBot="1" x14ac:dyDescent="0.25">
      <c r="A74" s="536"/>
      <c r="B74" s="373"/>
      <c r="C74" s="2524" t="s">
        <v>671</v>
      </c>
      <c r="D74" s="2525"/>
      <c r="E74" s="380" t="str">
        <f>UPPER($E$16)</f>
        <v>CARPENTRY</v>
      </c>
      <c r="F74" s="537"/>
      <c r="G74" s="537"/>
      <c r="H74" s="537"/>
      <c r="I74" s="537"/>
      <c r="J74" s="537"/>
      <c r="K74" s="537"/>
      <c r="L74" s="537"/>
      <c r="M74" s="537"/>
      <c r="N74" s="537"/>
      <c r="O74" s="537"/>
      <c r="P74" s="537"/>
      <c r="Q74" s="537"/>
      <c r="R74" s="537"/>
      <c r="S74" s="537"/>
      <c r="T74" s="537"/>
      <c r="U74" s="537"/>
      <c r="V74" s="2508">
        <f>SUM(V76:X80)</f>
        <v>0</v>
      </c>
      <c r="W74" s="2508"/>
      <c r="X74" s="2508"/>
      <c r="Y74" s="537"/>
      <c r="Z74" s="537"/>
      <c r="AA74" s="537"/>
      <c r="AB74" s="537"/>
      <c r="AC74" s="537"/>
      <c r="AD74" s="537"/>
      <c r="AE74" s="537"/>
      <c r="AF74" s="537"/>
      <c r="AG74" s="537"/>
      <c r="AH74" s="2508">
        <f>SUM(AH76:AJ80)</f>
        <v>0</v>
      </c>
      <c r="AI74" s="2508"/>
      <c r="AJ74" s="2508"/>
      <c r="AK74" s="537"/>
      <c r="AL74" s="537"/>
      <c r="AM74" s="537"/>
      <c r="AN74" s="537"/>
      <c r="AO74" s="537"/>
      <c r="AP74" s="537"/>
      <c r="AQ74" s="537"/>
      <c r="AR74" s="537"/>
      <c r="AS74" s="538"/>
      <c r="AT74" s="2508">
        <f>SUM(AT76:AV80)</f>
        <v>0</v>
      </c>
      <c r="AU74" s="2508"/>
      <c r="AV74" s="2508"/>
      <c r="AW74" s="373"/>
      <c r="AX74" s="2526">
        <f>SUM(AX76:BB80)</f>
        <v>0</v>
      </c>
      <c r="AY74" s="2526"/>
      <c r="AZ74" s="2526"/>
      <c r="BA74" s="2526"/>
      <c r="BB74" s="2526"/>
      <c r="BC74" s="539" t="s">
        <v>619</v>
      </c>
      <c r="BD74" s="540"/>
      <c r="BE74" s="541"/>
      <c r="BF74" s="541"/>
      <c r="BG74" s="541"/>
      <c r="BH74" s="541"/>
      <c r="BI74" s="541"/>
      <c r="BJ74" s="541"/>
      <c r="BK74" s="373"/>
      <c r="BL74" s="132"/>
      <c r="BM74" s="373"/>
      <c r="BN74" s="536"/>
      <c r="BV74" s="536"/>
      <c r="BW74" s="536"/>
      <c r="BX74" s="536"/>
      <c r="BY74" s="536"/>
      <c r="BZ74" s="536"/>
      <c r="CA74" s="536"/>
    </row>
    <row r="75" spans="1:79" s="289" customFormat="1" outlineLevel="1" x14ac:dyDescent="0.3">
      <c r="A75" s="283"/>
      <c r="B75" s="373"/>
      <c r="C75" s="373"/>
      <c r="D75" s="373"/>
      <c r="E75" s="373"/>
      <c r="F75" s="373"/>
      <c r="G75" s="373"/>
      <c r="H75" s="373"/>
      <c r="I75" s="373"/>
      <c r="J75" s="373"/>
      <c r="K75" s="373"/>
      <c r="L75" s="373"/>
      <c r="M75" s="373"/>
      <c r="N75" s="373"/>
      <c r="O75" s="373"/>
      <c r="P75" s="373"/>
      <c r="Q75" s="373"/>
      <c r="R75" s="373"/>
      <c r="S75" s="373"/>
      <c r="T75" s="373"/>
      <c r="U75" s="373"/>
      <c r="V75" s="373"/>
      <c r="W75" s="373"/>
      <c r="X75" s="373"/>
      <c r="Y75" s="373"/>
      <c r="Z75" s="373"/>
      <c r="AA75" s="373"/>
      <c r="AB75" s="373"/>
      <c r="AC75" s="373"/>
      <c r="AD75" s="373"/>
      <c r="AE75" s="373"/>
      <c r="AF75" s="373"/>
      <c r="AG75" s="373"/>
      <c r="AH75" s="373"/>
      <c r="AI75" s="373"/>
      <c r="AJ75" s="15"/>
      <c r="AK75" s="373"/>
      <c r="AL75" s="373"/>
      <c r="AM75" s="373"/>
      <c r="AN75" s="373"/>
      <c r="AO75" s="373"/>
      <c r="AP75" s="373"/>
      <c r="AQ75" s="373"/>
      <c r="AR75" s="373"/>
      <c r="AS75" s="373"/>
      <c r="AT75" s="15"/>
      <c r="AU75" s="15"/>
      <c r="AV75" s="15"/>
      <c r="AW75" s="373"/>
      <c r="AX75" s="15"/>
      <c r="AY75" s="132"/>
      <c r="AZ75" s="132"/>
      <c r="BA75" s="132"/>
      <c r="BB75" s="132"/>
      <c r="BC75" s="539" t="s">
        <v>619</v>
      </c>
      <c r="BD75" s="132"/>
      <c r="BE75" s="132"/>
      <c r="BF75" s="132"/>
      <c r="BG75" s="132"/>
      <c r="BH75" s="132"/>
      <c r="BI75" s="132"/>
      <c r="BJ75" s="132"/>
      <c r="BK75" s="373"/>
      <c r="BL75" s="132"/>
      <c r="BM75" s="373"/>
      <c r="BN75" s="283"/>
      <c r="BV75" s="283"/>
      <c r="BW75" s="283"/>
      <c r="BX75" s="283"/>
      <c r="BY75" s="283"/>
      <c r="BZ75" s="283"/>
      <c r="CA75" s="283"/>
    </row>
    <row r="76" spans="1:79" s="289" customFormat="1" outlineLevel="1" x14ac:dyDescent="0.3">
      <c r="B76" s="373"/>
      <c r="C76" s="2527"/>
      <c r="D76" s="2527"/>
      <c r="E76" s="2527"/>
      <c r="F76" s="2527"/>
      <c r="G76" s="2527"/>
      <c r="H76" s="2527"/>
      <c r="I76" s="2527"/>
      <c r="J76" s="2527"/>
      <c r="K76" s="2527"/>
      <c r="L76" s="2528"/>
      <c r="M76" s="2500"/>
      <c r="N76" s="2501"/>
      <c r="O76" s="2502"/>
      <c r="P76" s="2503"/>
      <c r="Q76" s="2504"/>
      <c r="R76" s="2505"/>
      <c r="S76" s="2506"/>
      <c r="T76" s="2506"/>
      <c r="U76" s="2506"/>
      <c r="V76" s="2511">
        <f>IFERROR(IF($BL76="x",M76*S76,0),0)</f>
        <v>0</v>
      </c>
      <c r="W76" s="2507"/>
      <c r="X76" s="2512"/>
      <c r="Y76" s="2517"/>
      <c r="Z76" s="2518"/>
      <c r="AA76" s="2519"/>
      <c r="AB76" s="2520"/>
      <c r="AC76" s="2521"/>
      <c r="AD76" s="2522"/>
      <c r="AE76" s="2523"/>
      <c r="AF76" s="2523"/>
      <c r="AG76" s="2523"/>
      <c r="AH76" s="2511">
        <f>IFERROR(IF($BL76="x",Y76*AE76,0),0)</f>
        <v>0</v>
      </c>
      <c r="AI76" s="2507"/>
      <c r="AJ76" s="2512"/>
      <c r="AK76" s="2500"/>
      <c r="AL76" s="2501"/>
      <c r="AM76" s="2502"/>
      <c r="AN76" s="2503"/>
      <c r="AO76" s="2504"/>
      <c r="AP76" s="2505"/>
      <c r="AQ76" s="2506"/>
      <c r="AR76" s="2506"/>
      <c r="AS76" s="2500"/>
      <c r="AT76" s="2511">
        <f>IFERROR(IF($BL76="x",AK76*AQ76,0),0)</f>
        <v>0</v>
      </c>
      <c r="AU76" s="2507"/>
      <c r="AV76" s="2512"/>
      <c r="AW76" s="373"/>
      <c r="AX76" s="2508">
        <f>V76+AH76+AT76</f>
        <v>0</v>
      </c>
      <c r="AY76" s="2508"/>
      <c r="AZ76" s="2508"/>
      <c r="BA76" s="2508"/>
      <c r="BB76" s="2508"/>
      <c r="BC76" s="539">
        <v>13</v>
      </c>
      <c r="BD76" s="2513"/>
      <c r="BE76" s="2513"/>
      <c r="BF76" s="2513"/>
      <c r="BG76" s="2513"/>
      <c r="BH76" s="2513"/>
      <c r="BI76" s="2513"/>
      <c r="BJ76" s="2514"/>
      <c r="BK76" s="373"/>
      <c r="BL76" s="1758" t="s">
        <v>665</v>
      </c>
      <c r="BM76" s="373"/>
    </row>
    <row r="77" spans="1:79" s="289" customFormat="1" outlineLevel="1" x14ac:dyDescent="0.3">
      <c r="B77" s="373"/>
      <c r="C77" s="2515"/>
      <c r="D77" s="2515"/>
      <c r="E77" s="2515"/>
      <c r="F77" s="2515"/>
      <c r="G77" s="2515"/>
      <c r="H77" s="2515"/>
      <c r="I77" s="2515"/>
      <c r="J77" s="2515"/>
      <c r="K77" s="2515"/>
      <c r="L77" s="2516"/>
      <c r="M77" s="2500"/>
      <c r="N77" s="2501"/>
      <c r="O77" s="2502"/>
      <c r="P77" s="2503"/>
      <c r="Q77" s="2504"/>
      <c r="R77" s="2505"/>
      <c r="S77" s="2506"/>
      <c r="T77" s="2506"/>
      <c r="U77" s="2506"/>
      <c r="V77" s="2507">
        <f>IFERROR(IF($BL77="x",M77*S77,0),0)</f>
        <v>0</v>
      </c>
      <c r="W77" s="2507"/>
      <c r="X77" s="2507"/>
      <c r="Y77" s="2517"/>
      <c r="Z77" s="2518"/>
      <c r="AA77" s="2519"/>
      <c r="AB77" s="2520"/>
      <c r="AC77" s="2521"/>
      <c r="AD77" s="2522"/>
      <c r="AE77" s="2523"/>
      <c r="AF77" s="2523"/>
      <c r="AG77" s="2523"/>
      <c r="AH77" s="2507">
        <f>IFERROR(IF($BL77="x",Y77*AE77,0),0)</f>
        <v>0</v>
      </c>
      <c r="AI77" s="2507"/>
      <c r="AJ77" s="2507"/>
      <c r="AK77" s="2500"/>
      <c r="AL77" s="2501"/>
      <c r="AM77" s="2502"/>
      <c r="AN77" s="2503"/>
      <c r="AO77" s="2504"/>
      <c r="AP77" s="2505"/>
      <c r="AQ77" s="2506"/>
      <c r="AR77" s="2506"/>
      <c r="AS77" s="2500"/>
      <c r="AT77" s="2507">
        <f>IFERROR(IF($BL77="x",AK77*AQ77,0),0)</f>
        <v>0</v>
      </c>
      <c r="AU77" s="2507"/>
      <c r="AV77" s="2507"/>
      <c r="AW77" s="373"/>
      <c r="AX77" s="2508">
        <f>V77+AH77+AT77</f>
        <v>0</v>
      </c>
      <c r="AY77" s="2508"/>
      <c r="AZ77" s="2508"/>
      <c r="BA77" s="2508"/>
      <c r="BB77" s="2508"/>
      <c r="BC77" s="539">
        <v>13</v>
      </c>
      <c r="BD77" s="2509"/>
      <c r="BE77" s="2509"/>
      <c r="BF77" s="2509"/>
      <c r="BG77" s="2509"/>
      <c r="BH77" s="2509"/>
      <c r="BI77" s="2509"/>
      <c r="BJ77" s="2510"/>
      <c r="BK77" s="373"/>
      <c r="BL77" s="1758" t="s">
        <v>665</v>
      </c>
      <c r="BM77" s="373"/>
    </row>
    <row r="78" spans="1:79" s="289" customFormat="1" outlineLevel="1" x14ac:dyDescent="0.3">
      <c r="B78" s="373"/>
      <c r="C78" s="2515"/>
      <c r="D78" s="2515"/>
      <c r="E78" s="2515"/>
      <c r="F78" s="2515"/>
      <c r="G78" s="2515"/>
      <c r="H78" s="2515"/>
      <c r="I78" s="2515"/>
      <c r="J78" s="2515"/>
      <c r="K78" s="2515"/>
      <c r="L78" s="2516"/>
      <c r="M78" s="2500"/>
      <c r="N78" s="2501"/>
      <c r="O78" s="2502"/>
      <c r="P78" s="2503"/>
      <c r="Q78" s="2504"/>
      <c r="R78" s="2505"/>
      <c r="S78" s="2506"/>
      <c r="T78" s="2506"/>
      <c r="U78" s="2506"/>
      <c r="V78" s="2507">
        <f>IFERROR(IF($BL78="x",M78*S78,0),0)</f>
        <v>0</v>
      </c>
      <c r="W78" s="2507"/>
      <c r="X78" s="2507"/>
      <c r="Y78" s="2517"/>
      <c r="Z78" s="2518"/>
      <c r="AA78" s="2519"/>
      <c r="AB78" s="2520"/>
      <c r="AC78" s="2521"/>
      <c r="AD78" s="2522"/>
      <c r="AE78" s="2523"/>
      <c r="AF78" s="2523"/>
      <c r="AG78" s="2523"/>
      <c r="AH78" s="2507">
        <f>IFERROR(IF($BL78="x",Y78*AE78,0),0)</f>
        <v>0</v>
      </c>
      <c r="AI78" s="2507"/>
      <c r="AJ78" s="2507"/>
      <c r="AK78" s="2500"/>
      <c r="AL78" s="2501"/>
      <c r="AM78" s="2502"/>
      <c r="AN78" s="2503"/>
      <c r="AO78" s="2504"/>
      <c r="AP78" s="2505"/>
      <c r="AQ78" s="2506"/>
      <c r="AR78" s="2506"/>
      <c r="AS78" s="2500"/>
      <c r="AT78" s="2507">
        <f>IFERROR(IF($BL78="x",AK78*AQ78,0),0)</f>
        <v>0</v>
      </c>
      <c r="AU78" s="2507"/>
      <c r="AV78" s="2507"/>
      <c r="AW78" s="373"/>
      <c r="AX78" s="2508">
        <f>V78+AH78+AT78</f>
        <v>0</v>
      </c>
      <c r="AY78" s="2508"/>
      <c r="AZ78" s="2508"/>
      <c r="BA78" s="2508"/>
      <c r="BB78" s="2508"/>
      <c r="BC78" s="539">
        <v>1</v>
      </c>
      <c r="BD78" s="2509"/>
      <c r="BE78" s="2509"/>
      <c r="BF78" s="2509"/>
      <c r="BG78" s="2509"/>
      <c r="BH78" s="2509"/>
      <c r="BI78" s="2509"/>
      <c r="BJ78" s="2510"/>
      <c r="BK78" s="373"/>
      <c r="BL78" s="1758" t="s">
        <v>665</v>
      </c>
      <c r="BM78" s="373"/>
    </row>
    <row r="79" spans="1:79" outlineLevel="1" x14ac:dyDescent="0.3">
      <c r="A79" s="289"/>
      <c r="B79" s="373"/>
      <c r="C79" s="2515"/>
      <c r="D79" s="2515"/>
      <c r="E79" s="2515"/>
      <c r="F79" s="2515"/>
      <c r="G79" s="2515"/>
      <c r="H79" s="2515"/>
      <c r="I79" s="2515"/>
      <c r="J79" s="2515"/>
      <c r="K79" s="2515"/>
      <c r="L79" s="2516"/>
      <c r="M79" s="2500"/>
      <c r="N79" s="2501"/>
      <c r="O79" s="2502"/>
      <c r="P79" s="2503"/>
      <c r="Q79" s="2504"/>
      <c r="R79" s="2505"/>
      <c r="S79" s="2506"/>
      <c r="T79" s="2506"/>
      <c r="U79" s="2506"/>
      <c r="V79" s="2507">
        <f>IFERROR(IF($BL79="x",M79*S79,0),0)</f>
        <v>0</v>
      </c>
      <c r="W79" s="2507"/>
      <c r="X79" s="2507"/>
      <c r="Y79" s="2517"/>
      <c r="Z79" s="2518"/>
      <c r="AA79" s="2519"/>
      <c r="AB79" s="2520"/>
      <c r="AC79" s="2521"/>
      <c r="AD79" s="2522"/>
      <c r="AE79" s="2523"/>
      <c r="AF79" s="2523"/>
      <c r="AG79" s="2523"/>
      <c r="AH79" s="2507">
        <f>IFERROR(IF($BL79="x",Y79*AE79,0),0)</f>
        <v>0</v>
      </c>
      <c r="AI79" s="2507"/>
      <c r="AJ79" s="2507"/>
      <c r="AK79" s="2500"/>
      <c r="AL79" s="2501"/>
      <c r="AM79" s="2502"/>
      <c r="AN79" s="2503"/>
      <c r="AO79" s="2504"/>
      <c r="AP79" s="2505"/>
      <c r="AQ79" s="2506"/>
      <c r="AR79" s="2506"/>
      <c r="AS79" s="2500"/>
      <c r="AT79" s="2507">
        <f>IFERROR(IF($BL79="x",AK79*AQ79,0),0)</f>
        <v>0</v>
      </c>
      <c r="AU79" s="2507"/>
      <c r="AV79" s="2507"/>
      <c r="AW79" s="373"/>
      <c r="AX79" s="2508">
        <f>V79+AH79+AT79</f>
        <v>0</v>
      </c>
      <c r="AY79" s="2508"/>
      <c r="AZ79" s="2508"/>
      <c r="BA79" s="2508"/>
      <c r="BB79" s="2508"/>
      <c r="BC79" s="539">
        <v>1</v>
      </c>
      <c r="BD79" s="2509"/>
      <c r="BE79" s="2509"/>
      <c r="BF79" s="2509"/>
      <c r="BG79" s="2509"/>
      <c r="BH79" s="2509"/>
      <c r="BI79" s="2509"/>
      <c r="BJ79" s="2510"/>
      <c r="BK79" s="373"/>
      <c r="BL79" s="1758" t="s">
        <v>665</v>
      </c>
      <c r="BM79" s="373"/>
      <c r="BN79" s="289"/>
      <c r="BO79" s="289"/>
      <c r="BP79" s="289"/>
      <c r="BQ79" s="289"/>
      <c r="BR79" s="289"/>
      <c r="BS79" s="289"/>
      <c r="BT79" s="289"/>
      <c r="BU79" s="289"/>
      <c r="BV79" s="289"/>
      <c r="BW79" s="289"/>
      <c r="BX79" s="289"/>
      <c r="BY79" s="289"/>
      <c r="BZ79" s="289"/>
      <c r="CA79" s="289"/>
    </row>
    <row r="80" spans="1:79" s="536" customFormat="1" x14ac:dyDescent="0.3">
      <c r="A80" s="289"/>
      <c r="B80" s="373"/>
      <c r="C80" s="2515"/>
      <c r="D80" s="2515"/>
      <c r="E80" s="2515"/>
      <c r="F80" s="2515"/>
      <c r="G80" s="2515"/>
      <c r="H80" s="2515"/>
      <c r="I80" s="2515"/>
      <c r="J80" s="2515"/>
      <c r="K80" s="2515"/>
      <c r="L80" s="2516"/>
      <c r="M80" s="2500"/>
      <c r="N80" s="2501"/>
      <c r="O80" s="2502"/>
      <c r="P80" s="2503"/>
      <c r="Q80" s="2504"/>
      <c r="R80" s="2505"/>
      <c r="S80" s="2506"/>
      <c r="T80" s="2506"/>
      <c r="U80" s="2506"/>
      <c r="V80" s="2507">
        <f>IFERROR(IF($BL80="x",M80*S80,0),0)</f>
        <v>0</v>
      </c>
      <c r="W80" s="2507"/>
      <c r="X80" s="2507"/>
      <c r="Y80" s="2517"/>
      <c r="Z80" s="2518"/>
      <c r="AA80" s="2519"/>
      <c r="AB80" s="2520"/>
      <c r="AC80" s="2521"/>
      <c r="AD80" s="2522"/>
      <c r="AE80" s="2523"/>
      <c r="AF80" s="2523"/>
      <c r="AG80" s="2523"/>
      <c r="AH80" s="2507">
        <f>IFERROR(IF($BL80="x",Y80*AE80,0),0)</f>
        <v>0</v>
      </c>
      <c r="AI80" s="2507"/>
      <c r="AJ80" s="2507"/>
      <c r="AK80" s="2500"/>
      <c r="AL80" s="2501"/>
      <c r="AM80" s="2502"/>
      <c r="AN80" s="2503"/>
      <c r="AO80" s="2504"/>
      <c r="AP80" s="2505"/>
      <c r="AQ80" s="2506"/>
      <c r="AR80" s="2506"/>
      <c r="AS80" s="2500"/>
      <c r="AT80" s="2507">
        <f>IFERROR(IF($BL80="x",AK80*AQ80,0),0)</f>
        <v>0</v>
      </c>
      <c r="AU80" s="2507"/>
      <c r="AV80" s="2507"/>
      <c r="AW80" s="373"/>
      <c r="AX80" s="2508">
        <f>V80+AH80+AT80</f>
        <v>0</v>
      </c>
      <c r="AY80" s="2508"/>
      <c r="AZ80" s="2508"/>
      <c r="BA80" s="2508"/>
      <c r="BB80" s="2508"/>
      <c r="BC80" s="539">
        <v>1</v>
      </c>
      <c r="BD80" s="2509"/>
      <c r="BE80" s="2509"/>
      <c r="BF80" s="2509"/>
      <c r="BG80" s="2509"/>
      <c r="BH80" s="2509"/>
      <c r="BI80" s="2509"/>
      <c r="BJ80" s="2510"/>
      <c r="BK80" s="373"/>
      <c r="BL80" s="1758" t="s">
        <v>665</v>
      </c>
      <c r="BM80" s="373"/>
      <c r="BN80" s="289"/>
      <c r="BO80" s="289"/>
      <c r="BP80" s="289"/>
      <c r="BQ80" s="289"/>
      <c r="BR80" s="289"/>
      <c r="BS80" s="289"/>
      <c r="BT80" s="289"/>
      <c r="BU80" s="289"/>
      <c r="BV80" s="289"/>
      <c r="BW80" s="289"/>
      <c r="BX80" s="289"/>
      <c r="BY80" s="289"/>
      <c r="BZ80" s="289"/>
      <c r="CA80" s="289"/>
    </row>
    <row r="81" spans="1:79" ht="3.75" customHeight="1" thickBot="1" x14ac:dyDescent="0.35">
      <c r="B81" s="373"/>
      <c r="C81" s="373"/>
      <c r="D81" s="373"/>
      <c r="E81" s="373"/>
      <c r="F81" s="373"/>
      <c r="G81" s="373"/>
      <c r="H81" s="373"/>
      <c r="I81" s="373"/>
      <c r="J81" s="373"/>
      <c r="K81" s="373"/>
      <c r="L81" s="373"/>
      <c r="M81" s="373"/>
      <c r="N81" s="373"/>
      <c r="O81" s="373"/>
      <c r="P81" s="373"/>
      <c r="Q81" s="373"/>
      <c r="R81" s="373"/>
      <c r="S81" s="373"/>
      <c r="T81" s="373"/>
      <c r="U81" s="373"/>
      <c r="V81" s="373"/>
      <c r="W81" s="373"/>
      <c r="X81" s="373"/>
      <c r="Y81" s="1760"/>
      <c r="Z81" s="1760"/>
      <c r="AA81" s="1760"/>
      <c r="AB81" s="1760"/>
      <c r="AC81" s="1760"/>
      <c r="AD81" s="1760"/>
      <c r="AE81" s="1760"/>
      <c r="AF81" s="1760"/>
      <c r="AG81" s="1760"/>
      <c r="AH81" s="373"/>
      <c r="AI81" s="373"/>
      <c r="AJ81" s="15"/>
      <c r="AK81" s="373"/>
      <c r="AL81" s="373"/>
      <c r="AM81" s="373"/>
      <c r="AN81" s="373"/>
      <c r="AO81" s="373"/>
      <c r="AP81" s="373"/>
      <c r="AQ81" s="373"/>
      <c r="AR81" s="373"/>
      <c r="AS81" s="373"/>
      <c r="AT81" s="15"/>
      <c r="AU81" s="15"/>
      <c r="AV81" s="15"/>
      <c r="AW81" s="373"/>
      <c r="AX81" s="15"/>
      <c r="AY81" s="132"/>
      <c r="AZ81" s="132"/>
      <c r="BA81" s="132"/>
      <c r="BB81" s="132"/>
      <c r="BC81" s="539" t="s">
        <v>619</v>
      </c>
      <c r="BD81" s="132"/>
      <c r="BE81" s="132"/>
      <c r="BF81" s="132"/>
      <c r="BG81" s="132"/>
      <c r="BH81" s="132"/>
      <c r="BI81" s="132"/>
      <c r="BJ81" s="132"/>
      <c r="BK81" s="373"/>
      <c r="BL81" s="1759"/>
      <c r="BM81" s="373"/>
      <c r="BO81" s="289"/>
      <c r="BP81" s="289"/>
      <c r="BQ81" s="289"/>
      <c r="BR81" s="289"/>
      <c r="BS81" s="289"/>
      <c r="BT81" s="289"/>
      <c r="BU81" s="289"/>
    </row>
    <row r="82" spans="1:79" s="289" customFormat="1" ht="15" customHeight="1" outlineLevel="1" thickBot="1" x14ac:dyDescent="0.25">
      <c r="A82" s="536"/>
      <c r="B82" s="373"/>
      <c r="C82" s="2524" t="s">
        <v>672</v>
      </c>
      <c r="D82" s="2525"/>
      <c r="E82" s="380" t="str">
        <f>UPPER($E$17)</f>
        <v>CABINETS / COUNTERTOPS</v>
      </c>
      <c r="F82" s="537"/>
      <c r="G82" s="537"/>
      <c r="H82" s="537"/>
      <c r="I82" s="537"/>
      <c r="J82" s="537"/>
      <c r="K82" s="537"/>
      <c r="L82" s="537"/>
      <c r="M82" s="537"/>
      <c r="N82" s="537"/>
      <c r="O82" s="537"/>
      <c r="P82" s="537"/>
      <c r="Q82" s="537"/>
      <c r="R82" s="537"/>
      <c r="S82" s="537"/>
      <c r="T82" s="537"/>
      <c r="U82" s="537"/>
      <c r="V82" s="2508">
        <f>SUM(V84:X88)</f>
        <v>0</v>
      </c>
      <c r="W82" s="2508"/>
      <c r="X82" s="2508"/>
      <c r="Y82" s="537"/>
      <c r="Z82" s="537"/>
      <c r="AA82" s="537"/>
      <c r="AB82" s="537"/>
      <c r="AC82" s="537"/>
      <c r="AD82" s="537"/>
      <c r="AE82" s="537"/>
      <c r="AF82" s="537"/>
      <c r="AG82" s="537"/>
      <c r="AH82" s="2508">
        <f>SUM(AH84:AJ88)</f>
        <v>0</v>
      </c>
      <c r="AI82" s="2508"/>
      <c r="AJ82" s="2508"/>
      <c r="AK82" s="537"/>
      <c r="AL82" s="537"/>
      <c r="AM82" s="537"/>
      <c r="AN82" s="537"/>
      <c r="AO82" s="537"/>
      <c r="AP82" s="537"/>
      <c r="AQ82" s="537"/>
      <c r="AR82" s="537"/>
      <c r="AS82" s="538"/>
      <c r="AT82" s="2508">
        <f>SUM(AT84:AV88)</f>
        <v>0</v>
      </c>
      <c r="AU82" s="2508"/>
      <c r="AV82" s="2508"/>
      <c r="AW82" s="373"/>
      <c r="AX82" s="2526">
        <f>SUM(AX84:BB88)</f>
        <v>0</v>
      </c>
      <c r="AY82" s="2526"/>
      <c r="AZ82" s="2526"/>
      <c r="BA82" s="2526"/>
      <c r="BB82" s="2526"/>
      <c r="BC82" s="539" t="s">
        <v>619</v>
      </c>
      <c r="BD82" s="540"/>
      <c r="BE82" s="541"/>
      <c r="BF82" s="541"/>
      <c r="BG82" s="541"/>
      <c r="BH82" s="541"/>
      <c r="BI82" s="541"/>
      <c r="BJ82" s="541"/>
      <c r="BK82" s="373"/>
      <c r="BL82" s="132"/>
      <c r="BM82" s="373"/>
      <c r="BN82" s="536"/>
      <c r="BV82" s="536"/>
      <c r="BW82" s="536"/>
      <c r="BX82" s="536"/>
      <c r="BY82" s="536"/>
      <c r="BZ82" s="536"/>
      <c r="CA82" s="536"/>
    </row>
    <row r="83" spans="1:79" s="289" customFormat="1" outlineLevel="1" x14ac:dyDescent="0.3">
      <c r="A83" s="283"/>
      <c r="B83" s="373"/>
      <c r="C83" s="373"/>
      <c r="D83" s="373"/>
      <c r="E83" s="373"/>
      <c r="F83" s="373"/>
      <c r="G83" s="373"/>
      <c r="H83" s="373"/>
      <c r="I83" s="373"/>
      <c r="J83" s="373"/>
      <c r="K83" s="373"/>
      <c r="L83" s="373"/>
      <c r="M83" s="373"/>
      <c r="N83" s="373"/>
      <c r="O83" s="373"/>
      <c r="P83" s="373"/>
      <c r="Q83" s="373"/>
      <c r="R83" s="373"/>
      <c r="S83" s="373"/>
      <c r="T83" s="373"/>
      <c r="U83" s="373"/>
      <c r="V83" s="373"/>
      <c r="W83" s="373"/>
      <c r="X83" s="373"/>
      <c r="Y83" s="373"/>
      <c r="Z83" s="373"/>
      <c r="AA83" s="373"/>
      <c r="AB83" s="373"/>
      <c r="AC83" s="373"/>
      <c r="AD83" s="373"/>
      <c r="AE83" s="373"/>
      <c r="AF83" s="373"/>
      <c r="AG83" s="373"/>
      <c r="AH83" s="373"/>
      <c r="AI83" s="373"/>
      <c r="AJ83" s="15"/>
      <c r="AK83" s="373"/>
      <c r="AL83" s="373"/>
      <c r="AM83" s="373"/>
      <c r="AN83" s="373"/>
      <c r="AO83" s="373"/>
      <c r="AP83" s="373"/>
      <c r="AQ83" s="373"/>
      <c r="AR83" s="373"/>
      <c r="AS83" s="373"/>
      <c r="AT83" s="15"/>
      <c r="AU83" s="15"/>
      <c r="AV83" s="15"/>
      <c r="AW83" s="373"/>
      <c r="AX83" s="15"/>
      <c r="AY83" s="132"/>
      <c r="AZ83" s="132"/>
      <c r="BA83" s="132"/>
      <c r="BB83" s="132"/>
      <c r="BC83" s="539" t="s">
        <v>619</v>
      </c>
      <c r="BD83" s="132"/>
      <c r="BE83" s="132"/>
      <c r="BF83" s="132"/>
      <c r="BG83" s="132"/>
      <c r="BH83" s="132"/>
      <c r="BI83" s="132"/>
      <c r="BJ83" s="132"/>
      <c r="BK83" s="373"/>
      <c r="BL83" s="132"/>
      <c r="BM83" s="373"/>
      <c r="BN83" s="283"/>
      <c r="BV83" s="283"/>
      <c r="BW83" s="283"/>
      <c r="BX83" s="283"/>
      <c r="BY83" s="283"/>
      <c r="BZ83" s="283"/>
      <c r="CA83" s="283"/>
    </row>
    <row r="84" spans="1:79" s="289" customFormat="1" outlineLevel="1" x14ac:dyDescent="0.3">
      <c r="B84" s="373"/>
      <c r="C84" s="2527" t="s">
        <v>643</v>
      </c>
      <c r="D84" s="2527"/>
      <c r="E84" s="2527"/>
      <c r="F84" s="2527"/>
      <c r="G84" s="2527"/>
      <c r="H84" s="2527"/>
      <c r="I84" s="2527"/>
      <c r="J84" s="2527"/>
      <c r="K84" s="2527"/>
      <c r="L84" s="2528"/>
      <c r="M84" s="2500"/>
      <c r="N84" s="2501"/>
      <c r="O84" s="2502"/>
      <c r="P84" s="2503"/>
      <c r="Q84" s="2504"/>
      <c r="R84" s="2505"/>
      <c r="S84" s="2506"/>
      <c r="T84" s="2506"/>
      <c r="U84" s="2506"/>
      <c r="V84" s="2511">
        <f>IFERROR(IF($BL84="x",M84*S84,0),0)</f>
        <v>0</v>
      </c>
      <c r="W84" s="2507"/>
      <c r="X84" s="2512"/>
      <c r="Y84" s="2517"/>
      <c r="Z84" s="2518"/>
      <c r="AA84" s="2519"/>
      <c r="AB84" s="2520"/>
      <c r="AC84" s="2521"/>
      <c r="AD84" s="2522"/>
      <c r="AE84" s="2523"/>
      <c r="AF84" s="2523"/>
      <c r="AG84" s="2523"/>
      <c r="AH84" s="2511">
        <f>IFERROR(IF($BL84="x",Y84*AE84,0),0)</f>
        <v>0</v>
      </c>
      <c r="AI84" s="2507"/>
      <c r="AJ84" s="2512"/>
      <c r="AK84" s="2500"/>
      <c r="AL84" s="2501"/>
      <c r="AM84" s="2502"/>
      <c r="AN84" s="2503"/>
      <c r="AO84" s="2504"/>
      <c r="AP84" s="2505"/>
      <c r="AQ84" s="2506"/>
      <c r="AR84" s="2506"/>
      <c r="AS84" s="2500"/>
      <c r="AT84" s="2511">
        <f>IFERROR(IF($BL84="x",AK84*AQ84,0),0)</f>
        <v>0</v>
      </c>
      <c r="AU84" s="2507"/>
      <c r="AV84" s="2512"/>
      <c r="AW84" s="373"/>
      <c r="AX84" s="2508">
        <f>V84+AH84+AT84</f>
        <v>0</v>
      </c>
      <c r="AY84" s="2508"/>
      <c r="AZ84" s="2508"/>
      <c r="BA84" s="2508"/>
      <c r="BB84" s="2508"/>
      <c r="BC84" s="539">
        <v>1</v>
      </c>
      <c r="BD84" s="2513"/>
      <c r="BE84" s="2513"/>
      <c r="BF84" s="2513"/>
      <c r="BG84" s="2513"/>
      <c r="BH84" s="2513"/>
      <c r="BI84" s="2513"/>
      <c r="BJ84" s="2514"/>
      <c r="BK84" s="373"/>
      <c r="BL84" s="1758" t="s">
        <v>665</v>
      </c>
      <c r="BM84" s="373"/>
    </row>
    <row r="85" spans="1:79" s="289" customFormat="1" outlineLevel="1" x14ac:dyDescent="0.3">
      <c r="B85" s="373"/>
      <c r="C85" s="2515"/>
      <c r="D85" s="2515"/>
      <c r="E85" s="2515"/>
      <c r="F85" s="2515"/>
      <c r="G85" s="2515"/>
      <c r="H85" s="2515"/>
      <c r="I85" s="2515"/>
      <c r="J85" s="2515"/>
      <c r="K85" s="2515"/>
      <c r="L85" s="2516"/>
      <c r="M85" s="2500"/>
      <c r="N85" s="2501"/>
      <c r="O85" s="2502"/>
      <c r="P85" s="2503"/>
      <c r="Q85" s="2504"/>
      <c r="R85" s="2505"/>
      <c r="S85" s="2506"/>
      <c r="T85" s="2506"/>
      <c r="U85" s="2506"/>
      <c r="V85" s="2507">
        <f>IFERROR(IF($BL85="x",M85*S85,0),0)</f>
        <v>0</v>
      </c>
      <c r="W85" s="2507"/>
      <c r="X85" s="2507"/>
      <c r="Y85" s="2517"/>
      <c r="Z85" s="2518"/>
      <c r="AA85" s="2519"/>
      <c r="AB85" s="2520"/>
      <c r="AC85" s="2521"/>
      <c r="AD85" s="2522"/>
      <c r="AE85" s="2523"/>
      <c r="AF85" s="2523"/>
      <c r="AG85" s="2523"/>
      <c r="AH85" s="2507">
        <f>IFERROR(IF($BL85="x",Y85*AE85,0),0)</f>
        <v>0</v>
      </c>
      <c r="AI85" s="2507"/>
      <c r="AJ85" s="2507"/>
      <c r="AK85" s="2500"/>
      <c r="AL85" s="2501"/>
      <c r="AM85" s="2502"/>
      <c r="AN85" s="2503"/>
      <c r="AO85" s="2504"/>
      <c r="AP85" s="2505"/>
      <c r="AQ85" s="2506"/>
      <c r="AR85" s="2506"/>
      <c r="AS85" s="2500"/>
      <c r="AT85" s="2507">
        <f>IFERROR(IF($BL85="x",AK85*AQ85,0),0)</f>
        <v>0</v>
      </c>
      <c r="AU85" s="2507"/>
      <c r="AV85" s="2507"/>
      <c r="AW85" s="373"/>
      <c r="AX85" s="2508">
        <f>V85+AH85+AT85</f>
        <v>0</v>
      </c>
      <c r="AY85" s="2508"/>
      <c r="AZ85" s="2508"/>
      <c r="BA85" s="2508"/>
      <c r="BB85" s="2508"/>
      <c r="BC85" s="539">
        <v>1</v>
      </c>
      <c r="BD85" s="2509"/>
      <c r="BE85" s="2509"/>
      <c r="BF85" s="2509"/>
      <c r="BG85" s="2509"/>
      <c r="BH85" s="2509"/>
      <c r="BI85" s="2509"/>
      <c r="BJ85" s="2510"/>
      <c r="BK85" s="373"/>
      <c r="BL85" s="1758" t="s">
        <v>665</v>
      </c>
      <c r="BM85" s="373"/>
    </row>
    <row r="86" spans="1:79" s="289" customFormat="1" outlineLevel="1" x14ac:dyDescent="0.3">
      <c r="B86" s="373"/>
      <c r="C86" s="2515"/>
      <c r="D86" s="2515"/>
      <c r="E86" s="2515"/>
      <c r="F86" s="2515"/>
      <c r="G86" s="2515"/>
      <c r="H86" s="2515"/>
      <c r="I86" s="2515"/>
      <c r="J86" s="2515"/>
      <c r="K86" s="2515"/>
      <c r="L86" s="2516"/>
      <c r="M86" s="2500"/>
      <c r="N86" s="2501"/>
      <c r="O86" s="2502"/>
      <c r="P86" s="2503"/>
      <c r="Q86" s="2504"/>
      <c r="R86" s="2505"/>
      <c r="S86" s="2506"/>
      <c r="T86" s="2506"/>
      <c r="U86" s="2506"/>
      <c r="V86" s="2507">
        <f>IFERROR(IF($BL86="x",M86*S86,0),0)</f>
        <v>0</v>
      </c>
      <c r="W86" s="2507"/>
      <c r="X86" s="2507"/>
      <c r="Y86" s="2517"/>
      <c r="Z86" s="2518"/>
      <c r="AA86" s="2519"/>
      <c r="AB86" s="2520"/>
      <c r="AC86" s="2521"/>
      <c r="AD86" s="2522"/>
      <c r="AE86" s="2523"/>
      <c r="AF86" s="2523"/>
      <c r="AG86" s="2523"/>
      <c r="AH86" s="2507">
        <f>IFERROR(IF($BL86="x",Y86*AE86,0),0)</f>
        <v>0</v>
      </c>
      <c r="AI86" s="2507"/>
      <c r="AJ86" s="2507"/>
      <c r="AK86" s="2500"/>
      <c r="AL86" s="2501"/>
      <c r="AM86" s="2502"/>
      <c r="AN86" s="2503"/>
      <c r="AO86" s="2504"/>
      <c r="AP86" s="2505"/>
      <c r="AQ86" s="2506"/>
      <c r="AR86" s="2506"/>
      <c r="AS86" s="2500"/>
      <c r="AT86" s="2507">
        <f>IFERROR(IF($BL86="x",AK86*AQ86,0),0)</f>
        <v>0</v>
      </c>
      <c r="AU86" s="2507"/>
      <c r="AV86" s="2507"/>
      <c r="AW86" s="373"/>
      <c r="AX86" s="2508">
        <f>V86+AH86+AT86</f>
        <v>0</v>
      </c>
      <c r="AY86" s="2508"/>
      <c r="AZ86" s="2508"/>
      <c r="BA86" s="2508"/>
      <c r="BB86" s="2508"/>
      <c r="BC86" s="539">
        <v>1</v>
      </c>
      <c r="BD86" s="2509"/>
      <c r="BE86" s="2509"/>
      <c r="BF86" s="2509"/>
      <c r="BG86" s="2509"/>
      <c r="BH86" s="2509"/>
      <c r="BI86" s="2509"/>
      <c r="BJ86" s="2510"/>
      <c r="BK86" s="373"/>
      <c r="BL86" s="1758" t="s">
        <v>665</v>
      </c>
      <c r="BM86" s="373"/>
    </row>
    <row r="87" spans="1:79" outlineLevel="1" x14ac:dyDescent="0.3">
      <c r="A87" s="289"/>
      <c r="B87" s="373"/>
      <c r="C87" s="2515"/>
      <c r="D87" s="2515"/>
      <c r="E87" s="2515"/>
      <c r="F87" s="2515"/>
      <c r="G87" s="2515"/>
      <c r="H87" s="2515"/>
      <c r="I87" s="2515"/>
      <c r="J87" s="2515"/>
      <c r="K87" s="2515"/>
      <c r="L87" s="2516"/>
      <c r="M87" s="2500"/>
      <c r="N87" s="2501"/>
      <c r="O87" s="2502"/>
      <c r="P87" s="2503"/>
      <c r="Q87" s="2504"/>
      <c r="R87" s="2505"/>
      <c r="S87" s="2506"/>
      <c r="T87" s="2506"/>
      <c r="U87" s="2506"/>
      <c r="V87" s="2507">
        <f>IFERROR(IF($BL87="x",M87*S87,0),0)</f>
        <v>0</v>
      </c>
      <c r="W87" s="2507"/>
      <c r="X87" s="2507"/>
      <c r="Y87" s="2517"/>
      <c r="Z87" s="2518"/>
      <c r="AA87" s="2519"/>
      <c r="AB87" s="2520"/>
      <c r="AC87" s="2521"/>
      <c r="AD87" s="2522"/>
      <c r="AE87" s="2523"/>
      <c r="AF87" s="2523"/>
      <c r="AG87" s="2523"/>
      <c r="AH87" s="2507">
        <f>IFERROR(IF($BL87="x",Y87*AE87,0),0)</f>
        <v>0</v>
      </c>
      <c r="AI87" s="2507"/>
      <c r="AJ87" s="2507"/>
      <c r="AK87" s="2500"/>
      <c r="AL87" s="2501"/>
      <c r="AM87" s="2502"/>
      <c r="AN87" s="2503"/>
      <c r="AO87" s="2504"/>
      <c r="AP87" s="2505"/>
      <c r="AQ87" s="2506"/>
      <c r="AR87" s="2506"/>
      <c r="AS87" s="2500"/>
      <c r="AT87" s="2507">
        <f>IFERROR(IF($BL87="x",AK87*AQ87,0),0)</f>
        <v>0</v>
      </c>
      <c r="AU87" s="2507"/>
      <c r="AV87" s="2507"/>
      <c r="AW87" s="373"/>
      <c r="AX87" s="2508">
        <f>V87+AH87+AT87</f>
        <v>0</v>
      </c>
      <c r="AY87" s="2508"/>
      <c r="AZ87" s="2508"/>
      <c r="BA87" s="2508"/>
      <c r="BB87" s="2508"/>
      <c r="BC87" s="539">
        <v>1</v>
      </c>
      <c r="BD87" s="2509"/>
      <c r="BE87" s="2509"/>
      <c r="BF87" s="2509"/>
      <c r="BG87" s="2509"/>
      <c r="BH87" s="2509"/>
      <c r="BI87" s="2509"/>
      <c r="BJ87" s="2510"/>
      <c r="BK87" s="373"/>
      <c r="BL87" s="1758" t="s">
        <v>665</v>
      </c>
      <c r="BM87" s="373"/>
      <c r="BN87" s="289"/>
      <c r="BO87" s="289"/>
      <c r="BP87" s="289"/>
      <c r="BQ87" s="289"/>
      <c r="BR87" s="289"/>
      <c r="BS87" s="289"/>
      <c r="BT87" s="289"/>
      <c r="BU87" s="289"/>
      <c r="BV87" s="289"/>
      <c r="BW87" s="289"/>
      <c r="BX87" s="289"/>
      <c r="BY87" s="289"/>
      <c r="BZ87" s="289"/>
      <c r="CA87" s="289"/>
    </row>
    <row r="88" spans="1:79" s="536" customFormat="1" x14ac:dyDescent="0.3">
      <c r="A88" s="289"/>
      <c r="B88" s="373"/>
      <c r="C88" s="2515"/>
      <c r="D88" s="2515"/>
      <c r="E88" s="2515"/>
      <c r="F88" s="2515"/>
      <c r="G88" s="2515"/>
      <c r="H88" s="2515"/>
      <c r="I88" s="2515"/>
      <c r="J88" s="2515"/>
      <c r="K88" s="2515"/>
      <c r="L88" s="2516"/>
      <c r="M88" s="2500"/>
      <c r="N88" s="2501"/>
      <c r="O88" s="2502"/>
      <c r="P88" s="2503"/>
      <c r="Q88" s="2504"/>
      <c r="R88" s="2505"/>
      <c r="S88" s="2506"/>
      <c r="T88" s="2506"/>
      <c r="U88" s="2506"/>
      <c r="V88" s="2507">
        <f>IFERROR(IF($BL88="x",M88*S88,0),0)</f>
        <v>0</v>
      </c>
      <c r="W88" s="2507"/>
      <c r="X88" s="2507"/>
      <c r="Y88" s="2517"/>
      <c r="Z88" s="2518"/>
      <c r="AA88" s="2519"/>
      <c r="AB88" s="2520"/>
      <c r="AC88" s="2521"/>
      <c r="AD88" s="2522"/>
      <c r="AE88" s="2523"/>
      <c r="AF88" s="2523"/>
      <c r="AG88" s="2523"/>
      <c r="AH88" s="2507">
        <f>IFERROR(IF($BL88="x",Y88*AE88,0),0)</f>
        <v>0</v>
      </c>
      <c r="AI88" s="2507"/>
      <c r="AJ88" s="2507"/>
      <c r="AK88" s="2500"/>
      <c r="AL88" s="2501"/>
      <c r="AM88" s="2502"/>
      <c r="AN88" s="2503"/>
      <c r="AO88" s="2504"/>
      <c r="AP88" s="2505"/>
      <c r="AQ88" s="2506"/>
      <c r="AR88" s="2506"/>
      <c r="AS88" s="2500"/>
      <c r="AT88" s="2507">
        <f>IFERROR(IF($BL88="x",AK88*AQ88,0),0)</f>
        <v>0</v>
      </c>
      <c r="AU88" s="2507"/>
      <c r="AV88" s="2507"/>
      <c r="AW88" s="373"/>
      <c r="AX88" s="2508">
        <f>V88+AH88+AT88</f>
        <v>0</v>
      </c>
      <c r="AY88" s="2508"/>
      <c r="AZ88" s="2508"/>
      <c r="BA88" s="2508"/>
      <c r="BB88" s="2508"/>
      <c r="BC88" s="539">
        <v>1</v>
      </c>
      <c r="BD88" s="2509"/>
      <c r="BE88" s="2509"/>
      <c r="BF88" s="2509"/>
      <c r="BG88" s="2509"/>
      <c r="BH88" s="2509"/>
      <c r="BI88" s="2509"/>
      <c r="BJ88" s="2510"/>
      <c r="BK88" s="373"/>
      <c r="BL88" s="1758" t="s">
        <v>665</v>
      </c>
      <c r="BM88" s="373"/>
      <c r="BN88" s="289"/>
      <c r="BO88" s="289"/>
      <c r="BP88" s="289"/>
      <c r="BQ88" s="289"/>
      <c r="BR88" s="289"/>
      <c r="BS88" s="289"/>
      <c r="BT88" s="289"/>
      <c r="BU88" s="289"/>
      <c r="BV88" s="289"/>
      <c r="BW88" s="289"/>
      <c r="BX88" s="289"/>
      <c r="BY88" s="289"/>
      <c r="BZ88" s="289"/>
      <c r="CA88" s="289"/>
    </row>
    <row r="89" spans="1:79" ht="3.75" customHeight="1" thickBot="1" x14ac:dyDescent="0.35">
      <c r="B89" s="373"/>
      <c r="C89" s="373"/>
      <c r="D89" s="373"/>
      <c r="E89" s="373"/>
      <c r="F89" s="373"/>
      <c r="G89" s="373"/>
      <c r="H89" s="373"/>
      <c r="I89" s="373"/>
      <c r="J89" s="373"/>
      <c r="K89" s="373"/>
      <c r="L89" s="373"/>
      <c r="M89" s="373"/>
      <c r="N89" s="373"/>
      <c r="O89" s="373"/>
      <c r="P89" s="373"/>
      <c r="Q89" s="373"/>
      <c r="R89" s="373"/>
      <c r="S89" s="373"/>
      <c r="T89" s="373"/>
      <c r="U89" s="373"/>
      <c r="V89" s="373"/>
      <c r="W89" s="373"/>
      <c r="X89" s="373"/>
      <c r="Y89" s="373"/>
      <c r="Z89" s="373"/>
      <c r="AA89" s="373"/>
      <c r="AB89" s="373"/>
      <c r="AC89" s="373"/>
      <c r="AD89" s="373"/>
      <c r="AE89" s="373"/>
      <c r="AF89" s="373"/>
      <c r="AG89" s="373"/>
      <c r="AH89" s="373"/>
      <c r="AI89" s="373"/>
      <c r="AJ89" s="15"/>
      <c r="AK89" s="373"/>
      <c r="AL89" s="373"/>
      <c r="AM89" s="373"/>
      <c r="AN89" s="373"/>
      <c r="AO89" s="373"/>
      <c r="AP89" s="373"/>
      <c r="AQ89" s="373"/>
      <c r="AR89" s="373"/>
      <c r="AS89" s="373"/>
      <c r="AT89" s="15"/>
      <c r="AU89" s="15"/>
      <c r="AV89" s="15"/>
      <c r="AW89" s="373"/>
      <c r="AX89" s="15"/>
      <c r="AY89" s="132"/>
      <c r="AZ89" s="132"/>
      <c r="BA89" s="132"/>
      <c r="BB89" s="132"/>
      <c r="BC89" s="539" t="s">
        <v>619</v>
      </c>
      <c r="BD89" s="132"/>
      <c r="BE89" s="132"/>
      <c r="BF89" s="132"/>
      <c r="BG89" s="132"/>
      <c r="BH89" s="132"/>
      <c r="BI89" s="132"/>
      <c r="BJ89" s="132"/>
      <c r="BK89" s="373"/>
      <c r="BL89" s="132"/>
      <c r="BM89" s="373"/>
      <c r="BO89" s="289"/>
      <c r="BP89" s="289"/>
      <c r="BQ89" s="289"/>
      <c r="BR89" s="289"/>
      <c r="BS89" s="289"/>
      <c r="BT89" s="289"/>
      <c r="BU89" s="289"/>
    </row>
    <row r="90" spans="1:79" s="289" customFormat="1" ht="15" customHeight="1" outlineLevel="1" thickBot="1" x14ac:dyDescent="0.25">
      <c r="A90" s="536"/>
      <c r="B90" s="373"/>
      <c r="C90" s="2524" t="s">
        <v>673</v>
      </c>
      <c r="D90" s="2525"/>
      <c r="E90" s="380" t="str">
        <f>UPPER($S$10)</f>
        <v>LANDSCAPING</v>
      </c>
      <c r="F90" s="537"/>
      <c r="G90" s="537"/>
      <c r="H90" s="537"/>
      <c r="I90" s="537"/>
      <c r="J90" s="537"/>
      <c r="K90" s="537"/>
      <c r="L90" s="537"/>
      <c r="M90" s="537"/>
      <c r="N90" s="537"/>
      <c r="O90" s="537"/>
      <c r="P90" s="537"/>
      <c r="Q90" s="537"/>
      <c r="R90" s="537"/>
      <c r="S90" s="537"/>
      <c r="T90" s="537"/>
      <c r="U90" s="537"/>
      <c r="V90" s="2508">
        <f>SUM(V92:X96)</f>
        <v>0</v>
      </c>
      <c r="W90" s="2508"/>
      <c r="X90" s="2508"/>
      <c r="Y90" s="537"/>
      <c r="Z90" s="537"/>
      <c r="AA90" s="537"/>
      <c r="AB90" s="537"/>
      <c r="AC90" s="537"/>
      <c r="AD90" s="537"/>
      <c r="AE90" s="537"/>
      <c r="AF90" s="537"/>
      <c r="AG90" s="537"/>
      <c r="AH90" s="2508">
        <f>SUM(AH92:AJ96)</f>
        <v>0</v>
      </c>
      <c r="AI90" s="2508"/>
      <c r="AJ90" s="2508"/>
      <c r="AK90" s="537"/>
      <c r="AL90" s="537"/>
      <c r="AM90" s="537"/>
      <c r="AN90" s="537"/>
      <c r="AO90" s="537"/>
      <c r="AP90" s="537"/>
      <c r="AQ90" s="537"/>
      <c r="AR90" s="537"/>
      <c r="AS90" s="538"/>
      <c r="AT90" s="2508">
        <f>SUM(AT92:AV96)</f>
        <v>0</v>
      </c>
      <c r="AU90" s="2508"/>
      <c r="AV90" s="2508"/>
      <c r="AW90" s="373"/>
      <c r="AX90" s="2526">
        <f>SUM(AX92:BB96)</f>
        <v>0</v>
      </c>
      <c r="AY90" s="2526"/>
      <c r="AZ90" s="2526"/>
      <c r="BA90" s="2526"/>
      <c r="BB90" s="2526"/>
      <c r="BC90" s="539" t="s">
        <v>619</v>
      </c>
      <c r="BD90" s="540"/>
      <c r="BE90" s="541"/>
      <c r="BF90" s="541"/>
      <c r="BG90" s="541"/>
      <c r="BH90" s="541"/>
      <c r="BI90" s="541"/>
      <c r="BJ90" s="541"/>
      <c r="BK90" s="373"/>
      <c r="BL90" s="132"/>
      <c r="BM90" s="373"/>
      <c r="BN90" s="536"/>
      <c r="BV90" s="536"/>
      <c r="BW90" s="536"/>
      <c r="BX90" s="536"/>
      <c r="BY90" s="536"/>
      <c r="BZ90" s="536"/>
      <c r="CA90" s="536"/>
    </row>
    <row r="91" spans="1:79" s="289" customFormat="1" outlineLevel="1" x14ac:dyDescent="0.3">
      <c r="A91" s="283"/>
      <c r="B91" s="373"/>
      <c r="C91" s="373"/>
      <c r="D91" s="373"/>
      <c r="E91" s="373"/>
      <c r="F91" s="373"/>
      <c r="G91" s="373"/>
      <c r="H91" s="373"/>
      <c r="I91" s="373"/>
      <c r="J91" s="373"/>
      <c r="K91" s="373"/>
      <c r="L91" s="373"/>
      <c r="M91" s="373"/>
      <c r="N91" s="373"/>
      <c r="O91" s="373"/>
      <c r="P91" s="373"/>
      <c r="Q91" s="373"/>
      <c r="R91" s="373"/>
      <c r="S91" s="373"/>
      <c r="T91" s="373"/>
      <c r="U91" s="373"/>
      <c r="V91" s="373"/>
      <c r="W91" s="373"/>
      <c r="X91" s="373"/>
      <c r="Y91" s="373"/>
      <c r="Z91" s="373"/>
      <c r="AA91" s="373"/>
      <c r="AB91" s="373"/>
      <c r="AC91" s="373"/>
      <c r="AD91" s="373"/>
      <c r="AE91" s="373"/>
      <c r="AF91" s="373"/>
      <c r="AG91" s="373"/>
      <c r="AH91" s="373"/>
      <c r="AI91" s="373"/>
      <c r="AJ91" s="15"/>
      <c r="AK91" s="373"/>
      <c r="AL91" s="373"/>
      <c r="AM91" s="373"/>
      <c r="AN91" s="373"/>
      <c r="AO91" s="373"/>
      <c r="AP91" s="373"/>
      <c r="AQ91" s="373"/>
      <c r="AR91" s="373"/>
      <c r="AS91" s="373"/>
      <c r="AT91" s="15"/>
      <c r="AU91" s="15"/>
      <c r="AV91" s="15"/>
      <c r="AW91" s="373"/>
      <c r="AX91" s="15"/>
      <c r="AY91" s="132"/>
      <c r="AZ91" s="132"/>
      <c r="BA91" s="132"/>
      <c r="BB91" s="132"/>
      <c r="BC91" s="539" t="s">
        <v>619</v>
      </c>
      <c r="BD91" s="132"/>
      <c r="BE91" s="132"/>
      <c r="BF91" s="132"/>
      <c r="BG91" s="132"/>
      <c r="BH91" s="132"/>
      <c r="BI91" s="132"/>
      <c r="BJ91" s="132"/>
      <c r="BK91" s="373"/>
      <c r="BL91" s="132"/>
      <c r="BM91" s="373"/>
      <c r="BN91" s="283"/>
      <c r="BV91" s="283"/>
      <c r="BW91" s="283"/>
      <c r="BX91" s="283"/>
      <c r="BY91" s="283"/>
      <c r="BZ91" s="283"/>
      <c r="CA91" s="283"/>
    </row>
    <row r="92" spans="1:79" s="289" customFormat="1" outlineLevel="1" x14ac:dyDescent="0.3">
      <c r="B92" s="373"/>
      <c r="C92" s="2527" t="s">
        <v>1171</v>
      </c>
      <c r="D92" s="2527"/>
      <c r="E92" s="2527"/>
      <c r="F92" s="2527"/>
      <c r="G92" s="2527"/>
      <c r="H92" s="2527"/>
      <c r="I92" s="2527"/>
      <c r="J92" s="2527"/>
      <c r="K92" s="2527"/>
      <c r="L92" s="2528"/>
      <c r="M92" s="2500"/>
      <c r="N92" s="2501"/>
      <c r="O92" s="2502"/>
      <c r="P92" s="2503"/>
      <c r="Q92" s="2504"/>
      <c r="R92" s="2505"/>
      <c r="S92" s="2506"/>
      <c r="T92" s="2506"/>
      <c r="U92" s="2506"/>
      <c r="V92" s="2511">
        <f>IFERROR(IF($BL92="x",M92*S92,0),0)</f>
        <v>0</v>
      </c>
      <c r="W92" s="2507"/>
      <c r="X92" s="2512"/>
      <c r="Y92" s="2517"/>
      <c r="Z92" s="2518"/>
      <c r="AA92" s="2519"/>
      <c r="AB92" s="2520"/>
      <c r="AC92" s="2521"/>
      <c r="AD92" s="2522"/>
      <c r="AE92" s="2523"/>
      <c r="AF92" s="2523"/>
      <c r="AG92" s="2523"/>
      <c r="AH92" s="2511">
        <f>IFERROR(IF($BL92="x",Y92*AE92,0),0)</f>
        <v>0</v>
      </c>
      <c r="AI92" s="2507"/>
      <c r="AJ92" s="2512"/>
      <c r="AK92" s="2500"/>
      <c r="AL92" s="2501"/>
      <c r="AM92" s="2502"/>
      <c r="AN92" s="2503"/>
      <c r="AO92" s="2504"/>
      <c r="AP92" s="2505"/>
      <c r="AQ92" s="2506"/>
      <c r="AR92" s="2506"/>
      <c r="AS92" s="2500"/>
      <c r="AT92" s="2511">
        <f>IFERROR(IF($BL92="x",AK92*AQ92,0),0)</f>
        <v>0</v>
      </c>
      <c r="AU92" s="2507"/>
      <c r="AV92" s="2512"/>
      <c r="AW92" s="373"/>
      <c r="AX92" s="2508">
        <f>V92+AH92+AT92</f>
        <v>0</v>
      </c>
      <c r="AY92" s="2508"/>
      <c r="AZ92" s="2508"/>
      <c r="BA92" s="2508"/>
      <c r="BB92" s="2508"/>
      <c r="BC92" s="539">
        <v>12</v>
      </c>
      <c r="BD92" s="2513" t="s">
        <v>606</v>
      </c>
      <c r="BE92" s="2513"/>
      <c r="BF92" s="2513"/>
      <c r="BG92" s="2513"/>
      <c r="BH92" s="2513"/>
      <c r="BI92" s="2513"/>
      <c r="BJ92" s="2514"/>
      <c r="BK92" s="373"/>
      <c r="BL92" s="1758" t="s">
        <v>665</v>
      </c>
      <c r="BM92" s="373"/>
    </row>
    <row r="93" spans="1:79" s="289" customFormat="1" outlineLevel="1" x14ac:dyDescent="0.3">
      <c r="B93" s="373"/>
      <c r="C93" s="2515" t="s">
        <v>1172</v>
      </c>
      <c r="D93" s="2515"/>
      <c r="E93" s="2515"/>
      <c r="F93" s="2515"/>
      <c r="G93" s="2515"/>
      <c r="H93" s="2515"/>
      <c r="I93" s="2515"/>
      <c r="J93" s="2515"/>
      <c r="K93" s="2515"/>
      <c r="L93" s="2516"/>
      <c r="M93" s="2500"/>
      <c r="N93" s="2501"/>
      <c r="O93" s="2502"/>
      <c r="P93" s="2503"/>
      <c r="Q93" s="2504"/>
      <c r="R93" s="2505"/>
      <c r="S93" s="2506"/>
      <c r="T93" s="2506"/>
      <c r="U93" s="2506"/>
      <c r="V93" s="2507">
        <f>IFERROR(IF($BL93="x",M93*S93,0),0)</f>
        <v>0</v>
      </c>
      <c r="W93" s="2507"/>
      <c r="X93" s="2507"/>
      <c r="Y93" s="2517"/>
      <c r="Z93" s="2518"/>
      <c r="AA93" s="2519"/>
      <c r="AB93" s="2520"/>
      <c r="AC93" s="2521"/>
      <c r="AD93" s="2522"/>
      <c r="AE93" s="2523"/>
      <c r="AF93" s="2523"/>
      <c r="AG93" s="2523"/>
      <c r="AH93" s="2507">
        <f>IFERROR(IF($BL93="x",Y93*AE93,0),0)</f>
        <v>0</v>
      </c>
      <c r="AI93" s="2507"/>
      <c r="AJ93" s="2507"/>
      <c r="AK93" s="2500"/>
      <c r="AL93" s="2501"/>
      <c r="AM93" s="2502"/>
      <c r="AN93" s="2503"/>
      <c r="AO93" s="2504"/>
      <c r="AP93" s="2505"/>
      <c r="AQ93" s="2506"/>
      <c r="AR93" s="2506"/>
      <c r="AS93" s="2500"/>
      <c r="AT93" s="2507">
        <f>IFERROR(IF($BL93="x",AK93*AQ93,0),0)</f>
        <v>0</v>
      </c>
      <c r="AU93" s="2507"/>
      <c r="AV93" s="2507"/>
      <c r="AW93" s="373"/>
      <c r="AX93" s="2508">
        <f>V93+AH93+AT93</f>
        <v>0</v>
      </c>
      <c r="AY93" s="2508"/>
      <c r="AZ93" s="2508"/>
      <c r="BA93" s="2508"/>
      <c r="BB93" s="2508"/>
      <c r="BC93" s="539">
        <v>12</v>
      </c>
      <c r="BD93" s="2509" t="s">
        <v>606</v>
      </c>
      <c r="BE93" s="2509"/>
      <c r="BF93" s="2509"/>
      <c r="BG93" s="2509"/>
      <c r="BH93" s="2509"/>
      <c r="BI93" s="2509"/>
      <c r="BJ93" s="2510"/>
      <c r="BK93" s="373"/>
      <c r="BL93" s="1758" t="s">
        <v>665</v>
      </c>
      <c r="BM93" s="373"/>
    </row>
    <row r="94" spans="1:79" s="289" customFormat="1" outlineLevel="1" x14ac:dyDescent="0.3">
      <c r="B94" s="373"/>
      <c r="C94" s="2515"/>
      <c r="D94" s="2515"/>
      <c r="E94" s="2515"/>
      <c r="F94" s="2515"/>
      <c r="G94" s="2515"/>
      <c r="H94" s="2515"/>
      <c r="I94" s="2515"/>
      <c r="J94" s="2515"/>
      <c r="K94" s="2515"/>
      <c r="L94" s="2516"/>
      <c r="M94" s="2500"/>
      <c r="N94" s="2501"/>
      <c r="O94" s="2502"/>
      <c r="P94" s="2503"/>
      <c r="Q94" s="2504"/>
      <c r="R94" s="2505"/>
      <c r="S94" s="2506"/>
      <c r="T94" s="2506"/>
      <c r="U94" s="2506"/>
      <c r="V94" s="2507">
        <f>IFERROR(IF($BL94="x",M94*S94,0),0)</f>
        <v>0</v>
      </c>
      <c r="W94" s="2507"/>
      <c r="X94" s="2507"/>
      <c r="Y94" s="2517"/>
      <c r="Z94" s="2518"/>
      <c r="AA94" s="2519"/>
      <c r="AB94" s="2520"/>
      <c r="AC94" s="2521"/>
      <c r="AD94" s="2522"/>
      <c r="AE94" s="2523"/>
      <c r="AF94" s="2523"/>
      <c r="AG94" s="2523"/>
      <c r="AH94" s="2507">
        <f>IFERROR(IF($BL94="x",Y94*AE94,0),0)</f>
        <v>0</v>
      </c>
      <c r="AI94" s="2507"/>
      <c r="AJ94" s="2507"/>
      <c r="AK94" s="2500"/>
      <c r="AL94" s="2501"/>
      <c r="AM94" s="2502"/>
      <c r="AN94" s="2503"/>
      <c r="AO94" s="2504"/>
      <c r="AP94" s="2505"/>
      <c r="AQ94" s="2506"/>
      <c r="AR94" s="2506"/>
      <c r="AS94" s="2500"/>
      <c r="AT94" s="2507">
        <f>IFERROR(IF($BL94="x",AK94*AQ94,0),0)</f>
        <v>0</v>
      </c>
      <c r="AU94" s="2507"/>
      <c r="AV94" s="2507"/>
      <c r="AW94" s="373"/>
      <c r="AX94" s="2508">
        <f>V94+AH94+AT94</f>
        <v>0</v>
      </c>
      <c r="AY94" s="2508"/>
      <c r="AZ94" s="2508"/>
      <c r="BA94" s="2508"/>
      <c r="BB94" s="2508"/>
      <c r="BC94" s="539">
        <v>1</v>
      </c>
      <c r="BD94" s="2509"/>
      <c r="BE94" s="2509"/>
      <c r="BF94" s="2509"/>
      <c r="BG94" s="2509"/>
      <c r="BH94" s="2509"/>
      <c r="BI94" s="2509"/>
      <c r="BJ94" s="2510"/>
      <c r="BK94" s="373"/>
      <c r="BL94" s="1758" t="s">
        <v>665</v>
      </c>
      <c r="BM94" s="373"/>
    </row>
    <row r="95" spans="1:79" outlineLevel="1" x14ac:dyDescent="0.3">
      <c r="A95" s="289"/>
      <c r="B95" s="373"/>
      <c r="C95" s="2515"/>
      <c r="D95" s="2515"/>
      <c r="E95" s="2515"/>
      <c r="F95" s="2515"/>
      <c r="G95" s="2515"/>
      <c r="H95" s="2515"/>
      <c r="I95" s="2515"/>
      <c r="J95" s="2515"/>
      <c r="K95" s="2515"/>
      <c r="L95" s="2516"/>
      <c r="M95" s="2500"/>
      <c r="N95" s="2501"/>
      <c r="O95" s="2502"/>
      <c r="P95" s="2503"/>
      <c r="Q95" s="2504"/>
      <c r="R95" s="2505"/>
      <c r="S95" s="2506"/>
      <c r="T95" s="2506"/>
      <c r="U95" s="2506"/>
      <c r="V95" s="2507">
        <f>IFERROR(IF($BL95="x",M95*S95,0),0)</f>
        <v>0</v>
      </c>
      <c r="W95" s="2507"/>
      <c r="X95" s="2507"/>
      <c r="Y95" s="2517"/>
      <c r="Z95" s="2518"/>
      <c r="AA95" s="2519"/>
      <c r="AB95" s="2520"/>
      <c r="AC95" s="2521"/>
      <c r="AD95" s="2522"/>
      <c r="AE95" s="2523"/>
      <c r="AF95" s="2523"/>
      <c r="AG95" s="2523"/>
      <c r="AH95" s="2507">
        <f>IFERROR(IF($BL95="x",Y95*AE95,0),0)</f>
        <v>0</v>
      </c>
      <c r="AI95" s="2507"/>
      <c r="AJ95" s="2507"/>
      <c r="AK95" s="2500"/>
      <c r="AL95" s="2501"/>
      <c r="AM95" s="2502"/>
      <c r="AN95" s="2503"/>
      <c r="AO95" s="2504"/>
      <c r="AP95" s="2505"/>
      <c r="AQ95" s="2506"/>
      <c r="AR95" s="2506"/>
      <c r="AS95" s="2500"/>
      <c r="AT95" s="2507">
        <f>IFERROR(IF($BL95="x",AK95*AQ95,0),0)</f>
        <v>0</v>
      </c>
      <c r="AU95" s="2507"/>
      <c r="AV95" s="2507"/>
      <c r="AW95" s="373"/>
      <c r="AX95" s="2508">
        <f>V95+AH95+AT95</f>
        <v>0</v>
      </c>
      <c r="AY95" s="2508"/>
      <c r="AZ95" s="2508"/>
      <c r="BA95" s="2508"/>
      <c r="BB95" s="2508"/>
      <c r="BC95" s="539">
        <v>1</v>
      </c>
      <c r="BD95" s="2509"/>
      <c r="BE95" s="2509"/>
      <c r="BF95" s="2509"/>
      <c r="BG95" s="2509"/>
      <c r="BH95" s="2509"/>
      <c r="BI95" s="2509"/>
      <c r="BJ95" s="2510"/>
      <c r="BK95" s="373"/>
      <c r="BL95" s="1758" t="s">
        <v>665</v>
      </c>
      <c r="BM95" s="373"/>
      <c r="BN95" s="289"/>
      <c r="BO95" s="289"/>
      <c r="BP95" s="289"/>
      <c r="BQ95" s="289"/>
      <c r="BR95" s="289"/>
      <c r="BS95" s="289"/>
      <c r="BT95" s="289"/>
      <c r="BU95" s="289"/>
      <c r="BV95" s="289"/>
      <c r="BW95" s="289"/>
      <c r="BX95" s="289"/>
      <c r="BY95" s="289"/>
      <c r="BZ95" s="289"/>
      <c r="CA95" s="289"/>
    </row>
    <row r="96" spans="1:79" s="536" customFormat="1" x14ac:dyDescent="0.3">
      <c r="A96" s="289"/>
      <c r="B96" s="373"/>
      <c r="C96" s="2515"/>
      <c r="D96" s="2515"/>
      <c r="E96" s="2515"/>
      <c r="F96" s="2515"/>
      <c r="G96" s="2515"/>
      <c r="H96" s="2515"/>
      <c r="I96" s="2515"/>
      <c r="J96" s="2515"/>
      <c r="K96" s="2515"/>
      <c r="L96" s="2516"/>
      <c r="M96" s="2500"/>
      <c r="N96" s="2501"/>
      <c r="O96" s="2502"/>
      <c r="P96" s="2503"/>
      <c r="Q96" s="2504"/>
      <c r="R96" s="2505"/>
      <c r="S96" s="2506"/>
      <c r="T96" s="2506"/>
      <c r="U96" s="2506"/>
      <c r="V96" s="2507">
        <f>IFERROR(IF($BL96="x",M96*S96,0),0)</f>
        <v>0</v>
      </c>
      <c r="W96" s="2507"/>
      <c r="X96" s="2507"/>
      <c r="Y96" s="2517"/>
      <c r="Z96" s="2518"/>
      <c r="AA96" s="2519"/>
      <c r="AB96" s="2520"/>
      <c r="AC96" s="2521"/>
      <c r="AD96" s="2522"/>
      <c r="AE96" s="2523"/>
      <c r="AF96" s="2523"/>
      <c r="AG96" s="2523"/>
      <c r="AH96" s="2507">
        <f>IFERROR(IF($BL96="x",Y96*AE96,0),0)</f>
        <v>0</v>
      </c>
      <c r="AI96" s="2507"/>
      <c r="AJ96" s="2507"/>
      <c r="AK96" s="2500"/>
      <c r="AL96" s="2501"/>
      <c r="AM96" s="2502"/>
      <c r="AN96" s="2503"/>
      <c r="AO96" s="2504"/>
      <c r="AP96" s="2505"/>
      <c r="AQ96" s="2506"/>
      <c r="AR96" s="2506"/>
      <c r="AS96" s="2500"/>
      <c r="AT96" s="2507">
        <f>IFERROR(IF($BL96="x",AK96*AQ96,0),0)</f>
        <v>0</v>
      </c>
      <c r="AU96" s="2507"/>
      <c r="AV96" s="2507"/>
      <c r="AW96" s="373"/>
      <c r="AX96" s="2508">
        <f>V96+AH96+AT96</f>
        <v>0</v>
      </c>
      <c r="AY96" s="2508"/>
      <c r="AZ96" s="2508"/>
      <c r="BA96" s="2508"/>
      <c r="BB96" s="2508"/>
      <c r="BC96" s="539">
        <v>1</v>
      </c>
      <c r="BD96" s="2509"/>
      <c r="BE96" s="2509"/>
      <c r="BF96" s="2509"/>
      <c r="BG96" s="2509"/>
      <c r="BH96" s="2509"/>
      <c r="BI96" s="2509"/>
      <c r="BJ96" s="2510"/>
      <c r="BK96" s="373"/>
      <c r="BL96" s="1758" t="s">
        <v>665</v>
      </c>
      <c r="BM96" s="373"/>
      <c r="BN96" s="289"/>
      <c r="BO96" s="289"/>
      <c r="BP96" s="289"/>
      <c r="BQ96" s="289"/>
      <c r="BR96" s="289"/>
      <c r="BS96" s="289"/>
      <c r="BT96" s="289"/>
      <c r="BU96" s="289"/>
      <c r="BV96" s="289"/>
      <c r="BW96" s="289"/>
      <c r="BX96" s="289"/>
      <c r="BY96" s="289"/>
      <c r="BZ96" s="289"/>
      <c r="CA96" s="289"/>
    </row>
    <row r="97" spans="1:79" ht="3.75" customHeight="1" thickBot="1" x14ac:dyDescent="0.35">
      <c r="B97" s="373"/>
      <c r="C97" s="373"/>
      <c r="D97" s="373"/>
      <c r="E97" s="373"/>
      <c r="F97" s="373"/>
      <c r="G97" s="373"/>
      <c r="H97" s="373"/>
      <c r="I97" s="373"/>
      <c r="J97" s="373"/>
      <c r="K97" s="373"/>
      <c r="L97" s="373"/>
      <c r="M97" s="373"/>
      <c r="N97" s="373"/>
      <c r="O97" s="373"/>
      <c r="P97" s="373"/>
      <c r="Q97" s="373"/>
      <c r="R97" s="373"/>
      <c r="S97" s="373"/>
      <c r="T97" s="373"/>
      <c r="U97" s="373"/>
      <c r="V97" s="373"/>
      <c r="W97" s="373"/>
      <c r="X97" s="373"/>
      <c r="Y97" s="373"/>
      <c r="Z97" s="373"/>
      <c r="AA97" s="373"/>
      <c r="AB97" s="373"/>
      <c r="AC97" s="373"/>
      <c r="AD97" s="373"/>
      <c r="AE97" s="373"/>
      <c r="AF97" s="373"/>
      <c r="AG97" s="373"/>
      <c r="AH97" s="373"/>
      <c r="AI97" s="373"/>
      <c r="AJ97" s="15"/>
      <c r="AK97" s="373"/>
      <c r="AL97" s="373"/>
      <c r="AM97" s="373"/>
      <c r="AN97" s="373"/>
      <c r="AO97" s="373"/>
      <c r="AP97" s="373"/>
      <c r="AQ97" s="373"/>
      <c r="AR97" s="373"/>
      <c r="AS97" s="373"/>
      <c r="AT97" s="15"/>
      <c r="AU97" s="15"/>
      <c r="AV97" s="15"/>
      <c r="AW97" s="373"/>
      <c r="AX97" s="15"/>
      <c r="AY97" s="132"/>
      <c r="AZ97" s="132"/>
      <c r="BA97" s="132"/>
      <c r="BB97" s="132"/>
      <c r="BC97" s="539" t="s">
        <v>619</v>
      </c>
      <c r="BD97" s="132"/>
      <c r="BE97" s="132"/>
      <c r="BF97" s="132"/>
      <c r="BG97" s="132"/>
      <c r="BH97" s="132"/>
      <c r="BI97" s="132"/>
      <c r="BJ97" s="132"/>
      <c r="BK97" s="373"/>
      <c r="BL97" s="132"/>
      <c r="BM97" s="373"/>
      <c r="BO97" s="289"/>
      <c r="BP97" s="289"/>
      <c r="BQ97" s="289"/>
      <c r="BR97" s="289"/>
      <c r="BS97" s="289"/>
      <c r="BT97" s="289"/>
      <c r="BU97" s="289"/>
    </row>
    <row r="98" spans="1:79" s="289" customFormat="1" ht="15" customHeight="1" outlineLevel="1" thickBot="1" x14ac:dyDescent="0.25">
      <c r="A98" s="536"/>
      <c r="B98" s="373"/>
      <c r="C98" s="2524" t="s">
        <v>674</v>
      </c>
      <c r="D98" s="2525"/>
      <c r="E98" s="380" t="str">
        <f>UPPER($S$11)</f>
        <v>OTHER</v>
      </c>
      <c r="F98" s="537"/>
      <c r="G98" s="537"/>
      <c r="H98" s="537"/>
      <c r="I98" s="537"/>
      <c r="J98" s="537"/>
      <c r="K98" s="537"/>
      <c r="L98" s="537"/>
      <c r="M98" s="537"/>
      <c r="N98" s="537"/>
      <c r="O98" s="537"/>
      <c r="P98" s="537"/>
      <c r="Q98" s="537"/>
      <c r="R98" s="537"/>
      <c r="S98" s="537"/>
      <c r="T98" s="537"/>
      <c r="U98" s="537"/>
      <c r="V98" s="2508">
        <f>SUM(V100:X104)</f>
        <v>0</v>
      </c>
      <c r="W98" s="2508"/>
      <c r="X98" s="2508"/>
      <c r="Y98" s="537"/>
      <c r="Z98" s="537"/>
      <c r="AA98" s="537"/>
      <c r="AB98" s="537"/>
      <c r="AC98" s="537"/>
      <c r="AD98" s="537"/>
      <c r="AE98" s="537"/>
      <c r="AF98" s="537"/>
      <c r="AG98" s="537"/>
      <c r="AH98" s="2508">
        <f>SUM(AH100:AJ104)</f>
        <v>0</v>
      </c>
      <c r="AI98" s="2508"/>
      <c r="AJ98" s="2508"/>
      <c r="AK98" s="537"/>
      <c r="AL98" s="537"/>
      <c r="AM98" s="537"/>
      <c r="AN98" s="537"/>
      <c r="AO98" s="537"/>
      <c r="AP98" s="537"/>
      <c r="AQ98" s="537"/>
      <c r="AR98" s="537"/>
      <c r="AS98" s="538"/>
      <c r="AT98" s="2508">
        <f>SUM(AT100:AV104)</f>
        <v>0</v>
      </c>
      <c r="AU98" s="2508"/>
      <c r="AV98" s="2508"/>
      <c r="AW98" s="373"/>
      <c r="AX98" s="2526">
        <f>SUM(AX100:BB104)</f>
        <v>0</v>
      </c>
      <c r="AY98" s="2526"/>
      <c r="AZ98" s="2526"/>
      <c r="BA98" s="2526"/>
      <c r="BB98" s="2526"/>
      <c r="BC98" s="539" t="s">
        <v>619</v>
      </c>
      <c r="BD98" s="540"/>
      <c r="BE98" s="541"/>
      <c r="BF98" s="541"/>
      <c r="BG98" s="541"/>
      <c r="BH98" s="541"/>
      <c r="BI98" s="541"/>
      <c r="BJ98" s="541"/>
      <c r="BK98" s="373"/>
      <c r="BL98" s="132"/>
      <c r="BM98" s="373"/>
      <c r="BN98" s="536"/>
      <c r="BV98" s="536"/>
      <c r="BW98" s="536"/>
      <c r="BX98" s="536"/>
      <c r="BY98" s="536"/>
      <c r="BZ98" s="536"/>
      <c r="CA98" s="536"/>
    </row>
    <row r="99" spans="1:79" s="289" customFormat="1" outlineLevel="1" x14ac:dyDescent="0.3">
      <c r="A99" s="283"/>
      <c r="B99" s="373"/>
      <c r="C99" s="373"/>
      <c r="D99" s="373"/>
      <c r="E99" s="373"/>
      <c r="F99" s="373"/>
      <c r="G99" s="373"/>
      <c r="H99" s="373"/>
      <c r="I99" s="373"/>
      <c r="J99" s="373"/>
      <c r="K99" s="373"/>
      <c r="L99" s="373"/>
      <c r="M99" s="373"/>
      <c r="N99" s="373"/>
      <c r="O99" s="373"/>
      <c r="P99" s="373"/>
      <c r="Q99" s="373"/>
      <c r="R99" s="373"/>
      <c r="S99" s="373"/>
      <c r="T99" s="373"/>
      <c r="U99" s="373"/>
      <c r="V99" s="373"/>
      <c r="W99" s="373"/>
      <c r="X99" s="373"/>
      <c r="Y99" s="373"/>
      <c r="Z99" s="373"/>
      <c r="AA99" s="373"/>
      <c r="AB99" s="373"/>
      <c r="AC99" s="373"/>
      <c r="AD99" s="373"/>
      <c r="AE99" s="373"/>
      <c r="AF99" s="373"/>
      <c r="AG99" s="373"/>
      <c r="AH99" s="373"/>
      <c r="AI99" s="373"/>
      <c r="AJ99" s="15"/>
      <c r="AK99" s="373"/>
      <c r="AL99" s="373"/>
      <c r="AM99" s="373"/>
      <c r="AN99" s="373"/>
      <c r="AO99" s="373"/>
      <c r="AP99" s="373"/>
      <c r="AQ99" s="373"/>
      <c r="AR99" s="373"/>
      <c r="AS99" s="373"/>
      <c r="AT99" s="15"/>
      <c r="AU99" s="15"/>
      <c r="AV99" s="15"/>
      <c r="AW99" s="373"/>
      <c r="AX99" s="15"/>
      <c r="AY99" s="132"/>
      <c r="AZ99" s="132"/>
      <c r="BA99" s="132"/>
      <c r="BB99" s="132"/>
      <c r="BC99" s="539" t="s">
        <v>619</v>
      </c>
      <c r="BD99" s="132"/>
      <c r="BE99" s="132"/>
      <c r="BF99" s="132"/>
      <c r="BG99" s="132"/>
      <c r="BH99" s="132"/>
      <c r="BI99" s="132"/>
      <c r="BJ99" s="132"/>
      <c r="BK99" s="373"/>
      <c r="BL99" s="132"/>
      <c r="BM99" s="373"/>
      <c r="BN99" s="283"/>
      <c r="BV99" s="283"/>
      <c r="BW99" s="283"/>
      <c r="BX99" s="283"/>
      <c r="BY99" s="283"/>
      <c r="BZ99" s="283"/>
      <c r="CA99" s="283"/>
    </row>
    <row r="100" spans="1:79" s="289" customFormat="1" outlineLevel="1" x14ac:dyDescent="0.3">
      <c r="B100" s="373"/>
      <c r="C100" s="2527" t="s">
        <v>1176</v>
      </c>
      <c r="D100" s="2527"/>
      <c r="E100" s="2527"/>
      <c r="F100" s="2527"/>
      <c r="G100" s="2527"/>
      <c r="H100" s="2527"/>
      <c r="I100" s="2527"/>
      <c r="J100" s="2527"/>
      <c r="K100" s="2527"/>
      <c r="L100" s="2528"/>
      <c r="M100" s="2500"/>
      <c r="N100" s="2501"/>
      <c r="O100" s="2502"/>
      <c r="P100" s="2503"/>
      <c r="Q100" s="2504"/>
      <c r="R100" s="2505"/>
      <c r="S100" s="2506"/>
      <c r="T100" s="2506"/>
      <c r="U100" s="2506"/>
      <c r="V100" s="2511">
        <f>IFERROR(IF($BL100="x",M100*S100,0),0)</f>
        <v>0</v>
      </c>
      <c r="W100" s="2507"/>
      <c r="X100" s="2512"/>
      <c r="Y100" s="2517"/>
      <c r="Z100" s="2518"/>
      <c r="AA100" s="2519"/>
      <c r="AB100" s="2520" t="s">
        <v>631</v>
      </c>
      <c r="AC100" s="2521"/>
      <c r="AD100" s="2522"/>
      <c r="AE100" s="2523"/>
      <c r="AF100" s="2523"/>
      <c r="AG100" s="2523"/>
      <c r="AH100" s="2511">
        <f>IFERROR(IF($BL100="x",Y100*AE100,0),0)</f>
        <v>0</v>
      </c>
      <c r="AI100" s="2507"/>
      <c r="AJ100" s="2512"/>
      <c r="AK100" s="2500"/>
      <c r="AL100" s="2501"/>
      <c r="AM100" s="2502"/>
      <c r="AN100" s="2503"/>
      <c r="AO100" s="2504"/>
      <c r="AP100" s="2505"/>
      <c r="AQ100" s="2506"/>
      <c r="AR100" s="2506"/>
      <c r="AS100" s="2500"/>
      <c r="AT100" s="2511">
        <f>IFERROR(IF($BL100="x",AK100*AQ100,0),0)</f>
        <v>0</v>
      </c>
      <c r="AU100" s="2507"/>
      <c r="AV100" s="2512"/>
      <c r="AW100" s="373"/>
      <c r="AX100" s="2508">
        <f>V100+AH100+AT100</f>
        <v>0</v>
      </c>
      <c r="AY100" s="2508"/>
      <c r="AZ100" s="2508"/>
      <c r="BA100" s="2508"/>
      <c r="BB100" s="2508"/>
      <c r="BC100" s="539">
        <v>12</v>
      </c>
      <c r="BD100" s="2513" t="s">
        <v>606</v>
      </c>
      <c r="BE100" s="2513"/>
      <c r="BF100" s="2513"/>
      <c r="BG100" s="2513"/>
      <c r="BH100" s="2513"/>
      <c r="BI100" s="2513"/>
      <c r="BJ100" s="2514"/>
      <c r="BK100" s="373"/>
      <c r="BL100" s="1758" t="s">
        <v>665</v>
      </c>
      <c r="BM100" s="373"/>
    </row>
    <row r="101" spans="1:79" s="289" customFormat="1" outlineLevel="1" x14ac:dyDescent="0.3">
      <c r="B101" s="373"/>
      <c r="C101" s="2515" t="s">
        <v>1170</v>
      </c>
      <c r="D101" s="2515"/>
      <c r="E101" s="2515"/>
      <c r="F101" s="2515"/>
      <c r="G101" s="2515"/>
      <c r="H101" s="2515"/>
      <c r="I101" s="2515"/>
      <c r="J101" s="2515"/>
      <c r="K101" s="2515"/>
      <c r="L101" s="2516"/>
      <c r="M101" s="2500"/>
      <c r="N101" s="2501"/>
      <c r="O101" s="2502"/>
      <c r="P101" s="2503"/>
      <c r="Q101" s="2504"/>
      <c r="R101" s="2505"/>
      <c r="S101" s="2506"/>
      <c r="T101" s="2506"/>
      <c r="U101" s="2506"/>
      <c r="V101" s="2507">
        <f>IFERROR(IF($BL101="x",M101*S101,0),0)</f>
        <v>0</v>
      </c>
      <c r="W101" s="2507"/>
      <c r="X101" s="2507"/>
      <c r="Y101" s="2517"/>
      <c r="Z101" s="2518"/>
      <c r="AA101" s="2519"/>
      <c r="AB101" s="2520" t="s">
        <v>635</v>
      </c>
      <c r="AC101" s="2521"/>
      <c r="AD101" s="2522"/>
      <c r="AE101" s="2523"/>
      <c r="AF101" s="2523"/>
      <c r="AG101" s="2523"/>
      <c r="AH101" s="2507">
        <f>IFERROR(IF($BL101="x",Y101*AE101,0),0)</f>
        <v>0</v>
      </c>
      <c r="AI101" s="2507"/>
      <c r="AJ101" s="2507"/>
      <c r="AK101" s="2500"/>
      <c r="AL101" s="2501"/>
      <c r="AM101" s="2502"/>
      <c r="AN101" s="2503"/>
      <c r="AO101" s="2504"/>
      <c r="AP101" s="2505"/>
      <c r="AQ101" s="2506"/>
      <c r="AR101" s="2506"/>
      <c r="AS101" s="2500"/>
      <c r="AT101" s="2507">
        <f>IFERROR(IF($BL101="x",AK101*AQ101,0),0)</f>
        <v>0</v>
      </c>
      <c r="AU101" s="2507"/>
      <c r="AV101" s="2507"/>
      <c r="AW101" s="373"/>
      <c r="AX101" s="2508">
        <f>V101+AH101+AT101</f>
        <v>0</v>
      </c>
      <c r="AY101" s="2508"/>
      <c r="AZ101" s="2508"/>
      <c r="BA101" s="2508"/>
      <c r="BB101" s="2508"/>
      <c r="BC101" s="539">
        <v>12</v>
      </c>
      <c r="BD101" s="2509" t="s">
        <v>606</v>
      </c>
      <c r="BE101" s="2509"/>
      <c r="BF101" s="2509"/>
      <c r="BG101" s="2509"/>
      <c r="BH101" s="2509"/>
      <c r="BI101" s="2509"/>
      <c r="BJ101" s="2510"/>
      <c r="BK101" s="373"/>
      <c r="BL101" s="1758" t="s">
        <v>665</v>
      </c>
      <c r="BM101" s="373"/>
    </row>
    <row r="102" spans="1:79" s="289" customFormat="1" outlineLevel="1" x14ac:dyDescent="0.3">
      <c r="B102" s="373"/>
      <c r="C102" s="2515" t="s">
        <v>1172</v>
      </c>
      <c r="D102" s="2515"/>
      <c r="E102" s="2515"/>
      <c r="F102" s="2515"/>
      <c r="G102" s="2515"/>
      <c r="H102" s="2515"/>
      <c r="I102" s="2515"/>
      <c r="J102" s="2515"/>
      <c r="K102" s="2515"/>
      <c r="L102" s="2516"/>
      <c r="M102" s="2500"/>
      <c r="N102" s="2501"/>
      <c r="O102" s="2502"/>
      <c r="P102" s="2503"/>
      <c r="Q102" s="2504"/>
      <c r="R102" s="2505"/>
      <c r="S102" s="2506"/>
      <c r="T102" s="2506"/>
      <c r="U102" s="2506"/>
      <c r="V102" s="2507">
        <f>IFERROR(IF($BL102="x",M102*S102,0),0)</f>
        <v>0</v>
      </c>
      <c r="W102" s="2507"/>
      <c r="X102" s="2507"/>
      <c r="Y102" s="2517"/>
      <c r="Z102" s="2518"/>
      <c r="AA102" s="2519"/>
      <c r="AB102" s="2520"/>
      <c r="AC102" s="2521"/>
      <c r="AD102" s="2522"/>
      <c r="AE102" s="2523"/>
      <c r="AF102" s="2523"/>
      <c r="AG102" s="2523"/>
      <c r="AH102" s="2507">
        <f>IFERROR(IF($BL102="x",Y102*AE102,0),0)</f>
        <v>0</v>
      </c>
      <c r="AI102" s="2507"/>
      <c r="AJ102" s="2507"/>
      <c r="AK102" s="2500"/>
      <c r="AL102" s="2501"/>
      <c r="AM102" s="2502"/>
      <c r="AN102" s="2503"/>
      <c r="AO102" s="2504"/>
      <c r="AP102" s="2505"/>
      <c r="AQ102" s="2506"/>
      <c r="AR102" s="2506"/>
      <c r="AS102" s="2500"/>
      <c r="AT102" s="2507">
        <f>IFERROR(IF($BL102="x",AK102*AQ102,0),0)</f>
        <v>0</v>
      </c>
      <c r="AU102" s="2507"/>
      <c r="AV102" s="2507"/>
      <c r="AW102" s="373"/>
      <c r="AX102" s="2508">
        <f>V102+AH102+AT102</f>
        <v>0</v>
      </c>
      <c r="AY102" s="2508"/>
      <c r="AZ102" s="2508"/>
      <c r="BA102" s="2508"/>
      <c r="BB102" s="2508"/>
      <c r="BC102" s="539">
        <v>12</v>
      </c>
      <c r="BD102" s="2509" t="s">
        <v>606</v>
      </c>
      <c r="BE102" s="2509"/>
      <c r="BF102" s="2509"/>
      <c r="BG102" s="2509"/>
      <c r="BH102" s="2509"/>
      <c r="BI102" s="2509"/>
      <c r="BJ102" s="2510"/>
      <c r="BK102" s="373"/>
      <c r="BL102" s="1758" t="s">
        <v>665</v>
      </c>
      <c r="BM102" s="373"/>
    </row>
    <row r="103" spans="1:79" outlineLevel="1" x14ac:dyDescent="0.3">
      <c r="A103" s="289"/>
      <c r="B103" s="373"/>
      <c r="C103" s="2515" t="s">
        <v>1177</v>
      </c>
      <c r="D103" s="2515"/>
      <c r="E103" s="2515"/>
      <c r="F103" s="2515"/>
      <c r="G103" s="2515"/>
      <c r="H103" s="2515"/>
      <c r="I103" s="2515"/>
      <c r="J103" s="2515"/>
      <c r="K103" s="2515"/>
      <c r="L103" s="2516"/>
      <c r="M103" s="2500"/>
      <c r="N103" s="2501"/>
      <c r="O103" s="2502"/>
      <c r="P103" s="2503"/>
      <c r="Q103" s="2504"/>
      <c r="R103" s="2505"/>
      <c r="S103" s="2506"/>
      <c r="T103" s="2506"/>
      <c r="U103" s="2506"/>
      <c r="V103" s="2507">
        <f>IFERROR(IF($BL103="x",M103*S103,0),0)</f>
        <v>0</v>
      </c>
      <c r="W103" s="2507"/>
      <c r="X103" s="2507"/>
      <c r="Y103" s="2517"/>
      <c r="Z103" s="2518"/>
      <c r="AA103" s="2519"/>
      <c r="AB103" s="2520"/>
      <c r="AC103" s="2521"/>
      <c r="AD103" s="2522"/>
      <c r="AE103" s="2523"/>
      <c r="AF103" s="2523"/>
      <c r="AG103" s="2523"/>
      <c r="AH103" s="2507">
        <f>IFERROR(IF($BL103="x",Y103*AE103,0),0)</f>
        <v>0</v>
      </c>
      <c r="AI103" s="2507"/>
      <c r="AJ103" s="2507"/>
      <c r="AK103" s="2500"/>
      <c r="AL103" s="2501"/>
      <c r="AM103" s="2502"/>
      <c r="AN103" s="2503"/>
      <c r="AO103" s="2504"/>
      <c r="AP103" s="2505"/>
      <c r="AQ103" s="2506"/>
      <c r="AR103" s="2506"/>
      <c r="AS103" s="2500"/>
      <c r="AT103" s="2507">
        <f>IFERROR(IF($BL103="x",AK103*AQ103,0),0)</f>
        <v>0</v>
      </c>
      <c r="AU103" s="2507"/>
      <c r="AV103" s="2507"/>
      <c r="AW103" s="373"/>
      <c r="AX103" s="2508">
        <f>V103+AH103+AT103</f>
        <v>0</v>
      </c>
      <c r="AY103" s="2508"/>
      <c r="AZ103" s="2508"/>
      <c r="BA103" s="2508"/>
      <c r="BB103" s="2508"/>
      <c r="BC103" s="539">
        <v>1</v>
      </c>
      <c r="BD103" s="2509" t="s">
        <v>606</v>
      </c>
      <c r="BE103" s="2509"/>
      <c r="BF103" s="2509"/>
      <c r="BG103" s="2509"/>
      <c r="BH103" s="2509"/>
      <c r="BI103" s="2509"/>
      <c r="BJ103" s="2510"/>
      <c r="BK103" s="373"/>
      <c r="BL103" s="1758" t="s">
        <v>665</v>
      </c>
      <c r="BM103" s="373"/>
      <c r="BN103" s="289"/>
      <c r="BO103" s="289"/>
      <c r="BP103" s="289"/>
      <c r="BQ103" s="289"/>
      <c r="BR103" s="289"/>
      <c r="BS103" s="289"/>
      <c r="BT103" s="289"/>
      <c r="BU103" s="289"/>
      <c r="BV103" s="289"/>
      <c r="BW103" s="289"/>
      <c r="BX103" s="289"/>
      <c r="BY103" s="289"/>
      <c r="BZ103" s="289"/>
      <c r="CA103" s="289"/>
    </row>
    <row r="104" spans="1:79" s="536" customFormat="1" x14ac:dyDescent="0.3">
      <c r="A104" s="289"/>
      <c r="B104" s="373"/>
      <c r="C104" s="2515" t="s">
        <v>1178</v>
      </c>
      <c r="D104" s="2515"/>
      <c r="E104" s="2515"/>
      <c r="F104" s="2515"/>
      <c r="G104" s="2515"/>
      <c r="H104" s="2515"/>
      <c r="I104" s="2515"/>
      <c r="J104" s="2515"/>
      <c r="K104" s="2515"/>
      <c r="L104" s="2516"/>
      <c r="M104" s="2500"/>
      <c r="N104" s="2501"/>
      <c r="O104" s="2502"/>
      <c r="P104" s="2503"/>
      <c r="Q104" s="2504"/>
      <c r="R104" s="2505"/>
      <c r="S104" s="2506"/>
      <c r="T104" s="2506"/>
      <c r="U104" s="2506"/>
      <c r="V104" s="2507">
        <f>IFERROR(IF($BL104="x",M104*S104,0),0)</f>
        <v>0</v>
      </c>
      <c r="W104" s="2507"/>
      <c r="X104" s="2507"/>
      <c r="Y104" s="2517"/>
      <c r="Z104" s="2518"/>
      <c r="AA104" s="2519"/>
      <c r="AB104" s="2520" t="s">
        <v>631</v>
      </c>
      <c r="AC104" s="2521"/>
      <c r="AD104" s="2522"/>
      <c r="AE104" s="2523"/>
      <c r="AF104" s="2523"/>
      <c r="AG104" s="2523"/>
      <c r="AH104" s="2507">
        <f>IFERROR(IF($BL104="x",Y104*AE104,0),0)</f>
        <v>0</v>
      </c>
      <c r="AI104" s="2507"/>
      <c r="AJ104" s="2507"/>
      <c r="AK104" s="2500"/>
      <c r="AL104" s="2501"/>
      <c r="AM104" s="2502"/>
      <c r="AN104" s="2503"/>
      <c r="AO104" s="2504"/>
      <c r="AP104" s="2505"/>
      <c r="AQ104" s="2506"/>
      <c r="AR104" s="2506"/>
      <c r="AS104" s="2500"/>
      <c r="AT104" s="2507">
        <f>IFERROR(IF($BL104="x",AK104*AQ104,0),0)</f>
        <v>0</v>
      </c>
      <c r="AU104" s="2507"/>
      <c r="AV104" s="2507"/>
      <c r="AW104" s="373"/>
      <c r="AX104" s="2508">
        <f>V104+AH104+AT104</f>
        <v>0</v>
      </c>
      <c r="AY104" s="2508"/>
      <c r="AZ104" s="2508"/>
      <c r="BA104" s="2508"/>
      <c r="BB104" s="2508"/>
      <c r="BC104" s="539">
        <v>1</v>
      </c>
      <c r="BD104" s="2509" t="s">
        <v>606</v>
      </c>
      <c r="BE104" s="2509"/>
      <c r="BF104" s="2509"/>
      <c r="BG104" s="2509"/>
      <c r="BH104" s="2509"/>
      <c r="BI104" s="2509"/>
      <c r="BJ104" s="2510"/>
      <c r="BK104" s="373"/>
      <c r="BL104" s="1758" t="s">
        <v>665</v>
      </c>
      <c r="BM104" s="373"/>
      <c r="BN104" s="289"/>
      <c r="BO104" s="289"/>
      <c r="BP104" s="289"/>
      <c r="BQ104" s="289"/>
      <c r="BR104" s="289"/>
      <c r="BS104" s="289"/>
      <c r="BT104" s="289"/>
      <c r="BU104" s="289"/>
      <c r="BV104" s="289"/>
      <c r="BW104" s="289"/>
      <c r="BX104" s="289"/>
      <c r="BY104" s="289"/>
      <c r="BZ104" s="289"/>
      <c r="CA104" s="289"/>
    </row>
    <row r="105" spans="1:79" ht="3.75" customHeight="1" thickBot="1" x14ac:dyDescent="0.35">
      <c r="B105" s="373"/>
      <c r="C105" s="373"/>
      <c r="D105" s="373"/>
      <c r="E105" s="373"/>
      <c r="F105" s="373"/>
      <c r="G105" s="373"/>
      <c r="H105" s="373"/>
      <c r="I105" s="373"/>
      <c r="J105" s="373"/>
      <c r="K105" s="373"/>
      <c r="L105" s="373"/>
      <c r="M105" s="373"/>
      <c r="N105" s="373"/>
      <c r="O105" s="373"/>
      <c r="P105" s="373"/>
      <c r="Q105" s="373"/>
      <c r="R105" s="373"/>
      <c r="S105" s="373"/>
      <c r="T105" s="373"/>
      <c r="U105" s="373"/>
      <c r="V105" s="373"/>
      <c r="W105" s="373"/>
      <c r="X105" s="373"/>
      <c r="Y105" s="373"/>
      <c r="Z105" s="373"/>
      <c r="AA105" s="373"/>
      <c r="AB105" s="373"/>
      <c r="AC105" s="373"/>
      <c r="AD105" s="373"/>
      <c r="AE105" s="373"/>
      <c r="AF105" s="373"/>
      <c r="AG105" s="373"/>
      <c r="AH105" s="373"/>
      <c r="AI105" s="373"/>
      <c r="AJ105" s="15"/>
      <c r="AK105" s="373"/>
      <c r="AL105" s="373"/>
      <c r="AM105" s="373"/>
      <c r="AN105" s="373"/>
      <c r="AO105" s="373"/>
      <c r="AP105" s="373"/>
      <c r="AQ105" s="373"/>
      <c r="AR105" s="373"/>
      <c r="AS105" s="373"/>
      <c r="AT105" s="15"/>
      <c r="AU105" s="15"/>
      <c r="AV105" s="15"/>
      <c r="AW105" s="373"/>
      <c r="AX105" s="15"/>
      <c r="AY105" s="132"/>
      <c r="AZ105" s="132"/>
      <c r="BA105" s="132"/>
      <c r="BB105" s="132"/>
      <c r="BC105" s="539" t="s">
        <v>619</v>
      </c>
      <c r="BD105" s="132"/>
      <c r="BE105" s="132"/>
      <c r="BF105" s="132"/>
      <c r="BG105" s="132"/>
      <c r="BH105" s="132"/>
      <c r="BI105" s="132"/>
      <c r="BJ105" s="132"/>
      <c r="BK105" s="373"/>
      <c r="BL105" s="132"/>
      <c r="BM105" s="373"/>
      <c r="BO105" s="289"/>
      <c r="BP105" s="289"/>
      <c r="BQ105" s="289"/>
      <c r="BR105" s="289"/>
      <c r="BS105" s="289"/>
      <c r="BT105" s="289"/>
      <c r="BU105" s="289"/>
    </row>
    <row r="106" spans="1:79" s="289" customFormat="1" ht="15" customHeight="1" outlineLevel="1" thickBot="1" x14ac:dyDescent="0.25">
      <c r="A106" s="536"/>
      <c r="B106" s="373"/>
      <c r="C106" s="2524" t="s">
        <v>675</v>
      </c>
      <c r="D106" s="2525"/>
      <c r="E106" s="380" t="str">
        <f>UPPER($S$12)</f>
        <v>FRAMING / INSULATION</v>
      </c>
      <c r="F106" s="537"/>
      <c r="G106" s="537"/>
      <c r="H106" s="537"/>
      <c r="I106" s="537"/>
      <c r="J106" s="537"/>
      <c r="K106" s="537"/>
      <c r="L106" s="537"/>
      <c r="M106" s="537"/>
      <c r="N106" s="537"/>
      <c r="O106" s="537"/>
      <c r="P106" s="537"/>
      <c r="Q106" s="537"/>
      <c r="R106" s="537"/>
      <c r="S106" s="537"/>
      <c r="T106" s="537"/>
      <c r="U106" s="537"/>
      <c r="V106" s="2508">
        <f>SUM(V108:X112)</f>
        <v>0</v>
      </c>
      <c r="W106" s="2508"/>
      <c r="X106" s="2508"/>
      <c r="Y106" s="537"/>
      <c r="Z106" s="537"/>
      <c r="AA106" s="537"/>
      <c r="AB106" s="537"/>
      <c r="AC106" s="537"/>
      <c r="AD106" s="537"/>
      <c r="AE106" s="537"/>
      <c r="AF106" s="537"/>
      <c r="AG106" s="537"/>
      <c r="AH106" s="2508">
        <f>SUM(AH108:AJ112)</f>
        <v>0</v>
      </c>
      <c r="AI106" s="2508"/>
      <c r="AJ106" s="2508"/>
      <c r="AK106" s="537"/>
      <c r="AL106" s="537"/>
      <c r="AM106" s="537"/>
      <c r="AN106" s="537"/>
      <c r="AO106" s="537"/>
      <c r="AP106" s="537"/>
      <c r="AQ106" s="537"/>
      <c r="AR106" s="537"/>
      <c r="AS106" s="538"/>
      <c r="AT106" s="2508">
        <f>SUM(AT108:AV112)</f>
        <v>0</v>
      </c>
      <c r="AU106" s="2508"/>
      <c r="AV106" s="2508"/>
      <c r="AW106" s="373"/>
      <c r="AX106" s="2526">
        <f>SUM(AX108:BB112)</f>
        <v>0</v>
      </c>
      <c r="AY106" s="2526"/>
      <c r="AZ106" s="2526"/>
      <c r="BA106" s="2526"/>
      <c r="BB106" s="2526"/>
      <c r="BC106" s="539" t="s">
        <v>619</v>
      </c>
      <c r="BD106" s="540"/>
      <c r="BE106" s="541"/>
      <c r="BF106" s="541"/>
      <c r="BG106" s="541"/>
      <c r="BH106" s="541"/>
      <c r="BI106" s="541"/>
      <c r="BJ106" s="541"/>
      <c r="BK106" s="373"/>
      <c r="BL106" s="132"/>
      <c r="BM106" s="373"/>
      <c r="BN106" s="536"/>
      <c r="BV106" s="536"/>
      <c r="BW106" s="536"/>
      <c r="BX106" s="536"/>
      <c r="BY106" s="536"/>
      <c r="BZ106" s="536"/>
      <c r="CA106" s="536"/>
    </row>
    <row r="107" spans="1:79" s="289" customFormat="1" outlineLevel="1" x14ac:dyDescent="0.3">
      <c r="A107" s="283"/>
      <c r="B107" s="373"/>
      <c r="C107" s="373"/>
      <c r="D107" s="373"/>
      <c r="E107" s="373"/>
      <c r="F107" s="373"/>
      <c r="G107" s="373"/>
      <c r="H107" s="373"/>
      <c r="I107" s="373"/>
      <c r="J107" s="373"/>
      <c r="K107" s="373"/>
      <c r="L107" s="373"/>
      <c r="M107" s="373"/>
      <c r="N107" s="373"/>
      <c r="O107" s="373"/>
      <c r="P107" s="373"/>
      <c r="Q107" s="373"/>
      <c r="R107" s="373"/>
      <c r="S107" s="373"/>
      <c r="T107" s="373"/>
      <c r="U107" s="373"/>
      <c r="V107" s="373"/>
      <c r="W107" s="373"/>
      <c r="X107" s="373"/>
      <c r="Y107" s="373"/>
      <c r="Z107" s="373"/>
      <c r="AA107" s="373"/>
      <c r="AB107" s="373"/>
      <c r="AC107" s="373"/>
      <c r="AD107" s="373"/>
      <c r="AE107" s="373"/>
      <c r="AF107" s="373"/>
      <c r="AG107" s="373"/>
      <c r="AH107" s="373"/>
      <c r="AI107" s="373"/>
      <c r="AJ107" s="15"/>
      <c r="AK107" s="373"/>
      <c r="AL107" s="373"/>
      <c r="AM107" s="373"/>
      <c r="AN107" s="373"/>
      <c r="AO107" s="373"/>
      <c r="AP107" s="373"/>
      <c r="AQ107" s="373"/>
      <c r="AR107" s="373"/>
      <c r="AS107" s="373"/>
      <c r="AT107" s="15"/>
      <c r="AU107" s="15"/>
      <c r="AV107" s="15"/>
      <c r="AW107" s="373"/>
      <c r="AX107" s="15"/>
      <c r="AY107" s="132"/>
      <c r="AZ107" s="132"/>
      <c r="BA107" s="132"/>
      <c r="BB107" s="132"/>
      <c r="BC107" s="539" t="s">
        <v>619</v>
      </c>
      <c r="BD107" s="132"/>
      <c r="BE107" s="132"/>
      <c r="BF107" s="132"/>
      <c r="BG107" s="132"/>
      <c r="BH107" s="132"/>
      <c r="BI107" s="132"/>
      <c r="BJ107" s="132"/>
      <c r="BK107" s="373"/>
      <c r="BL107" s="132"/>
      <c r="BM107" s="373"/>
      <c r="BN107" s="283"/>
      <c r="BV107" s="283"/>
      <c r="BW107" s="283"/>
      <c r="BX107" s="283"/>
      <c r="BY107" s="283"/>
      <c r="BZ107" s="283"/>
      <c r="CA107" s="283"/>
    </row>
    <row r="108" spans="1:79" s="289" customFormat="1" outlineLevel="1" x14ac:dyDescent="0.3">
      <c r="B108" s="373"/>
      <c r="C108" s="2527"/>
      <c r="D108" s="2527"/>
      <c r="E108" s="2527"/>
      <c r="F108" s="2527"/>
      <c r="G108" s="2527"/>
      <c r="H108" s="2527"/>
      <c r="I108" s="2527"/>
      <c r="J108" s="2527"/>
      <c r="K108" s="2527"/>
      <c r="L108" s="2528"/>
      <c r="M108" s="2500"/>
      <c r="N108" s="2501"/>
      <c r="O108" s="2502"/>
      <c r="P108" s="2503"/>
      <c r="Q108" s="2504"/>
      <c r="R108" s="2505"/>
      <c r="S108" s="2506"/>
      <c r="T108" s="2506"/>
      <c r="U108" s="2506"/>
      <c r="V108" s="2511">
        <f>IFERROR(IF($BL108="x",M108*S108,0),0)</f>
        <v>0</v>
      </c>
      <c r="W108" s="2507"/>
      <c r="X108" s="2512"/>
      <c r="Y108" s="2517"/>
      <c r="Z108" s="2518"/>
      <c r="AA108" s="2519"/>
      <c r="AB108" s="2520"/>
      <c r="AC108" s="2521"/>
      <c r="AD108" s="2522"/>
      <c r="AE108" s="2523"/>
      <c r="AF108" s="2523"/>
      <c r="AG108" s="2523"/>
      <c r="AH108" s="2511">
        <f>IFERROR(IF($BL108="x",Y108*AE108,0),0)</f>
        <v>0</v>
      </c>
      <c r="AI108" s="2507"/>
      <c r="AJ108" s="2512"/>
      <c r="AK108" s="2500"/>
      <c r="AL108" s="2501"/>
      <c r="AM108" s="2502"/>
      <c r="AN108" s="2503"/>
      <c r="AO108" s="2504"/>
      <c r="AP108" s="2505"/>
      <c r="AQ108" s="2506"/>
      <c r="AR108" s="2506"/>
      <c r="AS108" s="2500"/>
      <c r="AT108" s="2511">
        <f>IFERROR(IF($BL108="x",AK108*AQ108,0),0)</f>
        <v>0</v>
      </c>
      <c r="AU108" s="2507"/>
      <c r="AV108" s="2512"/>
      <c r="AW108" s="373"/>
      <c r="AX108" s="2508">
        <f>V108+AH108+AT108</f>
        <v>0</v>
      </c>
      <c r="AY108" s="2508"/>
      <c r="AZ108" s="2508"/>
      <c r="BA108" s="2508"/>
      <c r="BB108" s="2508"/>
      <c r="BC108" s="539">
        <v>1</v>
      </c>
      <c r="BD108" s="2513"/>
      <c r="BE108" s="2513"/>
      <c r="BF108" s="2513"/>
      <c r="BG108" s="2513"/>
      <c r="BH108" s="2513"/>
      <c r="BI108" s="2513"/>
      <c r="BJ108" s="2514"/>
      <c r="BK108" s="373"/>
      <c r="BL108" s="1758" t="s">
        <v>665</v>
      </c>
      <c r="BM108" s="373"/>
    </row>
    <row r="109" spans="1:79" s="289" customFormat="1" outlineLevel="1" x14ac:dyDescent="0.3">
      <c r="B109" s="373"/>
      <c r="C109" s="2515"/>
      <c r="D109" s="2515"/>
      <c r="E109" s="2515"/>
      <c r="F109" s="2515"/>
      <c r="G109" s="2515"/>
      <c r="H109" s="2515"/>
      <c r="I109" s="2515"/>
      <c r="J109" s="2515"/>
      <c r="K109" s="2515"/>
      <c r="L109" s="2516"/>
      <c r="M109" s="2500"/>
      <c r="N109" s="2501"/>
      <c r="O109" s="2502"/>
      <c r="P109" s="2503"/>
      <c r="Q109" s="2504"/>
      <c r="R109" s="2505"/>
      <c r="S109" s="2506"/>
      <c r="T109" s="2506"/>
      <c r="U109" s="2506"/>
      <c r="V109" s="2507">
        <f>IFERROR(IF($BL109="x",M109*S109,0),0)</f>
        <v>0</v>
      </c>
      <c r="W109" s="2507"/>
      <c r="X109" s="2507"/>
      <c r="Y109" s="2517"/>
      <c r="Z109" s="2518"/>
      <c r="AA109" s="2519"/>
      <c r="AB109" s="2520"/>
      <c r="AC109" s="2521"/>
      <c r="AD109" s="2522"/>
      <c r="AE109" s="2523"/>
      <c r="AF109" s="2523"/>
      <c r="AG109" s="2523"/>
      <c r="AH109" s="2507">
        <f>IFERROR(IF($BL109="x",Y109*AE109,0),0)</f>
        <v>0</v>
      </c>
      <c r="AI109" s="2507"/>
      <c r="AJ109" s="2507"/>
      <c r="AK109" s="2500"/>
      <c r="AL109" s="2501"/>
      <c r="AM109" s="2502"/>
      <c r="AN109" s="2503"/>
      <c r="AO109" s="2504"/>
      <c r="AP109" s="2505"/>
      <c r="AQ109" s="2506"/>
      <c r="AR109" s="2506"/>
      <c r="AS109" s="2500"/>
      <c r="AT109" s="2507">
        <f>IFERROR(IF($BL109="x",AK109*AQ109,0),0)</f>
        <v>0</v>
      </c>
      <c r="AU109" s="2507"/>
      <c r="AV109" s="2507"/>
      <c r="AW109" s="373"/>
      <c r="AX109" s="2508">
        <f>V109+AH109+AT109</f>
        <v>0</v>
      </c>
      <c r="AY109" s="2508"/>
      <c r="AZ109" s="2508"/>
      <c r="BA109" s="2508"/>
      <c r="BB109" s="2508"/>
      <c r="BC109" s="539">
        <v>1</v>
      </c>
      <c r="BD109" s="2509"/>
      <c r="BE109" s="2509"/>
      <c r="BF109" s="2509"/>
      <c r="BG109" s="2509"/>
      <c r="BH109" s="2509"/>
      <c r="BI109" s="2509"/>
      <c r="BJ109" s="2510"/>
      <c r="BK109" s="373"/>
      <c r="BL109" s="1758" t="s">
        <v>665</v>
      </c>
      <c r="BM109" s="373"/>
    </row>
    <row r="110" spans="1:79" s="289" customFormat="1" outlineLevel="1" x14ac:dyDescent="0.3">
      <c r="B110" s="373"/>
      <c r="C110" s="2515"/>
      <c r="D110" s="2515"/>
      <c r="E110" s="2515"/>
      <c r="F110" s="2515"/>
      <c r="G110" s="2515"/>
      <c r="H110" s="2515"/>
      <c r="I110" s="2515"/>
      <c r="J110" s="2515"/>
      <c r="K110" s="2515"/>
      <c r="L110" s="2516"/>
      <c r="M110" s="2500"/>
      <c r="N110" s="2501"/>
      <c r="O110" s="2502"/>
      <c r="P110" s="2503"/>
      <c r="Q110" s="2504"/>
      <c r="R110" s="2505"/>
      <c r="S110" s="2506"/>
      <c r="T110" s="2506"/>
      <c r="U110" s="2506"/>
      <c r="V110" s="2507">
        <f>IFERROR(IF($BL110="x",M110*S110,0),0)</f>
        <v>0</v>
      </c>
      <c r="W110" s="2507"/>
      <c r="X110" s="2507"/>
      <c r="Y110" s="2517"/>
      <c r="Z110" s="2518"/>
      <c r="AA110" s="2519"/>
      <c r="AB110" s="2520"/>
      <c r="AC110" s="2521"/>
      <c r="AD110" s="2522"/>
      <c r="AE110" s="2523"/>
      <c r="AF110" s="2523"/>
      <c r="AG110" s="2523"/>
      <c r="AH110" s="2507">
        <f>IFERROR(IF($BL110="x",Y110*AE110,0),0)</f>
        <v>0</v>
      </c>
      <c r="AI110" s="2507"/>
      <c r="AJ110" s="2507"/>
      <c r="AK110" s="2500"/>
      <c r="AL110" s="2501"/>
      <c r="AM110" s="2502"/>
      <c r="AN110" s="2503"/>
      <c r="AO110" s="2504"/>
      <c r="AP110" s="2505"/>
      <c r="AQ110" s="2506"/>
      <c r="AR110" s="2506"/>
      <c r="AS110" s="2500"/>
      <c r="AT110" s="2507">
        <f>IFERROR(IF($BL110="x",AK110*AQ110,0),0)</f>
        <v>0</v>
      </c>
      <c r="AU110" s="2507"/>
      <c r="AV110" s="2507"/>
      <c r="AW110" s="373"/>
      <c r="AX110" s="2508">
        <f>V110+AH110+AT110</f>
        <v>0</v>
      </c>
      <c r="AY110" s="2508"/>
      <c r="AZ110" s="2508"/>
      <c r="BA110" s="2508"/>
      <c r="BB110" s="2508"/>
      <c r="BC110" s="539">
        <v>1</v>
      </c>
      <c r="BD110" s="2509"/>
      <c r="BE110" s="2509"/>
      <c r="BF110" s="2509"/>
      <c r="BG110" s="2509"/>
      <c r="BH110" s="2509"/>
      <c r="BI110" s="2509"/>
      <c r="BJ110" s="2510"/>
      <c r="BK110" s="373"/>
      <c r="BL110" s="1758" t="s">
        <v>665</v>
      </c>
      <c r="BM110" s="373"/>
    </row>
    <row r="111" spans="1:79" outlineLevel="1" x14ac:dyDescent="0.3">
      <c r="A111" s="289"/>
      <c r="B111" s="373"/>
      <c r="C111" s="2515"/>
      <c r="D111" s="2515"/>
      <c r="E111" s="2515"/>
      <c r="F111" s="2515"/>
      <c r="G111" s="2515"/>
      <c r="H111" s="2515"/>
      <c r="I111" s="2515"/>
      <c r="J111" s="2515"/>
      <c r="K111" s="2515"/>
      <c r="L111" s="2516"/>
      <c r="M111" s="2500"/>
      <c r="N111" s="2501"/>
      <c r="O111" s="2502"/>
      <c r="P111" s="2503"/>
      <c r="Q111" s="2504"/>
      <c r="R111" s="2505"/>
      <c r="S111" s="2506"/>
      <c r="T111" s="2506"/>
      <c r="U111" s="2506"/>
      <c r="V111" s="2507">
        <f>IFERROR(IF($BL111="x",M111*S111,0),0)</f>
        <v>0</v>
      </c>
      <c r="W111" s="2507"/>
      <c r="X111" s="2507"/>
      <c r="Y111" s="2517"/>
      <c r="Z111" s="2518"/>
      <c r="AA111" s="2519"/>
      <c r="AB111" s="2520"/>
      <c r="AC111" s="2521"/>
      <c r="AD111" s="2522"/>
      <c r="AE111" s="2523"/>
      <c r="AF111" s="2523"/>
      <c r="AG111" s="2523"/>
      <c r="AH111" s="2507">
        <f>IFERROR(IF($BL111="x",Y111*AE111,0),0)</f>
        <v>0</v>
      </c>
      <c r="AI111" s="2507"/>
      <c r="AJ111" s="2507"/>
      <c r="AK111" s="2500"/>
      <c r="AL111" s="2501"/>
      <c r="AM111" s="2502"/>
      <c r="AN111" s="2503"/>
      <c r="AO111" s="2504"/>
      <c r="AP111" s="2505"/>
      <c r="AQ111" s="2506"/>
      <c r="AR111" s="2506"/>
      <c r="AS111" s="2500"/>
      <c r="AT111" s="2507">
        <f>IFERROR(IF($BL111="x",AK111*AQ111,0),0)</f>
        <v>0</v>
      </c>
      <c r="AU111" s="2507"/>
      <c r="AV111" s="2507"/>
      <c r="AW111" s="373"/>
      <c r="AX111" s="2508">
        <f>V111+AH111+AT111</f>
        <v>0</v>
      </c>
      <c r="AY111" s="2508"/>
      <c r="AZ111" s="2508"/>
      <c r="BA111" s="2508"/>
      <c r="BB111" s="2508"/>
      <c r="BC111" s="539">
        <v>1</v>
      </c>
      <c r="BD111" s="2509"/>
      <c r="BE111" s="2509"/>
      <c r="BF111" s="2509"/>
      <c r="BG111" s="2509"/>
      <c r="BH111" s="2509"/>
      <c r="BI111" s="2509"/>
      <c r="BJ111" s="2510"/>
      <c r="BK111" s="373"/>
      <c r="BL111" s="1758" t="s">
        <v>665</v>
      </c>
      <c r="BM111" s="373"/>
      <c r="BN111" s="289"/>
      <c r="BO111" s="289"/>
      <c r="BP111" s="289"/>
      <c r="BQ111" s="289"/>
      <c r="BR111" s="289"/>
      <c r="BS111" s="289"/>
      <c r="BT111" s="289"/>
      <c r="BU111" s="289"/>
      <c r="BV111" s="289"/>
      <c r="BW111" s="289"/>
      <c r="BX111" s="289"/>
      <c r="BY111" s="289"/>
      <c r="BZ111" s="289"/>
      <c r="CA111" s="289"/>
    </row>
    <row r="112" spans="1:79" s="536" customFormat="1" x14ac:dyDescent="0.3">
      <c r="A112" s="289"/>
      <c r="B112" s="373"/>
      <c r="C112" s="2515"/>
      <c r="D112" s="2515"/>
      <c r="E112" s="2515"/>
      <c r="F112" s="2515"/>
      <c r="G112" s="2515"/>
      <c r="H112" s="2515"/>
      <c r="I112" s="2515"/>
      <c r="J112" s="2515"/>
      <c r="K112" s="2515"/>
      <c r="L112" s="2516"/>
      <c r="M112" s="2500"/>
      <c r="N112" s="2501"/>
      <c r="O112" s="2502"/>
      <c r="P112" s="2503"/>
      <c r="Q112" s="2504"/>
      <c r="R112" s="2505"/>
      <c r="S112" s="2506"/>
      <c r="T112" s="2506"/>
      <c r="U112" s="2506"/>
      <c r="V112" s="2507">
        <f>IFERROR(IF($BL112="x",M112*S112,0),0)</f>
        <v>0</v>
      </c>
      <c r="W112" s="2507"/>
      <c r="X112" s="2507"/>
      <c r="Y112" s="2517"/>
      <c r="Z112" s="2518"/>
      <c r="AA112" s="2519"/>
      <c r="AB112" s="2520"/>
      <c r="AC112" s="2521"/>
      <c r="AD112" s="2522"/>
      <c r="AE112" s="2523"/>
      <c r="AF112" s="2523"/>
      <c r="AG112" s="2523"/>
      <c r="AH112" s="2507">
        <f>IFERROR(IF($BL112="x",Y112*AE112,0),0)</f>
        <v>0</v>
      </c>
      <c r="AI112" s="2507"/>
      <c r="AJ112" s="2507"/>
      <c r="AK112" s="2500"/>
      <c r="AL112" s="2501"/>
      <c r="AM112" s="2502"/>
      <c r="AN112" s="2503"/>
      <c r="AO112" s="2504"/>
      <c r="AP112" s="2505"/>
      <c r="AQ112" s="2506"/>
      <c r="AR112" s="2506"/>
      <c r="AS112" s="2500"/>
      <c r="AT112" s="2507">
        <f>IFERROR(IF($BL112="x",AK112*AQ112,0),0)</f>
        <v>0</v>
      </c>
      <c r="AU112" s="2507"/>
      <c r="AV112" s="2507"/>
      <c r="AW112" s="373"/>
      <c r="AX112" s="2508">
        <f>V112+AH112+AT112</f>
        <v>0</v>
      </c>
      <c r="AY112" s="2508"/>
      <c r="AZ112" s="2508"/>
      <c r="BA112" s="2508"/>
      <c r="BB112" s="2508"/>
      <c r="BC112" s="539">
        <v>1</v>
      </c>
      <c r="BD112" s="2509"/>
      <c r="BE112" s="2509"/>
      <c r="BF112" s="2509"/>
      <c r="BG112" s="2509"/>
      <c r="BH112" s="2509"/>
      <c r="BI112" s="2509"/>
      <c r="BJ112" s="2510"/>
      <c r="BK112" s="373"/>
      <c r="BL112" s="1758" t="s">
        <v>665</v>
      </c>
      <c r="BM112" s="373"/>
      <c r="BN112" s="289"/>
      <c r="BO112" s="289"/>
      <c r="BP112" s="289"/>
      <c r="BQ112" s="289"/>
      <c r="BR112" s="289"/>
      <c r="BS112" s="289"/>
      <c r="BT112" s="289"/>
      <c r="BU112" s="289"/>
      <c r="BV112" s="289"/>
      <c r="BW112" s="289"/>
      <c r="BX112" s="289"/>
      <c r="BY112" s="289"/>
      <c r="BZ112" s="289"/>
      <c r="CA112" s="289"/>
    </row>
    <row r="113" spans="1:79" ht="3.75" customHeight="1" thickBot="1" x14ac:dyDescent="0.35">
      <c r="B113" s="373"/>
      <c r="C113" s="373"/>
      <c r="D113" s="373"/>
      <c r="E113" s="373"/>
      <c r="F113" s="373"/>
      <c r="G113" s="373"/>
      <c r="H113" s="373"/>
      <c r="I113" s="373"/>
      <c r="J113" s="373"/>
      <c r="K113" s="373"/>
      <c r="L113" s="373"/>
      <c r="M113" s="373"/>
      <c r="N113" s="373"/>
      <c r="O113" s="373"/>
      <c r="P113" s="373"/>
      <c r="Q113" s="373"/>
      <c r="R113" s="373"/>
      <c r="S113" s="373"/>
      <c r="T113" s="373"/>
      <c r="U113" s="373"/>
      <c r="V113" s="373"/>
      <c r="W113" s="373"/>
      <c r="X113" s="373"/>
      <c r="Y113" s="373"/>
      <c r="Z113" s="373"/>
      <c r="AA113" s="373"/>
      <c r="AB113" s="373"/>
      <c r="AC113" s="373"/>
      <c r="AD113" s="373"/>
      <c r="AE113" s="373"/>
      <c r="AF113" s="373"/>
      <c r="AG113" s="373"/>
      <c r="AH113" s="373"/>
      <c r="AI113" s="373"/>
      <c r="AJ113" s="15"/>
      <c r="AK113" s="373"/>
      <c r="AL113" s="373"/>
      <c r="AM113" s="373"/>
      <c r="AN113" s="373"/>
      <c r="AO113" s="373"/>
      <c r="AP113" s="373"/>
      <c r="AQ113" s="373"/>
      <c r="AR113" s="373"/>
      <c r="AS113" s="373"/>
      <c r="AT113" s="15"/>
      <c r="AU113" s="15"/>
      <c r="AV113" s="15"/>
      <c r="AW113" s="373"/>
      <c r="AX113" s="15"/>
      <c r="AY113" s="132"/>
      <c r="AZ113" s="132"/>
      <c r="BA113" s="132"/>
      <c r="BB113" s="132"/>
      <c r="BC113" s="539" t="s">
        <v>619</v>
      </c>
      <c r="BD113" s="132"/>
      <c r="BE113" s="132"/>
      <c r="BF113" s="132"/>
      <c r="BG113" s="132"/>
      <c r="BH113" s="132"/>
      <c r="BI113" s="132"/>
      <c r="BJ113" s="132"/>
      <c r="BK113" s="373"/>
      <c r="BL113" s="132"/>
      <c r="BM113" s="373"/>
      <c r="BO113" s="289"/>
      <c r="BP113" s="289"/>
      <c r="BQ113" s="289"/>
      <c r="BR113" s="289"/>
      <c r="BS113" s="289"/>
      <c r="BT113" s="289"/>
      <c r="BU113" s="289"/>
    </row>
    <row r="114" spans="1:79" s="289" customFormat="1" ht="15" customHeight="1" outlineLevel="1" thickBot="1" x14ac:dyDescent="0.25">
      <c r="A114" s="536"/>
      <c r="B114" s="373"/>
      <c r="C114" s="2524" t="s">
        <v>676</v>
      </c>
      <c r="D114" s="2525"/>
      <c r="E114" s="380" t="str">
        <f>UPPER($S$13)</f>
        <v>CARPENTRY</v>
      </c>
      <c r="F114" s="537"/>
      <c r="G114" s="537"/>
      <c r="H114" s="537"/>
      <c r="I114" s="537"/>
      <c r="J114" s="537"/>
      <c r="K114" s="537"/>
      <c r="L114" s="537"/>
      <c r="M114" s="537"/>
      <c r="N114" s="537"/>
      <c r="O114" s="537"/>
      <c r="P114" s="537"/>
      <c r="Q114" s="537"/>
      <c r="R114" s="537"/>
      <c r="S114" s="537"/>
      <c r="T114" s="537"/>
      <c r="U114" s="537"/>
      <c r="V114" s="2508">
        <f>SUM(V116:X120)</f>
        <v>0</v>
      </c>
      <c r="W114" s="2508"/>
      <c r="X114" s="2508"/>
      <c r="Y114" s="537"/>
      <c r="Z114" s="537"/>
      <c r="AA114" s="537"/>
      <c r="AB114" s="537"/>
      <c r="AC114" s="537"/>
      <c r="AD114" s="537"/>
      <c r="AE114" s="537"/>
      <c r="AF114" s="537"/>
      <c r="AG114" s="537"/>
      <c r="AH114" s="2508">
        <f>SUM(AH116:AJ120)</f>
        <v>0</v>
      </c>
      <c r="AI114" s="2508"/>
      <c r="AJ114" s="2508"/>
      <c r="AK114" s="537"/>
      <c r="AL114" s="537"/>
      <c r="AM114" s="537"/>
      <c r="AN114" s="537"/>
      <c r="AO114" s="537"/>
      <c r="AP114" s="537"/>
      <c r="AQ114" s="537"/>
      <c r="AR114" s="537"/>
      <c r="AS114" s="538"/>
      <c r="AT114" s="2508">
        <f>SUM(AT116:AV120)</f>
        <v>0</v>
      </c>
      <c r="AU114" s="2508"/>
      <c r="AV114" s="2508"/>
      <c r="AW114" s="373"/>
      <c r="AX114" s="2526">
        <f>SUM(AX116:BB120)</f>
        <v>0</v>
      </c>
      <c r="AY114" s="2526"/>
      <c r="AZ114" s="2526"/>
      <c r="BA114" s="2526"/>
      <c r="BB114" s="2526"/>
      <c r="BC114" s="539" t="s">
        <v>619</v>
      </c>
      <c r="BD114" s="540"/>
      <c r="BE114" s="541"/>
      <c r="BF114" s="541"/>
      <c r="BG114" s="541"/>
      <c r="BH114" s="541"/>
      <c r="BI114" s="541"/>
      <c r="BJ114" s="541"/>
      <c r="BK114" s="373"/>
      <c r="BL114" s="132"/>
      <c r="BM114" s="373"/>
      <c r="BN114" s="536"/>
      <c r="BV114" s="536"/>
      <c r="BW114" s="536"/>
      <c r="BX114" s="536"/>
      <c r="BY114" s="536"/>
      <c r="BZ114" s="536"/>
      <c r="CA114" s="536"/>
    </row>
    <row r="115" spans="1:79" s="289" customFormat="1" outlineLevel="1" x14ac:dyDescent="0.3">
      <c r="A115" s="283"/>
      <c r="B115" s="373"/>
      <c r="C115" s="373"/>
      <c r="D115" s="373"/>
      <c r="E115" s="373"/>
      <c r="F115" s="373"/>
      <c r="G115" s="373"/>
      <c r="H115" s="373"/>
      <c r="I115" s="373"/>
      <c r="J115" s="373"/>
      <c r="K115" s="373"/>
      <c r="L115" s="373"/>
      <c r="M115" s="373"/>
      <c r="N115" s="373"/>
      <c r="O115" s="373"/>
      <c r="P115" s="373"/>
      <c r="Q115" s="373"/>
      <c r="R115" s="373"/>
      <c r="S115" s="373"/>
      <c r="T115" s="373"/>
      <c r="U115" s="373"/>
      <c r="V115" s="373"/>
      <c r="W115" s="373"/>
      <c r="X115" s="373"/>
      <c r="Y115" s="373"/>
      <c r="Z115" s="373"/>
      <c r="AA115" s="373"/>
      <c r="AB115" s="373"/>
      <c r="AC115" s="373"/>
      <c r="AD115" s="373"/>
      <c r="AE115" s="373"/>
      <c r="AF115" s="373"/>
      <c r="AG115" s="373"/>
      <c r="AH115" s="373"/>
      <c r="AI115" s="373"/>
      <c r="AJ115" s="15"/>
      <c r="AK115" s="373"/>
      <c r="AL115" s="373"/>
      <c r="AM115" s="373"/>
      <c r="AN115" s="373"/>
      <c r="AO115" s="373"/>
      <c r="AP115" s="373"/>
      <c r="AQ115" s="373"/>
      <c r="AR115" s="373"/>
      <c r="AS115" s="373"/>
      <c r="AT115" s="15"/>
      <c r="AU115" s="15"/>
      <c r="AV115" s="15"/>
      <c r="AW115" s="373"/>
      <c r="AX115" s="15"/>
      <c r="AY115" s="132"/>
      <c r="AZ115" s="132"/>
      <c r="BA115" s="132"/>
      <c r="BB115" s="132"/>
      <c r="BC115" s="539" t="s">
        <v>619</v>
      </c>
      <c r="BD115" s="132"/>
      <c r="BE115" s="132"/>
      <c r="BF115" s="132"/>
      <c r="BG115" s="132"/>
      <c r="BH115" s="132"/>
      <c r="BI115" s="132"/>
      <c r="BJ115" s="132"/>
      <c r="BK115" s="373"/>
      <c r="BL115" s="132"/>
      <c r="BM115" s="373"/>
      <c r="BN115" s="283"/>
      <c r="BV115" s="283"/>
      <c r="BW115" s="283"/>
      <c r="BX115" s="283"/>
      <c r="BY115" s="283"/>
      <c r="BZ115" s="283"/>
      <c r="CA115" s="283"/>
    </row>
    <row r="116" spans="1:79" s="289" customFormat="1" outlineLevel="1" x14ac:dyDescent="0.3">
      <c r="B116" s="373"/>
      <c r="C116" s="2527"/>
      <c r="D116" s="2527"/>
      <c r="E116" s="2527"/>
      <c r="F116" s="2527"/>
      <c r="G116" s="2527"/>
      <c r="H116" s="2527"/>
      <c r="I116" s="2527"/>
      <c r="J116" s="2527"/>
      <c r="K116" s="2527"/>
      <c r="L116" s="2528"/>
      <c r="M116" s="2500"/>
      <c r="N116" s="2501"/>
      <c r="O116" s="2502"/>
      <c r="P116" s="2503"/>
      <c r="Q116" s="2504"/>
      <c r="R116" s="2505"/>
      <c r="S116" s="2506"/>
      <c r="T116" s="2506"/>
      <c r="U116" s="2506"/>
      <c r="V116" s="2511">
        <f>IFERROR(IF($BL116="x",M116*S116,0),0)</f>
        <v>0</v>
      </c>
      <c r="W116" s="2507"/>
      <c r="X116" s="2512"/>
      <c r="Y116" s="2517"/>
      <c r="Z116" s="2518"/>
      <c r="AA116" s="2519"/>
      <c r="AB116" s="2520"/>
      <c r="AC116" s="2521"/>
      <c r="AD116" s="2522"/>
      <c r="AE116" s="2523"/>
      <c r="AF116" s="2523"/>
      <c r="AG116" s="2523"/>
      <c r="AH116" s="2511">
        <f>IFERROR(IF($BL116="x",Y116*AE116,0),0)</f>
        <v>0</v>
      </c>
      <c r="AI116" s="2507"/>
      <c r="AJ116" s="2512"/>
      <c r="AK116" s="2500"/>
      <c r="AL116" s="2501"/>
      <c r="AM116" s="2502"/>
      <c r="AN116" s="2503"/>
      <c r="AO116" s="2504"/>
      <c r="AP116" s="2505"/>
      <c r="AQ116" s="2506"/>
      <c r="AR116" s="2506"/>
      <c r="AS116" s="2500"/>
      <c r="AT116" s="2511">
        <f>IFERROR(IF($BL116="x",AK116*AQ116,0),0)</f>
        <v>0</v>
      </c>
      <c r="AU116" s="2507"/>
      <c r="AV116" s="2512"/>
      <c r="AW116" s="373"/>
      <c r="AX116" s="2508">
        <f>V116+AH116+AT116</f>
        <v>0</v>
      </c>
      <c r="AY116" s="2508"/>
      <c r="AZ116" s="2508"/>
      <c r="BA116" s="2508"/>
      <c r="BB116" s="2508"/>
      <c r="BC116" s="539">
        <v>11</v>
      </c>
      <c r="BD116" s="2513"/>
      <c r="BE116" s="2513"/>
      <c r="BF116" s="2513"/>
      <c r="BG116" s="2513"/>
      <c r="BH116" s="2513"/>
      <c r="BI116" s="2513"/>
      <c r="BJ116" s="2514"/>
      <c r="BK116" s="373"/>
      <c r="BL116" s="1758" t="s">
        <v>665</v>
      </c>
      <c r="BM116" s="373"/>
    </row>
    <row r="117" spans="1:79" s="289" customFormat="1" outlineLevel="1" x14ac:dyDescent="0.3">
      <c r="B117" s="373"/>
      <c r="C117" s="2515"/>
      <c r="D117" s="2515"/>
      <c r="E117" s="2515"/>
      <c r="F117" s="2515"/>
      <c r="G117" s="2515"/>
      <c r="H117" s="2515"/>
      <c r="I117" s="2515"/>
      <c r="J117" s="2515"/>
      <c r="K117" s="2515"/>
      <c r="L117" s="2516"/>
      <c r="M117" s="2500"/>
      <c r="N117" s="2501"/>
      <c r="O117" s="2502"/>
      <c r="P117" s="2503"/>
      <c r="Q117" s="2504"/>
      <c r="R117" s="2505"/>
      <c r="S117" s="2506"/>
      <c r="T117" s="2506"/>
      <c r="U117" s="2506"/>
      <c r="V117" s="2507">
        <f>IFERROR(IF($BL117="x",M117*S117,0),0)</f>
        <v>0</v>
      </c>
      <c r="W117" s="2507"/>
      <c r="X117" s="2507"/>
      <c r="Y117" s="2517"/>
      <c r="Z117" s="2518"/>
      <c r="AA117" s="2519"/>
      <c r="AB117" s="2520"/>
      <c r="AC117" s="2521"/>
      <c r="AD117" s="2522"/>
      <c r="AE117" s="2523"/>
      <c r="AF117" s="2523"/>
      <c r="AG117" s="2523"/>
      <c r="AH117" s="2507">
        <f>IFERROR(IF($BL117="x",Y117*AE117,0),0)</f>
        <v>0</v>
      </c>
      <c r="AI117" s="2507"/>
      <c r="AJ117" s="2507"/>
      <c r="AK117" s="2500"/>
      <c r="AL117" s="2501"/>
      <c r="AM117" s="2502"/>
      <c r="AN117" s="2503"/>
      <c r="AO117" s="2504"/>
      <c r="AP117" s="2505"/>
      <c r="AQ117" s="2506"/>
      <c r="AR117" s="2506"/>
      <c r="AS117" s="2500"/>
      <c r="AT117" s="2507">
        <f>IFERROR(IF($BL117="x",AK117*AQ117,0),0)</f>
        <v>0</v>
      </c>
      <c r="AU117" s="2507"/>
      <c r="AV117" s="2507"/>
      <c r="AW117" s="373"/>
      <c r="AX117" s="2508">
        <f>V117+AH117+AT117</f>
        <v>0</v>
      </c>
      <c r="AY117" s="2508"/>
      <c r="AZ117" s="2508"/>
      <c r="BA117" s="2508"/>
      <c r="BB117" s="2508"/>
      <c r="BC117" s="539">
        <v>11</v>
      </c>
      <c r="BD117" s="2509"/>
      <c r="BE117" s="2509"/>
      <c r="BF117" s="2509"/>
      <c r="BG117" s="2509"/>
      <c r="BH117" s="2509"/>
      <c r="BI117" s="2509"/>
      <c r="BJ117" s="2510"/>
      <c r="BK117" s="373"/>
      <c r="BL117" s="1758" t="s">
        <v>665</v>
      </c>
      <c r="BM117" s="373"/>
    </row>
    <row r="118" spans="1:79" s="289" customFormat="1" outlineLevel="1" x14ac:dyDescent="0.3">
      <c r="B118" s="373"/>
      <c r="C118" s="2515"/>
      <c r="D118" s="2515"/>
      <c r="E118" s="2515"/>
      <c r="F118" s="2515"/>
      <c r="G118" s="2515"/>
      <c r="H118" s="2515"/>
      <c r="I118" s="2515"/>
      <c r="J118" s="2515"/>
      <c r="K118" s="2515"/>
      <c r="L118" s="2516"/>
      <c r="M118" s="2500"/>
      <c r="N118" s="2501"/>
      <c r="O118" s="2502"/>
      <c r="P118" s="2503"/>
      <c r="Q118" s="2504"/>
      <c r="R118" s="2505"/>
      <c r="S118" s="2506"/>
      <c r="T118" s="2506"/>
      <c r="U118" s="2506"/>
      <c r="V118" s="2507">
        <f>IFERROR(IF($BL118="x",M118*S118,0),0)</f>
        <v>0</v>
      </c>
      <c r="W118" s="2507"/>
      <c r="X118" s="2507"/>
      <c r="Y118" s="2517"/>
      <c r="Z118" s="2518"/>
      <c r="AA118" s="2519"/>
      <c r="AB118" s="2520"/>
      <c r="AC118" s="2521"/>
      <c r="AD118" s="2522"/>
      <c r="AE118" s="2523"/>
      <c r="AF118" s="2523"/>
      <c r="AG118" s="2523"/>
      <c r="AH118" s="2507">
        <f>IFERROR(IF($BL118="x",Y118*AE118,0),0)</f>
        <v>0</v>
      </c>
      <c r="AI118" s="2507"/>
      <c r="AJ118" s="2507"/>
      <c r="AK118" s="2500"/>
      <c r="AL118" s="2501"/>
      <c r="AM118" s="2502"/>
      <c r="AN118" s="2503"/>
      <c r="AO118" s="2504"/>
      <c r="AP118" s="2505"/>
      <c r="AQ118" s="2506"/>
      <c r="AR118" s="2506"/>
      <c r="AS118" s="2500"/>
      <c r="AT118" s="2507">
        <f>IFERROR(IF($BL118="x",AK118*AQ118,0),0)</f>
        <v>0</v>
      </c>
      <c r="AU118" s="2507"/>
      <c r="AV118" s="2507"/>
      <c r="AW118" s="373"/>
      <c r="AX118" s="2508">
        <f>V118+AH118+AT118</f>
        <v>0</v>
      </c>
      <c r="AY118" s="2508"/>
      <c r="AZ118" s="2508"/>
      <c r="BA118" s="2508"/>
      <c r="BB118" s="2508"/>
      <c r="BC118" s="539">
        <v>10</v>
      </c>
      <c r="BD118" s="2509"/>
      <c r="BE118" s="2509"/>
      <c r="BF118" s="2509"/>
      <c r="BG118" s="2509"/>
      <c r="BH118" s="2509"/>
      <c r="BI118" s="2509"/>
      <c r="BJ118" s="2510"/>
      <c r="BK118" s="373"/>
      <c r="BL118" s="1758" t="s">
        <v>665</v>
      </c>
      <c r="BM118" s="373"/>
    </row>
    <row r="119" spans="1:79" outlineLevel="1" x14ac:dyDescent="0.3">
      <c r="A119" s="289"/>
      <c r="B119" s="373"/>
      <c r="C119" s="2515"/>
      <c r="D119" s="2515"/>
      <c r="E119" s="2515"/>
      <c r="F119" s="2515"/>
      <c r="G119" s="2515"/>
      <c r="H119" s="2515"/>
      <c r="I119" s="2515"/>
      <c r="J119" s="2515"/>
      <c r="K119" s="2515"/>
      <c r="L119" s="2516"/>
      <c r="M119" s="2500"/>
      <c r="N119" s="2501"/>
      <c r="O119" s="2502"/>
      <c r="P119" s="2503"/>
      <c r="Q119" s="2504"/>
      <c r="R119" s="2505"/>
      <c r="S119" s="2506"/>
      <c r="T119" s="2506"/>
      <c r="U119" s="2506"/>
      <c r="V119" s="2507">
        <f>IFERROR(IF($BL119="x",M119*S119,0),0)</f>
        <v>0</v>
      </c>
      <c r="W119" s="2507"/>
      <c r="X119" s="2507"/>
      <c r="Y119" s="2517"/>
      <c r="Z119" s="2518"/>
      <c r="AA119" s="2519"/>
      <c r="AB119" s="2520"/>
      <c r="AC119" s="2521"/>
      <c r="AD119" s="2522"/>
      <c r="AE119" s="2523"/>
      <c r="AF119" s="2523"/>
      <c r="AG119" s="2523"/>
      <c r="AH119" s="2507">
        <f>IFERROR(IF($BL119="x",Y119*AE119,0),0)</f>
        <v>0</v>
      </c>
      <c r="AI119" s="2507"/>
      <c r="AJ119" s="2507"/>
      <c r="AK119" s="2500"/>
      <c r="AL119" s="2501"/>
      <c r="AM119" s="2502"/>
      <c r="AN119" s="2503"/>
      <c r="AO119" s="2504"/>
      <c r="AP119" s="2505"/>
      <c r="AQ119" s="2506"/>
      <c r="AR119" s="2506"/>
      <c r="AS119" s="2500"/>
      <c r="AT119" s="2507">
        <f>IFERROR(IF($BL119="x",AK119*AQ119,0),0)</f>
        <v>0</v>
      </c>
      <c r="AU119" s="2507"/>
      <c r="AV119" s="2507"/>
      <c r="AW119" s="373"/>
      <c r="AX119" s="2508">
        <f>V119+AH119+AT119</f>
        <v>0</v>
      </c>
      <c r="AY119" s="2508"/>
      <c r="AZ119" s="2508"/>
      <c r="BA119" s="2508"/>
      <c r="BB119" s="2508"/>
      <c r="BC119" s="539">
        <v>3</v>
      </c>
      <c r="BD119" s="2509"/>
      <c r="BE119" s="2509"/>
      <c r="BF119" s="2509"/>
      <c r="BG119" s="2509"/>
      <c r="BH119" s="2509"/>
      <c r="BI119" s="2509"/>
      <c r="BJ119" s="2510"/>
      <c r="BK119" s="373"/>
      <c r="BL119" s="1758" t="s">
        <v>665</v>
      </c>
      <c r="BM119" s="373"/>
      <c r="BN119" s="289"/>
      <c r="BO119" s="289"/>
      <c r="BP119" s="289"/>
      <c r="BQ119" s="289"/>
      <c r="BR119" s="289"/>
      <c r="BS119" s="289"/>
      <c r="BT119" s="289"/>
      <c r="BU119" s="289"/>
      <c r="BV119" s="289"/>
      <c r="BW119" s="289"/>
      <c r="BX119" s="289"/>
      <c r="BY119" s="289"/>
      <c r="BZ119" s="289"/>
      <c r="CA119" s="289"/>
    </row>
    <row r="120" spans="1:79" s="536" customFormat="1" x14ac:dyDescent="0.3">
      <c r="A120" s="289"/>
      <c r="B120" s="373"/>
      <c r="C120" s="2515"/>
      <c r="D120" s="2515"/>
      <c r="E120" s="2515"/>
      <c r="F120" s="2515"/>
      <c r="G120" s="2515"/>
      <c r="H120" s="2515"/>
      <c r="I120" s="2515"/>
      <c r="J120" s="2515"/>
      <c r="K120" s="2515"/>
      <c r="L120" s="2516"/>
      <c r="M120" s="2500"/>
      <c r="N120" s="2501"/>
      <c r="O120" s="2502"/>
      <c r="P120" s="2503"/>
      <c r="Q120" s="2504"/>
      <c r="R120" s="2505"/>
      <c r="S120" s="2506"/>
      <c r="T120" s="2506"/>
      <c r="U120" s="2506"/>
      <c r="V120" s="2507">
        <f>IFERROR(IF($BL120="x",M120*S120,0),0)</f>
        <v>0</v>
      </c>
      <c r="W120" s="2507"/>
      <c r="X120" s="2507"/>
      <c r="Y120" s="2517"/>
      <c r="Z120" s="2518"/>
      <c r="AA120" s="2519"/>
      <c r="AB120" s="2520"/>
      <c r="AC120" s="2521"/>
      <c r="AD120" s="2522"/>
      <c r="AE120" s="2523"/>
      <c r="AF120" s="2523"/>
      <c r="AG120" s="2523"/>
      <c r="AH120" s="2507">
        <f>IFERROR(IF($BL120="x",Y120*AE120,0),0)</f>
        <v>0</v>
      </c>
      <c r="AI120" s="2507"/>
      <c r="AJ120" s="2507"/>
      <c r="AK120" s="2500"/>
      <c r="AL120" s="2501"/>
      <c r="AM120" s="2502"/>
      <c r="AN120" s="2503"/>
      <c r="AO120" s="2504"/>
      <c r="AP120" s="2505"/>
      <c r="AQ120" s="2506"/>
      <c r="AR120" s="2506"/>
      <c r="AS120" s="2500"/>
      <c r="AT120" s="2507">
        <f>IFERROR(IF($BL120="x",AK120*AQ120,0),0)</f>
        <v>0</v>
      </c>
      <c r="AU120" s="2507"/>
      <c r="AV120" s="2507"/>
      <c r="AW120" s="373"/>
      <c r="AX120" s="2508">
        <f>V120+AH120+AT120</f>
        <v>0</v>
      </c>
      <c r="AY120" s="2508"/>
      <c r="AZ120" s="2508"/>
      <c r="BA120" s="2508"/>
      <c r="BB120" s="2508"/>
      <c r="BC120" s="539">
        <v>3</v>
      </c>
      <c r="BD120" s="2509"/>
      <c r="BE120" s="2509"/>
      <c r="BF120" s="2509"/>
      <c r="BG120" s="2509"/>
      <c r="BH120" s="2509"/>
      <c r="BI120" s="2509"/>
      <c r="BJ120" s="2510"/>
      <c r="BK120" s="373"/>
      <c r="BL120" s="1758" t="s">
        <v>665</v>
      </c>
      <c r="BM120" s="373"/>
      <c r="BN120" s="289"/>
      <c r="BO120" s="289"/>
      <c r="BP120" s="289"/>
      <c r="BQ120" s="289"/>
      <c r="BR120" s="289"/>
      <c r="BS120" s="289"/>
      <c r="BT120" s="289"/>
      <c r="BU120" s="289"/>
      <c r="BV120" s="289"/>
      <c r="BW120" s="289"/>
      <c r="BX120" s="289"/>
      <c r="BY120" s="289"/>
      <c r="BZ120" s="289"/>
      <c r="CA120" s="289"/>
    </row>
    <row r="121" spans="1:79" ht="3.75" customHeight="1" thickBot="1" x14ac:dyDescent="0.35">
      <c r="B121" s="373"/>
      <c r="C121" s="373"/>
      <c r="D121" s="373"/>
      <c r="E121" s="373"/>
      <c r="F121" s="373"/>
      <c r="G121" s="373"/>
      <c r="H121" s="373"/>
      <c r="I121" s="373"/>
      <c r="J121" s="373"/>
      <c r="K121" s="373"/>
      <c r="L121" s="373"/>
      <c r="M121" s="373"/>
      <c r="N121" s="373"/>
      <c r="O121" s="373"/>
      <c r="P121" s="373"/>
      <c r="Q121" s="373"/>
      <c r="R121" s="373"/>
      <c r="S121" s="373"/>
      <c r="T121" s="373"/>
      <c r="U121" s="373"/>
      <c r="V121" s="373"/>
      <c r="W121" s="373"/>
      <c r="X121" s="373"/>
      <c r="Y121" s="373"/>
      <c r="Z121" s="373"/>
      <c r="AA121" s="373"/>
      <c r="AB121" s="373"/>
      <c r="AC121" s="373"/>
      <c r="AD121" s="373"/>
      <c r="AE121" s="373"/>
      <c r="AF121" s="373"/>
      <c r="AG121" s="373"/>
      <c r="AH121" s="373"/>
      <c r="AI121" s="373"/>
      <c r="AJ121" s="15"/>
      <c r="AK121" s="373"/>
      <c r="AL121" s="373"/>
      <c r="AM121" s="373"/>
      <c r="AN121" s="373"/>
      <c r="AO121" s="373"/>
      <c r="AP121" s="373"/>
      <c r="AQ121" s="373"/>
      <c r="AR121" s="373"/>
      <c r="AS121" s="373"/>
      <c r="AT121" s="15"/>
      <c r="AU121" s="15"/>
      <c r="AV121" s="15"/>
      <c r="AW121" s="373"/>
      <c r="AX121" s="15"/>
      <c r="AY121" s="132"/>
      <c r="AZ121" s="132"/>
      <c r="BA121" s="132"/>
      <c r="BB121" s="132"/>
      <c r="BC121" s="539" t="s">
        <v>619</v>
      </c>
      <c r="BD121" s="132"/>
      <c r="BE121" s="132"/>
      <c r="BF121" s="132"/>
      <c r="BG121" s="132"/>
      <c r="BH121" s="132"/>
      <c r="BI121" s="132"/>
      <c r="BJ121" s="132"/>
      <c r="BK121" s="373"/>
      <c r="BL121" s="132"/>
      <c r="BM121" s="373"/>
      <c r="BO121" s="289"/>
      <c r="BP121" s="289"/>
      <c r="BQ121" s="289"/>
      <c r="BR121" s="289"/>
      <c r="BS121" s="289"/>
      <c r="BT121" s="289"/>
      <c r="BU121" s="289"/>
    </row>
    <row r="122" spans="1:79" s="289" customFormat="1" ht="15" customHeight="1" outlineLevel="1" thickBot="1" x14ac:dyDescent="0.25">
      <c r="A122" s="536"/>
      <c r="B122" s="373"/>
      <c r="C122" s="2524" t="s">
        <v>677</v>
      </c>
      <c r="D122" s="2525"/>
      <c r="E122" s="380" t="str">
        <f>UPPER($S$14)</f>
        <v>CABINETS / COUNTERTOPS</v>
      </c>
      <c r="F122" s="537"/>
      <c r="G122" s="537"/>
      <c r="H122" s="537"/>
      <c r="I122" s="537"/>
      <c r="J122" s="537"/>
      <c r="K122" s="537"/>
      <c r="L122" s="537"/>
      <c r="M122" s="537"/>
      <c r="N122" s="537"/>
      <c r="O122" s="537"/>
      <c r="P122" s="537"/>
      <c r="Q122" s="537"/>
      <c r="R122" s="537"/>
      <c r="S122" s="537"/>
      <c r="T122" s="537"/>
      <c r="U122" s="537"/>
      <c r="V122" s="2508">
        <f>SUM(V124:X128)</f>
        <v>0</v>
      </c>
      <c r="W122" s="2508"/>
      <c r="X122" s="2508"/>
      <c r="Y122" s="537"/>
      <c r="Z122" s="537"/>
      <c r="AA122" s="537"/>
      <c r="AB122" s="537"/>
      <c r="AC122" s="537"/>
      <c r="AD122" s="537"/>
      <c r="AE122" s="537"/>
      <c r="AF122" s="537"/>
      <c r="AG122" s="537"/>
      <c r="AH122" s="2508">
        <f>SUM(AH124:AJ128)</f>
        <v>0</v>
      </c>
      <c r="AI122" s="2508"/>
      <c r="AJ122" s="2508"/>
      <c r="AK122" s="537"/>
      <c r="AL122" s="537"/>
      <c r="AM122" s="537"/>
      <c r="AN122" s="537"/>
      <c r="AO122" s="537"/>
      <c r="AP122" s="537"/>
      <c r="AQ122" s="537"/>
      <c r="AR122" s="537"/>
      <c r="AS122" s="538"/>
      <c r="AT122" s="2508">
        <f>SUM(AT124:AV128)</f>
        <v>0</v>
      </c>
      <c r="AU122" s="2508"/>
      <c r="AV122" s="2508"/>
      <c r="AW122" s="373"/>
      <c r="AX122" s="2526">
        <f>SUM(AX124:BB128)</f>
        <v>0</v>
      </c>
      <c r="AY122" s="2526"/>
      <c r="AZ122" s="2526"/>
      <c r="BA122" s="2526"/>
      <c r="BB122" s="2526"/>
      <c r="BC122" s="539" t="s">
        <v>619</v>
      </c>
      <c r="BD122" s="540"/>
      <c r="BE122" s="541"/>
      <c r="BF122" s="541"/>
      <c r="BG122" s="541"/>
      <c r="BH122" s="541"/>
      <c r="BI122" s="541"/>
      <c r="BJ122" s="541"/>
      <c r="BK122" s="373"/>
      <c r="BL122" s="132"/>
      <c r="BM122" s="373"/>
      <c r="BN122" s="536"/>
      <c r="BV122" s="536"/>
      <c r="BW122" s="536"/>
      <c r="BX122" s="536"/>
      <c r="BY122" s="536"/>
      <c r="BZ122" s="536"/>
      <c r="CA122" s="536"/>
    </row>
    <row r="123" spans="1:79" s="289" customFormat="1" outlineLevel="1" x14ac:dyDescent="0.3">
      <c r="A123" s="283"/>
      <c r="B123" s="373"/>
      <c r="C123" s="373"/>
      <c r="D123" s="373"/>
      <c r="E123" s="373"/>
      <c r="F123" s="373"/>
      <c r="G123" s="373"/>
      <c r="H123" s="373"/>
      <c r="I123" s="373"/>
      <c r="J123" s="373"/>
      <c r="K123" s="373"/>
      <c r="L123" s="373"/>
      <c r="M123" s="373"/>
      <c r="N123" s="373"/>
      <c r="O123" s="373"/>
      <c r="P123" s="373"/>
      <c r="Q123" s="373"/>
      <c r="R123" s="373"/>
      <c r="S123" s="373"/>
      <c r="T123" s="373"/>
      <c r="U123" s="373"/>
      <c r="V123" s="373"/>
      <c r="W123" s="373"/>
      <c r="X123" s="373"/>
      <c r="Y123" s="373"/>
      <c r="Z123" s="373"/>
      <c r="AA123" s="373"/>
      <c r="AB123" s="373"/>
      <c r="AC123" s="373"/>
      <c r="AD123" s="373"/>
      <c r="AE123" s="373"/>
      <c r="AF123" s="373"/>
      <c r="AG123" s="373"/>
      <c r="AH123" s="373"/>
      <c r="AI123" s="373"/>
      <c r="AJ123" s="15"/>
      <c r="AK123" s="373"/>
      <c r="AL123" s="373"/>
      <c r="AM123" s="373"/>
      <c r="AN123" s="373"/>
      <c r="AO123" s="373"/>
      <c r="AP123" s="373"/>
      <c r="AQ123" s="373"/>
      <c r="AR123" s="373"/>
      <c r="AS123" s="373"/>
      <c r="AT123" s="15"/>
      <c r="AU123" s="15"/>
      <c r="AV123" s="15"/>
      <c r="AW123" s="373"/>
      <c r="AX123" s="15"/>
      <c r="AY123" s="132"/>
      <c r="AZ123" s="132"/>
      <c r="BA123" s="132"/>
      <c r="BB123" s="132"/>
      <c r="BC123" s="539" t="s">
        <v>619</v>
      </c>
      <c r="BD123" s="132"/>
      <c r="BE123" s="132"/>
      <c r="BF123" s="132"/>
      <c r="BG123" s="132"/>
      <c r="BH123" s="132"/>
      <c r="BI123" s="132"/>
      <c r="BJ123" s="132"/>
      <c r="BK123" s="373"/>
      <c r="BL123" s="132"/>
      <c r="BM123" s="373"/>
      <c r="BN123" s="283"/>
      <c r="BV123" s="283"/>
      <c r="BW123" s="283"/>
      <c r="BX123" s="283"/>
      <c r="BY123" s="283"/>
      <c r="BZ123" s="283"/>
      <c r="CA123" s="283"/>
    </row>
    <row r="124" spans="1:79" s="289" customFormat="1" outlineLevel="1" x14ac:dyDescent="0.3">
      <c r="B124" s="373"/>
      <c r="C124" s="2527"/>
      <c r="D124" s="2527"/>
      <c r="E124" s="2527"/>
      <c r="F124" s="2527"/>
      <c r="G124" s="2527"/>
      <c r="H124" s="2527"/>
      <c r="I124" s="2527"/>
      <c r="J124" s="2527"/>
      <c r="K124" s="2527"/>
      <c r="L124" s="2528"/>
      <c r="M124" s="2500"/>
      <c r="N124" s="2501"/>
      <c r="O124" s="2502"/>
      <c r="P124" s="2503"/>
      <c r="Q124" s="2504"/>
      <c r="R124" s="2505"/>
      <c r="S124" s="2506"/>
      <c r="T124" s="2506"/>
      <c r="U124" s="2506"/>
      <c r="V124" s="2511">
        <f>IFERROR(IF($BL124="x",M124*S124,0),0)</f>
        <v>0</v>
      </c>
      <c r="W124" s="2507"/>
      <c r="X124" s="2512"/>
      <c r="Y124" s="2517"/>
      <c r="Z124" s="2518"/>
      <c r="AA124" s="2519"/>
      <c r="AB124" s="2520"/>
      <c r="AC124" s="2521"/>
      <c r="AD124" s="2522"/>
      <c r="AE124" s="2523"/>
      <c r="AF124" s="2523"/>
      <c r="AG124" s="2523"/>
      <c r="AH124" s="2511">
        <f>IFERROR(IF($BL124="x",Y124*AE124,0),0)</f>
        <v>0</v>
      </c>
      <c r="AI124" s="2507"/>
      <c r="AJ124" s="2512"/>
      <c r="AK124" s="2500"/>
      <c r="AL124" s="2501"/>
      <c r="AM124" s="2502"/>
      <c r="AN124" s="2503"/>
      <c r="AO124" s="2504"/>
      <c r="AP124" s="2505"/>
      <c r="AQ124" s="2506"/>
      <c r="AR124" s="2506"/>
      <c r="AS124" s="2500"/>
      <c r="AT124" s="2511">
        <f>IFERROR(IF($BL124="x",AK124*AQ124,0),0)</f>
        <v>0</v>
      </c>
      <c r="AU124" s="2507"/>
      <c r="AV124" s="2512"/>
      <c r="AW124" s="373"/>
      <c r="AX124" s="2508">
        <f>V124+AH124+AT124</f>
        <v>0</v>
      </c>
      <c r="AY124" s="2508"/>
      <c r="AZ124" s="2508"/>
      <c r="BA124" s="2508"/>
      <c r="BB124" s="2508"/>
      <c r="BC124" s="539">
        <v>5</v>
      </c>
      <c r="BD124" s="2513"/>
      <c r="BE124" s="2513"/>
      <c r="BF124" s="2513"/>
      <c r="BG124" s="2513"/>
      <c r="BH124" s="2513"/>
      <c r="BI124" s="2513"/>
      <c r="BJ124" s="2514"/>
      <c r="BK124" s="373"/>
      <c r="BL124" s="1758" t="s">
        <v>665</v>
      </c>
      <c r="BM124" s="373"/>
    </row>
    <row r="125" spans="1:79" s="289" customFormat="1" outlineLevel="1" x14ac:dyDescent="0.3">
      <c r="B125" s="373"/>
      <c r="C125" s="2515"/>
      <c r="D125" s="2515"/>
      <c r="E125" s="2515"/>
      <c r="F125" s="2515"/>
      <c r="G125" s="2515"/>
      <c r="H125" s="2515"/>
      <c r="I125" s="2515"/>
      <c r="J125" s="2515"/>
      <c r="K125" s="2515"/>
      <c r="L125" s="2516"/>
      <c r="M125" s="2500"/>
      <c r="N125" s="2501"/>
      <c r="O125" s="2502"/>
      <c r="P125" s="2503"/>
      <c r="Q125" s="2504"/>
      <c r="R125" s="2505"/>
      <c r="S125" s="2506"/>
      <c r="T125" s="2506"/>
      <c r="U125" s="2506"/>
      <c r="V125" s="2507">
        <f>IFERROR(IF($BL125="x",M125*S125,0),0)</f>
        <v>0</v>
      </c>
      <c r="W125" s="2507"/>
      <c r="X125" s="2507"/>
      <c r="Y125" s="2517"/>
      <c r="Z125" s="2518"/>
      <c r="AA125" s="2519"/>
      <c r="AB125" s="2520"/>
      <c r="AC125" s="2521"/>
      <c r="AD125" s="2522"/>
      <c r="AE125" s="2523"/>
      <c r="AF125" s="2523"/>
      <c r="AG125" s="2523"/>
      <c r="AH125" s="2507">
        <f>IFERROR(IF($BL125="x",Y125*AE125,0),0)</f>
        <v>0</v>
      </c>
      <c r="AI125" s="2507"/>
      <c r="AJ125" s="2507"/>
      <c r="AK125" s="2500"/>
      <c r="AL125" s="2501"/>
      <c r="AM125" s="2502"/>
      <c r="AN125" s="2503"/>
      <c r="AO125" s="2504"/>
      <c r="AP125" s="2505"/>
      <c r="AQ125" s="2506"/>
      <c r="AR125" s="2506"/>
      <c r="AS125" s="2500"/>
      <c r="AT125" s="2507">
        <f>IFERROR(IF($BL125="x",AK125*AQ125,0),0)</f>
        <v>0</v>
      </c>
      <c r="AU125" s="2507"/>
      <c r="AV125" s="2507"/>
      <c r="AW125" s="373"/>
      <c r="AX125" s="2508">
        <f>V125+AH125+AT125</f>
        <v>0</v>
      </c>
      <c r="AY125" s="2508"/>
      <c r="AZ125" s="2508"/>
      <c r="BA125" s="2508"/>
      <c r="BB125" s="2508"/>
      <c r="BC125" s="539">
        <v>1</v>
      </c>
      <c r="BD125" s="2509"/>
      <c r="BE125" s="2509"/>
      <c r="BF125" s="2509"/>
      <c r="BG125" s="2509"/>
      <c r="BH125" s="2509"/>
      <c r="BI125" s="2509"/>
      <c r="BJ125" s="2510"/>
      <c r="BK125" s="373"/>
      <c r="BL125" s="1758" t="s">
        <v>665</v>
      </c>
      <c r="BM125" s="373"/>
    </row>
    <row r="126" spans="1:79" s="289" customFormat="1" outlineLevel="1" x14ac:dyDescent="0.3">
      <c r="B126" s="373"/>
      <c r="C126" s="2515"/>
      <c r="D126" s="2515"/>
      <c r="E126" s="2515"/>
      <c r="F126" s="2515"/>
      <c r="G126" s="2515"/>
      <c r="H126" s="2515"/>
      <c r="I126" s="2515"/>
      <c r="J126" s="2515"/>
      <c r="K126" s="2515"/>
      <c r="L126" s="2516"/>
      <c r="M126" s="2500"/>
      <c r="N126" s="2501"/>
      <c r="O126" s="2502"/>
      <c r="P126" s="2503"/>
      <c r="Q126" s="2504"/>
      <c r="R126" s="2505"/>
      <c r="S126" s="2506"/>
      <c r="T126" s="2506"/>
      <c r="U126" s="2506"/>
      <c r="V126" s="2507">
        <f>IFERROR(IF($BL126="x",M126*S126,0),0)</f>
        <v>0</v>
      </c>
      <c r="W126" s="2507"/>
      <c r="X126" s="2507"/>
      <c r="Y126" s="2517"/>
      <c r="Z126" s="2518"/>
      <c r="AA126" s="2519"/>
      <c r="AB126" s="2520"/>
      <c r="AC126" s="2521"/>
      <c r="AD126" s="2522"/>
      <c r="AE126" s="2523"/>
      <c r="AF126" s="2523"/>
      <c r="AG126" s="2523"/>
      <c r="AH126" s="2507">
        <f>IFERROR(IF($BL126="x",Y126*AE126,0),0)</f>
        <v>0</v>
      </c>
      <c r="AI126" s="2507"/>
      <c r="AJ126" s="2507"/>
      <c r="AK126" s="2500"/>
      <c r="AL126" s="2501"/>
      <c r="AM126" s="2502"/>
      <c r="AN126" s="2503"/>
      <c r="AO126" s="2504"/>
      <c r="AP126" s="2505"/>
      <c r="AQ126" s="2506"/>
      <c r="AR126" s="2506"/>
      <c r="AS126" s="2500"/>
      <c r="AT126" s="2507">
        <f>IFERROR(IF($BL126="x",AK126*AQ126,0),0)</f>
        <v>0</v>
      </c>
      <c r="AU126" s="2507"/>
      <c r="AV126" s="2507"/>
      <c r="AW126" s="373"/>
      <c r="AX126" s="2508">
        <f>V126+AH126+AT126</f>
        <v>0</v>
      </c>
      <c r="AY126" s="2508"/>
      <c r="AZ126" s="2508"/>
      <c r="BA126" s="2508"/>
      <c r="BB126" s="2508"/>
      <c r="BC126" s="539">
        <v>2</v>
      </c>
      <c r="BD126" s="2509"/>
      <c r="BE126" s="2509"/>
      <c r="BF126" s="2509"/>
      <c r="BG126" s="2509"/>
      <c r="BH126" s="2509"/>
      <c r="BI126" s="2509"/>
      <c r="BJ126" s="2510"/>
      <c r="BK126" s="373"/>
      <c r="BL126" s="1758" t="s">
        <v>665</v>
      </c>
      <c r="BM126" s="373"/>
    </row>
    <row r="127" spans="1:79" outlineLevel="1" x14ac:dyDescent="0.3">
      <c r="A127" s="289"/>
      <c r="B127" s="373"/>
      <c r="C127" s="2515"/>
      <c r="D127" s="2515"/>
      <c r="E127" s="2515"/>
      <c r="F127" s="2515"/>
      <c r="G127" s="2515"/>
      <c r="H127" s="2515"/>
      <c r="I127" s="2515"/>
      <c r="J127" s="2515"/>
      <c r="K127" s="2515"/>
      <c r="L127" s="2516"/>
      <c r="M127" s="2500"/>
      <c r="N127" s="2501"/>
      <c r="O127" s="2502"/>
      <c r="P127" s="2503"/>
      <c r="Q127" s="2504"/>
      <c r="R127" s="2505"/>
      <c r="S127" s="2506"/>
      <c r="T127" s="2506"/>
      <c r="U127" s="2506"/>
      <c r="V127" s="2507">
        <f>IFERROR(IF($BL127="x",M127*S127,0),0)</f>
        <v>0</v>
      </c>
      <c r="W127" s="2507"/>
      <c r="X127" s="2507"/>
      <c r="Y127" s="2517"/>
      <c r="Z127" s="2518"/>
      <c r="AA127" s="2519"/>
      <c r="AB127" s="2520"/>
      <c r="AC127" s="2521"/>
      <c r="AD127" s="2522"/>
      <c r="AE127" s="2523"/>
      <c r="AF127" s="2523"/>
      <c r="AG127" s="2523"/>
      <c r="AH127" s="2507">
        <f>IFERROR(IF($BL127="x",Y127*AE127,0),0)</f>
        <v>0</v>
      </c>
      <c r="AI127" s="2507"/>
      <c r="AJ127" s="2507"/>
      <c r="AK127" s="2500"/>
      <c r="AL127" s="2501"/>
      <c r="AM127" s="2502"/>
      <c r="AN127" s="2503"/>
      <c r="AO127" s="2504"/>
      <c r="AP127" s="2505"/>
      <c r="AQ127" s="2506"/>
      <c r="AR127" s="2506"/>
      <c r="AS127" s="2500"/>
      <c r="AT127" s="2507">
        <f>IFERROR(IF($BL127="x",AK127*AQ127,0),0)</f>
        <v>0</v>
      </c>
      <c r="AU127" s="2507"/>
      <c r="AV127" s="2507"/>
      <c r="AW127" s="373"/>
      <c r="AX127" s="2508">
        <f>V127+AH127+AT127</f>
        <v>0</v>
      </c>
      <c r="AY127" s="2508"/>
      <c r="AZ127" s="2508"/>
      <c r="BA127" s="2508"/>
      <c r="BB127" s="2508"/>
      <c r="BC127" s="539">
        <v>1</v>
      </c>
      <c r="BD127" s="2509"/>
      <c r="BE127" s="2509"/>
      <c r="BF127" s="2509"/>
      <c r="BG127" s="2509"/>
      <c r="BH127" s="2509"/>
      <c r="BI127" s="2509"/>
      <c r="BJ127" s="2510"/>
      <c r="BK127" s="373"/>
      <c r="BL127" s="1758" t="s">
        <v>665</v>
      </c>
      <c r="BM127" s="373"/>
      <c r="BN127" s="289"/>
      <c r="BO127" s="289"/>
      <c r="BP127" s="289"/>
      <c r="BQ127" s="289"/>
      <c r="BR127" s="289"/>
      <c r="BS127" s="289"/>
      <c r="BT127" s="289"/>
      <c r="BU127" s="289"/>
      <c r="BV127" s="289"/>
      <c r="BW127" s="289"/>
      <c r="BX127" s="289"/>
      <c r="BY127" s="289"/>
      <c r="BZ127" s="289"/>
      <c r="CA127" s="289"/>
    </row>
    <row r="128" spans="1:79" s="536" customFormat="1" x14ac:dyDescent="0.3">
      <c r="A128" s="289"/>
      <c r="B128" s="373"/>
      <c r="C128" s="2515"/>
      <c r="D128" s="2515"/>
      <c r="E128" s="2515"/>
      <c r="F128" s="2515"/>
      <c r="G128" s="2515"/>
      <c r="H128" s="2515"/>
      <c r="I128" s="2515"/>
      <c r="J128" s="2515"/>
      <c r="K128" s="2515"/>
      <c r="L128" s="2516"/>
      <c r="M128" s="2500"/>
      <c r="N128" s="2501"/>
      <c r="O128" s="2502"/>
      <c r="P128" s="2503"/>
      <c r="Q128" s="2504"/>
      <c r="R128" s="2505"/>
      <c r="S128" s="2506"/>
      <c r="T128" s="2506"/>
      <c r="U128" s="2506"/>
      <c r="V128" s="2507">
        <f>IFERROR(IF($BL128="x",M128*S128,0),0)</f>
        <v>0</v>
      </c>
      <c r="W128" s="2507"/>
      <c r="X128" s="2507"/>
      <c r="Y128" s="2517"/>
      <c r="Z128" s="2518"/>
      <c r="AA128" s="2519"/>
      <c r="AB128" s="2520"/>
      <c r="AC128" s="2521"/>
      <c r="AD128" s="2522"/>
      <c r="AE128" s="2523"/>
      <c r="AF128" s="2523"/>
      <c r="AG128" s="2523"/>
      <c r="AH128" s="2507">
        <f>IFERROR(IF($BL128="x",Y128*AE128,0),0)</f>
        <v>0</v>
      </c>
      <c r="AI128" s="2507"/>
      <c r="AJ128" s="2507"/>
      <c r="AK128" s="2500"/>
      <c r="AL128" s="2501"/>
      <c r="AM128" s="2502"/>
      <c r="AN128" s="2503"/>
      <c r="AO128" s="2504"/>
      <c r="AP128" s="2505"/>
      <c r="AQ128" s="2506"/>
      <c r="AR128" s="2506"/>
      <c r="AS128" s="2500"/>
      <c r="AT128" s="2507">
        <f>IFERROR(IF($BL128="x",AK128*AQ128,0),0)</f>
        <v>0</v>
      </c>
      <c r="AU128" s="2507"/>
      <c r="AV128" s="2507"/>
      <c r="AW128" s="373"/>
      <c r="AX128" s="2508">
        <f>V128+AH128+AT128</f>
        <v>0</v>
      </c>
      <c r="AY128" s="2508"/>
      <c r="AZ128" s="2508"/>
      <c r="BA128" s="2508"/>
      <c r="BB128" s="2508"/>
      <c r="BC128" s="539">
        <v>1</v>
      </c>
      <c r="BD128" s="2509"/>
      <c r="BE128" s="2509"/>
      <c r="BF128" s="2509"/>
      <c r="BG128" s="2509"/>
      <c r="BH128" s="2509"/>
      <c r="BI128" s="2509"/>
      <c r="BJ128" s="2510"/>
      <c r="BK128" s="373"/>
      <c r="BL128" s="1758" t="s">
        <v>665</v>
      </c>
      <c r="BM128" s="373"/>
      <c r="BN128" s="289"/>
      <c r="BO128" s="289"/>
      <c r="BP128" s="289"/>
      <c r="BQ128" s="289"/>
      <c r="BR128" s="289"/>
      <c r="BS128" s="289"/>
      <c r="BT128" s="289"/>
      <c r="BU128" s="289"/>
      <c r="BV128" s="289"/>
      <c r="BW128" s="289"/>
      <c r="BX128" s="289"/>
      <c r="BY128" s="289"/>
      <c r="BZ128" s="289"/>
      <c r="CA128" s="289"/>
    </row>
    <row r="129" spans="1:79" ht="3.75" customHeight="1" thickBot="1" x14ac:dyDescent="0.35">
      <c r="B129" s="373"/>
      <c r="C129" s="373"/>
      <c r="D129" s="373"/>
      <c r="E129" s="373"/>
      <c r="F129" s="373"/>
      <c r="G129" s="373"/>
      <c r="H129" s="373"/>
      <c r="I129" s="373"/>
      <c r="J129" s="373"/>
      <c r="K129" s="373"/>
      <c r="L129" s="373"/>
      <c r="M129" s="373"/>
      <c r="N129" s="373"/>
      <c r="O129" s="373"/>
      <c r="P129" s="373"/>
      <c r="Q129" s="373"/>
      <c r="R129" s="373"/>
      <c r="S129" s="373"/>
      <c r="T129" s="373"/>
      <c r="U129" s="373"/>
      <c r="V129" s="373"/>
      <c r="W129" s="373"/>
      <c r="X129" s="373"/>
      <c r="Y129" s="373"/>
      <c r="Z129" s="373"/>
      <c r="AA129" s="373"/>
      <c r="AB129" s="373"/>
      <c r="AC129" s="373"/>
      <c r="AD129" s="373"/>
      <c r="AE129" s="373"/>
      <c r="AF129" s="373"/>
      <c r="AG129" s="373"/>
      <c r="AH129" s="373"/>
      <c r="AI129" s="373"/>
      <c r="AJ129" s="15"/>
      <c r="AK129" s="373"/>
      <c r="AL129" s="373"/>
      <c r="AM129" s="373"/>
      <c r="AN129" s="373"/>
      <c r="AO129" s="373"/>
      <c r="AP129" s="373"/>
      <c r="AQ129" s="373"/>
      <c r="AR129" s="373"/>
      <c r="AS129" s="373"/>
      <c r="AT129" s="15"/>
      <c r="AU129" s="15"/>
      <c r="AV129" s="15"/>
      <c r="AW129" s="373"/>
      <c r="AX129" s="15"/>
      <c r="AY129" s="132"/>
      <c r="AZ129" s="132"/>
      <c r="BA129" s="132"/>
      <c r="BB129" s="132"/>
      <c r="BC129" s="539" t="s">
        <v>619</v>
      </c>
      <c r="BD129" s="132"/>
      <c r="BE129" s="132"/>
      <c r="BF129" s="132"/>
      <c r="BG129" s="132"/>
      <c r="BH129" s="132"/>
      <c r="BI129" s="132"/>
      <c r="BJ129" s="132"/>
      <c r="BK129" s="373"/>
      <c r="BL129" s="132"/>
      <c r="BM129" s="373"/>
      <c r="BO129" s="289"/>
      <c r="BP129" s="289"/>
      <c r="BQ129" s="289"/>
      <c r="BR129" s="289"/>
      <c r="BS129" s="289"/>
      <c r="BT129" s="289"/>
      <c r="BU129" s="289"/>
    </row>
    <row r="130" spans="1:79" s="289" customFormat="1" ht="15" customHeight="1" outlineLevel="1" thickBot="1" x14ac:dyDescent="0.25">
      <c r="A130" s="536"/>
      <c r="B130" s="373"/>
      <c r="C130" s="2524" t="s">
        <v>678</v>
      </c>
      <c r="D130" s="2525"/>
      <c r="E130" s="380" t="str">
        <f>UPPER($S$15)</f>
        <v>LANDSCAPING</v>
      </c>
      <c r="F130" s="537"/>
      <c r="G130" s="537"/>
      <c r="H130" s="537"/>
      <c r="I130" s="537"/>
      <c r="J130" s="537"/>
      <c r="K130" s="537"/>
      <c r="L130" s="537"/>
      <c r="M130" s="537"/>
      <c r="N130" s="537"/>
      <c r="O130" s="537"/>
      <c r="P130" s="537"/>
      <c r="Q130" s="537"/>
      <c r="R130" s="537"/>
      <c r="S130" s="537"/>
      <c r="T130" s="537"/>
      <c r="U130" s="537"/>
      <c r="V130" s="2508">
        <f>SUM(V132:X136)</f>
        <v>0</v>
      </c>
      <c r="W130" s="2508"/>
      <c r="X130" s="2508"/>
      <c r="Y130" s="537"/>
      <c r="Z130" s="537"/>
      <c r="AA130" s="537"/>
      <c r="AB130" s="537"/>
      <c r="AC130" s="537"/>
      <c r="AD130" s="537"/>
      <c r="AE130" s="537"/>
      <c r="AF130" s="537"/>
      <c r="AG130" s="537"/>
      <c r="AH130" s="2508">
        <f>SUM(AH132:AJ136)</f>
        <v>0</v>
      </c>
      <c r="AI130" s="2508"/>
      <c r="AJ130" s="2508"/>
      <c r="AK130" s="537"/>
      <c r="AL130" s="537"/>
      <c r="AM130" s="537"/>
      <c r="AN130" s="537"/>
      <c r="AO130" s="537"/>
      <c r="AP130" s="537"/>
      <c r="AQ130" s="537"/>
      <c r="AR130" s="537"/>
      <c r="AS130" s="538"/>
      <c r="AT130" s="2508">
        <f>SUM(AT132:AV136)</f>
        <v>0</v>
      </c>
      <c r="AU130" s="2508"/>
      <c r="AV130" s="2508"/>
      <c r="AW130" s="373"/>
      <c r="AX130" s="2526">
        <f>SUM(AX132:BB136)</f>
        <v>0</v>
      </c>
      <c r="AY130" s="2526"/>
      <c r="AZ130" s="2526"/>
      <c r="BA130" s="2526"/>
      <c r="BB130" s="2526"/>
      <c r="BC130" s="539" t="s">
        <v>619</v>
      </c>
      <c r="BD130" s="540"/>
      <c r="BE130" s="541"/>
      <c r="BF130" s="541"/>
      <c r="BG130" s="541"/>
      <c r="BH130" s="541"/>
      <c r="BI130" s="541"/>
      <c r="BJ130" s="541"/>
      <c r="BK130" s="373"/>
      <c r="BL130" s="132"/>
      <c r="BM130" s="373"/>
      <c r="BN130" s="536"/>
      <c r="BV130" s="536"/>
      <c r="BW130" s="536"/>
      <c r="BX130" s="536"/>
      <c r="BY130" s="536"/>
      <c r="BZ130" s="536"/>
      <c r="CA130" s="536"/>
    </row>
    <row r="131" spans="1:79" s="289" customFormat="1" outlineLevel="1" x14ac:dyDescent="0.3">
      <c r="A131" s="283"/>
      <c r="B131" s="373"/>
      <c r="C131" s="373"/>
      <c r="D131" s="373"/>
      <c r="E131" s="373"/>
      <c r="F131" s="373"/>
      <c r="G131" s="373"/>
      <c r="H131" s="373"/>
      <c r="I131" s="373"/>
      <c r="J131" s="373"/>
      <c r="K131" s="373"/>
      <c r="L131" s="373"/>
      <c r="M131" s="373"/>
      <c r="N131" s="373"/>
      <c r="O131" s="373"/>
      <c r="P131" s="373"/>
      <c r="Q131" s="373"/>
      <c r="R131" s="373"/>
      <c r="S131" s="373"/>
      <c r="T131" s="373"/>
      <c r="U131" s="373"/>
      <c r="V131" s="373"/>
      <c r="W131" s="373"/>
      <c r="X131" s="373"/>
      <c r="Y131" s="373"/>
      <c r="Z131" s="373"/>
      <c r="AA131" s="373"/>
      <c r="AB131" s="373"/>
      <c r="AC131" s="373"/>
      <c r="AD131" s="373"/>
      <c r="AE131" s="373"/>
      <c r="AF131" s="373"/>
      <c r="AG131" s="373"/>
      <c r="AH131" s="373"/>
      <c r="AI131" s="373"/>
      <c r="AJ131" s="15"/>
      <c r="AK131" s="373"/>
      <c r="AL131" s="373"/>
      <c r="AM131" s="373"/>
      <c r="AN131" s="373"/>
      <c r="AO131" s="373"/>
      <c r="AP131" s="373"/>
      <c r="AQ131" s="373"/>
      <c r="AR131" s="373"/>
      <c r="AS131" s="373"/>
      <c r="AT131" s="15"/>
      <c r="AU131" s="15"/>
      <c r="AV131" s="15"/>
      <c r="AW131" s="373"/>
      <c r="AX131" s="15"/>
      <c r="AY131" s="132"/>
      <c r="AZ131" s="132"/>
      <c r="BA131" s="132"/>
      <c r="BB131" s="132"/>
      <c r="BC131" s="539" t="s">
        <v>619</v>
      </c>
      <c r="BD131" s="132"/>
      <c r="BE131" s="132"/>
      <c r="BF131" s="132"/>
      <c r="BG131" s="132"/>
      <c r="BH131" s="132"/>
      <c r="BI131" s="132"/>
      <c r="BJ131" s="132"/>
      <c r="BK131" s="373"/>
      <c r="BL131" s="132"/>
      <c r="BM131" s="373"/>
      <c r="BN131" s="283"/>
      <c r="BV131" s="283"/>
      <c r="BW131" s="283"/>
      <c r="BX131" s="283"/>
      <c r="BY131" s="283"/>
      <c r="BZ131" s="283"/>
      <c r="CA131" s="283"/>
    </row>
    <row r="132" spans="1:79" s="289" customFormat="1" outlineLevel="1" x14ac:dyDescent="0.3">
      <c r="B132" s="373"/>
      <c r="C132" s="2527"/>
      <c r="D132" s="2527"/>
      <c r="E132" s="2527"/>
      <c r="F132" s="2527"/>
      <c r="G132" s="2527"/>
      <c r="H132" s="2527"/>
      <c r="I132" s="2527"/>
      <c r="J132" s="2527"/>
      <c r="K132" s="2527"/>
      <c r="L132" s="2528"/>
      <c r="M132" s="2500"/>
      <c r="N132" s="2501"/>
      <c r="O132" s="2502"/>
      <c r="P132" s="2503"/>
      <c r="Q132" s="2504"/>
      <c r="R132" s="2505"/>
      <c r="S132" s="2506"/>
      <c r="T132" s="2506"/>
      <c r="U132" s="2506"/>
      <c r="V132" s="2511">
        <f>IFERROR(IF($BL132="x",M132*S132,0),0)</f>
        <v>0</v>
      </c>
      <c r="W132" s="2507"/>
      <c r="X132" s="2512"/>
      <c r="Y132" s="2517"/>
      <c r="Z132" s="2518"/>
      <c r="AA132" s="2519"/>
      <c r="AB132" s="2520"/>
      <c r="AC132" s="2521"/>
      <c r="AD132" s="2522"/>
      <c r="AE132" s="2523"/>
      <c r="AF132" s="2523"/>
      <c r="AG132" s="2523"/>
      <c r="AH132" s="2511">
        <f>IFERROR(IF($BL132="x",Y132*AE132,0),0)</f>
        <v>0</v>
      </c>
      <c r="AI132" s="2507"/>
      <c r="AJ132" s="2512"/>
      <c r="AK132" s="2500"/>
      <c r="AL132" s="2501"/>
      <c r="AM132" s="2502"/>
      <c r="AN132" s="2503"/>
      <c r="AO132" s="2504"/>
      <c r="AP132" s="2505"/>
      <c r="AQ132" s="2506"/>
      <c r="AR132" s="2506"/>
      <c r="AS132" s="2500"/>
      <c r="AT132" s="2511">
        <f>IFERROR(IF($BL132="x",AK132*AQ132,0),0)</f>
        <v>0</v>
      </c>
      <c r="AU132" s="2507"/>
      <c r="AV132" s="2512"/>
      <c r="AW132" s="373"/>
      <c r="AX132" s="2508">
        <f>V132+AH132+AT132</f>
        <v>0</v>
      </c>
      <c r="AY132" s="2508"/>
      <c r="AZ132" s="2508"/>
      <c r="BA132" s="2508"/>
      <c r="BB132" s="2508"/>
      <c r="BC132" s="539">
        <v>5</v>
      </c>
      <c r="BD132" s="2513"/>
      <c r="BE132" s="2513"/>
      <c r="BF132" s="2513"/>
      <c r="BG132" s="2513"/>
      <c r="BH132" s="2513"/>
      <c r="BI132" s="2513"/>
      <c r="BJ132" s="2514"/>
      <c r="BK132" s="373"/>
      <c r="BL132" s="1758" t="s">
        <v>665</v>
      </c>
      <c r="BM132" s="373"/>
    </row>
    <row r="133" spans="1:79" s="289" customFormat="1" outlineLevel="1" x14ac:dyDescent="0.3">
      <c r="B133" s="373"/>
      <c r="C133" s="2515"/>
      <c r="D133" s="2515"/>
      <c r="E133" s="2515"/>
      <c r="F133" s="2515"/>
      <c r="G133" s="2515"/>
      <c r="H133" s="2515"/>
      <c r="I133" s="2515"/>
      <c r="J133" s="2515"/>
      <c r="K133" s="2515"/>
      <c r="L133" s="2516"/>
      <c r="M133" s="2500"/>
      <c r="N133" s="2501"/>
      <c r="O133" s="2502"/>
      <c r="P133" s="2503"/>
      <c r="Q133" s="2504"/>
      <c r="R133" s="2505"/>
      <c r="S133" s="2506"/>
      <c r="T133" s="2506"/>
      <c r="U133" s="2506"/>
      <c r="V133" s="2507">
        <f>IFERROR(IF($BL133="x",M133*S133,0),0)</f>
        <v>0</v>
      </c>
      <c r="W133" s="2507"/>
      <c r="X133" s="2507"/>
      <c r="Y133" s="2517"/>
      <c r="Z133" s="2518"/>
      <c r="AA133" s="2519"/>
      <c r="AB133" s="2520"/>
      <c r="AC133" s="2521"/>
      <c r="AD133" s="2522"/>
      <c r="AE133" s="2523"/>
      <c r="AF133" s="2523"/>
      <c r="AG133" s="2523"/>
      <c r="AH133" s="2507">
        <f>IFERROR(IF($BL133="x",Y133*AE133,0),0)</f>
        <v>0</v>
      </c>
      <c r="AI133" s="2507"/>
      <c r="AJ133" s="2507"/>
      <c r="AK133" s="2500"/>
      <c r="AL133" s="2501"/>
      <c r="AM133" s="2502"/>
      <c r="AN133" s="2503"/>
      <c r="AO133" s="2504"/>
      <c r="AP133" s="2505"/>
      <c r="AQ133" s="2506"/>
      <c r="AR133" s="2506"/>
      <c r="AS133" s="2500"/>
      <c r="AT133" s="2507">
        <f>IFERROR(IF($BL133="x",AK133*AQ133,0),0)</f>
        <v>0</v>
      </c>
      <c r="AU133" s="2507"/>
      <c r="AV133" s="2507"/>
      <c r="AW133" s="373"/>
      <c r="AX133" s="2508">
        <f>V133+AH133+AT133</f>
        <v>0</v>
      </c>
      <c r="AY133" s="2508"/>
      <c r="AZ133" s="2508"/>
      <c r="BA133" s="2508"/>
      <c r="BB133" s="2508"/>
      <c r="BC133" s="539">
        <v>6</v>
      </c>
      <c r="BD133" s="2509"/>
      <c r="BE133" s="2509"/>
      <c r="BF133" s="2509"/>
      <c r="BG133" s="2509"/>
      <c r="BH133" s="2509"/>
      <c r="BI133" s="2509"/>
      <c r="BJ133" s="2510"/>
      <c r="BK133" s="373"/>
      <c r="BL133" s="1758" t="s">
        <v>665</v>
      </c>
      <c r="BM133" s="373"/>
    </row>
    <row r="134" spans="1:79" s="289" customFormat="1" outlineLevel="1" x14ac:dyDescent="0.3">
      <c r="B134" s="373"/>
      <c r="C134" s="2515"/>
      <c r="D134" s="2515"/>
      <c r="E134" s="2515"/>
      <c r="F134" s="2515"/>
      <c r="G134" s="2515"/>
      <c r="H134" s="2515"/>
      <c r="I134" s="2515"/>
      <c r="J134" s="2515"/>
      <c r="K134" s="2515"/>
      <c r="L134" s="2516"/>
      <c r="M134" s="2500"/>
      <c r="N134" s="2501"/>
      <c r="O134" s="2502"/>
      <c r="P134" s="2503"/>
      <c r="Q134" s="2504"/>
      <c r="R134" s="2505"/>
      <c r="S134" s="2506"/>
      <c r="T134" s="2506"/>
      <c r="U134" s="2506"/>
      <c r="V134" s="2507">
        <f>IFERROR(IF($BL134="x",M134*S134,0),0)</f>
        <v>0</v>
      </c>
      <c r="W134" s="2507"/>
      <c r="X134" s="2507"/>
      <c r="Y134" s="2517"/>
      <c r="Z134" s="2518"/>
      <c r="AA134" s="2519"/>
      <c r="AB134" s="2520"/>
      <c r="AC134" s="2521"/>
      <c r="AD134" s="2522"/>
      <c r="AE134" s="2523"/>
      <c r="AF134" s="2523"/>
      <c r="AG134" s="2523"/>
      <c r="AH134" s="2507">
        <f>IFERROR(IF($BL134="x",Y134*AE134,0),0)</f>
        <v>0</v>
      </c>
      <c r="AI134" s="2507"/>
      <c r="AJ134" s="2507"/>
      <c r="AK134" s="2500"/>
      <c r="AL134" s="2501"/>
      <c r="AM134" s="2502"/>
      <c r="AN134" s="2503"/>
      <c r="AO134" s="2504"/>
      <c r="AP134" s="2505"/>
      <c r="AQ134" s="2506"/>
      <c r="AR134" s="2506"/>
      <c r="AS134" s="2500"/>
      <c r="AT134" s="2507">
        <f>IFERROR(IF($BL134="x",AK134*AQ134,0),0)</f>
        <v>0</v>
      </c>
      <c r="AU134" s="2507"/>
      <c r="AV134" s="2507"/>
      <c r="AW134" s="373"/>
      <c r="AX134" s="2508">
        <f>V134+AH134+AT134</f>
        <v>0</v>
      </c>
      <c r="AY134" s="2508"/>
      <c r="AZ134" s="2508"/>
      <c r="BA134" s="2508"/>
      <c r="BB134" s="2508"/>
      <c r="BC134" s="539">
        <v>2</v>
      </c>
      <c r="BD134" s="2509"/>
      <c r="BE134" s="2509"/>
      <c r="BF134" s="2509"/>
      <c r="BG134" s="2509"/>
      <c r="BH134" s="2509"/>
      <c r="BI134" s="2509"/>
      <c r="BJ134" s="2510"/>
      <c r="BK134" s="373"/>
      <c r="BL134" s="1758" t="s">
        <v>665</v>
      </c>
      <c r="BM134" s="373"/>
    </row>
    <row r="135" spans="1:79" outlineLevel="1" x14ac:dyDescent="0.3">
      <c r="A135" s="289"/>
      <c r="B135" s="373"/>
      <c r="C135" s="2515"/>
      <c r="D135" s="2515"/>
      <c r="E135" s="2515"/>
      <c r="F135" s="2515"/>
      <c r="G135" s="2515"/>
      <c r="H135" s="2515"/>
      <c r="I135" s="2515"/>
      <c r="J135" s="2515"/>
      <c r="K135" s="2515"/>
      <c r="L135" s="2516"/>
      <c r="M135" s="2500"/>
      <c r="N135" s="2501"/>
      <c r="O135" s="2502"/>
      <c r="P135" s="2503"/>
      <c r="Q135" s="2504"/>
      <c r="R135" s="2505"/>
      <c r="S135" s="2506"/>
      <c r="T135" s="2506"/>
      <c r="U135" s="2506"/>
      <c r="V135" s="2507">
        <f>IFERROR(IF($BL135="x",M135*S135,0),0)</f>
        <v>0</v>
      </c>
      <c r="W135" s="2507"/>
      <c r="X135" s="2507"/>
      <c r="Y135" s="2517"/>
      <c r="Z135" s="2518"/>
      <c r="AA135" s="2519"/>
      <c r="AB135" s="2520"/>
      <c r="AC135" s="2521"/>
      <c r="AD135" s="2522"/>
      <c r="AE135" s="2523"/>
      <c r="AF135" s="2523"/>
      <c r="AG135" s="2523"/>
      <c r="AH135" s="2507">
        <f>IFERROR(IF($BL135="x",Y135*AE135,0),0)</f>
        <v>0</v>
      </c>
      <c r="AI135" s="2507"/>
      <c r="AJ135" s="2507"/>
      <c r="AK135" s="2500"/>
      <c r="AL135" s="2501"/>
      <c r="AM135" s="2502"/>
      <c r="AN135" s="2503"/>
      <c r="AO135" s="2504"/>
      <c r="AP135" s="2505"/>
      <c r="AQ135" s="2506"/>
      <c r="AR135" s="2506"/>
      <c r="AS135" s="2500"/>
      <c r="AT135" s="2507">
        <f>IFERROR(IF($BL135="x",AK135*AQ135,0),0)</f>
        <v>0</v>
      </c>
      <c r="AU135" s="2507"/>
      <c r="AV135" s="2507"/>
      <c r="AW135" s="373"/>
      <c r="AX135" s="2508">
        <f>V135+AH135+AT135</f>
        <v>0</v>
      </c>
      <c r="AY135" s="2508"/>
      <c r="AZ135" s="2508"/>
      <c r="BA135" s="2508"/>
      <c r="BB135" s="2508"/>
      <c r="BC135" s="539">
        <v>2</v>
      </c>
      <c r="BD135" s="2509"/>
      <c r="BE135" s="2509"/>
      <c r="BF135" s="2509"/>
      <c r="BG135" s="2509"/>
      <c r="BH135" s="2509"/>
      <c r="BI135" s="2509"/>
      <c r="BJ135" s="2510"/>
      <c r="BK135" s="373"/>
      <c r="BL135" s="1758" t="s">
        <v>665</v>
      </c>
      <c r="BM135" s="373"/>
      <c r="BN135" s="289"/>
      <c r="BO135" s="289"/>
      <c r="BP135" s="289"/>
      <c r="BQ135" s="289"/>
      <c r="BR135" s="289"/>
      <c r="BS135" s="289"/>
      <c r="BT135" s="289"/>
      <c r="BU135" s="289"/>
      <c r="BV135" s="289"/>
      <c r="BW135" s="289"/>
      <c r="BX135" s="289"/>
      <c r="BY135" s="289"/>
      <c r="BZ135" s="289"/>
      <c r="CA135" s="289"/>
    </row>
    <row r="136" spans="1:79" s="536" customFormat="1" x14ac:dyDescent="0.3">
      <c r="A136" s="289"/>
      <c r="B136" s="373"/>
      <c r="C136" s="2515"/>
      <c r="D136" s="2515"/>
      <c r="E136" s="2515"/>
      <c r="F136" s="2515"/>
      <c r="G136" s="2515"/>
      <c r="H136" s="2515"/>
      <c r="I136" s="2515"/>
      <c r="J136" s="2515"/>
      <c r="K136" s="2515"/>
      <c r="L136" s="2516"/>
      <c r="M136" s="2500"/>
      <c r="N136" s="2501"/>
      <c r="O136" s="2502"/>
      <c r="P136" s="2503"/>
      <c r="Q136" s="2504"/>
      <c r="R136" s="2505"/>
      <c r="S136" s="2506"/>
      <c r="T136" s="2506"/>
      <c r="U136" s="2506"/>
      <c r="V136" s="2507">
        <f>IFERROR(IF($BL136="x",M136*S136,0),0)</f>
        <v>0</v>
      </c>
      <c r="W136" s="2507"/>
      <c r="X136" s="2507"/>
      <c r="Y136" s="2517"/>
      <c r="Z136" s="2518"/>
      <c r="AA136" s="2519"/>
      <c r="AB136" s="2520"/>
      <c r="AC136" s="2521"/>
      <c r="AD136" s="2522"/>
      <c r="AE136" s="2523"/>
      <c r="AF136" s="2523"/>
      <c r="AG136" s="2523"/>
      <c r="AH136" s="2507">
        <f>IFERROR(IF($BL136="x",Y136*AE136,0),0)</f>
        <v>0</v>
      </c>
      <c r="AI136" s="2507"/>
      <c r="AJ136" s="2507"/>
      <c r="AK136" s="2500"/>
      <c r="AL136" s="2501"/>
      <c r="AM136" s="2502"/>
      <c r="AN136" s="2503"/>
      <c r="AO136" s="2504"/>
      <c r="AP136" s="2505"/>
      <c r="AQ136" s="2506"/>
      <c r="AR136" s="2506"/>
      <c r="AS136" s="2500"/>
      <c r="AT136" s="2507">
        <f>IFERROR(IF($BL136="x",AK136*AQ136,0),0)</f>
        <v>0</v>
      </c>
      <c r="AU136" s="2507"/>
      <c r="AV136" s="2507"/>
      <c r="AW136" s="373"/>
      <c r="AX136" s="2508">
        <f>V136+AH136+AT136</f>
        <v>0</v>
      </c>
      <c r="AY136" s="2508"/>
      <c r="AZ136" s="2508"/>
      <c r="BA136" s="2508"/>
      <c r="BB136" s="2508"/>
      <c r="BC136" s="539">
        <v>2</v>
      </c>
      <c r="BD136" s="2509"/>
      <c r="BE136" s="2509"/>
      <c r="BF136" s="2509"/>
      <c r="BG136" s="2509"/>
      <c r="BH136" s="2509"/>
      <c r="BI136" s="2509"/>
      <c r="BJ136" s="2510"/>
      <c r="BK136" s="373"/>
      <c r="BL136" s="1758" t="s">
        <v>665</v>
      </c>
      <c r="BM136" s="373"/>
      <c r="BN136" s="289"/>
      <c r="BO136" s="289"/>
      <c r="BP136" s="289"/>
      <c r="BQ136" s="289"/>
      <c r="BR136" s="289"/>
      <c r="BS136" s="289"/>
      <c r="BT136" s="289"/>
      <c r="BU136" s="289"/>
      <c r="BV136" s="289"/>
      <c r="BW136" s="289"/>
      <c r="BX136" s="289"/>
      <c r="BY136" s="289"/>
      <c r="BZ136" s="289"/>
      <c r="CA136" s="289"/>
    </row>
    <row r="137" spans="1:79" ht="3.75" customHeight="1" thickBot="1" x14ac:dyDescent="0.35">
      <c r="B137" s="373"/>
      <c r="C137" s="373"/>
      <c r="D137" s="373"/>
      <c r="E137" s="373"/>
      <c r="F137" s="373"/>
      <c r="G137" s="373"/>
      <c r="H137" s="373"/>
      <c r="I137" s="373"/>
      <c r="J137" s="373"/>
      <c r="K137" s="373"/>
      <c r="L137" s="373"/>
      <c r="M137" s="373"/>
      <c r="N137" s="373"/>
      <c r="O137" s="373"/>
      <c r="P137" s="373"/>
      <c r="Q137" s="373"/>
      <c r="R137" s="373"/>
      <c r="S137" s="373"/>
      <c r="T137" s="373"/>
      <c r="U137" s="373"/>
      <c r="V137" s="373"/>
      <c r="W137" s="373"/>
      <c r="X137" s="373"/>
      <c r="Y137" s="373"/>
      <c r="Z137" s="373"/>
      <c r="AA137" s="373"/>
      <c r="AB137" s="373"/>
      <c r="AC137" s="373"/>
      <c r="AD137" s="373"/>
      <c r="AE137" s="373"/>
      <c r="AF137" s="373"/>
      <c r="AG137" s="373"/>
      <c r="AH137" s="373"/>
      <c r="AI137" s="373"/>
      <c r="AJ137" s="15"/>
      <c r="AK137" s="373"/>
      <c r="AL137" s="373"/>
      <c r="AM137" s="373"/>
      <c r="AN137" s="373"/>
      <c r="AO137" s="373"/>
      <c r="AP137" s="373"/>
      <c r="AQ137" s="373"/>
      <c r="AR137" s="373"/>
      <c r="AS137" s="373"/>
      <c r="AT137" s="15"/>
      <c r="AU137" s="15"/>
      <c r="AV137" s="15"/>
      <c r="AW137" s="373"/>
      <c r="AX137" s="15"/>
      <c r="AY137" s="132"/>
      <c r="AZ137" s="132"/>
      <c r="BA137" s="132"/>
      <c r="BB137" s="132"/>
      <c r="BC137" s="539" t="s">
        <v>619</v>
      </c>
      <c r="BD137" s="132"/>
      <c r="BE137" s="132"/>
      <c r="BF137" s="132"/>
      <c r="BG137" s="132"/>
      <c r="BH137" s="132"/>
      <c r="BI137" s="132"/>
      <c r="BJ137" s="132"/>
      <c r="BK137" s="373"/>
      <c r="BL137" s="132"/>
      <c r="BM137" s="373"/>
      <c r="BO137" s="289"/>
      <c r="BP137" s="289"/>
      <c r="BQ137" s="289"/>
      <c r="BR137" s="289"/>
      <c r="BS137" s="289"/>
      <c r="BT137" s="289"/>
      <c r="BU137" s="289"/>
    </row>
    <row r="138" spans="1:79" s="289" customFormat="1" ht="15" customHeight="1" outlineLevel="1" thickBot="1" x14ac:dyDescent="0.25">
      <c r="A138" s="536"/>
      <c r="B138" s="373"/>
      <c r="C138" s="2524" t="s">
        <v>679</v>
      </c>
      <c r="D138" s="2525"/>
      <c r="E138" s="380" t="str">
        <f>UPPER($S$16)</f>
        <v>OTHER</v>
      </c>
      <c r="F138" s="537"/>
      <c r="G138" s="537"/>
      <c r="H138" s="537"/>
      <c r="I138" s="537"/>
      <c r="J138" s="537"/>
      <c r="K138" s="537"/>
      <c r="L138" s="537"/>
      <c r="M138" s="537"/>
      <c r="N138" s="537"/>
      <c r="O138" s="537"/>
      <c r="P138" s="537"/>
      <c r="Q138" s="537"/>
      <c r="R138" s="537"/>
      <c r="S138" s="537"/>
      <c r="T138" s="537"/>
      <c r="U138" s="537"/>
      <c r="V138" s="2508">
        <f>SUM(V140:X144)</f>
        <v>0</v>
      </c>
      <c r="W138" s="2508"/>
      <c r="X138" s="2508"/>
      <c r="Y138" s="537"/>
      <c r="Z138" s="537"/>
      <c r="AA138" s="537"/>
      <c r="AB138" s="537"/>
      <c r="AC138" s="537"/>
      <c r="AD138" s="537"/>
      <c r="AE138" s="537"/>
      <c r="AF138" s="537"/>
      <c r="AG138" s="537"/>
      <c r="AH138" s="2508">
        <f>SUM(AH140:AJ144)</f>
        <v>0</v>
      </c>
      <c r="AI138" s="2508"/>
      <c r="AJ138" s="2508"/>
      <c r="AK138" s="537"/>
      <c r="AL138" s="537"/>
      <c r="AM138" s="537"/>
      <c r="AN138" s="537"/>
      <c r="AO138" s="537"/>
      <c r="AP138" s="537"/>
      <c r="AQ138" s="537"/>
      <c r="AR138" s="537"/>
      <c r="AS138" s="538"/>
      <c r="AT138" s="2508">
        <f>SUM(AT140:AV144)</f>
        <v>0</v>
      </c>
      <c r="AU138" s="2508"/>
      <c r="AV138" s="2508"/>
      <c r="AW138" s="373"/>
      <c r="AX138" s="2526">
        <f>SUM(AX140:BB144)</f>
        <v>0</v>
      </c>
      <c r="AY138" s="2526"/>
      <c r="AZ138" s="2526"/>
      <c r="BA138" s="2526"/>
      <c r="BB138" s="2526"/>
      <c r="BC138" s="539" t="s">
        <v>619</v>
      </c>
      <c r="BD138" s="540"/>
      <c r="BE138" s="541"/>
      <c r="BF138" s="541"/>
      <c r="BG138" s="541"/>
      <c r="BH138" s="541"/>
      <c r="BI138" s="541"/>
      <c r="BJ138" s="541"/>
      <c r="BK138" s="373"/>
      <c r="BL138" s="132"/>
      <c r="BM138" s="373"/>
      <c r="BN138" s="536"/>
      <c r="BV138" s="536"/>
      <c r="BW138" s="536"/>
      <c r="BX138" s="536"/>
      <c r="BY138" s="536"/>
      <c r="BZ138" s="536"/>
      <c r="CA138" s="536"/>
    </row>
    <row r="139" spans="1:79" s="289" customFormat="1" outlineLevel="1" x14ac:dyDescent="0.3">
      <c r="A139" s="283"/>
      <c r="B139" s="373"/>
      <c r="C139" s="373"/>
      <c r="D139" s="373"/>
      <c r="E139" s="373"/>
      <c r="F139" s="373"/>
      <c r="G139" s="373"/>
      <c r="H139" s="373"/>
      <c r="I139" s="373"/>
      <c r="J139" s="373"/>
      <c r="K139" s="373"/>
      <c r="L139" s="373"/>
      <c r="M139" s="373"/>
      <c r="N139" s="373"/>
      <c r="O139" s="373"/>
      <c r="P139" s="373"/>
      <c r="Q139" s="373"/>
      <c r="R139" s="373"/>
      <c r="S139" s="373"/>
      <c r="T139" s="373"/>
      <c r="U139" s="373"/>
      <c r="V139" s="373"/>
      <c r="W139" s="373"/>
      <c r="X139" s="373"/>
      <c r="Y139" s="373"/>
      <c r="Z139" s="373"/>
      <c r="AA139" s="373"/>
      <c r="AB139" s="373"/>
      <c r="AC139" s="373"/>
      <c r="AD139" s="373"/>
      <c r="AE139" s="373"/>
      <c r="AF139" s="373"/>
      <c r="AG139" s="373"/>
      <c r="AH139" s="373"/>
      <c r="AI139" s="373"/>
      <c r="AJ139" s="15"/>
      <c r="AK139" s="373"/>
      <c r="AL139" s="373"/>
      <c r="AM139" s="373"/>
      <c r="AN139" s="373"/>
      <c r="AO139" s="373"/>
      <c r="AP139" s="373"/>
      <c r="AQ139" s="373"/>
      <c r="AR139" s="373"/>
      <c r="AS139" s="373"/>
      <c r="AT139" s="15"/>
      <c r="AU139" s="15"/>
      <c r="AV139" s="15"/>
      <c r="AW139" s="373"/>
      <c r="AX139" s="15"/>
      <c r="AY139" s="132"/>
      <c r="AZ139" s="132"/>
      <c r="BA139" s="132"/>
      <c r="BB139" s="132"/>
      <c r="BC139" s="539" t="s">
        <v>619</v>
      </c>
      <c r="BD139" s="132"/>
      <c r="BE139" s="132"/>
      <c r="BF139" s="132"/>
      <c r="BG139" s="132"/>
      <c r="BH139" s="132"/>
      <c r="BI139" s="132"/>
      <c r="BJ139" s="132"/>
      <c r="BK139" s="373"/>
      <c r="BL139" s="132"/>
      <c r="BM139" s="373"/>
      <c r="BN139" s="283"/>
      <c r="BV139" s="283"/>
      <c r="BW139" s="283"/>
      <c r="BX139" s="283"/>
      <c r="BY139" s="283"/>
      <c r="BZ139" s="283"/>
      <c r="CA139" s="283"/>
    </row>
    <row r="140" spans="1:79" s="289" customFormat="1" outlineLevel="1" x14ac:dyDescent="0.3">
      <c r="B140" s="373"/>
      <c r="C140" s="2527"/>
      <c r="D140" s="2527"/>
      <c r="E140" s="2527"/>
      <c r="F140" s="2527"/>
      <c r="G140" s="2527"/>
      <c r="H140" s="2527"/>
      <c r="I140" s="2527"/>
      <c r="J140" s="2527"/>
      <c r="K140" s="2527"/>
      <c r="L140" s="2528"/>
      <c r="M140" s="2500"/>
      <c r="N140" s="2501"/>
      <c r="O140" s="2502"/>
      <c r="P140" s="2503"/>
      <c r="Q140" s="2504"/>
      <c r="R140" s="2505"/>
      <c r="S140" s="2506"/>
      <c r="T140" s="2506"/>
      <c r="U140" s="2506"/>
      <c r="V140" s="2511">
        <f>IFERROR(IF($BL140="x",M140*S140,0),0)</f>
        <v>0</v>
      </c>
      <c r="W140" s="2507"/>
      <c r="X140" s="2512"/>
      <c r="Y140" s="2517"/>
      <c r="Z140" s="2518"/>
      <c r="AA140" s="2519"/>
      <c r="AB140" s="2520"/>
      <c r="AC140" s="2521"/>
      <c r="AD140" s="2522"/>
      <c r="AE140" s="2523"/>
      <c r="AF140" s="2523"/>
      <c r="AG140" s="2523"/>
      <c r="AH140" s="2511">
        <f>IFERROR(IF($BL140="x",Y140*AE140,0),0)</f>
        <v>0</v>
      </c>
      <c r="AI140" s="2507"/>
      <c r="AJ140" s="2512"/>
      <c r="AK140" s="2500"/>
      <c r="AL140" s="2501"/>
      <c r="AM140" s="2502"/>
      <c r="AN140" s="2503"/>
      <c r="AO140" s="2504"/>
      <c r="AP140" s="2505"/>
      <c r="AQ140" s="2506"/>
      <c r="AR140" s="2506"/>
      <c r="AS140" s="2500"/>
      <c r="AT140" s="2511">
        <f>IFERROR(IF($BL140="x",AK140*AQ140,0),0)</f>
        <v>0</v>
      </c>
      <c r="AU140" s="2507"/>
      <c r="AV140" s="2512"/>
      <c r="AW140" s="373"/>
      <c r="AX140" s="2508">
        <f>V140+AH140+AT140</f>
        <v>0</v>
      </c>
      <c r="AY140" s="2508"/>
      <c r="AZ140" s="2508"/>
      <c r="BA140" s="2508"/>
      <c r="BB140" s="2508"/>
      <c r="BC140" s="539">
        <v>1</v>
      </c>
      <c r="BD140" s="2513"/>
      <c r="BE140" s="2513"/>
      <c r="BF140" s="2513"/>
      <c r="BG140" s="2513"/>
      <c r="BH140" s="2513"/>
      <c r="BI140" s="2513"/>
      <c r="BJ140" s="2514"/>
      <c r="BK140" s="373"/>
      <c r="BL140" s="1758" t="s">
        <v>665</v>
      </c>
      <c r="BM140" s="373"/>
    </row>
    <row r="141" spans="1:79" s="289" customFormat="1" outlineLevel="1" x14ac:dyDescent="0.3">
      <c r="B141" s="373"/>
      <c r="C141" s="2515"/>
      <c r="D141" s="2515"/>
      <c r="E141" s="2515"/>
      <c r="F141" s="2515"/>
      <c r="G141" s="2515"/>
      <c r="H141" s="2515"/>
      <c r="I141" s="2515"/>
      <c r="J141" s="2515"/>
      <c r="K141" s="2515"/>
      <c r="L141" s="2516"/>
      <c r="M141" s="2500"/>
      <c r="N141" s="2501"/>
      <c r="O141" s="2502"/>
      <c r="P141" s="2503"/>
      <c r="Q141" s="2504"/>
      <c r="R141" s="2505"/>
      <c r="S141" s="2506"/>
      <c r="T141" s="2506"/>
      <c r="U141" s="2506"/>
      <c r="V141" s="2507">
        <f>IFERROR(IF($BL141="x",M141*S141,0),0)</f>
        <v>0</v>
      </c>
      <c r="W141" s="2507"/>
      <c r="X141" s="2507"/>
      <c r="Y141" s="2517"/>
      <c r="Z141" s="2518"/>
      <c r="AA141" s="2519"/>
      <c r="AB141" s="2520"/>
      <c r="AC141" s="2521"/>
      <c r="AD141" s="2522"/>
      <c r="AE141" s="2523"/>
      <c r="AF141" s="2523"/>
      <c r="AG141" s="2523"/>
      <c r="AH141" s="2507">
        <f>IFERROR(IF($BL141="x",Y141*AE141,0),0)</f>
        <v>0</v>
      </c>
      <c r="AI141" s="2507"/>
      <c r="AJ141" s="2507"/>
      <c r="AK141" s="2500"/>
      <c r="AL141" s="2501"/>
      <c r="AM141" s="2502"/>
      <c r="AN141" s="2503"/>
      <c r="AO141" s="2504"/>
      <c r="AP141" s="2505"/>
      <c r="AQ141" s="2506"/>
      <c r="AR141" s="2506"/>
      <c r="AS141" s="2500"/>
      <c r="AT141" s="2507">
        <f>IFERROR(IF($BL141="x",AK141*AQ141,0),0)</f>
        <v>0</v>
      </c>
      <c r="AU141" s="2507"/>
      <c r="AV141" s="2507"/>
      <c r="AW141" s="373"/>
      <c r="AX141" s="2508">
        <f>V141+AH141+AT141</f>
        <v>0</v>
      </c>
      <c r="AY141" s="2508"/>
      <c r="AZ141" s="2508"/>
      <c r="BA141" s="2508"/>
      <c r="BB141" s="2508"/>
      <c r="BC141" s="539">
        <v>1</v>
      </c>
      <c r="BD141" s="2509"/>
      <c r="BE141" s="2509"/>
      <c r="BF141" s="2509"/>
      <c r="BG141" s="2509"/>
      <c r="BH141" s="2509"/>
      <c r="BI141" s="2509"/>
      <c r="BJ141" s="2510"/>
      <c r="BK141" s="373"/>
      <c r="BL141" s="1758" t="s">
        <v>665</v>
      </c>
      <c r="BM141" s="373"/>
    </row>
    <row r="142" spans="1:79" s="289" customFormat="1" outlineLevel="1" x14ac:dyDescent="0.3">
      <c r="B142" s="373"/>
      <c r="C142" s="2515"/>
      <c r="D142" s="2515"/>
      <c r="E142" s="2515"/>
      <c r="F142" s="2515"/>
      <c r="G142" s="2515"/>
      <c r="H142" s="2515"/>
      <c r="I142" s="2515"/>
      <c r="J142" s="2515"/>
      <c r="K142" s="2515"/>
      <c r="L142" s="2516"/>
      <c r="M142" s="2500"/>
      <c r="N142" s="2501"/>
      <c r="O142" s="2502"/>
      <c r="P142" s="2503"/>
      <c r="Q142" s="2504"/>
      <c r="R142" s="2505"/>
      <c r="S142" s="2506"/>
      <c r="T142" s="2506"/>
      <c r="U142" s="2506"/>
      <c r="V142" s="2507">
        <f>IFERROR(IF($BL142="x",M142*S142,0),0)</f>
        <v>0</v>
      </c>
      <c r="W142" s="2507"/>
      <c r="X142" s="2507"/>
      <c r="Y142" s="2517"/>
      <c r="Z142" s="2518"/>
      <c r="AA142" s="2519"/>
      <c r="AB142" s="2520"/>
      <c r="AC142" s="2521"/>
      <c r="AD142" s="2522"/>
      <c r="AE142" s="2523"/>
      <c r="AF142" s="2523"/>
      <c r="AG142" s="2523"/>
      <c r="AH142" s="2507">
        <f>IFERROR(IF($BL142="x",Y142*AE142,0),0)</f>
        <v>0</v>
      </c>
      <c r="AI142" s="2507"/>
      <c r="AJ142" s="2507"/>
      <c r="AK142" s="2500"/>
      <c r="AL142" s="2501"/>
      <c r="AM142" s="2502"/>
      <c r="AN142" s="2503"/>
      <c r="AO142" s="2504"/>
      <c r="AP142" s="2505"/>
      <c r="AQ142" s="2506"/>
      <c r="AR142" s="2506"/>
      <c r="AS142" s="2500"/>
      <c r="AT142" s="2507">
        <f>IFERROR(IF($BL142="x",AK142*AQ142,0),0)</f>
        <v>0</v>
      </c>
      <c r="AU142" s="2507"/>
      <c r="AV142" s="2507"/>
      <c r="AW142" s="373"/>
      <c r="AX142" s="2508">
        <f>V142+AH142+AT142</f>
        <v>0</v>
      </c>
      <c r="AY142" s="2508"/>
      <c r="AZ142" s="2508"/>
      <c r="BA142" s="2508"/>
      <c r="BB142" s="2508"/>
      <c r="BC142" s="539">
        <v>1</v>
      </c>
      <c r="BD142" s="2509"/>
      <c r="BE142" s="2509"/>
      <c r="BF142" s="2509"/>
      <c r="BG142" s="2509"/>
      <c r="BH142" s="2509"/>
      <c r="BI142" s="2509"/>
      <c r="BJ142" s="2510"/>
      <c r="BK142" s="373"/>
      <c r="BL142" s="1758" t="s">
        <v>665</v>
      </c>
      <c r="BM142" s="373"/>
    </row>
    <row r="143" spans="1:79" outlineLevel="1" x14ac:dyDescent="0.3">
      <c r="A143" s="289"/>
      <c r="B143" s="373"/>
      <c r="C143" s="2515"/>
      <c r="D143" s="2515"/>
      <c r="E143" s="2515"/>
      <c r="F143" s="2515"/>
      <c r="G143" s="2515"/>
      <c r="H143" s="2515"/>
      <c r="I143" s="2515"/>
      <c r="J143" s="2515"/>
      <c r="K143" s="2515"/>
      <c r="L143" s="2516"/>
      <c r="M143" s="2500"/>
      <c r="N143" s="2501"/>
      <c r="O143" s="2502"/>
      <c r="P143" s="2503"/>
      <c r="Q143" s="2504"/>
      <c r="R143" s="2505"/>
      <c r="S143" s="2506"/>
      <c r="T143" s="2506"/>
      <c r="U143" s="2506"/>
      <c r="V143" s="2507">
        <f>IFERROR(IF($BL143="x",M143*S143,0),0)</f>
        <v>0</v>
      </c>
      <c r="W143" s="2507"/>
      <c r="X143" s="2507"/>
      <c r="Y143" s="2517"/>
      <c r="Z143" s="2518"/>
      <c r="AA143" s="2519"/>
      <c r="AB143" s="2520"/>
      <c r="AC143" s="2521"/>
      <c r="AD143" s="2522"/>
      <c r="AE143" s="2523"/>
      <c r="AF143" s="2523"/>
      <c r="AG143" s="2523"/>
      <c r="AH143" s="2507">
        <f>IFERROR(IF($BL143="x",Y143*AE143,0),0)</f>
        <v>0</v>
      </c>
      <c r="AI143" s="2507"/>
      <c r="AJ143" s="2507"/>
      <c r="AK143" s="2500"/>
      <c r="AL143" s="2501"/>
      <c r="AM143" s="2502"/>
      <c r="AN143" s="2503"/>
      <c r="AO143" s="2504"/>
      <c r="AP143" s="2505"/>
      <c r="AQ143" s="2506"/>
      <c r="AR143" s="2506"/>
      <c r="AS143" s="2500"/>
      <c r="AT143" s="2507">
        <f>IFERROR(IF($BL143="x",AK143*AQ143,0),0)</f>
        <v>0</v>
      </c>
      <c r="AU143" s="2507"/>
      <c r="AV143" s="2507"/>
      <c r="AW143" s="373"/>
      <c r="AX143" s="2508">
        <f>V143+AH143+AT143</f>
        <v>0</v>
      </c>
      <c r="AY143" s="2508"/>
      <c r="AZ143" s="2508"/>
      <c r="BA143" s="2508"/>
      <c r="BB143" s="2508"/>
      <c r="BC143" s="539">
        <v>1</v>
      </c>
      <c r="BD143" s="2509"/>
      <c r="BE143" s="2509"/>
      <c r="BF143" s="2509"/>
      <c r="BG143" s="2509"/>
      <c r="BH143" s="2509"/>
      <c r="BI143" s="2509"/>
      <c r="BJ143" s="2510"/>
      <c r="BK143" s="373"/>
      <c r="BL143" s="1758" t="s">
        <v>665</v>
      </c>
      <c r="BM143" s="373"/>
      <c r="BN143" s="289"/>
      <c r="BO143" s="289"/>
      <c r="BP143" s="289"/>
      <c r="BQ143" s="289"/>
      <c r="BR143" s="289"/>
      <c r="BS143" s="289"/>
      <c r="BT143" s="289"/>
      <c r="BU143" s="289"/>
      <c r="BV143" s="289"/>
      <c r="BW143" s="289"/>
      <c r="BX143" s="289"/>
      <c r="BY143" s="289"/>
      <c r="BZ143" s="289"/>
      <c r="CA143" s="289"/>
    </row>
    <row r="144" spans="1:79" x14ac:dyDescent="0.3">
      <c r="A144" s="289"/>
      <c r="B144" s="373"/>
      <c r="C144" s="2515"/>
      <c r="D144" s="2515"/>
      <c r="E144" s="2515"/>
      <c r="F144" s="2515"/>
      <c r="G144" s="2515"/>
      <c r="H144" s="2515"/>
      <c r="I144" s="2515"/>
      <c r="J144" s="2515"/>
      <c r="K144" s="2515"/>
      <c r="L144" s="2516"/>
      <c r="M144" s="2500"/>
      <c r="N144" s="2501"/>
      <c r="O144" s="2502"/>
      <c r="P144" s="2503"/>
      <c r="Q144" s="2504"/>
      <c r="R144" s="2505"/>
      <c r="S144" s="2506"/>
      <c r="T144" s="2506"/>
      <c r="U144" s="2506"/>
      <c r="V144" s="2507">
        <f>IFERROR(IF($BL144="x",M144*S144,0),0)</f>
        <v>0</v>
      </c>
      <c r="W144" s="2507"/>
      <c r="X144" s="2507"/>
      <c r="Y144" s="2517"/>
      <c r="Z144" s="2518"/>
      <c r="AA144" s="2519"/>
      <c r="AB144" s="2520"/>
      <c r="AC144" s="2521"/>
      <c r="AD144" s="2522"/>
      <c r="AE144" s="2523"/>
      <c r="AF144" s="2523"/>
      <c r="AG144" s="2523"/>
      <c r="AH144" s="2507">
        <f>IFERROR(IF($BL144="x",Y144*AE144,0),0)</f>
        <v>0</v>
      </c>
      <c r="AI144" s="2507"/>
      <c r="AJ144" s="2507"/>
      <c r="AK144" s="2500"/>
      <c r="AL144" s="2501"/>
      <c r="AM144" s="2502"/>
      <c r="AN144" s="2503"/>
      <c r="AO144" s="2504"/>
      <c r="AP144" s="2505"/>
      <c r="AQ144" s="2506"/>
      <c r="AR144" s="2506"/>
      <c r="AS144" s="2500"/>
      <c r="AT144" s="2507">
        <f>IFERROR(IF($BL144="x",AK144*AQ144,0),0)</f>
        <v>0</v>
      </c>
      <c r="AU144" s="2507"/>
      <c r="AV144" s="2507"/>
      <c r="AW144" s="373"/>
      <c r="AX144" s="2508">
        <f>V144+AH144+AT144</f>
        <v>0</v>
      </c>
      <c r="AY144" s="2508"/>
      <c r="AZ144" s="2508"/>
      <c r="BA144" s="2508"/>
      <c r="BB144" s="2508"/>
      <c r="BC144" s="539">
        <v>1</v>
      </c>
      <c r="BD144" s="2509"/>
      <c r="BE144" s="2509"/>
      <c r="BF144" s="2509"/>
      <c r="BG144" s="2509"/>
      <c r="BH144" s="2509"/>
      <c r="BI144" s="2509"/>
      <c r="BJ144" s="2510"/>
      <c r="BK144" s="373"/>
      <c r="BL144" s="1758" t="s">
        <v>665</v>
      </c>
      <c r="BM144" s="373"/>
      <c r="BN144" s="289"/>
      <c r="BO144" s="289"/>
      <c r="BP144" s="289"/>
      <c r="BQ144" s="289"/>
      <c r="BR144" s="289"/>
      <c r="BS144" s="289"/>
      <c r="BT144" s="289"/>
      <c r="BU144" s="289"/>
      <c r="BV144" s="289"/>
      <c r="BW144" s="289"/>
      <c r="BX144" s="289"/>
      <c r="BY144" s="289"/>
      <c r="BZ144" s="289"/>
      <c r="CA144" s="289"/>
    </row>
    <row r="145" spans="1:79" s="544" customFormat="1" ht="15" customHeight="1" x14ac:dyDescent="0.3">
      <c r="A145" s="283"/>
      <c r="B145" s="373"/>
      <c r="C145" s="373"/>
      <c r="D145" s="373"/>
      <c r="E145" s="373"/>
      <c r="F145" s="373"/>
      <c r="G145" s="373"/>
      <c r="H145" s="373"/>
      <c r="I145" s="373"/>
      <c r="J145" s="373"/>
      <c r="K145" s="373"/>
      <c r="L145" s="373"/>
      <c r="M145" s="373"/>
      <c r="N145" s="373"/>
      <c r="O145" s="373"/>
      <c r="P145" s="373"/>
      <c r="Q145" s="373"/>
      <c r="R145" s="373"/>
      <c r="S145" s="373"/>
      <c r="T145" s="373"/>
      <c r="U145" s="373"/>
      <c r="V145" s="373"/>
      <c r="W145" s="373"/>
      <c r="X145" s="373"/>
      <c r="Y145" s="373"/>
      <c r="Z145" s="373"/>
      <c r="AA145" s="373"/>
      <c r="AB145" s="373"/>
      <c r="AC145" s="373"/>
      <c r="AD145" s="373"/>
      <c r="AE145" s="373"/>
      <c r="AF145" s="373"/>
      <c r="AG145" s="373"/>
      <c r="AH145" s="373"/>
      <c r="AI145" s="373"/>
      <c r="AJ145" s="15"/>
      <c r="AK145" s="373"/>
      <c r="AL145" s="373"/>
      <c r="AM145" s="373"/>
      <c r="AN145" s="373"/>
      <c r="AO145" s="373"/>
      <c r="AP145" s="373"/>
      <c r="AQ145" s="373"/>
      <c r="AR145" s="373"/>
      <c r="AS145" s="373"/>
      <c r="AT145" s="15"/>
      <c r="AU145" s="15"/>
      <c r="AV145" s="15"/>
      <c r="AW145" s="373"/>
      <c r="AX145" s="15"/>
      <c r="AY145" s="132"/>
      <c r="AZ145" s="132"/>
      <c r="BA145" s="132"/>
      <c r="BB145" s="132"/>
      <c r="BC145" s="539" t="s">
        <v>619</v>
      </c>
      <c r="BD145" s="132"/>
      <c r="BE145" s="132"/>
      <c r="BF145" s="132"/>
      <c r="BG145" s="132"/>
      <c r="BH145" s="132"/>
      <c r="BI145" s="132"/>
      <c r="BJ145" s="132"/>
      <c r="BK145" s="373"/>
      <c r="BL145" s="132"/>
      <c r="BM145" s="373"/>
      <c r="BN145" s="283"/>
      <c r="BO145" s="289"/>
      <c r="BP145" s="289"/>
      <c r="BQ145" s="289"/>
      <c r="BR145" s="289"/>
      <c r="BS145" s="289"/>
      <c r="BT145" s="289"/>
      <c r="BU145" s="289"/>
      <c r="BV145" s="283"/>
      <c r="BW145" s="283"/>
      <c r="BX145" s="283"/>
      <c r="BY145" s="283"/>
      <c r="BZ145" s="283"/>
      <c r="CA145" s="283"/>
    </row>
    <row r="147" spans="1:79" x14ac:dyDescent="0.3">
      <c r="A147" s="544"/>
      <c r="B147" s="542" t="str">
        <f>DISCLAIMER!$A$35</f>
        <v>© 2025 by WinsWithMike.com or Michael Forsberg Nampa, Idaho. All rights reserved</v>
      </c>
      <c r="C147" s="542"/>
      <c r="D147" s="542"/>
      <c r="E147" s="542"/>
      <c r="F147" s="542"/>
      <c r="G147" s="542"/>
      <c r="H147" s="542"/>
      <c r="I147" s="542"/>
      <c r="J147" s="542"/>
      <c r="K147" s="542"/>
      <c r="L147" s="542"/>
      <c r="M147" s="542"/>
      <c r="N147" s="542"/>
      <c r="O147" s="542"/>
      <c r="P147" s="542"/>
      <c r="Q147" s="542"/>
      <c r="R147" s="542"/>
      <c r="S147" s="542"/>
      <c r="T147" s="542"/>
      <c r="U147" s="542"/>
      <c r="V147" s="542"/>
      <c r="W147" s="542"/>
      <c r="X147" s="542"/>
      <c r="Y147" s="542"/>
      <c r="Z147" s="542"/>
      <c r="AA147" s="542"/>
      <c r="AB147" s="542"/>
      <c r="AC147" s="542"/>
      <c r="AD147" s="542"/>
      <c r="AE147" s="542"/>
      <c r="AF147" s="542"/>
      <c r="AG147" s="542"/>
      <c r="AH147" s="542"/>
      <c r="AI147" s="542"/>
      <c r="AJ147" s="542"/>
      <c r="AK147" s="542"/>
      <c r="AL147" s="542"/>
      <c r="AM147" s="542"/>
      <c r="AN147" s="542"/>
      <c r="AO147" s="542"/>
      <c r="AP147" s="542"/>
      <c r="AQ147" s="542"/>
      <c r="AR147" s="542"/>
      <c r="AS147" s="542"/>
      <c r="AT147" s="542"/>
      <c r="AU147" s="542"/>
      <c r="AV147" s="542"/>
      <c r="AW147" s="542"/>
      <c r="AX147" s="542"/>
      <c r="AY147" s="542"/>
      <c r="AZ147" s="542"/>
      <c r="BA147" s="543"/>
      <c r="BB147" s="543"/>
      <c r="BC147" s="543"/>
      <c r="BD147" s="543"/>
      <c r="BE147" s="543"/>
      <c r="BF147" s="543"/>
      <c r="BG147" s="543"/>
      <c r="BH147" s="543"/>
      <c r="BI147" s="543"/>
      <c r="BJ147" s="543"/>
      <c r="BK147" s="543"/>
      <c r="BL147" s="543"/>
      <c r="BM147" s="543"/>
      <c r="BN147" s="289"/>
      <c r="BO147" s="289"/>
      <c r="BP147" s="289"/>
      <c r="BQ147" s="289"/>
      <c r="BR147" s="289"/>
      <c r="BS147" s="289"/>
      <c r="BT147" s="289"/>
      <c r="BU147" s="289"/>
      <c r="BV147" s="289"/>
      <c r="BW147" s="289"/>
      <c r="BX147" s="544"/>
      <c r="BY147" s="544"/>
      <c r="BZ147" s="544"/>
      <c r="CA147" s="544"/>
    </row>
  </sheetData>
  <sheetProtection sheet="1" objects="1" scenarios="1" selectLockedCells="1"/>
  <mergeCells count="1328">
    <mergeCell ref="AQ10:AV10"/>
    <mergeCell ref="AW10:AZ10"/>
    <mergeCell ref="BH10:BK10"/>
    <mergeCell ref="Z14:AC14"/>
    <mergeCell ref="AF10:AK10"/>
    <mergeCell ref="AL10:AO10"/>
    <mergeCell ref="BH12:BK12"/>
    <mergeCell ref="L13:O13"/>
    <mergeCell ref="BH14:BK14"/>
    <mergeCell ref="AF15:AK15"/>
    <mergeCell ref="AL15:AO15"/>
    <mergeCell ref="C15:D15"/>
    <mergeCell ref="E15:K15"/>
    <mergeCell ref="L15:O15"/>
    <mergeCell ref="AQ14:AV14"/>
    <mergeCell ref="BL16:BL17"/>
    <mergeCell ref="Q15:R15"/>
    <mergeCell ref="S15:Y15"/>
    <mergeCell ref="AF17:AK17"/>
    <mergeCell ref="AL17:AO17"/>
    <mergeCell ref="AQ17:AV17"/>
    <mergeCell ref="C17:D17"/>
    <mergeCell ref="E17:K17"/>
    <mergeCell ref="L17:O17"/>
    <mergeCell ref="AW16:AZ16"/>
    <mergeCell ref="BC16:BG17"/>
    <mergeCell ref="BH16:BK17"/>
    <mergeCell ref="AW17:AZ17"/>
    <mergeCell ref="AF16:AK16"/>
    <mergeCell ref="AL16:AO16"/>
    <mergeCell ref="AQ16:AV16"/>
    <mergeCell ref="AQ11:AV11"/>
    <mergeCell ref="BH9:BK9"/>
    <mergeCell ref="AX1:AZ1"/>
    <mergeCell ref="BA1:BC1"/>
    <mergeCell ref="BD1:BF1"/>
    <mergeCell ref="BG1:BI1"/>
    <mergeCell ref="C10:D10"/>
    <mergeCell ref="E10:K10"/>
    <mergeCell ref="L10:O10"/>
    <mergeCell ref="Q14:R14"/>
    <mergeCell ref="S14:Y14"/>
    <mergeCell ref="AL9:AO9"/>
    <mergeCell ref="AQ9:AV9"/>
    <mergeCell ref="AW9:AZ9"/>
    <mergeCell ref="E9:K9"/>
    <mergeCell ref="L9:O9"/>
    <mergeCell ref="S9:Y9"/>
    <mergeCell ref="Z9:AC9"/>
    <mergeCell ref="AF9:AK9"/>
    <mergeCell ref="C11:D11"/>
    <mergeCell ref="E11:K11"/>
    <mergeCell ref="L11:O11"/>
    <mergeCell ref="Q10:R10"/>
    <mergeCell ref="S10:Y10"/>
    <mergeCell ref="Z10:AC10"/>
    <mergeCell ref="AA4:AC4"/>
    <mergeCell ref="AD4:AF4"/>
    <mergeCell ref="K4:M4"/>
    <mergeCell ref="N4:P4"/>
    <mergeCell ref="Q4:S4"/>
    <mergeCell ref="X4:Z4"/>
    <mergeCell ref="T4:W4"/>
    <mergeCell ref="BJ1:BL1"/>
    <mergeCell ref="AW11:AZ11"/>
    <mergeCell ref="BH11:BK11"/>
    <mergeCell ref="AF11:AK11"/>
    <mergeCell ref="AL11:AO11"/>
    <mergeCell ref="BH13:BK13"/>
    <mergeCell ref="C23:L24"/>
    <mergeCell ref="M23:X23"/>
    <mergeCell ref="Y23:AJ23"/>
    <mergeCell ref="AK23:AV23"/>
    <mergeCell ref="AX23:BB24"/>
    <mergeCell ref="BD23:BJ24"/>
    <mergeCell ref="Q13:R13"/>
    <mergeCell ref="S13:Y13"/>
    <mergeCell ref="Z13:AC13"/>
    <mergeCell ref="Q12:R12"/>
    <mergeCell ref="S12:Y12"/>
    <mergeCell ref="Z12:AC12"/>
    <mergeCell ref="Q11:R11"/>
    <mergeCell ref="S11:Y11"/>
    <mergeCell ref="Z11:AC11"/>
    <mergeCell ref="E16:K16"/>
    <mergeCell ref="Z15:AC15"/>
    <mergeCell ref="L16:O16"/>
    <mergeCell ref="AQ15:AV15"/>
    <mergeCell ref="AW15:AZ15"/>
    <mergeCell ref="AW12:AZ12"/>
    <mergeCell ref="AW14:AZ14"/>
    <mergeCell ref="AF14:AK14"/>
    <mergeCell ref="AL14:AO14"/>
    <mergeCell ref="C14:D14"/>
    <mergeCell ref="E14:K14"/>
    <mergeCell ref="L14:O14"/>
    <mergeCell ref="AQ13:AV13"/>
    <mergeCell ref="AW13:AZ13"/>
    <mergeCell ref="AF13:AK13"/>
    <mergeCell ref="AL13:AO13"/>
    <mergeCell ref="C13:D13"/>
    <mergeCell ref="E13:K13"/>
    <mergeCell ref="AK28:AM28"/>
    <mergeCell ref="AN28:AP28"/>
    <mergeCell ref="AQ28:AS28"/>
    <mergeCell ref="AT28:AV28"/>
    <mergeCell ref="AX28:BB28"/>
    <mergeCell ref="C16:D16"/>
    <mergeCell ref="AF12:AK12"/>
    <mergeCell ref="AL12:AO12"/>
    <mergeCell ref="AQ12:AV12"/>
    <mergeCell ref="C12:D12"/>
    <mergeCell ref="E12:K12"/>
    <mergeCell ref="L12:O12"/>
    <mergeCell ref="Q16:R16"/>
    <mergeCell ref="S16:Y16"/>
    <mergeCell ref="Z16:AC16"/>
    <mergeCell ref="BD28:BJ28"/>
    <mergeCell ref="AX26:BB26"/>
    <mergeCell ref="C28:L28"/>
    <mergeCell ref="M28:O28"/>
    <mergeCell ref="P28:R28"/>
    <mergeCell ref="S28:U28"/>
    <mergeCell ref="V28:X28"/>
    <mergeCell ref="Y28:AA28"/>
    <mergeCell ref="AB28:AD28"/>
    <mergeCell ref="AE28:AG28"/>
    <mergeCell ref="AH28:AJ28"/>
    <mergeCell ref="AK24:AM24"/>
    <mergeCell ref="AN24:AP24"/>
    <mergeCell ref="AQ24:AS24"/>
    <mergeCell ref="AT24:AV24"/>
    <mergeCell ref="C26:D26"/>
    <mergeCell ref="V26:X26"/>
    <mergeCell ref="AH26:AJ26"/>
    <mergeCell ref="AT26:AV26"/>
    <mergeCell ref="M24:O24"/>
    <mergeCell ref="P24:R24"/>
    <mergeCell ref="S24:U24"/>
    <mergeCell ref="V24:X24"/>
    <mergeCell ref="Y24:AA24"/>
    <mergeCell ref="AB24:AD24"/>
    <mergeCell ref="AE24:AG24"/>
    <mergeCell ref="AH24:AJ24"/>
    <mergeCell ref="AX29:BB29"/>
    <mergeCell ref="BD29:BJ29"/>
    <mergeCell ref="C30:L30"/>
    <mergeCell ref="M30:O30"/>
    <mergeCell ref="P30:R30"/>
    <mergeCell ref="S30:U30"/>
    <mergeCell ref="V30:X30"/>
    <mergeCell ref="AE29:AG29"/>
    <mergeCell ref="AH29:AJ29"/>
    <mergeCell ref="AK29:AM29"/>
    <mergeCell ref="AN29:AP29"/>
    <mergeCell ref="AQ29:AS29"/>
    <mergeCell ref="AT29:AV29"/>
    <mergeCell ref="C29:L29"/>
    <mergeCell ref="M29:O29"/>
    <mergeCell ref="P29:R29"/>
    <mergeCell ref="S29:U29"/>
    <mergeCell ref="V29:X29"/>
    <mergeCell ref="Y29:AA29"/>
    <mergeCell ref="AB29:AD29"/>
    <mergeCell ref="AK31:AM31"/>
    <mergeCell ref="AN31:AP31"/>
    <mergeCell ref="AQ31:AS31"/>
    <mergeCell ref="AT31:AV31"/>
    <mergeCell ref="AX31:BB31"/>
    <mergeCell ref="BD31:BJ31"/>
    <mergeCell ref="C31:L31"/>
    <mergeCell ref="M31:O31"/>
    <mergeCell ref="P31:R31"/>
    <mergeCell ref="S31:U31"/>
    <mergeCell ref="V31:X31"/>
    <mergeCell ref="Y31:AA31"/>
    <mergeCell ref="AB31:AD31"/>
    <mergeCell ref="AE31:AG31"/>
    <mergeCell ref="AH31:AJ31"/>
    <mergeCell ref="AQ30:AS30"/>
    <mergeCell ref="AT30:AV30"/>
    <mergeCell ref="AX30:BB30"/>
    <mergeCell ref="BD30:BJ30"/>
    <mergeCell ref="Y30:AA30"/>
    <mergeCell ref="AB30:AD30"/>
    <mergeCell ref="AE30:AG30"/>
    <mergeCell ref="AH30:AJ30"/>
    <mergeCell ref="AK30:AM30"/>
    <mergeCell ref="AN30:AP30"/>
    <mergeCell ref="C34:D34"/>
    <mergeCell ref="V34:X34"/>
    <mergeCell ref="AH34:AJ34"/>
    <mergeCell ref="AT34:AV34"/>
    <mergeCell ref="AX34:BB34"/>
    <mergeCell ref="AX32:BB32"/>
    <mergeCell ref="BD32:BJ32"/>
    <mergeCell ref="AE32:AG32"/>
    <mergeCell ref="AH32:AJ32"/>
    <mergeCell ref="AK32:AM32"/>
    <mergeCell ref="AN32:AP32"/>
    <mergeCell ref="AQ32:AS32"/>
    <mergeCell ref="AT32:AV32"/>
    <mergeCell ref="C32:L32"/>
    <mergeCell ref="M32:O32"/>
    <mergeCell ref="P32:R32"/>
    <mergeCell ref="S32:U32"/>
    <mergeCell ref="V32:X32"/>
    <mergeCell ref="Y32:AA32"/>
    <mergeCell ref="AB32:AD32"/>
    <mergeCell ref="AT37:AV37"/>
    <mergeCell ref="AX37:BB37"/>
    <mergeCell ref="BD37:BJ37"/>
    <mergeCell ref="AB37:AD37"/>
    <mergeCell ref="AE37:AG37"/>
    <mergeCell ref="AH37:AJ37"/>
    <mergeCell ref="AK37:AM37"/>
    <mergeCell ref="AN37:AP37"/>
    <mergeCell ref="AQ37:AS37"/>
    <mergeCell ref="C37:L37"/>
    <mergeCell ref="M37:O37"/>
    <mergeCell ref="P37:R37"/>
    <mergeCell ref="S37:U37"/>
    <mergeCell ref="V37:X37"/>
    <mergeCell ref="Y37:AA37"/>
    <mergeCell ref="AT36:AV36"/>
    <mergeCell ref="AX36:BB36"/>
    <mergeCell ref="BD36:BJ36"/>
    <mergeCell ref="AB36:AD36"/>
    <mergeCell ref="AE36:AG36"/>
    <mergeCell ref="AH36:AJ36"/>
    <mergeCell ref="AK36:AM36"/>
    <mergeCell ref="AN36:AP36"/>
    <mergeCell ref="AQ36:AS36"/>
    <mergeCell ref="C36:L36"/>
    <mergeCell ref="M36:O36"/>
    <mergeCell ref="P36:R36"/>
    <mergeCell ref="S36:U36"/>
    <mergeCell ref="V36:X36"/>
    <mergeCell ref="Y36:AA36"/>
    <mergeCell ref="AT39:AV39"/>
    <mergeCell ref="AX39:BB39"/>
    <mergeCell ref="BD39:BJ39"/>
    <mergeCell ref="AB39:AD39"/>
    <mergeCell ref="AE39:AG39"/>
    <mergeCell ref="AH39:AJ39"/>
    <mergeCell ref="AK39:AM39"/>
    <mergeCell ref="AN39:AP39"/>
    <mergeCell ref="AQ39:AS39"/>
    <mergeCell ref="C39:L39"/>
    <mergeCell ref="M39:O39"/>
    <mergeCell ref="P39:R39"/>
    <mergeCell ref="S39:U39"/>
    <mergeCell ref="V39:X39"/>
    <mergeCell ref="Y39:AA39"/>
    <mergeCell ref="AT38:AV38"/>
    <mergeCell ref="AX38:BB38"/>
    <mergeCell ref="BD38:BJ38"/>
    <mergeCell ref="AB38:AD38"/>
    <mergeCell ref="AE38:AG38"/>
    <mergeCell ref="AH38:AJ38"/>
    <mergeCell ref="AK38:AM38"/>
    <mergeCell ref="AN38:AP38"/>
    <mergeCell ref="AQ38:AS38"/>
    <mergeCell ref="C38:L38"/>
    <mergeCell ref="M38:O38"/>
    <mergeCell ref="P38:R38"/>
    <mergeCell ref="S38:U38"/>
    <mergeCell ref="V38:X38"/>
    <mergeCell ref="Y38:AA38"/>
    <mergeCell ref="C42:D42"/>
    <mergeCell ref="V42:X42"/>
    <mergeCell ref="AH42:AJ42"/>
    <mergeCell ref="AT42:AV42"/>
    <mergeCell ref="AX42:BB42"/>
    <mergeCell ref="C44:L44"/>
    <mergeCell ref="M44:O44"/>
    <mergeCell ref="P44:R44"/>
    <mergeCell ref="S44:U44"/>
    <mergeCell ref="V44:X44"/>
    <mergeCell ref="AT40:AV40"/>
    <mergeCell ref="AX40:BB40"/>
    <mergeCell ref="BD40:BJ40"/>
    <mergeCell ref="AB40:AD40"/>
    <mergeCell ref="AE40:AG40"/>
    <mergeCell ref="AH40:AJ40"/>
    <mergeCell ref="AK40:AM40"/>
    <mergeCell ref="AN40:AP40"/>
    <mergeCell ref="AQ40:AS40"/>
    <mergeCell ref="C40:L40"/>
    <mergeCell ref="M40:O40"/>
    <mergeCell ref="P40:R40"/>
    <mergeCell ref="S40:U40"/>
    <mergeCell ref="V40:X40"/>
    <mergeCell ref="Y40:AA40"/>
    <mergeCell ref="AK45:AM45"/>
    <mergeCell ref="AN45:AP45"/>
    <mergeCell ref="AQ45:AS45"/>
    <mergeCell ref="AT45:AV45"/>
    <mergeCell ref="AX45:BB45"/>
    <mergeCell ref="BD45:BJ45"/>
    <mergeCell ref="C45:L45"/>
    <mergeCell ref="M45:O45"/>
    <mergeCell ref="P45:R45"/>
    <mergeCell ref="S45:U45"/>
    <mergeCell ref="V45:X45"/>
    <mergeCell ref="Y45:AA45"/>
    <mergeCell ref="AB45:AD45"/>
    <mergeCell ref="AE45:AG45"/>
    <mergeCell ref="AH45:AJ45"/>
    <mergeCell ref="AQ44:AS44"/>
    <mergeCell ref="AT44:AV44"/>
    <mergeCell ref="AX44:BB44"/>
    <mergeCell ref="BD44:BJ44"/>
    <mergeCell ref="Y44:AA44"/>
    <mergeCell ref="AB44:AD44"/>
    <mergeCell ref="AE44:AG44"/>
    <mergeCell ref="AH44:AJ44"/>
    <mergeCell ref="AK44:AM44"/>
    <mergeCell ref="AN44:AP44"/>
    <mergeCell ref="AQ47:AS47"/>
    <mergeCell ref="AT47:AV47"/>
    <mergeCell ref="AX47:BB47"/>
    <mergeCell ref="BD47:BJ47"/>
    <mergeCell ref="Y47:AA47"/>
    <mergeCell ref="AB47:AD47"/>
    <mergeCell ref="AE47:AG47"/>
    <mergeCell ref="AH47:AJ47"/>
    <mergeCell ref="AK47:AM47"/>
    <mergeCell ref="AN47:AP47"/>
    <mergeCell ref="AX46:BB46"/>
    <mergeCell ref="BD46:BJ46"/>
    <mergeCell ref="C47:L47"/>
    <mergeCell ref="M47:O47"/>
    <mergeCell ref="P47:R47"/>
    <mergeCell ref="S47:U47"/>
    <mergeCell ref="V47:X47"/>
    <mergeCell ref="AE46:AG46"/>
    <mergeCell ref="AH46:AJ46"/>
    <mergeCell ref="AK46:AM46"/>
    <mergeCell ref="AN46:AP46"/>
    <mergeCell ref="AQ46:AS46"/>
    <mergeCell ref="AT46:AV46"/>
    <mergeCell ref="C46:L46"/>
    <mergeCell ref="M46:O46"/>
    <mergeCell ref="P46:R46"/>
    <mergeCell ref="S46:U46"/>
    <mergeCell ref="V46:X46"/>
    <mergeCell ref="Y46:AA46"/>
    <mergeCell ref="AB46:AD46"/>
    <mergeCell ref="C50:D50"/>
    <mergeCell ref="V50:X50"/>
    <mergeCell ref="AH50:AJ50"/>
    <mergeCell ref="AT50:AV50"/>
    <mergeCell ref="AX50:BB50"/>
    <mergeCell ref="AK48:AM48"/>
    <mergeCell ref="AN48:AP48"/>
    <mergeCell ref="AQ48:AS48"/>
    <mergeCell ref="AT48:AV48"/>
    <mergeCell ref="AX48:BB48"/>
    <mergeCell ref="BD48:BJ48"/>
    <mergeCell ref="C48:L48"/>
    <mergeCell ref="M48:O48"/>
    <mergeCell ref="P48:R48"/>
    <mergeCell ref="S48:U48"/>
    <mergeCell ref="V48:X48"/>
    <mergeCell ref="Y48:AA48"/>
    <mergeCell ref="AB48:AD48"/>
    <mergeCell ref="AE48:AG48"/>
    <mergeCell ref="AH48:AJ48"/>
    <mergeCell ref="AT53:AV53"/>
    <mergeCell ref="AX53:BB53"/>
    <mergeCell ref="BD53:BJ53"/>
    <mergeCell ref="AB53:AD53"/>
    <mergeCell ref="AE53:AG53"/>
    <mergeCell ref="AH53:AJ53"/>
    <mergeCell ref="AK53:AM53"/>
    <mergeCell ref="AN53:AP53"/>
    <mergeCell ref="AQ53:AS53"/>
    <mergeCell ref="C53:L53"/>
    <mergeCell ref="M53:O53"/>
    <mergeCell ref="P53:R53"/>
    <mergeCell ref="S53:U53"/>
    <mergeCell ref="V53:X53"/>
    <mergeCell ref="Y53:AA53"/>
    <mergeCell ref="AT52:AV52"/>
    <mergeCell ref="AX52:BB52"/>
    <mergeCell ref="BD52:BJ52"/>
    <mergeCell ref="AB52:AD52"/>
    <mergeCell ref="AE52:AG52"/>
    <mergeCell ref="AH52:AJ52"/>
    <mergeCell ref="AK52:AM52"/>
    <mergeCell ref="AN52:AP52"/>
    <mergeCell ref="AQ52:AS52"/>
    <mergeCell ref="C52:L52"/>
    <mergeCell ref="M52:O52"/>
    <mergeCell ref="P52:R52"/>
    <mergeCell ref="S52:U52"/>
    <mergeCell ref="V52:X52"/>
    <mergeCell ref="Y52:AA52"/>
    <mergeCell ref="AT55:AV55"/>
    <mergeCell ref="AX55:BB55"/>
    <mergeCell ref="BD55:BJ55"/>
    <mergeCell ref="AB55:AD55"/>
    <mergeCell ref="AE55:AG55"/>
    <mergeCell ref="AH55:AJ55"/>
    <mergeCell ref="AK55:AM55"/>
    <mergeCell ref="AN55:AP55"/>
    <mergeCell ref="AQ55:AS55"/>
    <mergeCell ref="C55:L55"/>
    <mergeCell ref="M55:O55"/>
    <mergeCell ref="P55:R55"/>
    <mergeCell ref="S55:U55"/>
    <mergeCell ref="V55:X55"/>
    <mergeCell ref="Y55:AA55"/>
    <mergeCell ref="AT54:AV54"/>
    <mergeCell ref="AX54:BB54"/>
    <mergeCell ref="BD54:BJ54"/>
    <mergeCell ref="AB54:AD54"/>
    <mergeCell ref="AE54:AG54"/>
    <mergeCell ref="AH54:AJ54"/>
    <mergeCell ref="AK54:AM54"/>
    <mergeCell ref="AN54:AP54"/>
    <mergeCell ref="AQ54:AS54"/>
    <mergeCell ref="C54:L54"/>
    <mergeCell ref="M54:O54"/>
    <mergeCell ref="P54:R54"/>
    <mergeCell ref="S54:U54"/>
    <mergeCell ref="V54:X54"/>
    <mergeCell ref="Y54:AA54"/>
    <mergeCell ref="C58:D58"/>
    <mergeCell ref="V58:X58"/>
    <mergeCell ref="AH58:AJ58"/>
    <mergeCell ref="AT58:AV58"/>
    <mergeCell ref="AX58:BB58"/>
    <mergeCell ref="C60:L60"/>
    <mergeCell ref="M60:O60"/>
    <mergeCell ref="P60:R60"/>
    <mergeCell ref="S60:U60"/>
    <mergeCell ref="V60:X60"/>
    <mergeCell ref="AT56:AV56"/>
    <mergeCell ref="AX56:BB56"/>
    <mergeCell ref="BD56:BJ56"/>
    <mergeCell ref="AB56:AD56"/>
    <mergeCell ref="AE56:AG56"/>
    <mergeCell ref="AH56:AJ56"/>
    <mergeCell ref="AK56:AM56"/>
    <mergeCell ref="AN56:AP56"/>
    <mergeCell ref="AQ56:AS56"/>
    <mergeCell ref="C56:L56"/>
    <mergeCell ref="M56:O56"/>
    <mergeCell ref="P56:R56"/>
    <mergeCell ref="S56:U56"/>
    <mergeCell ref="V56:X56"/>
    <mergeCell ref="Y56:AA56"/>
    <mergeCell ref="AK61:AM61"/>
    <mergeCell ref="AN61:AP61"/>
    <mergeCell ref="AQ61:AS61"/>
    <mergeCell ref="AT61:AV61"/>
    <mergeCell ref="AX61:BB61"/>
    <mergeCell ref="BD61:BJ61"/>
    <mergeCell ref="C61:L61"/>
    <mergeCell ref="M61:O61"/>
    <mergeCell ref="P61:R61"/>
    <mergeCell ref="S61:U61"/>
    <mergeCell ref="V61:X61"/>
    <mergeCell ref="Y61:AA61"/>
    <mergeCell ref="AB61:AD61"/>
    <mergeCell ref="AE61:AG61"/>
    <mergeCell ref="AH61:AJ61"/>
    <mergeCell ref="AQ60:AS60"/>
    <mergeCell ref="AT60:AV60"/>
    <mergeCell ref="AX60:BB60"/>
    <mergeCell ref="BD60:BJ60"/>
    <mergeCell ref="Y60:AA60"/>
    <mergeCell ref="AB60:AD60"/>
    <mergeCell ref="AE60:AG60"/>
    <mergeCell ref="AH60:AJ60"/>
    <mergeCell ref="AK60:AM60"/>
    <mergeCell ref="AN60:AP60"/>
    <mergeCell ref="AQ63:AS63"/>
    <mergeCell ref="AT63:AV63"/>
    <mergeCell ref="AX63:BB63"/>
    <mergeCell ref="BD63:BJ63"/>
    <mergeCell ref="Y63:AA63"/>
    <mergeCell ref="AB63:AD63"/>
    <mergeCell ref="AE63:AG63"/>
    <mergeCell ref="AH63:AJ63"/>
    <mergeCell ref="AK63:AM63"/>
    <mergeCell ref="AN63:AP63"/>
    <mergeCell ref="AX62:BB62"/>
    <mergeCell ref="BD62:BJ62"/>
    <mergeCell ref="C63:L63"/>
    <mergeCell ref="M63:O63"/>
    <mergeCell ref="P63:R63"/>
    <mergeCell ref="S63:U63"/>
    <mergeCell ref="V63:X63"/>
    <mergeCell ref="AE62:AG62"/>
    <mergeCell ref="AH62:AJ62"/>
    <mergeCell ref="AK62:AM62"/>
    <mergeCell ref="AN62:AP62"/>
    <mergeCell ref="AQ62:AS62"/>
    <mergeCell ref="AT62:AV62"/>
    <mergeCell ref="C62:L62"/>
    <mergeCell ref="M62:O62"/>
    <mergeCell ref="P62:R62"/>
    <mergeCell ref="S62:U62"/>
    <mergeCell ref="V62:X62"/>
    <mergeCell ref="Y62:AA62"/>
    <mergeCell ref="AB62:AD62"/>
    <mergeCell ref="C66:D66"/>
    <mergeCell ref="V66:X66"/>
    <mergeCell ref="AH66:AJ66"/>
    <mergeCell ref="AT66:AV66"/>
    <mergeCell ref="AX66:BB66"/>
    <mergeCell ref="AK64:AM64"/>
    <mergeCell ref="AN64:AP64"/>
    <mergeCell ref="AQ64:AS64"/>
    <mergeCell ref="AT64:AV64"/>
    <mergeCell ref="AX64:BB64"/>
    <mergeCell ref="BD64:BJ64"/>
    <mergeCell ref="C64:L64"/>
    <mergeCell ref="M64:O64"/>
    <mergeCell ref="P64:R64"/>
    <mergeCell ref="S64:U64"/>
    <mergeCell ref="V64:X64"/>
    <mergeCell ref="Y64:AA64"/>
    <mergeCell ref="AB64:AD64"/>
    <mergeCell ref="AE64:AG64"/>
    <mergeCell ref="AH64:AJ64"/>
    <mergeCell ref="AT69:AV69"/>
    <mergeCell ref="AX69:BB69"/>
    <mergeCell ref="BD69:BJ69"/>
    <mergeCell ref="AB69:AD69"/>
    <mergeCell ref="AE69:AG69"/>
    <mergeCell ref="AH69:AJ69"/>
    <mergeCell ref="AK69:AM69"/>
    <mergeCell ref="AN69:AP69"/>
    <mergeCell ref="AQ69:AS69"/>
    <mergeCell ref="C69:L69"/>
    <mergeCell ref="M69:O69"/>
    <mergeCell ref="P69:R69"/>
    <mergeCell ref="S69:U69"/>
    <mergeCell ref="V69:X69"/>
    <mergeCell ref="Y69:AA69"/>
    <mergeCell ref="AT68:AV68"/>
    <mergeCell ref="AX68:BB68"/>
    <mergeCell ref="BD68:BJ68"/>
    <mergeCell ref="AB68:AD68"/>
    <mergeCell ref="AE68:AG68"/>
    <mergeCell ref="AH68:AJ68"/>
    <mergeCell ref="AK68:AM68"/>
    <mergeCell ref="AN68:AP68"/>
    <mergeCell ref="AQ68:AS68"/>
    <mergeCell ref="C68:L68"/>
    <mergeCell ref="M68:O68"/>
    <mergeCell ref="P68:R68"/>
    <mergeCell ref="S68:U68"/>
    <mergeCell ref="V68:X68"/>
    <mergeCell ref="Y68:AA68"/>
    <mergeCell ref="AT71:AV71"/>
    <mergeCell ref="AX71:BB71"/>
    <mergeCell ref="BD71:BJ71"/>
    <mergeCell ref="AB71:AD71"/>
    <mergeCell ref="AE71:AG71"/>
    <mergeCell ref="AH71:AJ71"/>
    <mergeCell ref="AK71:AM71"/>
    <mergeCell ref="AN71:AP71"/>
    <mergeCell ref="AQ71:AS71"/>
    <mergeCell ref="C71:L71"/>
    <mergeCell ref="M71:O71"/>
    <mergeCell ref="P71:R71"/>
    <mergeCell ref="S71:U71"/>
    <mergeCell ref="V71:X71"/>
    <mergeCell ref="Y71:AA71"/>
    <mergeCell ref="AT70:AV70"/>
    <mergeCell ref="AX70:BB70"/>
    <mergeCell ref="BD70:BJ70"/>
    <mergeCell ref="AB70:AD70"/>
    <mergeCell ref="AE70:AG70"/>
    <mergeCell ref="AH70:AJ70"/>
    <mergeCell ref="AK70:AM70"/>
    <mergeCell ref="AN70:AP70"/>
    <mergeCell ref="AQ70:AS70"/>
    <mergeCell ref="C70:L70"/>
    <mergeCell ref="M70:O70"/>
    <mergeCell ref="P70:R70"/>
    <mergeCell ref="S70:U70"/>
    <mergeCell ref="V70:X70"/>
    <mergeCell ref="Y70:AA70"/>
    <mergeCell ref="C74:D74"/>
    <mergeCell ref="V74:X74"/>
    <mergeCell ref="AH74:AJ74"/>
    <mergeCell ref="AT74:AV74"/>
    <mergeCell ref="AX74:BB74"/>
    <mergeCell ref="C76:L76"/>
    <mergeCell ref="M76:O76"/>
    <mergeCell ref="P76:R76"/>
    <mergeCell ref="S76:U76"/>
    <mergeCell ref="V76:X76"/>
    <mergeCell ref="AT72:AV72"/>
    <mergeCell ref="AX72:BB72"/>
    <mergeCell ref="BD72:BJ72"/>
    <mergeCell ref="AB72:AD72"/>
    <mergeCell ref="AE72:AG72"/>
    <mergeCell ref="AH72:AJ72"/>
    <mergeCell ref="AK72:AM72"/>
    <mergeCell ref="AN72:AP72"/>
    <mergeCell ref="AQ72:AS72"/>
    <mergeCell ref="C72:L72"/>
    <mergeCell ref="M72:O72"/>
    <mergeCell ref="P72:R72"/>
    <mergeCell ref="S72:U72"/>
    <mergeCell ref="V72:X72"/>
    <mergeCell ref="Y72:AA72"/>
    <mergeCell ref="AK77:AM77"/>
    <mergeCell ref="AN77:AP77"/>
    <mergeCell ref="AQ77:AS77"/>
    <mergeCell ref="AT77:AV77"/>
    <mergeCell ref="AX77:BB77"/>
    <mergeCell ref="BD77:BJ77"/>
    <mergeCell ref="C77:L77"/>
    <mergeCell ref="M77:O77"/>
    <mergeCell ref="P77:R77"/>
    <mergeCell ref="S77:U77"/>
    <mergeCell ref="V77:X77"/>
    <mergeCell ref="Y77:AA77"/>
    <mergeCell ref="AB77:AD77"/>
    <mergeCell ref="AE77:AG77"/>
    <mergeCell ref="AH77:AJ77"/>
    <mergeCell ref="AQ76:AS76"/>
    <mergeCell ref="AT76:AV76"/>
    <mergeCell ref="AX76:BB76"/>
    <mergeCell ref="BD76:BJ76"/>
    <mergeCell ref="Y76:AA76"/>
    <mergeCell ref="AB76:AD76"/>
    <mergeCell ref="AE76:AG76"/>
    <mergeCell ref="AH76:AJ76"/>
    <mergeCell ref="AK76:AM76"/>
    <mergeCell ref="AN76:AP76"/>
    <mergeCell ref="AQ79:AS79"/>
    <mergeCell ref="AT79:AV79"/>
    <mergeCell ref="AX79:BB79"/>
    <mergeCell ref="BD79:BJ79"/>
    <mergeCell ref="Y79:AA79"/>
    <mergeCell ref="AB79:AD79"/>
    <mergeCell ref="AE79:AG79"/>
    <mergeCell ref="AH79:AJ79"/>
    <mergeCell ref="AK79:AM79"/>
    <mergeCell ref="AN79:AP79"/>
    <mergeCell ref="AX78:BB78"/>
    <mergeCell ref="BD78:BJ78"/>
    <mergeCell ref="C79:L79"/>
    <mergeCell ref="M79:O79"/>
    <mergeCell ref="P79:R79"/>
    <mergeCell ref="S79:U79"/>
    <mergeCell ref="V79:X79"/>
    <mergeCell ref="AE78:AG78"/>
    <mergeCell ref="AH78:AJ78"/>
    <mergeCell ref="AK78:AM78"/>
    <mergeCell ref="AN78:AP78"/>
    <mergeCell ref="AQ78:AS78"/>
    <mergeCell ref="AT78:AV78"/>
    <mergeCell ref="C78:L78"/>
    <mergeCell ref="M78:O78"/>
    <mergeCell ref="P78:R78"/>
    <mergeCell ref="S78:U78"/>
    <mergeCell ref="V78:X78"/>
    <mergeCell ref="Y78:AA78"/>
    <mergeCell ref="AB78:AD78"/>
    <mergeCell ref="C82:D82"/>
    <mergeCell ref="V82:X82"/>
    <mergeCell ref="AH82:AJ82"/>
    <mergeCell ref="AT82:AV82"/>
    <mergeCell ref="AX82:BB82"/>
    <mergeCell ref="AK80:AM80"/>
    <mergeCell ref="AN80:AP80"/>
    <mergeCell ref="AQ80:AS80"/>
    <mergeCell ref="AT80:AV80"/>
    <mergeCell ref="AX80:BB80"/>
    <mergeCell ref="BD80:BJ80"/>
    <mergeCell ref="C80:L80"/>
    <mergeCell ref="M80:O80"/>
    <mergeCell ref="P80:R80"/>
    <mergeCell ref="S80:U80"/>
    <mergeCell ref="V80:X80"/>
    <mergeCell ref="Y80:AA80"/>
    <mergeCell ref="AB80:AD80"/>
    <mergeCell ref="AE80:AG80"/>
    <mergeCell ref="AH80:AJ80"/>
    <mergeCell ref="AT85:AV85"/>
    <mergeCell ref="AX85:BB85"/>
    <mergeCell ref="BD85:BJ85"/>
    <mergeCell ref="AB85:AD85"/>
    <mergeCell ref="AE85:AG85"/>
    <mergeCell ref="AH85:AJ85"/>
    <mergeCell ref="AK85:AM85"/>
    <mergeCell ref="AN85:AP85"/>
    <mergeCell ref="AQ85:AS85"/>
    <mergeCell ref="C85:L85"/>
    <mergeCell ref="M85:O85"/>
    <mergeCell ref="P85:R85"/>
    <mergeCell ref="S85:U85"/>
    <mergeCell ref="V85:X85"/>
    <mergeCell ref="Y85:AA85"/>
    <mergeCell ref="AT84:AV84"/>
    <mergeCell ref="AX84:BB84"/>
    <mergeCell ref="BD84:BJ84"/>
    <mergeCell ref="AB84:AD84"/>
    <mergeCell ref="AE84:AG84"/>
    <mergeCell ref="AH84:AJ84"/>
    <mergeCell ref="AK84:AM84"/>
    <mergeCell ref="AN84:AP84"/>
    <mergeCell ref="AQ84:AS84"/>
    <mergeCell ref="C84:L84"/>
    <mergeCell ref="M84:O84"/>
    <mergeCell ref="P84:R84"/>
    <mergeCell ref="S84:U84"/>
    <mergeCell ref="V84:X84"/>
    <mergeCell ref="Y84:AA84"/>
    <mergeCell ref="AT87:AV87"/>
    <mergeCell ref="AX87:BB87"/>
    <mergeCell ref="BD87:BJ87"/>
    <mergeCell ref="AB87:AD87"/>
    <mergeCell ref="AE87:AG87"/>
    <mergeCell ref="AH87:AJ87"/>
    <mergeCell ref="AK87:AM87"/>
    <mergeCell ref="AN87:AP87"/>
    <mergeCell ref="AQ87:AS87"/>
    <mergeCell ref="C87:L87"/>
    <mergeCell ref="M87:O87"/>
    <mergeCell ref="P87:R87"/>
    <mergeCell ref="S87:U87"/>
    <mergeCell ref="V87:X87"/>
    <mergeCell ref="Y87:AA87"/>
    <mergeCell ref="AT86:AV86"/>
    <mergeCell ref="AX86:BB86"/>
    <mergeCell ref="BD86:BJ86"/>
    <mergeCell ref="AB86:AD86"/>
    <mergeCell ref="AE86:AG86"/>
    <mergeCell ref="AH86:AJ86"/>
    <mergeCell ref="AK86:AM86"/>
    <mergeCell ref="AN86:AP86"/>
    <mergeCell ref="AQ86:AS86"/>
    <mergeCell ref="C86:L86"/>
    <mergeCell ref="M86:O86"/>
    <mergeCell ref="P86:R86"/>
    <mergeCell ref="S86:U86"/>
    <mergeCell ref="V86:X86"/>
    <mergeCell ref="Y86:AA86"/>
    <mergeCell ref="C90:D90"/>
    <mergeCell ref="V90:X90"/>
    <mergeCell ref="AH90:AJ90"/>
    <mergeCell ref="AT90:AV90"/>
    <mergeCell ref="AX90:BB90"/>
    <mergeCell ref="C92:L92"/>
    <mergeCell ref="M92:O92"/>
    <mergeCell ref="P92:R92"/>
    <mergeCell ref="S92:U92"/>
    <mergeCell ref="V92:X92"/>
    <mergeCell ref="AT88:AV88"/>
    <mergeCell ref="AX88:BB88"/>
    <mergeCell ref="BD88:BJ88"/>
    <mergeCell ref="AB88:AD88"/>
    <mergeCell ref="AE88:AG88"/>
    <mergeCell ref="AH88:AJ88"/>
    <mergeCell ref="AK88:AM88"/>
    <mergeCell ref="AN88:AP88"/>
    <mergeCell ref="AQ88:AS88"/>
    <mergeCell ref="C88:L88"/>
    <mergeCell ref="M88:O88"/>
    <mergeCell ref="P88:R88"/>
    <mergeCell ref="S88:U88"/>
    <mergeCell ref="V88:X88"/>
    <mergeCell ref="Y88:AA88"/>
    <mergeCell ref="AK93:AM93"/>
    <mergeCell ref="AN93:AP93"/>
    <mergeCell ref="AQ93:AS93"/>
    <mergeCell ref="AT93:AV93"/>
    <mergeCell ref="AX93:BB93"/>
    <mergeCell ref="BD93:BJ93"/>
    <mergeCell ref="C93:L93"/>
    <mergeCell ref="M93:O93"/>
    <mergeCell ref="P93:R93"/>
    <mergeCell ref="S93:U93"/>
    <mergeCell ref="V93:X93"/>
    <mergeCell ref="Y93:AA93"/>
    <mergeCell ref="AB93:AD93"/>
    <mergeCell ref="AE93:AG93"/>
    <mergeCell ref="AH93:AJ93"/>
    <mergeCell ref="AQ92:AS92"/>
    <mergeCell ref="AT92:AV92"/>
    <mergeCell ref="AX92:BB92"/>
    <mergeCell ref="BD92:BJ92"/>
    <mergeCell ref="Y92:AA92"/>
    <mergeCell ref="AB92:AD92"/>
    <mergeCell ref="AE92:AG92"/>
    <mergeCell ref="AH92:AJ92"/>
    <mergeCell ref="AK92:AM92"/>
    <mergeCell ref="AN92:AP92"/>
    <mergeCell ref="AQ95:AS95"/>
    <mergeCell ref="AT95:AV95"/>
    <mergeCell ref="AX95:BB95"/>
    <mergeCell ref="BD95:BJ95"/>
    <mergeCell ref="Y95:AA95"/>
    <mergeCell ref="AB95:AD95"/>
    <mergeCell ref="AE95:AG95"/>
    <mergeCell ref="AH95:AJ95"/>
    <mergeCell ref="AK95:AM95"/>
    <mergeCell ref="AN95:AP95"/>
    <mergeCell ref="AX94:BB94"/>
    <mergeCell ref="BD94:BJ94"/>
    <mergeCell ref="C95:L95"/>
    <mergeCell ref="M95:O95"/>
    <mergeCell ref="P95:R95"/>
    <mergeCell ref="S95:U95"/>
    <mergeCell ref="V95:X95"/>
    <mergeCell ref="AE94:AG94"/>
    <mergeCell ref="AH94:AJ94"/>
    <mergeCell ref="AK94:AM94"/>
    <mergeCell ref="AN94:AP94"/>
    <mergeCell ref="AQ94:AS94"/>
    <mergeCell ref="AT94:AV94"/>
    <mergeCell ref="C94:L94"/>
    <mergeCell ref="M94:O94"/>
    <mergeCell ref="P94:R94"/>
    <mergeCell ref="S94:U94"/>
    <mergeCell ref="V94:X94"/>
    <mergeCell ref="Y94:AA94"/>
    <mergeCell ref="AB94:AD94"/>
    <mergeCell ref="C98:D98"/>
    <mergeCell ref="V98:X98"/>
    <mergeCell ref="AH98:AJ98"/>
    <mergeCell ref="AT98:AV98"/>
    <mergeCell ref="AX98:BB98"/>
    <mergeCell ref="AK96:AM96"/>
    <mergeCell ref="AN96:AP96"/>
    <mergeCell ref="AQ96:AS96"/>
    <mergeCell ref="AT96:AV96"/>
    <mergeCell ref="AX96:BB96"/>
    <mergeCell ref="BD96:BJ96"/>
    <mergeCell ref="C96:L96"/>
    <mergeCell ref="M96:O96"/>
    <mergeCell ref="P96:R96"/>
    <mergeCell ref="S96:U96"/>
    <mergeCell ref="V96:X96"/>
    <mergeCell ref="Y96:AA96"/>
    <mergeCell ref="AB96:AD96"/>
    <mergeCell ref="AE96:AG96"/>
    <mergeCell ref="AH96:AJ96"/>
    <mergeCell ref="AT101:AV101"/>
    <mergeCell ref="AX101:BB101"/>
    <mergeCell ref="BD101:BJ101"/>
    <mergeCell ref="AB101:AD101"/>
    <mergeCell ref="AE101:AG101"/>
    <mergeCell ref="AH101:AJ101"/>
    <mergeCell ref="AK101:AM101"/>
    <mergeCell ref="AN101:AP101"/>
    <mergeCell ref="AQ101:AS101"/>
    <mergeCell ref="C101:L101"/>
    <mergeCell ref="M101:O101"/>
    <mergeCell ref="P101:R101"/>
    <mergeCell ref="S101:U101"/>
    <mergeCell ref="V101:X101"/>
    <mergeCell ref="Y101:AA101"/>
    <mergeCell ref="AT100:AV100"/>
    <mergeCell ref="AX100:BB100"/>
    <mergeCell ref="BD100:BJ100"/>
    <mergeCell ref="AB100:AD100"/>
    <mergeCell ref="AE100:AG100"/>
    <mergeCell ref="AH100:AJ100"/>
    <mergeCell ref="AK100:AM100"/>
    <mergeCell ref="AN100:AP100"/>
    <mergeCell ref="AQ100:AS100"/>
    <mergeCell ref="C100:L100"/>
    <mergeCell ref="M100:O100"/>
    <mergeCell ref="P100:R100"/>
    <mergeCell ref="S100:U100"/>
    <mergeCell ref="V100:X100"/>
    <mergeCell ref="Y100:AA100"/>
    <mergeCell ref="AT103:AV103"/>
    <mergeCell ref="AX103:BB103"/>
    <mergeCell ref="BD103:BJ103"/>
    <mergeCell ref="AB103:AD103"/>
    <mergeCell ref="AE103:AG103"/>
    <mergeCell ref="AH103:AJ103"/>
    <mergeCell ref="AK103:AM103"/>
    <mergeCell ref="AN103:AP103"/>
    <mergeCell ref="AQ103:AS103"/>
    <mergeCell ref="C103:L103"/>
    <mergeCell ref="M103:O103"/>
    <mergeCell ref="P103:R103"/>
    <mergeCell ref="S103:U103"/>
    <mergeCell ref="V103:X103"/>
    <mergeCell ref="Y103:AA103"/>
    <mergeCell ref="AT102:AV102"/>
    <mergeCell ref="AX102:BB102"/>
    <mergeCell ref="BD102:BJ102"/>
    <mergeCell ref="AB102:AD102"/>
    <mergeCell ref="AE102:AG102"/>
    <mergeCell ref="AH102:AJ102"/>
    <mergeCell ref="AK102:AM102"/>
    <mergeCell ref="AN102:AP102"/>
    <mergeCell ref="AQ102:AS102"/>
    <mergeCell ref="C102:L102"/>
    <mergeCell ref="M102:O102"/>
    <mergeCell ref="P102:R102"/>
    <mergeCell ref="S102:U102"/>
    <mergeCell ref="V102:X102"/>
    <mergeCell ref="Y102:AA102"/>
    <mergeCell ref="C106:D106"/>
    <mergeCell ref="V106:X106"/>
    <mergeCell ref="AH106:AJ106"/>
    <mergeCell ref="AT106:AV106"/>
    <mergeCell ref="AX106:BB106"/>
    <mergeCell ref="C108:L108"/>
    <mergeCell ref="M108:O108"/>
    <mergeCell ref="P108:R108"/>
    <mergeCell ref="S108:U108"/>
    <mergeCell ref="V108:X108"/>
    <mergeCell ref="AT104:AV104"/>
    <mergeCell ref="AX104:BB104"/>
    <mergeCell ref="BD104:BJ104"/>
    <mergeCell ref="AB104:AD104"/>
    <mergeCell ref="AE104:AG104"/>
    <mergeCell ref="AH104:AJ104"/>
    <mergeCell ref="AK104:AM104"/>
    <mergeCell ref="AN104:AP104"/>
    <mergeCell ref="AQ104:AS104"/>
    <mergeCell ref="C104:L104"/>
    <mergeCell ref="M104:O104"/>
    <mergeCell ref="P104:R104"/>
    <mergeCell ref="S104:U104"/>
    <mergeCell ref="V104:X104"/>
    <mergeCell ref="Y104:AA104"/>
    <mergeCell ref="AK109:AM109"/>
    <mergeCell ref="AN109:AP109"/>
    <mergeCell ref="AQ109:AS109"/>
    <mergeCell ref="AT109:AV109"/>
    <mergeCell ref="AX109:BB109"/>
    <mergeCell ref="BD109:BJ109"/>
    <mergeCell ref="C109:L109"/>
    <mergeCell ref="M109:O109"/>
    <mergeCell ref="P109:R109"/>
    <mergeCell ref="S109:U109"/>
    <mergeCell ref="V109:X109"/>
    <mergeCell ref="Y109:AA109"/>
    <mergeCell ref="AB109:AD109"/>
    <mergeCell ref="AE109:AG109"/>
    <mergeCell ref="AH109:AJ109"/>
    <mergeCell ref="AQ108:AS108"/>
    <mergeCell ref="AT108:AV108"/>
    <mergeCell ref="AX108:BB108"/>
    <mergeCell ref="BD108:BJ108"/>
    <mergeCell ref="Y108:AA108"/>
    <mergeCell ref="AB108:AD108"/>
    <mergeCell ref="AE108:AG108"/>
    <mergeCell ref="AH108:AJ108"/>
    <mergeCell ref="AK108:AM108"/>
    <mergeCell ref="AN108:AP108"/>
    <mergeCell ref="AQ111:AS111"/>
    <mergeCell ref="AT111:AV111"/>
    <mergeCell ref="AX111:BB111"/>
    <mergeCell ref="BD111:BJ111"/>
    <mergeCell ref="Y111:AA111"/>
    <mergeCell ref="AB111:AD111"/>
    <mergeCell ref="AE111:AG111"/>
    <mergeCell ref="AH111:AJ111"/>
    <mergeCell ref="AK111:AM111"/>
    <mergeCell ref="AN111:AP111"/>
    <mergeCell ref="AX110:BB110"/>
    <mergeCell ref="BD110:BJ110"/>
    <mergeCell ref="C111:L111"/>
    <mergeCell ref="M111:O111"/>
    <mergeCell ref="P111:R111"/>
    <mergeCell ref="S111:U111"/>
    <mergeCell ref="V111:X111"/>
    <mergeCell ref="AE110:AG110"/>
    <mergeCell ref="AH110:AJ110"/>
    <mergeCell ref="AK110:AM110"/>
    <mergeCell ref="AN110:AP110"/>
    <mergeCell ref="AQ110:AS110"/>
    <mergeCell ref="AT110:AV110"/>
    <mergeCell ref="C110:L110"/>
    <mergeCell ref="M110:O110"/>
    <mergeCell ref="P110:R110"/>
    <mergeCell ref="S110:U110"/>
    <mergeCell ref="V110:X110"/>
    <mergeCell ref="Y110:AA110"/>
    <mergeCell ref="AB110:AD110"/>
    <mergeCell ref="C114:D114"/>
    <mergeCell ref="V114:X114"/>
    <mergeCell ref="AH114:AJ114"/>
    <mergeCell ref="AT114:AV114"/>
    <mergeCell ref="AX114:BB114"/>
    <mergeCell ref="AK112:AM112"/>
    <mergeCell ref="AN112:AP112"/>
    <mergeCell ref="AQ112:AS112"/>
    <mergeCell ref="AT112:AV112"/>
    <mergeCell ref="AX112:BB112"/>
    <mergeCell ref="BD112:BJ112"/>
    <mergeCell ref="C112:L112"/>
    <mergeCell ref="M112:O112"/>
    <mergeCell ref="P112:R112"/>
    <mergeCell ref="S112:U112"/>
    <mergeCell ref="V112:X112"/>
    <mergeCell ref="Y112:AA112"/>
    <mergeCell ref="AB112:AD112"/>
    <mergeCell ref="AE112:AG112"/>
    <mergeCell ref="AH112:AJ112"/>
    <mergeCell ref="AT117:AV117"/>
    <mergeCell ref="AX117:BB117"/>
    <mergeCell ref="BD117:BJ117"/>
    <mergeCell ref="AB117:AD117"/>
    <mergeCell ref="AE117:AG117"/>
    <mergeCell ref="AH117:AJ117"/>
    <mergeCell ref="AK117:AM117"/>
    <mergeCell ref="AN117:AP117"/>
    <mergeCell ref="AQ117:AS117"/>
    <mergeCell ref="C117:L117"/>
    <mergeCell ref="M117:O117"/>
    <mergeCell ref="P117:R117"/>
    <mergeCell ref="S117:U117"/>
    <mergeCell ref="V117:X117"/>
    <mergeCell ref="Y117:AA117"/>
    <mergeCell ref="AT116:AV116"/>
    <mergeCell ref="AX116:BB116"/>
    <mergeCell ref="BD116:BJ116"/>
    <mergeCell ref="AB116:AD116"/>
    <mergeCell ref="AE116:AG116"/>
    <mergeCell ref="AH116:AJ116"/>
    <mergeCell ref="AK116:AM116"/>
    <mergeCell ref="AN116:AP116"/>
    <mergeCell ref="AQ116:AS116"/>
    <mergeCell ref="C116:L116"/>
    <mergeCell ref="M116:O116"/>
    <mergeCell ref="P116:R116"/>
    <mergeCell ref="S116:U116"/>
    <mergeCell ref="V116:X116"/>
    <mergeCell ref="Y116:AA116"/>
    <mergeCell ref="AT119:AV119"/>
    <mergeCell ref="AX119:BB119"/>
    <mergeCell ref="BD119:BJ119"/>
    <mergeCell ref="AB119:AD119"/>
    <mergeCell ref="AE119:AG119"/>
    <mergeCell ref="AH119:AJ119"/>
    <mergeCell ref="AK119:AM119"/>
    <mergeCell ref="AN119:AP119"/>
    <mergeCell ref="AQ119:AS119"/>
    <mergeCell ref="C119:L119"/>
    <mergeCell ref="M119:O119"/>
    <mergeCell ref="P119:R119"/>
    <mergeCell ref="S119:U119"/>
    <mergeCell ref="V119:X119"/>
    <mergeCell ref="Y119:AA119"/>
    <mergeCell ref="AT118:AV118"/>
    <mergeCell ref="AX118:BB118"/>
    <mergeCell ref="BD118:BJ118"/>
    <mergeCell ref="AB118:AD118"/>
    <mergeCell ref="AE118:AG118"/>
    <mergeCell ref="AH118:AJ118"/>
    <mergeCell ref="AK118:AM118"/>
    <mergeCell ref="AN118:AP118"/>
    <mergeCell ref="AQ118:AS118"/>
    <mergeCell ref="C118:L118"/>
    <mergeCell ref="M118:O118"/>
    <mergeCell ref="P118:R118"/>
    <mergeCell ref="S118:U118"/>
    <mergeCell ref="V118:X118"/>
    <mergeCell ref="Y118:AA118"/>
    <mergeCell ref="C122:D122"/>
    <mergeCell ref="V122:X122"/>
    <mergeCell ref="AH122:AJ122"/>
    <mergeCell ref="AT122:AV122"/>
    <mergeCell ref="AX122:BB122"/>
    <mergeCell ref="C124:L124"/>
    <mergeCell ref="M124:O124"/>
    <mergeCell ref="P124:R124"/>
    <mergeCell ref="S124:U124"/>
    <mergeCell ref="V124:X124"/>
    <mergeCell ref="AT120:AV120"/>
    <mergeCell ref="AX120:BB120"/>
    <mergeCell ref="BD120:BJ120"/>
    <mergeCell ref="AB120:AD120"/>
    <mergeCell ref="AE120:AG120"/>
    <mergeCell ref="AH120:AJ120"/>
    <mergeCell ref="AK120:AM120"/>
    <mergeCell ref="AN120:AP120"/>
    <mergeCell ref="AQ120:AS120"/>
    <mergeCell ref="C120:L120"/>
    <mergeCell ref="M120:O120"/>
    <mergeCell ref="P120:R120"/>
    <mergeCell ref="S120:U120"/>
    <mergeCell ref="V120:X120"/>
    <mergeCell ref="Y120:AA120"/>
    <mergeCell ref="AK125:AM125"/>
    <mergeCell ref="AN125:AP125"/>
    <mergeCell ref="AQ125:AS125"/>
    <mergeCell ref="AT125:AV125"/>
    <mergeCell ref="AX125:BB125"/>
    <mergeCell ref="BD125:BJ125"/>
    <mergeCell ref="C125:L125"/>
    <mergeCell ref="M125:O125"/>
    <mergeCell ref="P125:R125"/>
    <mergeCell ref="S125:U125"/>
    <mergeCell ref="V125:X125"/>
    <mergeCell ref="Y125:AA125"/>
    <mergeCell ref="AB125:AD125"/>
    <mergeCell ref="AE125:AG125"/>
    <mergeCell ref="AH125:AJ125"/>
    <mergeCell ref="AQ124:AS124"/>
    <mergeCell ref="AT124:AV124"/>
    <mergeCell ref="AX124:BB124"/>
    <mergeCell ref="BD124:BJ124"/>
    <mergeCell ref="Y124:AA124"/>
    <mergeCell ref="AB124:AD124"/>
    <mergeCell ref="AE124:AG124"/>
    <mergeCell ref="AH124:AJ124"/>
    <mergeCell ref="AK124:AM124"/>
    <mergeCell ref="AN124:AP124"/>
    <mergeCell ref="AQ127:AS127"/>
    <mergeCell ref="AT127:AV127"/>
    <mergeCell ref="AX127:BB127"/>
    <mergeCell ref="BD127:BJ127"/>
    <mergeCell ref="Y127:AA127"/>
    <mergeCell ref="AB127:AD127"/>
    <mergeCell ref="AE127:AG127"/>
    <mergeCell ref="AH127:AJ127"/>
    <mergeCell ref="AK127:AM127"/>
    <mergeCell ref="AN127:AP127"/>
    <mergeCell ref="AX126:BB126"/>
    <mergeCell ref="BD126:BJ126"/>
    <mergeCell ref="C127:L127"/>
    <mergeCell ref="M127:O127"/>
    <mergeCell ref="P127:R127"/>
    <mergeCell ref="S127:U127"/>
    <mergeCell ref="V127:X127"/>
    <mergeCell ref="AE126:AG126"/>
    <mergeCell ref="AH126:AJ126"/>
    <mergeCell ref="AK126:AM126"/>
    <mergeCell ref="AN126:AP126"/>
    <mergeCell ref="AQ126:AS126"/>
    <mergeCell ref="AT126:AV126"/>
    <mergeCell ref="C126:L126"/>
    <mergeCell ref="M126:O126"/>
    <mergeCell ref="P126:R126"/>
    <mergeCell ref="S126:U126"/>
    <mergeCell ref="V126:X126"/>
    <mergeCell ref="Y126:AA126"/>
    <mergeCell ref="AB126:AD126"/>
    <mergeCell ref="C130:D130"/>
    <mergeCell ref="V130:X130"/>
    <mergeCell ref="AH130:AJ130"/>
    <mergeCell ref="AT130:AV130"/>
    <mergeCell ref="AX130:BB130"/>
    <mergeCell ref="AK128:AM128"/>
    <mergeCell ref="AN128:AP128"/>
    <mergeCell ref="AQ128:AS128"/>
    <mergeCell ref="AT128:AV128"/>
    <mergeCell ref="AX128:BB128"/>
    <mergeCell ref="BD128:BJ128"/>
    <mergeCell ref="C128:L128"/>
    <mergeCell ref="M128:O128"/>
    <mergeCell ref="P128:R128"/>
    <mergeCell ref="S128:U128"/>
    <mergeCell ref="V128:X128"/>
    <mergeCell ref="Y128:AA128"/>
    <mergeCell ref="AB128:AD128"/>
    <mergeCell ref="AE128:AG128"/>
    <mergeCell ref="AH128:AJ128"/>
    <mergeCell ref="BD133:BJ133"/>
    <mergeCell ref="AB133:AD133"/>
    <mergeCell ref="AE133:AG133"/>
    <mergeCell ref="AH133:AJ133"/>
    <mergeCell ref="AK133:AM133"/>
    <mergeCell ref="AN133:AP133"/>
    <mergeCell ref="AQ133:AS133"/>
    <mergeCell ref="C133:L133"/>
    <mergeCell ref="M133:O133"/>
    <mergeCell ref="P133:R133"/>
    <mergeCell ref="S133:U133"/>
    <mergeCell ref="V133:X133"/>
    <mergeCell ref="Y133:AA133"/>
    <mergeCell ref="AT132:AV132"/>
    <mergeCell ref="AX132:BB132"/>
    <mergeCell ref="BD132:BJ132"/>
    <mergeCell ref="AB132:AD132"/>
    <mergeCell ref="AE132:AG132"/>
    <mergeCell ref="AH132:AJ132"/>
    <mergeCell ref="AK132:AM132"/>
    <mergeCell ref="AN132:AP132"/>
    <mergeCell ref="AQ132:AS132"/>
    <mergeCell ref="C132:L132"/>
    <mergeCell ref="M132:O132"/>
    <mergeCell ref="P132:R132"/>
    <mergeCell ref="S132:U132"/>
    <mergeCell ref="V132:X132"/>
    <mergeCell ref="Y132:AA132"/>
    <mergeCell ref="AB135:AD135"/>
    <mergeCell ref="AE135:AG135"/>
    <mergeCell ref="AH135:AJ135"/>
    <mergeCell ref="AK135:AM135"/>
    <mergeCell ref="AN135:AP135"/>
    <mergeCell ref="AQ135:AS135"/>
    <mergeCell ref="C135:L135"/>
    <mergeCell ref="M135:O135"/>
    <mergeCell ref="P135:R135"/>
    <mergeCell ref="S135:U135"/>
    <mergeCell ref="V135:X135"/>
    <mergeCell ref="Y135:AA135"/>
    <mergeCell ref="AT134:AV134"/>
    <mergeCell ref="AX134:BB134"/>
    <mergeCell ref="BD134:BJ134"/>
    <mergeCell ref="AB134:AD134"/>
    <mergeCell ref="AE134:AG134"/>
    <mergeCell ref="AH134:AJ134"/>
    <mergeCell ref="AK134:AM134"/>
    <mergeCell ref="AN134:AP134"/>
    <mergeCell ref="AQ134:AS134"/>
    <mergeCell ref="C134:L134"/>
    <mergeCell ref="M134:O134"/>
    <mergeCell ref="P134:R134"/>
    <mergeCell ref="S134:U134"/>
    <mergeCell ref="V134:X134"/>
    <mergeCell ref="Y134:AA134"/>
    <mergeCell ref="C138:D138"/>
    <mergeCell ref="V138:X138"/>
    <mergeCell ref="AH138:AJ138"/>
    <mergeCell ref="AT138:AV138"/>
    <mergeCell ref="AX138:BB138"/>
    <mergeCell ref="C140:L140"/>
    <mergeCell ref="M140:O140"/>
    <mergeCell ref="P140:R140"/>
    <mergeCell ref="S140:U140"/>
    <mergeCell ref="V140:X140"/>
    <mergeCell ref="AT136:AV136"/>
    <mergeCell ref="AX136:BB136"/>
    <mergeCell ref="AB136:AD136"/>
    <mergeCell ref="AE136:AG136"/>
    <mergeCell ref="AH136:AJ136"/>
    <mergeCell ref="AK136:AM136"/>
    <mergeCell ref="AN136:AP136"/>
    <mergeCell ref="AQ136:AS136"/>
    <mergeCell ref="C136:L136"/>
    <mergeCell ref="M136:O136"/>
    <mergeCell ref="P136:R136"/>
    <mergeCell ref="S136:U136"/>
    <mergeCell ref="V136:X136"/>
    <mergeCell ref="Y136:AA136"/>
    <mergeCell ref="AK141:AM141"/>
    <mergeCell ref="AN141:AP141"/>
    <mergeCell ref="AQ141:AS141"/>
    <mergeCell ref="AT141:AV141"/>
    <mergeCell ref="C141:L141"/>
    <mergeCell ref="M141:O141"/>
    <mergeCell ref="P141:R141"/>
    <mergeCell ref="S141:U141"/>
    <mergeCell ref="V141:X141"/>
    <mergeCell ref="Y141:AA141"/>
    <mergeCell ref="AB141:AD141"/>
    <mergeCell ref="AE141:AG141"/>
    <mergeCell ref="AH141:AJ141"/>
    <mergeCell ref="Y140:AA140"/>
    <mergeCell ref="AB140:AD140"/>
    <mergeCell ref="AE140:AG140"/>
    <mergeCell ref="AH140:AJ140"/>
    <mergeCell ref="AK140:AM140"/>
    <mergeCell ref="AN140:AP140"/>
    <mergeCell ref="AH144:AJ144"/>
    <mergeCell ref="AQ143:AS143"/>
    <mergeCell ref="AT143:AV143"/>
    <mergeCell ref="AX143:BB143"/>
    <mergeCell ref="BD143:BJ143"/>
    <mergeCell ref="Y143:AA143"/>
    <mergeCell ref="AB143:AD143"/>
    <mergeCell ref="AE143:AG143"/>
    <mergeCell ref="AH143:AJ143"/>
    <mergeCell ref="AK143:AM143"/>
    <mergeCell ref="AN143:AP143"/>
    <mergeCell ref="C143:L143"/>
    <mergeCell ref="M143:O143"/>
    <mergeCell ref="P143:R143"/>
    <mergeCell ref="S143:U143"/>
    <mergeCell ref="V143:X143"/>
    <mergeCell ref="AE142:AG142"/>
    <mergeCell ref="AH142:AJ142"/>
    <mergeCell ref="AK142:AM142"/>
    <mergeCell ref="AN142:AP142"/>
    <mergeCell ref="AQ142:AS142"/>
    <mergeCell ref="AT142:AV142"/>
    <mergeCell ref="C142:L142"/>
    <mergeCell ref="M142:O142"/>
    <mergeCell ref="P142:R142"/>
    <mergeCell ref="S142:U142"/>
    <mergeCell ref="V142:X142"/>
    <mergeCell ref="Y142:AA142"/>
    <mergeCell ref="AB142:AD142"/>
    <mergeCell ref="BM1:BQ1"/>
    <mergeCell ref="B4:D4"/>
    <mergeCell ref="E4:G4"/>
    <mergeCell ref="H4:J4"/>
    <mergeCell ref="AK144:AM144"/>
    <mergeCell ref="AN144:AP144"/>
    <mergeCell ref="AQ144:AS144"/>
    <mergeCell ref="AT144:AV144"/>
    <mergeCell ref="AX144:BB144"/>
    <mergeCell ref="BD144:BJ144"/>
    <mergeCell ref="AX142:BB142"/>
    <mergeCell ref="BD142:BJ142"/>
    <mergeCell ref="AX141:BB141"/>
    <mergeCell ref="BD141:BJ141"/>
    <mergeCell ref="AQ140:AS140"/>
    <mergeCell ref="AT140:AV140"/>
    <mergeCell ref="AX140:BB140"/>
    <mergeCell ref="BD140:BJ140"/>
    <mergeCell ref="BD136:BJ136"/>
    <mergeCell ref="AT135:AV135"/>
    <mergeCell ref="AX135:BB135"/>
    <mergeCell ref="BD135:BJ135"/>
    <mergeCell ref="AT133:AV133"/>
    <mergeCell ref="AX133:BB133"/>
    <mergeCell ref="C144:L144"/>
    <mergeCell ref="M144:O144"/>
    <mergeCell ref="P144:R144"/>
    <mergeCell ref="S144:U144"/>
    <mergeCell ref="V144:X144"/>
    <mergeCell ref="Y144:AA144"/>
    <mergeCell ref="AB144:AD144"/>
    <mergeCell ref="AE144:AG144"/>
  </mergeCells>
  <phoneticPr fontId="2" type="noConversion"/>
  <conditionalFormatting sqref="M28:U32 Y28:AG32 AK28:AS32 M36:U40 Y36:AG40 AK36:AS40 M44:U48 Y44:AG48 AK44:AS48 M52:U56 Y52:AG56 AK52:AS56 M60:U64 Y60:AG64 AK60:AS64 M68:U72 Y68:AG72 AK68:AS72 M76:U80 Y76:AG80 AK76:AS80 M84:U88 Y84:AG88 AK84:AS88 M92:U96 Y92:AG96 AK92:AS96 M100:U104 Y100:AG104 AK100:AS104 M108:U112 Y108:AG112 AK108:AS112 M116:U120 Y116:AG120 AK116:AS120 M124:U128 Y124:AG128 AK124:AS128 M132:U136 Y132:AG136 AK132:AS136 M140:U144 Y140:AG144 AK140:AS144">
    <cfRule type="expression" dxfId="524" priority="1528">
      <formula>$BL28=""</formula>
    </cfRule>
  </conditionalFormatting>
  <conditionalFormatting sqref="Z10:AC16 L10:O17">
    <cfRule type="dataBar" priority="189">
      <dataBar>
        <cfvo type="min"/>
        <cfvo type="max"/>
        <color rgb="FFEEEEEE"/>
      </dataBar>
      <extLst>
        <ext xmlns:x14="http://schemas.microsoft.com/office/spreadsheetml/2009/9/main" uri="{B025F937-C7B1-47D3-B67F-A62EFF666E3E}">
          <x14:id>{F08B74F9-4B7C-4086-97E3-16BC132E2329}</x14:id>
        </ext>
      </extLst>
    </cfRule>
  </conditionalFormatting>
  <conditionalFormatting sqref="AW10:AZ17 AL10:AO17">
    <cfRule type="dataBar" priority="190">
      <dataBar>
        <cfvo type="min"/>
        <cfvo type="max"/>
        <color rgb="FFEEEEEE"/>
      </dataBar>
      <extLst>
        <ext xmlns:x14="http://schemas.microsoft.com/office/spreadsheetml/2009/9/main" uri="{B025F937-C7B1-47D3-B67F-A62EFF666E3E}">
          <x14:id>{E587BC09-C1FA-4358-8235-C75E6327F770}</x14:id>
        </ext>
      </extLst>
    </cfRule>
  </conditionalFormatting>
  <dataValidations count="8">
    <dataValidation type="list" allowBlank="1" showDropDown="1" showInputMessage="1" showErrorMessage="1" sqref="BL124:BL128 BL28:BL32 BL36:BL40 BL44:BL48 BL52:BL56 BL60:BL64 BL68:BL72 BL76:BL80 BL84:BL88 BL92:BL96 BL100:BL104 BL108:BL112 BL116:BL120 BL132:BL136 BL140:BL144" xr:uid="{F57D1AC9-C4F7-4E2F-B765-00FC5A216BFC}">
      <formula1>"x"</formula1>
    </dataValidation>
    <dataValidation allowBlank="1" showInputMessage="1" showErrorMessage="1" promptTitle="Activate / Deactivate" prompt="You can active or deactivate each expense line by entering or removing the &quot;x&quot; in that column. Deactivating lines allows you to exclude certain expenses from your estimate without removing the details associated with them (quantity, price, etc.)" sqref="BL22" xr:uid="{E1BC1570-18CE-4497-A687-D111FA2A9661}"/>
    <dataValidation type="list" allowBlank="1" showInputMessage="1" showErrorMessage="1" sqref="P28:R32 AB36:AD40 P108:R112 P44:R48 P36:R40 P52:R56 P68:R72 P76:R80 P84:R88 P92:R96 P100:R104 AB116:AD120 AB124:AD128 AB132:AD136 P140:R144 AN28:AP32 AN140:AP144 AN36:AP40 AB28:AD32 AN44:AP48 AB44:AD48 AB52:AD56 AN52:AP56 P60:R64 AN60:AP64 AB68:AD72 AN68:AP72 AB76:AD80 AN76:AP80 AB84:AD88 AN84:AP88 AB92:AD96 AN92:AP96 AB100:AD104 AN100:AP104 AB108:AD112 AN108:AP112 AN116:AP120 P116:R120 AN124:AP128 P124:R128 AN132:AP136 P132:R136 AB140:AD144 AB60:AD64" xr:uid="{34210FCB-AB13-4B14-B81E-8B32924C2CDD}">
      <formula1>UnitList</formula1>
    </dataValidation>
    <dataValidation allowBlank="1" showErrorMessage="1" sqref="BL21" xr:uid="{FED01F28-5C4A-422E-BB21-8DCC4CA2C60E}"/>
    <dataValidation allowBlank="1" showInputMessage="1" showErrorMessage="1" promptTitle="Area" prompt="List of areas can be customized directly in the Summary Estimate Section available at the top of this tab" sqref="BD23:BJ24" xr:uid="{5CD4E5B3-0F92-45F7-9368-64E734EABAE4}"/>
    <dataValidation allowBlank="1" showInputMessage="1" showErrorMessage="1" promptTitle="Estimate by Category" prompt="Customize your list of categories based on your project needs. Note that you can click on the number next to the category to automatically move to that category" sqref="AC8" xr:uid="{7F9B2ED6-C876-4F7B-A86D-C40E78978C73}"/>
    <dataValidation allowBlank="1" showInputMessage="1" showErrorMessage="1" promptTitle="Estimate by Area" prompt="List of Areas can be customized in the Dashboard, under the &quot;Furnitures &amp; Appliances&quot; section" sqref="AZ8" xr:uid="{482A935B-4FF7-42BB-A727-2E9177E46BD5}"/>
    <dataValidation type="decimal" operator="greaterThanOrEqual" allowBlank="1" showInputMessage="1" showErrorMessage="1" sqref="AK47:AK48 AK111:AK112 M34:Q34 N42:Q43 AH115:AJ115 AK90:AS90 AK98:AS98 AK122:AS122 AK106:AS106 AG73:AG75 AK138:AS138 AG42:AS43 AK82:AS82 AL31:AM32 AG34:AV34 P49:Q51 AG49:AG51 AK49:AS51 P57:Q59 AG57:AG59 AK57:AS59 P65:Q67 AG65:AG67 AK65:AS67 P73:Q75 AK74:AS75 AH73:AS73 AG83:AS83 AG82 AG91:AS91 AG90 AG99:AS99 AG98 AG107:AS107 AG106 AG139:AS139 AG138 AG123:AS123 AG122 AG131:AS131 AK130:AS130 AG130 AG81:AS81 P81:Q83 AG89:AS89 P89:Q91 AG97:AS97 P97:Q99 AG105:AS105 P105:Q107 AK113:AS115 AG113:AG115 P113:Q115 AE111:AG112 AG121:AS121 P121:Q123 AG129:AS129 P129:Q131 AG137:AS137 P137:Q139 AG145:AS145 P145:Q145 AE47:AG48 AL38:AM40 S28:Y32 AE52:AG56 AQ28:AV32 M28:M32 N31:O32 N46:O51 Z38:AA40 AE28:AK32 AQ36:AV40 M36:M40 N38:O40 Z31:AA32 AQ44:AV48 S44:Y48 AE44:AK46 AL46:AM48 Z46:AA48 AL54:AM56 S36:Y40 AK52:AK56 Z54:AA56 AQ52:AV56 AQ60:AV64 AE60:AG64 S60:Y64 AK60:AK64 AL62:AM64 Z62:AA64 AL70:AM72 AE68:AG72 AH67:AJ72 S68:Y72 AK68:AK72 Z70:AA72 AQ68:AV72 AQ76:AV80 AE76:AG80 AH75:AJ80 S76:Y80 AK76:AK80 AL78:AM80 Z78:AA80 AQ84:AV88 S84:Y88 AE84:AK88 Z86:AA88 AL86:AM88 AQ92:AV96 S92:Y96 AE92:AK96 Z94:AA96 AL94:AM96 AQ100:AV104 S100:Y104 AE100:AK104 Z102:AA104 AL102:AM104 AQ108:AV112 S108:Y112 AE108:AK110 Z110:AA112 AL110:AM112 AL118:AM120 AE116:AK120 S116:Y120 AQ116:AV120 Z118:AA120 AL126:AM128 Z126:AA128 AQ124:AV128 AE124:AK128 S124:Y128 AQ132:AV136 AL134:AM136 Z134:AA136 AE132:AK136 S132:Y136 AQ140:AV144 S140:Y144 AE140:AK144 Z142:AA144 AL142:AM144 AH47:AJ49 N54:O59 AH51:AJ57 AH59:AJ65 N62:O67 N70:O75 N78:O83 N86:O91 N94:O99 N102:O107 AH111:AJ113 N110:O115 N118:O123 N126:O131 N134:O139 BL14 N142:O145 AE36:AK40 S52:Y56 M42:M145" xr:uid="{566B8130-40B9-4503-BB9A-401119114817}">
      <formula1>0</formula1>
    </dataValidation>
  </dataValidations>
  <hyperlinks>
    <hyperlink ref="Q16:R16" location="cate15" display="cate15" xr:uid="{67F18B84-C383-4CD7-B0C8-81609F507F39}"/>
    <hyperlink ref="Q15:R15" location="cate14" display="cate14" xr:uid="{3C86EE21-97A8-43E7-8EB0-CC5CF6C00596}"/>
    <hyperlink ref="Q14:R14" location="cate13" display="cate13" xr:uid="{1C12D058-237A-4CB6-AB85-88BF0374CD4C}"/>
    <hyperlink ref="Q13:R13" location="cate12" display="cate12" xr:uid="{D43AC1B1-451C-4903-B59A-70DABC66EBCC}"/>
    <hyperlink ref="Q12:R12" location="cate11" display="cate11" xr:uid="{1F1E0F4B-1E5B-44AB-92FC-F7691327F379}"/>
    <hyperlink ref="Q11:R11" location="cate10" display="cate10" xr:uid="{8A7BD8BD-DF17-4F73-8C25-5445EE6032F5}"/>
    <hyperlink ref="Q10:R10" location="cate9" display="cate9" xr:uid="{B329D1B2-BF83-437D-9AF7-3224C1A43EE2}"/>
    <hyperlink ref="C17:D17" location="cate8" display="cate8" xr:uid="{638300BF-72AA-456B-928A-C155CFF43987}"/>
    <hyperlink ref="C16:D16" location="cate7" display="cate7" xr:uid="{31F1C266-0C09-4969-9FB9-67B5080A8EE9}"/>
    <hyperlink ref="C15:D15" location="cate6" display="cate6" xr:uid="{EE749A5B-74E3-49D8-B81F-C307987715D1}"/>
    <hyperlink ref="C14:D14" location="cate5" display="cate5" xr:uid="{66523B18-D15C-4CB2-BAF3-F0044BAC533A}"/>
    <hyperlink ref="C13:D13" location="cate4" display="cate4" xr:uid="{CC4203FB-629D-4519-A922-3A716B77196B}"/>
    <hyperlink ref="C12:D12" location="cate3" display="cate3" xr:uid="{89C05D87-E246-4B34-BE96-87055F8CEE7B}"/>
    <hyperlink ref="C11:D11" location="cate2" display="cate2" xr:uid="{BBD04FAB-4789-4E8D-AB9E-9EDD1A284D1E}"/>
    <hyperlink ref="C10:D10" location="cate1" display="cate1" xr:uid="{7C401227-F072-48FE-9C90-FEDB56320ED2}"/>
  </hyperlinks>
  <pageMargins left="0.25" right="0.25" top="0.75" bottom="0.75" header="0.3" footer="0.3"/>
  <pageSetup scale="67" fitToHeight="0" orientation="landscape" r:id="rId1"/>
  <rowBreaks count="3" manualBreakCount="3">
    <brk id="49" max="65" man="1"/>
    <brk id="89" max="65" man="1"/>
    <brk id="121" max="65" man="1"/>
  </rowBreaks>
  <drawing r:id="rId2"/>
  <extLst>
    <ext xmlns:x14="http://schemas.microsoft.com/office/spreadsheetml/2009/9/main" uri="{78C0D931-6437-407d-A8EE-F0AAD7539E65}">
      <x14:conditionalFormattings>
        <x14:conditionalFormatting xmlns:xm="http://schemas.microsoft.com/office/excel/2006/main">
          <x14:cfRule type="dataBar" id="{F08B74F9-4B7C-4086-97E3-16BC132E2329}">
            <x14:dataBar minLength="0" maxLength="100" gradient="0">
              <x14:cfvo type="autoMin"/>
              <x14:cfvo type="autoMax"/>
              <x14:negativeFillColor rgb="FFFF0000"/>
              <x14:axisColor rgb="FF000000"/>
            </x14:dataBar>
          </x14:cfRule>
          <xm:sqref>Z10:AC16 L10:O17</xm:sqref>
        </x14:conditionalFormatting>
        <x14:conditionalFormatting xmlns:xm="http://schemas.microsoft.com/office/excel/2006/main">
          <x14:cfRule type="dataBar" id="{E587BC09-C1FA-4358-8235-C75E6327F770}">
            <x14:dataBar minLength="0" maxLength="100" gradient="0">
              <x14:cfvo type="autoMin"/>
              <x14:cfvo type="autoMax"/>
              <x14:negativeFillColor rgb="FFFF0000"/>
              <x14:axisColor rgb="FF000000"/>
            </x14:dataBar>
          </x14:cfRule>
          <xm:sqref>AW10:AZ17 AL10:AO17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8016209-7BEB-439A-9D25-923287CCC603}">
          <x14:formula1>
            <xm:f>HIDE5!$N$10:$N$24</xm:f>
          </x14:formula1>
          <xm:sqref>BD28:BJ32 BD36:BJ40 BD44:BJ48 BD52:BJ56 BD60:BJ64 BD68:BJ72 BD76:BJ80 BD84:BJ88 BD92:BJ96 BD100:BJ104 BD108:BJ112 BD116:BJ120 BD124:BJ128 BD132:BJ136 BD140:BJ144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CA7C7-7449-4013-AB64-3E3A0A1E8AF4}">
  <sheetPr codeName="Sheet28">
    <tabColor rgb="FF5168B3"/>
    <pageSetUpPr fitToPage="1"/>
  </sheetPr>
  <dimension ref="A1:Y578"/>
  <sheetViews>
    <sheetView showGridLines="0" showRowColHeaders="0" zoomScaleNormal="100" workbookViewId="0">
      <pane ySplit="5" topLeftCell="A6" activePane="bottomLeft" state="frozen"/>
      <selection pane="bottomLeft" activeCell="A6" sqref="A6"/>
    </sheetView>
  </sheetViews>
  <sheetFormatPr defaultColWidth="9.109375" defaultRowHeight="13.8" outlineLevelRow="1" x14ac:dyDescent="0.25"/>
  <cols>
    <col min="1" max="3" width="2.88671875" style="274" customWidth="1"/>
    <col min="4" max="11" width="15.6640625" style="274" customWidth="1"/>
    <col min="12" max="12" width="10.33203125" style="274" customWidth="1"/>
    <col min="13" max="17" width="10" style="274" customWidth="1"/>
    <col min="18" max="18" width="9.88671875" style="274" hidden="1" customWidth="1"/>
    <col min="19" max="19" width="2.88671875" style="274" customWidth="1"/>
    <col min="20" max="16384" width="9.109375" style="274"/>
  </cols>
  <sheetData>
    <row r="1" spans="1:25" s="1244" customFormat="1" ht="30" customHeight="1" x14ac:dyDescent="0.25">
      <c r="A1" s="1243" t="s">
        <v>1129</v>
      </c>
      <c r="S1" s="1363"/>
    </row>
    <row r="2" spans="1:25" s="1" customFormat="1" ht="18.75" customHeight="1" x14ac:dyDescent="0.25">
      <c r="A2" s="1243"/>
      <c r="B2" s="1244"/>
      <c r="C2" s="1244"/>
      <c r="D2" s="1244"/>
      <c r="E2" s="1244"/>
      <c r="F2" s="1244"/>
      <c r="G2" s="1244"/>
      <c r="H2" s="1244"/>
      <c r="I2" s="1244"/>
      <c r="J2" s="1244"/>
      <c r="K2" s="1244"/>
      <c r="L2" s="1244"/>
      <c r="M2" s="1244"/>
      <c r="N2" s="1244"/>
      <c r="O2" s="1244"/>
      <c r="P2" s="1244"/>
      <c r="Q2" s="1244"/>
      <c r="R2" s="1244"/>
      <c r="S2" s="1363"/>
      <c r="T2" s="1244"/>
      <c r="U2" s="1244"/>
      <c r="V2" s="1244"/>
      <c r="W2" s="1244"/>
      <c r="X2" s="1244"/>
      <c r="Y2" s="1244"/>
    </row>
    <row r="3" spans="1:25" s="1" customFormat="1" ht="18.75" customHeight="1" x14ac:dyDescent="0.25">
      <c r="A3" s="1244"/>
      <c r="B3" s="1244"/>
      <c r="C3" s="1244"/>
      <c r="D3" s="1244"/>
      <c r="E3" s="1244"/>
      <c r="F3" s="1244"/>
      <c r="G3" s="1244"/>
      <c r="H3" s="1244"/>
      <c r="I3" s="1244"/>
      <c r="J3" s="1244"/>
      <c r="K3" s="1244"/>
      <c r="L3" s="1244"/>
      <c r="M3" s="1244"/>
      <c r="N3" s="1244"/>
      <c r="O3" s="1244"/>
      <c r="P3" s="1244"/>
      <c r="Q3" s="1244"/>
      <c r="R3" s="1244"/>
      <c r="S3" s="1363"/>
      <c r="T3" s="1244"/>
      <c r="U3" s="1244"/>
      <c r="V3" s="1244"/>
      <c r="W3" s="1244"/>
      <c r="X3" s="1244"/>
      <c r="Y3" s="1244"/>
    </row>
    <row r="4" spans="1:25" ht="15" customHeight="1" thickBot="1" x14ac:dyDescent="0.3">
      <c r="A4" s="1"/>
      <c r="B4" s="1"/>
      <c r="C4" s="1"/>
      <c r="D4" s="674" t="str">
        <f>PROPER(C7)</f>
        <v>Living Room</v>
      </c>
      <c r="E4" s="674" t="str">
        <f>PROPER(C45)</f>
        <v>Dining Room</v>
      </c>
      <c r="F4" s="674" t="str">
        <f>PROPER(C83)</f>
        <v>Kitchen</v>
      </c>
      <c r="G4" s="674" t="str">
        <f>PROPER(C121)</f>
        <v>Bedroom #1</v>
      </c>
      <c r="H4" s="674" t="str">
        <f>PROPER(C159)</f>
        <v>Bedroom #2</v>
      </c>
      <c r="I4" s="674" t="str">
        <f>PROPER(C197)</f>
        <v>Bedroom #3</v>
      </c>
      <c r="J4" s="674" t="str">
        <f>PROPER(C235)</f>
        <v>Bedroom #4</v>
      </c>
      <c r="K4" s="674" t="str">
        <f>PROPER(C273)</f>
        <v>Bathroom #1</v>
      </c>
      <c r="L4" s="1"/>
      <c r="M4" s="605"/>
      <c r="N4" s="942" t="s">
        <v>1130</v>
      </c>
      <c r="O4" s="604">
        <f>CHOOSE(DASHBOARD!K61,M36+M74+M112+M150+M188+M226+M264+M302+M340+M378+M416+M454+M492+M530+M568,N36+N74+N112+N150+N188+N226+N264+N302+N340+N378+N416+N454+N492+N530+N568,O36+O74+O112+O150+O188+O226+O264+O302+O340+O378+O416+O454+O492+O530+O568,P36+P74+P112+P150+P188+P226+P264+P302+P340+P378+P416+P454+P492+P530+P568,Q36+Q74+Q112+Q150+Q188+Q226+Q264+Q302+Q340+Q378+Q416+Q454+Q492+Q530+Q568)</f>
        <v>0</v>
      </c>
      <c r="P4" s="605"/>
      <c r="Q4" s="605"/>
      <c r="R4" s="1"/>
      <c r="S4" s="1"/>
      <c r="T4" s="1"/>
      <c r="U4" s="1"/>
      <c r="V4" s="1"/>
      <c r="W4" s="1"/>
      <c r="X4" s="1"/>
      <c r="Y4" s="1"/>
    </row>
    <row r="5" spans="1:25" x14ac:dyDescent="0.25">
      <c r="B5" s="1"/>
      <c r="C5" s="1"/>
      <c r="D5" s="1766" t="str">
        <f>PROPER(C311)</f>
        <v>Bathroom #2</v>
      </c>
      <c r="E5" s="1766" t="str">
        <f>PROPER(C349)</f>
        <v>Bathroom #3</v>
      </c>
      <c r="F5" s="1766" t="str">
        <f>PROPER(C387)</f>
        <v>Bathroom #4</v>
      </c>
      <c r="G5" s="1766" t="str">
        <f>PROPER(C425)</f>
        <v>General</v>
      </c>
      <c r="H5" s="1766" t="str">
        <f>PROPER(C463)</f>
        <v>Basement</v>
      </c>
      <c r="I5" s="1766" t="str">
        <f>PROPER(C501)</f>
        <v>Exterior</v>
      </c>
      <c r="J5" s="1766" t="str">
        <f>PROPER(C539)</f>
        <v>Other</v>
      </c>
      <c r="K5" s="603"/>
      <c r="L5" s="1"/>
      <c r="M5" s="1"/>
      <c r="N5" s="1"/>
      <c r="O5" s="1"/>
      <c r="P5" s="1"/>
      <c r="Q5" s="1"/>
      <c r="R5" s="1"/>
      <c r="S5" s="1"/>
      <c r="T5" s="1"/>
      <c r="U5" s="1"/>
      <c r="V5" s="1"/>
      <c r="W5" s="1"/>
      <c r="X5" s="1"/>
      <c r="Y5" s="1"/>
    </row>
    <row r="6" spans="1:25" outlineLevel="1" x14ac:dyDescent="0.25">
      <c r="A6" s="1860"/>
    </row>
    <row r="7" spans="1:25" outlineLevel="1" x14ac:dyDescent="0.25">
      <c r="B7" s="562">
        <v>1</v>
      </c>
      <c r="C7" s="563" t="str">
        <f>UPPER(DASHBOARD!$D$68)</f>
        <v>LIVING ROOM</v>
      </c>
      <c r="D7" s="564"/>
      <c r="E7" s="564"/>
      <c r="F7" s="564"/>
      <c r="G7" s="564"/>
      <c r="H7" s="564"/>
      <c r="I7" s="564"/>
      <c r="J7" s="564"/>
      <c r="K7" s="564"/>
      <c r="L7" s="564"/>
      <c r="M7" s="564"/>
      <c r="N7" s="564"/>
      <c r="O7" s="564"/>
      <c r="P7" s="564"/>
      <c r="Q7" s="564"/>
      <c r="R7" s="564"/>
      <c r="S7" s="565"/>
    </row>
    <row r="8" spans="1:25" outlineLevel="1" x14ac:dyDescent="0.25">
      <c r="B8" s="559"/>
      <c r="C8" s="9"/>
      <c r="D8" s="9"/>
      <c r="E8" s="9"/>
      <c r="F8" s="9"/>
      <c r="G8" s="9"/>
      <c r="H8" s="9"/>
      <c r="I8" s="9"/>
      <c r="J8" s="9"/>
      <c r="K8" s="9"/>
      <c r="L8" s="9"/>
      <c r="M8" s="9"/>
      <c r="N8" s="9"/>
      <c r="O8" s="9"/>
      <c r="P8" s="9"/>
      <c r="Q8" s="9"/>
      <c r="R8" s="9"/>
      <c r="S8" s="560"/>
    </row>
    <row r="9" spans="1:25" outlineLevel="1" x14ac:dyDescent="0.25">
      <c r="B9" s="559"/>
      <c r="C9" s="566">
        <v>1</v>
      </c>
      <c r="D9" s="380" t="s">
        <v>1147</v>
      </c>
      <c r="E9" s="537"/>
      <c r="F9" s="537"/>
      <c r="G9" s="537"/>
      <c r="H9" s="537"/>
      <c r="I9" s="537"/>
      <c r="J9" s="537"/>
      <c r="K9" s="537"/>
      <c r="L9" s="537"/>
      <c r="M9" s="568"/>
      <c r="N9" s="569"/>
      <c r="O9" s="569"/>
      <c r="P9" s="570"/>
      <c r="Q9" s="569"/>
      <c r="R9" s="569"/>
      <c r="S9" s="567"/>
    </row>
    <row r="10" spans="1:25" outlineLevel="1" x14ac:dyDescent="0.25">
      <c r="B10" s="559"/>
      <c r="C10" s="571"/>
      <c r="D10" s="572"/>
      <c r="E10" s="572"/>
      <c r="F10" s="572"/>
      <c r="G10" s="572"/>
      <c r="H10" s="572"/>
      <c r="I10" s="572"/>
      <c r="J10" s="573"/>
      <c r="K10" s="573"/>
      <c r="L10" s="573"/>
      <c r="M10" s="573"/>
      <c r="N10" s="573"/>
      <c r="O10" s="572"/>
      <c r="P10" s="571"/>
      <c r="Q10" s="574"/>
      <c r="R10" s="585"/>
      <c r="S10" s="567"/>
    </row>
    <row r="11" spans="1:25" ht="15" customHeight="1" outlineLevel="1" x14ac:dyDescent="0.25">
      <c r="B11" s="559"/>
      <c r="C11" s="571"/>
      <c r="D11" s="572"/>
      <c r="E11" s="572"/>
      <c r="F11" s="572"/>
      <c r="G11" s="572"/>
      <c r="H11" s="572"/>
      <c r="I11" s="572"/>
      <c r="J11" s="573"/>
      <c r="K11" s="573"/>
      <c r="L11" s="84"/>
      <c r="M11" s="2580" t="s">
        <v>719</v>
      </c>
      <c r="N11" s="2581"/>
      <c r="O11" s="2581"/>
      <c r="P11" s="2581"/>
      <c r="Q11" s="2581"/>
      <c r="R11" s="589"/>
      <c r="S11" s="567"/>
    </row>
    <row r="12" spans="1:25" ht="15" customHeight="1" outlineLevel="1" x14ac:dyDescent="0.25">
      <c r="B12" s="559"/>
      <c r="C12" s="571"/>
      <c r="D12" s="590" t="s">
        <v>633</v>
      </c>
      <c r="E12" s="587" t="s">
        <v>697</v>
      </c>
      <c r="F12" s="587" t="s">
        <v>438</v>
      </c>
      <c r="G12" s="587" t="s">
        <v>698</v>
      </c>
      <c r="H12" s="587" t="s">
        <v>662</v>
      </c>
      <c r="I12" s="587" t="s">
        <v>699</v>
      </c>
      <c r="J12" s="587" t="s">
        <v>20</v>
      </c>
      <c r="K12" s="587" t="s">
        <v>695</v>
      </c>
      <c r="L12" s="592" t="s">
        <v>716</v>
      </c>
      <c r="M12" s="588" t="s">
        <v>700</v>
      </c>
      <c r="N12" s="588" t="s">
        <v>701</v>
      </c>
      <c r="O12" s="588" t="s">
        <v>702</v>
      </c>
      <c r="P12" s="588" t="s">
        <v>703</v>
      </c>
      <c r="Q12" s="588" t="s">
        <v>704</v>
      </c>
      <c r="R12" s="588" t="s">
        <v>124</v>
      </c>
      <c r="S12" s="567"/>
    </row>
    <row r="13" spans="1:25" ht="15" customHeight="1" outlineLevel="1" x14ac:dyDescent="0.25">
      <c r="B13" s="559"/>
      <c r="C13" s="571"/>
      <c r="D13" s="1752"/>
      <c r="E13" s="1737"/>
      <c r="F13" s="1737"/>
      <c r="G13" s="1737"/>
      <c r="H13" s="1737"/>
      <c r="I13" s="1737"/>
      <c r="J13" s="1702">
        <f>Table3[[#This Row],[Quantity]]*Table3[[#This Row],[Unit Price]]</f>
        <v>0</v>
      </c>
      <c r="K13" s="1737"/>
      <c r="L13" s="1753"/>
      <c r="M13" s="1754"/>
      <c r="N13" s="1754"/>
      <c r="O13" s="1754"/>
      <c r="P13" s="1754"/>
      <c r="Q13" s="1754"/>
      <c r="R13" s="594" cm="1">
        <f t="array" ref="R13">INDEX(Table3[[#This Row],[P1]:[P5]],1,$H$34)</f>
        <v>0</v>
      </c>
      <c r="S13" s="567"/>
    </row>
    <row r="14" spans="1:25" ht="15" customHeight="1" outlineLevel="1" x14ac:dyDescent="0.25">
      <c r="B14" s="559"/>
      <c r="C14" s="571"/>
      <c r="D14" s="1752"/>
      <c r="E14" s="1737"/>
      <c r="F14" s="1737"/>
      <c r="G14" s="1737"/>
      <c r="H14" s="1737"/>
      <c r="I14" s="1737"/>
      <c r="J14" s="1702">
        <f>Table3[[#This Row],[Quantity]]*Table3[[#This Row],[Unit Price]]</f>
        <v>0</v>
      </c>
      <c r="K14" s="1737"/>
      <c r="L14" s="1755"/>
      <c r="M14" s="1754"/>
      <c r="N14" s="1754"/>
      <c r="O14" s="1754"/>
      <c r="P14" s="1754"/>
      <c r="Q14" s="1754"/>
      <c r="R14" s="595" cm="1">
        <f t="array" ref="R14">INDEX(Table3[[#This Row],[P1]:[P5]],1,$H$34)</f>
        <v>0</v>
      </c>
      <c r="S14" s="567"/>
    </row>
    <row r="15" spans="1:25" ht="15" customHeight="1" outlineLevel="1" x14ac:dyDescent="0.25">
      <c r="B15" s="559"/>
      <c r="C15" s="571"/>
      <c r="D15" s="1752"/>
      <c r="E15" s="1737"/>
      <c r="F15" s="1737"/>
      <c r="G15" s="1737"/>
      <c r="H15" s="1737"/>
      <c r="I15" s="1737"/>
      <c r="J15" s="1702">
        <f>Table3[[#This Row],[Quantity]]*Table3[[#This Row],[Unit Price]]</f>
        <v>0</v>
      </c>
      <c r="K15" s="1737"/>
      <c r="L15" s="1755"/>
      <c r="M15" s="1754"/>
      <c r="N15" s="1754"/>
      <c r="O15" s="1754"/>
      <c r="P15" s="1754"/>
      <c r="Q15" s="1754"/>
      <c r="R15" s="595" cm="1">
        <f t="array" ref="R15">INDEX(Table3[[#This Row],[P1]:[P5]],1,$H$34)</f>
        <v>0</v>
      </c>
      <c r="S15" s="567"/>
    </row>
    <row r="16" spans="1:25" ht="15" customHeight="1" outlineLevel="1" x14ac:dyDescent="0.25">
      <c r="B16" s="559"/>
      <c r="C16" s="571"/>
      <c r="D16" s="1752"/>
      <c r="E16" s="1737"/>
      <c r="F16" s="1737"/>
      <c r="G16" s="1737"/>
      <c r="H16" s="1737"/>
      <c r="I16" s="1737"/>
      <c r="J16" s="1702">
        <f>Table3[[#This Row],[Quantity]]*Table3[[#This Row],[Unit Price]]</f>
        <v>0</v>
      </c>
      <c r="K16" s="1737"/>
      <c r="L16" s="1753"/>
      <c r="M16" s="1754"/>
      <c r="N16" s="1754"/>
      <c r="O16" s="1754"/>
      <c r="P16" s="1754"/>
      <c r="Q16" s="1754"/>
      <c r="R16" s="595" cm="1">
        <f t="array" ref="R16">INDEX(Table3[[#This Row],[P1]:[P5]],1,$H$34)</f>
        <v>0</v>
      </c>
      <c r="S16" s="567"/>
    </row>
    <row r="17" spans="1:25" ht="15" customHeight="1" outlineLevel="1" x14ac:dyDescent="0.25">
      <c r="B17" s="559"/>
      <c r="C17" s="571"/>
      <c r="D17" s="1752"/>
      <c r="E17" s="1737"/>
      <c r="F17" s="1737"/>
      <c r="G17" s="1737"/>
      <c r="H17" s="1737"/>
      <c r="I17" s="1737"/>
      <c r="J17" s="1702">
        <f>Table3[[#This Row],[Quantity]]*Table3[[#This Row],[Unit Price]]</f>
        <v>0</v>
      </c>
      <c r="K17" s="1737"/>
      <c r="L17" s="1755"/>
      <c r="M17" s="1754"/>
      <c r="N17" s="1754"/>
      <c r="O17" s="1754"/>
      <c r="P17" s="1754"/>
      <c r="Q17" s="1754"/>
      <c r="R17" s="595" cm="1">
        <f t="array" ref="R17">INDEX(Table3[[#This Row],[P1]:[P5]],1,$H$34)</f>
        <v>0</v>
      </c>
      <c r="S17" s="567"/>
    </row>
    <row r="18" spans="1:25" ht="15" customHeight="1" outlineLevel="1" x14ac:dyDescent="0.25">
      <c r="B18" s="559"/>
      <c r="C18" s="571"/>
      <c r="D18" s="1752"/>
      <c r="E18" s="1737"/>
      <c r="F18" s="1737"/>
      <c r="G18" s="1737"/>
      <c r="H18" s="1737"/>
      <c r="I18" s="1737"/>
      <c r="J18" s="1702">
        <f>Table3[[#This Row],[Quantity]]*Table3[[#This Row],[Unit Price]]</f>
        <v>0</v>
      </c>
      <c r="K18" s="1737"/>
      <c r="L18" s="1755"/>
      <c r="M18" s="1754"/>
      <c r="N18" s="1754"/>
      <c r="O18" s="1754"/>
      <c r="P18" s="1754"/>
      <c r="Q18" s="1754"/>
      <c r="R18" s="595" cm="1">
        <f t="array" ref="R18">INDEX(Table3[[#This Row],[P1]:[P5]],1,$H$34)</f>
        <v>0</v>
      </c>
      <c r="S18" s="567"/>
    </row>
    <row r="19" spans="1:25" ht="15" customHeight="1" outlineLevel="1" x14ac:dyDescent="0.25">
      <c r="B19" s="559"/>
      <c r="C19" s="571"/>
      <c r="D19" s="1752"/>
      <c r="E19" s="1737"/>
      <c r="F19" s="1737"/>
      <c r="G19" s="1737"/>
      <c r="H19" s="1737"/>
      <c r="I19" s="1737"/>
      <c r="J19" s="1702">
        <f>Table3[[#This Row],[Quantity]]*Table3[[#This Row],[Unit Price]]</f>
        <v>0</v>
      </c>
      <c r="K19" s="1737"/>
      <c r="L19" s="1755"/>
      <c r="M19" s="1754"/>
      <c r="N19" s="1754"/>
      <c r="O19" s="1754"/>
      <c r="P19" s="1754"/>
      <c r="Q19" s="1754"/>
      <c r="R19" s="595" cm="1">
        <f t="array" ref="R19">INDEX(Table3[[#This Row],[P1]:[P5]],1,$H$34)</f>
        <v>0</v>
      </c>
      <c r="S19" s="567"/>
    </row>
    <row r="20" spans="1:25" ht="15" customHeight="1" outlineLevel="1" x14ac:dyDescent="0.25">
      <c r="B20" s="559"/>
      <c r="C20" s="571"/>
      <c r="D20" s="1752"/>
      <c r="E20" s="1737"/>
      <c r="F20" s="1737"/>
      <c r="G20" s="1737"/>
      <c r="H20" s="1737"/>
      <c r="I20" s="1737"/>
      <c r="J20" s="1702">
        <f>Table3[[#This Row],[Quantity]]*Table3[[#This Row],[Unit Price]]</f>
        <v>0</v>
      </c>
      <c r="K20" s="1737"/>
      <c r="L20" s="1755"/>
      <c r="M20" s="1754"/>
      <c r="N20" s="1754"/>
      <c r="O20" s="1754"/>
      <c r="P20" s="1754"/>
      <c r="Q20" s="1754"/>
      <c r="R20" s="595" cm="1">
        <f t="array" ref="R20">INDEX(Table3[[#This Row],[P1]:[P5]],1,$H$34)</f>
        <v>0</v>
      </c>
      <c r="S20" s="567"/>
    </row>
    <row r="21" spans="1:25" ht="15" customHeight="1" outlineLevel="1" x14ac:dyDescent="0.25">
      <c r="B21" s="559"/>
      <c r="C21" s="571"/>
      <c r="D21" s="1752"/>
      <c r="E21" s="1737"/>
      <c r="F21" s="1737"/>
      <c r="G21" s="1737"/>
      <c r="H21" s="1737"/>
      <c r="I21" s="1737"/>
      <c r="J21" s="1702">
        <f>Table3[[#This Row],[Quantity]]*Table3[[#This Row],[Unit Price]]</f>
        <v>0</v>
      </c>
      <c r="K21" s="1737"/>
      <c r="L21" s="1755"/>
      <c r="M21" s="1754"/>
      <c r="N21" s="1754"/>
      <c r="O21" s="1754"/>
      <c r="P21" s="1754"/>
      <c r="Q21" s="1754"/>
      <c r="R21" s="595" cm="1">
        <f t="array" ref="R21">INDEX(Table3[[#This Row],[P1]:[P5]],1,$H$34)</f>
        <v>0</v>
      </c>
      <c r="S21" s="567"/>
    </row>
    <row r="22" spans="1:25" ht="15" customHeight="1" outlineLevel="1" x14ac:dyDescent="0.25">
      <c r="B22" s="559"/>
      <c r="C22" s="571"/>
      <c r="D22" s="1752"/>
      <c r="E22" s="1737"/>
      <c r="F22" s="1737"/>
      <c r="G22" s="1737"/>
      <c r="H22" s="1737"/>
      <c r="I22" s="1737"/>
      <c r="J22" s="1702">
        <f>Table3[[#This Row],[Quantity]]*Table3[[#This Row],[Unit Price]]</f>
        <v>0</v>
      </c>
      <c r="K22" s="1737"/>
      <c r="L22" s="1755"/>
      <c r="M22" s="1754"/>
      <c r="N22" s="1754"/>
      <c r="O22" s="1754"/>
      <c r="P22" s="1754"/>
      <c r="Q22" s="1754"/>
      <c r="R22" s="595" cm="1">
        <f t="array" ref="R22">INDEX(Table3[[#This Row],[P1]:[P5]],1,$H$34)</f>
        <v>0</v>
      </c>
      <c r="S22" s="567"/>
    </row>
    <row r="23" spans="1:25" ht="15" customHeight="1" outlineLevel="1" x14ac:dyDescent="0.25">
      <c r="B23" s="559"/>
      <c r="C23" s="571"/>
      <c r="D23" s="1752"/>
      <c r="E23" s="1737"/>
      <c r="F23" s="1737"/>
      <c r="G23" s="1737"/>
      <c r="H23" s="1737"/>
      <c r="I23" s="1737"/>
      <c r="J23" s="1702">
        <f>Table3[[#This Row],[Quantity]]*Table3[[#This Row],[Unit Price]]</f>
        <v>0</v>
      </c>
      <c r="K23" s="1737"/>
      <c r="L23" s="1753"/>
      <c r="M23" s="1754"/>
      <c r="N23" s="1754"/>
      <c r="O23" s="1754"/>
      <c r="P23" s="1754"/>
      <c r="Q23" s="1754"/>
      <c r="R23" s="595" cm="1">
        <f t="array" ref="R23">INDEX(Table3[[#This Row],[P1]:[P5]],1,$H$34)</f>
        <v>0</v>
      </c>
      <c r="S23" s="567"/>
    </row>
    <row r="24" spans="1:25" s="276" customFormat="1" ht="15" customHeight="1" outlineLevel="1" x14ac:dyDescent="0.25">
      <c r="A24" s="274"/>
      <c r="B24" s="559"/>
      <c r="C24" s="571"/>
      <c r="D24" s="1752"/>
      <c r="E24" s="1737"/>
      <c r="F24" s="1737"/>
      <c r="G24" s="1737"/>
      <c r="H24" s="1737"/>
      <c r="I24" s="1737"/>
      <c r="J24" s="1702">
        <f>Table3[[#This Row],[Quantity]]*Table3[[#This Row],[Unit Price]]</f>
        <v>0</v>
      </c>
      <c r="K24" s="1737"/>
      <c r="L24" s="1755"/>
      <c r="M24" s="1754"/>
      <c r="N24" s="1754"/>
      <c r="O24" s="1754"/>
      <c r="P24" s="1754"/>
      <c r="Q24" s="1754"/>
      <c r="R24" s="595" cm="1">
        <f t="array" ref="R24">INDEX(Table3[[#This Row],[P1]:[P5]],1,$H$34)</f>
        <v>0</v>
      </c>
      <c r="S24" s="567"/>
      <c r="T24" s="274"/>
      <c r="U24" s="274"/>
      <c r="V24" s="274"/>
      <c r="W24" s="274"/>
      <c r="X24" s="274"/>
      <c r="Y24" s="274"/>
    </row>
    <row r="25" spans="1:25" s="276" customFormat="1" ht="15" customHeight="1" outlineLevel="1" x14ac:dyDescent="0.25">
      <c r="B25" s="559"/>
      <c r="C25" s="571"/>
      <c r="D25" s="1752"/>
      <c r="E25" s="1737"/>
      <c r="F25" s="1737"/>
      <c r="G25" s="1737"/>
      <c r="H25" s="1737"/>
      <c r="I25" s="1737"/>
      <c r="J25" s="1702">
        <f>Table3[[#This Row],[Quantity]]*Table3[[#This Row],[Unit Price]]</f>
        <v>0</v>
      </c>
      <c r="K25" s="1737"/>
      <c r="L25" s="1755"/>
      <c r="M25" s="1754"/>
      <c r="N25" s="1754"/>
      <c r="O25" s="1754"/>
      <c r="P25" s="1754"/>
      <c r="Q25" s="1754"/>
      <c r="R25" s="595" cm="1">
        <f t="array" ref="R25">INDEX(Table3[[#This Row],[P1]:[P5]],1,$H$34)</f>
        <v>0</v>
      </c>
      <c r="S25" s="567"/>
      <c r="T25" s="274"/>
      <c r="U25" s="274"/>
      <c r="V25" s="274"/>
      <c r="W25" s="274"/>
      <c r="X25" s="274"/>
      <c r="Y25" s="274"/>
    </row>
    <row r="26" spans="1:25" s="276" customFormat="1" ht="15" customHeight="1" outlineLevel="1" x14ac:dyDescent="0.25">
      <c r="B26" s="559"/>
      <c r="C26" s="571"/>
      <c r="D26" s="1752"/>
      <c r="E26" s="1737"/>
      <c r="F26" s="1737"/>
      <c r="G26" s="1737"/>
      <c r="H26" s="1737"/>
      <c r="I26" s="1737"/>
      <c r="J26" s="1702">
        <f>Table3[[#This Row],[Quantity]]*Table3[[#This Row],[Unit Price]]</f>
        <v>0</v>
      </c>
      <c r="K26" s="1737"/>
      <c r="L26" s="1755"/>
      <c r="M26" s="1754"/>
      <c r="N26" s="1754"/>
      <c r="O26" s="1754"/>
      <c r="P26" s="1754"/>
      <c r="Q26" s="1754"/>
      <c r="R26" s="595" cm="1">
        <f t="array" ref="R26">INDEX(Table3[[#This Row],[P1]:[P5]],1,$H$34)</f>
        <v>0</v>
      </c>
      <c r="S26" s="567"/>
    </row>
    <row r="27" spans="1:25" s="276" customFormat="1" ht="15" customHeight="1" outlineLevel="1" x14ac:dyDescent="0.25">
      <c r="B27" s="559"/>
      <c r="C27" s="571"/>
      <c r="D27" s="1752"/>
      <c r="E27" s="1737"/>
      <c r="F27" s="1737"/>
      <c r="G27" s="1737"/>
      <c r="H27" s="1737"/>
      <c r="I27" s="1737"/>
      <c r="J27" s="1702">
        <f>Table3[[#This Row],[Quantity]]*Table3[[#This Row],[Unit Price]]</f>
        <v>0</v>
      </c>
      <c r="K27" s="1737"/>
      <c r="L27" s="1755"/>
      <c r="M27" s="1754"/>
      <c r="N27" s="1754"/>
      <c r="O27" s="1754"/>
      <c r="P27" s="1754"/>
      <c r="Q27" s="1754"/>
      <c r="R27" s="595" cm="1">
        <f t="array" ref="R27">INDEX(Table3[[#This Row],[P1]:[P5]],1,$H$34)</f>
        <v>0</v>
      </c>
      <c r="S27" s="567"/>
    </row>
    <row r="28" spans="1:25" s="276" customFormat="1" ht="15" customHeight="1" outlineLevel="1" x14ac:dyDescent="0.25">
      <c r="B28" s="559"/>
      <c r="C28" s="571"/>
      <c r="D28" s="1752"/>
      <c r="E28" s="1737"/>
      <c r="F28" s="1737"/>
      <c r="G28" s="1737"/>
      <c r="H28" s="1737"/>
      <c r="I28" s="1737"/>
      <c r="J28" s="1702">
        <f>Table3[[#This Row],[Quantity]]*Table3[[#This Row],[Unit Price]]</f>
        <v>0</v>
      </c>
      <c r="K28" s="1737"/>
      <c r="L28" s="1755"/>
      <c r="M28" s="1754"/>
      <c r="N28" s="1754"/>
      <c r="O28" s="1754"/>
      <c r="P28" s="1754"/>
      <c r="Q28" s="1754"/>
      <c r="R28" s="595" cm="1">
        <f t="array" ref="R28">INDEX(Table3[[#This Row],[P1]:[P5]],1,$H$34)</f>
        <v>0</v>
      </c>
      <c r="S28" s="567"/>
    </row>
    <row r="29" spans="1:25" s="276" customFormat="1" ht="15" customHeight="1" outlineLevel="1" x14ac:dyDescent="0.25">
      <c r="B29" s="559"/>
      <c r="C29" s="571"/>
      <c r="D29" s="1752"/>
      <c r="E29" s="1737"/>
      <c r="F29" s="1737"/>
      <c r="G29" s="1737"/>
      <c r="H29" s="1737"/>
      <c r="I29" s="1737"/>
      <c r="J29" s="1702">
        <f>Table3[[#This Row],[Quantity]]*Table3[[#This Row],[Unit Price]]</f>
        <v>0</v>
      </c>
      <c r="K29" s="1737"/>
      <c r="L29" s="1755"/>
      <c r="M29" s="1754"/>
      <c r="N29" s="1754"/>
      <c r="O29" s="1754"/>
      <c r="P29" s="1754"/>
      <c r="Q29" s="1754"/>
      <c r="R29" s="595" cm="1">
        <f t="array" ref="R29">INDEX(Table3[[#This Row],[P1]:[P5]],1,$H$34)</f>
        <v>0</v>
      </c>
      <c r="S29" s="567"/>
    </row>
    <row r="30" spans="1:25" s="276" customFormat="1" ht="15" customHeight="1" outlineLevel="1" x14ac:dyDescent="0.25">
      <c r="B30" s="559"/>
      <c r="C30" s="571"/>
      <c r="D30" s="1752"/>
      <c r="E30" s="1737"/>
      <c r="F30" s="1737"/>
      <c r="G30" s="1737"/>
      <c r="H30" s="1737"/>
      <c r="I30" s="1737"/>
      <c r="J30" s="1702">
        <f>Table3[[#This Row],[Quantity]]*Table3[[#This Row],[Unit Price]]</f>
        <v>0</v>
      </c>
      <c r="K30" s="1737"/>
      <c r="L30" s="1755"/>
      <c r="M30" s="1754"/>
      <c r="N30" s="1754"/>
      <c r="O30" s="1754"/>
      <c r="P30" s="1754"/>
      <c r="Q30" s="1754"/>
      <c r="R30" s="595" cm="1">
        <f t="array" ref="R30">INDEX(Table3[[#This Row],[P1]:[P5]],1,$H$34)</f>
        <v>0</v>
      </c>
      <c r="S30" s="567"/>
    </row>
    <row r="31" spans="1:25" outlineLevel="1" x14ac:dyDescent="0.25">
      <c r="A31" s="276"/>
      <c r="B31" s="559"/>
      <c r="C31" s="571"/>
      <c r="D31" s="1752"/>
      <c r="E31" s="1737"/>
      <c r="F31" s="1737"/>
      <c r="G31" s="1737"/>
      <c r="H31" s="1737"/>
      <c r="I31" s="1737"/>
      <c r="J31" s="1702">
        <f>Table3[[#This Row],[Quantity]]*Table3[[#This Row],[Unit Price]]</f>
        <v>0</v>
      </c>
      <c r="K31" s="1737"/>
      <c r="L31" s="1755"/>
      <c r="M31" s="1754"/>
      <c r="N31" s="1754"/>
      <c r="O31" s="1754"/>
      <c r="P31" s="1754"/>
      <c r="Q31" s="1754"/>
      <c r="R31" s="595" cm="1">
        <f t="array" ref="R31">INDEX(Table3[[#This Row],[P1]:[P5]],1,$H$34)</f>
        <v>0</v>
      </c>
      <c r="S31" s="567"/>
      <c r="T31" s="276"/>
      <c r="U31" s="276"/>
      <c r="V31" s="276"/>
      <c r="W31" s="276"/>
      <c r="X31" s="276"/>
      <c r="Y31" s="276"/>
    </row>
    <row r="32" spans="1:25" outlineLevel="1" x14ac:dyDescent="0.25">
      <c r="B32" s="559"/>
      <c r="C32" s="571"/>
      <c r="D32" s="1752"/>
      <c r="E32" s="1737"/>
      <c r="F32" s="1737"/>
      <c r="G32" s="1737"/>
      <c r="H32" s="1737"/>
      <c r="I32" s="1737"/>
      <c r="J32" s="1702">
        <f>Table3[[#This Row],[Quantity]]*Table3[[#This Row],[Unit Price]]</f>
        <v>0</v>
      </c>
      <c r="K32" s="1737"/>
      <c r="L32" s="1755"/>
      <c r="M32" s="1754"/>
      <c r="N32" s="1754"/>
      <c r="O32" s="1754"/>
      <c r="P32" s="1754"/>
      <c r="Q32" s="1754"/>
      <c r="R32" s="596" cm="1">
        <f t="array" ref="R32">INDEX(Table3[[#This Row],[P1]:[P5]],1,$H$34)</f>
        <v>0</v>
      </c>
      <c r="S32" s="567"/>
      <c r="T32" s="276"/>
      <c r="U32" s="276"/>
      <c r="V32" s="276"/>
      <c r="W32" s="276"/>
      <c r="X32" s="276"/>
      <c r="Y32" s="276"/>
    </row>
    <row r="33" spans="1:25" outlineLevel="1" x14ac:dyDescent="0.25">
      <c r="B33" s="575"/>
      <c r="C33" s="9"/>
      <c r="D33" s="9"/>
      <c r="E33" s="9"/>
      <c r="F33" s="9"/>
      <c r="G33" s="9"/>
      <c r="H33" s="9"/>
      <c r="I33" s="9"/>
      <c r="J33" s="9"/>
      <c r="K33" s="9"/>
      <c r="L33" s="9"/>
      <c r="M33" s="9"/>
      <c r="N33" s="9"/>
      <c r="O33" s="9"/>
      <c r="P33" s="9"/>
      <c r="Q33" s="9"/>
      <c r="R33" s="9"/>
      <c r="S33" s="567"/>
    </row>
    <row r="34" spans="1:25" ht="15" customHeight="1" outlineLevel="1" x14ac:dyDescent="0.25">
      <c r="B34" s="575"/>
      <c r="C34" s="566">
        <v>2</v>
      </c>
      <c r="D34" s="380" t="s">
        <v>715</v>
      </c>
      <c r="E34" s="537"/>
      <c r="F34" s="593" t="s">
        <v>717</v>
      </c>
      <c r="G34" s="1742" t="s">
        <v>700</v>
      </c>
      <c r="H34" s="1770">
        <f>MATCH(G34,HIDE5!$U$13:$U$17,0)</f>
        <v>1</v>
      </c>
      <c r="I34" s="1771"/>
      <c r="J34" s="1771"/>
      <c r="K34" s="1771"/>
      <c r="L34" s="1771"/>
      <c r="M34" s="380" t="s">
        <v>718</v>
      </c>
      <c r="N34" s="380"/>
      <c r="O34" s="380"/>
      <c r="P34" s="380"/>
      <c r="Q34" s="380"/>
      <c r="R34" s="576"/>
      <c r="S34" s="567"/>
    </row>
    <row r="35" spans="1:25" ht="15" customHeight="1" outlineLevel="1" x14ac:dyDescent="0.25">
      <c r="B35" s="1767"/>
      <c r="C35" s="1768"/>
      <c r="D35" s="1768"/>
      <c r="E35" s="1768"/>
      <c r="F35" s="1768"/>
      <c r="G35" s="1768"/>
      <c r="H35" s="1768"/>
      <c r="I35" s="1768"/>
      <c r="J35" s="1769"/>
      <c r="K35" s="1769"/>
      <c r="L35" s="1769"/>
      <c r="M35" s="597" t="s">
        <v>700</v>
      </c>
      <c r="N35" s="597" t="s">
        <v>701</v>
      </c>
      <c r="O35" s="597" t="s">
        <v>702</v>
      </c>
      <c r="P35" s="597" t="s">
        <v>703</v>
      </c>
      <c r="Q35" s="597" t="s">
        <v>704</v>
      </c>
      <c r="R35" s="576"/>
      <c r="S35" s="567"/>
    </row>
    <row r="36" spans="1:25" ht="15" customHeight="1" outlineLevel="1" x14ac:dyDescent="0.25">
      <c r="B36" s="559"/>
      <c r="C36" s="1768"/>
      <c r="D36" s="586" t="str">
        <f>HIDE5!$X$3</f>
        <v>Appliances</v>
      </c>
      <c r="E36" s="1772">
        <f>SUMIFS(Table3[Total],Table3[Category],$D36,Table3[Check],HIDE5!$Q$3)</f>
        <v>0</v>
      </c>
      <c r="F36" s="586" t="str">
        <f>HIDE5!$X$7</f>
        <v>Lighting</v>
      </c>
      <c r="G36" s="1772">
        <f>SUMIFS(Table3[Total],Table3[Category],$F36,Table3[Check],HIDE5!$Q$3)</f>
        <v>0</v>
      </c>
      <c r="H36" s="1771"/>
      <c r="I36" s="1771"/>
      <c r="J36" s="1771"/>
      <c r="K36" s="1771"/>
      <c r="L36" s="1771"/>
      <c r="M36" s="1773">
        <f>SUMIF(Table3[P1],HIDE5!$Q$3,Table3[Total])</f>
        <v>0</v>
      </c>
      <c r="N36" s="1773">
        <f>SUMIF(Table3[P2],HIDE5!$Q$3,Table3[Total])</f>
        <v>0</v>
      </c>
      <c r="O36" s="1773">
        <f>SUMIF(Table3[P3],HIDE5!$Q$3,Table3[Total])</f>
        <v>0</v>
      </c>
      <c r="P36" s="1773">
        <f>SUMIF(Table3[P4],HIDE5!$Q$3,Table3[Total])</f>
        <v>0</v>
      </c>
      <c r="Q36" s="1773">
        <f>SUMIF(Table3[P5],HIDE5!$Q$3,Table3[Total])</f>
        <v>0</v>
      </c>
      <c r="R36" s="576"/>
      <c r="S36" s="567"/>
    </row>
    <row r="37" spans="1:25" ht="15" customHeight="1" outlineLevel="1" x14ac:dyDescent="0.25">
      <c r="B37" s="559"/>
      <c r="C37" s="1768"/>
      <c r="D37" s="586" t="str">
        <f>HIDE5!$X$4</f>
        <v>Furniture</v>
      </c>
      <c r="E37" s="1772">
        <f>SUMIFS(Table3[Total],Table3[Category],$D37,Table3[Check],HIDE5!$Q$3)</f>
        <v>0</v>
      </c>
      <c r="F37" s="586" t="str">
        <f>HIDE5!$X$8</f>
        <v>Electronics</v>
      </c>
      <c r="G37" s="1772">
        <f>SUMIFS(Table3[Total],Table3[Category],$F37,Table3[Check],HIDE5!$Q$3)</f>
        <v>0</v>
      </c>
      <c r="H37" s="1771"/>
      <c r="I37" s="1771"/>
      <c r="J37" s="1771"/>
      <c r="K37" s="1771"/>
      <c r="L37" s="1771"/>
      <c r="M37" s="1771"/>
      <c r="N37" s="1771"/>
      <c r="O37" s="1771"/>
      <c r="P37" s="1771"/>
      <c r="Q37" s="1771"/>
      <c r="R37" s="576"/>
      <c r="S37" s="567"/>
    </row>
    <row r="38" spans="1:25" ht="15" customHeight="1" outlineLevel="1" x14ac:dyDescent="0.25">
      <c r="B38" s="559"/>
      <c r="C38" s="1768"/>
      <c r="D38" s="586" t="str">
        <f>HIDE5!$X$5</f>
        <v>Kitchenware</v>
      </c>
      <c r="E38" s="1772">
        <f>SUMIFS(Table3[Total],Table3[Category],$D38,Table3[Check],HIDE5!$Q$3)</f>
        <v>0</v>
      </c>
      <c r="F38" s="586" t="str">
        <f>HIDE5!$X$10</f>
        <v>Accessories</v>
      </c>
      <c r="G38" s="1772">
        <f>SUMIFS(Table3[Total],Table3[Category],$F38,Table3[Check],HIDE5!$Q$3)</f>
        <v>0</v>
      </c>
      <c r="H38" s="1771"/>
      <c r="I38" s="1771"/>
      <c r="J38" s="1771"/>
      <c r="K38" s="1771"/>
      <c r="L38" s="1771"/>
      <c r="M38" s="1771"/>
      <c r="N38" s="1771"/>
      <c r="O38" s="1771"/>
      <c r="P38" s="1771"/>
      <c r="Q38" s="1771"/>
      <c r="R38" s="576"/>
      <c r="S38" s="567"/>
    </row>
    <row r="39" spans="1:25" s="558" customFormat="1" ht="15" customHeight="1" outlineLevel="1" x14ac:dyDescent="0.25">
      <c r="A39" s="274"/>
      <c r="B39" s="559"/>
      <c r="C39" s="1768"/>
      <c r="D39" s="586" t="str">
        <f>HIDE5!$X$6</f>
        <v>Bedding</v>
      </c>
      <c r="E39" s="1772">
        <f>SUMIFS(Table3[Total],Table3[Category],$D39,Table3[Check],HIDE5!$Q$3)</f>
        <v>0</v>
      </c>
      <c r="F39" s="586" t="str">
        <f>HIDE5!$X$11</f>
        <v>Decor</v>
      </c>
      <c r="G39" s="1772">
        <f>SUMIFS(Table3[Total],Table3[Category],$F39,Table3[Check],HIDE5!$Q$3)</f>
        <v>0</v>
      </c>
      <c r="H39" s="1771"/>
      <c r="I39" s="1771"/>
      <c r="J39" s="1771"/>
      <c r="K39" s="1771"/>
      <c r="L39" s="1771"/>
      <c r="M39" s="1771"/>
      <c r="N39" s="1771"/>
      <c r="O39" s="1771"/>
      <c r="P39" s="1771"/>
      <c r="Q39" s="1771"/>
      <c r="R39" s="576"/>
      <c r="S39" s="567"/>
      <c r="T39" s="274"/>
      <c r="U39" s="274"/>
      <c r="V39" s="274"/>
      <c r="W39" s="274"/>
      <c r="X39" s="274"/>
      <c r="Y39" s="274"/>
    </row>
    <row r="40" spans="1:25" outlineLevel="1" x14ac:dyDescent="0.25">
      <c r="A40" s="558"/>
      <c r="B40" s="559"/>
      <c r="C40" s="1772"/>
      <c r="D40" s="1772"/>
      <c r="E40" s="1772"/>
      <c r="F40" s="1772"/>
      <c r="G40" s="1772"/>
      <c r="H40" s="1771"/>
      <c r="I40" s="1771"/>
      <c r="J40" s="1771"/>
      <c r="K40" s="1771"/>
      <c r="L40" s="1771"/>
      <c r="M40" s="1771"/>
      <c r="N40" s="1771"/>
      <c r="O40" s="1771"/>
      <c r="P40" s="1771"/>
      <c r="Q40" s="1771"/>
      <c r="R40" s="576"/>
      <c r="S40" s="567"/>
    </row>
    <row r="41" spans="1:25" s="558" customFormat="1" ht="15" customHeight="1" outlineLevel="1" x14ac:dyDescent="0.25">
      <c r="A41" s="274"/>
      <c r="B41" s="559"/>
      <c r="C41" s="1772"/>
      <c r="D41" s="591" t="s">
        <v>696</v>
      </c>
      <c r="E41" s="1774">
        <f>IFERROR(SUM(E36:E39,G36:G39),0)</f>
        <v>0</v>
      </c>
      <c r="F41" s="1771"/>
      <c r="G41" s="1771"/>
      <c r="H41" s="1771"/>
      <c r="I41" s="1771"/>
      <c r="J41" s="1771"/>
      <c r="K41" s="1771"/>
      <c r="L41" s="1771"/>
      <c r="M41" s="1771"/>
      <c r="N41" s="1771"/>
      <c r="O41" s="1771"/>
      <c r="P41" s="1772"/>
      <c r="Q41" s="1772"/>
      <c r="R41" s="577"/>
      <c r="S41" s="567"/>
    </row>
    <row r="42" spans="1:25" ht="15" customHeight="1" x14ac:dyDescent="0.25">
      <c r="A42" s="558"/>
      <c r="B42" s="575"/>
      <c r="C42" s="9"/>
      <c r="D42" s="9"/>
      <c r="E42" s="9"/>
      <c r="F42" s="9"/>
      <c r="G42" s="9"/>
      <c r="H42" s="9"/>
      <c r="I42" s="9"/>
      <c r="J42" s="9"/>
      <c r="K42" s="9"/>
      <c r="L42" s="9"/>
      <c r="M42" s="9"/>
      <c r="N42" s="9"/>
      <c r="O42" s="9"/>
      <c r="P42" s="9"/>
      <c r="Q42" s="9"/>
      <c r="R42" s="9"/>
      <c r="S42" s="567"/>
    </row>
    <row r="43" spans="1:25" x14ac:dyDescent="0.25">
      <c r="B43" s="561"/>
      <c r="C43" s="578"/>
      <c r="D43" s="578"/>
      <c r="E43" s="578"/>
      <c r="F43" s="578"/>
      <c r="G43" s="578"/>
      <c r="H43" s="578"/>
      <c r="I43" s="578"/>
      <c r="J43" s="578"/>
      <c r="K43" s="578"/>
      <c r="L43" s="578"/>
      <c r="M43" s="579"/>
      <c r="N43" s="579"/>
      <c r="O43" s="579"/>
      <c r="P43" s="579"/>
      <c r="Q43" s="579"/>
      <c r="R43" s="579"/>
      <c r="S43" s="580"/>
      <c r="T43" s="558"/>
      <c r="U43" s="558"/>
      <c r="V43" s="558"/>
      <c r="W43" s="558"/>
      <c r="X43" s="558"/>
      <c r="Y43" s="558"/>
    </row>
    <row r="44" spans="1:25" outlineLevel="1" x14ac:dyDescent="0.25"/>
    <row r="45" spans="1:25" outlineLevel="1" x14ac:dyDescent="0.25">
      <c r="B45" s="581">
        <v>2</v>
      </c>
      <c r="C45" s="563" t="str">
        <f>UPPER(DASHBOARD!$D$69)</f>
        <v>DINING ROOM</v>
      </c>
      <c r="D45" s="564"/>
      <c r="E45" s="564"/>
      <c r="F45" s="564"/>
      <c r="G45" s="564"/>
      <c r="H45" s="564"/>
      <c r="I45" s="564"/>
      <c r="J45" s="564"/>
      <c r="K45" s="564"/>
      <c r="L45" s="564"/>
      <c r="M45" s="564"/>
      <c r="N45" s="564"/>
      <c r="O45" s="564"/>
      <c r="P45" s="564"/>
      <c r="Q45" s="564"/>
      <c r="R45" s="564"/>
      <c r="S45" s="565"/>
    </row>
    <row r="46" spans="1:25" outlineLevel="1" x14ac:dyDescent="0.25">
      <c r="B46" s="559"/>
      <c r="C46" s="9"/>
      <c r="D46" s="9"/>
      <c r="E46" s="9"/>
      <c r="F46" s="9"/>
      <c r="G46" s="9"/>
      <c r="H46" s="9"/>
      <c r="I46" s="9"/>
      <c r="J46" s="9"/>
      <c r="K46" s="9"/>
      <c r="L46" s="9"/>
      <c r="M46" s="9"/>
      <c r="N46" s="9"/>
      <c r="O46" s="9"/>
      <c r="P46" s="9"/>
      <c r="Q46" s="9"/>
      <c r="R46" s="9"/>
      <c r="S46" s="560"/>
    </row>
    <row r="47" spans="1:25" ht="15.75" customHeight="1" outlineLevel="1" x14ac:dyDescent="0.25">
      <c r="B47" s="559"/>
      <c r="C47" s="566">
        <v>1</v>
      </c>
      <c r="D47" s="380" t="s">
        <v>1147</v>
      </c>
      <c r="E47" s="537"/>
      <c r="F47" s="537"/>
      <c r="G47" s="537"/>
      <c r="H47" s="537"/>
      <c r="I47" s="537"/>
      <c r="J47" s="537"/>
      <c r="K47" s="537"/>
      <c r="L47" s="537"/>
      <c r="M47" s="568"/>
      <c r="N47" s="569"/>
      <c r="O47" s="569"/>
      <c r="P47" s="570"/>
      <c r="Q47" s="569"/>
      <c r="R47" s="569"/>
      <c r="S47" s="567"/>
    </row>
    <row r="48" spans="1:25" outlineLevel="1" x14ac:dyDescent="0.25">
      <c r="B48" s="559"/>
      <c r="C48" s="571"/>
      <c r="D48" s="572"/>
      <c r="E48" s="572"/>
      <c r="F48" s="572"/>
      <c r="G48" s="572"/>
      <c r="H48" s="572"/>
      <c r="I48" s="572"/>
      <c r="J48" s="573"/>
      <c r="K48" s="573"/>
      <c r="L48" s="573"/>
      <c r="M48" s="573"/>
      <c r="N48" s="573"/>
      <c r="O48" s="572"/>
      <c r="P48" s="571"/>
      <c r="Q48" s="574"/>
      <c r="R48" s="585"/>
      <c r="S48" s="567"/>
    </row>
    <row r="49" spans="1:25" outlineLevel="1" x14ac:dyDescent="0.25">
      <c r="B49" s="559"/>
      <c r="C49" s="571"/>
      <c r="D49" s="572"/>
      <c r="E49" s="572"/>
      <c r="F49" s="572"/>
      <c r="G49" s="572"/>
      <c r="H49" s="572"/>
      <c r="I49" s="572"/>
      <c r="J49" s="573"/>
      <c r="K49" s="573"/>
      <c r="L49" s="84"/>
      <c r="M49" s="2580" t="s">
        <v>719</v>
      </c>
      <c r="N49" s="2581"/>
      <c r="O49" s="2581"/>
      <c r="P49" s="2581"/>
      <c r="Q49" s="2581"/>
      <c r="R49" s="589"/>
      <c r="S49" s="567"/>
    </row>
    <row r="50" spans="1:25" outlineLevel="1" x14ac:dyDescent="0.25">
      <c r="B50" s="559"/>
      <c r="C50" s="571"/>
      <c r="D50" s="590" t="s">
        <v>633</v>
      </c>
      <c r="E50" s="587" t="s">
        <v>697</v>
      </c>
      <c r="F50" s="587" t="s">
        <v>438</v>
      </c>
      <c r="G50" s="587" t="s">
        <v>698</v>
      </c>
      <c r="H50" s="587" t="s">
        <v>662</v>
      </c>
      <c r="I50" s="587" t="s">
        <v>699</v>
      </c>
      <c r="J50" s="587" t="s">
        <v>20</v>
      </c>
      <c r="K50" s="587" t="s">
        <v>695</v>
      </c>
      <c r="L50" s="592" t="s">
        <v>716</v>
      </c>
      <c r="M50" s="588" t="s">
        <v>700</v>
      </c>
      <c r="N50" s="588" t="s">
        <v>701</v>
      </c>
      <c r="O50" s="588" t="s">
        <v>702</v>
      </c>
      <c r="P50" s="588" t="s">
        <v>703</v>
      </c>
      <c r="Q50" s="588" t="s">
        <v>704</v>
      </c>
      <c r="R50" s="588" t="s">
        <v>124</v>
      </c>
      <c r="S50" s="567"/>
    </row>
    <row r="51" spans="1:25" ht="14.4" outlineLevel="1" x14ac:dyDescent="0.25">
      <c r="B51" s="559"/>
      <c r="C51" s="571"/>
      <c r="D51" s="1752"/>
      <c r="E51" s="1737"/>
      <c r="F51" s="1737"/>
      <c r="G51" s="1737"/>
      <c r="H51" s="1737"/>
      <c r="I51" s="1737"/>
      <c r="J51" s="1702">
        <f>Table37[[#This Row],[Quantity]]*Table37[[#This Row],[Unit Price]]</f>
        <v>0</v>
      </c>
      <c r="K51" s="1737"/>
      <c r="L51" s="1753"/>
      <c r="M51" s="1754"/>
      <c r="N51" s="1754"/>
      <c r="O51" s="1754"/>
      <c r="P51" s="1754"/>
      <c r="Q51" s="1754"/>
      <c r="R51" s="594" cm="1">
        <f t="array" ref="R51">INDEX(Table37[[#This Row],[P1]:[P5]],1,$H$34)</f>
        <v>0</v>
      </c>
      <c r="S51" s="567"/>
    </row>
    <row r="52" spans="1:25" ht="15" customHeight="1" outlineLevel="1" x14ac:dyDescent="0.25">
      <c r="B52" s="559"/>
      <c r="C52" s="571"/>
      <c r="D52" s="1752"/>
      <c r="E52" s="1737"/>
      <c r="F52" s="1737"/>
      <c r="G52" s="1737"/>
      <c r="H52" s="1737"/>
      <c r="I52" s="1737"/>
      <c r="J52" s="1702">
        <f>Table37[[#This Row],[Quantity]]*Table37[[#This Row],[Unit Price]]</f>
        <v>0</v>
      </c>
      <c r="K52" s="1737"/>
      <c r="L52" s="1755"/>
      <c r="M52" s="1754"/>
      <c r="N52" s="1754"/>
      <c r="O52" s="1754"/>
      <c r="P52" s="1754"/>
      <c r="Q52" s="1754"/>
      <c r="R52" s="595" cm="1">
        <f t="array" ref="R52">INDEX(Table37[[#This Row],[P1]:[P5]],1,$H$34)</f>
        <v>0</v>
      </c>
      <c r="S52" s="567"/>
    </row>
    <row r="53" spans="1:25" ht="15" customHeight="1" outlineLevel="1" x14ac:dyDescent="0.25">
      <c r="B53" s="559"/>
      <c r="C53" s="571"/>
      <c r="D53" s="1752"/>
      <c r="E53" s="1737"/>
      <c r="F53" s="1737"/>
      <c r="G53" s="1737"/>
      <c r="H53" s="1737"/>
      <c r="I53" s="1737"/>
      <c r="J53" s="1702">
        <f>Table37[[#This Row],[Quantity]]*Table37[[#This Row],[Unit Price]]</f>
        <v>0</v>
      </c>
      <c r="K53" s="1737"/>
      <c r="L53" s="1755"/>
      <c r="M53" s="1754"/>
      <c r="N53" s="1754"/>
      <c r="O53" s="1754"/>
      <c r="P53" s="1754"/>
      <c r="Q53" s="1754"/>
      <c r="R53" s="595" cm="1">
        <f t="array" ref="R53">INDEX(Table37[[#This Row],[P1]:[P5]],1,$H$34)</f>
        <v>0</v>
      </c>
      <c r="S53" s="567"/>
    </row>
    <row r="54" spans="1:25" ht="15" customHeight="1" outlineLevel="1" x14ac:dyDescent="0.25">
      <c r="B54" s="559"/>
      <c r="C54" s="571"/>
      <c r="D54" s="1752"/>
      <c r="E54" s="1737"/>
      <c r="F54" s="1737"/>
      <c r="G54" s="1737"/>
      <c r="H54" s="1737"/>
      <c r="I54" s="1737"/>
      <c r="J54" s="1702">
        <f>Table37[[#This Row],[Quantity]]*Table37[[#This Row],[Unit Price]]</f>
        <v>0</v>
      </c>
      <c r="K54" s="1737"/>
      <c r="L54" s="1753"/>
      <c r="M54" s="1754"/>
      <c r="N54" s="1754"/>
      <c r="O54" s="1754"/>
      <c r="P54" s="1754"/>
      <c r="Q54" s="1754"/>
      <c r="R54" s="595" cm="1">
        <f t="array" ref="R54">INDEX(Table37[[#This Row],[P1]:[P5]],1,$H$34)</f>
        <v>0</v>
      </c>
      <c r="S54" s="567"/>
    </row>
    <row r="55" spans="1:25" ht="15" customHeight="1" outlineLevel="1" x14ac:dyDescent="0.25">
      <c r="B55" s="559"/>
      <c r="C55" s="571"/>
      <c r="D55" s="1752"/>
      <c r="E55" s="1737"/>
      <c r="F55" s="1737"/>
      <c r="G55" s="1737"/>
      <c r="H55" s="1737"/>
      <c r="I55" s="1737"/>
      <c r="J55" s="1702">
        <f>Table37[[#This Row],[Quantity]]*Table37[[#This Row],[Unit Price]]</f>
        <v>0</v>
      </c>
      <c r="K55" s="1737"/>
      <c r="L55" s="1755"/>
      <c r="M55" s="1754"/>
      <c r="N55" s="1754"/>
      <c r="O55" s="1754"/>
      <c r="P55" s="1754"/>
      <c r="Q55" s="1754"/>
      <c r="R55" s="595" cm="1">
        <f t="array" ref="R55">INDEX(Table37[[#This Row],[P1]:[P5]],1,$H$34)</f>
        <v>0</v>
      </c>
      <c r="S55" s="567"/>
    </row>
    <row r="56" spans="1:25" ht="15" customHeight="1" outlineLevel="1" x14ac:dyDescent="0.25">
      <c r="B56" s="559"/>
      <c r="C56" s="571"/>
      <c r="D56" s="1752"/>
      <c r="E56" s="1737"/>
      <c r="F56" s="1737"/>
      <c r="G56" s="1737"/>
      <c r="H56" s="1737"/>
      <c r="I56" s="1737"/>
      <c r="J56" s="1702">
        <f>Table37[[#This Row],[Quantity]]*Table37[[#This Row],[Unit Price]]</f>
        <v>0</v>
      </c>
      <c r="K56" s="1737"/>
      <c r="L56" s="1755"/>
      <c r="M56" s="1754"/>
      <c r="N56" s="1754"/>
      <c r="O56" s="1754"/>
      <c r="P56" s="1754"/>
      <c r="Q56" s="1754"/>
      <c r="R56" s="595" cm="1">
        <f t="array" ref="R56">INDEX(Table37[[#This Row],[P1]:[P5]],1,$H$34)</f>
        <v>0</v>
      </c>
      <c r="S56" s="567"/>
    </row>
    <row r="57" spans="1:25" s="276" customFormat="1" ht="15" customHeight="1" outlineLevel="1" x14ac:dyDescent="0.25">
      <c r="A57" s="274"/>
      <c r="B57" s="559"/>
      <c r="C57" s="571"/>
      <c r="D57" s="1752"/>
      <c r="E57" s="1737"/>
      <c r="F57" s="1737"/>
      <c r="G57" s="1737"/>
      <c r="H57" s="1737"/>
      <c r="I57" s="1737"/>
      <c r="J57" s="1702">
        <f>Table37[[#This Row],[Quantity]]*Table37[[#This Row],[Unit Price]]</f>
        <v>0</v>
      </c>
      <c r="K57" s="1737"/>
      <c r="L57" s="1755"/>
      <c r="M57" s="1754"/>
      <c r="N57" s="1754"/>
      <c r="O57" s="1754"/>
      <c r="P57" s="1754"/>
      <c r="Q57" s="1754"/>
      <c r="R57" s="595" cm="1">
        <f t="array" ref="R57">INDEX(Table37[[#This Row],[P1]:[P5]],1,$H$34)</f>
        <v>0</v>
      </c>
      <c r="S57" s="567"/>
      <c r="T57" s="274"/>
      <c r="U57" s="274"/>
      <c r="V57" s="274"/>
      <c r="W57" s="274"/>
      <c r="X57" s="274"/>
      <c r="Y57" s="274"/>
    </row>
    <row r="58" spans="1:25" s="276" customFormat="1" ht="15" customHeight="1" outlineLevel="1" x14ac:dyDescent="0.25">
      <c r="B58" s="559"/>
      <c r="C58" s="571"/>
      <c r="D58" s="1752"/>
      <c r="E58" s="1737"/>
      <c r="F58" s="1737"/>
      <c r="G58" s="1737"/>
      <c r="H58" s="1737"/>
      <c r="I58" s="1737"/>
      <c r="J58" s="1702">
        <f>Table37[[#This Row],[Quantity]]*Table37[[#This Row],[Unit Price]]</f>
        <v>0</v>
      </c>
      <c r="K58" s="1737"/>
      <c r="L58" s="1755"/>
      <c r="M58" s="1754"/>
      <c r="N58" s="1754"/>
      <c r="O58" s="1754"/>
      <c r="P58" s="1754"/>
      <c r="Q58" s="1754"/>
      <c r="R58" s="595" cm="1">
        <f t="array" ref="R58">INDEX(Table37[[#This Row],[P1]:[P5]],1,$H$34)</f>
        <v>0</v>
      </c>
      <c r="S58" s="567"/>
      <c r="T58" s="274"/>
      <c r="U58" s="274"/>
      <c r="V58" s="274"/>
      <c r="W58" s="274"/>
      <c r="X58" s="274"/>
      <c r="Y58" s="274"/>
    </row>
    <row r="59" spans="1:25" s="276" customFormat="1" ht="15" customHeight="1" outlineLevel="1" x14ac:dyDescent="0.25">
      <c r="B59" s="559"/>
      <c r="C59" s="571"/>
      <c r="D59" s="1752"/>
      <c r="E59" s="1737"/>
      <c r="F59" s="1737"/>
      <c r="G59" s="1737"/>
      <c r="H59" s="1737"/>
      <c r="I59" s="1737"/>
      <c r="J59" s="1702">
        <f>Table37[[#This Row],[Quantity]]*Table37[[#This Row],[Unit Price]]</f>
        <v>0</v>
      </c>
      <c r="K59" s="1737"/>
      <c r="L59" s="1755"/>
      <c r="M59" s="1754"/>
      <c r="N59" s="1754"/>
      <c r="O59" s="1754"/>
      <c r="P59" s="1754"/>
      <c r="Q59" s="1754"/>
      <c r="R59" s="595" cm="1">
        <f t="array" ref="R59">INDEX(Table37[[#This Row],[P1]:[P5]],1,$H$34)</f>
        <v>0</v>
      </c>
      <c r="S59" s="567"/>
    </row>
    <row r="60" spans="1:25" s="276" customFormat="1" ht="15" customHeight="1" outlineLevel="1" x14ac:dyDescent="0.25">
      <c r="B60" s="559"/>
      <c r="C60" s="571"/>
      <c r="D60" s="1752"/>
      <c r="E60" s="1737"/>
      <c r="F60" s="1737"/>
      <c r="G60" s="1737"/>
      <c r="H60" s="1737"/>
      <c r="I60" s="1737"/>
      <c r="J60" s="1702">
        <f>Table37[[#This Row],[Quantity]]*Table37[[#This Row],[Unit Price]]</f>
        <v>0</v>
      </c>
      <c r="K60" s="1737"/>
      <c r="L60" s="1755"/>
      <c r="M60" s="1754"/>
      <c r="N60" s="1754"/>
      <c r="O60" s="1754"/>
      <c r="P60" s="1754"/>
      <c r="Q60" s="1754"/>
      <c r="R60" s="595" cm="1">
        <f t="array" ref="R60">INDEX(Table37[[#This Row],[P1]:[P5]],1,$H$34)</f>
        <v>0</v>
      </c>
      <c r="S60" s="567"/>
    </row>
    <row r="61" spans="1:25" s="276" customFormat="1" ht="15" customHeight="1" outlineLevel="1" x14ac:dyDescent="0.25">
      <c r="B61" s="559"/>
      <c r="C61" s="571"/>
      <c r="D61" s="1752"/>
      <c r="E61" s="1737"/>
      <c r="F61" s="1737"/>
      <c r="G61" s="1737"/>
      <c r="H61" s="1737"/>
      <c r="I61" s="1737"/>
      <c r="J61" s="1702">
        <f>Table37[[#This Row],[Quantity]]*Table37[[#This Row],[Unit Price]]</f>
        <v>0</v>
      </c>
      <c r="K61" s="1737"/>
      <c r="L61" s="1753"/>
      <c r="M61" s="1754"/>
      <c r="N61" s="1754"/>
      <c r="O61" s="1754"/>
      <c r="P61" s="1754"/>
      <c r="Q61" s="1754"/>
      <c r="R61" s="595" cm="1">
        <f t="array" ref="R61">INDEX(Table37[[#This Row],[P1]:[P5]],1,$H$34)</f>
        <v>0</v>
      </c>
      <c r="S61" s="567"/>
    </row>
    <row r="62" spans="1:25" s="276" customFormat="1" ht="15" customHeight="1" outlineLevel="1" x14ac:dyDescent="0.25">
      <c r="B62" s="559"/>
      <c r="C62" s="571"/>
      <c r="D62" s="1752"/>
      <c r="E62" s="1737"/>
      <c r="F62" s="1737"/>
      <c r="G62" s="1737"/>
      <c r="H62" s="1737"/>
      <c r="I62" s="1737"/>
      <c r="J62" s="1702">
        <f>Table37[[#This Row],[Quantity]]*Table37[[#This Row],[Unit Price]]</f>
        <v>0</v>
      </c>
      <c r="K62" s="1737"/>
      <c r="L62" s="1755"/>
      <c r="M62" s="1754"/>
      <c r="N62" s="1754"/>
      <c r="O62" s="1754"/>
      <c r="P62" s="1754"/>
      <c r="Q62" s="1754"/>
      <c r="R62" s="595" cm="1">
        <f t="array" ref="R62">INDEX(Table37[[#This Row],[P1]:[P5]],1,$H$34)</f>
        <v>0</v>
      </c>
      <c r="S62" s="567"/>
    </row>
    <row r="63" spans="1:25" s="276" customFormat="1" ht="15" customHeight="1" outlineLevel="1" x14ac:dyDescent="0.25">
      <c r="B63" s="559"/>
      <c r="C63" s="571"/>
      <c r="D63" s="1752"/>
      <c r="E63" s="1737"/>
      <c r="F63" s="1737"/>
      <c r="G63" s="1737"/>
      <c r="H63" s="1737"/>
      <c r="I63" s="1737"/>
      <c r="J63" s="1702">
        <f>Table37[[#This Row],[Quantity]]*Table37[[#This Row],[Unit Price]]</f>
        <v>0</v>
      </c>
      <c r="K63" s="1737"/>
      <c r="L63" s="1755"/>
      <c r="M63" s="1754"/>
      <c r="N63" s="1754"/>
      <c r="O63" s="1754"/>
      <c r="P63" s="1754"/>
      <c r="Q63" s="1754"/>
      <c r="R63" s="595" cm="1">
        <f t="array" ref="R63">INDEX(Table37[[#This Row],[P1]:[P5]],1,$H$34)</f>
        <v>0</v>
      </c>
      <c r="S63" s="567"/>
    </row>
    <row r="64" spans="1:25" outlineLevel="1" x14ac:dyDescent="0.25">
      <c r="A64" s="276"/>
      <c r="B64" s="559"/>
      <c r="C64" s="571"/>
      <c r="D64" s="1752"/>
      <c r="E64" s="1737"/>
      <c r="F64" s="1737"/>
      <c r="G64" s="1737"/>
      <c r="H64" s="1737"/>
      <c r="I64" s="1737"/>
      <c r="J64" s="1702">
        <f>Table37[[#This Row],[Quantity]]*Table37[[#This Row],[Unit Price]]</f>
        <v>0</v>
      </c>
      <c r="K64" s="1737"/>
      <c r="L64" s="1755"/>
      <c r="M64" s="1754"/>
      <c r="N64" s="1754"/>
      <c r="O64" s="1754"/>
      <c r="P64" s="1754"/>
      <c r="Q64" s="1754"/>
      <c r="R64" s="595" cm="1">
        <f t="array" ref="R64">INDEX(Table37[[#This Row],[P1]:[P5]],1,$H$34)</f>
        <v>0</v>
      </c>
      <c r="S64" s="567"/>
      <c r="T64" s="276"/>
      <c r="U64" s="276"/>
      <c r="V64" s="276"/>
      <c r="W64" s="276"/>
      <c r="X64" s="276"/>
      <c r="Y64" s="276"/>
    </row>
    <row r="65" spans="1:25" outlineLevel="1" x14ac:dyDescent="0.25">
      <c r="B65" s="559"/>
      <c r="C65" s="571"/>
      <c r="D65" s="1752"/>
      <c r="E65" s="1737"/>
      <c r="F65" s="1737"/>
      <c r="G65" s="1737"/>
      <c r="H65" s="1737"/>
      <c r="I65" s="1737"/>
      <c r="J65" s="1702">
        <f>Table37[[#This Row],[Quantity]]*Table37[[#This Row],[Unit Price]]</f>
        <v>0</v>
      </c>
      <c r="K65" s="1737"/>
      <c r="L65" s="1755"/>
      <c r="M65" s="1754"/>
      <c r="N65" s="1754"/>
      <c r="O65" s="1754"/>
      <c r="P65" s="1754"/>
      <c r="Q65" s="1754"/>
      <c r="R65" s="595" cm="1">
        <f t="array" ref="R65">INDEX(Table37[[#This Row],[P1]:[P5]],1,$H$34)</f>
        <v>0</v>
      </c>
      <c r="S65" s="567"/>
      <c r="T65" s="276"/>
      <c r="U65" s="276"/>
      <c r="V65" s="276"/>
      <c r="W65" s="276"/>
      <c r="X65" s="276"/>
      <c r="Y65" s="276"/>
    </row>
    <row r="66" spans="1:25" outlineLevel="1" x14ac:dyDescent="0.25">
      <c r="B66" s="559"/>
      <c r="C66" s="571"/>
      <c r="D66" s="1752"/>
      <c r="E66" s="1737"/>
      <c r="F66" s="1737"/>
      <c r="G66" s="1737"/>
      <c r="H66" s="1737"/>
      <c r="I66" s="1737"/>
      <c r="J66" s="1702">
        <f>Table37[[#This Row],[Quantity]]*Table37[[#This Row],[Unit Price]]</f>
        <v>0</v>
      </c>
      <c r="K66" s="1737"/>
      <c r="L66" s="1755"/>
      <c r="M66" s="1754"/>
      <c r="N66" s="1754"/>
      <c r="O66" s="1754"/>
      <c r="P66" s="1754"/>
      <c r="Q66" s="1754"/>
      <c r="R66" s="595" cm="1">
        <f t="array" ref="R66">INDEX(Table37[[#This Row],[P1]:[P5]],1,$H$34)</f>
        <v>0</v>
      </c>
      <c r="S66" s="567"/>
    </row>
    <row r="67" spans="1:25" ht="15" customHeight="1" outlineLevel="1" x14ac:dyDescent="0.25">
      <c r="B67" s="559"/>
      <c r="C67" s="571"/>
      <c r="D67" s="1752"/>
      <c r="E67" s="1737"/>
      <c r="F67" s="1737"/>
      <c r="G67" s="1737"/>
      <c r="H67" s="1737"/>
      <c r="I67" s="1737"/>
      <c r="J67" s="1702">
        <f>Table37[[#This Row],[Quantity]]*Table37[[#This Row],[Unit Price]]</f>
        <v>0</v>
      </c>
      <c r="K67" s="1737"/>
      <c r="L67" s="1755"/>
      <c r="M67" s="1754"/>
      <c r="N67" s="1754"/>
      <c r="O67" s="1754"/>
      <c r="P67" s="1754"/>
      <c r="Q67" s="1754"/>
      <c r="R67" s="595" cm="1">
        <f t="array" ref="R67">INDEX(Table37[[#This Row],[P1]:[P5]],1,$H$34)</f>
        <v>0</v>
      </c>
      <c r="S67" s="567"/>
    </row>
    <row r="68" spans="1:25" ht="15" customHeight="1" outlineLevel="1" x14ac:dyDescent="0.25">
      <c r="B68" s="559"/>
      <c r="C68" s="571"/>
      <c r="D68" s="1752"/>
      <c r="E68" s="1737"/>
      <c r="F68" s="1737"/>
      <c r="G68" s="1737"/>
      <c r="H68" s="1737"/>
      <c r="I68" s="1737"/>
      <c r="J68" s="1702">
        <f>Table37[[#This Row],[Quantity]]*Table37[[#This Row],[Unit Price]]</f>
        <v>0</v>
      </c>
      <c r="K68" s="1737"/>
      <c r="L68" s="1755"/>
      <c r="M68" s="1754"/>
      <c r="N68" s="1754"/>
      <c r="O68" s="1754"/>
      <c r="P68" s="1754"/>
      <c r="Q68" s="1754"/>
      <c r="R68" s="595" cm="1">
        <f t="array" ref="R68">INDEX(Table37[[#This Row],[P1]:[P5]],1,$H$34)</f>
        <v>0</v>
      </c>
      <c r="S68" s="567"/>
    </row>
    <row r="69" spans="1:25" ht="15" customHeight="1" outlineLevel="1" x14ac:dyDescent="0.25">
      <c r="B69" s="559"/>
      <c r="C69" s="571"/>
      <c r="D69" s="1752"/>
      <c r="E69" s="1737"/>
      <c r="F69" s="1737"/>
      <c r="G69" s="1737"/>
      <c r="H69" s="1737"/>
      <c r="I69" s="1737"/>
      <c r="J69" s="1702">
        <f>Table37[[#This Row],[Quantity]]*Table37[[#This Row],[Unit Price]]</f>
        <v>0</v>
      </c>
      <c r="K69" s="1737"/>
      <c r="L69" s="1755"/>
      <c r="M69" s="1754"/>
      <c r="N69" s="1754"/>
      <c r="O69" s="1754"/>
      <c r="P69" s="1754"/>
      <c r="Q69" s="1754"/>
      <c r="R69" s="595" cm="1">
        <f t="array" ref="R69">INDEX(Table37[[#This Row],[P1]:[P5]],1,$H$34)</f>
        <v>0</v>
      </c>
      <c r="S69" s="567"/>
    </row>
    <row r="70" spans="1:25" ht="15" customHeight="1" outlineLevel="1" x14ac:dyDescent="0.25">
      <c r="B70" s="559"/>
      <c r="C70" s="571"/>
      <c r="D70" s="1752"/>
      <c r="E70" s="1737"/>
      <c r="F70" s="1737"/>
      <c r="G70" s="1737"/>
      <c r="H70" s="1737"/>
      <c r="I70" s="1737"/>
      <c r="J70" s="1702">
        <f>Table37[[#This Row],[Quantity]]*Table37[[#This Row],[Unit Price]]</f>
        <v>0</v>
      </c>
      <c r="K70" s="1737"/>
      <c r="L70" s="1755"/>
      <c r="M70" s="1754"/>
      <c r="N70" s="1754"/>
      <c r="O70" s="1754"/>
      <c r="P70" s="1754"/>
      <c r="Q70" s="1754"/>
      <c r="R70" s="596" cm="1">
        <f t="array" ref="R70">INDEX(Table37[[#This Row],[P1]:[P5]],1,$H$34)</f>
        <v>0</v>
      </c>
      <c r="S70" s="567"/>
    </row>
    <row r="71" spans="1:25" ht="15" customHeight="1" outlineLevel="1" x14ac:dyDescent="0.25">
      <c r="B71" s="575"/>
      <c r="C71" s="9"/>
      <c r="D71" s="9"/>
      <c r="E71" s="9"/>
      <c r="F71" s="9"/>
      <c r="G71" s="9"/>
      <c r="H71" s="9"/>
      <c r="I71" s="9"/>
      <c r="J71" s="9"/>
      <c r="K71" s="9"/>
      <c r="L71" s="9"/>
      <c r="M71" s="9"/>
      <c r="N71" s="9"/>
      <c r="O71" s="9"/>
      <c r="P71" s="9"/>
      <c r="Q71" s="9"/>
      <c r="R71" s="9"/>
      <c r="S71" s="567"/>
    </row>
    <row r="72" spans="1:25" ht="15" customHeight="1" outlineLevel="1" x14ac:dyDescent="0.25">
      <c r="B72" s="575"/>
      <c r="C72" s="566">
        <v>2</v>
      </c>
      <c r="D72" s="380" t="s">
        <v>715</v>
      </c>
      <c r="E72" s="537"/>
      <c r="F72" s="593" t="s">
        <v>717</v>
      </c>
      <c r="G72" s="1742" t="s">
        <v>700</v>
      </c>
      <c r="H72" s="1770">
        <f>MATCH(G72,HIDE5!$U$13:$U$17,0)</f>
        <v>1</v>
      </c>
      <c r="I72" s="1771"/>
      <c r="J72" s="1771"/>
      <c r="K72" s="1771"/>
      <c r="L72" s="1771"/>
      <c r="M72" s="380" t="s">
        <v>718</v>
      </c>
      <c r="N72" s="380"/>
      <c r="O72" s="380"/>
      <c r="P72" s="380"/>
      <c r="Q72" s="380"/>
      <c r="R72" s="576"/>
      <c r="S72" s="567"/>
    </row>
    <row r="73" spans="1:25" ht="15" customHeight="1" outlineLevel="1" x14ac:dyDescent="0.25">
      <c r="B73" s="1767"/>
      <c r="C73" s="1768"/>
      <c r="D73" s="1768"/>
      <c r="E73" s="1768"/>
      <c r="F73" s="1768"/>
      <c r="G73" s="1768"/>
      <c r="H73" s="1768"/>
      <c r="I73" s="1768"/>
      <c r="J73" s="1769"/>
      <c r="K73" s="1769"/>
      <c r="L73" s="1769"/>
      <c r="M73" s="597" t="s">
        <v>700</v>
      </c>
      <c r="N73" s="597" t="s">
        <v>701</v>
      </c>
      <c r="O73" s="597" t="s">
        <v>702</v>
      </c>
      <c r="P73" s="597" t="s">
        <v>703</v>
      </c>
      <c r="Q73" s="597" t="s">
        <v>704</v>
      </c>
      <c r="R73" s="576"/>
      <c r="S73" s="567"/>
    </row>
    <row r="74" spans="1:25" ht="15" customHeight="1" outlineLevel="1" x14ac:dyDescent="0.25">
      <c r="B74" s="559"/>
      <c r="C74" s="1768"/>
      <c r="D74" s="586" t="str">
        <f>HIDE5!$X$3</f>
        <v>Appliances</v>
      </c>
      <c r="E74" s="1772">
        <f>SUMIFS(Table37[Total],Table37[Category],$D74,Table37[Check],HIDE5!$Q$3)</f>
        <v>0</v>
      </c>
      <c r="F74" s="586" t="str">
        <f>HIDE5!$X$7</f>
        <v>Lighting</v>
      </c>
      <c r="G74" s="1772">
        <f>SUMIFS(Table37[Total],Table37[Category],$F74,Table37[Check],HIDE5!$Q$3)</f>
        <v>0</v>
      </c>
      <c r="H74" s="1771"/>
      <c r="I74" s="1771"/>
      <c r="J74" s="1771"/>
      <c r="K74" s="1771"/>
      <c r="L74" s="1771"/>
      <c r="M74" s="1773">
        <f>SUMIF(Table37[P1],HIDE5!$Q$3,Table37[Total])</f>
        <v>0</v>
      </c>
      <c r="N74" s="1773">
        <f>SUMIF(Table37[P2],HIDE5!$Q$3,Table37[Total])</f>
        <v>0</v>
      </c>
      <c r="O74" s="1773">
        <f>SUMIF(Table37[P3],HIDE5!$Q$3,Table37[Total])</f>
        <v>0</v>
      </c>
      <c r="P74" s="1773">
        <f>SUMIF(Table37[P4],HIDE5!$Q$3,Table37[Total])</f>
        <v>0</v>
      </c>
      <c r="Q74" s="1773">
        <f>SUMIF(Table37[P5],HIDE5!$Q$3,Table37[Total])</f>
        <v>0</v>
      </c>
      <c r="R74" s="576"/>
      <c r="S74" s="567"/>
    </row>
    <row r="75" spans="1:25" ht="15" customHeight="1" outlineLevel="1" x14ac:dyDescent="0.25">
      <c r="B75" s="559"/>
      <c r="C75" s="1768"/>
      <c r="D75" s="586" t="str">
        <f>HIDE5!$X$4</f>
        <v>Furniture</v>
      </c>
      <c r="E75" s="1772">
        <f>SUMIFS(Table37[Total],Table37[Category],$D75,Table37[Check],HIDE5!$Q$3)</f>
        <v>0</v>
      </c>
      <c r="F75" s="586" t="str">
        <f>HIDE5!$X$8</f>
        <v>Electronics</v>
      </c>
      <c r="G75" s="1772">
        <f>SUMIFS(Table37[Total],Table37[Category],$F75,Table37[Check],HIDE5!$Q$3)</f>
        <v>0</v>
      </c>
      <c r="H75" s="1771"/>
      <c r="I75" s="1771"/>
      <c r="J75" s="1771"/>
      <c r="K75" s="1771"/>
      <c r="L75" s="1771"/>
      <c r="M75" s="1771"/>
      <c r="N75" s="1771"/>
      <c r="O75" s="1771"/>
      <c r="P75" s="1771"/>
      <c r="Q75" s="1771"/>
      <c r="R75" s="576"/>
      <c r="S75" s="567"/>
    </row>
    <row r="76" spans="1:25" s="558" customFormat="1" ht="15" customHeight="1" outlineLevel="1" x14ac:dyDescent="0.25">
      <c r="A76" s="274"/>
      <c r="B76" s="559"/>
      <c r="C76" s="1768"/>
      <c r="D76" s="586" t="str">
        <f>HIDE5!$X$5</f>
        <v>Kitchenware</v>
      </c>
      <c r="E76" s="1772">
        <f>SUMIFS(Table37[Total],Table37[Category],$D76,Table37[Check],HIDE5!$Q$3)</f>
        <v>0</v>
      </c>
      <c r="F76" s="586" t="str">
        <f>HIDE5!$X$10</f>
        <v>Accessories</v>
      </c>
      <c r="G76" s="1772">
        <f>SUMIFS(Table37[Total],Table37[Category],$F76,Table37[Check],HIDE5!$Q$3)</f>
        <v>0</v>
      </c>
      <c r="H76" s="1771"/>
      <c r="I76" s="1771"/>
      <c r="J76" s="1771"/>
      <c r="K76" s="1771"/>
      <c r="L76" s="1771"/>
      <c r="M76" s="1771"/>
      <c r="N76" s="1771"/>
      <c r="O76" s="1771"/>
      <c r="P76" s="1771"/>
      <c r="Q76" s="1771"/>
      <c r="R76" s="576"/>
      <c r="S76" s="567"/>
      <c r="T76" s="274"/>
      <c r="U76" s="274"/>
      <c r="V76" s="274"/>
      <c r="W76" s="274"/>
      <c r="X76" s="274"/>
      <c r="Y76" s="274"/>
    </row>
    <row r="77" spans="1:25" outlineLevel="1" x14ac:dyDescent="0.25">
      <c r="A77" s="558"/>
      <c r="B77" s="559"/>
      <c r="C77" s="1768"/>
      <c r="D77" s="586" t="str">
        <f>HIDE5!$X$6</f>
        <v>Bedding</v>
      </c>
      <c r="E77" s="1772">
        <f>SUMIFS(Table37[Total],Table37[Category],$D77,Table37[Check],HIDE5!$Q$3)</f>
        <v>0</v>
      </c>
      <c r="F77" s="586" t="str">
        <f>HIDE5!$X$11</f>
        <v>Decor</v>
      </c>
      <c r="G77" s="1772">
        <f>SUMIFS(Table37[Total],Table37[Category],$F77,Table37[Check],HIDE5!$Q$3)</f>
        <v>0</v>
      </c>
      <c r="H77" s="1771"/>
      <c r="I77" s="1771"/>
      <c r="J77" s="1771"/>
      <c r="K77" s="1771"/>
      <c r="L77" s="1771"/>
      <c r="M77" s="1771"/>
      <c r="N77" s="1771"/>
      <c r="O77" s="1771"/>
      <c r="P77" s="1771"/>
      <c r="Q77" s="1771"/>
      <c r="R77" s="576"/>
      <c r="S77" s="567"/>
    </row>
    <row r="78" spans="1:25" s="558" customFormat="1" ht="15" customHeight="1" outlineLevel="1" x14ac:dyDescent="0.25">
      <c r="A78" s="274"/>
      <c r="B78" s="559"/>
      <c r="C78" s="1772"/>
      <c r="D78" s="1772"/>
      <c r="E78" s="1772"/>
      <c r="F78" s="1772"/>
      <c r="G78" s="1772"/>
      <c r="H78" s="1771"/>
      <c r="I78" s="1771"/>
      <c r="J78" s="1771"/>
      <c r="K78" s="1771"/>
      <c r="L78" s="1771"/>
      <c r="M78" s="1771"/>
      <c r="N78" s="1771"/>
      <c r="O78" s="1771"/>
      <c r="P78" s="1771"/>
      <c r="Q78" s="1771"/>
      <c r="R78" s="576"/>
      <c r="S78" s="567"/>
    </row>
    <row r="79" spans="1:25" s="558" customFormat="1" ht="15" customHeight="1" outlineLevel="1" x14ac:dyDescent="0.25">
      <c r="B79" s="559"/>
      <c r="C79" s="1772"/>
      <c r="D79" s="591" t="s">
        <v>696</v>
      </c>
      <c r="E79" s="1774">
        <f>IFERROR(SUM(E74:E77,G74:G77),0)</f>
        <v>0</v>
      </c>
      <c r="F79" s="1771"/>
      <c r="G79" s="1771"/>
      <c r="H79" s="1771"/>
      <c r="I79" s="1771"/>
      <c r="J79" s="1771"/>
      <c r="K79" s="1771"/>
      <c r="L79" s="1771"/>
      <c r="M79" s="1771"/>
      <c r="N79" s="1771"/>
      <c r="O79" s="1771"/>
      <c r="P79" s="1772"/>
      <c r="Q79" s="1772"/>
      <c r="R79" s="577"/>
      <c r="S79" s="567"/>
      <c r="T79" s="274"/>
      <c r="U79" s="274"/>
      <c r="V79" s="274"/>
      <c r="W79" s="274"/>
      <c r="X79" s="274"/>
      <c r="Y79" s="274"/>
    </row>
    <row r="80" spans="1:25" ht="15" customHeight="1" x14ac:dyDescent="0.25">
      <c r="A80" s="558"/>
      <c r="B80" s="575"/>
      <c r="C80" s="9"/>
      <c r="D80" s="9"/>
      <c r="E80" s="9"/>
      <c r="F80" s="9"/>
      <c r="G80" s="9"/>
      <c r="H80" s="9"/>
      <c r="I80" s="9"/>
      <c r="J80" s="9"/>
      <c r="K80" s="9"/>
      <c r="L80" s="9"/>
      <c r="M80" s="9"/>
      <c r="N80" s="9"/>
      <c r="O80" s="9"/>
      <c r="P80" s="9"/>
      <c r="Q80" s="9"/>
      <c r="R80" s="9"/>
      <c r="S80" s="567"/>
      <c r="T80" s="558"/>
      <c r="U80" s="558"/>
      <c r="V80" s="558"/>
      <c r="W80" s="558"/>
      <c r="X80" s="558"/>
      <c r="Y80" s="558"/>
    </row>
    <row r="81" spans="1:25" x14ac:dyDescent="0.25">
      <c r="B81" s="561"/>
      <c r="C81" s="578"/>
      <c r="D81" s="578"/>
      <c r="E81" s="578"/>
      <c r="F81" s="578"/>
      <c r="G81" s="578"/>
      <c r="H81" s="578"/>
      <c r="I81" s="578"/>
      <c r="J81" s="578"/>
      <c r="K81" s="578"/>
      <c r="L81" s="578"/>
      <c r="M81" s="579"/>
      <c r="N81" s="579"/>
      <c r="O81" s="579"/>
      <c r="P81" s="579"/>
      <c r="Q81" s="579"/>
      <c r="R81" s="579"/>
      <c r="S81" s="580"/>
      <c r="T81" s="558"/>
      <c r="U81" s="558"/>
      <c r="V81" s="558"/>
      <c r="W81" s="558"/>
      <c r="X81" s="558"/>
      <c r="Y81" s="558"/>
    </row>
    <row r="82" spans="1:25" outlineLevel="1" x14ac:dyDescent="0.25"/>
    <row r="83" spans="1:25" outlineLevel="1" x14ac:dyDescent="0.25">
      <c r="B83" s="562">
        <v>3</v>
      </c>
      <c r="C83" s="563" t="str">
        <f>UPPER(DASHBOARD!$D$70)</f>
        <v>KITCHEN</v>
      </c>
      <c r="D83" s="564"/>
      <c r="E83" s="564"/>
      <c r="F83" s="564"/>
      <c r="G83" s="564"/>
      <c r="H83" s="564"/>
      <c r="I83" s="564"/>
      <c r="J83" s="564"/>
      <c r="K83" s="564"/>
      <c r="L83" s="564"/>
      <c r="M83" s="564"/>
      <c r="N83" s="564"/>
      <c r="O83" s="564"/>
      <c r="P83" s="564"/>
      <c r="Q83" s="564"/>
      <c r="R83" s="564"/>
      <c r="S83" s="565"/>
    </row>
    <row r="84" spans="1:25" outlineLevel="1" x14ac:dyDescent="0.25">
      <c r="B84" s="559"/>
      <c r="C84" s="9"/>
      <c r="D84" s="9"/>
      <c r="E84" s="9"/>
      <c r="F84" s="9"/>
      <c r="G84" s="9"/>
      <c r="H84" s="9"/>
      <c r="I84" s="9"/>
      <c r="J84" s="9"/>
      <c r="K84" s="9"/>
      <c r="L84" s="9"/>
      <c r="M84" s="9"/>
      <c r="N84" s="9"/>
      <c r="O84" s="9"/>
      <c r="P84" s="9"/>
      <c r="Q84" s="9"/>
      <c r="R84" s="9"/>
      <c r="S84" s="560"/>
    </row>
    <row r="85" spans="1:25" ht="15.75" customHeight="1" outlineLevel="1" x14ac:dyDescent="0.25">
      <c r="B85" s="559"/>
      <c r="C85" s="566">
        <v>1</v>
      </c>
      <c r="D85" s="380" t="s">
        <v>1147</v>
      </c>
      <c r="E85" s="537"/>
      <c r="F85" s="537"/>
      <c r="G85" s="537"/>
      <c r="H85" s="537"/>
      <c r="I85" s="537"/>
      <c r="J85" s="537"/>
      <c r="K85" s="537"/>
      <c r="L85" s="537"/>
      <c r="M85" s="568"/>
      <c r="N85" s="569"/>
      <c r="O85" s="569"/>
      <c r="P85" s="570"/>
      <c r="Q85" s="569"/>
      <c r="R85" s="569"/>
      <c r="S85" s="567"/>
    </row>
    <row r="86" spans="1:25" outlineLevel="1" x14ac:dyDescent="0.25">
      <c r="B86" s="559"/>
      <c r="C86" s="571"/>
      <c r="D86" s="572"/>
      <c r="E86" s="572"/>
      <c r="F86" s="572"/>
      <c r="G86" s="572"/>
      <c r="H86" s="572"/>
      <c r="I86" s="572"/>
      <c r="J86" s="573"/>
      <c r="K86" s="573"/>
      <c r="L86" s="573"/>
      <c r="M86" s="573"/>
      <c r="N86" s="573"/>
      <c r="O86" s="572"/>
      <c r="P86" s="571"/>
      <c r="Q86" s="574"/>
      <c r="R86" s="585"/>
      <c r="S86" s="567"/>
    </row>
    <row r="87" spans="1:25" outlineLevel="1" x14ac:dyDescent="0.25">
      <c r="B87" s="559"/>
      <c r="C87" s="571"/>
      <c r="D87" s="572"/>
      <c r="E87" s="572"/>
      <c r="F87" s="572"/>
      <c r="G87" s="572"/>
      <c r="H87" s="572"/>
      <c r="I87" s="572"/>
      <c r="J87" s="573"/>
      <c r="K87" s="573"/>
      <c r="L87" s="84"/>
      <c r="M87" s="2580" t="s">
        <v>719</v>
      </c>
      <c r="N87" s="2581"/>
      <c r="O87" s="2581"/>
      <c r="P87" s="2581"/>
      <c r="Q87" s="2581"/>
      <c r="R87" s="589"/>
      <c r="S87" s="567"/>
    </row>
    <row r="88" spans="1:25" outlineLevel="1" x14ac:dyDescent="0.25">
      <c r="B88" s="559"/>
      <c r="C88" s="571"/>
      <c r="D88" s="590" t="s">
        <v>633</v>
      </c>
      <c r="E88" s="587" t="s">
        <v>697</v>
      </c>
      <c r="F88" s="587" t="s">
        <v>438</v>
      </c>
      <c r="G88" s="587" t="s">
        <v>698</v>
      </c>
      <c r="H88" s="587" t="s">
        <v>662</v>
      </c>
      <c r="I88" s="587" t="s">
        <v>699</v>
      </c>
      <c r="J88" s="587" t="s">
        <v>20</v>
      </c>
      <c r="K88" s="587" t="s">
        <v>695</v>
      </c>
      <c r="L88" s="592" t="s">
        <v>716</v>
      </c>
      <c r="M88" s="588" t="s">
        <v>700</v>
      </c>
      <c r="N88" s="588" t="s">
        <v>701</v>
      </c>
      <c r="O88" s="588" t="s">
        <v>702</v>
      </c>
      <c r="P88" s="588" t="s">
        <v>703</v>
      </c>
      <c r="Q88" s="588" t="s">
        <v>704</v>
      </c>
      <c r="R88" s="588" t="s">
        <v>124</v>
      </c>
      <c r="S88" s="567"/>
    </row>
    <row r="89" spans="1:25" ht="14.4" outlineLevel="1" x14ac:dyDescent="0.25">
      <c r="B89" s="559"/>
      <c r="C89" s="571"/>
      <c r="D89" s="1752"/>
      <c r="E89" s="1737"/>
      <c r="F89" s="1737"/>
      <c r="G89" s="1737"/>
      <c r="H89" s="1737"/>
      <c r="I89" s="1737"/>
      <c r="J89" s="1702">
        <f>Table378[[#This Row],[Quantity]]*Table378[[#This Row],[Unit Price]]</f>
        <v>0</v>
      </c>
      <c r="K89" s="1737"/>
      <c r="L89" s="1753"/>
      <c r="M89" s="1754"/>
      <c r="N89" s="1754"/>
      <c r="O89" s="1754"/>
      <c r="P89" s="1754"/>
      <c r="Q89" s="1754"/>
      <c r="R89" s="594" cm="1">
        <f t="array" ref="R89">INDEX(Table378[[#This Row],[P1]:[P5]],1,$H$34)</f>
        <v>0</v>
      </c>
      <c r="S89" s="567"/>
    </row>
    <row r="90" spans="1:25" ht="15" customHeight="1" outlineLevel="1" x14ac:dyDescent="0.25">
      <c r="B90" s="559"/>
      <c r="C90" s="571"/>
      <c r="D90" s="1752"/>
      <c r="E90" s="1737"/>
      <c r="F90" s="1737"/>
      <c r="G90" s="1737"/>
      <c r="H90" s="1737"/>
      <c r="I90" s="1737"/>
      <c r="J90" s="1702">
        <f>Table378[[#This Row],[Quantity]]*Table378[[#This Row],[Unit Price]]</f>
        <v>0</v>
      </c>
      <c r="K90" s="1737"/>
      <c r="L90" s="1755"/>
      <c r="M90" s="1754"/>
      <c r="N90" s="1754"/>
      <c r="O90" s="1754"/>
      <c r="P90" s="1754"/>
      <c r="Q90" s="1754"/>
      <c r="R90" s="595" cm="1">
        <f t="array" ref="R90">INDEX(Table378[[#This Row],[P1]:[P5]],1,$H$34)</f>
        <v>0</v>
      </c>
      <c r="S90" s="567"/>
    </row>
    <row r="91" spans="1:25" ht="15" customHeight="1" outlineLevel="1" x14ac:dyDescent="0.25">
      <c r="B91" s="559"/>
      <c r="C91" s="571"/>
      <c r="D91" s="1752"/>
      <c r="E91" s="1737"/>
      <c r="F91" s="1737"/>
      <c r="G91" s="1737"/>
      <c r="H91" s="1737"/>
      <c r="I91" s="1737"/>
      <c r="J91" s="1702">
        <f>Table378[[#This Row],[Quantity]]*Table378[[#This Row],[Unit Price]]</f>
        <v>0</v>
      </c>
      <c r="K91" s="1737"/>
      <c r="L91" s="1755"/>
      <c r="M91" s="1754"/>
      <c r="N91" s="1754"/>
      <c r="O91" s="1754"/>
      <c r="P91" s="1754"/>
      <c r="Q91" s="1754"/>
      <c r="R91" s="595" cm="1">
        <f t="array" ref="R91">INDEX(Table378[[#This Row],[P1]:[P5]],1,$H$34)</f>
        <v>0</v>
      </c>
      <c r="S91" s="567"/>
    </row>
    <row r="92" spans="1:25" ht="15" customHeight="1" outlineLevel="1" x14ac:dyDescent="0.25">
      <c r="B92" s="559"/>
      <c r="C92" s="571"/>
      <c r="D92" s="1752"/>
      <c r="E92" s="1737"/>
      <c r="F92" s="1737"/>
      <c r="G92" s="1737"/>
      <c r="H92" s="1737"/>
      <c r="I92" s="1737"/>
      <c r="J92" s="1702">
        <f>Table378[[#This Row],[Quantity]]*Table378[[#This Row],[Unit Price]]</f>
        <v>0</v>
      </c>
      <c r="K92" s="1737"/>
      <c r="L92" s="1753"/>
      <c r="M92" s="1754"/>
      <c r="N92" s="1754"/>
      <c r="O92" s="1754"/>
      <c r="P92" s="1754"/>
      <c r="Q92" s="1754"/>
      <c r="R92" s="595" cm="1">
        <f t="array" ref="R92">INDEX(Table378[[#This Row],[P1]:[P5]],1,$H$34)</f>
        <v>0</v>
      </c>
      <c r="S92" s="567"/>
    </row>
    <row r="93" spans="1:25" ht="15" customHeight="1" outlineLevel="1" x14ac:dyDescent="0.25">
      <c r="B93" s="559"/>
      <c r="C93" s="571"/>
      <c r="D93" s="1752"/>
      <c r="E93" s="1737"/>
      <c r="F93" s="1737"/>
      <c r="G93" s="1737"/>
      <c r="H93" s="1737"/>
      <c r="I93" s="1737"/>
      <c r="J93" s="1702">
        <f>Table378[[#This Row],[Quantity]]*Table378[[#This Row],[Unit Price]]</f>
        <v>0</v>
      </c>
      <c r="K93" s="1737"/>
      <c r="L93" s="1755"/>
      <c r="M93" s="1754"/>
      <c r="N93" s="1754"/>
      <c r="O93" s="1754"/>
      <c r="P93" s="1754"/>
      <c r="Q93" s="1754"/>
      <c r="R93" s="595" cm="1">
        <f t="array" ref="R93">INDEX(Table378[[#This Row],[P1]:[P5]],1,$H$34)</f>
        <v>0</v>
      </c>
      <c r="S93" s="567"/>
    </row>
    <row r="94" spans="1:25" ht="15" customHeight="1" outlineLevel="1" x14ac:dyDescent="0.25">
      <c r="B94" s="559"/>
      <c r="C94" s="571"/>
      <c r="D94" s="1752"/>
      <c r="E94" s="1737"/>
      <c r="F94" s="1737"/>
      <c r="G94" s="1737"/>
      <c r="H94" s="1737"/>
      <c r="I94" s="1737"/>
      <c r="J94" s="1702">
        <f>Table378[[#This Row],[Quantity]]*Table378[[#This Row],[Unit Price]]</f>
        <v>0</v>
      </c>
      <c r="K94" s="1737"/>
      <c r="L94" s="1755"/>
      <c r="M94" s="1754"/>
      <c r="N94" s="1754"/>
      <c r="O94" s="1754"/>
      <c r="P94" s="1754"/>
      <c r="Q94" s="1754"/>
      <c r="R94" s="595" cm="1">
        <f t="array" ref="R94">INDEX(Table378[[#This Row],[P1]:[P5]],1,$H$34)</f>
        <v>0</v>
      </c>
      <c r="S94" s="567"/>
    </row>
    <row r="95" spans="1:25" s="276" customFormat="1" ht="15" customHeight="1" outlineLevel="1" x14ac:dyDescent="0.25">
      <c r="A95" s="274"/>
      <c r="B95" s="559"/>
      <c r="C95" s="571"/>
      <c r="D95" s="1752"/>
      <c r="E95" s="1737"/>
      <c r="F95" s="1737"/>
      <c r="G95" s="1737"/>
      <c r="H95" s="1737"/>
      <c r="I95" s="1737"/>
      <c r="J95" s="1702">
        <f>Table378[[#This Row],[Quantity]]*Table378[[#This Row],[Unit Price]]</f>
        <v>0</v>
      </c>
      <c r="K95" s="1737"/>
      <c r="L95" s="1755"/>
      <c r="M95" s="1754"/>
      <c r="N95" s="1754"/>
      <c r="O95" s="1754"/>
      <c r="P95" s="1754"/>
      <c r="Q95" s="1754"/>
      <c r="R95" s="595" cm="1">
        <f t="array" ref="R95">INDEX(Table378[[#This Row],[P1]:[P5]],1,$H$34)</f>
        <v>0</v>
      </c>
      <c r="S95" s="567"/>
      <c r="T95" s="274"/>
      <c r="U95" s="274"/>
      <c r="V95" s="274"/>
      <c r="W95" s="274"/>
      <c r="X95" s="274"/>
      <c r="Y95" s="274"/>
    </row>
    <row r="96" spans="1:25" s="276" customFormat="1" ht="15" customHeight="1" outlineLevel="1" x14ac:dyDescent="0.25">
      <c r="B96" s="559"/>
      <c r="C96" s="571"/>
      <c r="D96" s="1752"/>
      <c r="E96" s="1737"/>
      <c r="F96" s="1737"/>
      <c r="G96" s="1737"/>
      <c r="H96" s="1737"/>
      <c r="I96" s="1737"/>
      <c r="J96" s="1702">
        <f>Table378[[#This Row],[Quantity]]*Table378[[#This Row],[Unit Price]]</f>
        <v>0</v>
      </c>
      <c r="K96" s="1737"/>
      <c r="L96" s="1755"/>
      <c r="M96" s="1754"/>
      <c r="N96" s="1754"/>
      <c r="O96" s="1754"/>
      <c r="P96" s="1754"/>
      <c r="Q96" s="1754"/>
      <c r="R96" s="595" cm="1">
        <f t="array" ref="R96">INDEX(Table378[[#This Row],[P1]:[P5]],1,$H$34)</f>
        <v>0</v>
      </c>
      <c r="S96" s="567"/>
      <c r="T96" s="274"/>
      <c r="U96" s="274"/>
      <c r="V96" s="274"/>
      <c r="W96" s="274"/>
      <c r="X96" s="274"/>
      <c r="Y96" s="274"/>
    </row>
    <row r="97" spans="1:25" s="276" customFormat="1" ht="15" customHeight="1" outlineLevel="1" x14ac:dyDescent="0.25">
      <c r="B97" s="559"/>
      <c r="C97" s="571"/>
      <c r="D97" s="1752"/>
      <c r="E97" s="1737"/>
      <c r="F97" s="1737"/>
      <c r="G97" s="1737"/>
      <c r="H97" s="1737"/>
      <c r="I97" s="1737"/>
      <c r="J97" s="1702">
        <f>Table378[[#This Row],[Quantity]]*Table378[[#This Row],[Unit Price]]</f>
        <v>0</v>
      </c>
      <c r="K97" s="1737"/>
      <c r="L97" s="1755"/>
      <c r="M97" s="1754"/>
      <c r="N97" s="1754"/>
      <c r="O97" s="1754"/>
      <c r="P97" s="1754"/>
      <c r="Q97" s="1754"/>
      <c r="R97" s="595" cm="1">
        <f t="array" ref="R97">INDEX(Table378[[#This Row],[P1]:[P5]],1,$H$34)</f>
        <v>0</v>
      </c>
      <c r="S97" s="567"/>
    </row>
    <row r="98" spans="1:25" s="276" customFormat="1" ht="15" customHeight="1" outlineLevel="1" x14ac:dyDescent="0.25">
      <c r="B98" s="559"/>
      <c r="C98" s="571"/>
      <c r="D98" s="1752"/>
      <c r="E98" s="1737"/>
      <c r="F98" s="1737"/>
      <c r="G98" s="1737"/>
      <c r="H98" s="1737"/>
      <c r="I98" s="1737"/>
      <c r="J98" s="1702">
        <f>Table378[[#This Row],[Quantity]]*Table378[[#This Row],[Unit Price]]</f>
        <v>0</v>
      </c>
      <c r="K98" s="1737"/>
      <c r="L98" s="1755"/>
      <c r="M98" s="1754"/>
      <c r="N98" s="1754"/>
      <c r="O98" s="1754"/>
      <c r="P98" s="1754"/>
      <c r="Q98" s="1754"/>
      <c r="R98" s="595" cm="1">
        <f t="array" ref="R98">INDEX(Table378[[#This Row],[P1]:[P5]],1,$H$34)</f>
        <v>0</v>
      </c>
      <c r="S98" s="567"/>
    </row>
    <row r="99" spans="1:25" s="276" customFormat="1" ht="15" customHeight="1" outlineLevel="1" x14ac:dyDescent="0.25">
      <c r="B99" s="559"/>
      <c r="C99" s="571"/>
      <c r="D99" s="1752"/>
      <c r="E99" s="1737"/>
      <c r="F99" s="1737"/>
      <c r="G99" s="1737"/>
      <c r="H99" s="1737"/>
      <c r="I99" s="1737"/>
      <c r="J99" s="1702">
        <f>Table378[[#This Row],[Quantity]]*Table378[[#This Row],[Unit Price]]</f>
        <v>0</v>
      </c>
      <c r="K99" s="1737"/>
      <c r="L99" s="1753"/>
      <c r="M99" s="1754"/>
      <c r="N99" s="1754"/>
      <c r="O99" s="1754"/>
      <c r="P99" s="1754"/>
      <c r="Q99" s="1754"/>
      <c r="R99" s="595" cm="1">
        <f t="array" ref="R99">INDEX(Table378[[#This Row],[P1]:[P5]],1,$H$34)</f>
        <v>0</v>
      </c>
      <c r="S99" s="567"/>
    </row>
    <row r="100" spans="1:25" s="276" customFormat="1" ht="15" customHeight="1" outlineLevel="1" x14ac:dyDescent="0.25">
      <c r="B100" s="559"/>
      <c r="C100" s="571"/>
      <c r="D100" s="1752"/>
      <c r="E100" s="1737"/>
      <c r="F100" s="1737"/>
      <c r="G100" s="1737"/>
      <c r="H100" s="1737"/>
      <c r="I100" s="1737"/>
      <c r="J100" s="1702">
        <f>Table378[[#This Row],[Quantity]]*Table378[[#This Row],[Unit Price]]</f>
        <v>0</v>
      </c>
      <c r="K100" s="1737"/>
      <c r="L100" s="1755"/>
      <c r="M100" s="1754"/>
      <c r="N100" s="1754"/>
      <c r="O100" s="1754"/>
      <c r="P100" s="1754"/>
      <c r="Q100" s="1754"/>
      <c r="R100" s="595" cm="1">
        <f t="array" ref="R100">INDEX(Table378[[#This Row],[P1]:[P5]],1,$H$34)</f>
        <v>0</v>
      </c>
      <c r="S100" s="567"/>
    </row>
    <row r="101" spans="1:25" s="276" customFormat="1" ht="15" customHeight="1" outlineLevel="1" x14ac:dyDescent="0.25">
      <c r="B101" s="559"/>
      <c r="C101" s="571"/>
      <c r="D101" s="1752"/>
      <c r="E101" s="1737"/>
      <c r="F101" s="1737"/>
      <c r="G101" s="1737"/>
      <c r="H101" s="1737"/>
      <c r="I101" s="1737"/>
      <c r="J101" s="1702">
        <f>Table378[[#This Row],[Quantity]]*Table378[[#This Row],[Unit Price]]</f>
        <v>0</v>
      </c>
      <c r="K101" s="1737"/>
      <c r="L101" s="1755"/>
      <c r="M101" s="1754"/>
      <c r="N101" s="1754"/>
      <c r="O101" s="1754"/>
      <c r="P101" s="1754"/>
      <c r="Q101" s="1754"/>
      <c r="R101" s="595" cm="1">
        <f t="array" ref="R101">INDEX(Table378[[#This Row],[P1]:[P5]],1,$H$34)</f>
        <v>0</v>
      </c>
      <c r="S101" s="567"/>
    </row>
    <row r="102" spans="1:25" outlineLevel="1" x14ac:dyDescent="0.25">
      <c r="A102" s="276"/>
      <c r="B102" s="559"/>
      <c r="C102" s="571"/>
      <c r="D102" s="1752"/>
      <c r="E102" s="1737"/>
      <c r="F102" s="1737"/>
      <c r="G102" s="1737"/>
      <c r="H102" s="1737"/>
      <c r="I102" s="1737"/>
      <c r="J102" s="1702">
        <f>Table378[[#This Row],[Quantity]]*Table378[[#This Row],[Unit Price]]</f>
        <v>0</v>
      </c>
      <c r="K102" s="1737"/>
      <c r="L102" s="1755"/>
      <c r="M102" s="1754"/>
      <c r="N102" s="1754"/>
      <c r="O102" s="1754"/>
      <c r="P102" s="1754"/>
      <c r="Q102" s="1754"/>
      <c r="R102" s="595" cm="1">
        <f t="array" ref="R102">INDEX(Table378[[#This Row],[P1]:[P5]],1,$H$34)</f>
        <v>0</v>
      </c>
      <c r="S102" s="567"/>
      <c r="T102" s="276"/>
      <c r="U102" s="276"/>
      <c r="V102" s="276"/>
      <c r="W102" s="276"/>
      <c r="X102" s="276"/>
      <c r="Y102" s="276"/>
    </row>
    <row r="103" spans="1:25" outlineLevel="1" x14ac:dyDescent="0.25">
      <c r="B103" s="559"/>
      <c r="C103" s="571"/>
      <c r="D103" s="1752"/>
      <c r="E103" s="1737"/>
      <c r="F103" s="1737"/>
      <c r="G103" s="1737"/>
      <c r="H103" s="1737"/>
      <c r="I103" s="1737"/>
      <c r="J103" s="1702">
        <f>Table378[[#This Row],[Quantity]]*Table378[[#This Row],[Unit Price]]</f>
        <v>0</v>
      </c>
      <c r="K103" s="1737"/>
      <c r="L103" s="1755"/>
      <c r="M103" s="1754"/>
      <c r="N103" s="1754"/>
      <c r="O103" s="1754"/>
      <c r="P103" s="1754"/>
      <c r="Q103" s="1754"/>
      <c r="R103" s="595" cm="1">
        <f t="array" ref="R103">INDEX(Table378[[#This Row],[P1]:[P5]],1,$H$34)</f>
        <v>0</v>
      </c>
      <c r="S103" s="567"/>
      <c r="T103" s="276"/>
      <c r="U103" s="276"/>
      <c r="V103" s="276"/>
      <c r="W103" s="276"/>
      <c r="X103" s="276"/>
      <c r="Y103" s="276"/>
    </row>
    <row r="104" spans="1:25" outlineLevel="1" x14ac:dyDescent="0.25">
      <c r="B104" s="559"/>
      <c r="C104" s="571"/>
      <c r="D104" s="1752"/>
      <c r="E104" s="1737"/>
      <c r="F104" s="1737"/>
      <c r="G104" s="1737"/>
      <c r="H104" s="1737"/>
      <c r="I104" s="1737"/>
      <c r="J104" s="1702">
        <f>Table378[[#This Row],[Quantity]]*Table378[[#This Row],[Unit Price]]</f>
        <v>0</v>
      </c>
      <c r="K104" s="1737"/>
      <c r="L104" s="1755"/>
      <c r="M104" s="1754"/>
      <c r="N104" s="1754"/>
      <c r="O104" s="1754"/>
      <c r="P104" s="1754"/>
      <c r="Q104" s="1754"/>
      <c r="R104" s="595" cm="1">
        <f t="array" ref="R104">INDEX(Table378[[#This Row],[P1]:[P5]],1,$H$34)</f>
        <v>0</v>
      </c>
      <c r="S104" s="567"/>
    </row>
    <row r="105" spans="1:25" outlineLevel="1" x14ac:dyDescent="0.25">
      <c r="B105" s="559"/>
      <c r="C105" s="571"/>
      <c r="D105" s="1752"/>
      <c r="E105" s="1737"/>
      <c r="F105" s="1737"/>
      <c r="G105" s="1737"/>
      <c r="H105" s="1737"/>
      <c r="I105" s="1737"/>
      <c r="J105" s="1702">
        <f>Table378[[#This Row],[Quantity]]*Table378[[#This Row],[Unit Price]]</f>
        <v>0</v>
      </c>
      <c r="K105" s="1737"/>
      <c r="L105" s="1755"/>
      <c r="M105" s="1754"/>
      <c r="N105" s="1754"/>
      <c r="O105" s="1754"/>
      <c r="P105" s="1754"/>
      <c r="Q105" s="1754"/>
      <c r="R105" s="595" cm="1">
        <f t="array" ref="R105">INDEX(Table378[[#This Row],[P1]:[P5]],1,$H$34)</f>
        <v>0</v>
      </c>
      <c r="S105" s="567"/>
    </row>
    <row r="106" spans="1:25" outlineLevel="1" x14ac:dyDescent="0.25">
      <c r="B106" s="559"/>
      <c r="C106" s="571"/>
      <c r="D106" s="1752"/>
      <c r="E106" s="1737"/>
      <c r="F106" s="1737"/>
      <c r="G106" s="1737"/>
      <c r="H106" s="1737"/>
      <c r="I106" s="1737"/>
      <c r="J106" s="1702">
        <f>Table378[[#This Row],[Quantity]]*Table378[[#This Row],[Unit Price]]</f>
        <v>0</v>
      </c>
      <c r="K106" s="1737"/>
      <c r="L106" s="1755"/>
      <c r="M106" s="1754"/>
      <c r="N106" s="1754"/>
      <c r="O106" s="1754"/>
      <c r="P106" s="1754"/>
      <c r="Q106" s="1754"/>
      <c r="R106" s="595" cm="1">
        <f t="array" ref="R106">INDEX(Table378[[#This Row],[P1]:[P5]],1,$H$34)</f>
        <v>0</v>
      </c>
      <c r="S106" s="567"/>
    </row>
    <row r="107" spans="1:25" outlineLevel="1" x14ac:dyDescent="0.25">
      <c r="B107" s="559"/>
      <c r="C107" s="571"/>
      <c r="D107" s="1752"/>
      <c r="E107" s="1737"/>
      <c r="F107" s="1737"/>
      <c r="G107" s="1737"/>
      <c r="H107" s="1737"/>
      <c r="I107" s="1737"/>
      <c r="J107" s="1702">
        <f>Table378[[#This Row],[Quantity]]*Table378[[#This Row],[Unit Price]]</f>
        <v>0</v>
      </c>
      <c r="K107" s="1737"/>
      <c r="L107" s="1755"/>
      <c r="M107" s="1754"/>
      <c r="N107" s="1754"/>
      <c r="O107" s="1754"/>
      <c r="P107" s="1754"/>
      <c r="Q107" s="1754"/>
      <c r="R107" s="595" cm="1">
        <f t="array" ref="R107">INDEX(Table378[[#This Row],[P1]:[P5]],1,$H$34)</f>
        <v>0</v>
      </c>
      <c r="S107" s="567"/>
    </row>
    <row r="108" spans="1:25" outlineLevel="1" x14ac:dyDescent="0.25">
      <c r="B108" s="559"/>
      <c r="C108" s="571"/>
      <c r="D108" s="1752"/>
      <c r="E108" s="1737"/>
      <c r="F108" s="1737"/>
      <c r="G108" s="1737"/>
      <c r="H108" s="1737"/>
      <c r="I108" s="1737"/>
      <c r="J108" s="1702">
        <f>Table378[[#This Row],[Quantity]]*Table378[[#This Row],[Unit Price]]</f>
        <v>0</v>
      </c>
      <c r="K108" s="1737"/>
      <c r="L108" s="1755"/>
      <c r="M108" s="1754"/>
      <c r="N108" s="1754"/>
      <c r="O108" s="1754"/>
      <c r="P108" s="1754"/>
      <c r="Q108" s="1754"/>
      <c r="R108" s="596" cm="1">
        <f t="array" ref="R108">INDEX(Table378[[#This Row],[P1]:[P5]],1,$H$34)</f>
        <v>0</v>
      </c>
      <c r="S108" s="567"/>
    </row>
    <row r="109" spans="1:25" outlineLevel="1" x14ac:dyDescent="0.25">
      <c r="B109" s="575"/>
      <c r="C109" s="9"/>
      <c r="D109" s="9"/>
      <c r="E109" s="9"/>
      <c r="F109" s="9"/>
      <c r="G109" s="9"/>
      <c r="H109" s="9"/>
      <c r="I109" s="9"/>
      <c r="J109" s="9"/>
      <c r="K109" s="9"/>
      <c r="L109" s="9"/>
      <c r="M109" s="9"/>
      <c r="N109" s="9"/>
      <c r="O109" s="9"/>
      <c r="P109" s="9"/>
      <c r="Q109" s="9"/>
      <c r="R109" s="9"/>
      <c r="S109" s="567"/>
    </row>
    <row r="110" spans="1:25" outlineLevel="1" x14ac:dyDescent="0.25">
      <c r="B110" s="575"/>
      <c r="C110" s="566">
        <v>2</v>
      </c>
      <c r="D110" s="380" t="s">
        <v>715</v>
      </c>
      <c r="E110" s="537"/>
      <c r="F110" s="593" t="s">
        <v>717</v>
      </c>
      <c r="G110" s="1742" t="s">
        <v>700</v>
      </c>
      <c r="H110" s="1770">
        <f>MATCH(G110,HIDE5!$U$13:$U$17,0)</f>
        <v>1</v>
      </c>
      <c r="I110" s="1771"/>
      <c r="J110" s="1771"/>
      <c r="K110" s="1771"/>
      <c r="L110" s="1771"/>
      <c r="M110" s="380" t="s">
        <v>718</v>
      </c>
      <c r="N110" s="380"/>
      <c r="O110" s="380"/>
      <c r="P110" s="380"/>
      <c r="Q110" s="380"/>
      <c r="R110" s="576"/>
      <c r="S110" s="567"/>
    </row>
    <row r="111" spans="1:25" outlineLevel="1" x14ac:dyDescent="0.25">
      <c r="B111" s="1767"/>
      <c r="C111" s="1768"/>
      <c r="D111" s="1768"/>
      <c r="E111" s="1768"/>
      <c r="F111" s="1768"/>
      <c r="G111" s="1768"/>
      <c r="H111" s="1768"/>
      <c r="I111" s="1768"/>
      <c r="J111" s="1769"/>
      <c r="K111" s="1769"/>
      <c r="L111" s="1769"/>
      <c r="M111" s="597" t="s">
        <v>700</v>
      </c>
      <c r="N111" s="597" t="s">
        <v>701</v>
      </c>
      <c r="O111" s="597" t="s">
        <v>702</v>
      </c>
      <c r="P111" s="597" t="s">
        <v>703</v>
      </c>
      <c r="Q111" s="597" t="s">
        <v>704</v>
      </c>
      <c r="R111" s="576"/>
      <c r="S111" s="567"/>
    </row>
    <row r="112" spans="1:25" outlineLevel="1" x14ac:dyDescent="0.25">
      <c r="B112" s="559"/>
      <c r="C112" s="1768"/>
      <c r="D112" s="586" t="str">
        <f>HIDE5!$X$3</f>
        <v>Appliances</v>
      </c>
      <c r="E112" s="1772">
        <f>SUMIFS(Table378[Total],Table378[Category],$D112,Table378[Check],HIDE5!$Q$3)</f>
        <v>0</v>
      </c>
      <c r="F112" s="586" t="str">
        <f>HIDE5!$X$7</f>
        <v>Lighting</v>
      </c>
      <c r="G112" s="1772">
        <f>SUMIFS(Table378[Total],Table378[Category],$F112,Table378[Check],HIDE5!$Q$3)</f>
        <v>0</v>
      </c>
      <c r="H112" s="1771"/>
      <c r="I112" s="1771"/>
      <c r="J112" s="1771"/>
      <c r="K112" s="1771"/>
      <c r="L112" s="1771"/>
      <c r="M112" s="1773">
        <f>SUMIF(Table378[P1],HIDE5!$Q$3,Table378[Total])</f>
        <v>0</v>
      </c>
      <c r="N112" s="1773">
        <f>SUMIF(Table378[P2],HIDE5!$Q$3,Table378[Total])</f>
        <v>0</v>
      </c>
      <c r="O112" s="1773">
        <f>SUMIF(Table378[P3],HIDE5!$Q$3,Table378[Total])</f>
        <v>0</v>
      </c>
      <c r="P112" s="1773">
        <f>SUMIF(Table378[P4],HIDE5!$Q$3,Table378[Total])</f>
        <v>0</v>
      </c>
      <c r="Q112" s="1773">
        <f>SUMIF(Table378[P5],HIDE5!$Q$3,Table378[Total])</f>
        <v>0</v>
      </c>
      <c r="R112" s="576"/>
      <c r="S112" s="567"/>
    </row>
    <row r="113" spans="1:25" ht="15" customHeight="1" outlineLevel="1" x14ac:dyDescent="0.25">
      <c r="B113" s="559"/>
      <c r="C113" s="1768"/>
      <c r="D113" s="586" t="str">
        <f>HIDE5!$X$4</f>
        <v>Furniture</v>
      </c>
      <c r="E113" s="1772">
        <f>SUMIFS(Table378[Total],Table378[Category],$D113,Table378[Check],HIDE5!$Q$3)</f>
        <v>0</v>
      </c>
      <c r="F113" s="586" t="str">
        <f>HIDE5!$X$8</f>
        <v>Electronics</v>
      </c>
      <c r="G113" s="1772">
        <f>SUMIFS(Table378[Total],Table378[Category],$F113,Table378[Check],HIDE5!$Q$3)</f>
        <v>0</v>
      </c>
      <c r="H113" s="1771"/>
      <c r="I113" s="1771"/>
      <c r="J113" s="1771"/>
      <c r="K113" s="1771"/>
      <c r="L113" s="1771"/>
      <c r="M113" s="1771"/>
      <c r="N113" s="1771"/>
      <c r="O113" s="1771"/>
      <c r="P113" s="1771"/>
      <c r="Q113" s="1771"/>
      <c r="R113" s="576"/>
      <c r="S113" s="567"/>
    </row>
    <row r="114" spans="1:25" s="558" customFormat="1" ht="15" customHeight="1" outlineLevel="1" x14ac:dyDescent="0.25">
      <c r="A114" s="274"/>
      <c r="B114" s="559"/>
      <c r="C114" s="1768"/>
      <c r="D114" s="586" t="str">
        <f>HIDE5!$X$5</f>
        <v>Kitchenware</v>
      </c>
      <c r="E114" s="1772">
        <f>SUMIFS(Table378[Total],Table378[Category],$D114,Table378[Check],HIDE5!$Q$3)</f>
        <v>0</v>
      </c>
      <c r="F114" s="586" t="str">
        <f>HIDE5!$X$10</f>
        <v>Accessories</v>
      </c>
      <c r="G114" s="1772">
        <f>SUMIFS(Table378[Total],Table378[Category],$F114,Table378[Check],HIDE5!$Q$3)</f>
        <v>0</v>
      </c>
      <c r="H114" s="1771"/>
      <c r="I114" s="1771"/>
      <c r="J114" s="1771"/>
      <c r="K114" s="1771"/>
      <c r="L114" s="1771"/>
      <c r="M114" s="1771"/>
      <c r="N114" s="1771"/>
      <c r="O114" s="1771"/>
      <c r="P114" s="1771"/>
      <c r="Q114" s="1771"/>
      <c r="R114" s="576"/>
      <c r="S114" s="567"/>
      <c r="T114" s="274"/>
      <c r="U114" s="274"/>
      <c r="V114" s="274"/>
      <c r="W114" s="274"/>
      <c r="X114" s="274"/>
      <c r="Y114" s="274"/>
    </row>
    <row r="115" spans="1:25" outlineLevel="1" x14ac:dyDescent="0.25">
      <c r="A115" s="558"/>
      <c r="B115" s="559"/>
      <c r="C115" s="1768"/>
      <c r="D115" s="586" t="str">
        <f>HIDE5!$X$6</f>
        <v>Bedding</v>
      </c>
      <c r="E115" s="1772">
        <f>SUMIFS(Table378[Total],Table378[Category],$D115,Table378[Check],HIDE5!$Q$3)</f>
        <v>0</v>
      </c>
      <c r="F115" s="586" t="str">
        <f>HIDE5!$X$11</f>
        <v>Decor</v>
      </c>
      <c r="G115" s="1772">
        <f>SUMIFS(Table378[Total],Table378[Category],$F115,Table378[Check],HIDE5!$Q$3)</f>
        <v>0</v>
      </c>
      <c r="H115" s="1771"/>
      <c r="I115" s="1771"/>
      <c r="J115" s="1771"/>
      <c r="K115" s="1771"/>
      <c r="L115" s="1771"/>
      <c r="M115" s="1771"/>
      <c r="N115" s="1771"/>
      <c r="O115" s="1771"/>
      <c r="P115" s="1771"/>
      <c r="Q115" s="1771"/>
      <c r="R115" s="576"/>
      <c r="S115" s="567"/>
    </row>
    <row r="116" spans="1:25" s="558" customFormat="1" ht="15" customHeight="1" outlineLevel="1" x14ac:dyDescent="0.25">
      <c r="A116" s="274"/>
      <c r="B116" s="559"/>
      <c r="C116" s="1772"/>
      <c r="D116" s="1772"/>
      <c r="E116" s="1772"/>
      <c r="F116" s="1772"/>
      <c r="G116" s="1772"/>
      <c r="H116" s="1771"/>
      <c r="I116" s="1771"/>
      <c r="J116" s="1771"/>
      <c r="K116" s="1771"/>
      <c r="L116" s="1771"/>
      <c r="M116" s="1771"/>
      <c r="N116" s="1771"/>
      <c r="O116" s="1771"/>
      <c r="P116" s="1771"/>
      <c r="Q116" s="1771"/>
      <c r="R116" s="576"/>
      <c r="S116" s="567"/>
    </row>
    <row r="117" spans="1:25" s="558" customFormat="1" ht="15" customHeight="1" outlineLevel="1" x14ac:dyDescent="0.25">
      <c r="B117" s="559"/>
      <c r="C117" s="1772"/>
      <c r="D117" s="591" t="s">
        <v>696</v>
      </c>
      <c r="E117" s="1774">
        <f>IFERROR(SUM(E112:E115,G112:G115),0)</f>
        <v>0</v>
      </c>
      <c r="F117" s="1771"/>
      <c r="G117" s="1771"/>
      <c r="H117" s="1771"/>
      <c r="I117" s="1771"/>
      <c r="J117" s="1771"/>
      <c r="K117" s="1771"/>
      <c r="L117" s="1771"/>
      <c r="M117" s="1771"/>
      <c r="N117" s="1771"/>
      <c r="O117" s="1771"/>
      <c r="P117" s="1772"/>
      <c r="Q117" s="1772"/>
      <c r="R117" s="577"/>
      <c r="S117" s="567"/>
      <c r="T117" s="274"/>
      <c r="U117" s="274"/>
      <c r="V117" s="274"/>
      <c r="W117" s="274"/>
      <c r="X117" s="274"/>
      <c r="Y117" s="274"/>
    </row>
    <row r="118" spans="1:25" ht="15" customHeight="1" x14ac:dyDescent="0.25">
      <c r="A118" s="558"/>
      <c r="B118" s="575"/>
      <c r="C118" s="9"/>
      <c r="D118" s="9"/>
      <c r="E118" s="9"/>
      <c r="F118" s="9"/>
      <c r="G118" s="9"/>
      <c r="H118" s="9"/>
      <c r="I118" s="9"/>
      <c r="J118" s="9"/>
      <c r="K118" s="9"/>
      <c r="L118" s="9"/>
      <c r="M118" s="9"/>
      <c r="N118" s="9"/>
      <c r="O118" s="9"/>
      <c r="P118" s="9"/>
      <c r="Q118" s="9"/>
      <c r="R118" s="9"/>
      <c r="S118" s="567"/>
      <c r="T118" s="558"/>
      <c r="U118" s="558"/>
      <c r="V118" s="558"/>
      <c r="W118" s="558"/>
      <c r="X118" s="558"/>
      <c r="Y118" s="558"/>
    </row>
    <row r="119" spans="1:25" x14ac:dyDescent="0.25">
      <c r="B119" s="561"/>
      <c r="C119" s="578"/>
      <c r="D119" s="578"/>
      <c r="E119" s="578"/>
      <c r="F119" s="578"/>
      <c r="G119" s="578"/>
      <c r="H119" s="578"/>
      <c r="I119" s="578"/>
      <c r="J119" s="578"/>
      <c r="K119" s="578"/>
      <c r="L119" s="578"/>
      <c r="M119" s="579"/>
      <c r="N119" s="579"/>
      <c r="O119" s="579"/>
      <c r="P119" s="579"/>
      <c r="Q119" s="579"/>
      <c r="R119" s="579"/>
      <c r="S119" s="580"/>
      <c r="T119" s="558"/>
      <c r="U119" s="558"/>
      <c r="V119" s="558"/>
      <c r="W119" s="558"/>
      <c r="X119" s="558"/>
      <c r="Y119" s="558"/>
    </row>
    <row r="120" spans="1:25" outlineLevel="1" x14ac:dyDescent="0.25"/>
    <row r="121" spans="1:25" outlineLevel="1" x14ac:dyDescent="0.25">
      <c r="B121" s="562">
        <v>4</v>
      </c>
      <c r="C121" s="563" t="str">
        <f>UPPER(DASHBOARD!$D$71)</f>
        <v>BEDROOM #1</v>
      </c>
      <c r="D121" s="564"/>
      <c r="E121" s="564"/>
      <c r="F121" s="564"/>
      <c r="G121" s="564"/>
      <c r="H121" s="564"/>
      <c r="I121" s="564"/>
      <c r="J121" s="564"/>
      <c r="K121" s="564"/>
      <c r="L121" s="564"/>
      <c r="M121" s="564"/>
      <c r="N121" s="564"/>
      <c r="O121" s="564"/>
      <c r="P121" s="564"/>
      <c r="Q121" s="564"/>
      <c r="R121" s="564"/>
      <c r="S121" s="565"/>
    </row>
    <row r="122" spans="1:25" outlineLevel="1" x14ac:dyDescent="0.25">
      <c r="B122" s="559"/>
      <c r="C122" s="9"/>
      <c r="D122" s="9"/>
      <c r="E122" s="9"/>
      <c r="F122" s="9"/>
      <c r="G122" s="9"/>
      <c r="H122" s="9"/>
      <c r="I122" s="9"/>
      <c r="J122" s="9"/>
      <c r="K122" s="9"/>
      <c r="L122" s="9"/>
      <c r="M122" s="9"/>
      <c r="N122" s="9"/>
      <c r="O122" s="9"/>
      <c r="P122" s="9"/>
      <c r="Q122" s="9"/>
      <c r="R122" s="9"/>
      <c r="S122" s="560"/>
    </row>
    <row r="123" spans="1:25" ht="15.75" customHeight="1" outlineLevel="1" x14ac:dyDescent="0.25">
      <c r="B123" s="559"/>
      <c r="C123" s="566">
        <v>1</v>
      </c>
      <c r="D123" s="380" t="s">
        <v>1147</v>
      </c>
      <c r="E123" s="537"/>
      <c r="F123" s="537"/>
      <c r="G123" s="537"/>
      <c r="H123" s="537"/>
      <c r="I123" s="537"/>
      <c r="J123" s="537"/>
      <c r="K123" s="537"/>
      <c r="L123" s="537"/>
      <c r="M123" s="568"/>
      <c r="N123" s="569"/>
      <c r="O123" s="569"/>
      <c r="P123" s="570"/>
      <c r="Q123" s="569"/>
      <c r="R123" s="569"/>
      <c r="S123" s="567"/>
    </row>
    <row r="124" spans="1:25" outlineLevel="1" x14ac:dyDescent="0.25">
      <c r="B124" s="559"/>
      <c r="C124" s="571"/>
      <c r="D124" s="572"/>
      <c r="E124" s="572"/>
      <c r="F124" s="572"/>
      <c r="G124" s="572"/>
      <c r="H124" s="572"/>
      <c r="I124" s="572"/>
      <c r="J124" s="573"/>
      <c r="K124" s="573"/>
      <c r="L124" s="573"/>
      <c r="M124" s="573"/>
      <c r="N124" s="573"/>
      <c r="O124" s="572"/>
      <c r="P124" s="571"/>
      <c r="Q124" s="574"/>
      <c r="R124" s="585"/>
      <c r="S124" s="567"/>
    </row>
    <row r="125" spans="1:25" outlineLevel="1" x14ac:dyDescent="0.25">
      <c r="B125" s="559"/>
      <c r="C125" s="571"/>
      <c r="D125" s="572"/>
      <c r="E125" s="572"/>
      <c r="F125" s="572"/>
      <c r="G125" s="572"/>
      <c r="H125" s="572"/>
      <c r="I125" s="572"/>
      <c r="J125" s="573"/>
      <c r="K125" s="573"/>
      <c r="L125" s="84"/>
      <c r="M125" s="2580" t="s">
        <v>719</v>
      </c>
      <c r="N125" s="2581"/>
      <c r="O125" s="2581"/>
      <c r="P125" s="2581"/>
      <c r="Q125" s="2581"/>
      <c r="R125" s="589"/>
      <c r="S125" s="567"/>
    </row>
    <row r="126" spans="1:25" outlineLevel="1" x14ac:dyDescent="0.25">
      <c r="B126" s="559"/>
      <c r="C126" s="571"/>
      <c r="D126" s="590" t="s">
        <v>633</v>
      </c>
      <c r="E126" s="587" t="s">
        <v>697</v>
      </c>
      <c r="F126" s="587" t="s">
        <v>438</v>
      </c>
      <c r="G126" s="587" t="s">
        <v>698</v>
      </c>
      <c r="H126" s="587" t="s">
        <v>662</v>
      </c>
      <c r="I126" s="587" t="s">
        <v>699</v>
      </c>
      <c r="J126" s="587" t="s">
        <v>20</v>
      </c>
      <c r="K126" s="587" t="s">
        <v>695</v>
      </c>
      <c r="L126" s="592" t="s">
        <v>716</v>
      </c>
      <c r="M126" s="588" t="s">
        <v>700</v>
      </c>
      <c r="N126" s="588" t="s">
        <v>701</v>
      </c>
      <c r="O126" s="588" t="s">
        <v>702</v>
      </c>
      <c r="P126" s="588" t="s">
        <v>703</v>
      </c>
      <c r="Q126" s="588" t="s">
        <v>704</v>
      </c>
      <c r="R126" s="588" t="s">
        <v>124</v>
      </c>
      <c r="S126" s="567"/>
    </row>
    <row r="127" spans="1:25" ht="14.4" outlineLevel="1" x14ac:dyDescent="0.25">
      <c r="B127" s="559"/>
      <c r="C127" s="571"/>
      <c r="D127" s="1752"/>
      <c r="E127" s="1737"/>
      <c r="F127" s="1737"/>
      <c r="G127" s="1737"/>
      <c r="H127" s="1737"/>
      <c r="I127" s="1737"/>
      <c r="J127" s="1702">
        <f>Table3789[[#This Row],[Quantity]]*Table3789[[#This Row],[Unit Price]]</f>
        <v>0</v>
      </c>
      <c r="K127" s="1737"/>
      <c r="L127" s="1753"/>
      <c r="M127" s="1754"/>
      <c r="N127" s="1754"/>
      <c r="O127" s="1754"/>
      <c r="P127" s="1754"/>
      <c r="Q127" s="1754"/>
      <c r="R127" s="594" cm="1">
        <f t="array" ref="R127">INDEX(Table3789[[#This Row],[P1]:[P5]],1,$H$34)</f>
        <v>0</v>
      </c>
      <c r="S127" s="567"/>
    </row>
    <row r="128" spans="1:25" ht="15" customHeight="1" outlineLevel="1" x14ac:dyDescent="0.25">
      <c r="B128" s="559"/>
      <c r="C128" s="571"/>
      <c r="D128" s="1752"/>
      <c r="E128" s="1737"/>
      <c r="F128" s="1737"/>
      <c r="G128" s="1737"/>
      <c r="H128" s="1737"/>
      <c r="I128" s="1737"/>
      <c r="J128" s="1702">
        <f>Table3789[[#This Row],[Quantity]]*Table3789[[#This Row],[Unit Price]]</f>
        <v>0</v>
      </c>
      <c r="K128" s="1737"/>
      <c r="L128" s="1755"/>
      <c r="M128" s="1754"/>
      <c r="N128" s="1754"/>
      <c r="O128" s="1754"/>
      <c r="P128" s="1754"/>
      <c r="Q128" s="1754"/>
      <c r="R128" s="595" cm="1">
        <f t="array" ref="R128">INDEX(Table3789[[#This Row],[P1]:[P5]],1,$H$34)</f>
        <v>0</v>
      </c>
      <c r="S128" s="567"/>
    </row>
    <row r="129" spans="1:25" ht="15" customHeight="1" outlineLevel="1" x14ac:dyDescent="0.25">
      <c r="B129" s="559"/>
      <c r="C129" s="571"/>
      <c r="D129" s="1752"/>
      <c r="E129" s="1737"/>
      <c r="F129" s="1737"/>
      <c r="G129" s="1737"/>
      <c r="H129" s="1737"/>
      <c r="I129" s="1737"/>
      <c r="J129" s="1702">
        <f>Table3789[[#This Row],[Quantity]]*Table3789[[#This Row],[Unit Price]]</f>
        <v>0</v>
      </c>
      <c r="K129" s="1737"/>
      <c r="L129" s="1755"/>
      <c r="M129" s="1754"/>
      <c r="N129" s="1754"/>
      <c r="O129" s="1754"/>
      <c r="P129" s="1754"/>
      <c r="Q129" s="1754"/>
      <c r="R129" s="595" cm="1">
        <f t="array" ref="R129">INDEX(Table3789[[#This Row],[P1]:[P5]],1,$H$34)</f>
        <v>0</v>
      </c>
      <c r="S129" s="567"/>
    </row>
    <row r="130" spans="1:25" ht="15" customHeight="1" outlineLevel="1" x14ac:dyDescent="0.25">
      <c r="B130" s="559"/>
      <c r="C130" s="571"/>
      <c r="D130" s="1752"/>
      <c r="E130" s="1737"/>
      <c r="F130" s="1737"/>
      <c r="G130" s="1737"/>
      <c r="H130" s="1737"/>
      <c r="I130" s="1737"/>
      <c r="J130" s="1702">
        <f>Table3789[[#This Row],[Quantity]]*Table3789[[#This Row],[Unit Price]]</f>
        <v>0</v>
      </c>
      <c r="K130" s="1737"/>
      <c r="L130" s="1753"/>
      <c r="M130" s="1754"/>
      <c r="N130" s="1754"/>
      <c r="O130" s="1754"/>
      <c r="P130" s="1754"/>
      <c r="Q130" s="1754"/>
      <c r="R130" s="595" cm="1">
        <f t="array" ref="R130">INDEX(Table3789[[#This Row],[P1]:[P5]],1,$H$34)</f>
        <v>0</v>
      </c>
      <c r="S130" s="567"/>
    </row>
    <row r="131" spans="1:25" ht="15" customHeight="1" outlineLevel="1" x14ac:dyDescent="0.25">
      <c r="B131" s="559"/>
      <c r="C131" s="571"/>
      <c r="D131" s="1752"/>
      <c r="E131" s="1737"/>
      <c r="F131" s="1737"/>
      <c r="G131" s="1737"/>
      <c r="H131" s="1737"/>
      <c r="I131" s="1737"/>
      <c r="J131" s="1702">
        <f>Table3789[[#This Row],[Quantity]]*Table3789[[#This Row],[Unit Price]]</f>
        <v>0</v>
      </c>
      <c r="K131" s="1737"/>
      <c r="L131" s="1755"/>
      <c r="M131" s="1754"/>
      <c r="N131" s="1754"/>
      <c r="O131" s="1754"/>
      <c r="P131" s="1754"/>
      <c r="Q131" s="1754"/>
      <c r="R131" s="595" cm="1">
        <f t="array" ref="R131">INDEX(Table3789[[#This Row],[P1]:[P5]],1,$H$34)</f>
        <v>0</v>
      </c>
      <c r="S131" s="567"/>
    </row>
    <row r="132" spans="1:25" ht="15" customHeight="1" outlineLevel="1" x14ac:dyDescent="0.25">
      <c r="B132" s="559"/>
      <c r="C132" s="571"/>
      <c r="D132" s="1752"/>
      <c r="E132" s="1737"/>
      <c r="F132" s="1737"/>
      <c r="G132" s="1737"/>
      <c r="H132" s="1737"/>
      <c r="I132" s="1737"/>
      <c r="J132" s="1702">
        <f>Table3789[[#This Row],[Quantity]]*Table3789[[#This Row],[Unit Price]]</f>
        <v>0</v>
      </c>
      <c r="K132" s="1737"/>
      <c r="L132" s="1755"/>
      <c r="M132" s="1754"/>
      <c r="N132" s="1754"/>
      <c r="O132" s="1754"/>
      <c r="P132" s="1754"/>
      <c r="Q132" s="1754"/>
      <c r="R132" s="595" cm="1">
        <f t="array" ref="R132">INDEX(Table3789[[#This Row],[P1]:[P5]],1,$H$34)</f>
        <v>0</v>
      </c>
      <c r="S132" s="567"/>
    </row>
    <row r="133" spans="1:25" s="276" customFormat="1" ht="15" customHeight="1" outlineLevel="1" x14ac:dyDescent="0.25">
      <c r="A133" s="274"/>
      <c r="B133" s="559"/>
      <c r="C133" s="571"/>
      <c r="D133" s="1752"/>
      <c r="E133" s="1737"/>
      <c r="F133" s="1737"/>
      <c r="G133" s="1737"/>
      <c r="H133" s="1737"/>
      <c r="I133" s="1737"/>
      <c r="J133" s="1702">
        <f>Table3789[[#This Row],[Quantity]]*Table3789[[#This Row],[Unit Price]]</f>
        <v>0</v>
      </c>
      <c r="K133" s="1737"/>
      <c r="L133" s="1755"/>
      <c r="M133" s="1754"/>
      <c r="N133" s="1754"/>
      <c r="O133" s="1754"/>
      <c r="P133" s="1754"/>
      <c r="Q133" s="1754"/>
      <c r="R133" s="595" cm="1">
        <f t="array" ref="R133">INDEX(Table3789[[#This Row],[P1]:[P5]],1,$H$34)</f>
        <v>0</v>
      </c>
      <c r="S133" s="567"/>
      <c r="T133" s="274"/>
      <c r="U133" s="274"/>
      <c r="V133" s="274"/>
      <c r="W133" s="274"/>
      <c r="X133" s="274"/>
      <c r="Y133" s="274"/>
    </row>
    <row r="134" spans="1:25" s="276" customFormat="1" ht="15" customHeight="1" outlineLevel="1" x14ac:dyDescent="0.25">
      <c r="B134" s="559"/>
      <c r="C134" s="571"/>
      <c r="D134" s="1752"/>
      <c r="E134" s="1737"/>
      <c r="F134" s="1737"/>
      <c r="G134" s="1737"/>
      <c r="H134" s="1737"/>
      <c r="I134" s="1737"/>
      <c r="J134" s="1702">
        <f>Table3789[[#This Row],[Quantity]]*Table3789[[#This Row],[Unit Price]]</f>
        <v>0</v>
      </c>
      <c r="K134" s="1737"/>
      <c r="L134" s="1755"/>
      <c r="M134" s="1754"/>
      <c r="N134" s="1754"/>
      <c r="O134" s="1754"/>
      <c r="P134" s="1754"/>
      <c r="Q134" s="1754"/>
      <c r="R134" s="595" cm="1">
        <f t="array" ref="R134">INDEX(Table3789[[#This Row],[P1]:[P5]],1,$H$34)</f>
        <v>0</v>
      </c>
      <c r="S134" s="567"/>
      <c r="T134" s="274"/>
      <c r="U134" s="274"/>
      <c r="V134" s="274"/>
      <c r="W134" s="274"/>
      <c r="X134" s="274"/>
      <c r="Y134" s="274"/>
    </row>
    <row r="135" spans="1:25" s="276" customFormat="1" ht="15" customHeight="1" outlineLevel="1" x14ac:dyDescent="0.25">
      <c r="B135" s="559"/>
      <c r="C135" s="571"/>
      <c r="D135" s="1752"/>
      <c r="E135" s="1737"/>
      <c r="F135" s="1737"/>
      <c r="G135" s="1737"/>
      <c r="H135" s="1737"/>
      <c r="I135" s="1737"/>
      <c r="J135" s="1702">
        <f>Table3789[[#This Row],[Quantity]]*Table3789[[#This Row],[Unit Price]]</f>
        <v>0</v>
      </c>
      <c r="K135" s="1737"/>
      <c r="L135" s="1755"/>
      <c r="M135" s="1754"/>
      <c r="N135" s="1754"/>
      <c r="O135" s="1754"/>
      <c r="P135" s="1754"/>
      <c r="Q135" s="1754"/>
      <c r="R135" s="595" cm="1">
        <f t="array" ref="R135">INDEX(Table3789[[#This Row],[P1]:[P5]],1,$H$34)</f>
        <v>0</v>
      </c>
      <c r="S135" s="567"/>
    </row>
    <row r="136" spans="1:25" s="276" customFormat="1" ht="15" customHeight="1" outlineLevel="1" x14ac:dyDescent="0.25">
      <c r="B136" s="559"/>
      <c r="C136" s="571"/>
      <c r="D136" s="1752"/>
      <c r="E136" s="1737"/>
      <c r="F136" s="1737"/>
      <c r="G136" s="1737"/>
      <c r="H136" s="1737"/>
      <c r="I136" s="1737"/>
      <c r="J136" s="1702">
        <f>Table3789[[#This Row],[Quantity]]*Table3789[[#This Row],[Unit Price]]</f>
        <v>0</v>
      </c>
      <c r="K136" s="1737"/>
      <c r="L136" s="1755"/>
      <c r="M136" s="1754"/>
      <c r="N136" s="1754"/>
      <c r="O136" s="1754"/>
      <c r="P136" s="1754"/>
      <c r="Q136" s="1754"/>
      <c r="R136" s="595" cm="1">
        <f t="array" ref="R136">INDEX(Table3789[[#This Row],[P1]:[P5]],1,$H$34)</f>
        <v>0</v>
      </c>
      <c r="S136" s="567"/>
    </row>
    <row r="137" spans="1:25" s="276" customFormat="1" ht="15" customHeight="1" outlineLevel="1" x14ac:dyDescent="0.25">
      <c r="B137" s="559"/>
      <c r="C137" s="571"/>
      <c r="D137" s="1752"/>
      <c r="E137" s="1737"/>
      <c r="F137" s="1737"/>
      <c r="G137" s="1737"/>
      <c r="H137" s="1737"/>
      <c r="I137" s="1737"/>
      <c r="J137" s="1702">
        <f>Table3789[[#This Row],[Quantity]]*Table3789[[#This Row],[Unit Price]]</f>
        <v>0</v>
      </c>
      <c r="K137" s="1737"/>
      <c r="L137" s="1753"/>
      <c r="M137" s="1754"/>
      <c r="N137" s="1754"/>
      <c r="O137" s="1754"/>
      <c r="P137" s="1754"/>
      <c r="Q137" s="1754"/>
      <c r="R137" s="595" cm="1">
        <f t="array" ref="R137">INDEX(Table3789[[#This Row],[P1]:[P5]],1,$H$34)</f>
        <v>0</v>
      </c>
      <c r="S137" s="567"/>
    </row>
    <row r="138" spans="1:25" s="276" customFormat="1" ht="15" customHeight="1" outlineLevel="1" x14ac:dyDescent="0.25">
      <c r="B138" s="559"/>
      <c r="C138" s="571"/>
      <c r="D138" s="1752"/>
      <c r="E138" s="1737"/>
      <c r="F138" s="1737"/>
      <c r="G138" s="1737"/>
      <c r="H138" s="1737"/>
      <c r="I138" s="1737"/>
      <c r="J138" s="1702">
        <f>Table3789[[#This Row],[Quantity]]*Table3789[[#This Row],[Unit Price]]</f>
        <v>0</v>
      </c>
      <c r="K138" s="1737"/>
      <c r="L138" s="1755"/>
      <c r="M138" s="1754"/>
      <c r="N138" s="1754"/>
      <c r="O138" s="1754"/>
      <c r="P138" s="1754"/>
      <c r="Q138" s="1754"/>
      <c r="R138" s="595" cm="1">
        <f t="array" ref="R138">INDEX(Table3789[[#This Row],[P1]:[P5]],1,$H$34)</f>
        <v>0</v>
      </c>
      <c r="S138" s="567"/>
    </row>
    <row r="139" spans="1:25" s="276" customFormat="1" ht="15" customHeight="1" outlineLevel="1" x14ac:dyDescent="0.25">
      <c r="B139" s="559"/>
      <c r="C139" s="571"/>
      <c r="D139" s="1752"/>
      <c r="E139" s="1737"/>
      <c r="F139" s="1737"/>
      <c r="G139" s="1737"/>
      <c r="H139" s="1737"/>
      <c r="I139" s="1737"/>
      <c r="J139" s="1702">
        <f>Table3789[[#This Row],[Quantity]]*Table3789[[#This Row],[Unit Price]]</f>
        <v>0</v>
      </c>
      <c r="K139" s="1737"/>
      <c r="L139" s="1755"/>
      <c r="M139" s="1754"/>
      <c r="N139" s="1754"/>
      <c r="O139" s="1754"/>
      <c r="P139" s="1754"/>
      <c r="Q139" s="1754"/>
      <c r="R139" s="595" cm="1">
        <f t="array" ref="R139">INDEX(Table3789[[#This Row],[P1]:[P5]],1,$H$34)</f>
        <v>0</v>
      </c>
      <c r="S139" s="567"/>
    </row>
    <row r="140" spans="1:25" outlineLevel="1" x14ac:dyDescent="0.25">
      <c r="A140" s="276"/>
      <c r="B140" s="559"/>
      <c r="C140" s="571"/>
      <c r="D140" s="1752"/>
      <c r="E140" s="1737"/>
      <c r="F140" s="1737"/>
      <c r="G140" s="1737"/>
      <c r="H140" s="1737"/>
      <c r="I140" s="1737"/>
      <c r="J140" s="1702">
        <f>Table3789[[#This Row],[Quantity]]*Table3789[[#This Row],[Unit Price]]</f>
        <v>0</v>
      </c>
      <c r="K140" s="1737"/>
      <c r="L140" s="1755"/>
      <c r="M140" s="1754"/>
      <c r="N140" s="1754"/>
      <c r="O140" s="1754"/>
      <c r="P140" s="1754"/>
      <c r="Q140" s="1754"/>
      <c r="R140" s="595" cm="1">
        <f t="array" ref="R140">INDEX(Table3789[[#This Row],[P1]:[P5]],1,$H$34)</f>
        <v>0</v>
      </c>
      <c r="S140" s="567"/>
      <c r="T140" s="276"/>
      <c r="U140" s="276"/>
      <c r="V140" s="276"/>
      <c r="W140" s="276"/>
      <c r="X140" s="276"/>
      <c r="Y140" s="276"/>
    </row>
    <row r="141" spans="1:25" outlineLevel="1" x14ac:dyDescent="0.25">
      <c r="B141" s="559"/>
      <c r="C141" s="571"/>
      <c r="D141" s="1752"/>
      <c r="E141" s="1737"/>
      <c r="F141" s="1737"/>
      <c r="G141" s="1737"/>
      <c r="H141" s="1737"/>
      <c r="I141" s="1737"/>
      <c r="J141" s="1702">
        <f>Table3789[[#This Row],[Quantity]]*Table3789[[#This Row],[Unit Price]]</f>
        <v>0</v>
      </c>
      <c r="K141" s="1737"/>
      <c r="L141" s="1755"/>
      <c r="M141" s="1754"/>
      <c r="N141" s="1754"/>
      <c r="O141" s="1754"/>
      <c r="P141" s="1754"/>
      <c r="Q141" s="1754"/>
      <c r="R141" s="595" cm="1">
        <f t="array" ref="R141">INDEX(Table3789[[#This Row],[P1]:[P5]],1,$H$34)</f>
        <v>0</v>
      </c>
      <c r="S141" s="567"/>
      <c r="T141" s="276"/>
      <c r="U141" s="276"/>
      <c r="V141" s="276"/>
      <c r="W141" s="276"/>
      <c r="X141" s="276"/>
      <c r="Y141" s="276"/>
    </row>
    <row r="142" spans="1:25" outlineLevel="1" x14ac:dyDescent="0.25">
      <c r="B142" s="559"/>
      <c r="C142" s="571"/>
      <c r="D142" s="1752"/>
      <c r="E142" s="1737"/>
      <c r="F142" s="1737"/>
      <c r="G142" s="1737"/>
      <c r="H142" s="1737"/>
      <c r="I142" s="1737"/>
      <c r="J142" s="1702">
        <f>Table3789[[#This Row],[Quantity]]*Table3789[[#This Row],[Unit Price]]</f>
        <v>0</v>
      </c>
      <c r="K142" s="1737"/>
      <c r="L142" s="1755"/>
      <c r="M142" s="1754"/>
      <c r="N142" s="1754"/>
      <c r="O142" s="1754"/>
      <c r="P142" s="1754"/>
      <c r="Q142" s="1754"/>
      <c r="R142" s="595" cm="1">
        <f t="array" ref="R142">INDEX(Table3789[[#This Row],[P1]:[P5]],1,$H$34)</f>
        <v>0</v>
      </c>
      <c r="S142" s="567"/>
    </row>
    <row r="143" spans="1:25" outlineLevel="1" x14ac:dyDescent="0.25">
      <c r="B143" s="559"/>
      <c r="C143" s="571"/>
      <c r="D143" s="1752"/>
      <c r="E143" s="1737"/>
      <c r="F143" s="1737"/>
      <c r="G143" s="1737"/>
      <c r="H143" s="1737"/>
      <c r="I143" s="1737"/>
      <c r="J143" s="1702">
        <f>Table3789[[#This Row],[Quantity]]*Table3789[[#This Row],[Unit Price]]</f>
        <v>0</v>
      </c>
      <c r="K143" s="1737"/>
      <c r="L143" s="1755"/>
      <c r="M143" s="1754"/>
      <c r="N143" s="1754"/>
      <c r="O143" s="1754"/>
      <c r="P143" s="1754"/>
      <c r="Q143" s="1754"/>
      <c r="R143" s="595" cm="1">
        <f t="array" ref="R143">INDEX(Table3789[[#This Row],[P1]:[P5]],1,$H$34)</f>
        <v>0</v>
      </c>
      <c r="S143" s="567"/>
    </row>
    <row r="144" spans="1:25" outlineLevel="1" x14ac:dyDescent="0.25">
      <c r="B144" s="559"/>
      <c r="C144" s="571"/>
      <c r="D144" s="1752"/>
      <c r="E144" s="1737"/>
      <c r="F144" s="1737"/>
      <c r="G144" s="1737"/>
      <c r="H144" s="1737"/>
      <c r="I144" s="1737"/>
      <c r="J144" s="1702">
        <f>Table3789[[#This Row],[Quantity]]*Table3789[[#This Row],[Unit Price]]</f>
        <v>0</v>
      </c>
      <c r="K144" s="1737"/>
      <c r="L144" s="1755"/>
      <c r="M144" s="1754"/>
      <c r="N144" s="1754"/>
      <c r="O144" s="1754"/>
      <c r="P144" s="1754"/>
      <c r="Q144" s="1754"/>
      <c r="R144" s="595" cm="1">
        <f t="array" ref="R144">INDEX(Table3789[[#This Row],[P1]:[P5]],1,$H$34)</f>
        <v>0</v>
      </c>
      <c r="S144" s="567"/>
    </row>
    <row r="145" spans="1:25" outlineLevel="1" x14ac:dyDescent="0.25">
      <c r="B145" s="559"/>
      <c r="C145" s="571"/>
      <c r="D145" s="1752"/>
      <c r="E145" s="1737"/>
      <c r="F145" s="1737"/>
      <c r="G145" s="1737"/>
      <c r="H145" s="1737"/>
      <c r="I145" s="1737"/>
      <c r="J145" s="1702">
        <f>Table3789[[#This Row],[Quantity]]*Table3789[[#This Row],[Unit Price]]</f>
        <v>0</v>
      </c>
      <c r="K145" s="1737"/>
      <c r="L145" s="1755"/>
      <c r="M145" s="1754"/>
      <c r="N145" s="1754"/>
      <c r="O145" s="1754"/>
      <c r="P145" s="1754"/>
      <c r="Q145" s="1754"/>
      <c r="R145" s="595" cm="1">
        <f t="array" ref="R145">INDEX(Table3789[[#This Row],[P1]:[P5]],1,$H$34)</f>
        <v>0</v>
      </c>
      <c r="S145" s="567"/>
    </row>
    <row r="146" spans="1:25" outlineLevel="1" x14ac:dyDescent="0.25">
      <c r="B146" s="559"/>
      <c r="C146" s="571"/>
      <c r="D146" s="1752"/>
      <c r="E146" s="1737"/>
      <c r="F146" s="1737"/>
      <c r="G146" s="1737"/>
      <c r="H146" s="1737"/>
      <c r="I146" s="1737"/>
      <c r="J146" s="1702">
        <f>Table3789[[#This Row],[Quantity]]*Table3789[[#This Row],[Unit Price]]</f>
        <v>0</v>
      </c>
      <c r="K146" s="1737"/>
      <c r="L146" s="1755"/>
      <c r="M146" s="1754"/>
      <c r="N146" s="1754"/>
      <c r="O146" s="1754"/>
      <c r="P146" s="1754"/>
      <c r="Q146" s="1754"/>
      <c r="R146" s="596" cm="1">
        <f t="array" ref="R146">INDEX(Table3789[[#This Row],[P1]:[P5]],1,$H$34)</f>
        <v>0</v>
      </c>
      <c r="S146" s="567"/>
    </row>
    <row r="147" spans="1:25" outlineLevel="1" x14ac:dyDescent="0.25">
      <c r="B147" s="575"/>
      <c r="C147" s="9"/>
      <c r="D147" s="9"/>
      <c r="E147" s="9"/>
      <c r="F147" s="9"/>
      <c r="G147" s="9"/>
      <c r="H147" s="9"/>
      <c r="I147" s="9"/>
      <c r="J147" s="9"/>
      <c r="K147" s="9"/>
      <c r="L147" s="9"/>
      <c r="M147" s="9"/>
      <c r="N147" s="9"/>
      <c r="O147" s="9"/>
      <c r="P147" s="9"/>
      <c r="Q147" s="9"/>
      <c r="R147" s="9"/>
      <c r="S147" s="567"/>
    </row>
    <row r="148" spans="1:25" outlineLevel="1" x14ac:dyDescent="0.25">
      <c r="B148" s="575"/>
      <c r="C148" s="566">
        <v>2</v>
      </c>
      <c r="D148" s="380" t="s">
        <v>715</v>
      </c>
      <c r="E148" s="537"/>
      <c r="F148" s="593" t="s">
        <v>717</v>
      </c>
      <c r="G148" s="1742" t="s">
        <v>700</v>
      </c>
      <c r="H148" s="1770">
        <f>MATCH(G148,HIDE5!$U$13:$U$17,0)</f>
        <v>1</v>
      </c>
      <c r="I148" s="1771"/>
      <c r="J148" s="1771"/>
      <c r="K148" s="1771"/>
      <c r="L148" s="1771"/>
      <c r="M148" s="380" t="s">
        <v>718</v>
      </c>
      <c r="N148" s="380"/>
      <c r="O148" s="380"/>
      <c r="P148" s="380"/>
      <c r="Q148" s="380"/>
      <c r="R148" s="576"/>
      <c r="S148" s="567"/>
    </row>
    <row r="149" spans="1:25" outlineLevel="1" x14ac:dyDescent="0.25">
      <c r="B149" s="1767"/>
      <c r="C149" s="1768"/>
      <c r="D149" s="1768"/>
      <c r="E149" s="1768"/>
      <c r="F149" s="1768"/>
      <c r="G149" s="1768"/>
      <c r="H149" s="1768"/>
      <c r="I149" s="1768"/>
      <c r="J149" s="1769"/>
      <c r="K149" s="1769"/>
      <c r="L149" s="1769"/>
      <c r="M149" s="597" t="s">
        <v>700</v>
      </c>
      <c r="N149" s="597" t="s">
        <v>701</v>
      </c>
      <c r="O149" s="597" t="s">
        <v>702</v>
      </c>
      <c r="P149" s="597" t="s">
        <v>703</v>
      </c>
      <c r="Q149" s="597" t="s">
        <v>704</v>
      </c>
      <c r="R149" s="576"/>
      <c r="S149" s="567"/>
    </row>
    <row r="150" spans="1:25" outlineLevel="1" x14ac:dyDescent="0.25">
      <c r="B150" s="559"/>
      <c r="C150" s="1768"/>
      <c r="D150" s="586" t="str">
        <f>HIDE5!$X$3</f>
        <v>Appliances</v>
      </c>
      <c r="E150" s="1772">
        <f>SUMIFS(Table3789[Total],Table3789[Category],$D150,Table3789[Check],HIDE5!$Q$3)</f>
        <v>0</v>
      </c>
      <c r="F150" s="586" t="str">
        <f>HIDE5!$X$7</f>
        <v>Lighting</v>
      </c>
      <c r="G150" s="1772">
        <f>SUMIFS(Table3789[Total],Table3789[Category],$F150,Table3789[Check],HIDE5!$Q$3)</f>
        <v>0</v>
      </c>
      <c r="H150" s="1771"/>
      <c r="I150" s="1771"/>
      <c r="J150" s="1771"/>
      <c r="K150" s="1771"/>
      <c r="L150" s="1771"/>
      <c r="M150" s="1773">
        <f>SUMIF(Table3789[P1],HIDE5!$Q$3,Table3789[Total])</f>
        <v>0</v>
      </c>
      <c r="N150" s="1773">
        <f>SUMIF(Table3789[P2],HIDE5!$Q$3,Table3789[Total])</f>
        <v>0</v>
      </c>
      <c r="O150" s="1773">
        <f>SUMIF(Table3789[P3],HIDE5!$Q$3,Table3789[Total])</f>
        <v>0</v>
      </c>
      <c r="P150" s="1773">
        <f>SUMIF(Table3789[P4],HIDE5!$Q$3,Table3789[Total])</f>
        <v>0</v>
      </c>
      <c r="Q150" s="1773">
        <f>SUMIF(Table3789[P5],HIDE5!$Q$3,Table3789[Total])</f>
        <v>0</v>
      </c>
      <c r="R150" s="576"/>
      <c r="S150" s="567"/>
    </row>
    <row r="151" spans="1:25" ht="15" customHeight="1" outlineLevel="1" x14ac:dyDescent="0.25">
      <c r="B151" s="559"/>
      <c r="C151" s="1768"/>
      <c r="D151" s="586" t="str">
        <f>HIDE5!$X$4</f>
        <v>Furniture</v>
      </c>
      <c r="E151" s="1772">
        <f>SUMIFS(Table3789[Total],Table3789[Category],$D151,Table3789[Check],HIDE5!$Q$3)</f>
        <v>0</v>
      </c>
      <c r="F151" s="586" t="str">
        <f>HIDE5!$X$8</f>
        <v>Electronics</v>
      </c>
      <c r="G151" s="1772">
        <f>SUMIFS(Table3789[Total],Table3789[Category],$F151,Table3789[Check],HIDE5!$Q$3)</f>
        <v>0</v>
      </c>
      <c r="H151" s="1771"/>
      <c r="I151" s="1771"/>
      <c r="J151" s="1771"/>
      <c r="K151" s="1771"/>
      <c r="L151" s="1771"/>
      <c r="M151" s="1771"/>
      <c r="N151" s="1771"/>
      <c r="O151" s="1771"/>
      <c r="P151" s="1771"/>
      <c r="Q151" s="1771"/>
      <c r="R151" s="576"/>
      <c r="S151" s="567"/>
    </row>
    <row r="152" spans="1:25" s="558" customFormat="1" ht="15" customHeight="1" outlineLevel="1" x14ac:dyDescent="0.25">
      <c r="A152" s="274"/>
      <c r="B152" s="559"/>
      <c r="C152" s="1768"/>
      <c r="D152" s="586" t="str">
        <f>HIDE5!$X$5</f>
        <v>Kitchenware</v>
      </c>
      <c r="E152" s="1772">
        <f>SUMIFS(Table3789[Total],Table3789[Category],$D152,Table3789[Check],HIDE5!$Q$3)</f>
        <v>0</v>
      </c>
      <c r="F152" s="586" t="str">
        <f>HIDE5!$X$10</f>
        <v>Accessories</v>
      </c>
      <c r="G152" s="1772">
        <f>SUMIFS(Table3789[Total],Table3789[Category],$F152,Table3789[Check],HIDE5!$Q$3)</f>
        <v>0</v>
      </c>
      <c r="H152" s="1771"/>
      <c r="I152" s="1771"/>
      <c r="J152" s="1771"/>
      <c r="K152" s="1771"/>
      <c r="L152" s="1771"/>
      <c r="M152" s="1771"/>
      <c r="N152" s="1771"/>
      <c r="O152" s="1771"/>
      <c r="P152" s="1771"/>
      <c r="Q152" s="1771"/>
      <c r="R152" s="576"/>
      <c r="S152" s="567"/>
      <c r="T152" s="274"/>
      <c r="U152" s="274"/>
      <c r="V152" s="274"/>
      <c r="W152" s="274"/>
      <c r="X152" s="274"/>
      <c r="Y152" s="274"/>
    </row>
    <row r="153" spans="1:25" outlineLevel="1" x14ac:dyDescent="0.25">
      <c r="A153" s="558"/>
      <c r="B153" s="559"/>
      <c r="C153" s="1768"/>
      <c r="D153" s="586" t="str">
        <f>HIDE5!$X$6</f>
        <v>Bedding</v>
      </c>
      <c r="E153" s="1772">
        <f>SUMIFS(Table3789[Total],Table3789[Category],$D153,Table3789[Check],HIDE5!$Q$3)</f>
        <v>0</v>
      </c>
      <c r="F153" s="586" t="str">
        <f>HIDE5!$X$11</f>
        <v>Decor</v>
      </c>
      <c r="G153" s="1772">
        <f>SUMIFS(Table3789[Total],Table3789[Category],$F153,Table3789[Check],HIDE5!$Q$3)</f>
        <v>0</v>
      </c>
      <c r="H153" s="1771"/>
      <c r="I153" s="1771"/>
      <c r="J153" s="1771"/>
      <c r="K153" s="1771"/>
      <c r="L153" s="1771"/>
      <c r="M153" s="1771"/>
      <c r="N153" s="1771"/>
      <c r="O153" s="1771"/>
      <c r="P153" s="1771"/>
      <c r="Q153" s="1771"/>
      <c r="R153" s="576"/>
      <c r="S153" s="567"/>
    </row>
    <row r="154" spans="1:25" s="558" customFormat="1" ht="15" customHeight="1" outlineLevel="1" x14ac:dyDescent="0.25">
      <c r="A154" s="274"/>
      <c r="B154" s="559"/>
      <c r="C154" s="1772"/>
      <c r="D154" s="1772"/>
      <c r="E154" s="1772"/>
      <c r="F154" s="1772"/>
      <c r="G154" s="1772"/>
      <c r="H154" s="1771"/>
      <c r="I154" s="1771"/>
      <c r="J154" s="1771"/>
      <c r="K154" s="1771"/>
      <c r="L154" s="1771"/>
      <c r="M154" s="1771"/>
      <c r="N154" s="1771"/>
      <c r="O154" s="1771"/>
      <c r="P154" s="1771"/>
      <c r="Q154" s="1771"/>
      <c r="R154" s="576"/>
      <c r="S154" s="567"/>
    </row>
    <row r="155" spans="1:25" s="558" customFormat="1" ht="15" customHeight="1" outlineLevel="1" x14ac:dyDescent="0.25">
      <c r="B155" s="559"/>
      <c r="C155" s="1772"/>
      <c r="D155" s="591" t="s">
        <v>696</v>
      </c>
      <c r="E155" s="1774">
        <f>IFERROR(SUM(E150:E153,G150:G153),0)</f>
        <v>0</v>
      </c>
      <c r="F155" s="1771"/>
      <c r="G155" s="1771"/>
      <c r="H155" s="1771"/>
      <c r="I155" s="1771"/>
      <c r="J155" s="1771"/>
      <c r="K155" s="1771"/>
      <c r="L155" s="1771"/>
      <c r="M155" s="1771"/>
      <c r="N155" s="1771"/>
      <c r="O155" s="1771"/>
      <c r="P155" s="1772"/>
      <c r="Q155" s="1772"/>
      <c r="R155" s="577"/>
      <c r="S155" s="567"/>
      <c r="T155" s="274"/>
      <c r="U155" s="274"/>
      <c r="V155" s="274"/>
      <c r="W155" s="274"/>
      <c r="X155" s="274"/>
      <c r="Y155" s="274"/>
    </row>
    <row r="156" spans="1:25" ht="15" customHeight="1" x14ac:dyDescent="0.25">
      <c r="A156" s="558"/>
      <c r="B156" s="575"/>
      <c r="C156" s="9"/>
      <c r="D156" s="9"/>
      <c r="E156" s="9"/>
      <c r="F156" s="9"/>
      <c r="G156" s="9"/>
      <c r="H156" s="9"/>
      <c r="I156" s="9"/>
      <c r="J156" s="9"/>
      <c r="K156" s="9"/>
      <c r="L156" s="9"/>
      <c r="M156" s="9"/>
      <c r="N156" s="9"/>
      <c r="O156" s="9"/>
      <c r="P156" s="9"/>
      <c r="Q156" s="9"/>
      <c r="R156" s="9"/>
      <c r="S156" s="567"/>
      <c r="T156" s="558"/>
      <c r="U156" s="558"/>
      <c r="V156" s="558"/>
      <c r="W156" s="558"/>
      <c r="X156" s="558"/>
      <c r="Y156" s="558"/>
    </row>
    <row r="157" spans="1:25" x14ac:dyDescent="0.25">
      <c r="B157" s="561"/>
      <c r="C157" s="578"/>
      <c r="D157" s="578"/>
      <c r="E157" s="578"/>
      <c r="F157" s="578"/>
      <c r="G157" s="578"/>
      <c r="H157" s="578"/>
      <c r="I157" s="578"/>
      <c r="J157" s="578"/>
      <c r="K157" s="578"/>
      <c r="L157" s="578"/>
      <c r="M157" s="579"/>
      <c r="N157" s="579"/>
      <c r="O157" s="579"/>
      <c r="P157" s="579"/>
      <c r="Q157" s="579"/>
      <c r="R157" s="579"/>
      <c r="S157" s="580"/>
      <c r="T157" s="558"/>
      <c r="U157" s="558"/>
      <c r="V157" s="558"/>
      <c r="W157" s="558"/>
      <c r="X157" s="558"/>
      <c r="Y157" s="558"/>
    </row>
    <row r="158" spans="1:25" outlineLevel="1" x14ac:dyDescent="0.25"/>
    <row r="159" spans="1:25" outlineLevel="1" x14ac:dyDescent="0.25">
      <c r="B159" s="562">
        <v>5</v>
      </c>
      <c r="C159" s="563" t="str">
        <f>UPPER(DASHBOARD!$D$72)</f>
        <v>BEDROOM #2</v>
      </c>
      <c r="D159" s="564"/>
      <c r="E159" s="564"/>
      <c r="F159" s="564"/>
      <c r="G159" s="564"/>
      <c r="H159" s="564"/>
      <c r="I159" s="564"/>
      <c r="J159" s="564"/>
      <c r="K159" s="564"/>
      <c r="L159" s="564"/>
      <c r="M159" s="564"/>
      <c r="N159" s="564"/>
      <c r="O159" s="564"/>
      <c r="P159" s="564"/>
      <c r="Q159" s="564"/>
      <c r="R159" s="564"/>
      <c r="S159" s="565"/>
    </row>
    <row r="160" spans="1:25" outlineLevel="1" x14ac:dyDescent="0.25">
      <c r="B160" s="559"/>
      <c r="C160" s="9"/>
      <c r="D160" s="9"/>
      <c r="E160" s="9"/>
      <c r="F160" s="9"/>
      <c r="G160" s="9"/>
      <c r="H160" s="9"/>
      <c r="I160" s="9"/>
      <c r="J160" s="9"/>
      <c r="K160" s="9"/>
      <c r="L160" s="9"/>
      <c r="M160" s="9"/>
      <c r="N160" s="9"/>
      <c r="O160" s="9"/>
      <c r="P160" s="9"/>
      <c r="Q160" s="9"/>
      <c r="R160" s="9"/>
      <c r="S160" s="560"/>
    </row>
    <row r="161" spans="1:25" ht="15.75" customHeight="1" outlineLevel="1" x14ac:dyDescent="0.25">
      <c r="B161" s="559"/>
      <c r="C161" s="566">
        <v>1</v>
      </c>
      <c r="D161" s="380" t="s">
        <v>1147</v>
      </c>
      <c r="E161" s="537"/>
      <c r="F161" s="537"/>
      <c r="G161" s="537"/>
      <c r="H161" s="537"/>
      <c r="I161" s="537"/>
      <c r="J161" s="537"/>
      <c r="K161" s="537"/>
      <c r="L161" s="537"/>
      <c r="M161" s="568"/>
      <c r="N161" s="569"/>
      <c r="O161" s="569"/>
      <c r="P161" s="570"/>
      <c r="Q161" s="569"/>
      <c r="R161" s="569"/>
      <c r="S161" s="567"/>
    </row>
    <row r="162" spans="1:25" outlineLevel="1" x14ac:dyDescent="0.25">
      <c r="B162" s="559"/>
      <c r="C162" s="571"/>
      <c r="D162" s="572"/>
      <c r="E162" s="572"/>
      <c r="F162" s="572"/>
      <c r="G162" s="572"/>
      <c r="H162" s="572"/>
      <c r="I162" s="572"/>
      <c r="J162" s="573"/>
      <c r="K162" s="573"/>
      <c r="L162" s="573"/>
      <c r="M162" s="573"/>
      <c r="N162" s="573"/>
      <c r="O162" s="572"/>
      <c r="P162" s="571"/>
      <c r="Q162" s="574"/>
      <c r="R162" s="585"/>
      <c r="S162" s="567"/>
    </row>
    <row r="163" spans="1:25" outlineLevel="1" x14ac:dyDescent="0.25">
      <c r="B163" s="559"/>
      <c r="C163" s="571"/>
      <c r="D163" s="572"/>
      <c r="E163" s="572"/>
      <c r="F163" s="572"/>
      <c r="G163" s="572"/>
      <c r="H163" s="572"/>
      <c r="I163" s="572"/>
      <c r="J163" s="573"/>
      <c r="K163" s="573"/>
      <c r="L163" s="84"/>
      <c r="M163" s="2580" t="s">
        <v>719</v>
      </c>
      <c r="N163" s="2581"/>
      <c r="O163" s="2581"/>
      <c r="P163" s="2581"/>
      <c r="Q163" s="2581"/>
      <c r="R163" s="589"/>
      <c r="S163" s="567"/>
    </row>
    <row r="164" spans="1:25" outlineLevel="1" x14ac:dyDescent="0.25">
      <c r="B164" s="559"/>
      <c r="C164" s="571"/>
      <c r="D164" s="590" t="s">
        <v>633</v>
      </c>
      <c r="E164" s="587" t="s">
        <v>697</v>
      </c>
      <c r="F164" s="587" t="s">
        <v>438</v>
      </c>
      <c r="G164" s="587" t="s">
        <v>698</v>
      </c>
      <c r="H164" s="587" t="s">
        <v>662</v>
      </c>
      <c r="I164" s="587" t="s">
        <v>699</v>
      </c>
      <c r="J164" s="587" t="s">
        <v>20</v>
      </c>
      <c r="K164" s="587" t="s">
        <v>695</v>
      </c>
      <c r="L164" s="592" t="s">
        <v>716</v>
      </c>
      <c r="M164" s="588" t="s">
        <v>700</v>
      </c>
      <c r="N164" s="588" t="s">
        <v>701</v>
      </c>
      <c r="O164" s="588" t="s">
        <v>702</v>
      </c>
      <c r="P164" s="588" t="s">
        <v>703</v>
      </c>
      <c r="Q164" s="588" t="s">
        <v>704</v>
      </c>
      <c r="R164" s="588" t="s">
        <v>124</v>
      </c>
      <c r="S164" s="567"/>
    </row>
    <row r="165" spans="1:25" ht="14.4" outlineLevel="1" x14ac:dyDescent="0.25">
      <c r="B165" s="559"/>
      <c r="C165" s="571"/>
      <c r="D165" s="1752"/>
      <c r="E165" s="1737"/>
      <c r="F165" s="1737"/>
      <c r="G165" s="1737"/>
      <c r="H165" s="1737"/>
      <c r="I165" s="1737"/>
      <c r="J165" s="1702">
        <f>Table378910[[#This Row],[Quantity]]*Table378910[[#This Row],[Unit Price]]</f>
        <v>0</v>
      </c>
      <c r="K165" s="1737"/>
      <c r="L165" s="1753"/>
      <c r="M165" s="1754"/>
      <c r="N165" s="1754"/>
      <c r="O165" s="1754"/>
      <c r="P165" s="1754"/>
      <c r="Q165" s="1754"/>
      <c r="R165" s="594" cm="1">
        <f t="array" ref="R165">INDEX(Table378910[[#This Row],[P1]:[P5]],1,$H$34)</f>
        <v>0</v>
      </c>
      <c r="S165" s="567"/>
    </row>
    <row r="166" spans="1:25" ht="15" customHeight="1" outlineLevel="1" x14ac:dyDescent="0.25">
      <c r="B166" s="559"/>
      <c r="C166" s="571"/>
      <c r="D166" s="1752"/>
      <c r="E166" s="1737"/>
      <c r="F166" s="1737"/>
      <c r="G166" s="1737"/>
      <c r="H166" s="1737"/>
      <c r="I166" s="1737"/>
      <c r="J166" s="1702">
        <f>Table378910[[#This Row],[Quantity]]*Table378910[[#This Row],[Unit Price]]</f>
        <v>0</v>
      </c>
      <c r="K166" s="1737"/>
      <c r="L166" s="1755"/>
      <c r="M166" s="1754"/>
      <c r="N166" s="1754"/>
      <c r="O166" s="1754"/>
      <c r="P166" s="1754"/>
      <c r="Q166" s="1754"/>
      <c r="R166" s="595" cm="1">
        <f t="array" ref="R166">INDEX(Table378910[[#This Row],[P1]:[P5]],1,$H$34)</f>
        <v>0</v>
      </c>
      <c r="S166" s="567"/>
    </row>
    <row r="167" spans="1:25" ht="15" customHeight="1" outlineLevel="1" x14ac:dyDescent="0.25">
      <c r="B167" s="559"/>
      <c r="C167" s="571"/>
      <c r="D167" s="1752"/>
      <c r="E167" s="1737"/>
      <c r="F167" s="1737"/>
      <c r="G167" s="1737"/>
      <c r="H167" s="1737"/>
      <c r="I167" s="1737"/>
      <c r="J167" s="1702">
        <f>Table378910[[#This Row],[Quantity]]*Table378910[[#This Row],[Unit Price]]</f>
        <v>0</v>
      </c>
      <c r="K167" s="1737"/>
      <c r="L167" s="1755"/>
      <c r="M167" s="1754"/>
      <c r="N167" s="1754"/>
      <c r="O167" s="1754"/>
      <c r="P167" s="1754"/>
      <c r="Q167" s="1754"/>
      <c r="R167" s="595" cm="1">
        <f t="array" ref="R167">INDEX(Table378910[[#This Row],[P1]:[P5]],1,$H$34)</f>
        <v>0</v>
      </c>
      <c r="S167" s="567"/>
    </row>
    <row r="168" spans="1:25" ht="15" customHeight="1" outlineLevel="1" x14ac:dyDescent="0.25">
      <c r="B168" s="559"/>
      <c r="C168" s="571"/>
      <c r="D168" s="1752"/>
      <c r="E168" s="1737"/>
      <c r="F168" s="1737"/>
      <c r="G168" s="1737"/>
      <c r="H168" s="1737"/>
      <c r="I168" s="1737"/>
      <c r="J168" s="1702">
        <f>Table378910[[#This Row],[Quantity]]*Table378910[[#This Row],[Unit Price]]</f>
        <v>0</v>
      </c>
      <c r="K168" s="1737"/>
      <c r="L168" s="1753"/>
      <c r="M168" s="1754"/>
      <c r="N168" s="1754"/>
      <c r="O168" s="1754"/>
      <c r="P168" s="1754"/>
      <c r="Q168" s="1754"/>
      <c r="R168" s="595" cm="1">
        <f t="array" ref="R168">INDEX(Table378910[[#This Row],[P1]:[P5]],1,$H$34)</f>
        <v>0</v>
      </c>
      <c r="S168" s="567"/>
    </row>
    <row r="169" spans="1:25" ht="15" customHeight="1" outlineLevel="1" x14ac:dyDescent="0.25">
      <c r="B169" s="559"/>
      <c r="C169" s="571"/>
      <c r="D169" s="1752"/>
      <c r="E169" s="1737"/>
      <c r="F169" s="1737"/>
      <c r="G169" s="1737"/>
      <c r="H169" s="1737"/>
      <c r="I169" s="1737"/>
      <c r="J169" s="1702">
        <f>Table378910[[#This Row],[Quantity]]*Table378910[[#This Row],[Unit Price]]</f>
        <v>0</v>
      </c>
      <c r="K169" s="1737"/>
      <c r="L169" s="1755"/>
      <c r="M169" s="1754"/>
      <c r="N169" s="1754"/>
      <c r="O169" s="1754"/>
      <c r="P169" s="1754"/>
      <c r="Q169" s="1754"/>
      <c r="R169" s="595" cm="1">
        <f t="array" ref="R169">INDEX(Table378910[[#This Row],[P1]:[P5]],1,$H$34)</f>
        <v>0</v>
      </c>
      <c r="S169" s="567"/>
    </row>
    <row r="170" spans="1:25" ht="15" customHeight="1" outlineLevel="1" x14ac:dyDescent="0.25">
      <c r="B170" s="559"/>
      <c r="C170" s="571"/>
      <c r="D170" s="1752"/>
      <c r="E170" s="1737"/>
      <c r="F170" s="1737"/>
      <c r="G170" s="1737"/>
      <c r="H170" s="1737"/>
      <c r="I170" s="1737"/>
      <c r="J170" s="1702">
        <f>Table378910[[#This Row],[Quantity]]*Table378910[[#This Row],[Unit Price]]</f>
        <v>0</v>
      </c>
      <c r="K170" s="1737"/>
      <c r="L170" s="1755"/>
      <c r="M170" s="1754"/>
      <c r="N170" s="1754"/>
      <c r="O170" s="1754"/>
      <c r="P170" s="1754"/>
      <c r="Q170" s="1754"/>
      <c r="R170" s="595" cm="1">
        <f t="array" ref="R170">INDEX(Table378910[[#This Row],[P1]:[P5]],1,$H$34)</f>
        <v>0</v>
      </c>
      <c r="S170" s="567"/>
    </row>
    <row r="171" spans="1:25" s="276" customFormat="1" ht="15" customHeight="1" outlineLevel="1" x14ac:dyDescent="0.25">
      <c r="A171" s="274"/>
      <c r="B171" s="559"/>
      <c r="C171" s="571"/>
      <c r="D171" s="1752"/>
      <c r="E171" s="1737"/>
      <c r="F171" s="1737"/>
      <c r="G171" s="1737"/>
      <c r="H171" s="1737"/>
      <c r="I171" s="1737"/>
      <c r="J171" s="1702">
        <f>Table378910[[#This Row],[Quantity]]*Table378910[[#This Row],[Unit Price]]</f>
        <v>0</v>
      </c>
      <c r="K171" s="1737"/>
      <c r="L171" s="1755"/>
      <c r="M171" s="1754"/>
      <c r="N171" s="1754"/>
      <c r="O171" s="1754"/>
      <c r="P171" s="1754"/>
      <c r="Q171" s="1754"/>
      <c r="R171" s="595" cm="1">
        <f t="array" ref="R171">INDEX(Table378910[[#This Row],[P1]:[P5]],1,$H$34)</f>
        <v>0</v>
      </c>
      <c r="S171" s="567"/>
      <c r="T171" s="274"/>
      <c r="U171" s="274"/>
      <c r="V171" s="274"/>
      <c r="W171" s="274"/>
      <c r="X171" s="274"/>
      <c r="Y171" s="274"/>
    </row>
    <row r="172" spans="1:25" s="276" customFormat="1" ht="15" customHeight="1" outlineLevel="1" x14ac:dyDescent="0.25">
      <c r="B172" s="559"/>
      <c r="C172" s="571"/>
      <c r="D172" s="1752"/>
      <c r="E172" s="1737"/>
      <c r="F172" s="1737"/>
      <c r="G172" s="1737"/>
      <c r="H172" s="1737"/>
      <c r="I172" s="1737"/>
      <c r="J172" s="1702">
        <f>Table378910[[#This Row],[Quantity]]*Table378910[[#This Row],[Unit Price]]</f>
        <v>0</v>
      </c>
      <c r="K172" s="1737"/>
      <c r="L172" s="1755"/>
      <c r="M172" s="1754"/>
      <c r="N172" s="1754"/>
      <c r="O172" s="1754"/>
      <c r="P172" s="1754"/>
      <c r="Q172" s="1754"/>
      <c r="R172" s="595" cm="1">
        <f t="array" ref="R172">INDEX(Table378910[[#This Row],[P1]:[P5]],1,$H$34)</f>
        <v>0</v>
      </c>
      <c r="S172" s="567"/>
      <c r="T172" s="274"/>
      <c r="U172" s="274"/>
      <c r="V172" s="274"/>
      <c r="W172" s="274"/>
      <c r="X172" s="274"/>
      <c r="Y172" s="274"/>
    </row>
    <row r="173" spans="1:25" s="276" customFormat="1" ht="15" customHeight="1" outlineLevel="1" x14ac:dyDescent="0.25">
      <c r="B173" s="559"/>
      <c r="C173" s="571"/>
      <c r="D173" s="1752"/>
      <c r="E173" s="1737"/>
      <c r="F173" s="1737"/>
      <c r="G173" s="1737"/>
      <c r="H173" s="1737"/>
      <c r="I173" s="1737"/>
      <c r="J173" s="1702">
        <f>Table378910[[#This Row],[Quantity]]*Table378910[[#This Row],[Unit Price]]</f>
        <v>0</v>
      </c>
      <c r="K173" s="1737"/>
      <c r="L173" s="1755"/>
      <c r="M173" s="1754"/>
      <c r="N173" s="1754"/>
      <c r="O173" s="1754"/>
      <c r="P173" s="1754"/>
      <c r="Q173" s="1754"/>
      <c r="R173" s="595" cm="1">
        <f t="array" ref="R173">INDEX(Table378910[[#This Row],[P1]:[P5]],1,$H$34)</f>
        <v>0</v>
      </c>
      <c r="S173" s="567"/>
    </row>
    <row r="174" spans="1:25" s="276" customFormat="1" ht="15" customHeight="1" outlineLevel="1" x14ac:dyDescent="0.25">
      <c r="B174" s="559"/>
      <c r="C174" s="571"/>
      <c r="D174" s="1752"/>
      <c r="E174" s="1737"/>
      <c r="F174" s="1737"/>
      <c r="G174" s="1737"/>
      <c r="H174" s="1737"/>
      <c r="I174" s="1737"/>
      <c r="J174" s="1702">
        <f>Table378910[[#This Row],[Quantity]]*Table378910[[#This Row],[Unit Price]]</f>
        <v>0</v>
      </c>
      <c r="K174" s="1737"/>
      <c r="L174" s="1755"/>
      <c r="M174" s="1754"/>
      <c r="N174" s="1754"/>
      <c r="O174" s="1754"/>
      <c r="P174" s="1754"/>
      <c r="Q174" s="1754"/>
      <c r="R174" s="595" cm="1">
        <f t="array" ref="R174">INDEX(Table378910[[#This Row],[P1]:[P5]],1,$H$34)</f>
        <v>0</v>
      </c>
      <c r="S174" s="567"/>
    </row>
    <row r="175" spans="1:25" s="276" customFormat="1" ht="15" customHeight="1" outlineLevel="1" x14ac:dyDescent="0.25">
      <c r="B175" s="559"/>
      <c r="C175" s="571"/>
      <c r="D175" s="1752"/>
      <c r="E175" s="1737"/>
      <c r="F175" s="1737"/>
      <c r="G175" s="1737"/>
      <c r="H175" s="1737"/>
      <c r="I175" s="1737"/>
      <c r="J175" s="1702">
        <f>Table378910[[#This Row],[Quantity]]*Table378910[[#This Row],[Unit Price]]</f>
        <v>0</v>
      </c>
      <c r="K175" s="1737"/>
      <c r="L175" s="1753"/>
      <c r="M175" s="1754"/>
      <c r="N175" s="1754"/>
      <c r="O175" s="1754"/>
      <c r="P175" s="1754"/>
      <c r="Q175" s="1754"/>
      <c r="R175" s="595" cm="1">
        <f t="array" ref="R175">INDEX(Table378910[[#This Row],[P1]:[P5]],1,$H$34)</f>
        <v>0</v>
      </c>
      <c r="S175" s="567"/>
    </row>
    <row r="176" spans="1:25" s="276" customFormat="1" ht="15" customHeight="1" outlineLevel="1" x14ac:dyDescent="0.25">
      <c r="B176" s="559"/>
      <c r="C176" s="571"/>
      <c r="D176" s="1752"/>
      <c r="E176" s="1737"/>
      <c r="F176" s="1737"/>
      <c r="G176" s="1737"/>
      <c r="H176" s="1737"/>
      <c r="I176" s="1737"/>
      <c r="J176" s="1702">
        <f>Table378910[[#This Row],[Quantity]]*Table378910[[#This Row],[Unit Price]]</f>
        <v>0</v>
      </c>
      <c r="K176" s="1737"/>
      <c r="L176" s="1755"/>
      <c r="M176" s="1754"/>
      <c r="N176" s="1754"/>
      <c r="O176" s="1754"/>
      <c r="P176" s="1754"/>
      <c r="Q176" s="1754"/>
      <c r="R176" s="595" cm="1">
        <f t="array" ref="R176">INDEX(Table378910[[#This Row],[P1]:[P5]],1,$H$34)</f>
        <v>0</v>
      </c>
      <c r="S176" s="567"/>
    </row>
    <row r="177" spans="1:25" s="276" customFormat="1" ht="15" customHeight="1" outlineLevel="1" x14ac:dyDescent="0.25">
      <c r="B177" s="559"/>
      <c r="C177" s="571"/>
      <c r="D177" s="1752"/>
      <c r="E177" s="1737"/>
      <c r="F177" s="1737"/>
      <c r="G177" s="1737"/>
      <c r="H177" s="1737"/>
      <c r="I177" s="1737"/>
      <c r="J177" s="1702">
        <f>Table378910[[#This Row],[Quantity]]*Table378910[[#This Row],[Unit Price]]</f>
        <v>0</v>
      </c>
      <c r="K177" s="1737"/>
      <c r="L177" s="1755"/>
      <c r="M177" s="1754"/>
      <c r="N177" s="1754"/>
      <c r="O177" s="1754"/>
      <c r="P177" s="1754"/>
      <c r="Q177" s="1754"/>
      <c r="R177" s="595" cm="1">
        <f t="array" ref="R177">INDEX(Table378910[[#This Row],[P1]:[P5]],1,$H$34)</f>
        <v>0</v>
      </c>
      <c r="S177" s="567"/>
    </row>
    <row r="178" spans="1:25" outlineLevel="1" x14ac:dyDescent="0.25">
      <c r="A178" s="276"/>
      <c r="B178" s="559"/>
      <c r="C178" s="571"/>
      <c r="D178" s="1752"/>
      <c r="E178" s="1737"/>
      <c r="F178" s="1737"/>
      <c r="G178" s="1737"/>
      <c r="H178" s="1737"/>
      <c r="I178" s="1737"/>
      <c r="J178" s="1702">
        <f>Table378910[[#This Row],[Quantity]]*Table378910[[#This Row],[Unit Price]]</f>
        <v>0</v>
      </c>
      <c r="K178" s="1737"/>
      <c r="L178" s="1755"/>
      <c r="M178" s="1754"/>
      <c r="N178" s="1754"/>
      <c r="O178" s="1754"/>
      <c r="P178" s="1754"/>
      <c r="Q178" s="1754"/>
      <c r="R178" s="595" cm="1">
        <f t="array" ref="R178">INDEX(Table378910[[#This Row],[P1]:[P5]],1,$H$34)</f>
        <v>0</v>
      </c>
      <c r="S178" s="567"/>
      <c r="T178" s="276"/>
      <c r="U178" s="276"/>
      <c r="V178" s="276"/>
      <c r="W178" s="276"/>
      <c r="X178" s="276"/>
      <c r="Y178" s="276"/>
    </row>
    <row r="179" spans="1:25" outlineLevel="1" x14ac:dyDescent="0.25">
      <c r="B179" s="559"/>
      <c r="C179" s="571"/>
      <c r="D179" s="1752"/>
      <c r="E179" s="1737"/>
      <c r="F179" s="1737"/>
      <c r="G179" s="1737"/>
      <c r="H179" s="1737"/>
      <c r="I179" s="1737"/>
      <c r="J179" s="1702">
        <f>Table378910[[#This Row],[Quantity]]*Table378910[[#This Row],[Unit Price]]</f>
        <v>0</v>
      </c>
      <c r="K179" s="1737"/>
      <c r="L179" s="1755"/>
      <c r="M179" s="1754"/>
      <c r="N179" s="1754"/>
      <c r="O179" s="1754"/>
      <c r="P179" s="1754"/>
      <c r="Q179" s="1754"/>
      <c r="R179" s="595" cm="1">
        <f t="array" ref="R179">INDEX(Table378910[[#This Row],[P1]:[P5]],1,$H$34)</f>
        <v>0</v>
      </c>
      <c r="S179" s="567"/>
      <c r="T179" s="276"/>
      <c r="U179" s="276"/>
      <c r="V179" s="276"/>
      <c r="W179" s="276"/>
      <c r="X179" s="276"/>
      <c r="Y179" s="276"/>
    </row>
    <row r="180" spans="1:25" outlineLevel="1" x14ac:dyDescent="0.25">
      <c r="B180" s="559"/>
      <c r="C180" s="571"/>
      <c r="D180" s="1752"/>
      <c r="E180" s="1737"/>
      <c r="F180" s="1737"/>
      <c r="G180" s="1737"/>
      <c r="H180" s="1737"/>
      <c r="I180" s="1737"/>
      <c r="J180" s="1702">
        <f>Table378910[[#This Row],[Quantity]]*Table378910[[#This Row],[Unit Price]]</f>
        <v>0</v>
      </c>
      <c r="K180" s="1737"/>
      <c r="L180" s="1755"/>
      <c r="M180" s="1754"/>
      <c r="N180" s="1754"/>
      <c r="O180" s="1754"/>
      <c r="P180" s="1754"/>
      <c r="Q180" s="1754"/>
      <c r="R180" s="595" cm="1">
        <f t="array" ref="R180">INDEX(Table378910[[#This Row],[P1]:[P5]],1,$H$34)</f>
        <v>0</v>
      </c>
      <c r="S180" s="567"/>
    </row>
    <row r="181" spans="1:25" outlineLevel="1" x14ac:dyDescent="0.25">
      <c r="B181" s="559"/>
      <c r="C181" s="571"/>
      <c r="D181" s="1752"/>
      <c r="E181" s="1737"/>
      <c r="F181" s="1737"/>
      <c r="G181" s="1737"/>
      <c r="H181" s="1737"/>
      <c r="I181" s="1737"/>
      <c r="J181" s="1702">
        <f>Table378910[[#This Row],[Quantity]]*Table378910[[#This Row],[Unit Price]]</f>
        <v>0</v>
      </c>
      <c r="K181" s="1737"/>
      <c r="L181" s="1755"/>
      <c r="M181" s="1754"/>
      <c r="N181" s="1754"/>
      <c r="O181" s="1754"/>
      <c r="P181" s="1754"/>
      <c r="Q181" s="1754"/>
      <c r="R181" s="595" cm="1">
        <f t="array" ref="R181">INDEX(Table378910[[#This Row],[P1]:[P5]],1,$H$34)</f>
        <v>0</v>
      </c>
      <c r="S181" s="567"/>
    </row>
    <row r="182" spans="1:25" outlineLevel="1" x14ac:dyDescent="0.25">
      <c r="B182" s="559"/>
      <c r="C182" s="571"/>
      <c r="D182" s="1752"/>
      <c r="E182" s="1737"/>
      <c r="F182" s="1737"/>
      <c r="G182" s="1737"/>
      <c r="H182" s="1737"/>
      <c r="I182" s="1737"/>
      <c r="J182" s="1702">
        <f>Table378910[[#This Row],[Quantity]]*Table378910[[#This Row],[Unit Price]]</f>
        <v>0</v>
      </c>
      <c r="K182" s="1737"/>
      <c r="L182" s="1755"/>
      <c r="M182" s="1754"/>
      <c r="N182" s="1754"/>
      <c r="O182" s="1754"/>
      <c r="P182" s="1754"/>
      <c r="Q182" s="1754"/>
      <c r="R182" s="595" cm="1">
        <f t="array" ref="R182">INDEX(Table378910[[#This Row],[P1]:[P5]],1,$H$34)</f>
        <v>0</v>
      </c>
      <c r="S182" s="567"/>
    </row>
    <row r="183" spans="1:25" outlineLevel="1" x14ac:dyDescent="0.25">
      <c r="B183" s="559"/>
      <c r="C183" s="571"/>
      <c r="D183" s="1752"/>
      <c r="E183" s="1737"/>
      <c r="F183" s="1737"/>
      <c r="G183" s="1737"/>
      <c r="H183" s="1737"/>
      <c r="I183" s="1737"/>
      <c r="J183" s="1702">
        <f>Table378910[[#This Row],[Quantity]]*Table378910[[#This Row],[Unit Price]]</f>
        <v>0</v>
      </c>
      <c r="K183" s="1737"/>
      <c r="L183" s="1755"/>
      <c r="M183" s="1754"/>
      <c r="N183" s="1754"/>
      <c r="O183" s="1754"/>
      <c r="P183" s="1754"/>
      <c r="Q183" s="1754"/>
      <c r="R183" s="595" cm="1">
        <f t="array" ref="R183">INDEX(Table378910[[#This Row],[P1]:[P5]],1,$H$34)</f>
        <v>0</v>
      </c>
      <c r="S183" s="567"/>
    </row>
    <row r="184" spans="1:25" outlineLevel="1" x14ac:dyDescent="0.25">
      <c r="B184" s="559"/>
      <c r="C184" s="571"/>
      <c r="D184" s="1752"/>
      <c r="E184" s="1737"/>
      <c r="F184" s="1737"/>
      <c r="G184" s="1737"/>
      <c r="H184" s="1737"/>
      <c r="I184" s="1737"/>
      <c r="J184" s="1702">
        <f>Table378910[[#This Row],[Quantity]]*Table378910[[#This Row],[Unit Price]]</f>
        <v>0</v>
      </c>
      <c r="K184" s="1737"/>
      <c r="L184" s="1755"/>
      <c r="M184" s="1754"/>
      <c r="N184" s="1754"/>
      <c r="O184" s="1754"/>
      <c r="P184" s="1754"/>
      <c r="Q184" s="1754"/>
      <c r="R184" s="596" cm="1">
        <f t="array" ref="R184">INDEX(Table378910[[#This Row],[P1]:[P5]],1,$H$34)</f>
        <v>0</v>
      </c>
      <c r="S184" s="567"/>
    </row>
    <row r="185" spans="1:25" outlineLevel="1" x14ac:dyDescent="0.25">
      <c r="B185" s="575"/>
      <c r="C185" s="9"/>
      <c r="D185" s="9"/>
      <c r="E185" s="9"/>
      <c r="F185" s="9"/>
      <c r="G185" s="9"/>
      <c r="H185" s="9"/>
      <c r="I185" s="9"/>
      <c r="J185" s="9"/>
      <c r="K185" s="9"/>
      <c r="L185" s="9"/>
      <c r="M185" s="9"/>
      <c r="N185" s="9"/>
      <c r="O185" s="9"/>
      <c r="P185" s="9"/>
      <c r="Q185" s="9"/>
      <c r="R185" s="9"/>
      <c r="S185" s="567"/>
    </row>
    <row r="186" spans="1:25" outlineLevel="1" x14ac:dyDescent="0.25">
      <c r="B186" s="575"/>
      <c r="C186" s="566">
        <v>2</v>
      </c>
      <c r="D186" s="380" t="s">
        <v>715</v>
      </c>
      <c r="E186" s="537"/>
      <c r="F186" s="593" t="s">
        <v>717</v>
      </c>
      <c r="G186" s="1742" t="s">
        <v>700</v>
      </c>
      <c r="H186" s="1770">
        <f>MATCH(G186,HIDE5!$U$13:$U$17,0)</f>
        <v>1</v>
      </c>
      <c r="I186" s="1771"/>
      <c r="J186" s="1771"/>
      <c r="K186" s="1771"/>
      <c r="L186" s="1771"/>
      <c r="M186" s="380" t="s">
        <v>718</v>
      </c>
      <c r="N186" s="380"/>
      <c r="O186" s="380"/>
      <c r="P186" s="380"/>
      <c r="Q186" s="380"/>
      <c r="R186" s="576"/>
      <c r="S186" s="567"/>
    </row>
    <row r="187" spans="1:25" outlineLevel="1" x14ac:dyDescent="0.25">
      <c r="B187" s="1767"/>
      <c r="C187" s="1768"/>
      <c r="D187" s="1768"/>
      <c r="E187" s="1768"/>
      <c r="F187" s="1768"/>
      <c r="G187" s="1768"/>
      <c r="H187" s="1768"/>
      <c r="I187" s="1768"/>
      <c r="J187" s="1769"/>
      <c r="K187" s="1769"/>
      <c r="L187" s="1769"/>
      <c r="M187" s="597" t="s">
        <v>700</v>
      </c>
      <c r="N187" s="597" t="s">
        <v>701</v>
      </c>
      <c r="O187" s="597" t="s">
        <v>702</v>
      </c>
      <c r="P187" s="597" t="s">
        <v>703</v>
      </c>
      <c r="Q187" s="597" t="s">
        <v>704</v>
      </c>
      <c r="R187" s="576"/>
      <c r="S187" s="567"/>
    </row>
    <row r="188" spans="1:25" outlineLevel="1" x14ac:dyDescent="0.25">
      <c r="B188" s="559"/>
      <c r="C188" s="1768"/>
      <c r="D188" s="586" t="str">
        <f>HIDE5!$X$3</f>
        <v>Appliances</v>
      </c>
      <c r="E188" s="1772">
        <f>SUMIFS(Table378910[Total],Table378910[Category],$D188,Table378910[Check],HIDE5!$Q$3)</f>
        <v>0</v>
      </c>
      <c r="F188" s="586" t="str">
        <f>HIDE5!$X$7</f>
        <v>Lighting</v>
      </c>
      <c r="G188" s="1772">
        <f>SUMIFS(Table378910[Total],Table378910[Category],$F188,Table378910[Check],HIDE5!$Q$3)</f>
        <v>0</v>
      </c>
      <c r="H188" s="1771"/>
      <c r="I188" s="1771"/>
      <c r="J188" s="1771"/>
      <c r="K188" s="1771"/>
      <c r="L188" s="1771"/>
      <c r="M188" s="1773">
        <f>SUMIF(Table378910[P1],HIDE5!$Q$3,Table378910[Total])</f>
        <v>0</v>
      </c>
      <c r="N188" s="1773">
        <f>SUMIF(Table378910[P2],HIDE5!$Q$3,Table378910[Total])</f>
        <v>0</v>
      </c>
      <c r="O188" s="1773">
        <f>SUMIF(Table378910[P3],HIDE5!$Q$3,Table378910[Total])</f>
        <v>0</v>
      </c>
      <c r="P188" s="1773">
        <f>SUMIF(Table378910[P4],HIDE5!$Q$3,Table378910[Total])</f>
        <v>0</v>
      </c>
      <c r="Q188" s="1773">
        <f>SUMIF(Table378910[P5],HIDE5!$Q$3,Table378910[Total])</f>
        <v>0</v>
      </c>
      <c r="R188" s="576"/>
      <c r="S188" s="567"/>
    </row>
    <row r="189" spans="1:25" ht="15" customHeight="1" outlineLevel="1" x14ac:dyDescent="0.25">
      <c r="B189" s="559"/>
      <c r="C189" s="1768"/>
      <c r="D189" s="586" t="str">
        <f>HIDE5!$X$4</f>
        <v>Furniture</v>
      </c>
      <c r="E189" s="1772">
        <f>SUMIFS(Table378910[Total],Table378910[Category],$D189,Table378910[Check],HIDE5!$Q$3)</f>
        <v>0</v>
      </c>
      <c r="F189" s="586" t="str">
        <f>HIDE5!$X$8</f>
        <v>Electronics</v>
      </c>
      <c r="G189" s="1772">
        <f>SUMIFS(Table378910[Total],Table378910[Category],$F189,Table378910[Check],HIDE5!$Q$3)</f>
        <v>0</v>
      </c>
      <c r="H189" s="1771"/>
      <c r="I189" s="1771"/>
      <c r="J189" s="1771"/>
      <c r="K189" s="1771"/>
      <c r="L189" s="1771"/>
      <c r="M189" s="1771"/>
      <c r="N189" s="1771"/>
      <c r="O189" s="1771"/>
      <c r="P189" s="1771"/>
      <c r="Q189" s="1771"/>
      <c r="R189" s="576"/>
      <c r="S189" s="567"/>
    </row>
    <row r="190" spans="1:25" s="558" customFormat="1" ht="15" customHeight="1" outlineLevel="1" x14ac:dyDescent="0.25">
      <c r="A190" s="274"/>
      <c r="B190" s="559"/>
      <c r="C190" s="1768"/>
      <c r="D190" s="586" t="str">
        <f>HIDE5!$X$5</f>
        <v>Kitchenware</v>
      </c>
      <c r="E190" s="1772">
        <f>SUMIFS(Table378910[Total],Table378910[Category],$D190,Table378910[Check],HIDE5!$Q$3)</f>
        <v>0</v>
      </c>
      <c r="F190" s="586" t="str">
        <f>HIDE5!$X$10</f>
        <v>Accessories</v>
      </c>
      <c r="G190" s="1772">
        <f>SUMIFS(Table378910[Total],Table378910[Category],$F190,Table378910[Check],HIDE5!$Q$3)</f>
        <v>0</v>
      </c>
      <c r="H190" s="1771"/>
      <c r="I190" s="1771"/>
      <c r="J190" s="1771"/>
      <c r="K190" s="1771"/>
      <c r="L190" s="1771"/>
      <c r="M190" s="1771"/>
      <c r="N190" s="1771"/>
      <c r="O190" s="1771"/>
      <c r="P190" s="1771"/>
      <c r="Q190" s="1771"/>
      <c r="R190" s="576"/>
      <c r="S190" s="567"/>
      <c r="T190" s="274"/>
      <c r="U190" s="274"/>
      <c r="V190" s="274"/>
      <c r="W190" s="274"/>
      <c r="X190" s="274"/>
      <c r="Y190" s="274"/>
    </row>
    <row r="191" spans="1:25" outlineLevel="1" x14ac:dyDescent="0.25">
      <c r="A191" s="558"/>
      <c r="B191" s="559"/>
      <c r="C191" s="1768"/>
      <c r="D191" s="586" t="str">
        <f>HIDE5!$X$6</f>
        <v>Bedding</v>
      </c>
      <c r="E191" s="1772">
        <f>SUMIFS(Table378910[Total],Table378910[Category],$D191,Table378910[Check],HIDE5!$Q$3)</f>
        <v>0</v>
      </c>
      <c r="F191" s="586" t="str">
        <f>HIDE5!$X$11</f>
        <v>Decor</v>
      </c>
      <c r="G191" s="1772">
        <f>SUMIFS(Table378910[Total],Table378910[Category],$F191,Table378910[Check],HIDE5!$Q$3)</f>
        <v>0</v>
      </c>
      <c r="H191" s="1771"/>
      <c r="I191" s="1771"/>
      <c r="J191" s="1771"/>
      <c r="K191" s="1771"/>
      <c r="L191" s="1771"/>
      <c r="M191" s="1771"/>
      <c r="N191" s="1771"/>
      <c r="O191" s="1771"/>
      <c r="P191" s="1771"/>
      <c r="Q191" s="1771"/>
      <c r="R191" s="576"/>
      <c r="S191" s="567"/>
    </row>
    <row r="192" spans="1:25" s="558" customFormat="1" ht="15" customHeight="1" outlineLevel="1" x14ac:dyDescent="0.25">
      <c r="A192" s="274"/>
      <c r="B192" s="559"/>
      <c r="C192" s="1772"/>
      <c r="D192" s="1772"/>
      <c r="E192" s="1772"/>
      <c r="F192" s="1772"/>
      <c r="G192" s="1772"/>
      <c r="H192" s="1771"/>
      <c r="I192" s="1771"/>
      <c r="J192" s="1771"/>
      <c r="K192" s="1771"/>
      <c r="L192" s="1771"/>
      <c r="M192" s="1771"/>
      <c r="N192" s="1771"/>
      <c r="O192" s="1771"/>
      <c r="P192" s="1771"/>
      <c r="Q192" s="1771"/>
      <c r="R192" s="576"/>
      <c r="S192" s="567"/>
    </row>
    <row r="193" spans="1:25" s="558" customFormat="1" ht="15" customHeight="1" outlineLevel="1" x14ac:dyDescent="0.25">
      <c r="B193" s="559"/>
      <c r="C193" s="1772"/>
      <c r="D193" s="591" t="s">
        <v>696</v>
      </c>
      <c r="E193" s="1774">
        <f>IFERROR(SUM(E188:E191,G188:G191),0)</f>
        <v>0</v>
      </c>
      <c r="F193" s="1771"/>
      <c r="G193" s="1771"/>
      <c r="H193" s="1771"/>
      <c r="I193" s="1771"/>
      <c r="J193" s="1771"/>
      <c r="K193" s="1771"/>
      <c r="L193" s="1771"/>
      <c r="M193" s="1771"/>
      <c r="N193" s="1771"/>
      <c r="O193" s="1771"/>
      <c r="P193" s="1772"/>
      <c r="Q193" s="1772"/>
      <c r="R193" s="577"/>
      <c r="S193" s="567"/>
      <c r="T193" s="274"/>
      <c r="U193" s="274"/>
      <c r="V193" s="274"/>
      <c r="W193" s="274"/>
      <c r="X193" s="274"/>
      <c r="Y193" s="274"/>
    </row>
    <row r="194" spans="1:25" ht="15" customHeight="1" x14ac:dyDescent="0.25">
      <c r="A194" s="558"/>
      <c r="B194" s="575"/>
      <c r="C194" s="9"/>
      <c r="D194" s="9"/>
      <c r="E194" s="9"/>
      <c r="F194" s="9"/>
      <c r="G194" s="9"/>
      <c r="H194" s="9"/>
      <c r="I194" s="9"/>
      <c r="J194" s="9"/>
      <c r="K194" s="9"/>
      <c r="L194" s="9"/>
      <c r="M194" s="9"/>
      <c r="N194" s="9"/>
      <c r="O194" s="9"/>
      <c r="P194" s="9"/>
      <c r="Q194" s="9"/>
      <c r="R194" s="9"/>
      <c r="S194" s="567"/>
      <c r="T194" s="558"/>
      <c r="U194" s="558"/>
      <c r="V194" s="558"/>
      <c r="W194" s="558"/>
      <c r="X194" s="558"/>
      <c r="Y194" s="558"/>
    </row>
    <row r="195" spans="1:25" x14ac:dyDescent="0.25">
      <c r="B195" s="561"/>
      <c r="C195" s="578"/>
      <c r="D195" s="578"/>
      <c r="E195" s="578"/>
      <c r="F195" s="578"/>
      <c r="G195" s="578"/>
      <c r="H195" s="578"/>
      <c r="I195" s="578"/>
      <c r="J195" s="578"/>
      <c r="K195" s="578"/>
      <c r="L195" s="578"/>
      <c r="M195" s="579"/>
      <c r="N195" s="579"/>
      <c r="O195" s="579"/>
      <c r="P195" s="579"/>
      <c r="Q195" s="579"/>
      <c r="R195" s="579"/>
      <c r="S195" s="580"/>
      <c r="T195" s="558"/>
      <c r="U195" s="558"/>
      <c r="V195" s="558"/>
      <c r="W195" s="558"/>
      <c r="X195" s="558"/>
      <c r="Y195" s="558"/>
    </row>
    <row r="196" spans="1:25" outlineLevel="1" x14ac:dyDescent="0.25"/>
    <row r="197" spans="1:25" outlineLevel="1" x14ac:dyDescent="0.25">
      <c r="B197" s="562">
        <v>6</v>
      </c>
      <c r="C197" s="563" t="str">
        <f>UPPER(DASHBOARD!$W$68)</f>
        <v>BEDROOM #3</v>
      </c>
      <c r="D197" s="564"/>
      <c r="E197" s="564"/>
      <c r="F197" s="564"/>
      <c r="G197" s="564"/>
      <c r="H197" s="564"/>
      <c r="I197" s="564"/>
      <c r="J197" s="564"/>
      <c r="K197" s="564"/>
      <c r="L197" s="564"/>
      <c r="M197" s="564"/>
      <c r="N197" s="564"/>
      <c r="O197" s="564"/>
      <c r="P197" s="564"/>
      <c r="Q197" s="564"/>
      <c r="R197" s="564"/>
      <c r="S197" s="565"/>
    </row>
    <row r="198" spans="1:25" outlineLevel="1" x14ac:dyDescent="0.25">
      <c r="B198" s="559"/>
      <c r="C198" s="9"/>
      <c r="D198" s="9"/>
      <c r="E198" s="9"/>
      <c r="F198" s="9"/>
      <c r="G198" s="9"/>
      <c r="H198" s="9"/>
      <c r="I198" s="9"/>
      <c r="J198" s="9"/>
      <c r="K198" s="9"/>
      <c r="L198" s="9"/>
      <c r="M198" s="9"/>
      <c r="N198" s="9"/>
      <c r="O198" s="9"/>
      <c r="P198" s="9"/>
      <c r="Q198" s="9"/>
      <c r="R198" s="9"/>
      <c r="S198" s="560"/>
    </row>
    <row r="199" spans="1:25" ht="15.75" customHeight="1" outlineLevel="1" x14ac:dyDescent="0.25">
      <c r="B199" s="559"/>
      <c r="C199" s="566">
        <v>1</v>
      </c>
      <c r="D199" s="380" t="s">
        <v>1147</v>
      </c>
      <c r="E199" s="537"/>
      <c r="F199" s="537"/>
      <c r="G199" s="537"/>
      <c r="H199" s="537"/>
      <c r="I199" s="537"/>
      <c r="J199" s="537"/>
      <c r="K199" s="537"/>
      <c r="L199" s="537"/>
      <c r="M199" s="568"/>
      <c r="N199" s="569"/>
      <c r="O199" s="569"/>
      <c r="P199" s="570"/>
      <c r="Q199" s="569"/>
      <c r="R199" s="569"/>
      <c r="S199" s="567"/>
    </row>
    <row r="200" spans="1:25" outlineLevel="1" x14ac:dyDescent="0.25">
      <c r="B200" s="559"/>
      <c r="C200" s="571"/>
      <c r="D200" s="572"/>
      <c r="E200" s="572"/>
      <c r="F200" s="572"/>
      <c r="G200" s="572"/>
      <c r="H200" s="572"/>
      <c r="I200" s="572"/>
      <c r="J200" s="573"/>
      <c r="K200" s="573"/>
      <c r="L200" s="573"/>
      <c r="M200" s="573"/>
      <c r="N200" s="573"/>
      <c r="O200" s="572"/>
      <c r="P200" s="571"/>
      <c r="Q200" s="574"/>
      <c r="R200" s="585"/>
      <c r="S200" s="567"/>
    </row>
    <row r="201" spans="1:25" outlineLevel="1" x14ac:dyDescent="0.25">
      <c r="B201" s="559"/>
      <c r="C201" s="571"/>
      <c r="D201" s="572"/>
      <c r="E201" s="572"/>
      <c r="F201" s="572"/>
      <c r="G201" s="572"/>
      <c r="H201" s="572"/>
      <c r="I201" s="572"/>
      <c r="J201" s="573"/>
      <c r="K201" s="573"/>
      <c r="L201" s="84"/>
      <c r="M201" s="2580" t="s">
        <v>719</v>
      </c>
      <c r="N201" s="2581"/>
      <c r="O201" s="2581"/>
      <c r="P201" s="2581"/>
      <c r="Q201" s="2581"/>
      <c r="R201" s="589"/>
      <c r="S201" s="567"/>
    </row>
    <row r="202" spans="1:25" outlineLevel="1" x14ac:dyDescent="0.25">
      <c r="B202" s="559"/>
      <c r="C202" s="571"/>
      <c r="D202" s="590" t="s">
        <v>633</v>
      </c>
      <c r="E202" s="587" t="s">
        <v>697</v>
      </c>
      <c r="F202" s="587" t="s">
        <v>438</v>
      </c>
      <c r="G202" s="587" t="s">
        <v>698</v>
      </c>
      <c r="H202" s="587" t="s">
        <v>662</v>
      </c>
      <c r="I202" s="587" t="s">
        <v>699</v>
      </c>
      <c r="J202" s="587" t="s">
        <v>20</v>
      </c>
      <c r="K202" s="587" t="s">
        <v>695</v>
      </c>
      <c r="L202" s="592" t="s">
        <v>716</v>
      </c>
      <c r="M202" s="588" t="s">
        <v>700</v>
      </c>
      <c r="N202" s="588" t="s">
        <v>701</v>
      </c>
      <c r="O202" s="588" t="s">
        <v>702</v>
      </c>
      <c r="P202" s="588" t="s">
        <v>703</v>
      </c>
      <c r="Q202" s="588" t="s">
        <v>704</v>
      </c>
      <c r="R202" s="588" t="s">
        <v>124</v>
      </c>
      <c r="S202" s="567"/>
    </row>
    <row r="203" spans="1:25" ht="14.4" outlineLevel="1" x14ac:dyDescent="0.25">
      <c r="B203" s="559"/>
      <c r="C203" s="571"/>
      <c r="D203" s="1752"/>
      <c r="E203" s="1737"/>
      <c r="F203" s="1737"/>
      <c r="G203" s="1737"/>
      <c r="H203" s="1737"/>
      <c r="I203" s="1737"/>
      <c r="J203" s="1702">
        <f>Table37891011[[#This Row],[Quantity]]*Table37891011[[#This Row],[Unit Price]]</f>
        <v>0</v>
      </c>
      <c r="K203" s="1737"/>
      <c r="L203" s="1753"/>
      <c r="M203" s="1754"/>
      <c r="N203" s="1754"/>
      <c r="O203" s="1754"/>
      <c r="P203" s="1754"/>
      <c r="Q203" s="1754"/>
      <c r="R203" s="594" cm="1">
        <f t="array" ref="R203">INDEX(Table37891011[[#This Row],[P1]:[P5]],1,$H$34)</f>
        <v>0</v>
      </c>
      <c r="S203" s="567"/>
    </row>
    <row r="204" spans="1:25" ht="15" customHeight="1" outlineLevel="1" x14ac:dyDescent="0.25">
      <c r="B204" s="559"/>
      <c r="C204" s="571"/>
      <c r="D204" s="1752"/>
      <c r="E204" s="1737"/>
      <c r="F204" s="1737"/>
      <c r="G204" s="1737"/>
      <c r="H204" s="1737"/>
      <c r="I204" s="1737"/>
      <c r="J204" s="1702">
        <f>Table37891011[[#This Row],[Quantity]]*Table37891011[[#This Row],[Unit Price]]</f>
        <v>0</v>
      </c>
      <c r="K204" s="1737"/>
      <c r="L204" s="1755"/>
      <c r="M204" s="1754"/>
      <c r="N204" s="1754"/>
      <c r="O204" s="1754"/>
      <c r="P204" s="1754"/>
      <c r="Q204" s="1754"/>
      <c r="R204" s="595" cm="1">
        <f t="array" ref="R204">INDEX(Table37891011[[#This Row],[P1]:[P5]],1,$H$34)</f>
        <v>0</v>
      </c>
      <c r="S204" s="567"/>
    </row>
    <row r="205" spans="1:25" ht="15" customHeight="1" outlineLevel="1" x14ac:dyDescent="0.25">
      <c r="B205" s="559"/>
      <c r="C205" s="571"/>
      <c r="D205" s="1752"/>
      <c r="E205" s="1737"/>
      <c r="F205" s="1737"/>
      <c r="G205" s="1737"/>
      <c r="H205" s="1737"/>
      <c r="I205" s="1737"/>
      <c r="J205" s="1702">
        <f>Table37891011[[#This Row],[Quantity]]*Table37891011[[#This Row],[Unit Price]]</f>
        <v>0</v>
      </c>
      <c r="K205" s="1737"/>
      <c r="L205" s="1755"/>
      <c r="M205" s="1754"/>
      <c r="N205" s="1754"/>
      <c r="O205" s="1754"/>
      <c r="P205" s="1754"/>
      <c r="Q205" s="1754"/>
      <c r="R205" s="595" cm="1">
        <f t="array" ref="R205">INDEX(Table37891011[[#This Row],[P1]:[P5]],1,$H$34)</f>
        <v>0</v>
      </c>
      <c r="S205" s="567"/>
    </row>
    <row r="206" spans="1:25" ht="15" customHeight="1" outlineLevel="1" x14ac:dyDescent="0.25">
      <c r="B206" s="559"/>
      <c r="C206" s="571"/>
      <c r="D206" s="1752"/>
      <c r="E206" s="1737"/>
      <c r="F206" s="1737"/>
      <c r="G206" s="1737"/>
      <c r="H206" s="1737"/>
      <c r="I206" s="1737"/>
      <c r="J206" s="1702">
        <f>Table37891011[[#This Row],[Quantity]]*Table37891011[[#This Row],[Unit Price]]</f>
        <v>0</v>
      </c>
      <c r="K206" s="1737"/>
      <c r="L206" s="1753"/>
      <c r="M206" s="1754"/>
      <c r="N206" s="1754"/>
      <c r="O206" s="1754"/>
      <c r="P206" s="1754"/>
      <c r="Q206" s="1754"/>
      <c r="R206" s="595" cm="1">
        <f t="array" ref="R206">INDEX(Table37891011[[#This Row],[P1]:[P5]],1,$H$34)</f>
        <v>0</v>
      </c>
      <c r="S206" s="567"/>
    </row>
    <row r="207" spans="1:25" ht="15" customHeight="1" outlineLevel="1" x14ac:dyDescent="0.25">
      <c r="B207" s="559"/>
      <c r="C207" s="571"/>
      <c r="D207" s="1752"/>
      <c r="E207" s="1737"/>
      <c r="F207" s="1737"/>
      <c r="G207" s="1737"/>
      <c r="H207" s="1737"/>
      <c r="I207" s="1737"/>
      <c r="J207" s="1702">
        <f>Table37891011[[#This Row],[Quantity]]*Table37891011[[#This Row],[Unit Price]]</f>
        <v>0</v>
      </c>
      <c r="K207" s="1737"/>
      <c r="L207" s="1755"/>
      <c r="M207" s="1754"/>
      <c r="N207" s="1754"/>
      <c r="O207" s="1754"/>
      <c r="P207" s="1754"/>
      <c r="Q207" s="1754"/>
      <c r="R207" s="595" cm="1">
        <f t="array" ref="R207">INDEX(Table37891011[[#This Row],[P1]:[P5]],1,$H$34)</f>
        <v>0</v>
      </c>
      <c r="S207" s="567"/>
    </row>
    <row r="208" spans="1:25" ht="15" customHeight="1" outlineLevel="1" x14ac:dyDescent="0.25">
      <c r="B208" s="559"/>
      <c r="C208" s="571"/>
      <c r="D208" s="1752"/>
      <c r="E208" s="1737"/>
      <c r="F208" s="1737"/>
      <c r="G208" s="1737"/>
      <c r="H208" s="1737"/>
      <c r="I208" s="1737"/>
      <c r="J208" s="1702">
        <f>Table37891011[[#This Row],[Quantity]]*Table37891011[[#This Row],[Unit Price]]</f>
        <v>0</v>
      </c>
      <c r="K208" s="1737"/>
      <c r="L208" s="1755"/>
      <c r="M208" s="1754"/>
      <c r="N208" s="1754"/>
      <c r="O208" s="1754"/>
      <c r="P208" s="1754"/>
      <c r="Q208" s="1754"/>
      <c r="R208" s="595" cm="1">
        <f t="array" ref="R208">INDEX(Table37891011[[#This Row],[P1]:[P5]],1,$H$34)</f>
        <v>0</v>
      </c>
      <c r="S208" s="567"/>
    </row>
    <row r="209" spans="1:25" s="276" customFormat="1" ht="15" customHeight="1" outlineLevel="1" x14ac:dyDescent="0.25">
      <c r="A209" s="274"/>
      <c r="B209" s="559"/>
      <c r="C209" s="571"/>
      <c r="D209" s="1752"/>
      <c r="E209" s="1737"/>
      <c r="F209" s="1737"/>
      <c r="G209" s="1737"/>
      <c r="H209" s="1737"/>
      <c r="I209" s="1737"/>
      <c r="J209" s="1702">
        <f>Table37891011[[#This Row],[Quantity]]*Table37891011[[#This Row],[Unit Price]]</f>
        <v>0</v>
      </c>
      <c r="K209" s="1737"/>
      <c r="L209" s="1755"/>
      <c r="M209" s="1754"/>
      <c r="N209" s="1754"/>
      <c r="O209" s="1754"/>
      <c r="P209" s="1754"/>
      <c r="Q209" s="1754"/>
      <c r="R209" s="595" cm="1">
        <f t="array" ref="R209">INDEX(Table37891011[[#This Row],[P1]:[P5]],1,$H$34)</f>
        <v>0</v>
      </c>
      <c r="S209" s="567"/>
      <c r="T209" s="274"/>
      <c r="U209" s="274"/>
      <c r="V209" s="274"/>
      <c r="W209" s="274"/>
      <c r="X209" s="274"/>
      <c r="Y209" s="274"/>
    </row>
    <row r="210" spans="1:25" s="276" customFormat="1" ht="15" customHeight="1" outlineLevel="1" x14ac:dyDescent="0.25">
      <c r="B210" s="559"/>
      <c r="C210" s="571"/>
      <c r="D210" s="1752"/>
      <c r="E210" s="1737"/>
      <c r="F210" s="1737"/>
      <c r="G210" s="1737"/>
      <c r="H210" s="1737"/>
      <c r="I210" s="1737"/>
      <c r="J210" s="1702">
        <f>Table37891011[[#This Row],[Quantity]]*Table37891011[[#This Row],[Unit Price]]</f>
        <v>0</v>
      </c>
      <c r="K210" s="1737"/>
      <c r="L210" s="1755"/>
      <c r="M210" s="1754"/>
      <c r="N210" s="1754"/>
      <c r="O210" s="1754"/>
      <c r="P210" s="1754"/>
      <c r="Q210" s="1754"/>
      <c r="R210" s="595" cm="1">
        <f t="array" ref="R210">INDEX(Table37891011[[#This Row],[P1]:[P5]],1,$H$34)</f>
        <v>0</v>
      </c>
      <c r="S210" s="567"/>
      <c r="T210" s="274"/>
      <c r="U210" s="274"/>
      <c r="V210" s="274"/>
      <c r="W210" s="274"/>
      <c r="X210" s="274"/>
      <c r="Y210" s="274"/>
    </row>
    <row r="211" spans="1:25" s="276" customFormat="1" ht="15" customHeight="1" outlineLevel="1" x14ac:dyDescent="0.25">
      <c r="B211" s="559"/>
      <c r="C211" s="571"/>
      <c r="D211" s="1752"/>
      <c r="E211" s="1737"/>
      <c r="F211" s="1737"/>
      <c r="G211" s="1737"/>
      <c r="H211" s="1737"/>
      <c r="I211" s="1737"/>
      <c r="J211" s="1702">
        <f>Table37891011[[#This Row],[Quantity]]*Table37891011[[#This Row],[Unit Price]]</f>
        <v>0</v>
      </c>
      <c r="K211" s="1737"/>
      <c r="L211" s="1755"/>
      <c r="M211" s="1754"/>
      <c r="N211" s="1754"/>
      <c r="O211" s="1754"/>
      <c r="P211" s="1754"/>
      <c r="Q211" s="1754"/>
      <c r="R211" s="595" cm="1">
        <f t="array" ref="R211">INDEX(Table37891011[[#This Row],[P1]:[P5]],1,$H$34)</f>
        <v>0</v>
      </c>
      <c r="S211" s="567"/>
    </row>
    <row r="212" spans="1:25" s="276" customFormat="1" ht="15" customHeight="1" outlineLevel="1" x14ac:dyDescent="0.25">
      <c r="B212" s="559"/>
      <c r="C212" s="571"/>
      <c r="D212" s="1752"/>
      <c r="E212" s="1737"/>
      <c r="F212" s="1737"/>
      <c r="G212" s="1737"/>
      <c r="H212" s="1737"/>
      <c r="I212" s="1737"/>
      <c r="J212" s="1702">
        <f>Table37891011[[#This Row],[Quantity]]*Table37891011[[#This Row],[Unit Price]]</f>
        <v>0</v>
      </c>
      <c r="K212" s="1737"/>
      <c r="L212" s="1755"/>
      <c r="M212" s="1754"/>
      <c r="N212" s="1754"/>
      <c r="O212" s="1754"/>
      <c r="P212" s="1754"/>
      <c r="Q212" s="1754"/>
      <c r="R212" s="595" cm="1">
        <f t="array" ref="R212">INDEX(Table37891011[[#This Row],[P1]:[P5]],1,$H$34)</f>
        <v>0</v>
      </c>
      <c r="S212" s="567"/>
    </row>
    <row r="213" spans="1:25" s="276" customFormat="1" ht="15" customHeight="1" outlineLevel="1" x14ac:dyDescent="0.25">
      <c r="B213" s="559"/>
      <c r="C213" s="571"/>
      <c r="D213" s="1752"/>
      <c r="E213" s="1737"/>
      <c r="F213" s="1737"/>
      <c r="G213" s="1737"/>
      <c r="H213" s="1737"/>
      <c r="I213" s="1737"/>
      <c r="J213" s="1702">
        <f>Table37891011[[#This Row],[Quantity]]*Table37891011[[#This Row],[Unit Price]]</f>
        <v>0</v>
      </c>
      <c r="K213" s="1737"/>
      <c r="L213" s="1753"/>
      <c r="M213" s="1754"/>
      <c r="N213" s="1754"/>
      <c r="O213" s="1754"/>
      <c r="P213" s="1754"/>
      <c r="Q213" s="1754"/>
      <c r="R213" s="595" cm="1">
        <f t="array" ref="R213">INDEX(Table37891011[[#This Row],[P1]:[P5]],1,$H$34)</f>
        <v>0</v>
      </c>
      <c r="S213" s="567"/>
    </row>
    <row r="214" spans="1:25" s="276" customFormat="1" ht="15" customHeight="1" outlineLevel="1" x14ac:dyDescent="0.25">
      <c r="B214" s="559"/>
      <c r="C214" s="571"/>
      <c r="D214" s="1752"/>
      <c r="E214" s="1737"/>
      <c r="F214" s="1737"/>
      <c r="G214" s="1737"/>
      <c r="H214" s="1737"/>
      <c r="I214" s="1737"/>
      <c r="J214" s="1702">
        <f>Table37891011[[#This Row],[Quantity]]*Table37891011[[#This Row],[Unit Price]]</f>
        <v>0</v>
      </c>
      <c r="K214" s="1737"/>
      <c r="L214" s="1755"/>
      <c r="M214" s="1754"/>
      <c r="N214" s="1754"/>
      <c r="O214" s="1754"/>
      <c r="P214" s="1754"/>
      <c r="Q214" s="1754"/>
      <c r="R214" s="595" cm="1">
        <f t="array" ref="R214">INDEX(Table37891011[[#This Row],[P1]:[P5]],1,$H$34)</f>
        <v>0</v>
      </c>
      <c r="S214" s="567"/>
    </row>
    <row r="215" spans="1:25" s="276" customFormat="1" ht="15" customHeight="1" outlineLevel="1" x14ac:dyDescent="0.25">
      <c r="B215" s="559"/>
      <c r="C215" s="571"/>
      <c r="D215" s="1752"/>
      <c r="E215" s="1737"/>
      <c r="F215" s="1737"/>
      <c r="G215" s="1737"/>
      <c r="H215" s="1737"/>
      <c r="I215" s="1737"/>
      <c r="J215" s="1702">
        <f>Table37891011[[#This Row],[Quantity]]*Table37891011[[#This Row],[Unit Price]]</f>
        <v>0</v>
      </c>
      <c r="K215" s="1737"/>
      <c r="L215" s="1755"/>
      <c r="M215" s="1754"/>
      <c r="N215" s="1754"/>
      <c r="O215" s="1754"/>
      <c r="P215" s="1754"/>
      <c r="Q215" s="1754"/>
      <c r="R215" s="595" cm="1">
        <f t="array" ref="R215">INDEX(Table37891011[[#This Row],[P1]:[P5]],1,$H$34)</f>
        <v>0</v>
      </c>
      <c r="S215" s="567"/>
    </row>
    <row r="216" spans="1:25" outlineLevel="1" x14ac:dyDescent="0.25">
      <c r="A216" s="276"/>
      <c r="B216" s="559"/>
      <c r="C216" s="571"/>
      <c r="D216" s="1752"/>
      <c r="E216" s="1737"/>
      <c r="F216" s="1737"/>
      <c r="G216" s="1737"/>
      <c r="H216" s="1737"/>
      <c r="I216" s="1737"/>
      <c r="J216" s="1702">
        <f>Table37891011[[#This Row],[Quantity]]*Table37891011[[#This Row],[Unit Price]]</f>
        <v>0</v>
      </c>
      <c r="K216" s="1737"/>
      <c r="L216" s="1755"/>
      <c r="M216" s="1754"/>
      <c r="N216" s="1754"/>
      <c r="O216" s="1754"/>
      <c r="P216" s="1754"/>
      <c r="Q216" s="1754"/>
      <c r="R216" s="595" cm="1">
        <f t="array" ref="R216">INDEX(Table37891011[[#This Row],[P1]:[P5]],1,$H$34)</f>
        <v>0</v>
      </c>
      <c r="S216" s="567"/>
      <c r="T216" s="276"/>
      <c r="U216" s="276"/>
      <c r="V216" s="276"/>
      <c r="W216" s="276"/>
      <c r="X216" s="276"/>
      <c r="Y216" s="276"/>
    </row>
    <row r="217" spans="1:25" outlineLevel="1" x14ac:dyDescent="0.25">
      <c r="B217" s="559"/>
      <c r="C217" s="571"/>
      <c r="D217" s="1752"/>
      <c r="E217" s="1737"/>
      <c r="F217" s="1737"/>
      <c r="G217" s="1737"/>
      <c r="H217" s="1737"/>
      <c r="I217" s="1737"/>
      <c r="J217" s="1702">
        <f>Table37891011[[#This Row],[Quantity]]*Table37891011[[#This Row],[Unit Price]]</f>
        <v>0</v>
      </c>
      <c r="K217" s="1737"/>
      <c r="L217" s="1755"/>
      <c r="M217" s="1754"/>
      <c r="N217" s="1754"/>
      <c r="O217" s="1754"/>
      <c r="P217" s="1754"/>
      <c r="Q217" s="1754"/>
      <c r="R217" s="595" cm="1">
        <f t="array" ref="R217">INDEX(Table37891011[[#This Row],[P1]:[P5]],1,$H$34)</f>
        <v>0</v>
      </c>
      <c r="S217" s="567"/>
      <c r="T217" s="276"/>
      <c r="U217" s="276"/>
      <c r="V217" s="276"/>
      <c r="W217" s="276"/>
      <c r="X217" s="276"/>
      <c r="Y217" s="276"/>
    </row>
    <row r="218" spans="1:25" outlineLevel="1" x14ac:dyDescent="0.25">
      <c r="B218" s="559"/>
      <c r="C218" s="571"/>
      <c r="D218" s="1752"/>
      <c r="E218" s="1737"/>
      <c r="F218" s="1737"/>
      <c r="G218" s="1737"/>
      <c r="H218" s="1737"/>
      <c r="I218" s="1737"/>
      <c r="J218" s="1702">
        <f>Table37891011[[#This Row],[Quantity]]*Table37891011[[#This Row],[Unit Price]]</f>
        <v>0</v>
      </c>
      <c r="K218" s="1737"/>
      <c r="L218" s="1755"/>
      <c r="M218" s="1754"/>
      <c r="N218" s="1754"/>
      <c r="O218" s="1754"/>
      <c r="P218" s="1754"/>
      <c r="Q218" s="1754"/>
      <c r="R218" s="595" cm="1">
        <f t="array" ref="R218">INDEX(Table37891011[[#This Row],[P1]:[P5]],1,$H$34)</f>
        <v>0</v>
      </c>
      <c r="S218" s="567"/>
    </row>
    <row r="219" spans="1:25" outlineLevel="1" x14ac:dyDescent="0.25">
      <c r="B219" s="559"/>
      <c r="C219" s="571"/>
      <c r="D219" s="1752"/>
      <c r="E219" s="1737"/>
      <c r="F219" s="1737"/>
      <c r="G219" s="1737"/>
      <c r="H219" s="1737"/>
      <c r="I219" s="1737"/>
      <c r="J219" s="1702">
        <f>Table37891011[[#This Row],[Quantity]]*Table37891011[[#This Row],[Unit Price]]</f>
        <v>0</v>
      </c>
      <c r="K219" s="1737"/>
      <c r="L219" s="1755"/>
      <c r="M219" s="1754"/>
      <c r="N219" s="1754"/>
      <c r="O219" s="1754"/>
      <c r="P219" s="1754"/>
      <c r="Q219" s="1754"/>
      <c r="R219" s="595" cm="1">
        <f t="array" ref="R219">INDEX(Table37891011[[#This Row],[P1]:[P5]],1,$H$34)</f>
        <v>0</v>
      </c>
      <c r="S219" s="567"/>
    </row>
    <row r="220" spans="1:25" outlineLevel="1" x14ac:dyDescent="0.25">
      <c r="B220" s="559"/>
      <c r="C220" s="571"/>
      <c r="D220" s="1752"/>
      <c r="E220" s="1737"/>
      <c r="F220" s="1737"/>
      <c r="G220" s="1737"/>
      <c r="H220" s="1737"/>
      <c r="I220" s="1737"/>
      <c r="J220" s="1702">
        <f>Table37891011[[#This Row],[Quantity]]*Table37891011[[#This Row],[Unit Price]]</f>
        <v>0</v>
      </c>
      <c r="K220" s="1737"/>
      <c r="L220" s="1755"/>
      <c r="M220" s="1754"/>
      <c r="N220" s="1754"/>
      <c r="O220" s="1754"/>
      <c r="P220" s="1754"/>
      <c r="Q220" s="1754"/>
      <c r="R220" s="595" cm="1">
        <f t="array" ref="R220">INDEX(Table37891011[[#This Row],[P1]:[P5]],1,$H$34)</f>
        <v>0</v>
      </c>
      <c r="S220" s="567"/>
    </row>
    <row r="221" spans="1:25" outlineLevel="1" x14ac:dyDescent="0.25">
      <c r="B221" s="559"/>
      <c r="C221" s="571"/>
      <c r="D221" s="1752"/>
      <c r="E221" s="1737"/>
      <c r="F221" s="1737"/>
      <c r="G221" s="1737"/>
      <c r="H221" s="1737"/>
      <c r="I221" s="1737"/>
      <c r="J221" s="1702">
        <f>Table37891011[[#This Row],[Quantity]]*Table37891011[[#This Row],[Unit Price]]</f>
        <v>0</v>
      </c>
      <c r="K221" s="1737"/>
      <c r="L221" s="1755"/>
      <c r="M221" s="1754"/>
      <c r="N221" s="1754"/>
      <c r="O221" s="1754"/>
      <c r="P221" s="1754"/>
      <c r="Q221" s="1754"/>
      <c r="R221" s="595" cm="1">
        <f t="array" ref="R221">INDEX(Table37891011[[#This Row],[P1]:[P5]],1,$H$34)</f>
        <v>0</v>
      </c>
      <c r="S221" s="567"/>
    </row>
    <row r="222" spans="1:25" outlineLevel="1" x14ac:dyDescent="0.25">
      <c r="B222" s="559"/>
      <c r="C222" s="571"/>
      <c r="D222" s="1752"/>
      <c r="E222" s="1737"/>
      <c r="F222" s="1737"/>
      <c r="G222" s="1737"/>
      <c r="H222" s="1737"/>
      <c r="I222" s="1737"/>
      <c r="J222" s="1702">
        <f>Table37891011[[#This Row],[Quantity]]*Table37891011[[#This Row],[Unit Price]]</f>
        <v>0</v>
      </c>
      <c r="K222" s="1737"/>
      <c r="L222" s="1755"/>
      <c r="M222" s="1754"/>
      <c r="N222" s="1754"/>
      <c r="O222" s="1754"/>
      <c r="P222" s="1754"/>
      <c r="Q222" s="1754"/>
      <c r="R222" s="596" cm="1">
        <f t="array" ref="R222">INDEX(Table37891011[[#This Row],[P1]:[P5]],1,$H$34)</f>
        <v>0</v>
      </c>
      <c r="S222" s="567"/>
    </row>
    <row r="223" spans="1:25" outlineLevel="1" x14ac:dyDescent="0.25">
      <c r="B223" s="575"/>
      <c r="C223" s="9"/>
      <c r="D223" s="9"/>
      <c r="E223" s="9"/>
      <c r="F223" s="9"/>
      <c r="G223" s="9"/>
      <c r="H223" s="9"/>
      <c r="I223" s="9"/>
      <c r="J223" s="9"/>
      <c r="K223" s="9"/>
      <c r="L223" s="9"/>
      <c r="M223" s="9"/>
      <c r="N223" s="9"/>
      <c r="O223" s="9"/>
      <c r="P223" s="9"/>
      <c r="Q223" s="9"/>
      <c r="R223" s="9"/>
      <c r="S223" s="567"/>
    </row>
    <row r="224" spans="1:25" outlineLevel="1" x14ac:dyDescent="0.25">
      <c r="B224" s="575"/>
      <c r="C224" s="566">
        <v>2</v>
      </c>
      <c r="D224" s="380" t="s">
        <v>715</v>
      </c>
      <c r="E224" s="537"/>
      <c r="F224" s="593" t="s">
        <v>717</v>
      </c>
      <c r="G224" s="1742" t="s">
        <v>700</v>
      </c>
      <c r="H224" s="1770">
        <f>MATCH(G224,HIDE5!$U$13:$U$17,0)</f>
        <v>1</v>
      </c>
      <c r="I224" s="1771"/>
      <c r="J224" s="1771"/>
      <c r="K224" s="1771"/>
      <c r="L224" s="1771"/>
      <c r="M224" s="380" t="s">
        <v>718</v>
      </c>
      <c r="N224" s="380"/>
      <c r="O224" s="380"/>
      <c r="P224" s="380"/>
      <c r="Q224" s="380"/>
      <c r="R224" s="576"/>
      <c r="S224" s="567"/>
    </row>
    <row r="225" spans="1:25" outlineLevel="1" x14ac:dyDescent="0.25">
      <c r="B225" s="1767"/>
      <c r="C225" s="1768"/>
      <c r="D225" s="1768"/>
      <c r="E225" s="1768"/>
      <c r="F225" s="1768"/>
      <c r="G225" s="1768"/>
      <c r="H225" s="1768"/>
      <c r="I225" s="1768"/>
      <c r="J225" s="1769"/>
      <c r="K225" s="1769"/>
      <c r="L225" s="1769"/>
      <c r="M225" s="597" t="s">
        <v>700</v>
      </c>
      <c r="N225" s="597" t="s">
        <v>701</v>
      </c>
      <c r="O225" s="597" t="s">
        <v>702</v>
      </c>
      <c r="P225" s="597" t="s">
        <v>703</v>
      </c>
      <c r="Q225" s="597" t="s">
        <v>704</v>
      </c>
      <c r="R225" s="576"/>
      <c r="S225" s="567"/>
    </row>
    <row r="226" spans="1:25" outlineLevel="1" x14ac:dyDescent="0.25">
      <c r="B226" s="559"/>
      <c r="C226" s="1768"/>
      <c r="D226" s="586" t="str">
        <f>HIDE5!$X$3</f>
        <v>Appliances</v>
      </c>
      <c r="E226" s="1772">
        <f>SUMIFS(Table37891011[Total],Table37891011[Category],$D226,Table37891011[Check],HIDE5!$Q$3)</f>
        <v>0</v>
      </c>
      <c r="F226" s="586" t="str">
        <f>HIDE5!$X$7</f>
        <v>Lighting</v>
      </c>
      <c r="G226" s="1772">
        <f>SUMIFS(Table37891011[Total],Table37891011[Category],$F226,Table37891011[Check],HIDE5!$Q$3)</f>
        <v>0</v>
      </c>
      <c r="H226" s="1771"/>
      <c r="I226" s="1771"/>
      <c r="J226" s="1771"/>
      <c r="K226" s="1771"/>
      <c r="L226" s="1771"/>
      <c r="M226" s="1773">
        <f>SUMIF(Table37891011[P1],HIDE5!$Q$3,Table37891011[Total])</f>
        <v>0</v>
      </c>
      <c r="N226" s="1773">
        <f>SUMIF(Table37891011[P2],HIDE5!$Q$3,Table37891011[Total])</f>
        <v>0</v>
      </c>
      <c r="O226" s="1773">
        <f>SUMIF(Table37891011[P3],HIDE5!$Q$3,Table37891011[Total])</f>
        <v>0</v>
      </c>
      <c r="P226" s="1773">
        <f>SUMIF(Table37891011[P4],HIDE5!$Q$3,Table37891011[Total])</f>
        <v>0</v>
      </c>
      <c r="Q226" s="1773">
        <f>SUMIF(Table37891011[P5],HIDE5!$Q$3,Table37891011[Total])</f>
        <v>0</v>
      </c>
      <c r="R226" s="576"/>
      <c r="S226" s="567"/>
    </row>
    <row r="227" spans="1:25" ht="15" customHeight="1" outlineLevel="1" x14ac:dyDescent="0.25">
      <c r="B227" s="559"/>
      <c r="C227" s="1768"/>
      <c r="D227" s="586" t="str">
        <f>HIDE5!$X$4</f>
        <v>Furniture</v>
      </c>
      <c r="E227" s="1772">
        <f>SUMIFS(Table37891011[Total],Table37891011[Category],$D227,Table37891011[Check],HIDE5!$Q$3)</f>
        <v>0</v>
      </c>
      <c r="F227" s="586" t="str">
        <f>HIDE5!$X$8</f>
        <v>Electronics</v>
      </c>
      <c r="G227" s="1772">
        <f>SUMIFS(Table37891011[Total],Table37891011[Category],$F227,Table37891011[Check],HIDE5!$Q$3)</f>
        <v>0</v>
      </c>
      <c r="H227" s="1771"/>
      <c r="I227" s="1771"/>
      <c r="J227" s="1771"/>
      <c r="K227" s="1771"/>
      <c r="L227" s="1771"/>
      <c r="M227" s="1771"/>
      <c r="N227" s="1771"/>
      <c r="O227" s="1771"/>
      <c r="P227" s="1771"/>
      <c r="Q227" s="1771"/>
      <c r="R227" s="576"/>
      <c r="S227" s="567"/>
    </row>
    <row r="228" spans="1:25" s="558" customFormat="1" ht="15" customHeight="1" outlineLevel="1" x14ac:dyDescent="0.25">
      <c r="A228" s="274"/>
      <c r="B228" s="559"/>
      <c r="C228" s="1768"/>
      <c r="D228" s="586" t="str">
        <f>HIDE5!$X$5</f>
        <v>Kitchenware</v>
      </c>
      <c r="E228" s="1772">
        <f>SUMIFS(Table37891011[Total],Table37891011[Category],$D228,Table37891011[Check],HIDE5!$Q$3)</f>
        <v>0</v>
      </c>
      <c r="F228" s="586" t="str">
        <f>HIDE5!$X$10</f>
        <v>Accessories</v>
      </c>
      <c r="G228" s="1772">
        <f>SUMIFS(Table37891011[Total],Table37891011[Category],$F228,Table37891011[Check],HIDE5!$Q$3)</f>
        <v>0</v>
      </c>
      <c r="H228" s="1771"/>
      <c r="I228" s="1771"/>
      <c r="J228" s="1771"/>
      <c r="K228" s="1771"/>
      <c r="L228" s="1771"/>
      <c r="M228" s="1771"/>
      <c r="N228" s="1771"/>
      <c r="O228" s="1771"/>
      <c r="P228" s="1771"/>
      <c r="Q228" s="1771"/>
      <c r="R228" s="576"/>
      <c r="S228" s="567"/>
      <c r="T228" s="274"/>
      <c r="U228" s="274"/>
      <c r="V228" s="274"/>
      <c r="W228" s="274"/>
      <c r="X228" s="274"/>
      <c r="Y228" s="274"/>
    </row>
    <row r="229" spans="1:25" outlineLevel="1" x14ac:dyDescent="0.25">
      <c r="A229" s="558"/>
      <c r="B229" s="559"/>
      <c r="C229" s="1768"/>
      <c r="D229" s="586" t="str">
        <f>HIDE5!$X$6</f>
        <v>Bedding</v>
      </c>
      <c r="E229" s="1772">
        <f>SUMIFS(Table37891011[Total],Table37891011[Category],$D229,Table37891011[Check],HIDE5!$Q$3)</f>
        <v>0</v>
      </c>
      <c r="F229" s="586" t="str">
        <f>HIDE5!$X$11</f>
        <v>Decor</v>
      </c>
      <c r="G229" s="1772">
        <f>SUMIFS(Table37891011[Total],Table37891011[Category],$F229,Table37891011[Check],HIDE5!$Q$3)</f>
        <v>0</v>
      </c>
      <c r="H229" s="1771"/>
      <c r="I229" s="1771"/>
      <c r="J229" s="1771"/>
      <c r="K229" s="1771"/>
      <c r="L229" s="1771"/>
      <c r="M229" s="1771"/>
      <c r="N229" s="1771"/>
      <c r="O229" s="1771"/>
      <c r="P229" s="1771"/>
      <c r="Q229" s="1771"/>
      <c r="R229" s="576"/>
      <c r="S229" s="567"/>
    </row>
    <row r="230" spans="1:25" s="558" customFormat="1" ht="15" customHeight="1" outlineLevel="1" x14ac:dyDescent="0.25">
      <c r="A230" s="274"/>
      <c r="B230" s="559"/>
      <c r="C230" s="1772"/>
      <c r="D230" s="1772"/>
      <c r="E230" s="1772"/>
      <c r="F230" s="1772"/>
      <c r="G230" s="1772"/>
      <c r="H230" s="1771"/>
      <c r="I230" s="1771"/>
      <c r="J230" s="1771"/>
      <c r="K230" s="1771"/>
      <c r="L230" s="1771"/>
      <c r="M230" s="1771"/>
      <c r="N230" s="1771"/>
      <c r="O230" s="1771"/>
      <c r="P230" s="1771"/>
      <c r="Q230" s="1771"/>
      <c r="R230" s="576"/>
      <c r="S230" s="567"/>
    </row>
    <row r="231" spans="1:25" s="558" customFormat="1" ht="15" customHeight="1" outlineLevel="1" x14ac:dyDescent="0.25">
      <c r="B231" s="559"/>
      <c r="C231" s="1772"/>
      <c r="D231" s="591" t="s">
        <v>696</v>
      </c>
      <c r="E231" s="1774">
        <f>IFERROR(SUM(E226:E229,G226:G229),0)</f>
        <v>0</v>
      </c>
      <c r="F231" s="1771"/>
      <c r="G231" s="1771"/>
      <c r="H231" s="1771"/>
      <c r="I231" s="1771"/>
      <c r="J231" s="1771"/>
      <c r="K231" s="1771"/>
      <c r="L231" s="1771"/>
      <c r="M231" s="1771"/>
      <c r="N231" s="1771"/>
      <c r="O231" s="1771"/>
      <c r="P231" s="1772"/>
      <c r="Q231" s="1772"/>
      <c r="R231" s="577"/>
      <c r="S231" s="567"/>
      <c r="T231" s="274"/>
      <c r="U231" s="274"/>
      <c r="V231" s="274"/>
      <c r="W231" s="274"/>
      <c r="X231" s="274"/>
      <c r="Y231" s="274"/>
    </row>
    <row r="232" spans="1:25" ht="15" customHeight="1" x14ac:dyDescent="0.25">
      <c r="A232" s="558"/>
      <c r="B232" s="575"/>
      <c r="C232" s="9"/>
      <c r="D232" s="9"/>
      <c r="E232" s="9"/>
      <c r="F232" s="9"/>
      <c r="G232" s="9"/>
      <c r="H232" s="9"/>
      <c r="I232" s="9"/>
      <c r="J232" s="9"/>
      <c r="K232" s="9"/>
      <c r="L232" s="9"/>
      <c r="M232" s="9"/>
      <c r="N232" s="9"/>
      <c r="O232" s="9"/>
      <c r="P232" s="9"/>
      <c r="Q232" s="9"/>
      <c r="R232" s="9"/>
      <c r="S232" s="567"/>
      <c r="T232" s="558"/>
      <c r="U232" s="558"/>
      <c r="V232" s="558"/>
      <c r="W232" s="558"/>
      <c r="X232" s="558"/>
      <c r="Y232" s="558"/>
    </row>
    <row r="233" spans="1:25" x14ac:dyDescent="0.25">
      <c r="B233" s="561"/>
      <c r="C233" s="578"/>
      <c r="D233" s="578"/>
      <c r="E233" s="578"/>
      <c r="F233" s="578"/>
      <c r="G233" s="578"/>
      <c r="H233" s="578"/>
      <c r="I233" s="578"/>
      <c r="J233" s="578"/>
      <c r="K233" s="578"/>
      <c r="L233" s="578"/>
      <c r="M233" s="579"/>
      <c r="N233" s="579"/>
      <c r="O233" s="579"/>
      <c r="P233" s="579"/>
      <c r="Q233" s="579"/>
      <c r="R233" s="579"/>
      <c r="S233" s="580"/>
      <c r="T233" s="558"/>
      <c r="U233" s="558"/>
      <c r="V233" s="558"/>
      <c r="W233" s="558"/>
      <c r="X233" s="558"/>
      <c r="Y233" s="558"/>
    </row>
    <row r="234" spans="1:25" outlineLevel="1" x14ac:dyDescent="0.25"/>
    <row r="235" spans="1:25" outlineLevel="1" x14ac:dyDescent="0.25">
      <c r="B235" s="562">
        <v>7</v>
      </c>
      <c r="C235" s="563" t="str">
        <f>UPPER(DASHBOARD!$W$69)</f>
        <v>BEDROOM #4</v>
      </c>
      <c r="D235" s="564"/>
      <c r="E235" s="564"/>
      <c r="F235" s="564"/>
      <c r="G235" s="564"/>
      <c r="H235" s="564"/>
      <c r="I235" s="564"/>
      <c r="J235" s="564"/>
      <c r="K235" s="564"/>
      <c r="L235" s="564"/>
      <c r="M235" s="564"/>
      <c r="N235" s="564"/>
      <c r="O235" s="564"/>
      <c r="P235" s="564"/>
      <c r="Q235" s="564"/>
      <c r="R235" s="564"/>
      <c r="S235" s="565"/>
    </row>
    <row r="236" spans="1:25" outlineLevel="1" x14ac:dyDescent="0.25">
      <c r="B236" s="559"/>
      <c r="C236" s="9"/>
      <c r="D236" s="9"/>
      <c r="E236" s="9"/>
      <c r="F236" s="9"/>
      <c r="G236" s="9"/>
      <c r="H236" s="9"/>
      <c r="I236" s="9"/>
      <c r="J236" s="9"/>
      <c r="K236" s="9"/>
      <c r="L236" s="9"/>
      <c r="M236" s="9"/>
      <c r="N236" s="9"/>
      <c r="O236" s="9"/>
      <c r="P236" s="9"/>
      <c r="Q236" s="9"/>
      <c r="R236" s="9"/>
      <c r="S236" s="560"/>
    </row>
    <row r="237" spans="1:25" ht="15.75" customHeight="1" outlineLevel="1" x14ac:dyDescent="0.25">
      <c r="B237" s="559"/>
      <c r="C237" s="566">
        <v>1</v>
      </c>
      <c r="D237" s="380" t="s">
        <v>1147</v>
      </c>
      <c r="E237" s="537"/>
      <c r="F237" s="537"/>
      <c r="G237" s="537"/>
      <c r="H237" s="537"/>
      <c r="I237" s="537"/>
      <c r="J237" s="537"/>
      <c r="K237" s="537"/>
      <c r="L237" s="537"/>
      <c r="M237" s="568"/>
      <c r="N237" s="569"/>
      <c r="O237" s="569"/>
      <c r="P237" s="570"/>
      <c r="Q237" s="569"/>
      <c r="R237" s="569"/>
      <c r="S237" s="567"/>
    </row>
    <row r="238" spans="1:25" outlineLevel="1" x14ac:dyDescent="0.25">
      <c r="B238" s="559"/>
      <c r="C238" s="571"/>
      <c r="D238" s="572"/>
      <c r="E238" s="572"/>
      <c r="F238" s="572"/>
      <c r="G238" s="572"/>
      <c r="H238" s="572"/>
      <c r="I238" s="572"/>
      <c r="J238" s="573"/>
      <c r="K238" s="573"/>
      <c r="L238" s="573"/>
      <c r="M238" s="573"/>
      <c r="N238" s="573"/>
      <c r="O238" s="572"/>
      <c r="P238" s="571"/>
      <c r="Q238" s="574"/>
      <c r="R238" s="585"/>
      <c r="S238" s="567"/>
    </row>
    <row r="239" spans="1:25" outlineLevel="1" x14ac:dyDescent="0.25">
      <c r="B239" s="559"/>
      <c r="C239" s="571"/>
      <c r="D239" s="572"/>
      <c r="E239" s="572"/>
      <c r="F239" s="572"/>
      <c r="G239" s="572"/>
      <c r="H239" s="572"/>
      <c r="I239" s="572"/>
      <c r="J239" s="573"/>
      <c r="K239" s="573"/>
      <c r="L239" s="84"/>
      <c r="M239" s="2580" t="s">
        <v>719</v>
      </c>
      <c r="N239" s="2581"/>
      <c r="O239" s="2581"/>
      <c r="P239" s="2581"/>
      <c r="Q239" s="2581"/>
      <c r="R239" s="589"/>
      <c r="S239" s="567"/>
    </row>
    <row r="240" spans="1:25" outlineLevel="1" x14ac:dyDescent="0.25">
      <c r="B240" s="559"/>
      <c r="C240" s="571"/>
      <c r="D240" s="590" t="s">
        <v>633</v>
      </c>
      <c r="E240" s="587" t="s">
        <v>697</v>
      </c>
      <c r="F240" s="587" t="s">
        <v>438</v>
      </c>
      <c r="G240" s="587" t="s">
        <v>698</v>
      </c>
      <c r="H240" s="587" t="s">
        <v>662</v>
      </c>
      <c r="I240" s="587" t="s">
        <v>699</v>
      </c>
      <c r="J240" s="587" t="s">
        <v>20</v>
      </c>
      <c r="K240" s="587" t="s">
        <v>695</v>
      </c>
      <c r="L240" s="592" t="s">
        <v>716</v>
      </c>
      <c r="M240" s="588" t="s">
        <v>700</v>
      </c>
      <c r="N240" s="588" t="s">
        <v>701</v>
      </c>
      <c r="O240" s="588" t="s">
        <v>702</v>
      </c>
      <c r="P240" s="588" t="s">
        <v>703</v>
      </c>
      <c r="Q240" s="588" t="s">
        <v>704</v>
      </c>
      <c r="R240" s="588" t="s">
        <v>124</v>
      </c>
      <c r="S240" s="567"/>
    </row>
    <row r="241" spans="1:25" ht="14.4" outlineLevel="1" x14ac:dyDescent="0.25">
      <c r="B241" s="559"/>
      <c r="C241" s="571"/>
      <c r="D241" s="1752"/>
      <c r="E241" s="1737"/>
      <c r="F241" s="1737"/>
      <c r="G241" s="1737"/>
      <c r="H241" s="1737"/>
      <c r="I241" s="1737"/>
      <c r="J241" s="1702">
        <f>Table3789101112[[#This Row],[Quantity]]*Table3789101112[[#This Row],[Unit Price]]</f>
        <v>0</v>
      </c>
      <c r="K241" s="1737"/>
      <c r="L241" s="1753"/>
      <c r="M241" s="1754"/>
      <c r="N241" s="1754"/>
      <c r="O241" s="1754"/>
      <c r="P241" s="1754"/>
      <c r="Q241" s="1754"/>
      <c r="R241" s="594" cm="1">
        <f t="array" ref="R241">INDEX(Table3789101112[[#This Row],[P1]:[P5]],1,$H$34)</f>
        <v>0</v>
      </c>
      <c r="S241" s="567"/>
    </row>
    <row r="242" spans="1:25" ht="15" customHeight="1" outlineLevel="1" x14ac:dyDescent="0.25">
      <c r="B242" s="559"/>
      <c r="C242" s="571"/>
      <c r="D242" s="1752"/>
      <c r="E242" s="1737"/>
      <c r="F242" s="1737"/>
      <c r="G242" s="1737"/>
      <c r="H242" s="1737"/>
      <c r="I242" s="1737"/>
      <c r="J242" s="1702">
        <f>Table3789101112[[#This Row],[Quantity]]*Table3789101112[[#This Row],[Unit Price]]</f>
        <v>0</v>
      </c>
      <c r="K242" s="1737"/>
      <c r="L242" s="1755"/>
      <c r="M242" s="1754"/>
      <c r="N242" s="1754"/>
      <c r="O242" s="1754"/>
      <c r="P242" s="1754"/>
      <c r="Q242" s="1754"/>
      <c r="R242" s="595" cm="1">
        <f t="array" ref="R242">INDEX(Table3789101112[[#This Row],[P1]:[P5]],1,$H$34)</f>
        <v>0</v>
      </c>
      <c r="S242" s="567"/>
    </row>
    <row r="243" spans="1:25" ht="15" customHeight="1" outlineLevel="1" x14ac:dyDescent="0.25">
      <c r="B243" s="559"/>
      <c r="C243" s="571"/>
      <c r="D243" s="1752"/>
      <c r="E243" s="1737"/>
      <c r="F243" s="1737"/>
      <c r="G243" s="1737"/>
      <c r="H243" s="1737"/>
      <c r="I243" s="1737"/>
      <c r="J243" s="1702">
        <f>Table3789101112[[#This Row],[Quantity]]*Table3789101112[[#This Row],[Unit Price]]</f>
        <v>0</v>
      </c>
      <c r="K243" s="1737"/>
      <c r="L243" s="1755"/>
      <c r="M243" s="1754"/>
      <c r="N243" s="1754"/>
      <c r="O243" s="1754"/>
      <c r="P243" s="1754"/>
      <c r="Q243" s="1754"/>
      <c r="R243" s="595" cm="1">
        <f t="array" ref="R243">INDEX(Table3789101112[[#This Row],[P1]:[P5]],1,$H$34)</f>
        <v>0</v>
      </c>
      <c r="S243" s="567"/>
    </row>
    <row r="244" spans="1:25" ht="15" customHeight="1" outlineLevel="1" x14ac:dyDescent="0.25">
      <c r="B244" s="559"/>
      <c r="C244" s="571"/>
      <c r="D244" s="1752"/>
      <c r="E244" s="1737"/>
      <c r="F244" s="1737"/>
      <c r="G244" s="1737"/>
      <c r="H244" s="1737"/>
      <c r="I244" s="1737"/>
      <c r="J244" s="1702">
        <f>Table3789101112[[#This Row],[Quantity]]*Table3789101112[[#This Row],[Unit Price]]</f>
        <v>0</v>
      </c>
      <c r="K244" s="1737"/>
      <c r="L244" s="1753"/>
      <c r="M244" s="1754"/>
      <c r="N244" s="1754"/>
      <c r="O244" s="1754"/>
      <c r="P244" s="1754"/>
      <c r="Q244" s="1754"/>
      <c r="R244" s="595" cm="1">
        <f t="array" ref="R244">INDEX(Table3789101112[[#This Row],[P1]:[P5]],1,$H$34)</f>
        <v>0</v>
      </c>
      <c r="S244" s="567"/>
    </row>
    <row r="245" spans="1:25" ht="15" customHeight="1" outlineLevel="1" x14ac:dyDescent="0.25">
      <c r="B245" s="559"/>
      <c r="C245" s="571"/>
      <c r="D245" s="1752"/>
      <c r="E245" s="1737"/>
      <c r="F245" s="1737"/>
      <c r="G245" s="1737"/>
      <c r="H245" s="1737"/>
      <c r="I245" s="1737"/>
      <c r="J245" s="1702">
        <f>Table3789101112[[#This Row],[Quantity]]*Table3789101112[[#This Row],[Unit Price]]</f>
        <v>0</v>
      </c>
      <c r="K245" s="1737"/>
      <c r="L245" s="1755"/>
      <c r="M245" s="1754"/>
      <c r="N245" s="1754"/>
      <c r="O245" s="1754"/>
      <c r="P245" s="1754"/>
      <c r="Q245" s="1754"/>
      <c r="R245" s="595" cm="1">
        <f t="array" ref="R245">INDEX(Table3789101112[[#This Row],[P1]:[P5]],1,$H$34)</f>
        <v>0</v>
      </c>
      <c r="S245" s="567"/>
    </row>
    <row r="246" spans="1:25" ht="15" customHeight="1" outlineLevel="1" x14ac:dyDescent="0.25">
      <c r="B246" s="559"/>
      <c r="C246" s="571"/>
      <c r="D246" s="1752"/>
      <c r="E246" s="1737"/>
      <c r="F246" s="1737"/>
      <c r="G246" s="1737"/>
      <c r="H246" s="1737"/>
      <c r="I246" s="1737"/>
      <c r="J246" s="1702">
        <f>Table3789101112[[#This Row],[Quantity]]*Table3789101112[[#This Row],[Unit Price]]</f>
        <v>0</v>
      </c>
      <c r="K246" s="1737"/>
      <c r="L246" s="1755"/>
      <c r="M246" s="1754"/>
      <c r="N246" s="1754"/>
      <c r="O246" s="1754"/>
      <c r="P246" s="1754"/>
      <c r="Q246" s="1754"/>
      <c r="R246" s="595" cm="1">
        <f t="array" ref="R246">INDEX(Table3789101112[[#This Row],[P1]:[P5]],1,$H$34)</f>
        <v>0</v>
      </c>
      <c r="S246" s="567"/>
    </row>
    <row r="247" spans="1:25" s="276" customFormat="1" ht="15" customHeight="1" outlineLevel="1" x14ac:dyDescent="0.25">
      <c r="A247" s="274"/>
      <c r="B247" s="559"/>
      <c r="C247" s="571"/>
      <c r="D247" s="1752"/>
      <c r="E247" s="1737"/>
      <c r="F247" s="1737"/>
      <c r="G247" s="1737"/>
      <c r="H247" s="1737"/>
      <c r="I247" s="1737"/>
      <c r="J247" s="1702">
        <f>Table3789101112[[#This Row],[Quantity]]*Table3789101112[[#This Row],[Unit Price]]</f>
        <v>0</v>
      </c>
      <c r="K247" s="1737"/>
      <c r="L247" s="1755"/>
      <c r="M247" s="1754"/>
      <c r="N247" s="1754"/>
      <c r="O247" s="1754"/>
      <c r="P247" s="1754"/>
      <c r="Q247" s="1754"/>
      <c r="R247" s="595" cm="1">
        <f t="array" ref="R247">INDEX(Table3789101112[[#This Row],[P1]:[P5]],1,$H$34)</f>
        <v>0</v>
      </c>
      <c r="S247" s="567"/>
      <c r="T247" s="274"/>
      <c r="U247" s="274"/>
      <c r="V247" s="274"/>
      <c r="W247" s="274"/>
      <c r="X247" s="274"/>
      <c r="Y247" s="274"/>
    </row>
    <row r="248" spans="1:25" s="276" customFormat="1" ht="15" customHeight="1" outlineLevel="1" x14ac:dyDescent="0.25">
      <c r="B248" s="559"/>
      <c r="C248" s="571"/>
      <c r="D248" s="1752"/>
      <c r="E248" s="1737"/>
      <c r="F248" s="1737"/>
      <c r="G248" s="1737"/>
      <c r="H248" s="1737"/>
      <c r="I248" s="1737"/>
      <c r="J248" s="1702">
        <f>Table3789101112[[#This Row],[Quantity]]*Table3789101112[[#This Row],[Unit Price]]</f>
        <v>0</v>
      </c>
      <c r="K248" s="1737"/>
      <c r="L248" s="1755"/>
      <c r="M248" s="1754"/>
      <c r="N248" s="1754"/>
      <c r="O248" s="1754"/>
      <c r="P248" s="1754"/>
      <c r="Q248" s="1754"/>
      <c r="R248" s="595" cm="1">
        <f t="array" ref="R248">INDEX(Table3789101112[[#This Row],[P1]:[P5]],1,$H$34)</f>
        <v>0</v>
      </c>
      <c r="S248" s="567"/>
      <c r="T248" s="274"/>
      <c r="U248" s="274"/>
      <c r="V248" s="274"/>
      <c r="W248" s="274"/>
      <c r="X248" s="274"/>
      <c r="Y248" s="274"/>
    </row>
    <row r="249" spans="1:25" s="276" customFormat="1" ht="15" customHeight="1" outlineLevel="1" x14ac:dyDescent="0.25">
      <c r="B249" s="559"/>
      <c r="C249" s="571"/>
      <c r="D249" s="1752"/>
      <c r="E249" s="1737"/>
      <c r="F249" s="1737"/>
      <c r="G249" s="1737"/>
      <c r="H249" s="1737"/>
      <c r="I249" s="1737"/>
      <c r="J249" s="1702">
        <f>Table3789101112[[#This Row],[Quantity]]*Table3789101112[[#This Row],[Unit Price]]</f>
        <v>0</v>
      </c>
      <c r="K249" s="1737"/>
      <c r="L249" s="1755"/>
      <c r="M249" s="1754"/>
      <c r="N249" s="1754"/>
      <c r="O249" s="1754"/>
      <c r="P249" s="1754"/>
      <c r="Q249" s="1754"/>
      <c r="R249" s="595" cm="1">
        <f t="array" ref="R249">INDEX(Table3789101112[[#This Row],[P1]:[P5]],1,$H$34)</f>
        <v>0</v>
      </c>
      <c r="S249" s="567"/>
    </row>
    <row r="250" spans="1:25" s="276" customFormat="1" ht="15" customHeight="1" outlineLevel="1" x14ac:dyDescent="0.25">
      <c r="B250" s="559"/>
      <c r="C250" s="571"/>
      <c r="D250" s="1752"/>
      <c r="E250" s="1737"/>
      <c r="F250" s="1737"/>
      <c r="G250" s="1737"/>
      <c r="H250" s="1737"/>
      <c r="I250" s="1737"/>
      <c r="J250" s="1702">
        <f>Table3789101112[[#This Row],[Quantity]]*Table3789101112[[#This Row],[Unit Price]]</f>
        <v>0</v>
      </c>
      <c r="K250" s="1737"/>
      <c r="L250" s="1755"/>
      <c r="M250" s="1754"/>
      <c r="N250" s="1754"/>
      <c r="O250" s="1754"/>
      <c r="P250" s="1754"/>
      <c r="Q250" s="1754"/>
      <c r="R250" s="595" cm="1">
        <f t="array" ref="R250">INDEX(Table3789101112[[#This Row],[P1]:[P5]],1,$H$34)</f>
        <v>0</v>
      </c>
      <c r="S250" s="567"/>
    </row>
    <row r="251" spans="1:25" s="276" customFormat="1" ht="15" customHeight="1" outlineLevel="1" x14ac:dyDescent="0.25">
      <c r="B251" s="559"/>
      <c r="C251" s="571"/>
      <c r="D251" s="1752"/>
      <c r="E251" s="1737"/>
      <c r="F251" s="1737"/>
      <c r="G251" s="1737"/>
      <c r="H251" s="1737"/>
      <c r="I251" s="1737"/>
      <c r="J251" s="1702">
        <f>Table3789101112[[#This Row],[Quantity]]*Table3789101112[[#This Row],[Unit Price]]</f>
        <v>0</v>
      </c>
      <c r="K251" s="1737"/>
      <c r="L251" s="1753"/>
      <c r="M251" s="1754"/>
      <c r="N251" s="1754"/>
      <c r="O251" s="1754"/>
      <c r="P251" s="1754"/>
      <c r="Q251" s="1754"/>
      <c r="R251" s="595" cm="1">
        <f t="array" ref="R251">INDEX(Table3789101112[[#This Row],[P1]:[P5]],1,$H$34)</f>
        <v>0</v>
      </c>
      <c r="S251" s="567"/>
    </row>
    <row r="252" spans="1:25" s="276" customFormat="1" ht="15" customHeight="1" outlineLevel="1" x14ac:dyDescent="0.25">
      <c r="B252" s="559"/>
      <c r="C252" s="571"/>
      <c r="D252" s="1752"/>
      <c r="E252" s="1737"/>
      <c r="F252" s="1737"/>
      <c r="G252" s="1737"/>
      <c r="H252" s="1737"/>
      <c r="I252" s="1737"/>
      <c r="J252" s="1702">
        <f>Table3789101112[[#This Row],[Quantity]]*Table3789101112[[#This Row],[Unit Price]]</f>
        <v>0</v>
      </c>
      <c r="K252" s="1737"/>
      <c r="L252" s="1755"/>
      <c r="M252" s="1754"/>
      <c r="N252" s="1754"/>
      <c r="O252" s="1754"/>
      <c r="P252" s="1754"/>
      <c r="Q252" s="1754"/>
      <c r="R252" s="595" cm="1">
        <f t="array" ref="R252">INDEX(Table3789101112[[#This Row],[P1]:[P5]],1,$H$34)</f>
        <v>0</v>
      </c>
      <c r="S252" s="567"/>
    </row>
    <row r="253" spans="1:25" s="276" customFormat="1" ht="15" customHeight="1" outlineLevel="1" x14ac:dyDescent="0.25">
      <c r="B253" s="559"/>
      <c r="C253" s="571"/>
      <c r="D253" s="1752"/>
      <c r="E253" s="1737"/>
      <c r="F253" s="1737"/>
      <c r="G253" s="1737"/>
      <c r="H253" s="1737"/>
      <c r="I253" s="1737"/>
      <c r="J253" s="1702">
        <f>Table3789101112[[#This Row],[Quantity]]*Table3789101112[[#This Row],[Unit Price]]</f>
        <v>0</v>
      </c>
      <c r="K253" s="1737"/>
      <c r="L253" s="1755"/>
      <c r="M253" s="1754"/>
      <c r="N253" s="1754"/>
      <c r="O253" s="1754"/>
      <c r="P253" s="1754"/>
      <c r="Q253" s="1754"/>
      <c r="R253" s="595" cm="1">
        <f t="array" ref="R253">INDEX(Table3789101112[[#This Row],[P1]:[P5]],1,$H$34)</f>
        <v>0</v>
      </c>
      <c r="S253" s="567"/>
    </row>
    <row r="254" spans="1:25" outlineLevel="1" x14ac:dyDescent="0.25">
      <c r="A254" s="276"/>
      <c r="B254" s="559"/>
      <c r="C254" s="571"/>
      <c r="D254" s="1752"/>
      <c r="E254" s="1737"/>
      <c r="F254" s="1737"/>
      <c r="G254" s="1737"/>
      <c r="H254" s="1737"/>
      <c r="I254" s="1737"/>
      <c r="J254" s="1702">
        <f>Table3789101112[[#This Row],[Quantity]]*Table3789101112[[#This Row],[Unit Price]]</f>
        <v>0</v>
      </c>
      <c r="K254" s="1737"/>
      <c r="L254" s="1755"/>
      <c r="M254" s="1754"/>
      <c r="N254" s="1754"/>
      <c r="O254" s="1754"/>
      <c r="P254" s="1754"/>
      <c r="Q254" s="1754"/>
      <c r="R254" s="595" cm="1">
        <f t="array" ref="R254">INDEX(Table3789101112[[#This Row],[P1]:[P5]],1,$H$34)</f>
        <v>0</v>
      </c>
      <c r="S254" s="567"/>
      <c r="T254" s="276"/>
      <c r="U254" s="276"/>
      <c r="V254" s="276"/>
      <c r="W254" s="276"/>
      <c r="X254" s="276"/>
      <c r="Y254" s="276"/>
    </row>
    <row r="255" spans="1:25" outlineLevel="1" x14ac:dyDescent="0.25">
      <c r="B255" s="559"/>
      <c r="C255" s="571"/>
      <c r="D255" s="1752"/>
      <c r="E255" s="1737"/>
      <c r="F255" s="1737"/>
      <c r="G255" s="1737"/>
      <c r="H255" s="1737"/>
      <c r="I255" s="1737"/>
      <c r="J255" s="1702">
        <f>Table3789101112[[#This Row],[Quantity]]*Table3789101112[[#This Row],[Unit Price]]</f>
        <v>0</v>
      </c>
      <c r="K255" s="1737"/>
      <c r="L255" s="1755"/>
      <c r="M255" s="1754"/>
      <c r="N255" s="1754"/>
      <c r="O255" s="1754"/>
      <c r="P255" s="1754"/>
      <c r="Q255" s="1754"/>
      <c r="R255" s="595" cm="1">
        <f t="array" ref="R255">INDEX(Table3789101112[[#This Row],[P1]:[P5]],1,$H$34)</f>
        <v>0</v>
      </c>
      <c r="S255" s="567"/>
      <c r="T255" s="276"/>
      <c r="U255" s="276"/>
      <c r="V255" s="276"/>
      <c r="W255" s="276"/>
      <c r="X255" s="276"/>
      <c r="Y255" s="276"/>
    </row>
    <row r="256" spans="1:25" outlineLevel="1" x14ac:dyDescent="0.25">
      <c r="B256" s="559"/>
      <c r="C256" s="571"/>
      <c r="D256" s="1752"/>
      <c r="E256" s="1737"/>
      <c r="F256" s="1737"/>
      <c r="G256" s="1737"/>
      <c r="H256" s="1737"/>
      <c r="I256" s="1737"/>
      <c r="J256" s="1702">
        <f>Table3789101112[[#This Row],[Quantity]]*Table3789101112[[#This Row],[Unit Price]]</f>
        <v>0</v>
      </c>
      <c r="K256" s="1737"/>
      <c r="L256" s="1755"/>
      <c r="M256" s="1754"/>
      <c r="N256" s="1754"/>
      <c r="O256" s="1754"/>
      <c r="P256" s="1754"/>
      <c r="Q256" s="1754"/>
      <c r="R256" s="595" cm="1">
        <f t="array" ref="R256">INDEX(Table3789101112[[#This Row],[P1]:[P5]],1,$H$34)</f>
        <v>0</v>
      </c>
      <c r="S256" s="567"/>
    </row>
    <row r="257" spans="1:25" outlineLevel="1" x14ac:dyDescent="0.25">
      <c r="B257" s="559"/>
      <c r="C257" s="571"/>
      <c r="D257" s="1752"/>
      <c r="E257" s="1737"/>
      <c r="F257" s="1737"/>
      <c r="G257" s="1737"/>
      <c r="H257" s="1737"/>
      <c r="I257" s="1737"/>
      <c r="J257" s="1702">
        <f>Table3789101112[[#This Row],[Quantity]]*Table3789101112[[#This Row],[Unit Price]]</f>
        <v>0</v>
      </c>
      <c r="K257" s="1737"/>
      <c r="L257" s="1755"/>
      <c r="M257" s="1754"/>
      <c r="N257" s="1754"/>
      <c r="O257" s="1754"/>
      <c r="P257" s="1754"/>
      <c r="Q257" s="1754"/>
      <c r="R257" s="595" cm="1">
        <f t="array" ref="R257">INDEX(Table3789101112[[#This Row],[P1]:[P5]],1,$H$34)</f>
        <v>0</v>
      </c>
      <c r="S257" s="567"/>
    </row>
    <row r="258" spans="1:25" outlineLevel="1" x14ac:dyDescent="0.25">
      <c r="B258" s="559"/>
      <c r="C258" s="571"/>
      <c r="D258" s="1752"/>
      <c r="E258" s="1737"/>
      <c r="F258" s="1737"/>
      <c r="G258" s="1737"/>
      <c r="H258" s="1737"/>
      <c r="I258" s="1737"/>
      <c r="J258" s="1702">
        <f>Table3789101112[[#This Row],[Quantity]]*Table3789101112[[#This Row],[Unit Price]]</f>
        <v>0</v>
      </c>
      <c r="K258" s="1737"/>
      <c r="L258" s="1755"/>
      <c r="M258" s="1754"/>
      <c r="N258" s="1754"/>
      <c r="O258" s="1754"/>
      <c r="P258" s="1754"/>
      <c r="Q258" s="1754"/>
      <c r="R258" s="595" cm="1">
        <f t="array" ref="R258">INDEX(Table3789101112[[#This Row],[P1]:[P5]],1,$H$34)</f>
        <v>0</v>
      </c>
      <c r="S258" s="567"/>
    </row>
    <row r="259" spans="1:25" outlineLevel="1" x14ac:dyDescent="0.25">
      <c r="B259" s="559"/>
      <c r="C259" s="571"/>
      <c r="D259" s="1752"/>
      <c r="E259" s="1737"/>
      <c r="F259" s="1737"/>
      <c r="G259" s="1737"/>
      <c r="H259" s="1737"/>
      <c r="I259" s="1737"/>
      <c r="J259" s="1702">
        <f>Table3789101112[[#This Row],[Quantity]]*Table3789101112[[#This Row],[Unit Price]]</f>
        <v>0</v>
      </c>
      <c r="K259" s="1737"/>
      <c r="L259" s="1755"/>
      <c r="M259" s="1754"/>
      <c r="N259" s="1754"/>
      <c r="O259" s="1754"/>
      <c r="P259" s="1754"/>
      <c r="Q259" s="1754"/>
      <c r="R259" s="595" cm="1">
        <f t="array" ref="R259">INDEX(Table3789101112[[#This Row],[P1]:[P5]],1,$H$34)</f>
        <v>0</v>
      </c>
      <c r="S259" s="567"/>
    </row>
    <row r="260" spans="1:25" outlineLevel="1" x14ac:dyDescent="0.25">
      <c r="B260" s="559"/>
      <c r="C260" s="571"/>
      <c r="D260" s="1752"/>
      <c r="E260" s="1737"/>
      <c r="F260" s="1737"/>
      <c r="G260" s="1737"/>
      <c r="H260" s="1737"/>
      <c r="I260" s="1737"/>
      <c r="J260" s="1702">
        <f>Table3789101112[[#This Row],[Quantity]]*Table3789101112[[#This Row],[Unit Price]]</f>
        <v>0</v>
      </c>
      <c r="K260" s="1737"/>
      <c r="L260" s="1755"/>
      <c r="M260" s="1754"/>
      <c r="N260" s="1754"/>
      <c r="O260" s="1754"/>
      <c r="P260" s="1754"/>
      <c r="Q260" s="1754"/>
      <c r="R260" s="596" cm="1">
        <f t="array" ref="R260">INDEX(Table3789101112[[#This Row],[P1]:[P5]],1,$H$34)</f>
        <v>0</v>
      </c>
      <c r="S260" s="567"/>
    </row>
    <row r="261" spans="1:25" outlineLevel="1" x14ac:dyDescent="0.25">
      <c r="B261" s="575"/>
      <c r="C261" s="9"/>
      <c r="D261" s="9"/>
      <c r="E261" s="9"/>
      <c r="F261" s="9"/>
      <c r="G261" s="9"/>
      <c r="H261" s="9"/>
      <c r="I261" s="9"/>
      <c r="J261" s="9"/>
      <c r="K261" s="9"/>
      <c r="L261" s="9"/>
      <c r="M261" s="9"/>
      <c r="N261" s="9"/>
      <c r="O261" s="9"/>
      <c r="P261" s="9"/>
      <c r="Q261" s="9"/>
      <c r="R261" s="9"/>
      <c r="S261" s="567"/>
    </row>
    <row r="262" spans="1:25" outlineLevel="1" x14ac:dyDescent="0.25">
      <c r="B262" s="575"/>
      <c r="C262" s="566">
        <v>2</v>
      </c>
      <c r="D262" s="380" t="s">
        <v>715</v>
      </c>
      <c r="E262" s="537"/>
      <c r="F262" s="593" t="s">
        <v>717</v>
      </c>
      <c r="G262" s="1742" t="s">
        <v>700</v>
      </c>
      <c r="H262" s="1770">
        <f>MATCH(G262,HIDE5!$U$13:$U$17,0)</f>
        <v>1</v>
      </c>
      <c r="I262" s="1771"/>
      <c r="J262" s="1771"/>
      <c r="K262" s="1771"/>
      <c r="L262" s="1771"/>
      <c r="M262" s="380" t="s">
        <v>718</v>
      </c>
      <c r="N262" s="380"/>
      <c r="O262" s="380"/>
      <c r="P262" s="380"/>
      <c r="Q262" s="380"/>
      <c r="R262" s="576"/>
      <c r="S262" s="567"/>
    </row>
    <row r="263" spans="1:25" outlineLevel="1" x14ac:dyDescent="0.25">
      <c r="B263" s="1767"/>
      <c r="C263" s="1768"/>
      <c r="D263" s="1768"/>
      <c r="E263" s="1768"/>
      <c r="F263" s="1768"/>
      <c r="G263" s="1768"/>
      <c r="H263" s="1768"/>
      <c r="I263" s="1768"/>
      <c r="J263" s="1769"/>
      <c r="K263" s="1769"/>
      <c r="L263" s="1769"/>
      <c r="M263" s="597" t="s">
        <v>700</v>
      </c>
      <c r="N263" s="597" t="s">
        <v>701</v>
      </c>
      <c r="O263" s="597" t="s">
        <v>702</v>
      </c>
      <c r="P263" s="597" t="s">
        <v>703</v>
      </c>
      <c r="Q263" s="597" t="s">
        <v>704</v>
      </c>
      <c r="R263" s="576"/>
      <c r="S263" s="567"/>
    </row>
    <row r="264" spans="1:25" outlineLevel="1" x14ac:dyDescent="0.25">
      <c r="B264" s="559"/>
      <c r="C264" s="1768"/>
      <c r="D264" s="586" t="str">
        <f>HIDE5!$X$3</f>
        <v>Appliances</v>
      </c>
      <c r="E264" s="1772">
        <f>SUMIFS(Table3789101112[Total],Table3789101112[Category],$D264,Table3789101112[Check],HIDE5!$Q$3)</f>
        <v>0</v>
      </c>
      <c r="F264" s="586" t="str">
        <f>HIDE5!$X$7</f>
        <v>Lighting</v>
      </c>
      <c r="G264" s="1772">
        <f>SUMIFS(Table3789101112[Total],Table3789101112[Category],$F264,Table3789101112[Check],HIDE5!$Q$3)</f>
        <v>0</v>
      </c>
      <c r="H264" s="1771"/>
      <c r="I264" s="1771"/>
      <c r="J264" s="1771"/>
      <c r="K264" s="1771"/>
      <c r="L264" s="1771"/>
      <c r="M264" s="1773">
        <f>SUMIF(Table3789101112[P1],HIDE5!$Q$3,Table3789101112[Total])</f>
        <v>0</v>
      </c>
      <c r="N264" s="1773">
        <f>SUMIF(Table3789101112[P2],HIDE5!$Q$3,Table3789101112[Total])</f>
        <v>0</v>
      </c>
      <c r="O264" s="1773">
        <f>SUMIF(Table3789101112[P3],HIDE5!$Q$3,Table3789101112[Total])</f>
        <v>0</v>
      </c>
      <c r="P264" s="1773">
        <f>SUMIF(Table3789101112[P4],HIDE5!$Q$3,Table3789101112[Total])</f>
        <v>0</v>
      </c>
      <c r="Q264" s="1773">
        <f>SUMIF(Table3789101112[P5],HIDE5!$Q$3,Table3789101112[Total])</f>
        <v>0</v>
      </c>
      <c r="R264" s="576"/>
      <c r="S264" s="567"/>
    </row>
    <row r="265" spans="1:25" ht="15" customHeight="1" outlineLevel="1" x14ac:dyDescent="0.25">
      <c r="B265" s="559"/>
      <c r="C265" s="1768"/>
      <c r="D265" s="586" t="str">
        <f>HIDE5!$X$4</f>
        <v>Furniture</v>
      </c>
      <c r="E265" s="1772">
        <f>SUMIFS(Table3789101112[Total],Table3789101112[Category],$D265,Table3789101112[Check],HIDE5!$Q$3)</f>
        <v>0</v>
      </c>
      <c r="F265" s="586" t="str">
        <f>HIDE5!$X$8</f>
        <v>Electronics</v>
      </c>
      <c r="G265" s="1772">
        <f>SUMIFS(Table3789101112[Total],Table3789101112[Category],$F265,Table3789101112[Check],HIDE5!$Q$3)</f>
        <v>0</v>
      </c>
      <c r="H265" s="1771"/>
      <c r="I265" s="1771"/>
      <c r="J265" s="1771"/>
      <c r="K265" s="1771"/>
      <c r="L265" s="1771"/>
      <c r="M265" s="1771"/>
      <c r="N265" s="1771"/>
      <c r="O265" s="1771"/>
      <c r="P265" s="1771"/>
      <c r="Q265" s="1771"/>
      <c r="R265" s="576"/>
      <c r="S265" s="567"/>
    </row>
    <row r="266" spans="1:25" s="558" customFormat="1" ht="15" customHeight="1" outlineLevel="1" x14ac:dyDescent="0.25">
      <c r="A266" s="274"/>
      <c r="B266" s="559"/>
      <c r="C266" s="1768"/>
      <c r="D266" s="586" t="str">
        <f>HIDE5!$X$5</f>
        <v>Kitchenware</v>
      </c>
      <c r="E266" s="1772">
        <f>SUMIFS(Table3789101112[Total],Table3789101112[Category],$D266,Table3789101112[Check],HIDE5!$Q$3)</f>
        <v>0</v>
      </c>
      <c r="F266" s="586" t="str">
        <f>HIDE5!$X$10</f>
        <v>Accessories</v>
      </c>
      <c r="G266" s="1772">
        <f>SUMIFS(Table3789101112[Total],Table3789101112[Category],$F266,Table3789101112[Check],HIDE5!$Q$3)</f>
        <v>0</v>
      </c>
      <c r="H266" s="1771"/>
      <c r="I266" s="1771"/>
      <c r="J266" s="1771"/>
      <c r="K266" s="1771"/>
      <c r="L266" s="1771"/>
      <c r="M266" s="1771"/>
      <c r="N266" s="1771"/>
      <c r="O266" s="1771"/>
      <c r="P266" s="1771"/>
      <c r="Q266" s="1771"/>
      <c r="R266" s="576"/>
      <c r="S266" s="567"/>
      <c r="T266" s="274"/>
      <c r="U266" s="274"/>
      <c r="V266" s="274"/>
      <c r="W266" s="274"/>
      <c r="X266" s="274"/>
      <c r="Y266" s="274"/>
    </row>
    <row r="267" spans="1:25" outlineLevel="1" x14ac:dyDescent="0.25">
      <c r="A267" s="558"/>
      <c r="B267" s="559"/>
      <c r="C267" s="1768"/>
      <c r="D267" s="586" t="str">
        <f>HIDE5!$X$6</f>
        <v>Bedding</v>
      </c>
      <c r="E267" s="1772">
        <f>SUMIFS(Table3789101112[Total],Table3789101112[Category],$D267,Table3789101112[Check],HIDE5!$Q$3)</f>
        <v>0</v>
      </c>
      <c r="F267" s="586" t="str">
        <f>HIDE5!$X$11</f>
        <v>Decor</v>
      </c>
      <c r="G267" s="1772">
        <f>SUMIFS(Table3789101112[Total],Table3789101112[Category],$F267,Table3789101112[Check],HIDE5!$Q$3)</f>
        <v>0</v>
      </c>
      <c r="H267" s="1771"/>
      <c r="I267" s="1771"/>
      <c r="J267" s="1771"/>
      <c r="K267" s="1771"/>
      <c r="L267" s="1771"/>
      <c r="M267" s="1771"/>
      <c r="N267" s="1771"/>
      <c r="O267" s="1771"/>
      <c r="P267" s="1771"/>
      <c r="Q267" s="1771"/>
      <c r="R267" s="576"/>
      <c r="S267" s="567"/>
    </row>
    <row r="268" spans="1:25" s="558" customFormat="1" ht="15" customHeight="1" outlineLevel="1" x14ac:dyDescent="0.25">
      <c r="A268" s="274"/>
      <c r="B268" s="559"/>
      <c r="C268" s="1772"/>
      <c r="D268" s="1772"/>
      <c r="E268" s="1772"/>
      <c r="F268" s="1772"/>
      <c r="G268" s="1772"/>
      <c r="H268" s="1771"/>
      <c r="I268" s="1771"/>
      <c r="J268" s="1771"/>
      <c r="K268" s="1771"/>
      <c r="L268" s="1771"/>
      <c r="M268" s="1771"/>
      <c r="N268" s="1771"/>
      <c r="O268" s="1771"/>
      <c r="P268" s="1771"/>
      <c r="Q268" s="1771"/>
      <c r="R268" s="576"/>
      <c r="S268" s="567"/>
    </row>
    <row r="269" spans="1:25" s="558" customFormat="1" ht="15" customHeight="1" outlineLevel="1" x14ac:dyDescent="0.25">
      <c r="B269" s="559"/>
      <c r="C269" s="1772"/>
      <c r="D269" s="591" t="s">
        <v>696</v>
      </c>
      <c r="E269" s="1774">
        <f>IFERROR(SUM(E264:E267,G264:G267),0)</f>
        <v>0</v>
      </c>
      <c r="F269" s="1771"/>
      <c r="G269" s="1771"/>
      <c r="H269" s="1771"/>
      <c r="I269" s="1771"/>
      <c r="J269" s="1771"/>
      <c r="K269" s="1771"/>
      <c r="L269" s="1771"/>
      <c r="M269" s="1771"/>
      <c r="N269" s="1771"/>
      <c r="O269" s="1771"/>
      <c r="P269" s="1772"/>
      <c r="Q269" s="1772"/>
      <c r="R269" s="577"/>
      <c r="S269" s="567"/>
      <c r="T269" s="274"/>
      <c r="U269" s="274"/>
      <c r="V269" s="274"/>
      <c r="W269" s="274"/>
      <c r="X269" s="274"/>
      <c r="Y269" s="274"/>
    </row>
    <row r="270" spans="1:25" ht="15" customHeight="1" x14ac:dyDescent="0.25">
      <c r="A270" s="558"/>
      <c r="B270" s="575"/>
      <c r="C270" s="9"/>
      <c r="D270" s="9"/>
      <c r="E270" s="9"/>
      <c r="F270" s="9"/>
      <c r="G270" s="9"/>
      <c r="H270" s="9"/>
      <c r="I270" s="9"/>
      <c r="J270" s="9"/>
      <c r="K270" s="9"/>
      <c r="L270" s="9"/>
      <c r="M270" s="9"/>
      <c r="N270" s="9"/>
      <c r="O270" s="9"/>
      <c r="P270" s="9"/>
      <c r="Q270" s="9"/>
      <c r="R270" s="9"/>
      <c r="S270" s="567"/>
      <c r="T270" s="558"/>
      <c r="U270" s="558"/>
      <c r="V270" s="558"/>
      <c r="W270" s="558"/>
      <c r="X270" s="558"/>
      <c r="Y270" s="558"/>
    </row>
    <row r="271" spans="1:25" x14ac:dyDescent="0.25">
      <c r="B271" s="561"/>
      <c r="C271" s="578"/>
      <c r="D271" s="578"/>
      <c r="E271" s="578"/>
      <c r="F271" s="578"/>
      <c r="G271" s="578"/>
      <c r="H271" s="578"/>
      <c r="I271" s="578"/>
      <c r="J271" s="578"/>
      <c r="K271" s="578"/>
      <c r="L271" s="578"/>
      <c r="M271" s="579"/>
      <c r="N271" s="579"/>
      <c r="O271" s="579"/>
      <c r="P271" s="579"/>
      <c r="Q271" s="579"/>
      <c r="R271" s="579"/>
      <c r="S271" s="580"/>
      <c r="T271" s="558"/>
      <c r="U271" s="558"/>
      <c r="V271" s="558"/>
      <c r="W271" s="558"/>
      <c r="X271" s="558"/>
      <c r="Y271" s="558"/>
    </row>
    <row r="272" spans="1:25" outlineLevel="1" x14ac:dyDescent="0.25"/>
    <row r="273" spans="1:25" outlineLevel="1" x14ac:dyDescent="0.25">
      <c r="B273" s="562">
        <v>8</v>
      </c>
      <c r="C273" s="563" t="str">
        <f>UPPER(DASHBOARD!$W$70)</f>
        <v>BATHROOM #1</v>
      </c>
      <c r="D273" s="564"/>
      <c r="E273" s="564"/>
      <c r="F273" s="564"/>
      <c r="G273" s="564"/>
      <c r="H273" s="564"/>
      <c r="I273" s="564"/>
      <c r="J273" s="564"/>
      <c r="K273" s="564"/>
      <c r="L273" s="564"/>
      <c r="M273" s="564"/>
      <c r="N273" s="564"/>
      <c r="O273" s="564"/>
      <c r="P273" s="564"/>
      <c r="Q273" s="564"/>
      <c r="R273" s="564"/>
      <c r="S273" s="565"/>
    </row>
    <row r="274" spans="1:25" outlineLevel="1" x14ac:dyDescent="0.25">
      <c r="B274" s="559"/>
      <c r="C274" s="9"/>
      <c r="D274" s="9"/>
      <c r="E274" s="9"/>
      <c r="F274" s="9"/>
      <c r="G274" s="9"/>
      <c r="H274" s="9"/>
      <c r="I274" s="9"/>
      <c r="J274" s="9"/>
      <c r="K274" s="9"/>
      <c r="L274" s="9"/>
      <c r="M274" s="9"/>
      <c r="N274" s="9"/>
      <c r="O274" s="9"/>
      <c r="P274" s="9"/>
      <c r="Q274" s="9"/>
      <c r="R274" s="9"/>
      <c r="S274" s="560"/>
    </row>
    <row r="275" spans="1:25" ht="15.75" customHeight="1" outlineLevel="1" x14ac:dyDescent="0.25">
      <c r="B275" s="559"/>
      <c r="C275" s="566">
        <v>1</v>
      </c>
      <c r="D275" s="380" t="s">
        <v>1147</v>
      </c>
      <c r="E275" s="537"/>
      <c r="F275" s="537"/>
      <c r="G275" s="537"/>
      <c r="H275" s="537"/>
      <c r="I275" s="537"/>
      <c r="J275" s="537"/>
      <c r="K275" s="537"/>
      <c r="L275" s="537"/>
      <c r="M275" s="568"/>
      <c r="N275" s="569"/>
      <c r="O275" s="569"/>
      <c r="P275" s="570"/>
      <c r="Q275" s="569"/>
      <c r="R275" s="569"/>
      <c r="S275" s="567"/>
    </row>
    <row r="276" spans="1:25" outlineLevel="1" x14ac:dyDescent="0.25">
      <c r="B276" s="559"/>
      <c r="C276" s="571"/>
      <c r="D276" s="572"/>
      <c r="E276" s="572"/>
      <c r="F276" s="572"/>
      <c r="G276" s="572"/>
      <c r="H276" s="572"/>
      <c r="I276" s="572"/>
      <c r="J276" s="573"/>
      <c r="K276" s="573"/>
      <c r="L276" s="573"/>
      <c r="M276" s="573"/>
      <c r="N276" s="573"/>
      <c r="O276" s="572"/>
      <c r="P276" s="571"/>
      <c r="Q276" s="574"/>
      <c r="R276" s="585"/>
      <c r="S276" s="567"/>
    </row>
    <row r="277" spans="1:25" outlineLevel="1" x14ac:dyDescent="0.25">
      <c r="B277" s="559"/>
      <c r="C277" s="571"/>
      <c r="D277" s="572"/>
      <c r="E277" s="572"/>
      <c r="F277" s="572"/>
      <c r="G277" s="572"/>
      <c r="H277" s="572"/>
      <c r="I277" s="572"/>
      <c r="J277" s="573"/>
      <c r="K277" s="573"/>
      <c r="L277" s="84"/>
      <c r="M277" s="2580" t="s">
        <v>719</v>
      </c>
      <c r="N277" s="2581"/>
      <c r="O277" s="2581"/>
      <c r="P277" s="2581"/>
      <c r="Q277" s="2581"/>
      <c r="R277" s="589"/>
      <c r="S277" s="567"/>
    </row>
    <row r="278" spans="1:25" outlineLevel="1" x14ac:dyDescent="0.25">
      <c r="B278" s="559"/>
      <c r="C278" s="571"/>
      <c r="D278" s="590" t="s">
        <v>633</v>
      </c>
      <c r="E278" s="587" t="s">
        <v>697</v>
      </c>
      <c r="F278" s="587" t="s">
        <v>438</v>
      </c>
      <c r="G278" s="587" t="s">
        <v>698</v>
      </c>
      <c r="H278" s="587" t="s">
        <v>662</v>
      </c>
      <c r="I278" s="587" t="s">
        <v>699</v>
      </c>
      <c r="J278" s="587" t="s">
        <v>20</v>
      </c>
      <c r="K278" s="587" t="s">
        <v>695</v>
      </c>
      <c r="L278" s="592" t="s">
        <v>716</v>
      </c>
      <c r="M278" s="588" t="s">
        <v>700</v>
      </c>
      <c r="N278" s="588" t="s">
        <v>701</v>
      </c>
      <c r="O278" s="588" t="s">
        <v>702</v>
      </c>
      <c r="P278" s="588" t="s">
        <v>703</v>
      </c>
      <c r="Q278" s="588" t="s">
        <v>704</v>
      </c>
      <c r="R278" s="588" t="s">
        <v>124</v>
      </c>
      <c r="S278" s="567"/>
    </row>
    <row r="279" spans="1:25" ht="14.4" outlineLevel="1" x14ac:dyDescent="0.25">
      <c r="B279" s="559"/>
      <c r="C279" s="571"/>
      <c r="D279" s="1752"/>
      <c r="E279" s="1737"/>
      <c r="F279" s="1737"/>
      <c r="G279" s="1737"/>
      <c r="H279" s="1737"/>
      <c r="I279" s="1737"/>
      <c r="J279" s="1702">
        <f>Table378910111213[[#This Row],[Quantity]]*Table378910111213[[#This Row],[Unit Price]]</f>
        <v>0</v>
      </c>
      <c r="K279" s="1737"/>
      <c r="L279" s="1753"/>
      <c r="M279" s="1754"/>
      <c r="N279" s="1754"/>
      <c r="O279" s="1754"/>
      <c r="P279" s="1754"/>
      <c r="Q279" s="1754"/>
      <c r="R279" s="594" cm="1">
        <f t="array" ref="R279">INDEX(Table378910111213[[#This Row],[P1]:[P5]],1,$H$34)</f>
        <v>0</v>
      </c>
      <c r="S279" s="567"/>
    </row>
    <row r="280" spans="1:25" ht="15" customHeight="1" outlineLevel="1" x14ac:dyDescent="0.25">
      <c r="B280" s="559"/>
      <c r="C280" s="571"/>
      <c r="D280" s="1752"/>
      <c r="E280" s="1737"/>
      <c r="F280" s="1737"/>
      <c r="G280" s="1737"/>
      <c r="H280" s="1737"/>
      <c r="I280" s="1737"/>
      <c r="J280" s="1702">
        <f>Table378910111213[[#This Row],[Quantity]]*Table378910111213[[#This Row],[Unit Price]]</f>
        <v>0</v>
      </c>
      <c r="K280" s="1737"/>
      <c r="L280" s="1755"/>
      <c r="M280" s="1754"/>
      <c r="N280" s="1754"/>
      <c r="O280" s="1754"/>
      <c r="P280" s="1754"/>
      <c r="Q280" s="1754"/>
      <c r="R280" s="595" cm="1">
        <f t="array" ref="R280">INDEX(Table378910111213[[#This Row],[P1]:[P5]],1,$H$34)</f>
        <v>0</v>
      </c>
      <c r="S280" s="567"/>
    </row>
    <row r="281" spans="1:25" ht="15" customHeight="1" outlineLevel="1" x14ac:dyDescent="0.25">
      <c r="B281" s="559"/>
      <c r="C281" s="571"/>
      <c r="D281" s="1752"/>
      <c r="E281" s="1737"/>
      <c r="F281" s="1737"/>
      <c r="G281" s="1737"/>
      <c r="H281" s="1737"/>
      <c r="I281" s="1737"/>
      <c r="J281" s="1702">
        <f>Table378910111213[[#This Row],[Quantity]]*Table378910111213[[#This Row],[Unit Price]]</f>
        <v>0</v>
      </c>
      <c r="K281" s="1737"/>
      <c r="L281" s="1755"/>
      <c r="M281" s="1754"/>
      <c r="N281" s="1754"/>
      <c r="O281" s="1754"/>
      <c r="P281" s="1754"/>
      <c r="Q281" s="1754"/>
      <c r="R281" s="595" cm="1">
        <f t="array" ref="R281">INDEX(Table378910111213[[#This Row],[P1]:[P5]],1,$H$34)</f>
        <v>0</v>
      </c>
      <c r="S281" s="567"/>
    </row>
    <row r="282" spans="1:25" ht="15" customHeight="1" outlineLevel="1" x14ac:dyDescent="0.25">
      <c r="B282" s="559"/>
      <c r="C282" s="571"/>
      <c r="D282" s="1752"/>
      <c r="E282" s="1737"/>
      <c r="F282" s="1737"/>
      <c r="G282" s="1737"/>
      <c r="H282" s="1737"/>
      <c r="I282" s="1737"/>
      <c r="J282" s="1702">
        <f>Table378910111213[[#This Row],[Quantity]]*Table378910111213[[#This Row],[Unit Price]]</f>
        <v>0</v>
      </c>
      <c r="K282" s="1737"/>
      <c r="L282" s="1753"/>
      <c r="M282" s="1754"/>
      <c r="N282" s="1754"/>
      <c r="O282" s="1754"/>
      <c r="P282" s="1754"/>
      <c r="Q282" s="1754"/>
      <c r="R282" s="595" cm="1">
        <f t="array" ref="R282">INDEX(Table378910111213[[#This Row],[P1]:[P5]],1,$H$34)</f>
        <v>0</v>
      </c>
      <c r="S282" s="567"/>
    </row>
    <row r="283" spans="1:25" ht="15" customHeight="1" outlineLevel="1" x14ac:dyDescent="0.25">
      <c r="B283" s="559"/>
      <c r="C283" s="571"/>
      <c r="D283" s="1752"/>
      <c r="E283" s="1737"/>
      <c r="F283" s="1737"/>
      <c r="G283" s="1737"/>
      <c r="H283" s="1737"/>
      <c r="I283" s="1737"/>
      <c r="J283" s="1702">
        <f>Table378910111213[[#This Row],[Quantity]]*Table378910111213[[#This Row],[Unit Price]]</f>
        <v>0</v>
      </c>
      <c r="K283" s="1737"/>
      <c r="L283" s="1755"/>
      <c r="M283" s="1754"/>
      <c r="N283" s="1754"/>
      <c r="O283" s="1754"/>
      <c r="P283" s="1754"/>
      <c r="Q283" s="1754"/>
      <c r="R283" s="595" cm="1">
        <f t="array" ref="R283">INDEX(Table378910111213[[#This Row],[P1]:[P5]],1,$H$34)</f>
        <v>0</v>
      </c>
      <c r="S283" s="567"/>
    </row>
    <row r="284" spans="1:25" ht="15" customHeight="1" outlineLevel="1" x14ac:dyDescent="0.25">
      <c r="B284" s="559"/>
      <c r="C284" s="571"/>
      <c r="D284" s="1752"/>
      <c r="E284" s="1737"/>
      <c r="F284" s="1737"/>
      <c r="G284" s="1737"/>
      <c r="H284" s="1737"/>
      <c r="I284" s="1737"/>
      <c r="J284" s="1702">
        <f>Table378910111213[[#This Row],[Quantity]]*Table378910111213[[#This Row],[Unit Price]]</f>
        <v>0</v>
      </c>
      <c r="K284" s="1737"/>
      <c r="L284" s="1755"/>
      <c r="M284" s="1754"/>
      <c r="N284" s="1754"/>
      <c r="O284" s="1754"/>
      <c r="P284" s="1754"/>
      <c r="Q284" s="1754"/>
      <c r="R284" s="595" cm="1">
        <f t="array" ref="R284">INDEX(Table378910111213[[#This Row],[P1]:[P5]],1,$H$34)</f>
        <v>0</v>
      </c>
      <c r="S284" s="567"/>
    </row>
    <row r="285" spans="1:25" s="276" customFormat="1" ht="15" customHeight="1" outlineLevel="1" x14ac:dyDescent="0.25">
      <c r="A285" s="274"/>
      <c r="B285" s="559"/>
      <c r="C285" s="571"/>
      <c r="D285" s="1752"/>
      <c r="E285" s="1737"/>
      <c r="F285" s="1737"/>
      <c r="G285" s="1737"/>
      <c r="H285" s="1737"/>
      <c r="I285" s="1737"/>
      <c r="J285" s="1702">
        <f>Table378910111213[[#This Row],[Quantity]]*Table378910111213[[#This Row],[Unit Price]]</f>
        <v>0</v>
      </c>
      <c r="K285" s="1737"/>
      <c r="L285" s="1755"/>
      <c r="M285" s="1754"/>
      <c r="N285" s="1754"/>
      <c r="O285" s="1754"/>
      <c r="P285" s="1754"/>
      <c r="Q285" s="1754"/>
      <c r="R285" s="595" cm="1">
        <f t="array" ref="R285">INDEX(Table378910111213[[#This Row],[P1]:[P5]],1,$H$34)</f>
        <v>0</v>
      </c>
      <c r="S285" s="567"/>
      <c r="T285" s="274"/>
      <c r="U285" s="274"/>
      <c r="V285" s="274"/>
      <c r="W285" s="274"/>
      <c r="X285" s="274"/>
      <c r="Y285" s="274"/>
    </row>
    <row r="286" spans="1:25" s="276" customFormat="1" ht="15" customHeight="1" outlineLevel="1" x14ac:dyDescent="0.25">
      <c r="B286" s="559"/>
      <c r="C286" s="571"/>
      <c r="D286" s="1752"/>
      <c r="E286" s="1737"/>
      <c r="F286" s="1737"/>
      <c r="G286" s="1737"/>
      <c r="H286" s="1737"/>
      <c r="I286" s="1737"/>
      <c r="J286" s="1702">
        <f>Table378910111213[[#This Row],[Quantity]]*Table378910111213[[#This Row],[Unit Price]]</f>
        <v>0</v>
      </c>
      <c r="K286" s="1737"/>
      <c r="L286" s="1755"/>
      <c r="M286" s="1754"/>
      <c r="N286" s="1754"/>
      <c r="O286" s="1754"/>
      <c r="P286" s="1754"/>
      <c r="Q286" s="1754"/>
      <c r="R286" s="595" cm="1">
        <f t="array" ref="R286">INDEX(Table378910111213[[#This Row],[P1]:[P5]],1,$H$34)</f>
        <v>0</v>
      </c>
      <c r="S286" s="567"/>
      <c r="T286" s="274"/>
      <c r="U286" s="274"/>
      <c r="V286" s="274"/>
      <c r="W286" s="274"/>
      <c r="X286" s="274"/>
      <c r="Y286" s="274"/>
    </row>
    <row r="287" spans="1:25" s="276" customFormat="1" ht="15" customHeight="1" outlineLevel="1" x14ac:dyDescent="0.25">
      <c r="B287" s="559"/>
      <c r="C287" s="571"/>
      <c r="D287" s="1752"/>
      <c r="E287" s="1737"/>
      <c r="F287" s="1737"/>
      <c r="G287" s="1737"/>
      <c r="H287" s="1737"/>
      <c r="I287" s="1737"/>
      <c r="J287" s="1702">
        <f>Table378910111213[[#This Row],[Quantity]]*Table378910111213[[#This Row],[Unit Price]]</f>
        <v>0</v>
      </c>
      <c r="K287" s="1737"/>
      <c r="L287" s="1755"/>
      <c r="M287" s="1754"/>
      <c r="N287" s="1754"/>
      <c r="O287" s="1754"/>
      <c r="P287" s="1754"/>
      <c r="Q287" s="1754"/>
      <c r="R287" s="595" cm="1">
        <f t="array" ref="R287">INDEX(Table378910111213[[#This Row],[P1]:[P5]],1,$H$34)</f>
        <v>0</v>
      </c>
      <c r="S287" s="567"/>
    </row>
    <row r="288" spans="1:25" s="276" customFormat="1" ht="15" customHeight="1" outlineLevel="1" x14ac:dyDescent="0.25">
      <c r="B288" s="559"/>
      <c r="C288" s="571"/>
      <c r="D288" s="1752"/>
      <c r="E288" s="1737"/>
      <c r="F288" s="1737"/>
      <c r="G288" s="1737"/>
      <c r="H288" s="1737"/>
      <c r="I288" s="1737"/>
      <c r="J288" s="1702">
        <f>Table378910111213[[#This Row],[Quantity]]*Table378910111213[[#This Row],[Unit Price]]</f>
        <v>0</v>
      </c>
      <c r="K288" s="1737"/>
      <c r="L288" s="1755"/>
      <c r="M288" s="1754"/>
      <c r="N288" s="1754"/>
      <c r="O288" s="1754"/>
      <c r="P288" s="1754"/>
      <c r="Q288" s="1754"/>
      <c r="R288" s="595" cm="1">
        <f t="array" ref="R288">INDEX(Table378910111213[[#This Row],[P1]:[P5]],1,$H$34)</f>
        <v>0</v>
      </c>
      <c r="S288" s="567"/>
    </row>
    <row r="289" spans="1:25" s="276" customFormat="1" ht="15" customHeight="1" outlineLevel="1" x14ac:dyDescent="0.25">
      <c r="B289" s="559"/>
      <c r="C289" s="571"/>
      <c r="D289" s="1752"/>
      <c r="E289" s="1737"/>
      <c r="F289" s="1737"/>
      <c r="G289" s="1737"/>
      <c r="H289" s="1737"/>
      <c r="I289" s="1737"/>
      <c r="J289" s="1702">
        <f>Table378910111213[[#This Row],[Quantity]]*Table378910111213[[#This Row],[Unit Price]]</f>
        <v>0</v>
      </c>
      <c r="K289" s="1737"/>
      <c r="L289" s="1753"/>
      <c r="M289" s="1754"/>
      <c r="N289" s="1754"/>
      <c r="O289" s="1754"/>
      <c r="P289" s="1754"/>
      <c r="Q289" s="1754"/>
      <c r="R289" s="595" cm="1">
        <f t="array" ref="R289">INDEX(Table378910111213[[#This Row],[P1]:[P5]],1,$H$34)</f>
        <v>0</v>
      </c>
      <c r="S289" s="567"/>
    </row>
    <row r="290" spans="1:25" s="276" customFormat="1" ht="15" customHeight="1" outlineLevel="1" x14ac:dyDescent="0.25">
      <c r="B290" s="559"/>
      <c r="C290" s="571"/>
      <c r="D290" s="1752"/>
      <c r="E290" s="1737"/>
      <c r="F290" s="1737"/>
      <c r="G290" s="1737"/>
      <c r="H290" s="1737"/>
      <c r="I290" s="1737"/>
      <c r="J290" s="1702">
        <f>Table378910111213[[#This Row],[Quantity]]*Table378910111213[[#This Row],[Unit Price]]</f>
        <v>0</v>
      </c>
      <c r="K290" s="1737"/>
      <c r="L290" s="1755"/>
      <c r="M290" s="1754"/>
      <c r="N290" s="1754"/>
      <c r="O290" s="1754"/>
      <c r="P290" s="1754"/>
      <c r="Q290" s="1754"/>
      <c r="R290" s="595" cm="1">
        <f t="array" ref="R290">INDEX(Table378910111213[[#This Row],[P1]:[P5]],1,$H$34)</f>
        <v>0</v>
      </c>
      <c r="S290" s="567"/>
    </row>
    <row r="291" spans="1:25" s="276" customFormat="1" ht="15" customHeight="1" outlineLevel="1" x14ac:dyDescent="0.25">
      <c r="B291" s="559"/>
      <c r="C291" s="571"/>
      <c r="D291" s="1752"/>
      <c r="E291" s="1737"/>
      <c r="F291" s="1737"/>
      <c r="G291" s="1737"/>
      <c r="H291" s="1737"/>
      <c r="I291" s="1737"/>
      <c r="J291" s="1702">
        <f>Table378910111213[[#This Row],[Quantity]]*Table378910111213[[#This Row],[Unit Price]]</f>
        <v>0</v>
      </c>
      <c r="K291" s="1737"/>
      <c r="L291" s="1755"/>
      <c r="M291" s="1754"/>
      <c r="N291" s="1754"/>
      <c r="O291" s="1754"/>
      <c r="P291" s="1754"/>
      <c r="Q291" s="1754"/>
      <c r="R291" s="595" cm="1">
        <f t="array" ref="R291">INDEX(Table378910111213[[#This Row],[P1]:[P5]],1,$H$34)</f>
        <v>0</v>
      </c>
      <c r="S291" s="567"/>
    </row>
    <row r="292" spans="1:25" outlineLevel="1" x14ac:dyDescent="0.25">
      <c r="A292" s="276"/>
      <c r="B292" s="559"/>
      <c r="C292" s="571"/>
      <c r="D292" s="1752"/>
      <c r="E292" s="1737"/>
      <c r="F292" s="1737"/>
      <c r="G292" s="1737"/>
      <c r="H292" s="1737"/>
      <c r="I292" s="1737"/>
      <c r="J292" s="1702">
        <f>Table378910111213[[#This Row],[Quantity]]*Table378910111213[[#This Row],[Unit Price]]</f>
        <v>0</v>
      </c>
      <c r="K292" s="1737"/>
      <c r="L292" s="1755"/>
      <c r="M292" s="1754"/>
      <c r="N292" s="1754"/>
      <c r="O292" s="1754"/>
      <c r="P292" s="1754"/>
      <c r="Q292" s="1754"/>
      <c r="R292" s="595" cm="1">
        <f t="array" ref="R292">INDEX(Table378910111213[[#This Row],[P1]:[P5]],1,$H$34)</f>
        <v>0</v>
      </c>
      <c r="S292" s="567"/>
      <c r="T292" s="276"/>
      <c r="U292" s="276"/>
      <c r="V292" s="276"/>
      <c r="W292" s="276"/>
      <c r="X292" s="276"/>
      <c r="Y292" s="276"/>
    </row>
    <row r="293" spans="1:25" outlineLevel="1" x14ac:dyDescent="0.25">
      <c r="B293" s="559"/>
      <c r="C293" s="571"/>
      <c r="D293" s="1752"/>
      <c r="E293" s="1737"/>
      <c r="F293" s="1737"/>
      <c r="G293" s="1737"/>
      <c r="H293" s="1737"/>
      <c r="I293" s="1737"/>
      <c r="J293" s="1702">
        <f>Table378910111213[[#This Row],[Quantity]]*Table378910111213[[#This Row],[Unit Price]]</f>
        <v>0</v>
      </c>
      <c r="K293" s="1737"/>
      <c r="L293" s="1755"/>
      <c r="M293" s="1754"/>
      <c r="N293" s="1754"/>
      <c r="O293" s="1754"/>
      <c r="P293" s="1754"/>
      <c r="Q293" s="1754"/>
      <c r="R293" s="595" cm="1">
        <f t="array" ref="R293">INDEX(Table378910111213[[#This Row],[P1]:[P5]],1,$H$34)</f>
        <v>0</v>
      </c>
      <c r="S293" s="567"/>
      <c r="T293" s="276"/>
      <c r="U293" s="276"/>
      <c r="V293" s="276"/>
      <c r="W293" s="276"/>
      <c r="X293" s="276"/>
      <c r="Y293" s="276"/>
    </row>
    <row r="294" spans="1:25" outlineLevel="1" x14ac:dyDescent="0.25">
      <c r="B294" s="559"/>
      <c r="C294" s="571"/>
      <c r="D294" s="1752"/>
      <c r="E294" s="1737"/>
      <c r="F294" s="1737"/>
      <c r="G294" s="1737"/>
      <c r="H294" s="1737"/>
      <c r="I294" s="1737"/>
      <c r="J294" s="1702">
        <f>Table378910111213[[#This Row],[Quantity]]*Table378910111213[[#This Row],[Unit Price]]</f>
        <v>0</v>
      </c>
      <c r="K294" s="1737"/>
      <c r="L294" s="1755"/>
      <c r="M294" s="1754"/>
      <c r="N294" s="1754"/>
      <c r="O294" s="1754"/>
      <c r="P294" s="1754"/>
      <c r="Q294" s="1754"/>
      <c r="R294" s="595" cm="1">
        <f t="array" ref="R294">INDEX(Table378910111213[[#This Row],[P1]:[P5]],1,$H$34)</f>
        <v>0</v>
      </c>
      <c r="S294" s="567"/>
    </row>
    <row r="295" spans="1:25" outlineLevel="1" x14ac:dyDescent="0.25">
      <c r="B295" s="559"/>
      <c r="C295" s="571"/>
      <c r="D295" s="1752"/>
      <c r="E295" s="1737"/>
      <c r="F295" s="1737"/>
      <c r="G295" s="1737"/>
      <c r="H295" s="1737"/>
      <c r="I295" s="1737"/>
      <c r="J295" s="1702">
        <f>Table378910111213[[#This Row],[Quantity]]*Table378910111213[[#This Row],[Unit Price]]</f>
        <v>0</v>
      </c>
      <c r="K295" s="1737"/>
      <c r="L295" s="1755"/>
      <c r="M295" s="1754"/>
      <c r="N295" s="1754"/>
      <c r="O295" s="1754"/>
      <c r="P295" s="1754"/>
      <c r="Q295" s="1754"/>
      <c r="R295" s="595" cm="1">
        <f t="array" ref="R295">INDEX(Table378910111213[[#This Row],[P1]:[P5]],1,$H$34)</f>
        <v>0</v>
      </c>
      <c r="S295" s="567"/>
    </row>
    <row r="296" spans="1:25" outlineLevel="1" x14ac:dyDescent="0.25">
      <c r="B296" s="559"/>
      <c r="C296" s="571"/>
      <c r="D296" s="1752"/>
      <c r="E296" s="1737"/>
      <c r="F296" s="1737"/>
      <c r="G296" s="1737"/>
      <c r="H296" s="1737"/>
      <c r="I296" s="1737"/>
      <c r="J296" s="1702">
        <f>Table378910111213[[#This Row],[Quantity]]*Table378910111213[[#This Row],[Unit Price]]</f>
        <v>0</v>
      </c>
      <c r="K296" s="1737"/>
      <c r="L296" s="1755"/>
      <c r="M296" s="1754"/>
      <c r="N296" s="1754"/>
      <c r="O296" s="1754"/>
      <c r="P296" s="1754"/>
      <c r="Q296" s="1754"/>
      <c r="R296" s="595" cm="1">
        <f t="array" ref="R296">INDEX(Table378910111213[[#This Row],[P1]:[P5]],1,$H$34)</f>
        <v>0</v>
      </c>
      <c r="S296" s="567"/>
    </row>
    <row r="297" spans="1:25" outlineLevel="1" x14ac:dyDescent="0.25">
      <c r="B297" s="559"/>
      <c r="C297" s="571"/>
      <c r="D297" s="1752"/>
      <c r="E297" s="1737"/>
      <c r="F297" s="1737"/>
      <c r="G297" s="1737"/>
      <c r="H297" s="1737"/>
      <c r="I297" s="1737"/>
      <c r="J297" s="1702">
        <f>Table378910111213[[#This Row],[Quantity]]*Table378910111213[[#This Row],[Unit Price]]</f>
        <v>0</v>
      </c>
      <c r="K297" s="1737"/>
      <c r="L297" s="1755"/>
      <c r="M297" s="1754"/>
      <c r="N297" s="1754"/>
      <c r="O297" s="1754"/>
      <c r="P297" s="1754"/>
      <c r="Q297" s="1754"/>
      <c r="R297" s="595" cm="1">
        <f t="array" ref="R297">INDEX(Table378910111213[[#This Row],[P1]:[P5]],1,$H$34)</f>
        <v>0</v>
      </c>
      <c r="S297" s="567"/>
    </row>
    <row r="298" spans="1:25" outlineLevel="1" x14ac:dyDescent="0.25">
      <c r="B298" s="559"/>
      <c r="C298" s="571"/>
      <c r="D298" s="1752"/>
      <c r="E298" s="1737"/>
      <c r="F298" s="1737"/>
      <c r="G298" s="1737"/>
      <c r="H298" s="1737"/>
      <c r="I298" s="1737"/>
      <c r="J298" s="1702">
        <f>Table378910111213[[#This Row],[Quantity]]*Table378910111213[[#This Row],[Unit Price]]</f>
        <v>0</v>
      </c>
      <c r="K298" s="1737"/>
      <c r="L298" s="1755"/>
      <c r="M298" s="1754"/>
      <c r="N298" s="1754"/>
      <c r="O298" s="1754"/>
      <c r="P298" s="1754"/>
      <c r="Q298" s="1754"/>
      <c r="R298" s="596" cm="1">
        <f t="array" ref="R298">INDEX(Table378910111213[[#This Row],[P1]:[P5]],1,$H$34)</f>
        <v>0</v>
      </c>
      <c r="S298" s="567"/>
    </row>
    <row r="299" spans="1:25" outlineLevel="1" x14ac:dyDescent="0.25">
      <c r="B299" s="575"/>
      <c r="C299" s="9"/>
      <c r="D299" s="9"/>
      <c r="E299" s="9"/>
      <c r="F299" s="9"/>
      <c r="G299" s="9"/>
      <c r="H299" s="9"/>
      <c r="I299" s="9"/>
      <c r="J299" s="9"/>
      <c r="K299" s="9"/>
      <c r="L299" s="9"/>
      <c r="M299" s="9"/>
      <c r="N299" s="9"/>
      <c r="O299" s="9"/>
      <c r="P299" s="9"/>
      <c r="Q299" s="9"/>
      <c r="R299" s="9"/>
      <c r="S299" s="567"/>
    </row>
    <row r="300" spans="1:25" outlineLevel="1" x14ac:dyDescent="0.25">
      <c r="B300" s="575"/>
      <c r="C300" s="566">
        <v>2</v>
      </c>
      <c r="D300" s="380" t="s">
        <v>715</v>
      </c>
      <c r="E300" s="537"/>
      <c r="F300" s="593" t="s">
        <v>717</v>
      </c>
      <c r="G300" s="1742" t="s">
        <v>700</v>
      </c>
      <c r="H300" s="1770">
        <f>MATCH(G300,HIDE5!$U$13:$U$17,0)</f>
        <v>1</v>
      </c>
      <c r="I300" s="1771"/>
      <c r="J300" s="1771"/>
      <c r="K300" s="1771"/>
      <c r="L300" s="1771"/>
      <c r="M300" s="380" t="s">
        <v>718</v>
      </c>
      <c r="N300" s="380"/>
      <c r="O300" s="380"/>
      <c r="P300" s="380"/>
      <c r="Q300" s="380"/>
      <c r="R300" s="576"/>
      <c r="S300" s="567"/>
    </row>
    <row r="301" spans="1:25" outlineLevel="1" x14ac:dyDescent="0.25">
      <c r="B301" s="1767"/>
      <c r="C301" s="1768"/>
      <c r="D301" s="1768"/>
      <c r="E301" s="1768"/>
      <c r="F301" s="1768"/>
      <c r="G301" s="1768"/>
      <c r="H301" s="1768"/>
      <c r="I301" s="1768"/>
      <c r="J301" s="1769"/>
      <c r="K301" s="1769"/>
      <c r="L301" s="1769"/>
      <c r="M301" s="597" t="s">
        <v>700</v>
      </c>
      <c r="N301" s="597" t="s">
        <v>701</v>
      </c>
      <c r="O301" s="597" t="s">
        <v>702</v>
      </c>
      <c r="P301" s="597" t="s">
        <v>703</v>
      </c>
      <c r="Q301" s="597" t="s">
        <v>704</v>
      </c>
      <c r="R301" s="576"/>
      <c r="S301" s="567"/>
    </row>
    <row r="302" spans="1:25" outlineLevel="1" x14ac:dyDescent="0.25">
      <c r="B302" s="559"/>
      <c r="C302" s="1768"/>
      <c r="D302" s="586" t="str">
        <f>HIDE5!$X$3</f>
        <v>Appliances</v>
      </c>
      <c r="E302" s="1772">
        <f>SUMIFS(Table378910111213[Total],Table378910111213[Category],$D302,Table378910111213[Check],HIDE5!$Q$3)</f>
        <v>0</v>
      </c>
      <c r="F302" s="586" t="str">
        <f>HIDE5!$X$7</f>
        <v>Lighting</v>
      </c>
      <c r="G302" s="1772">
        <f>SUMIFS(Table378910111213[Total],Table378910111213[Category],$F302,Table378910111213[Check],HIDE5!$Q$3)</f>
        <v>0</v>
      </c>
      <c r="H302" s="1771"/>
      <c r="I302" s="1771"/>
      <c r="J302" s="1771"/>
      <c r="K302" s="1771"/>
      <c r="L302" s="1771"/>
      <c r="M302" s="1773">
        <f>SUMIF(Table378910111213[P1],HIDE5!$Q$3,Table378910111213[Total])</f>
        <v>0</v>
      </c>
      <c r="N302" s="1773">
        <f>SUMIF(Table378910111213[P2],HIDE5!$Q$3,Table378910111213[Total])</f>
        <v>0</v>
      </c>
      <c r="O302" s="1773">
        <f>SUMIF(Table378910111213[P3],HIDE5!$Q$3,Table378910111213[Total])</f>
        <v>0</v>
      </c>
      <c r="P302" s="1773">
        <f>SUMIF(Table378910111213[P4],HIDE5!$Q$3,Table378910111213[Total])</f>
        <v>0</v>
      </c>
      <c r="Q302" s="1773">
        <f>SUMIF(Table378910111213[P5],HIDE5!$Q$3,Table378910111213[Total])</f>
        <v>0</v>
      </c>
      <c r="R302" s="576"/>
      <c r="S302" s="567"/>
    </row>
    <row r="303" spans="1:25" ht="15" customHeight="1" outlineLevel="1" x14ac:dyDescent="0.25">
      <c r="B303" s="559"/>
      <c r="C303" s="1768"/>
      <c r="D303" s="586" t="str">
        <f>HIDE5!$X$4</f>
        <v>Furniture</v>
      </c>
      <c r="E303" s="1772">
        <f>SUMIFS(Table378910111213[Total],Table378910111213[Category],$D303,Table378910111213[Check],HIDE5!$Q$3)</f>
        <v>0</v>
      </c>
      <c r="F303" s="586" t="str">
        <f>HIDE5!$X$8</f>
        <v>Electronics</v>
      </c>
      <c r="G303" s="1772">
        <f>SUMIFS(Table378910111213[Total],Table378910111213[Category],$F303,Table378910111213[Check],HIDE5!$Q$3)</f>
        <v>0</v>
      </c>
      <c r="H303" s="1771"/>
      <c r="I303" s="1771"/>
      <c r="J303" s="1771"/>
      <c r="K303" s="1771"/>
      <c r="L303" s="1771"/>
      <c r="M303" s="1771"/>
      <c r="N303" s="1771"/>
      <c r="O303" s="1771"/>
      <c r="P303" s="1771"/>
      <c r="Q303" s="1771"/>
      <c r="R303" s="576"/>
      <c r="S303" s="567"/>
    </row>
    <row r="304" spans="1:25" s="558" customFormat="1" ht="15" customHeight="1" outlineLevel="1" x14ac:dyDescent="0.25">
      <c r="A304" s="274"/>
      <c r="B304" s="559"/>
      <c r="C304" s="1768"/>
      <c r="D304" s="586" t="str">
        <f>HIDE5!$X$5</f>
        <v>Kitchenware</v>
      </c>
      <c r="E304" s="1772">
        <f>SUMIFS(Table378910111213[Total],Table378910111213[Category],$D304,Table378910111213[Check],HIDE5!$Q$3)</f>
        <v>0</v>
      </c>
      <c r="F304" s="586" t="str">
        <f>HIDE5!$X$10</f>
        <v>Accessories</v>
      </c>
      <c r="G304" s="1772">
        <f>SUMIFS(Table378910111213[Total],Table378910111213[Category],$F304,Table378910111213[Check],HIDE5!$Q$3)</f>
        <v>0</v>
      </c>
      <c r="H304" s="1771"/>
      <c r="I304" s="1771"/>
      <c r="J304" s="1771"/>
      <c r="K304" s="1771"/>
      <c r="L304" s="1771"/>
      <c r="M304" s="1771"/>
      <c r="N304" s="1771"/>
      <c r="O304" s="1771"/>
      <c r="P304" s="1771"/>
      <c r="Q304" s="1771"/>
      <c r="R304" s="576"/>
      <c r="S304" s="567"/>
      <c r="T304" s="274"/>
      <c r="U304" s="274"/>
      <c r="V304" s="274"/>
      <c r="W304" s="274"/>
      <c r="X304" s="274"/>
      <c r="Y304" s="274"/>
    </row>
    <row r="305" spans="1:25" outlineLevel="1" x14ac:dyDescent="0.25">
      <c r="A305" s="558"/>
      <c r="B305" s="559"/>
      <c r="C305" s="1768"/>
      <c r="D305" s="586" t="str">
        <f>HIDE5!$X$6</f>
        <v>Bedding</v>
      </c>
      <c r="E305" s="1772">
        <f>SUMIFS(Table378910111213[Total],Table378910111213[Category],$D305,Table378910111213[Check],HIDE5!$Q$3)</f>
        <v>0</v>
      </c>
      <c r="F305" s="586" t="str">
        <f>HIDE5!$X$11</f>
        <v>Decor</v>
      </c>
      <c r="G305" s="1772">
        <f>SUMIFS(Table378910111213[Total],Table378910111213[Category],$F305,Table378910111213[Check],HIDE5!$Q$3)</f>
        <v>0</v>
      </c>
      <c r="H305" s="1771"/>
      <c r="I305" s="1771"/>
      <c r="J305" s="1771"/>
      <c r="K305" s="1771"/>
      <c r="L305" s="1771"/>
      <c r="M305" s="1771"/>
      <c r="N305" s="1771"/>
      <c r="O305" s="1771"/>
      <c r="P305" s="1771"/>
      <c r="Q305" s="1771"/>
      <c r="R305" s="576"/>
      <c r="S305" s="567"/>
    </row>
    <row r="306" spans="1:25" s="558" customFormat="1" ht="15" customHeight="1" outlineLevel="1" x14ac:dyDescent="0.25">
      <c r="A306" s="274"/>
      <c r="B306" s="559"/>
      <c r="C306" s="1772"/>
      <c r="D306" s="1772"/>
      <c r="E306" s="1772"/>
      <c r="F306" s="1772"/>
      <c r="G306" s="1772"/>
      <c r="H306" s="1771"/>
      <c r="I306" s="1771"/>
      <c r="J306" s="1771"/>
      <c r="K306" s="1771"/>
      <c r="L306" s="1771"/>
      <c r="M306" s="1771"/>
      <c r="N306" s="1771"/>
      <c r="O306" s="1771"/>
      <c r="P306" s="1771"/>
      <c r="Q306" s="1771"/>
      <c r="R306" s="576"/>
      <c r="S306" s="567"/>
    </row>
    <row r="307" spans="1:25" s="558" customFormat="1" ht="15" customHeight="1" outlineLevel="1" x14ac:dyDescent="0.25">
      <c r="B307" s="559"/>
      <c r="C307" s="1772"/>
      <c r="D307" s="591" t="s">
        <v>696</v>
      </c>
      <c r="E307" s="1774">
        <f>IFERROR(SUM(E302:E305,G302:G305),0)</f>
        <v>0</v>
      </c>
      <c r="F307" s="1771"/>
      <c r="G307" s="1771"/>
      <c r="H307" s="1771"/>
      <c r="I307" s="1771"/>
      <c r="J307" s="1771"/>
      <c r="K307" s="1771"/>
      <c r="L307" s="1771"/>
      <c r="M307" s="1771"/>
      <c r="N307" s="1771"/>
      <c r="O307" s="1771"/>
      <c r="P307" s="1772"/>
      <c r="Q307" s="1772"/>
      <c r="R307" s="577"/>
      <c r="S307" s="567"/>
      <c r="T307" s="274"/>
      <c r="U307" s="274"/>
      <c r="V307" s="274"/>
      <c r="W307" s="274"/>
      <c r="X307" s="274"/>
      <c r="Y307" s="274"/>
    </row>
    <row r="308" spans="1:25" ht="15" customHeight="1" x14ac:dyDescent="0.25">
      <c r="A308" s="558"/>
      <c r="B308" s="575"/>
      <c r="C308" s="9"/>
      <c r="D308" s="9"/>
      <c r="E308" s="9"/>
      <c r="F308" s="9"/>
      <c r="G308" s="9"/>
      <c r="H308" s="9"/>
      <c r="I308" s="9"/>
      <c r="J308" s="9"/>
      <c r="K308" s="9"/>
      <c r="L308" s="9"/>
      <c r="M308" s="9"/>
      <c r="N308" s="9"/>
      <c r="O308" s="9"/>
      <c r="P308" s="9"/>
      <c r="Q308" s="9"/>
      <c r="R308" s="9"/>
      <c r="S308" s="567"/>
      <c r="T308" s="558"/>
      <c r="U308" s="558"/>
      <c r="V308" s="558"/>
      <c r="W308" s="558"/>
      <c r="X308" s="558"/>
      <c r="Y308" s="558"/>
    </row>
    <row r="309" spans="1:25" x14ac:dyDescent="0.25">
      <c r="B309" s="561"/>
      <c r="C309" s="578"/>
      <c r="D309" s="578"/>
      <c r="E309" s="578"/>
      <c r="F309" s="578"/>
      <c r="G309" s="578"/>
      <c r="H309" s="578"/>
      <c r="I309" s="578"/>
      <c r="J309" s="578"/>
      <c r="K309" s="578"/>
      <c r="L309" s="578"/>
      <c r="M309" s="579"/>
      <c r="N309" s="579"/>
      <c r="O309" s="579"/>
      <c r="P309" s="579"/>
      <c r="Q309" s="579"/>
      <c r="R309" s="579"/>
      <c r="S309" s="580"/>
      <c r="T309" s="558"/>
      <c r="U309" s="558"/>
      <c r="V309" s="558"/>
      <c r="W309" s="558"/>
      <c r="X309" s="558"/>
      <c r="Y309" s="558"/>
    </row>
    <row r="310" spans="1:25" outlineLevel="1" x14ac:dyDescent="0.25"/>
    <row r="311" spans="1:25" outlineLevel="1" x14ac:dyDescent="0.25">
      <c r="B311" s="562">
        <v>9</v>
      </c>
      <c r="C311" s="563" t="str">
        <f>UPPER(DASHBOARD!$W$71)</f>
        <v>BATHROOM #2</v>
      </c>
      <c r="D311" s="564"/>
      <c r="E311" s="564"/>
      <c r="F311" s="564"/>
      <c r="G311" s="564"/>
      <c r="H311" s="564"/>
      <c r="I311" s="564"/>
      <c r="J311" s="564"/>
      <c r="K311" s="564"/>
      <c r="L311" s="564"/>
      <c r="M311" s="564"/>
      <c r="N311" s="564"/>
      <c r="O311" s="564"/>
      <c r="P311" s="564"/>
      <c r="Q311" s="564"/>
      <c r="R311" s="564"/>
      <c r="S311" s="565"/>
    </row>
    <row r="312" spans="1:25" outlineLevel="1" x14ac:dyDescent="0.25">
      <c r="B312" s="559"/>
      <c r="C312" s="9"/>
      <c r="D312" s="9"/>
      <c r="E312" s="9"/>
      <c r="F312" s="9"/>
      <c r="G312" s="9"/>
      <c r="H312" s="9"/>
      <c r="I312" s="9"/>
      <c r="J312" s="9"/>
      <c r="K312" s="9"/>
      <c r="L312" s="9"/>
      <c r="M312" s="9"/>
      <c r="N312" s="9"/>
      <c r="O312" s="9"/>
      <c r="P312" s="9"/>
      <c r="Q312" s="9"/>
      <c r="R312" s="9"/>
      <c r="S312" s="560"/>
    </row>
    <row r="313" spans="1:25" ht="15.75" customHeight="1" outlineLevel="1" x14ac:dyDescent="0.25">
      <c r="B313" s="559"/>
      <c r="C313" s="566">
        <v>1</v>
      </c>
      <c r="D313" s="380" t="s">
        <v>1147</v>
      </c>
      <c r="E313" s="537"/>
      <c r="F313" s="537"/>
      <c r="G313" s="537"/>
      <c r="H313" s="537"/>
      <c r="I313" s="537"/>
      <c r="J313" s="537"/>
      <c r="K313" s="537"/>
      <c r="L313" s="537"/>
      <c r="M313" s="568"/>
      <c r="N313" s="569"/>
      <c r="O313" s="569"/>
      <c r="P313" s="570"/>
      <c r="Q313" s="569"/>
      <c r="R313" s="569"/>
      <c r="S313" s="567"/>
    </row>
    <row r="314" spans="1:25" outlineLevel="1" x14ac:dyDescent="0.25">
      <c r="B314" s="559"/>
      <c r="C314" s="571"/>
      <c r="D314" s="572"/>
      <c r="E314" s="572"/>
      <c r="F314" s="572"/>
      <c r="G314" s="572"/>
      <c r="H314" s="572"/>
      <c r="I314" s="572"/>
      <c r="J314" s="573"/>
      <c r="K314" s="573"/>
      <c r="L314" s="573"/>
      <c r="M314" s="573"/>
      <c r="N314" s="573"/>
      <c r="O314" s="572"/>
      <c r="P314" s="571"/>
      <c r="Q314" s="574"/>
      <c r="R314" s="585"/>
      <c r="S314" s="567"/>
    </row>
    <row r="315" spans="1:25" outlineLevel="1" x14ac:dyDescent="0.25">
      <c r="B315" s="559"/>
      <c r="C315" s="571"/>
      <c r="D315" s="572"/>
      <c r="E315" s="572"/>
      <c r="F315" s="572"/>
      <c r="G315" s="572"/>
      <c r="H315" s="572"/>
      <c r="I315" s="572"/>
      <c r="J315" s="573"/>
      <c r="K315" s="573"/>
      <c r="L315" s="84"/>
      <c r="M315" s="2580" t="s">
        <v>719</v>
      </c>
      <c r="N315" s="2581"/>
      <c r="O315" s="2581"/>
      <c r="P315" s="2581"/>
      <c r="Q315" s="2581"/>
      <c r="R315" s="589"/>
      <c r="S315" s="567"/>
    </row>
    <row r="316" spans="1:25" outlineLevel="1" x14ac:dyDescent="0.25">
      <c r="B316" s="559"/>
      <c r="C316" s="571"/>
      <c r="D316" s="590" t="s">
        <v>633</v>
      </c>
      <c r="E316" s="587" t="s">
        <v>697</v>
      </c>
      <c r="F316" s="587" t="s">
        <v>438</v>
      </c>
      <c r="G316" s="587" t="s">
        <v>698</v>
      </c>
      <c r="H316" s="587" t="s">
        <v>662</v>
      </c>
      <c r="I316" s="587" t="s">
        <v>699</v>
      </c>
      <c r="J316" s="587" t="s">
        <v>20</v>
      </c>
      <c r="K316" s="587" t="s">
        <v>695</v>
      </c>
      <c r="L316" s="592" t="s">
        <v>716</v>
      </c>
      <c r="M316" s="588" t="s">
        <v>700</v>
      </c>
      <c r="N316" s="588" t="s">
        <v>701</v>
      </c>
      <c r="O316" s="588" t="s">
        <v>702</v>
      </c>
      <c r="P316" s="588" t="s">
        <v>703</v>
      </c>
      <c r="Q316" s="588" t="s">
        <v>704</v>
      </c>
      <c r="R316" s="588" t="s">
        <v>124</v>
      </c>
      <c r="S316" s="567"/>
    </row>
    <row r="317" spans="1:25" ht="14.4" outlineLevel="1" x14ac:dyDescent="0.25">
      <c r="B317" s="559"/>
      <c r="C317" s="571"/>
      <c r="D317" s="1752"/>
      <c r="E317" s="1737"/>
      <c r="F317" s="1737"/>
      <c r="G317" s="1737"/>
      <c r="H317" s="1737"/>
      <c r="I317" s="1737"/>
      <c r="J317" s="1702">
        <f>Table37891011121314[[#This Row],[Quantity]]*Table37891011121314[[#This Row],[Unit Price]]</f>
        <v>0</v>
      </c>
      <c r="K317" s="1737"/>
      <c r="L317" s="1753"/>
      <c r="M317" s="1754"/>
      <c r="N317" s="1754"/>
      <c r="O317" s="1754"/>
      <c r="P317" s="1754"/>
      <c r="Q317" s="1754"/>
      <c r="R317" s="594" cm="1">
        <f t="array" ref="R317">INDEX(Table37891011121314[[#This Row],[P1]:[P5]],1,$H$34)</f>
        <v>0</v>
      </c>
      <c r="S317" s="567"/>
    </row>
    <row r="318" spans="1:25" ht="15" customHeight="1" outlineLevel="1" x14ac:dyDescent="0.25">
      <c r="B318" s="559"/>
      <c r="C318" s="571"/>
      <c r="D318" s="1752"/>
      <c r="E318" s="1737"/>
      <c r="F318" s="1737"/>
      <c r="G318" s="1737"/>
      <c r="H318" s="1737"/>
      <c r="I318" s="1737"/>
      <c r="J318" s="1702">
        <f>Table37891011121314[[#This Row],[Quantity]]*Table37891011121314[[#This Row],[Unit Price]]</f>
        <v>0</v>
      </c>
      <c r="K318" s="1737"/>
      <c r="L318" s="1755"/>
      <c r="M318" s="1754"/>
      <c r="N318" s="1754"/>
      <c r="O318" s="1754"/>
      <c r="P318" s="1754"/>
      <c r="Q318" s="1754"/>
      <c r="R318" s="595" cm="1">
        <f t="array" ref="R318">INDEX(Table37891011121314[[#This Row],[P1]:[P5]],1,$H$34)</f>
        <v>0</v>
      </c>
      <c r="S318" s="567"/>
    </row>
    <row r="319" spans="1:25" ht="15" customHeight="1" outlineLevel="1" x14ac:dyDescent="0.25">
      <c r="B319" s="559"/>
      <c r="C319" s="571"/>
      <c r="D319" s="1752"/>
      <c r="E319" s="1737"/>
      <c r="F319" s="1737"/>
      <c r="G319" s="1737"/>
      <c r="H319" s="1737"/>
      <c r="I319" s="1737"/>
      <c r="J319" s="1702">
        <f>Table37891011121314[[#This Row],[Quantity]]*Table37891011121314[[#This Row],[Unit Price]]</f>
        <v>0</v>
      </c>
      <c r="K319" s="1737"/>
      <c r="L319" s="1755"/>
      <c r="M319" s="1754"/>
      <c r="N319" s="1754"/>
      <c r="O319" s="1754"/>
      <c r="P319" s="1754"/>
      <c r="Q319" s="1754"/>
      <c r="R319" s="595" cm="1">
        <f t="array" ref="R319">INDEX(Table37891011121314[[#This Row],[P1]:[P5]],1,$H$34)</f>
        <v>0</v>
      </c>
      <c r="S319" s="567"/>
    </row>
    <row r="320" spans="1:25" ht="15" customHeight="1" outlineLevel="1" x14ac:dyDescent="0.25">
      <c r="B320" s="559"/>
      <c r="C320" s="571"/>
      <c r="D320" s="1752"/>
      <c r="E320" s="1737"/>
      <c r="F320" s="1737"/>
      <c r="G320" s="1737"/>
      <c r="H320" s="1737"/>
      <c r="I320" s="1737"/>
      <c r="J320" s="1702">
        <f>Table37891011121314[[#This Row],[Quantity]]*Table37891011121314[[#This Row],[Unit Price]]</f>
        <v>0</v>
      </c>
      <c r="K320" s="1737"/>
      <c r="L320" s="1753"/>
      <c r="M320" s="1754"/>
      <c r="N320" s="1754"/>
      <c r="O320" s="1754"/>
      <c r="P320" s="1754"/>
      <c r="Q320" s="1754"/>
      <c r="R320" s="595" cm="1">
        <f t="array" ref="R320">INDEX(Table37891011121314[[#This Row],[P1]:[P5]],1,$H$34)</f>
        <v>0</v>
      </c>
      <c r="S320" s="567"/>
    </row>
    <row r="321" spans="1:25" ht="15" customHeight="1" outlineLevel="1" x14ac:dyDescent="0.25">
      <c r="B321" s="559"/>
      <c r="C321" s="571"/>
      <c r="D321" s="1752"/>
      <c r="E321" s="1737"/>
      <c r="F321" s="1737"/>
      <c r="G321" s="1737"/>
      <c r="H321" s="1737"/>
      <c r="I321" s="1737"/>
      <c r="J321" s="1702">
        <f>Table37891011121314[[#This Row],[Quantity]]*Table37891011121314[[#This Row],[Unit Price]]</f>
        <v>0</v>
      </c>
      <c r="K321" s="1737"/>
      <c r="L321" s="1755"/>
      <c r="M321" s="1754"/>
      <c r="N321" s="1754"/>
      <c r="O321" s="1754"/>
      <c r="P321" s="1754"/>
      <c r="Q321" s="1754"/>
      <c r="R321" s="595" cm="1">
        <f t="array" ref="R321">INDEX(Table37891011121314[[#This Row],[P1]:[P5]],1,$H$34)</f>
        <v>0</v>
      </c>
      <c r="S321" s="567"/>
    </row>
    <row r="322" spans="1:25" ht="15" customHeight="1" outlineLevel="1" x14ac:dyDescent="0.25">
      <c r="B322" s="559"/>
      <c r="C322" s="571"/>
      <c r="D322" s="1752"/>
      <c r="E322" s="1737"/>
      <c r="F322" s="1737"/>
      <c r="G322" s="1737"/>
      <c r="H322" s="1737"/>
      <c r="I322" s="1737"/>
      <c r="J322" s="1702">
        <f>Table37891011121314[[#This Row],[Quantity]]*Table37891011121314[[#This Row],[Unit Price]]</f>
        <v>0</v>
      </c>
      <c r="K322" s="1737"/>
      <c r="L322" s="1755"/>
      <c r="M322" s="1754"/>
      <c r="N322" s="1754"/>
      <c r="O322" s="1754"/>
      <c r="P322" s="1754"/>
      <c r="Q322" s="1754"/>
      <c r="R322" s="595" cm="1">
        <f t="array" ref="R322">INDEX(Table37891011121314[[#This Row],[P1]:[P5]],1,$H$34)</f>
        <v>0</v>
      </c>
      <c r="S322" s="567"/>
    </row>
    <row r="323" spans="1:25" s="276" customFormat="1" ht="15" customHeight="1" outlineLevel="1" x14ac:dyDescent="0.25">
      <c r="A323" s="274"/>
      <c r="B323" s="559"/>
      <c r="C323" s="571"/>
      <c r="D323" s="1752"/>
      <c r="E323" s="1737"/>
      <c r="F323" s="1737"/>
      <c r="G323" s="1737"/>
      <c r="H323" s="1737"/>
      <c r="I323" s="1737"/>
      <c r="J323" s="1702">
        <f>Table37891011121314[[#This Row],[Quantity]]*Table37891011121314[[#This Row],[Unit Price]]</f>
        <v>0</v>
      </c>
      <c r="K323" s="1737"/>
      <c r="L323" s="1755"/>
      <c r="M323" s="1754"/>
      <c r="N323" s="1754"/>
      <c r="O323" s="1754"/>
      <c r="P323" s="1754"/>
      <c r="Q323" s="1754"/>
      <c r="R323" s="595" cm="1">
        <f t="array" ref="R323">INDEX(Table37891011121314[[#This Row],[P1]:[P5]],1,$H$34)</f>
        <v>0</v>
      </c>
      <c r="S323" s="567"/>
      <c r="T323" s="274"/>
      <c r="U323" s="274"/>
      <c r="V323" s="274"/>
      <c r="W323" s="274"/>
      <c r="X323" s="274"/>
      <c r="Y323" s="274"/>
    </row>
    <row r="324" spans="1:25" s="276" customFormat="1" ht="15" customHeight="1" outlineLevel="1" x14ac:dyDescent="0.25">
      <c r="B324" s="559"/>
      <c r="C324" s="571"/>
      <c r="D324" s="1752"/>
      <c r="E324" s="1737"/>
      <c r="F324" s="1737"/>
      <c r="G324" s="1737"/>
      <c r="H324" s="1737"/>
      <c r="I324" s="1737"/>
      <c r="J324" s="1702">
        <f>Table37891011121314[[#This Row],[Quantity]]*Table37891011121314[[#This Row],[Unit Price]]</f>
        <v>0</v>
      </c>
      <c r="K324" s="1737"/>
      <c r="L324" s="1755"/>
      <c r="M324" s="1754"/>
      <c r="N324" s="1754"/>
      <c r="O324" s="1754"/>
      <c r="P324" s="1754"/>
      <c r="Q324" s="1754"/>
      <c r="R324" s="595" cm="1">
        <f t="array" ref="R324">INDEX(Table37891011121314[[#This Row],[P1]:[P5]],1,$H$34)</f>
        <v>0</v>
      </c>
      <c r="S324" s="567"/>
      <c r="T324" s="274"/>
      <c r="U324" s="274"/>
      <c r="V324" s="274"/>
      <c r="W324" s="274"/>
      <c r="X324" s="274"/>
      <c r="Y324" s="274"/>
    </row>
    <row r="325" spans="1:25" s="276" customFormat="1" ht="15" customHeight="1" outlineLevel="1" x14ac:dyDescent="0.25">
      <c r="B325" s="559"/>
      <c r="C325" s="571"/>
      <c r="D325" s="1752"/>
      <c r="E325" s="1737"/>
      <c r="F325" s="1737"/>
      <c r="G325" s="1737"/>
      <c r="H325" s="1737"/>
      <c r="I325" s="1737"/>
      <c r="J325" s="1702">
        <f>Table37891011121314[[#This Row],[Quantity]]*Table37891011121314[[#This Row],[Unit Price]]</f>
        <v>0</v>
      </c>
      <c r="K325" s="1737"/>
      <c r="L325" s="1755"/>
      <c r="M325" s="1754"/>
      <c r="N325" s="1754"/>
      <c r="O325" s="1754"/>
      <c r="P325" s="1754"/>
      <c r="Q325" s="1754"/>
      <c r="R325" s="595" cm="1">
        <f t="array" ref="R325">INDEX(Table37891011121314[[#This Row],[P1]:[P5]],1,$H$34)</f>
        <v>0</v>
      </c>
      <c r="S325" s="567"/>
    </row>
    <row r="326" spans="1:25" s="276" customFormat="1" ht="15" customHeight="1" outlineLevel="1" x14ac:dyDescent="0.25">
      <c r="B326" s="559"/>
      <c r="C326" s="571"/>
      <c r="D326" s="1752"/>
      <c r="E326" s="1737"/>
      <c r="F326" s="1737"/>
      <c r="G326" s="1737"/>
      <c r="H326" s="1737"/>
      <c r="I326" s="1737"/>
      <c r="J326" s="1702">
        <f>Table37891011121314[[#This Row],[Quantity]]*Table37891011121314[[#This Row],[Unit Price]]</f>
        <v>0</v>
      </c>
      <c r="K326" s="1737"/>
      <c r="L326" s="1755"/>
      <c r="M326" s="1754"/>
      <c r="N326" s="1754"/>
      <c r="O326" s="1754"/>
      <c r="P326" s="1754"/>
      <c r="Q326" s="1754"/>
      <c r="R326" s="595" cm="1">
        <f t="array" ref="R326">INDEX(Table37891011121314[[#This Row],[P1]:[P5]],1,$H$34)</f>
        <v>0</v>
      </c>
      <c r="S326" s="567"/>
    </row>
    <row r="327" spans="1:25" s="276" customFormat="1" ht="15" customHeight="1" outlineLevel="1" x14ac:dyDescent="0.25">
      <c r="B327" s="559"/>
      <c r="C327" s="571"/>
      <c r="D327" s="1752"/>
      <c r="E327" s="1737"/>
      <c r="F327" s="1737"/>
      <c r="G327" s="1737"/>
      <c r="H327" s="1737"/>
      <c r="I327" s="1737"/>
      <c r="J327" s="1702">
        <f>Table37891011121314[[#This Row],[Quantity]]*Table37891011121314[[#This Row],[Unit Price]]</f>
        <v>0</v>
      </c>
      <c r="K327" s="1737"/>
      <c r="L327" s="1753"/>
      <c r="M327" s="1754"/>
      <c r="N327" s="1754"/>
      <c r="O327" s="1754"/>
      <c r="P327" s="1754"/>
      <c r="Q327" s="1754"/>
      <c r="R327" s="595" cm="1">
        <f t="array" ref="R327">INDEX(Table37891011121314[[#This Row],[P1]:[P5]],1,$H$34)</f>
        <v>0</v>
      </c>
      <c r="S327" s="567"/>
    </row>
    <row r="328" spans="1:25" s="276" customFormat="1" ht="15" customHeight="1" outlineLevel="1" x14ac:dyDescent="0.25">
      <c r="B328" s="559"/>
      <c r="C328" s="571"/>
      <c r="D328" s="1752"/>
      <c r="E328" s="1737"/>
      <c r="F328" s="1737"/>
      <c r="G328" s="1737"/>
      <c r="H328" s="1737"/>
      <c r="I328" s="1737"/>
      <c r="J328" s="1702">
        <f>Table37891011121314[[#This Row],[Quantity]]*Table37891011121314[[#This Row],[Unit Price]]</f>
        <v>0</v>
      </c>
      <c r="K328" s="1737"/>
      <c r="L328" s="1755"/>
      <c r="M328" s="1754"/>
      <c r="N328" s="1754"/>
      <c r="O328" s="1754"/>
      <c r="P328" s="1754"/>
      <c r="Q328" s="1754"/>
      <c r="R328" s="595" cm="1">
        <f t="array" ref="R328">INDEX(Table37891011121314[[#This Row],[P1]:[P5]],1,$H$34)</f>
        <v>0</v>
      </c>
      <c r="S328" s="567"/>
    </row>
    <row r="329" spans="1:25" s="276" customFormat="1" ht="15" customHeight="1" outlineLevel="1" x14ac:dyDescent="0.25">
      <c r="B329" s="559"/>
      <c r="C329" s="571"/>
      <c r="D329" s="1752"/>
      <c r="E329" s="1737"/>
      <c r="F329" s="1737"/>
      <c r="G329" s="1737"/>
      <c r="H329" s="1737"/>
      <c r="I329" s="1737"/>
      <c r="J329" s="1702">
        <f>Table37891011121314[[#This Row],[Quantity]]*Table37891011121314[[#This Row],[Unit Price]]</f>
        <v>0</v>
      </c>
      <c r="K329" s="1737"/>
      <c r="L329" s="1755"/>
      <c r="M329" s="1754"/>
      <c r="N329" s="1754"/>
      <c r="O329" s="1754"/>
      <c r="P329" s="1754"/>
      <c r="Q329" s="1754"/>
      <c r="R329" s="595" cm="1">
        <f t="array" ref="R329">INDEX(Table37891011121314[[#This Row],[P1]:[P5]],1,$H$34)</f>
        <v>0</v>
      </c>
      <c r="S329" s="567"/>
    </row>
    <row r="330" spans="1:25" outlineLevel="1" x14ac:dyDescent="0.25">
      <c r="A330" s="276"/>
      <c r="B330" s="559"/>
      <c r="C330" s="571"/>
      <c r="D330" s="1752"/>
      <c r="E330" s="1737"/>
      <c r="F330" s="1737"/>
      <c r="G330" s="1737"/>
      <c r="H330" s="1737"/>
      <c r="I330" s="1737"/>
      <c r="J330" s="1702">
        <f>Table37891011121314[[#This Row],[Quantity]]*Table37891011121314[[#This Row],[Unit Price]]</f>
        <v>0</v>
      </c>
      <c r="K330" s="1737"/>
      <c r="L330" s="1755"/>
      <c r="M330" s="1754"/>
      <c r="N330" s="1754"/>
      <c r="O330" s="1754"/>
      <c r="P330" s="1754"/>
      <c r="Q330" s="1754"/>
      <c r="R330" s="595" cm="1">
        <f t="array" ref="R330">INDEX(Table37891011121314[[#This Row],[P1]:[P5]],1,$H$34)</f>
        <v>0</v>
      </c>
      <c r="S330" s="567"/>
      <c r="T330" s="276"/>
      <c r="U330" s="276"/>
      <c r="V330" s="276"/>
      <c r="W330" s="276"/>
      <c r="X330" s="276"/>
      <c r="Y330" s="276"/>
    </row>
    <row r="331" spans="1:25" outlineLevel="1" x14ac:dyDescent="0.25">
      <c r="B331" s="559"/>
      <c r="C331" s="571"/>
      <c r="D331" s="1752"/>
      <c r="E331" s="1737"/>
      <c r="F331" s="1737"/>
      <c r="G331" s="1737"/>
      <c r="H331" s="1737"/>
      <c r="I331" s="1737"/>
      <c r="J331" s="1702">
        <f>Table37891011121314[[#This Row],[Quantity]]*Table37891011121314[[#This Row],[Unit Price]]</f>
        <v>0</v>
      </c>
      <c r="K331" s="1737"/>
      <c r="L331" s="1755"/>
      <c r="M331" s="1754"/>
      <c r="N331" s="1754"/>
      <c r="O331" s="1754"/>
      <c r="P331" s="1754"/>
      <c r="Q331" s="1754"/>
      <c r="R331" s="595" cm="1">
        <f t="array" ref="R331">INDEX(Table37891011121314[[#This Row],[P1]:[P5]],1,$H$34)</f>
        <v>0</v>
      </c>
      <c r="S331" s="567"/>
      <c r="T331" s="276"/>
      <c r="U331" s="276"/>
      <c r="V331" s="276"/>
      <c r="W331" s="276"/>
      <c r="X331" s="276"/>
      <c r="Y331" s="276"/>
    </row>
    <row r="332" spans="1:25" outlineLevel="1" x14ac:dyDescent="0.25">
      <c r="B332" s="559"/>
      <c r="C332" s="571"/>
      <c r="D332" s="1752"/>
      <c r="E332" s="1737"/>
      <c r="F332" s="1737"/>
      <c r="G332" s="1737"/>
      <c r="H332" s="1737"/>
      <c r="I332" s="1737"/>
      <c r="J332" s="1702">
        <f>Table37891011121314[[#This Row],[Quantity]]*Table37891011121314[[#This Row],[Unit Price]]</f>
        <v>0</v>
      </c>
      <c r="K332" s="1737"/>
      <c r="L332" s="1755"/>
      <c r="M332" s="1754"/>
      <c r="N332" s="1754"/>
      <c r="O332" s="1754"/>
      <c r="P332" s="1754"/>
      <c r="Q332" s="1754"/>
      <c r="R332" s="595" cm="1">
        <f t="array" ref="R332">INDEX(Table37891011121314[[#This Row],[P1]:[P5]],1,$H$34)</f>
        <v>0</v>
      </c>
      <c r="S332" s="567"/>
    </row>
    <row r="333" spans="1:25" outlineLevel="1" x14ac:dyDescent="0.25">
      <c r="B333" s="559"/>
      <c r="C333" s="571"/>
      <c r="D333" s="1752"/>
      <c r="E333" s="1737"/>
      <c r="F333" s="1737"/>
      <c r="G333" s="1737"/>
      <c r="H333" s="1737"/>
      <c r="I333" s="1737"/>
      <c r="J333" s="1702">
        <f>Table37891011121314[[#This Row],[Quantity]]*Table37891011121314[[#This Row],[Unit Price]]</f>
        <v>0</v>
      </c>
      <c r="K333" s="1737"/>
      <c r="L333" s="1755"/>
      <c r="M333" s="1754"/>
      <c r="N333" s="1754"/>
      <c r="O333" s="1754"/>
      <c r="P333" s="1754"/>
      <c r="Q333" s="1754"/>
      <c r="R333" s="595" cm="1">
        <f t="array" ref="R333">INDEX(Table37891011121314[[#This Row],[P1]:[P5]],1,$H$34)</f>
        <v>0</v>
      </c>
      <c r="S333" s="567"/>
    </row>
    <row r="334" spans="1:25" outlineLevel="1" x14ac:dyDescent="0.25">
      <c r="B334" s="559"/>
      <c r="C334" s="571"/>
      <c r="D334" s="1752"/>
      <c r="E334" s="1737"/>
      <c r="F334" s="1737"/>
      <c r="G334" s="1737"/>
      <c r="H334" s="1737"/>
      <c r="I334" s="1737"/>
      <c r="J334" s="1702">
        <f>Table37891011121314[[#This Row],[Quantity]]*Table37891011121314[[#This Row],[Unit Price]]</f>
        <v>0</v>
      </c>
      <c r="K334" s="1737"/>
      <c r="L334" s="1755"/>
      <c r="M334" s="1754"/>
      <c r="N334" s="1754"/>
      <c r="O334" s="1754"/>
      <c r="P334" s="1754"/>
      <c r="Q334" s="1754"/>
      <c r="R334" s="595" cm="1">
        <f t="array" ref="R334">INDEX(Table37891011121314[[#This Row],[P1]:[P5]],1,$H$34)</f>
        <v>0</v>
      </c>
      <c r="S334" s="567"/>
    </row>
    <row r="335" spans="1:25" outlineLevel="1" x14ac:dyDescent="0.25">
      <c r="B335" s="559"/>
      <c r="C335" s="571"/>
      <c r="D335" s="1752"/>
      <c r="E335" s="1737"/>
      <c r="F335" s="1737"/>
      <c r="G335" s="1737"/>
      <c r="H335" s="1737"/>
      <c r="I335" s="1737"/>
      <c r="J335" s="1702">
        <f>Table37891011121314[[#This Row],[Quantity]]*Table37891011121314[[#This Row],[Unit Price]]</f>
        <v>0</v>
      </c>
      <c r="K335" s="1737"/>
      <c r="L335" s="1755"/>
      <c r="M335" s="1754"/>
      <c r="N335" s="1754"/>
      <c r="O335" s="1754"/>
      <c r="P335" s="1754"/>
      <c r="Q335" s="1754"/>
      <c r="R335" s="595" cm="1">
        <f t="array" ref="R335">INDEX(Table37891011121314[[#This Row],[P1]:[P5]],1,$H$34)</f>
        <v>0</v>
      </c>
      <c r="S335" s="567"/>
    </row>
    <row r="336" spans="1:25" outlineLevel="1" x14ac:dyDescent="0.25">
      <c r="B336" s="559"/>
      <c r="C336" s="571"/>
      <c r="D336" s="1752"/>
      <c r="E336" s="1737"/>
      <c r="F336" s="1737"/>
      <c r="G336" s="1737"/>
      <c r="H336" s="1737"/>
      <c r="I336" s="1737"/>
      <c r="J336" s="1702">
        <f>Table37891011121314[[#This Row],[Quantity]]*Table37891011121314[[#This Row],[Unit Price]]</f>
        <v>0</v>
      </c>
      <c r="K336" s="1737"/>
      <c r="L336" s="1755"/>
      <c r="M336" s="1754"/>
      <c r="N336" s="1754"/>
      <c r="O336" s="1754"/>
      <c r="P336" s="1754"/>
      <c r="Q336" s="1754"/>
      <c r="R336" s="596" cm="1">
        <f t="array" ref="R336">INDEX(Table37891011121314[[#This Row],[P1]:[P5]],1,$H$34)</f>
        <v>0</v>
      </c>
      <c r="S336" s="567"/>
    </row>
    <row r="337" spans="1:25" outlineLevel="1" x14ac:dyDescent="0.25">
      <c r="B337" s="575"/>
      <c r="C337" s="9"/>
      <c r="D337" s="9"/>
      <c r="E337" s="9"/>
      <c r="F337" s="9"/>
      <c r="G337" s="9"/>
      <c r="H337" s="9"/>
      <c r="I337" s="9"/>
      <c r="J337" s="9"/>
      <c r="K337" s="9"/>
      <c r="L337" s="9"/>
      <c r="M337" s="9"/>
      <c r="N337" s="9"/>
      <c r="O337" s="9"/>
      <c r="P337" s="9"/>
      <c r="Q337" s="9"/>
      <c r="R337" s="9"/>
      <c r="S337" s="567"/>
    </row>
    <row r="338" spans="1:25" outlineLevel="1" x14ac:dyDescent="0.25">
      <c r="B338" s="575"/>
      <c r="C338" s="566">
        <v>2</v>
      </c>
      <c r="D338" s="380" t="s">
        <v>715</v>
      </c>
      <c r="E338" s="537"/>
      <c r="F338" s="593" t="s">
        <v>717</v>
      </c>
      <c r="G338" s="1742" t="s">
        <v>700</v>
      </c>
      <c r="H338" s="1770">
        <f>MATCH(G338,HIDE5!$U$13:$U$17,0)</f>
        <v>1</v>
      </c>
      <c r="I338" s="1771"/>
      <c r="J338" s="1771"/>
      <c r="K338" s="1771"/>
      <c r="L338" s="1771"/>
      <c r="M338" s="380" t="s">
        <v>718</v>
      </c>
      <c r="N338" s="380"/>
      <c r="O338" s="380"/>
      <c r="P338" s="380"/>
      <c r="Q338" s="380"/>
      <c r="R338" s="576"/>
      <c r="S338" s="567"/>
    </row>
    <row r="339" spans="1:25" outlineLevel="1" x14ac:dyDescent="0.25">
      <c r="B339" s="1767"/>
      <c r="C339" s="1768"/>
      <c r="D339" s="1768"/>
      <c r="E339" s="1768"/>
      <c r="F339" s="1768"/>
      <c r="G339" s="1768"/>
      <c r="H339" s="1768"/>
      <c r="I339" s="1768"/>
      <c r="J339" s="1769"/>
      <c r="K339" s="1769"/>
      <c r="L339" s="1769"/>
      <c r="M339" s="597" t="s">
        <v>700</v>
      </c>
      <c r="N339" s="597" t="s">
        <v>701</v>
      </c>
      <c r="O339" s="597" t="s">
        <v>702</v>
      </c>
      <c r="P339" s="597" t="s">
        <v>703</v>
      </c>
      <c r="Q339" s="597" t="s">
        <v>704</v>
      </c>
      <c r="R339" s="576"/>
      <c r="S339" s="567"/>
    </row>
    <row r="340" spans="1:25" outlineLevel="1" x14ac:dyDescent="0.25">
      <c r="B340" s="559"/>
      <c r="C340" s="1768"/>
      <c r="D340" s="586" t="str">
        <f>HIDE5!$X$3</f>
        <v>Appliances</v>
      </c>
      <c r="E340" s="1772">
        <f>SUMIFS(Table37891011121314[Total],Table37891011121314[Category],$D340,Table37891011121314[Check],HIDE5!$Q$3)</f>
        <v>0</v>
      </c>
      <c r="F340" s="586" t="str">
        <f>HIDE5!$X$7</f>
        <v>Lighting</v>
      </c>
      <c r="G340" s="1772">
        <f>SUMIFS(Table37891011121314[Total],Table37891011121314[Category],$F340,Table37891011121314[Check],HIDE5!$Q$3)</f>
        <v>0</v>
      </c>
      <c r="H340" s="1771"/>
      <c r="I340" s="1771"/>
      <c r="J340" s="1771"/>
      <c r="K340" s="1771"/>
      <c r="L340" s="1771"/>
      <c r="M340" s="1773">
        <f>SUMIF(Table37891011121314[P1],HIDE5!$Q$3,Table37891011121314[Total])</f>
        <v>0</v>
      </c>
      <c r="N340" s="1773">
        <f>SUMIF(Table37891011121314[P2],HIDE5!$Q$3,Table37891011121314[Total])</f>
        <v>0</v>
      </c>
      <c r="O340" s="1773">
        <f>SUMIF(Table37891011121314[P3],HIDE5!$Q$3,Table37891011121314[Total])</f>
        <v>0</v>
      </c>
      <c r="P340" s="1773">
        <f>SUMIF(Table37891011121314[P4],HIDE5!$Q$3,Table37891011121314[Total])</f>
        <v>0</v>
      </c>
      <c r="Q340" s="1773">
        <f>SUMIF(Table37891011121314[P5],HIDE5!$Q$3,Table37891011121314[Total])</f>
        <v>0</v>
      </c>
      <c r="R340" s="576"/>
      <c r="S340" s="567"/>
    </row>
    <row r="341" spans="1:25" ht="15" customHeight="1" outlineLevel="1" x14ac:dyDescent="0.25">
      <c r="B341" s="559"/>
      <c r="C341" s="1768"/>
      <c r="D341" s="586" t="str">
        <f>HIDE5!$X$4</f>
        <v>Furniture</v>
      </c>
      <c r="E341" s="1772">
        <f>SUMIFS(Table37891011121314[Total],Table37891011121314[Category],$D341,Table37891011121314[Check],HIDE5!$Q$3)</f>
        <v>0</v>
      </c>
      <c r="F341" s="586" t="str">
        <f>HIDE5!$X$8</f>
        <v>Electronics</v>
      </c>
      <c r="G341" s="1772">
        <f>SUMIFS(Table37891011121314[Total],Table37891011121314[Category],$F341,Table37891011121314[Check],HIDE5!$Q$3)</f>
        <v>0</v>
      </c>
      <c r="H341" s="1771"/>
      <c r="I341" s="1771"/>
      <c r="J341" s="1771"/>
      <c r="K341" s="1771"/>
      <c r="L341" s="1771"/>
      <c r="M341" s="1771"/>
      <c r="N341" s="1771"/>
      <c r="O341" s="1771"/>
      <c r="P341" s="1771"/>
      <c r="Q341" s="1771"/>
      <c r="R341" s="576"/>
      <c r="S341" s="567"/>
    </row>
    <row r="342" spans="1:25" s="558" customFormat="1" ht="15" customHeight="1" outlineLevel="1" x14ac:dyDescent="0.25">
      <c r="A342" s="274"/>
      <c r="B342" s="559"/>
      <c r="C342" s="1768"/>
      <c r="D342" s="586" t="str">
        <f>HIDE5!$X$5</f>
        <v>Kitchenware</v>
      </c>
      <c r="E342" s="1772">
        <f>SUMIFS(Table37891011121314[Total],Table37891011121314[Category],$D342,Table37891011121314[Check],HIDE5!$Q$3)</f>
        <v>0</v>
      </c>
      <c r="F342" s="586" t="str">
        <f>HIDE5!$X$10</f>
        <v>Accessories</v>
      </c>
      <c r="G342" s="1772">
        <f>SUMIFS(Table37891011121314[Total],Table37891011121314[Category],$F342,Table37891011121314[Check],HIDE5!$Q$3)</f>
        <v>0</v>
      </c>
      <c r="H342" s="1771"/>
      <c r="I342" s="1771"/>
      <c r="J342" s="1771"/>
      <c r="K342" s="1771"/>
      <c r="L342" s="1771"/>
      <c r="M342" s="1771"/>
      <c r="N342" s="1771"/>
      <c r="O342" s="1771"/>
      <c r="P342" s="1771"/>
      <c r="Q342" s="1771"/>
      <c r="R342" s="576"/>
      <c r="S342" s="567"/>
      <c r="T342" s="274"/>
      <c r="U342" s="274"/>
      <c r="V342" s="274"/>
      <c r="W342" s="274"/>
      <c r="X342" s="274"/>
      <c r="Y342" s="274"/>
    </row>
    <row r="343" spans="1:25" outlineLevel="1" x14ac:dyDescent="0.25">
      <c r="A343" s="558"/>
      <c r="B343" s="559"/>
      <c r="C343" s="1768"/>
      <c r="D343" s="586" t="str">
        <f>HIDE5!$X$6</f>
        <v>Bedding</v>
      </c>
      <c r="E343" s="1772">
        <f>SUMIFS(Table37891011121314[Total],Table37891011121314[Category],$D343,Table37891011121314[Check],HIDE5!$Q$3)</f>
        <v>0</v>
      </c>
      <c r="F343" s="586" t="str">
        <f>HIDE5!$X$11</f>
        <v>Decor</v>
      </c>
      <c r="G343" s="1772">
        <f>SUMIFS(Table37891011121314[Total],Table37891011121314[Category],$F343,Table37891011121314[Check],HIDE5!$Q$3)</f>
        <v>0</v>
      </c>
      <c r="H343" s="1771"/>
      <c r="I343" s="1771"/>
      <c r="J343" s="1771"/>
      <c r="K343" s="1771"/>
      <c r="L343" s="1771"/>
      <c r="M343" s="1771"/>
      <c r="N343" s="1771"/>
      <c r="O343" s="1771"/>
      <c r="P343" s="1771"/>
      <c r="Q343" s="1771"/>
      <c r="R343" s="576"/>
      <c r="S343" s="567"/>
    </row>
    <row r="344" spans="1:25" s="558" customFormat="1" ht="15" customHeight="1" outlineLevel="1" x14ac:dyDescent="0.25">
      <c r="A344" s="274"/>
      <c r="B344" s="559"/>
      <c r="C344" s="1772"/>
      <c r="D344" s="1772"/>
      <c r="E344" s="1772"/>
      <c r="F344" s="1772"/>
      <c r="G344" s="1772"/>
      <c r="H344" s="1771"/>
      <c r="I344" s="1771"/>
      <c r="J344" s="1771"/>
      <c r="K344" s="1771"/>
      <c r="L344" s="1771"/>
      <c r="M344" s="1771"/>
      <c r="N344" s="1771"/>
      <c r="O344" s="1771"/>
      <c r="P344" s="1771"/>
      <c r="Q344" s="1771"/>
      <c r="R344" s="576"/>
      <c r="S344" s="567"/>
    </row>
    <row r="345" spans="1:25" s="558" customFormat="1" ht="15" customHeight="1" outlineLevel="1" x14ac:dyDescent="0.25">
      <c r="B345" s="559"/>
      <c r="C345" s="1772"/>
      <c r="D345" s="591" t="s">
        <v>696</v>
      </c>
      <c r="E345" s="1774">
        <f>IFERROR(SUM(E340:E343,G340:G343),0)</f>
        <v>0</v>
      </c>
      <c r="F345" s="1771"/>
      <c r="G345" s="1771"/>
      <c r="H345" s="1771"/>
      <c r="I345" s="1771"/>
      <c r="J345" s="1771"/>
      <c r="K345" s="1771"/>
      <c r="L345" s="1771"/>
      <c r="M345" s="1771"/>
      <c r="N345" s="1771"/>
      <c r="O345" s="1771"/>
      <c r="P345" s="1772"/>
      <c r="Q345" s="1772"/>
      <c r="R345" s="577"/>
      <c r="S345" s="567"/>
      <c r="T345" s="274"/>
      <c r="U345" s="274"/>
      <c r="V345" s="274"/>
      <c r="W345" s="274"/>
      <c r="X345" s="274"/>
      <c r="Y345" s="274"/>
    </row>
    <row r="346" spans="1:25" ht="15" customHeight="1" x14ac:dyDescent="0.25">
      <c r="A346" s="558"/>
      <c r="B346" s="575"/>
      <c r="C346" s="9"/>
      <c r="D346" s="9"/>
      <c r="E346" s="9"/>
      <c r="F346" s="9"/>
      <c r="G346" s="9"/>
      <c r="H346" s="9"/>
      <c r="I346" s="9"/>
      <c r="J346" s="9"/>
      <c r="K346" s="9"/>
      <c r="L346" s="9"/>
      <c r="M346" s="9"/>
      <c r="N346" s="9"/>
      <c r="O346" s="9"/>
      <c r="P346" s="9"/>
      <c r="Q346" s="9"/>
      <c r="R346" s="9"/>
      <c r="S346" s="567"/>
      <c r="T346" s="558"/>
      <c r="U346" s="558"/>
      <c r="V346" s="558"/>
      <c r="W346" s="558"/>
      <c r="X346" s="558"/>
      <c r="Y346" s="558"/>
    </row>
    <row r="347" spans="1:25" x14ac:dyDescent="0.25">
      <c r="B347" s="561"/>
      <c r="C347" s="578"/>
      <c r="D347" s="578"/>
      <c r="E347" s="578"/>
      <c r="F347" s="578"/>
      <c r="G347" s="578"/>
      <c r="H347" s="578"/>
      <c r="I347" s="578"/>
      <c r="J347" s="578"/>
      <c r="K347" s="578"/>
      <c r="L347" s="578"/>
      <c r="M347" s="579"/>
      <c r="N347" s="579"/>
      <c r="O347" s="579"/>
      <c r="P347" s="579"/>
      <c r="Q347" s="579"/>
      <c r="R347" s="579"/>
      <c r="S347" s="580"/>
      <c r="T347" s="558"/>
      <c r="U347" s="558"/>
      <c r="V347" s="558"/>
      <c r="W347" s="558"/>
      <c r="X347" s="558"/>
      <c r="Y347" s="558"/>
    </row>
    <row r="348" spans="1:25" outlineLevel="1" x14ac:dyDescent="0.25"/>
    <row r="349" spans="1:25" outlineLevel="1" x14ac:dyDescent="0.25">
      <c r="B349" s="562">
        <v>10</v>
      </c>
      <c r="C349" s="563" t="str">
        <f>UPPER(DASHBOARD!$W$72)</f>
        <v>BATHROOM #3</v>
      </c>
      <c r="D349" s="564"/>
      <c r="E349" s="564"/>
      <c r="F349" s="564"/>
      <c r="G349" s="564"/>
      <c r="H349" s="564"/>
      <c r="I349" s="564"/>
      <c r="J349" s="564"/>
      <c r="K349" s="564"/>
      <c r="L349" s="564"/>
      <c r="M349" s="564"/>
      <c r="N349" s="564"/>
      <c r="O349" s="564"/>
      <c r="P349" s="564"/>
      <c r="Q349" s="564"/>
      <c r="R349" s="564"/>
      <c r="S349" s="565"/>
    </row>
    <row r="350" spans="1:25" outlineLevel="1" x14ac:dyDescent="0.25">
      <c r="B350" s="559"/>
      <c r="C350" s="9"/>
      <c r="D350" s="9"/>
      <c r="E350" s="9"/>
      <c r="F350" s="9"/>
      <c r="G350" s="9"/>
      <c r="H350" s="9"/>
      <c r="I350" s="9"/>
      <c r="J350" s="9"/>
      <c r="K350" s="9"/>
      <c r="L350" s="9"/>
      <c r="M350" s="9"/>
      <c r="N350" s="9"/>
      <c r="O350" s="9"/>
      <c r="P350" s="9"/>
      <c r="Q350" s="9"/>
      <c r="R350" s="9"/>
      <c r="S350" s="560"/>
    </row>
    <row r="351" spans="1:25" ht="15.75" customHeight="1" outlineLevel="1" x14ac:dyDescent="0.25">
      <c r="B351" s="559"/>
      <c r="C351" s="566">
        <v>1</v>
      </c>
      <c r="D351" s="380" t="s">
        <v>1147</v>
      </c>
      <c r="E351" s="537"/>
      <c r="F351" s="537"/>
      <c r="G351" s="537"/>
      <c r="H351" s="537"/>
      <c r="I351" s="537"/>
      <c r="J351" s="537"/>
      <c r="K351" s="537"/>
      <c r="L351" s="537"/>
      <c r="M351" s="568"/>
      <c r="N351" s="569"/>
      <c r="O351" s="569"/>
      <c r="P351" s="570"/>
      <c r="Q351" s="569"/>
      <c r="R351" s="569"/>
      <c r="S351" s="567"/>
    </row>
    <row r="352" spans="1:25" outlineLevel="1" x14ac:dyDescent="0.25">
      <c r="B352" s="559"/>
      <c r="C352" s="571"/>
      <c r="D352" s="572"/>
      <c r="E352" s="572"/>
      <c r="F352" s="572"/>
      <c r="G352" s="572"/>
      <c r="H352" s="572"/>
      <c r="I352" s="572"/>
      <c r="J352" s="573"/>
      <c r="K352" s="573"/>
      <c r="L352" s="573"/>
      <c r="M352" s="573"/>
      <c r="N352" s="573"/>
      <c r="O352" s="572"/>
      <c r="P352" s="571"/>
      <c r="Q352" s="574"/>
      <c r="R352" s="585"/>
      <c r="S352" s="567"/>
    </row>
    <row r="353" spans="1:25" outlineLevel="1" x14ac:dyDescent="0.25">
      <c r="B353" s="559"/>
      <c r="C353" s="571"/>
      <c r="D353" s="572"/>
      <c r="E353" s="572"/>
      <c r="F353" s="572"/>
      <c r="G353" s="572"/>
      <c r="H353" s="572"/>
      <c r="I353" s="572"/>
      <c r="J353" s="573"/>
      <c r="K353" s="573"/>
      <c r="L353" s="84"/>
      <c r="M353" s="2580" t="s">
        <v>719</v>
      </c>
      <c r="N353" s="2581"/>
      <c r="O353" s="2581"/>
      <c r="P353" s="2581"/>
      <c r="Q353" s="2581"/>
      <c r="R353" s="589"/>
      <c r="S353" s="567"/>
    </row>
    <row r="354" spans="1:25" outlineLevel="1" x14ac:dyDescent="0.25">
      <c r="B354" s="559"/>
      <c r="C354" s="571"/>
      <c r="D354" s="590" t="s">
        <v>633</v>
      </c>
      <c r="E354" s="587" t="s">
        <v>697</v>
      </c>
      <c r="F354" s="587" t="s">
        <v>438</v>
      </c>
      <c r="G354" s="587" t="s">
        <v>698</v>
      </c>
      <c r="H354" s="587" t="s">
        <v>662</v>
      </c>
      <c r="I354" s="587" t="s">
        <v>699</v>
      </c>
      <c r="J354" s="587" t="s">
        <v>20</v>
      </c>
      <c r="K354" s="587" t="s">
        <v>695</v>
      </c>
      <c r="L354" s="592" t="s">
        <v>716</v>
      </c>
      <c r="M354" s="588" t="s">
        <v>700</v>
      </c>
      <c r="N354" s="588" t="s">
        <v>701</v>
      </c>
      <c r="O354" s="588" t="s">
        <v>702</v>
      </c>
      <c r="P354" s="588" t="s">
        <v>703</v>
      </c>
      <c r="Q354" s="588" t="s">
        <v>704</v>
      </c>
      <c r="R354" s="588" t="s">
        <v>124</v>
      </c>
      <c r="S354" s="567"/>
    </row>
    <row r="355" spans="1:25" ht="14.4" outlineLevel="1" x14ac:dyDescent="0.25">
      <c r="B355" s="559"/>
      <c r="C355" s="571"/>
      <c r="D355" s="1752"/>
      <c r="E355" s="1737"/>
      <c r="F355" s="1737"/>
      <c r="G355" s="1737"/>
      <c r="H355" s="1737"/>
      <c r="I355" s="1737"/>
      <c r="J355" s="1702">
        <f>Table3789101112131415[[#This Row],[Quantity]]*Table3789101112131415[[#This Row],[Unit Price]]</f>
        <v>0</v>
      </c>
      <c r="K355" s="1737"/>
      <c r="L355" s="1753"/>
      <c r="M355" s="1754"/>
      <c r="N355" s="1754"/>
      <c r="O355" s="1754"/>
      <c r="P355" s="1754"/>
      <c r="Q355" s="1754"/>
      <c r="R355" s="594" cm="1">
        <f t="array" ref="R355">INDEX(Table3789101112131415[[#This Row],[P1]:[P5]],1,$H$34)</f>
        <v>0</v>
      </c>
      <c r="S355" s="567"/>
    </row>
    <row r="356" spans="1:25" ht="15" customHeight="1" outlineLevel="1" x14ac:dyDescent="0.25">
      <c r="B356" s="559"/>
      <c r="C356" s="571"/>
      <c r="D356" s="1752"/>
      <c r="E356" s="1737"/>
      <c r="F356" s="1737"/>
      <c r="G356" s="1737"/>
      <c r="H356" s="1737"/>
      <c r="I356" s="1737"/>
      <c r="J356" s="1702">
        <f>Table3789101112131415[[#This Row],[Quantity]]*Table3789101112131415[[#This Row],[Unit Price]]</f>
        <v>0</v>
      </c>
      <c r="K356" s="1737"/>
      <c r="L356" s="1755"/>
      <c r="M356" s="1754"/>
      <c r="N356" s="1754"/>
      <c r="O356" s="1754"/>
      <c r="P356" s="1754"/>
      <c r="Q356" s="1754"/>
      <c r="R356" s="595" cm="1">
        <f t="array" ref="R356">INDEX(Table3789101112131415[[#This Row],[P1]:[P5]],1,$H$34)</f>
        <v>0</v>
      </c>
      <c r="S356" s="567"/>
    </row>
    <row r="357" spans="1:25" ht="15" customHeight="1" outlineLevel="1" x14ac:dyDescent="0.25">
      <c r="B357" s="559"/>
      <c r="C357" s="571"/>
      <c r="D357" s="1752"/>
      <c r="E357" s="1737"/>
      <c r="F357" s="1737"/>
      <c r="G357" s="1737"/>
      <c r="H357" s="1737"/>
      <c r="I357" s="1737"/>
      <c r="J357" s="1702">
        <f>Table3789101112131415[[#This Row],[Quantity]]*Table3789101112131415[[#This Row],[Unit Price]]</f>
        <v>0</v>
      </c>
      <c r="K357" s="1737"/>
      <c r="L357" s="1755"/>
      <c r="M357" s="1754"/>
      <c r="N357" s="1754"/>
      <c r="O357" s="1754"/>
      <c r="P357" s="1754"/>
      <c r="Q357" s="1754"/>
      <c r="R357" s="595" cm="1">
        <f t="array" ref="R357">INDEX(Table3789101112131415[[#This Row],[P1]:[P5]],1,$H$34)</f>
        <v>0</v>
      </c>
      <c r="S357" s="567"/>
    </row>
    <row r="358" spans="1:25" ht="15" customHeight="1" outlineLevel="1" x14ac:dyDescent="0.25">
      <c r="B358" s="559"/>
      <c r="C358" s="571"/>
      <c r="D358" s="1752"/>
      <c r="E358" s="1737"/>
      <c r="F358" s="1737"/>
      <c r="G358" s="1737"/>
      <c r="H358" s="1737"/>
      <c r="I358" s="1737"/>
      <c r="J358" s="1702">
        <f>Table3789101112131415[[#This Row],[Quantity]]*Table3789101112131415[[#This Row],[Unit Price]]</f>
        <v>0</v>
      </c>
      <c r="K358" s="1737"/>
      <c r="L358" s="1753"/>
      <c r="M358" s="1754"/>
      <c r="N358" s="1754"/>
      <c r="O358" s="1754"/>
      <c r="P358" s="1754"/>
      <c r="Q358" s="1754"/>
      <c r="R358" s="595" cm="1">
        <f t="array" ref="R358">INDEX(Table3789101112131415[[#This Row],[P1]:[P5]],1,$H$34)</f>
        <v>0</v>
      </c>
      <c r="S358" s="567"/>
    </row>
    <row r="359" spans="1:25" ht="15" customHeight="1" outlineLevel="1" x14ac:dyDescent="0.25">
      <c r="B359" s="559"/>
      <c r="C359" s="571"/>
      <c r="D359" s="1752"/>
      <c r="E359" s="1737"/>
      <c r="F359" s="1737"/>
      <c r="G359" s="1737"/>
      <c r="H359" s="1737"/>
      <c r="I359" s="1737"/>
      <c r="J359" s="1702">
        <f>Table3789101112131415[[#This Row],[Quantity]]*Table3789101112131415[[#This Row],[Unit Price]]</f>
        <v>0</v>
      </c>
      <c r="K359" s="1737"/>
      <c r="L359" s="1755"/>
      <c r="M359" s="1754"/>
      <c r="N359" s="1754"/>
      <c r="O359" s="1754"/>
      <c r="P359" s="1754"/>
      <c r="Q359" s="1754"/>
      <c r="R359" s="595" cm="1">
        <f t="array" ref="R359">INDEX(Table3789101112131415[[#This Row],[P1]:[P5]],1,$H$34)</f>
        <v>0</v>
      </c>
      <c r="S359" s="567"/>
    </row>
    <row r="360" spans="1:25" ht="15" customHeight="1" outlineLevel="1" x14ac:dyDescent="0.25">
      <c r="B360" s="559"/>
      <c r="C360" s="571"/>
      <c r="D360" s="1752"/>
      <c r="E360" s="1737"/>
      <c r="F360" s="1737"/>
      <c r="G360" s="1737"/>
      <c r="H360" s="1737"/>
      <c r="I360" s="1737"/>
      <c r="J360" s="1702">
        <f>Table3789101112131415[[#This Row],[Quantity]]*Table3789101112131415[[#This Row],[Unit Price]]</f>
        <v>0</v>
      </c>
      <c r="K360" s="1737"/>
      <c r="L360" s="1755"/>
      <c r="M360" s="1754"/>
      <c r="N360" s="1754"/>
      <c r="O360" s="1754"/>
      <c r="P360" s="1754"/>
      <c r="Q360" s="1754"/>
      <c r="R360" s="595" cm="1">
        <f t="array" ref="R360">INDEX(Table3789101112131415[[#This Row],[P1]:[P5]],1,$H$34)</f>
        <v>0</v>
      </c>
      <c r="S360" s="567"/>
    </row>
    <row r="361" spans="1:25" s="276" customFormat="1" ht="15" customHeight="1" outlineLevel="1" x14ac:dyDescent="0.25">
      <c r="A361" s="274"/>
      <c r="B361" s="559"/>
      <c r="C361" s="571"/>
      <c r="D361" s="1752"/>
      <c r="E361" s="1737"/>
      <c r="F361" s="1737"/>
      <c r="G361" s="1737"/>
      <c r="H361" s="1737"/>
      <c r="I361" s="1737"/>
      <c r="J361" s="1702">
        <f>Table3789101112131415[[#This Row],[Quantity]]*Table3789101112131415[[#This Row],[Unit Price]]</f>
        <v>0</v>
      </c>
      <c r="K361" s="1737"/>
      <c r="L361" s="1755"/>
      <c r="M361" s="1754"/>
      <c r="N361" s="1754"/>
      <c r="O361" s="1754"/>
      <c r="P361" s="1754"/>
      <c r="Q361" s="1754"/>
      <c r="R361" s="595" cm="1">
        <f t="array" ref="R361">INDEX(Table3789101112131415[[#This Row],[P1]:[P5]],1,$H$34)</f>
        <v>0</v>
      </c>
      <c r="S361" s="567"/>
      <c r="T361" s="274"/>
      <c r="U361" s="274"/>
      <c r="V361" s="274"/>
      <c r="W361" s="274"/>
      <c r="X361" s="274"/>
      <c r="Y361" s="274"/>
    </row>
    <row r="362" spans="1:25" s="276" customFormat="1" ht="15" customHeight="1" outlineLevel="1" x14ac:dyDescent="0.25">
      <c r="B362" s="559"/>
      <c r="C362" s="571"/>
      <c r="D362" s="1752"/>
      <c r="E362" s="1737"/>
      <c r="F362" s="1737"/>
      <c r="G362" s="1737"/>
      <c r="H362" s="1737"/>
      <c r="I362" s="1737"/>
      <c r="J362" s="1702">
        <f>Table3789101112131415[[#This Row],[Quantity]]*Table3789101112131415[[#This Row],[Unit Price]]</f>
        <v>0</v>
      </c>
      <c r="K362" s="1737"/>
      <c r="L362" s="1755"/>
      <c r="M362" s="1754"/>
      <c r="N362" s="1754"/>
      <c r="O362" s="1754"/>
      <c r="P362" s="1754"/>
      <c r="Q362" s="1754"/>
      <c r="R362" s="595" cm="1">
        <f t="array" ref="R362">INDEX(Table3789101112131415[[#This Row],[P1]:[P5]],1,$H$34)</f>
        <v>0</v>
      </c>
      <c r="S362" s="567"/>
      <c r="T362" s="274"/>
      <c r="U362" s="274"/>
      <c r="V362" s="274"/>
      <c r="W362" s="274"/>
      <c r="X362" s="274"/>
      <c r="Y362" s="274"/>
    </row>
    <row r="363" spans="1:25" s="276" customFormat="1" ht="15" customHeight="1" outlineLevel="1" x14ac:dyDescent="0.25">
      <c r="B363" s="559"/>
      <c r="C363" s="571"/>
      <c r="D363" s="1752"/>
      <c r="E363" s="1737"/>
      <c r="F363" s="1737"/>
      <c r="G363" s="1737"/>
      <c r="H363" s="1737"/>
      <c r="I363" s="1737"/>
      <c r="J363" s="1702">
        <f>Table3789101112131415[[#This Row],[Quantity]]*Table3789101112131415[[#This Row],[Unit Price]]</f>
        <v>0</v>
      </c>
      <c r="K363" s="1737"/>
      <c r="L363" s="1755"/>
      <c r="M363" s="1754"/>
      <c r="N363" s="1754"/>
      <c r="O363" s="1754"/>
      <c r="P363" s="1754"/>
      <c r="Q363" s="1754"/>
      <c r="R363" s="595" cm="1">
        <f t="array" ref="R363">INDEX(Table3789101112131415[[#This Row],[P1]:[P5]],1,$H$34)</f>
        <v>0</v>
      </c>
      <c r="S363" s="567"/>
    </row>
    <row r="364" spans="1:25" s="276" customFormat="1" ht="15" customHeight="1" outlineLevel="1" x14ac:dyDescent="0.25">
      <c r="B364" s="559"/>
      <c r="C364" s="571"/>
      <c r="D364" s="1752"/>
      <c r="E364" s="1737"/>
      <c r="F364" s="1737"/>
      <c r="G364" s="1737"/>
      <c r="H364" s="1737"/>
      <c r="I364" s="1737"/>
      <c r="J364" s="1702">
        <f>Table3789101112131415[[#This Row],[Quantity]]*Table3789101112131415[[#This Row],[Unit Price]]</f>
        <v>0</v>
      </c>
      <c r="K364" s="1737"/>
      <c r="L364" s="1755"/>
      <c r="M364" s="1754"/>
      <c r="N364" s="1754"/>
      <c r="O364" s="1754"/>
      <c r="P364" s="1754"/>
      <c r="Q364" s="1754"/>
      <c r="R364" s="595" cm="1">
        <f t="array" ref="R364">INDEX(Table3789101112131415[[#This Row],[P1]:[P5]],1,$H$34)</f>
        <v>0</v>
      </c>
      <c r="S364" s="567"/>
    </row>
    <row r="365" spans="1:25" s="276" customFormat="1" ht="15" customHeight="1" outlineLevel="1" x14ac:dyDescent="0.25">
      <c r="B365" s="559"/>
      <c r="C365" s="571"/>
      <c r="D365" s="1752"/>
      <c r="E365" s="1737"/>
      <c r="F365" s="1737"/>
      <c r="G365" s="1737"/>
      <c r="H365" s="1737"/>
      <c r="I365" s="1737"/>
      <c r="J365" s="1702">
        <f>Table3789101112131415[[#This Row],[Quantity]]*Table3789101112131415[[#This Row],[Unit Price]]</f>
        <v>0</v>
      </c>
      <c r="K365" s="1737"/>
      <c r="L365" s="1753"/>
      <c r="M365" s="1754"/>
      <c r="N365" s="1754"/>
      <c r="O365" s="1754"/>
      <c r="P365" s="1754"/>
      <c r="Q365" s="1754"/>
      <c r="R365" s="595" cm="1">
        <f t="array" ref="R365">INDEX(Table3789101112131415[[#This Row],[P1]:[P5]],1,$H$34)</f>
        <v>0</v>
      </c>
      <c r="S365" s="567"/>
    </row>
    <row r="366" spans="1:25" s="276" customFormat="1" ht="15" customHeight="1" outlineLevel="1" x14ac:dyDescent="0.25">
      <c r="B366" s="559"/>
      <c r="C366" s="571"/>
      <c r="D366" s="1752"/>
      <c r="E366" s="1737"/>
      <c r="F366" s="1737"/>
      <c r="G366" s="1737"/>
      <c r="H366" s="1737"/>
      <c r="I366" s="1737"/>
      <c r="J366" s="1702">
        <f>Table3789101112131415[[#This Row],[Quantity]]*Table3789101112131415[[#This Row],[Unit Price]]</f>
        <v>0</v>
      </c>
      <c r="K366" s="1737"/>
      <c r="L366" s="1755"/>
      <c r="M366" s="1754"/>
      <c r="N366" s="1754"/>
      <c r="O366" s="1754"/>
      <c r="P366" s="1754"/>
      <c r="Q366" s="1754"/>
      <c r="R366" s="595" cm="1">
        <f t="array" ref="R366">INDEX(Table3789101112131415[[#This Row],[P1]:[P5]],1,$H$34)</f>
        <v>0</v>
      </c>
      <c r="S366" s="567"/>
    </row>
    <row r="367" spans="1:25" s="276" customFormat="1" ht="15" customHeight="1" outlineLevel="1" x14ac:dyDescent="0.25">
      <c r="B367" s="559"/>
      <c r="C367" s="571"/>
      <c r="D367" s="1752"/>
      <c r="E367" s="1737"/>
      <c r="F367" s="1737"/>
      <c r="G367" s="1737"/>
      <c r="H367" s="1737"/>
      <c r="I367" s="1737"/>
      <c r="J367" s="1702">
        <f>Table3789101112131415[[#This Row],[Quantity]]*Table3789101112131415[[#This Row],[Unit Price]]</f>
        <v>0</v>
      </c>
      <c r="K367" s="1737"/>
      <c r="L367" s="1755"/>
      <c r="M367" s="1754"/>
      <c r="N367" s="1754"/>
      <c r="O367" s="1754"/>
      <c r="P367" s="1754"/>
      <c r="Q367" s="1754"/>
      <c r="R367" s="595" cm="1">
        <f t="array" ref="R367">INDEX(Table3789101112131415[[#This Row],[P1]:[P5]],1,$H$34)</f>
        <v>0</v>
      </c>
      <c r="S367" s="567"/>
    </row>
    <row r="368" spans="1:25" outlineLevel="1" x14ac:dyDescent="0.25">
      <c r="A368" s="276"/>
      <c r="B368" s="559"/>
      <c r="C368" s="571"/>
      <c r="D368" s="1752"/>
      <c r="E368" s="1737"/>
      <c r="F368" s="1737"/>
      <c r="G368" s="1737"/>
      <c r="H368" s="1737"/>
      <c r="I368" s="1737"/>
      <c r="J368" s="1702">
        <f>Table3789101112131415[[#This Row],[Quantity]]*Table3789101112131415[[#This Row],[Unit Price]]</f>
        <v>0</v>
      </c>
      <c r="K368" s="1737"/>
      <c r="L368" s="1755"/>
      <c r="M368" s="1754"/>
      <c r="N368" s="1754"/>
      <c r="O368" s="1754"/>
      <c r="P368" s="1754"/>
      <c r="Q368" s="1754"/>
      <c r="R368" s="595" cm="1">
        <f t="array" ref="R368">INDEX(Table3789101112131415[[#This Row],[P1]:[P5]],1,$H$34)</f>
        <v>0</v>
      </c>
      <c r="S368" s="567"/>
      <c r="T368" s="276"/>
      <c r="U368" s="276"/>
      <c r="V368" s="276"/>
      <c r="W368" s="276"/>
      <c r="X368" s="276"/>
      <c r="Y368" s="276"/>
    </row>
    <row r="369" spans="1:25" outlineLevel="1" x14ac:dyDescent="0.25">
      <c r="B369" s="559"/>
      <c r="C369" s="571"/>
      <c r="D369" s="1752"/>
      <c r="E369" s="1737"/>
      <c r="F369" s="1737"/>
      <c r="G369" s="1737"/>
      <c r="H369" s="1737"/>
      <c r="I369" s="1737"/>
      <c r="J369" s="1702">
        <f>Table3789101112131415[[#This Row],[Quantity]]*Table3789101112131415[[#This Row],[Unit Price]]</f>
        <v>0</v>
      </c>
      <c r="K369" s="1737"/>
      <c r="L369" s="1755"/>
      <c r="M369" s="1754"/>
      <c r="N369" s="1754"/>
      <c r="O369" s="1754"/>
      <c r="P369" s="1754"/>
      <c r="Q369" s="1754"/>
      <c r="R369" s="595" cm="1">
        <f t="array" ref="R369">INDEX(Table3789101112131415[[#This Row],[P1]:[P5]],1,$H$34)</f>
        <v>0</v>
      </c>
      <c r="S369" s="567"/>
      <c r="T369" s="276"/>
      <c r="U369" s="276"/>
      <c r="V369" s="276"/>
      <c r="W369" s="276"/>
      <c r="X369" s="276"/>
      <c r="Y369" s="276"/>
    </row>
    <row r="370" spans="1:25" outlineLevel="1" x14ac:dyDescent="0.25">
      <c r="B370" s="559"/>
      <c r="C370" s="571"/>
      <c r="D370" s="1752"/>
      <c r="E370" s="1737"/>
      <c r="F370" s="1737"/>
      <c r="G370" s="1737"/>
      <c r="H370" s="1737"/>
      <c r="I370" s="1737"/>
      <c r="J370" s="1702">
        <f>Table3789101112131415[[#This Row],[Quantity]]*Table3789101112131415[[#This Row],[Unit Price]]</f>
        <v>0</v>
      </c>
      <c r="K370" s="1737"/>
      <c r="L370" s="1755"/>
      <c r="M370" s="1754"/>
      <c r="N370" s="1754"/>
      <c r="O370" s="1754"/>
      <c r="P370" s="1754"/>
      <c r="Q370" s="1754"/>
      <c r="R370" s="595" cm="1">
        <f t="array" ref="R370">INDEX(Table3789101112131415[[#This Row],[P1]:[P5]],1,$H$34)</f>
        <v>0</v>
      </c>
      <c r="S370" s="567"/>
    </row>
    <row r="371" spans="1:25" outlineLevel="1" x14ac:dyDescent="0.25">
      <c r="B371" s="559"/>
      <c r="C371" s="571"/>
      <c r="D371" s="1752"/>
      <c r="E371" s="1737"/>
      <c r="F371" s="1737"/>
      <c r="G371" s="1737"/>
      <c r="H371" s="1737"/>
      <c r="I371" s="1737"/>
      <c r="J371" s="1702">
        <f>Table3789101112131415[[#This Row],[Quantity]]*Table3789101112131415[[#This Row],[Unit Price]]</f>
        <v>0</v>
      </c>
      <c r="K371" s="1737"/>
      <c r="L371" s="1755"/>
      <c r="M371" s="1754"/>
      <c r="N371" s="1754"/>
      <c r="O371" s="1754"/>
      <c r="P371" s="1754"/>
      <c r="Q371" s="1754"/>
      <c r="R371" s="595" cm="1">
        <f t="array" ref="R371">INDEX(Table3789101112131415[[#This Row],[P1]:[P5]],1,$H$34)</f>
        <v>0</v>
      </c>
      <c r="S371" s="567"/>
    </row>
    <row r="372" spans="1:25" outlineLevel="1" x14ac:dyDescent="0.25">
      <c r="B372" s="559"/>
      <c r="C372" s="571"/>
      <c r="D372" s="1752"/>
      <c r="E372" s="1737"/>
      <c r="F372" s="1737"/>
      <c r="G372" s="1737"/>
      <c r="H372" s="1737"/>
      <c r="I372" s="1737"/>
      <c r="J372" s="1702">
        <f>Table3789101112131415[[#This Row],[Quantity]]*Table3789101112131415[[#This Row],[Unit Price]]</f>
        <v>0</v>
      </c>
      <c r="K372" s="1737"/>
      <c r="L372" s="1755"/>
      <c r="M372" s="1754"/>
      <c r="N372" s="1754"/>
      <c r="O372" s="1754"/>
      <c r="P372" s="1754"/>
      <c r="Q372" s="1754"/>
      <c r="R372" s="595" cm="1">
        <f t="array" ref="R372">INDEX(Table3789101112131415[[#This Row],[P1]:[P5]],1,$H$34)</f>
        <v>0</v>
      </c>
      <c r="S372" s="567"/>
    </row>
    <row r="373" spans="1:25" outlineLevel="1" x14ac:dyDescent="0.25">
      <c r="B373" s="559"/>
      <c r="C373" s="571"/>
      <c r="D373" s="1752"/>
      <c r="E373" s="1737"/>
      <c r="F373" s="1737"/>
      <c r="G373" s="1737"/>
      <c r="H373" s="1737"/>
      <c r="I373" s="1737"/>
      <c r="J373" s="1702">
        <f>Table3789101112131415[[#This Row],[Quantity]]*Table3789101112131415[[#This Row],[Unit Price]]</f>
        <v>0</v>
      </c>
      <c r="K373" s="1737"/>
      <c r="L373" s="1755"/>
      <c r="M373" s="1754"/>
      <c r="N373" s="1754"/>
      <c r="O373" s="1754"/>
      <c r="P373" s="1754"/>
      <c r="Q373" s="1754"/>
      <c r="R373" s="595" cm="1">
        <f t="array" ref="R373">INDEX(Table3789101112131415[[#This Row],[P1]:[P5]],1,$H$34)</f>
        <v>0</v>
      </c>
      <c r="S373" s="567"/>
    </row>
    <row r="374" spans="1:25" outlineLevel="1" x14ac:dyDescent="0.25">
      <c r="B374" s="559"/>
      <c r="C374" s="571"/>
      <c r="D374" s="1752"/>
      <c r="E374" s="1737"/>
      <c r="F374" s="1737"/>
      <c r="G374" s="1737"/>
      <c r="H374" s="1737"/>
      <c r="I374" s="1737"/>
      <c r="J374" s="1702">
        <f>Table3789101112131415[[#This Row],[Quantity]]*Table3789101112131415[[#This Row],[Unit Price]]</f>
        <v>0</v>
      </c>
      <c r="K374" s="1737"/>
      <c r="L374" s="1755"/>
      <c r="M374" s="1754"/>
      <c r="N374" s="1754"/>
      <c r="O374" s="1754"/>
      <c r="P374" s="1754"/>
      <c r="Q374" s="1754"/>
      <c r="R374" s="596" cm="1">
        <f t="array" ref="R374">INDEX(Table3789101112131415[[#This Row],[P1]:[P5]],1,$H$34)</f>
        <v>0</v>
      </c>
      <c r="S374" s="567"/>
    </row>
    <row r="375" spans="1:25" outlineLevel="1" x14ac:dyDescent="0.25">
      <c r="B375" s="575"/>
      <c r="C375" s="9"/>
      <c r="D375" s="9"/>
      <c r="E375" s="9"/>
      <c r="F375" s="9"/>
      <c r="G375" s="9"/>
      <c r="H375" s="9"/>
      <c r="I375" s="9"/>
      <c r="J375" s="9"/>
      <c r="K375" s="9"/>
      <c r="L375" s="9"/>
      <c r="M375" s="9"/>
      <c r="N375" s="9"/>
      <c r="O375" s="9"/>
      <c r="P375" s="9"/>
      <c r="Q375" s="9"/>
      <c r="R375" s="9"/>
      <c r="S375" s="567"/>
    </row>
    <row r="376" spans="1:25" outlineLevel="1" x14ac:dyDescent="0.25">
      <c r="B376" s="575"/>
      <c r="C376" s="566">
        <v>2</v>
      </c>
      <c r="D376" s="380" t="s">
        <v>715</v>
      </c>
      <c r="E376" s="537"/>
      <c r="F376" s="593" t="s">
        <v>717</v>
      </c>
      <c r="G376" s="1742" t="s">
        <v>700</v>
      </c>
      <c r="H376" s="1770">
        <f>MATCH(G376,HIDE5!$U$13:$U$17,0)</f>
        <v>1</v>
      </c>
      <c r="I376" s="1771"/>
      <c r="J376" s="1771"/>
      <c r="K376" s="1771"/>
      <c r="L376" s="1771"/>
      <c r="M376" s="380" t="s">
        <v>718</v>
      </c>
      <c r="N376" s="380"/>
      <c r="O376" s="380"/>
      <c r="P376" s="380"/>
      <c r="Q376" s="380"/>
      <c r="R376" s="576"/>
      <c r="S376" s="567"/>
    </row>
    <row r="377" spans="1:25" outlineLevel="1" x14ac:dyDescent="0.25">
      <c r="B377" s="1767"/>
      <c r="C377" s="1768"/>
      <c r="D377" s="1768"/>
      <c r="E377" s="1768"/>
      <c r="F377" s="1768"/>
      <c r="G377" s="1768"/>
      <c r="H377" s="1768"/>
      <c r="I377" s="1768"/>
      <c r="J377" s="1769"/>
      <c r="K377" s="1769"/>
      <c r="L377" s="1769"/>
      <c r="M377" s="597" t="s">
        <v>700</v>
      </c>
      <c r="N377" s="597" t="s">
        <v>701</v>
      </c>
      <c r="O377" s="597" t="s">
        <v>702</v>
      </c>
      <c r="P377" s="597" t="s">
        <v>703</v>
      </c>
      <c r="Q377" s="597" t="s">
        <v>704</v>
      </c>
      <c r="R377" s="576"/>
      <c r="S377" s="567"/>
    </row>
    <row r="378" spans="1:25" outlineLevel="1" x14ac:dyDescent="0.25">
      <c r="B378" s="559"/>
      <c r="C378" s="1768"/>
      <c r="D378" s="586" t="str">
        <f>HIDE5!$X$3</f>
        <v>Appliances</v>
      </c>
      <c r="E378" s="1772">
        <f>SUMIFS(Table3789101112131415[Total],Table3789101112131415[Category],$D378,Table3789101112131415[Check],HIDE5!$Q$3)</f>
        <v>0</v>
      </c>
      <c r="F378" s="586" t="str">
        <f>HIDE5!$X$7</f>
        <v>Lighting</v>
      </c>
      <c r="G378" s="1772">
        <f>SUMIFS(Table3789101112131415[Total],Table3789101112131415[Category],$F378,Table3789101112131415[Check],HIDE5!$Q$3)</f>
        <v>0</v>
      </c>
      <c r="H378" s="1771"/>
      <c r="I378" s="1771"/>
      <c r="J378" s="1771"/>
      <c r="K378" s="1771"/>
      <c r="L378" s="1771"/>
      <c r="M378" s="1773">
        <f>SUMIF(Table3789101112131415[P1],HIDE5!$Q$3,Table3789101112131415[Total])</f>
        <v>0</v>
      </c>
      <c r="N378" s="1773">
        <f>SUMIF(Table3789101112131415[P2],HIDE5!$Q$3,Table3789101112131415[Total])</f>
        <v>0</v>
      </c>
      <c r="O378" s="1773">
        <f>SUMIF(Table3789101112131415[P3],HIDE5!$Q$3,Table3789101112131415[Total])</f>
        <v>0</v>
      </c>
      <c r="P378" s="1773">
        <f>SUMIF(Table3789101112131415[P4],HIDE5!$Q$3,Table3789101112131415[Total])</f>
        <v>0</v>
      </c>
      <c r="Q378" s="1773">
        <f>SUMIF(Table3789101112131415[P5],HIDE5!$Q$3,Table3789101112131415[Total])</f>
        <v>0</v>
      </c>
      <c r="R378" s="576"/>
      <c r="S378" s="567"/>
    </row>
    <row r="379" spans="1:25" ht="15" customHeight="1" outlineLevel="1" x14ac:dyDescent="0.25">
      <c r="B379" s="559"/>
      <c r="C379" s="1768"/>
      <c r="D379" s="586" t="str">
        <f>HIDE5!$X$4</f>
        <v>Furniture</v>
      </c>
      <c r="E379" s="1772">
        <f>SUMIFS(Table3789101112131415[Total],Table3789101112131415[Category],$D379,Table3789101112131415[Check],HIDE5!$Q$3)</f>
        <v>0</v>
      </c>
      <c r="F379" s="586" t="str">
        <f>HIDE5!$X$8</f>
        <v>Electronics</v>
      </c>
      <c r="G379" s="1772">
        <f>SUMIFS(Table3789101112131415[Total],Table3789101112131415[Category],$F379,Table3789101112131415[Check],HIDE5!$Q$3)</f>
        <v>0</v>
      </c>
      <c r="H379" s="1771"/>
      <c r="I379" s="1771"/>
      <c r="J379" s="1771"/>
      <c r="K379" s="1771"/>
      <c r="L379" s="1771"/>
      <c r="M379" s="1771"/>
      <c r="N379" s="1771"/>
      <c r="O379" s="1771"/>
      <c r="P379" s="1771"/>
      <c r="Q379" s="1771"/>
      <c r="R379" s="576"/>
      <c r="S379" s="567"/>
    </row>
    <row r="380" spans="1:25" s="558" customFormat="1" ht="15" customHeight="1" outlineLevel="1" x14ac:dyDescent="0.25">
      <c r="A380" s="274"/>
      <c r="B380" s="559"/>
      <c r="C380" s="1768"/>
      <c r="D380" s="586" t="str">
        <f>HIDE5!$X$5</f>
        <v>Kitchenware</v>
      </c>
      <c r="E380" s="1772">
        <f>SUMIFS(Table3789101112131415[Total],Table3789101112131415[Category],$D380,Table3789101112131415[Check],HIDE5!$Q$3)</f>
        <v>0</v>
      </c>
      <c r="F380" s="586" t="str">
        <f>HIDE5!$X$10</f>
        <v>Accessories</v>
      </c>
      <c r="G380" s="1772">
        <f>SUMIFS(Table3789101112131415[Total],Table3789101112131415[Category],$F380,Table3789101112131415[Check],HIDE5!$Q$3)</f>
        <v>0</v>
      </c>
      <c r="H380" s="1771"/>
      <c r="I380" s="1771"/>
      <c r="J380" s="1771"/>
      <c r="K380" s="1771"/>
      <c r="L380" s="1771"/>
      <c r="M380" s="1771"/>
      <c r="N380" s="1771"/>
      <c r="O380" s="1771"/>
      <c r="P380" s="1771"/>
      <c r="Q380" s="1771"/>
      <c r="R380" s="576"/>
      <c r="S380" s="567"/>
      <c r="T380" s="274"/>
      <c r="U380" s="274"/>
      <c r="V380" s="274"/>
      <c r="W380" s="274"/>
      <c r="X380" s="274"/>
      <c r="Y380" s="274"/>
    </row>
    <row r="381" spans="1:25" outlineLevel="1" x14ac:dyDescent="0.25">
      <c r="A381" s="558"/>
      <c r="B381" s="559"/>
      <c r="C381" s="1768"/>
      <c r="D381" s="586" t="str">
        <f>HIDE5!$X$6</f>
        <v>Bedding</v>
      </c>
      <c r="E381" s="1772">
        <f>SUMIFS(Table3789101112131415[Total],Table3789101112131415[Category],$D381,Table3789101112131415[Check],HIDE5!$Q$3)</f>
        <v>0</v>
      </c>
      <c r="F381" s="586" t="str">
        <f>HIDE5!$X$11</f>
        <v>Decor</v>
      </c>
      <c r="G381" s="1772">
        <f>SUMIFS(Table3789101112131415[Total],Table3789101112131415[Category],$F381,Table3789101112131415[Check],HIDE5!$Q$3)</f>
        <v>0</v>
      </c>
      <c r="H381" s="1771"/>
      <c r="I381" s="1771"/>
      <c r="J381" s="1771"/>
      <c r="K381" s="1771"/>
      <c r="L381" s="1771"/>
      <c r="M381" s="1771"/>
      <c r="N381" s="1771"/>
      <c r="O381" s="1771"/>
      <c r="P381" s="1771"/>
      <c r="Q381" s="1771"/>
      <c r="R381" s="576"/>
      <c r="S381" s="567"/>
    </row>
    <row r="382" spans="1:25" s="558" customFormat="1" ht="15" customHeight="1" outlineLevel="1" x14ac:dyDescent="0.25">
      <c r="A382" s="274"/>
      <c r="B382" s="559"/>
      <c r="C382" s="1772"/>
      <c r="D382" s="1772"/>
      <c r="E382" s="1772"/>
      <c r="F382" s="1772"/>
      <c r="G382" s="1772"/>
      <c r="H382" s="1771"/>
      <c r="I382" s="1771"/>
      <c r="J382" s="1771"/>
      <c r="K382" s="1771"/>
      <c r="L382" s="1771"/>
      <c r="M382" s="1771"/>
      <c r="N382" s="1771"/>
      <c r="O382" s="1771"/>
      <c r="P382" s="1771"/>
      <c r="Q382" s="1771"/>
      <c r="R382" s="576"/>
      <c r="S382" s="567"/>
    </row>
    <row r="383" spans="1:25" s="558" customFormat="1" ht="15" customHeight="1" outlineLevel="1" x14ac:dyDescent="0.25">
      <c r="B383" s="559"/>
      <c r="C383" s="1772"/>
      <c r="D383" s="591" t="s">
        <v>696</v>
      </c>
      <c r="E383" s="1774">
        <f>IFERROR(SUM(E378:E381,G378:G381),0)</f>
        <v>0</v>
      </c>
      <c r="F383" s="1771"/>
      <c r="G383" s="1771"/>
      <c r="H383" s="1771"/>
      <c r="I383" s="1771"/>
      <c r="J383" s="1771"/>
      <c r="K383" s="1771"/>
      <c r="L383" s="1771"/>
      <c r="M383" s="1771"/>
      <c r="N383" s="1771"/>
      <c r="O383" s="1771"/>
      <c r="P383" s="1772"/>
      <c r="Q383" s="1772"/>
      <c r="R383" s="577"/>
      <c r="S383" s="567"/>
      <c r="T383" s="274"/>
      <c r="U383" s="274"/>
      <c r="V383" s="274"/>
      <c r="W383" s="274"/>
      <c r="X383" s="274"/>
      <c r="Y383" s="274"/>
    </row>
    <row r="384" spans="1:25" ht="15" customHeight="1" x14ac:dyDescent="0.25">
      <c r="A384" s="558"/>
      <c r="B384" s="575"/>
      <c r="C384" s="9"/>
      <c r="D384" s="9"/>
      <c r="E384" s="9"/>
      <c r="F384" s="9"/>
      <c r="G384" s="9"/>
      <c r="H384" s="9"/>
      <c r="I384" s="9"/>
      <c r="J384" s="9"/>
      <c r="K384" s="9"/>
      <c r="L384" s="9"/>
      <c r="M384" s="9"/>
      <c r="N384" s="9"/>
      <c r="O384" s="9"/>
      <c r="P384" s="9"/>
      <c r="Q384" s="9"/>
      <c r="R384" s="9"/>
      <c r="S384" s="567"/>
      <c r="T384" s="558"/>
      <c r="U384" s="558"/>
      <c r="V384" s="558"/>
      <c r="W384" s="558"/>
      <c r="X384" s="558"/>
      <c r="Y384" s="558"/>
    </row>
    <row r="385" spans="1:25" x14ac:dyDescent="0.25">
      <c r="B385" s="561"/>
      <c r="C385" s="578"/>
      <c r="D385" s="578"/>
      <c r="E385" s="578"/>
      <c r="F385" s="578"/>
      <c r="G385" s="578"/>
      <c r="H385" s="578"/>
      <c r="I385" s="578"/>
      <c r="J385" s="578"/>
      <c r="K385" s="578"/>
      <c r="L385" s="578"/>
      <c r="M385" s="579"/>
      <c r="N385" s="579"/>
      <c r="O385" s="579"/>
      <c r="P385" s="579"/>
      <c r="Q385" s="579"/>
      <c r="R385" s="579"/>
      <c r="S385" s="580"/>
      <c r="T385" s="558"/>
      <c r="U385" s="558"/>
      <c r="V385" s="558"/>
      <c r="W385" s="558"/>
      <c r="X385" s="558"/>
      <c r="Y385" s="558"/>
    </row>
    <row r="386" spans="1:25" outlineLevel="1" x14ac:dyDescent="0.25"/>
    <row r="387" spans="1:25" outlineLevel="1" x14ac:dyDescent="0.25">
      <c r="B387" s="562">
        <v>11</v>
      </c>
      <c r="C387" s="563" t="str">
        <f>UPPER(DASHBOARD!$AP$68)</f>
        <v>BATHROOM #4</v>
      </c>
      <c r="D387" s="564"/>
      <c r="E387" s="564"/>
      <c r="F387" s="564"/>
      <c r="G387" s="564"/>
      <c r="H387" s="564"/>
      <c r="I387" s="564"/>
      <c r="J387" s="564"/>
      <c r="K387" s="564"/>
      <c r="L387" s="564"/>
      <c r="M387" s="564"/>
      <c r="N387" s="564"/>
      <c r="O387" s="564"/>
      <c r="P387" s="564"/>
      <c r="Q387" s="564"/>
      <c r="R387" s="564"/>
      <c r="S387" s="565"/>
    </row>
    <row r="388" spans="1:25" outlineLevel="1" x14ac:dyDescent="0.25">
      <c r="B388" s="559"/>
      <c r="C388" s="9"/>
      <c r="D388" s="9"/>
      <c r="E388" s="9"/>
      <c r="F388" s="9"/>
      <c r="G388" s="9"/>
      <c r="H388" s="9"/>
      <c r="I388" s="9"/>
      <c r="J388" s="9"/>
      <c r="K388" s="9"/>
      <c r="L388" s="9"/>
      <c r="M388" s="9"/>
      <c r="N388" s="9"/>
      <c r="O388" s="9"/>
      <c r="P388" s="9"/>
      <c r="Q388" s="9"/>
      <c r="R388" s="9"/>
      <c r="S388" s="560"/>
    </row>
    <row r="389" spans="1:25" ht="15.75" customHeight="1" outlineLevel="1" x14ac:dyDescent="0.25">
      <c r="B389" s="559"/>
      <c r="C389" s="566">
        <v>1</v>
      </c>
      <c r="D389" s="380" t="s">
        <v>1147</v>
      </c>
      <c r="E389" s="537"/>
      <c r="F389" s="537"/>
      <c r="G389" s="537"/>
      <c r="H389" s="537"/>
      <c r="I389" s="537"/>
      <c r="J389" s="537"/>
      <c r="K389" s="537"/>
      <c r="L389" s="537"/>
      <c r="M389" s="568"/>
      <c r="N389" s="569"/>
      <c r="O389" s="569"/>
      <c r="P389" s="570"/>
      <c r="Q389" s="569"/>
      <c r="R389" s="569"/>
      <c r="S389" s="567"/>
    </row>
    <row r="390" spans="1:25" outlineLevel="1" x14ac:dyDescent="0.25">
      <c r="B390" s="559"/>
      <c r="C390" s="571"/>
      <c r="D390" s="572"/>
      <c r="E390" s="572"/>
      <c r="F390" s="572"/>
      <c r="G390" s="572"/>
      <c r="H390" s="572"/>
      <c r="I390" s="572"/>
      <c r="J390" s="573"/>
      <c r="K390" s="573"/>
      <c r="L390" s="573"/>
      <c r="M390" s="573"/>
      <c r="N390" s="573"/>
      <c r="O390" s="572"/>
      <c r="P390" s="571"/>
      <c r="Q390" s="574"/>
      <c r="R390" s="585"/>
      <c r="S390" s="567"/>
    </row>
    <row r="391" spans="1:25" outlineLevel="1" x14ac:dyDescent="0.25">
      <c r="B391" s="559"/>
      <c r="C391" s="571"/>
      <c r="D391" s="572"/>
      <c r="E391" s="572"/>
      <c r="F391" s="572"/>
      <c r="G391" s="572"/>
      <c r="H391" s="572"/>
      <c r="I391" s="572"/>
      <c r="J391" s="573"/>
      <c r="K391" s="573"/>
      <c r="L391" s="84"/>
      <c r="M391" s="2580" t="s">
        <v>719</v>
      </c>
      <c r="N391" s="2581"/>
      <c r="O391" s="2581"/>
      <c r="P391" s="2581"/>
      <c r="Q391" s="2581"/>
      <c r="R391" s="589"/>
      <c r="S391" s="567"/>
    </row>
    <row r="392" spans="1:25" outlineLevel="1" x14ac:dyDescent="0.25">
      <c r="B392" s="559"/>
      <c r="C392" s="571"/>
      <c r="D392" s="590" t="s">
        <v>633</v>
      </c>
      <c r="E392" s="587" t="s">
        <v>697</v>
      </c>
      <c r="F392" s="587" t="s">
        <v>438</v>
      </c>
      <c r="G392" s="587" t="s">
        <v>698</v>
      </c>
      <c r="H392" s="587" t="s">
        <v>662</v>
      </c>
      <c r="I392" s="587" t="s">
        <v>699</v>
      </c>
      <c r="J392" s="587" t="s">
        <v>20</v>
      </c>
      <c r="K392" s="587" t="s">
        <v>695</v>
      </c>
      <c r="L392" s="592" t="s">
        <v>716</v>
      </c>
      <c r="M392" s="588" t="s">
        <v>700</v>
      </c>
      <c r="N392" s="588" t="s">
        <v>701</v>
      </c>
      <c r="O392" s="588" t="s">
        <v>702</v>
      </c>
      <c r="P392" s="588" t="s">
        <v>703</v>
      </c>
      <c r="Q392" s="588" t="s">
        <v>704</v>
      </c>
      <c r="R392" s="588" t="s">
        <v>124</v>
      </c>
      <c r="S392" s="567"/>
    </row>
    <row r="393" spans="1:25" ht="14.4" outlineLevel="1" x14ac:dyDescent="0.25">
      <c r="B393" s="559"/>
      <c r="C393" s="571"/>
      <c r="D393" s="1752"/>
      <c r="E393" s="1737"/>
      <c r="F393" s="1737"/>
      <c r="G393" s="1737"/>
      <c r="H393" s="1737"/>
      <c r="I393" s="1737"/>
      <c r="J393" s="1702">
        <f>Table378910111213141516[[#This Row],[Quantity]]*Table378910111213141516[[#This Row],[Unit Price]]</f>
        <v>0</v>
      </c>
      <c r="K393" s="1737"/>
      <c r="L393" s="1753"/>
      <c r="M393" s="1754"/>
      <c r="N393" s="1754"/>
      <c r="O393" s="1754"/>
      <c r="P393" s="1754"/>
      <c r="Q393" s="1754"/>
      <c r="R393" s="594" cm="1">
        <f t="array" ref="R393">INDEX(Table378910111213141516[[#This Row],[P1]:[P5]],1,$H$34)</f>
        <v>0</v>
      </c>
      <c r="S393" s="567"/>
    </row>
    <row r="394" spans="1:25" ht="15" customHeight="1" outlineLevel="1" x14ac:dyDescent="0.25">
      <c r="B394" s="559"/>
      <c r="C394" s="571"/>
      <c r="D394" s="1752"/>
      <c r="E394" s="1737"/>
      <c r="F394" s="1737"/>
      <c r="G394" s="1737"/>
      <c r="H394" s="1737"/>
      <c r="I394" s="1737"/>
      <c r="J394" s="1702">
        <f>Table378910111213141516[[#This Row],[Quantity]]*Table378910111213141516[[#This Row],[Unit Price]]</f>
        <v>0</v>
      </c>
      <c r="K394" s="1737"/>
      <c r="L394" s="1755"/>
      <c r="M394" s="1754"/>
      <c r="N394" s="1754"/>
      <c r="O394" s="1754"/>
      <c r="P394" s="1754"/>
      <c r="Q394" s="1754"/>
      <c r="R394" s="595" cm="1">
        <f t="array" ref="R394">INDEX(Table378910111213141516[[#This Row],[P1]:[P5]],1,$H$34)</f>
        <v>0</v>
      </c>
      <c r="S394" s="567"/>
    </row>
    <row r="395" spans="1:25" ht="15" customHeight="1" outlineLevel="1" x14ac:dyDescent="0.25">
      <c r="B395" s="559"/>
      <c r="C395" s="571"/>
      <c r="D395" s="1752"/>
      <c r="E395" s="1737"/>
      <c r="F395" s="1737"/>
      <c r="G395" s="1737"/>
      <c r="H395" s="1737"/>
      <c r="I395" s="1737"/>
      <c r="J395" s="1702">
        <f>Table378910111213141516[[#This Row],[Quantity]]*Table378910111213141516[[#This Row],[Unit Price]]</f>
        <v>0</v>
      </c>
      <c r="K395" s="1737"/>
      <c r="L395" s="1755"/>
      <c r="M395" s="1754"/>
      <c r="N395" s="1754"/>
      <c r="O395" s="1754"/>
      <c r="P395" s="1754"/>
      <c r="Q395" s="1754"/>
      <c r="R395" s="595" cm="1">
        <f t="array" ref="R395">INDEX(Table378910111213141516[[#This Row],[P1]:[P5]],1,$H$34)</f>
        <v>0</v>
      </c>
      <c r="S395" s="567"/>
    </row>
    <row r="396" spans="1:25" ht="15" customHeight="1" outlineLevel="1" x14ac:dyDescent="0.25">
      <c r="B396" s="559"/>
      <c r="C396" s="571"/>
      <c r="D396" s="1752"/>
      <c r="E396" s="1737"/>
      <c r="F396" s="1737"/>
      <c r="G396" s="1737"/>
      <c r="H396" s="1737"/>
      <c r="I396" s="1737"/>
      <c r="J396" s="1702">
        <f>Table378910111213141516[[#This Row],[Quantity]]*Table378910111213141516[[#This Row],[Unit Price]]</f>
        <v>0</v>
      </c>
      <c r="K396" s="1737"/>
      <c r="L396" s="1753"/>
      <c r="M396" s="1754"/>
      <c r="N396" s="1754"/>
      <c r="O396" s="1754"/>
      <c r="P396" s="1754"/>
      <c r="Q396" s="1754"/>
      <c r="R396" s="595" cm="1">
        <f t="array" ref="R396">INDEX(Table378910111213141516[[#This Row],[P1]:[P5]],1,$H$34)</f>
        <v>0</v>
      </c>
      <c r="S396" s="567"/>
    </row>
    <row r="397" spans="1:25" ht="15" customHeight="1" outlineLevel="1" x14ac:dyDescent="0.25">
      <c r="B397" s="559"/>
      <c r="C397" s="571"/>
      <c r="D397" s="1752"/>
      <c r="E397" s="1737"/>
      <c r="F397" s="1737"/>
      <c r="G397" s="1737"/>
      <c r="H397" s="1737"/>
      <c r="I397" s="1737"/>
      <c r="J397" s="1702">
        <f>Table378910111213141516[[#This Row],[Quantity]]*Table378910111213141516[[#This Row],[Unit Price]]</f>
        <v>0</v>
      </c>
      <c r="K397" s="1737"/>
      <c r="L397" s="1755"/>
      <c r="M397" s="1754"/>
      <c r="N397" s="1754"/>
      <c r="O397" s="1754"/>
      <c r="P397" s="1754"/>
      <c r="Q397" s="1754"/>
      <c r="R397" s="595" cm="1">
        <f t="array" ref="R397">INDEX(Table378910111213141516[[#This Row],[P1]:[P5]],1,$H$34)</f>
        <v>0</v>
      </c>
      <c r="S397" s="567"/>
    </row>
    <row r="398" spans="1:25" ht="15" customHeight="1" outlineLevel="1" x14ac:dyDescent="0.25">
      <c r="B398" s="559"/>
      <c r="C398" s="571"/>
      <c r="D398" s="1752"/>
      <c r="E398" s="1737"/>
      <c r="F398" s="1737"/>
      <c r="G398" s="1737"/>
      <c r="H398" s="1737"/>
      <c r="I398" s="1737"/>
      <c r="J398" s="1702">
        <f>Table378910111213141516[[#This Row],[Quantity]]*Table378910111213141516[[#This Row],[Unit Price]]</f>
        <v>0</v>
      </c>
      <c r="K398" s="1737"/>
      <c r="L398" s="1755"/>
      <c r="M398" s="1754"/>
      <c r="N398" s="1754"/>
      <c r="O398" s="1754"/>
      <c r="P398" s="1754"/>
      <c r="Q398" s="1754"/>
      <c r="R398" s="595" cm="1">
        <f t="array" ref="R398">INDEX(Table378910111213141516[[#This Row],[P1]:[P5]],1,$H$34)</f>
        <v>0</v>
      </c>
      <c r="S398" s="567"/>
    </row>
    <row r="399" spans="1:25" s="276" customFormat="1" ht="15" customHeight="1" outlineLevel="1" x14ac:dyDescent="0.25">
      <c r="A399" s="274"/>
      <c r="B399" s="559"/>
      <c r="C399" s="571"/>
      <c r="D399" s="1752"/>
      <c r="E399" s="1737"/>
      <c r="F399" s="1737"/>
      <c r="G399" s="1737"/>
      <c r="H399" s="1737"/>
      <c r="I399" s="1737"/>
      <c r="J399" s="1702">
        <f>Table378910111213141516[[#This Row],[Quantity]]*Table378910111213141516[[#This Row],[Unit Price]]</f>
        <v>0</v>
      </c>
      <c r="K399" s="1737"/>
      <c r="L399" s="1755"/>
      <c r="M399" s="1754"/>
      <c r="N399" s="1754"/>
      <c r="O399" s="1754"/>
      <c r="P399" s="1754"/>
      <c r="Q399" s="1754"/>
      <c r="R399" s="595" cm="1">
        <f t="array" ref="R399">INDEX(Table378910111213141516[[#This Row],[P1]:[P5]],1,$H$34)</f>
        <v>0</v>
      </c>
      <c r="S399" s="567"/>
      <c r="T399" s="274"/>
      <c r="U399" s="274"/>
      <c r="V399" s="274"/>
      <c r="W399" s="274"/>
      <c r="X399" s="274"/>
      <c r="Y399" s="274"/>
    </row>
    <row r="400" spans="1:25" s="276" customFormat="1" ht="15" customHeight="1" outlineLevel="1" x14ac:dyDescent="0.25">
      <c r="B400" s="559"/>
      <c r="C400" s="571"/>
      <c r="D400" s="1752"/>
      <c r="E400" s="1737"/>
      <c r="F400" s="1737"/>
      <c r="G400" s="1737"/>
      <c r="H400" s="1737"/>
      <c r="I400" s="1737"/>
      <c r="J400" s="1702">
        <f>Table378910111213141516[[#This Row],[Quantity]]*Table378910111213141516[[#This Row],[Unit Price]]</f>
        <v>0</v>
      </c>
      <c r="K400" s="1737"/>
      <c r="L400" s="1755"/>
      <c r="M400" s="1754"/>
      <c r="N400" s="1754"/>
      <c r="O400" s="1754"/>
      <c r="P400" s="1754"/>
      <c r="Q400" s="1754"/>
      <c r="R400" s="595" cm="1">
        <f t="array" ref="R400">INDEX(Table378910111213141516[[#This Row],[P1]:[P5]],1,$H$34)</f>
        <v>0</v>
      </c>
      <c r="S400" s="567"/>
      <c r="T400" s="274"/>
      <c r="U400" s="274"/>
      <c r="V400" s="274"/>
      <c r="W400" s="274"/>
      <c r="X400" s="274"/>
      <c r="Y400" s="274"/>
    </row>
    <row r="401" spans="1:25" s="276" customFormat="1" ht="15" customHeight="1" outlineLevel="1" x14ac:dyDescent="0.25">
      <c r="B401" s="559"/>
      <c r="C401" s="571"/>
      <c r="D401" s="1752"/>
      <c r="E401" s="1737"/>
      <c r="F401" s="1737"/>
      <c r="G401" s="1737"/>
      <c r="H401" s="1737"/>
      <c r="I401" s="1737"/>
      <c r="J401" s="1702">
        <f>Table378910111213141516[[#This Row],[Quantity]]*Table378910111213141516[[#This Row],[Unit Price]]</f>
        <v>0</v>
      </c>
      <c r="K401" s="1737"/>
      <c r="L401" s="1755"/>
      <c r="M401" s="1754"/>
      <c r="N401" s="1754"/>
      <c r="O401" s="1754"/>
      <c r="P401" s="1754"/>
      <c r="Q401" s="1754"/>
      <c r="R401" s="595" cm="1">
        <f t="array" ref="R401">INDEX(Table378910111213141516[[#This Row],[P1]:[P5]],1,$H$34)</f>
        <v>0</v>
      </c>
      <c r="S401" s="567"/>
    </row>
    <row r="402" spans="1:25" s="276" customFormat="1" ht="15" customHeight="1" outlineLevel="1" x14ac:dyDescent="0.25">
      <c r="B402" s="559"/>
      <c r="C402" s="571"/>
      <c r="D402" s="1752"/>
      <c r="E402" s="1737"/>
      <c r="F402" s="1737"/>
      <c r="G402" s="1737"/>
      <c r="H402" s="1737"/>
      <c r="I402" s="1737"/>
      <c r="J402" s="1702">
        <f>Table378910111213141516[[#This Row],[Quantity]]*Table378910111213141516[[#This Row],[Unit Price]]</f>
        <v>0</v>
      </c>
      <c r="K402" s="1737"/>
      <c r="L402" s="1755"/>
      <c r="M402" s="1754"/>
      <c r="N402" s="1754"/>
      <c r="O402" s="1754"/>
      <c r="P402" s="1754"/>
      <c r="Q402" s="1754"/>
      <c r="R402" s="595" cm="1">
        <f t="array" ref="R402">INDEX(Table378910111213141516[[#This Row],[P1]:[P5]],1,$H$34)</f>
        <v>0</v>
      </c>
      <c r="S402" s="567"/>
    </row>
    <row r="403" spans="1:25" s="276" customFormat="1" ht="15" customHeight="1" outlineLevel="1" x14ac:dyDescent="0.25">
      <c r="B403" s="559"/>
      <c r="C403" s="571"/>
      <c r="D403" s="1752"/>
      <c r="E403" s="1737"/>
      <c r="F403" s="1737"/>
      <c r="G403" s="1737"/>
      <c r="H403" s="1737"/>
      <c r="I403" s="1737"/>
      <c r="J403" s="1702">
        <f>Table378910111213141516[[#This Row],[Quantity]]*Table378910111213141516[[#This Row],[Unit Price]]</f>
        <v>0</v>
      </c>
      <c r="K403" s="1737"/>
      <c r="L403" s="1753"/>
      <c r="M403" s="1754"/>
      <c r="N403" s="1754"/>
      <c r="O403" s="1754"/>
      <c r="P403" s="1754"/>
      <c r="Q403" s="1754"/>
      <c r="R403" s="595" cm="1">
        <f t="array" ref="R403">INDEX(Table378910111213141516[[#This Row],[P1]:[P5]],1,$H$34)</f>
        <v>0</v>
      </c>
      <c r="S403" s="567"/>
    </row>
    <row r="404" spans="1:25" s="276" customFormat="1" ht="15" customHeight="1" outlineLevel="1" x14ac:dyDescent="0.25">
      <c r="B404" s="559"/>
      <c r="C404" s="571"/>
      <c r="D404" s="1752"/>
      <c r="E404" s="1737"/>
      <c r="F404" s="1737"/>
      <c r="G404" s="1737"/>
      <c r="H404" s="1737"/>
      <c r="I404" s="1737"/>
      <c r="J404" s="1702">
        <f>Table378910111213141516[[#This Row],[Quantity]]*Table378910111213141516[[#This Row],[Unit Price]]</f>
        <v>0</v>
      </c>
      <c r="K404" s="1737"/>
      <c r="L404" s="1755"/>
      <c r="M404" s="1754"/>
      <c r="N404" s="1754"/>
      <c r="O404" s="1754"/>
      <c r="P404" s="1754"/>
      <c r="Q404" s="1754"/>
      <c r="R404" s="595" cm="1">
        <f t="array" ref="R404">INDEX(Table378910111213141516[[#This Row],[P1]:[P5]],1,$H$34)</f>
        <v>0</v>
      </c>
      <c r="S404" s="567"/>
    </row>
    <row r="405" spans="1:25" s="276" customFormat="1" ht="15" customHeight="1" outlineLevel="1" x14ac:dyDescent="0.25">
      <c r="B405" s="559"/>
      <c r="C405" s="571"/>
      <c r="D405" s="1752"/>
      <c r="E405" s="1737"/>
      <c r="F405" s="1737"/>
      <c r="G405" s="1737"/>
      <c r="H405" s="1737"/>
      <c r="I405" s="1737"/>
      <c r="J405" s="1702">
        <f>Table378910111213141516[[#This Row],[Quantity]]*Table378910111213141516[[#This Row],[Unit Price]]</f>
        <v>0</v>
      </c>
      <c r="K405" s="1737"/>
      <c r="L405" s="1755"/>
      <c r="M405" s="1754"/>
      <c r="N405" s="1754"/>
      <c r="O405" s="1754"/>
      <c r="P405" s="1754"/>
      <c r="Q405" s="1754"/>
      <c r="R405" s="595" cm="1">
        <f t="array" ref="R405">INDEX(Table378910111213141516[[#This Row],[P1]:[P5]],1,$H$34)</f>
        <v>0</v>
      </c>
      <c r="S405" s="567"/>
    </row>
    <row r="406" spans="1:25" outlineLevel="1" x14ac:dyDescent="0.25">
      <c r="A406" s="276"/>
      <c r="B406" s="559"/>
      <c r="C406" s="571"/>
      <c r="D406" s="1752"/>
      <c r="E406" s="1737"/>
      <c r="F406" s="1737"/>
      <c r="G406" s="1737"/>
      <c r="H406" s="1737"/>
      <c r="I406" s="1737"/>
      <c r="J406" s="1702">
        <f>Table378910111213141516[[#This Row],[Quantity]]*Table378910111213141516[[#This Row],[Unit Price]]</f>
        <v>0</v>
      </c>
      <c r="K406" s="1737"/>
      <c r="L406" s="1755"/>
      <c r="M406" s="1754"/>
      <c r="N406" s="1754"/>
      <c r="O406" s="1754"/>
      <c r="P406" s="1754"/>
      <c r="Q406" s="1754"/>
      <c r="R406" s="595" cm="1">
        <f t="array" ref="R406">INDEX(Table378910111213141516[[#This Row],[P1]:[P5]],1,$H$34)</f>
        <v>0</v>
      </c>
      <c r="S406" s="567"/>
      <c r="T406" s="276"/>
      <c r="U406" s="276"/>
      <c r="V406" s="276"/>
      <c r="W406" s="276"/>
      <c r="X406" s="276"/>
      <c r="Y406" s="276"/>
    </row>
    <row r="407" spans="1:25" outlineLevel="1" x14ac:dyDescent="0.25">
      <c r="B407" s="559"/>
      <c r="C407" s="571"/>
      <c r="D407" s="1752"/>
      <c r="E407" s="1737"/>
      <c r="F407" s="1737"/>
      <c r="G407" s="1737"/>
      <c r="H407" s="1737"/>
      <c r="I407" s="1737"/>
      <c r="J407" s="1702">
        <f>Table378910111213141516[[#This Row],[Quantity]]*Table378910111213141516[[#This Row],[Unit Price]]</f>
        <v>0</v>
      </c>
      <c r="K407" s="1737"/>
      <c r="L407" s="1755"/>
      <c r="M407" s="1754"/>
      <c r="N407" s="1754"/>
      <c r="O407" s="1754"/>
      <c r="P407" s="1754"/>
      <c r="Q407" s="1754"/>
      <c r="R407" s="595" cm="1">
        <f t="array" ref="R407">INDEX(Table378910111213141516[[#This Row],[P1]:[P5]],1,$H$34)</f>
        <v>0</v>
      </c>
      <c r="S407" s="567"/>
      <c r="T407" s="276"/>
      <c r="U407" s="276"/>
      <c r="V407" s="276"/>
      <c r="W407" s="276"/>
      <c r="X407" s="276"/>
      <c r="Y407" s="276"/>
    </row>
    <row r="408" spans="1:25" outlineLevel="1" x14ac:dyDescent="0.25">
      <c r="B408" s="559"/>
      <c r="C408" s="571"/>
      <c r="D408" s="1752"/>
      <c r="E408" s="1737"/>
      <c r="F408" s="1737"/>
      <c r="G408" s="1737"/>
      <c r="H408" s="1737"/>
      <c r="I408" s="1737"/>
      <c r="J408" s="1702">
        <f>Table378910111213141516[[#This Row],[Quantity]]*Table378910111213141516[[#This Row],[Unit Price]]</f>
        <v>0</v>
      </c>
      <c r="K408" s="1737"/>
      <c r="L408" s="1755"/>
      <c r="M408" s="1754"/>
      <c r="N408" s="1754"/>
      <c r="O408" s="1754"/>
      <c r="P408" s="1754"/>
      <c r="Q408" s="1754"/>
      <c r="R408" s="595" cm="1">
        <f t="array" ref="R408">INDEX(Table378910111213141516[[#This Row],[P1]:[P5]],1,$H$34)</f>
        <v>0</v>
      </c>
      <c r="S408" s="567"/>
    </row>
    <row r="409" spans="1:25" outlineLevel="1" x14ac:dyDescent="0.25">
      <c r="B409" s="559"/>
      <c r="C409" s="571"/>
      <c r="D409" s="1752"/>
      <c r="E409" s="1737"/>
      <c r="F409" s="1737"/>
      <c r="G409" s="1737"/>
      <c r="H409" s="1737"/>
      <c r="I409" s="1737"/>
      <c r="J409" s="1702">
        <f>Table378910111213141516[[#This Row],[Quantity]]*Table378910111213141516[[#This Row],[Unit Price]]</f>
        <v>0</v>
      </c>
      <c r="K409" s="1737"/>
      <c r="L409" s="1755"/>
      <c r="M409" s="1754"/>
      <c r="N409" s="1754"/>
      <c r="O409" s="1754"/>
      <c r="P409" s="1754"/>
      <c r="Q409" s="1754"/>
      <c r="R409" s="595" cm="1">
        <f t="array" ref="R409">INDEX(Table378910111213141516[[#This Row],[P1]:[P5]],1,$H$34)</f>
        <v>0</v>
      </c>
      <c r="S409" s="567"/>
    </row>
    <row r="410" spans="1:25" outlineLevel="1" x14ac:dyDescent="0.25">
      <c r="B410" s="559"/>
      <c r="C410" s="571"/>
      <c r="D410" s="1752"/>
      <c r="E410" s="1737"/>
      <c r="F410" s="1737"/>
      <c r="G410" s="1737"/>
      <c r="H410" s="1737"/>
      <c r="I410" s="1737"/>
      <c r="J410" s="1702">
        <f>Table378910111213141516[[#This Row],[Quantity]]*Table378910111213141516[[#This Row],[Unit Price]]</f>
        <v>0</v>
      </c>
      <c r="K410" s="1737"/>
      <c r="L410" s="1755"/>
      <c r="M410" s="1754"/>
      <c r="N410" s="1754"/>
      <c r="O410" s="1754"/>
      <c r="P410" s="1754"/>
      <c r="Q410" s="1754"/>
      <c r="R410" s="595" cm="1">
        <f t="array" ref="R410">INDEX(Table378910111213141516[[#This Row],[P1]:[P5]],1,$H$34)</f>
        <v>0</v>
      </c>
      <c r="S410" s="567"/>
    </row>
    <row r="411" spans="1:25" outlineLevel="1" x14ac:dyDescent="0.25">
      <c r="B411" s="559"/>
      <c r="C411" s="571"/>
      <c r="D411" s="1752"/>
      <c r="E411" s="1737"/>
      <c r="F411" s="1737"/>
      <c r="G411" s="1737"/>
      <c r="H411" s="1737"/>
      <c r="I411" s="1737"/>
      <c r="J411" s="1702">
        <f>Table378910111213141516[[#This Row],[Quantity]]*Table378910111213141516[[#This Row],[Unit Price]]</f>
        <v>0</v>
      </c>
      <c r="K411" s="1737"/>
      <c r="L411" s="1755"/>
      <c r="M411" s="1754"/>
      <c r="N411" s="1754"/>
      <c r="O411" s="1754"/>
      <c r="P411" s="1754"/>
      <c r="Q411" s="1754"/>
      <c r="R411" s="595" cm="1">
        <f t="array" ref="R411">INDEX(Table378910111213141516[[#This Row],[P1]:[P5]],1,$H$34)</f>
        <v>0</v>
      </c>
      <c r="S411" s="567"/>
    </row>
    <row r="412" spans="1:25" outlineLevel="1" x14ac:dyDescent="0.25">
      <c r="B412" s="559"/>
      <c r="C412" s="571"/>
      <c r="D412" s="1752"/>
      <c r="E412" s="1737"/>
      <c r="F412" s="1737"/>
      <c r="G412" s="1737"/>
      <c r="H412" s="1737"/>
      <c r="I412" s="1737"/>
      <c r="J412" s="1702">
        <f>Table378910111213141516[[#This Row],[Quantity]]*Table378910111213141516[[#This Row],[Unit Price]]</f>
        <v>0</v>
      </c>
      <c r="K412" s="1737"/>
      <c r="L412" s="1755"/>
      <c r="M412" s="1754"/>
      <c r="N412" s="1754"/>
      <c r="O412" s="1754"/>
      <c r="P412" s="1754"/>
      <c r="Q412" s="1754"/>
      <c r="R412" s="596" cm="1">
        <f t="array" ref="R412">INDEX(Table378910111213141516[[#This Row],[P1]:[P5]],1,$H$34)</f>
        <v>0</v>
      </c>
      <c r="S412" s="567"/>
    </row>
    <row r="413" spans="1:25" outlineLevel="1" x14ac:dyDescent="0.25">
      <c r="B413" s="575"/>
      <c r="C413" s="9"/>
      <c r="D413" s="9"/>
      <c r="E413" s="9"/>
      <c r="F413" s="9"/>
      <c r="G413" s="9"/>
      <c r="H413" s="9"/>
      <c r="I413" s="9"/>
      <c r="J413" s="9"/>
      <c r="K413" s="9"/>
      <c r="L413" s="9"/>
      <c r="M413" s="9"/>
      <c r="N413" s="9"/>
      <c r="O413" s="9"/>
      <c r="P413" s="9"/>
      <c r="Q413" s="9"/>
      <c r="R413" s="9"/>
      <c r="S413" s="567"/>
    </row>
    <row r="414" spans="1:25" outlineLevel="1" x14ac:dyDescent="0.25">
      <c r="B414" s="575"/>
      <c r="C414" s="566">
        <v>2</v>
      </c>
      <c r="D414" s="380" t="s">
        <v>715</v>
      </c>
      <c r="E414" s="537"/>
      <c r="F414" s="593" t="s">
        <v>717</v>
      </c>
      <c r="G414" s="1742" t="s">
        <v>700</v>
      </c>
      <c r="H414" s="1770">
        <f>MATCH(G414,HIDE5!$U$13:$U$17,0)</f>
        <v>1</v>
      </c>
      <c r="I414" s="1771"/>
      <c r="J414" s="1771"/>
      <c r="K414" s="1771"/>
      <c r="L414" s="1771"/>
      <c r="M414" s="380" t="s">
        <v>718</v>
      </c>
      <c r="N414" s="380"/>
      <c r="O414" s="380"/>
      <c r="P414" s="380"/>
      <c r="Q414" s="380"/>
      <c r="R414" s="576"/>
      <c r="S414" s="567"/>
    </row>
    <row r="415" spans="1:25" outlineLevel="1" x14ac:dyDescent="0.25">
      <c r="B415" s="1767"/>
      <c r="C415" s="1768"/>
      <c r="D415" s="1768"/>
      <c r="E415" s="1768"/>
      <c r="F415" s="1768"/>
      <c r="G415" s="1768"/>
      <c r="H415" s="1768"/>
      <c r="I415" s="1768"/>
      <c r="J415" s="1769"/>
      <c r="K415" s="1769"/>
      <c r="L415" s="1769"/>
      <c r="M415" s="597" t="s">
        <v>700</v>
      </c>
      <c r="N415" s="597" t="s">
        <v>701</v>
      </c>
      <c r="O415" s="597" t="s">
        <v>702</v>
      </c>
      <c r="P415" s="597" t="s">
        <v>703</v>
      </c>
      <c r="Q415" s="597" t="s">
        <v>704</v>
      </c>
      <c r="R415" s="576"/>
      <c r="S415" s="567"/>
    </row>
    <row r="416" spans="1:25" outlineLevel="1" x14ac:dyDescent="0.25">
      <c r="B416" s="559"/>
      <c r="C416" s="1768"/>
      <c r="D416" s="586" t="str">
        <f>HIDE5!$X$3</f>
        <v>Appliances</v>
      </c>
      <c r="E416" s="1772">
        <f>SUMIFS(Table378910111213141516[Total],Table378910111213141516[Category],$D416,Table378910111213141516[Check],HIDE5!$Q$3)</f>
        <v>0</v>
      </c>
      <c r="F416" s="586" t="str">
        <f>HIDE5!$X$7</f>
        <v>Lighting</v>
      </c>
      <c r="G416" s="1772">
        <f>SUMIFS(Table378910111213141516[Total],Table378910111213141516[Category],$F416,Table378910111213141516[Check],HIDE5!$Q$3)</f>
        <v>0</v>
      </c>
      <c r="H416" s="1771"/>
      <c r="I416" s="1771"/>
      <c r="J416" s="1771"/>
      <c r="K416" s="1771"/>
      <c r="L416" s="1771"/>
      <c r="M416" s="1773">
        <f>SUMIF(Table378910111213141516[P1],HIDE5!$Q$3,Table378910111213141516[Total])</f>
        <v>0</v>
      </c>
      <c r="N416" s="1773">
        <f>SUMIF(Table378910111213141516[P2],HIDE5!$Q$3,Table378910111213141516[Total])</f>
        <v>0</v>
      </c>
      <c r="O416" s="1773">
        <f>SUMIF(Table378910111213141516[P3],HIDE5!$Q$3,Table378910111213141516[Total])</f>
        <v>0</v>
      </c>
      <c r="P416" s="1773">
        <f>SUMIF(Table378910111213141516[P4],HIDE5!$Q$3,Table378910111213141516[Total])</f>
        <v>0</v>
      </c>
      <c r="Q416" s="1773">
        <f>SUMIF(Table378910111213141516[P5],HIDE5!$Q$3,Table378910111213141516[Total])</f>
        <v>0</v>
      </c>
      <c r="R416" s="576"/>
      <c r="S416" s="567"/>
    </row>
    <row r="417" spans="1:25" ht="15" customHeight="1" outlineLevel="1" x14ac:dyDescent="0.25">
      <c r="B417" s="559"/>
      <c r="C417" s="1768"/>
      <c r="D417" s="586" t="str">
        <f>HIDE5!$X$4</f>
        <v>Furniture</v>
      </c>
      <c r="E417" s="1772">
        <f>SUMIFS(Table378910111213141516[Total],Table378910111213141516[Category],$D417,Table378910111213141516[Check],HIDE5!$Q$3)</f>
        <v>0</v>
      </c>
      <c r="F417" s="586" t="str">
        <f>HIDE5!$X$8</f>
        <v>Electronics</v>
      </c>
      <c r="G417" s="1772">
        <f>SUMIFS(Table378910111213141516[Total],Table378910111213141516[Category],$F417,Table378910111213141516[Check],HIDE5!$Q$3)</f>
        <v>0</v>
      </c>
      <c r="H417" s="1771"/>
      <c r="I417" s="1771"/>
      <c r="J417" s="1771"/>
      <c r="K417" s="1771"/>
      <c r="L417" s="1771"/>
      <c r="M417" s="1771"/>
      <c r="N417" s="1771"/>
      <c r="O417" s="1771"/>
      <c r="P417" s="1771"/>
      <c r="Q417" s="1771"/>
      <c r="R417" s="576"/>
      <c r="S417" s="567"/>
    </row>
    <row r="418" spans="1:25" s="558" customFormat="1" ht="15" customHeight="1" outlineLevel="1" x14ac:dyDescent="0.25">
      <c r="A418" s="274"/>
      <c r="B418" s="559"/>
      <c r="C418" s="1768"/>
      <c r="D418" s="586" t="str">
        <f>HIDE5!$X$5</f>
        <v>Kitchenware</v>
      </c>
      <c r="E418" s="1772">
        <f>SUMIFS(Table378910111213141516[Total],Table378910111213141516[Category],$D418,Table378910111213141516[Check],HIDE5!$Q$3)</f>
        <v>0</v>
      </c>
      <c r="F418" s="586" t="str">
        <f>HIDE5!$X$10</f>
        <v>Accessories</v>
      </c>
      <c r="G418" s="1772">
        <f>SUMIFS(Table378910111213141516[Total],Table378910111213141516[Category],$F418,Table378910111213141516[Check],HIDE5!$Q$3)</f>
        <v>0</v>
      </c>
      <c r="H418" s="1771"/>
      <c r="I418" s="1771"/>
      <c r="J418" s="1771"/>
      <c r="K418" s="1771"/>
      <c r="L418" s="1771"/>
      <c r="M418" s="1771"/>
      <c r="N418" s="1771"/>
      <c r="O418" s="1771"/>
      <c r="P418" s="1771"/>
      <c r="Q418" s="1771"/>
      <c r="R418" s="576"/>
      <c r="S418" s="567"/>
      <c r="T418" s="274"/>
      <c r="U418" s="274"/>
      <c r="V418" s="274"/>
      <c r="W418" s="274"/>
      <c r="X418" s="274"/>
      <c r="Y418" s="274"/>
    </row>
    <row r="419" spans="1:25" outlineLevel="1" x14ac:dyDescent="0.25">
      <c r="A419" s="558"/>
      <c r="B419" s="559"/>
      <c r="C419" s="1768"/>
      <c r="D419" s="586" t="str">
        <f>HIDE5!$X$6</f>
        <v>Bedding</v>
      </c>
      <c r="E419" s="1772">
        <f>SUMIFS(Table378910111213141516[Total],Table378910111213141516[Category],$D419,Table378910111213141516[Check],HIDE5!$Q$3)</f>
        <v>0</v>
      </c>
      <c r="F419" s="586" t="str">
        <f>HIDE5!$X$11</f>
        <v>Decor</v>
      </c>
      <c r="G419" s="1772">
        <f>SUMIFS(Table378910111213141516[Total],Table378910111213141516[Category],$F419,Table378910111213141516[Check],HIDE5!$Q$3)</f>
        <v>0</v>
      </c>
      <c r="H419" s="1771"/>
      <c r="I419" s="1771"/>
      <c r="J419" s="1771"/>
      <c r="K419" s="1771"/>
      <c r="L419" s="1771"/>
      <c r="M419" s="1771"/>
      <c r="N419" s="1771"/>
      <c r="O419" s="1771"/>
      <c r="P419" s="1771"/>
      <c r="Q419" s="1771"/>
      <c r="R419" s="576"/>
      <c r="S419" s="567"/>
    </row>
    <row r="420" spans="1:25" s="558" customFormat="1" ht="15" customHeight="1" outlineLevel="1" x14ac:dyDescent="0.25">
      <c r="A420" s="274"/>
      <c r="B420" s="559"/>
      <c r="C420" s="1772"/>
      <c r="D420" s="1772"/>
      <c r="E420" s="1772"/>
      <c r="F420" s="1772"/>
      <c r="G420" s="1772"/>
      <c r="H420" s="1771"/>
      <c r="I420" s="1771"/>
      <c r="J420" s="1771"/>
      <c r="K420" s="1771"/>
      <c r="L420" s="1771"/>
      <c r="M420" s="1771"/>
      <c r="N420" s="1771"/>
      <c r="O420" s="1771"/>
      <c r="P420" s="1771"/>
      <c r="Q420" s="1771"/>
      <c r="R420" s="576"/>
      <c r="S420" s="567"/>
    </row>
    <row r="421" spans="1:25" s="558" customFormat="1" ht="15" customHeight="1" outlineLevel="1" x14ac:dyDescent="0.25">
      <c r="B421" s="559"/>
      <c r="C421" s="1772"/>
      <c r="D421" s="591" t="s">
        <v>696</v>
      </c>
      <c r="E421" s="1774">
        <f>IFERROR(SUM(E416:E419,G416:G419),0)</f>
        <v>0</v>
      </c>
      <c r="F421" s="1771"/>
      <c r="G421" s="1771"/>
      <c r="H421" s="1771"/>
      <c r="I421" s="1771"/>
      <c r="J421" s="1771"/>
      <c r="K421" s="1771"/>
      <c r="L421" s="1771"/>
      <c r="M421" s="1771"/>
      <c r="N421" s="1771"/>
      <c r="O421" s="1771"/>
      <c r="P421" s="1772"/>
      <c r="Q421" s="1772"/>
      <c r="R421" s="577"/>
      <c r="S421" s="567"/>
      <c r="T421" s="274"/>
      <c r="U421" s="274"/>
      <c r="V421" s="274"/>
      <c r="W421" s="274"/>
      <c r="X421" s="274"/>
      <c r="Y421" s="274"/>
    </row>
    <row r="422" spans="1:25" ht="15" customHeight="1" x14ac:dyDescent="0.25">
      <c r="A422" s="558"/>
      <c r="B422" s="575"/>
      <c r="C422" s="9"/>
      <c r="D422" s="9"/>
      <c r="E422" s="9"/>
      <c r="F422" s="9"/>
      <c r="G422" s="9"/>
      <c r="H422" s="9"/>
      <c r="I422" s="9"/>
      <c r="J422" s="9"/>
      <c r="K422" s="9"/>
      <c r="L422" s="9"/>
      <c r="M422" s="9"/>
      <c r="N422" s="9"/>
      <c r="O422" s="9"/>
      <c r="P422" s="9"/>
      <c r="Q422" s="9"/>
      <c r="R422" s="9"/>
      <c r="S422" s="567"/>
      <c r="T422" s="558"/>
      <c r="U422" s="558"/>
      <c r="V422" s="558"/>
      <c r="W422" s="558"/>
      <c r="X422" s="558"/>
      <c r="Y422" s="558"/>
    </row>
    <row r="423" spans="1:25" x14ac:dyDescent="0.25">
      <c r="B423" s="561"/>
      <c r="C423" s="578"/>
      <c r="D423" s="578"/>
      <c r="E423" s="578"/>
      <c r="F423" s="578"/>
      <c r="G423" s="578"/>
      <c r="H423" s="578"/>
      <c r="I423" s="578"/>
      <c r="J423" s="578"/>
      <c r="K423" s="578"/>
      <c r="L423" s="578"/>
      <c r="M423" s="579"/>
      <c r="N423" s="579"/>
      <c r="O423" s="579"/>
      <c r="P423" s="579"/>
      <c r="Q423" s="579"/>
      <c r="R423" s="579"/>
      <c r="S423" s="580"/>
      <c r="T423" s="558"/>
      <c r="U423" s="558"/>
      <c r="V423" s="558"/>
      <c r="W423" s="558"/>
      <c r="X423" s="558"/>
      <c r="Y423" s="558"/>
    </row>
    <row r="424" spans="1:25" outlineLevel="1" x14ac:dyDescent="0.25"/>
    <row r="425" spans="1:25" outlineLevel="1" x14ac:dyDescent="0.25">
      <c r="B425" s="562">
        <v>12</v>
      </c>
      <c r="C425" s="563" t="str">
        <f>UPPER(DASHBOARD!$AP$69)</f>
        <v>GENERAL</v>
      </c>
      <c r="D425" s="564"/>
      <c r="E425" s="564"/>
      <c r="F425" s="564"/>
      <c r="G425" s="564"/>
      <c r="H425" s="564"/>
      <c r="I425" s="564"/>
      <c r="J425" s="564"/>
      <c r="K425" s="564"/>
      <c r="L425" s="564"/>
      <c r="M425" s="564"/>
      <c r="N425" s="564"/>
      <c r="O425" s="564"/>
      <c r="P425" s="564"/>
      <c r="Q425" s="564"/>
      <c r="R425" s="564"/>
      <c r="S425" s="565"/>
    </row>
    <row r="426" spans="1:25" outlineLevel="1" x14ac:dyDescent="0.25">
      <c r="B426" s="559"/>
      <c r="C426" s="9"/>
      <c r="D426" s="9"/>
      <c r="E426" s="9"/>
      <c r="F426" s="9"/>
      <c r="G426" s="9"/>
      <c r="H426" s="9"/>
      <c r="I426" s="9"/>
      <c r="J426" s="9"/>
      <c r="K426" s="9"/>
      <c r="L426" s="9"/>
      <c r="M426" s="9"/>
      <c r="N426" s="9"/>
      <c r="O426" s="9"/>
      <c r="P426" s="9"/>
      <c r="Q426" s="9"/>
      <c r="R426" s="9"/>
      <c r="S426" s="560"/>
    </row>
    <row r="427" spans="1:25" ht="15.75" customHeight="1" outlineLevel="1" x14ac:dyDescent="0.25">
      <c r="B427" s="559"/>
      <c r="C427" s="566">
        <v>1</v>
      </c>
      <c r="D427" s="380" t="s">
        <v>1147</v>
      </c>
      <c r="E427" s="537"/>
      <c r="F427" s="537"/>
      <c r="G427" s="537"/>
      <c r="H427" s="537"/>
      <c r="I427" s="537"/>
      <c r="J427" s="537"/>
      <c r="K427" s="537"/>
      <c r="L427" s="537"/>
      <c r="M427" s="568"/>
      <c r="N427" s="569"/>
      <c r="O427" s="569"/>
      <c r="P427" s="570"/>
      <c r="Q427" s="569"/>
      <c r="R427" s="569"/>
      <c r="S427" s="567"/>
    </row>
    <row r="428" spans="1:25" outlineLevel="1" x14ac:dyDescent="0.25">
      <c r="B428" s="559"/>
      <c r="C428" s="571"/>
      <c r="D428" s="572"/>
      <c r="E428" s="572"/>
      <c r="F428" s="572"/>
      <c r="G428" s="572"/>
      <c r="H428" s="572"/>
      <c r="I428" s="572"/>
      <c r="J428" s="573"/>
      <c r="K428" s="573"/>
      <c r="L428" s="573"/>
      <c r="M428" s="573"/>
      <c r="N428" s="573"/>
      <c r="O428" s="572"/>
      <c r="P428" s="571"/>
      <c r="Q428" s="574"/>
      <c r="R428" s="585"/>
      <c r="S428" s="567"/>
    </row>
    <row r="429" spans="1:25" outlineLevel="1" x14ac:dyDescent="0.25">
      <c r="B429" s="559"/>
      <c r="C429" s="571"/>
      <c r="D429" s="572"/>
      <c r="E429" s="572"/>
      <c r="F429" s="572"/>
      <c r="G429" s="572"/>
      <c r="H429" s="572"/>
      <c r="I429" s="572"/>
      <c r="J429" s="573"/>
      <c r="K429" s="573"/>
      <c r="L429" s="84"/>
      <c r="M429" s="2580" t="s">
        <v>719</v>
      </c>
      <c r="N429" s="2581"/>
      <c r="O429" s="2581"/>
      <c r="P429" s="2581"/>
      <c r="Q429" s="2581"/>
      <c r="R429" s="589"/>
      <c r="S429" s="567"/>
    </row>
    <row r="430" spans="1:25" outlineLevel="1" x14ac:dyDescent="0.25">
      <c r="B430" s="559"/>
      <c r="C430" s="571"/>
      <c r="D430" s="590" t="s">
        <v>633</v>
      </c>
      <c r="E430" s="587" t="s">
        <v>697</v>
      </c>
      <c r="F430" s="587" t="s">
        <v>438</v>
      </c>
      <c r="G430" s="587" t="s">
        <v>698</v>
      </c>
      <c r="H430" s="587" t="s">
        <v>662</v>
      </c>
      <c r="I430" s="587" t="s">
        <v>699</v>
      </c>
      <c r="J430" s="587" t="s">
        <v>20</v>
      </c>
      <c r="K430" s="587" t="s">
        <v>695</v>
      </c>
      <c r="L430" s="592" t="s">
        <v>716</v>
      </c>
      <c r="M430" s="588" t="s">
        <v>700</v>
      </c>
      <c r="N430" s="588" t="s">
        <v>701</v>
      </c>
      <c r="O430" s="588" t="s">
        <v>702</v>
      </c>
      <c r="P430" s="588" t="s">
        <v>703</v>
      </c>
      <c r="Q430" s="588" t="s">
        <v>704</v>
      </c>
      <c r="R430" s="588" t="s">
        <v>124</v>
      </c>
      <c r="S430" s="567"/>
    </row>
    <row r="431" spans="1:25" ht="14.4" outlineLevel="1" x14ac:dyDescent="0.25">
      <c r="B431" s="559"/>
      <c r="C431" s="571"/>
      <c r="D431" s="1752"/>
      <c r="E431" s="1737"/>
      <c r="F431" s="1737"/>
      <c r="G431" s="1737"/>
      <c r="H431" s="1737"/>
      <c r="I431" s="1737"/>
      <c r="J431" s="1702">
        <f>Table37891011121314151617[[#This Row],[Quantity]]*Table37891011121314151617[[#This Row],[Unit Price]]</f>
        <v>0</v>
      </c>
      <c r="K431" s="1737"/>
      <c r="L431" s="1753"/>
      <c r="M431" s="1754"/>
      <c r="N431" s="1754"/>
      <c r="O431" s="1754"/>
      <c r="P431" s="1754"/>
      <c r="Q431" s="1754"/>
      <c r="R431" s="594" cm="1">
        <f t="array" ref="R431">INDEX(Table37891011121314151617[[#This Row],[P1]:[P5]],1,$H$34)</f>
        <v>0</v>
      </c>
      <c r="S431" s="567"/>
    </row>
    <row r="432" spans="1:25" ht="15" customHeight="1" outlineLevel="1" x14ac:dyDescent="0.25">
      <c r="B432" s="559"/>
      <c r="C432" s="571"/>
      <c r="D432" s="1752"/>
      <c r="E432" s="1737"/>
      <c r="F432" s="1737"/>
      <c r="G432" s="1737"/>
      <c r="H432" s="1737"/>
      <c r="I432" s="1737"/>
      <c r="J432" s="1702">
        <f>Table37891011121314151617[[#This Row],[Quantity]]*Table37891011121314151617[[#This Row],[Unit Price]]</f>
        <v>0</v>
      </c>
      <c r="K432" s="1737"/>
      <c r="L432" s="1755"/>
      <c r="M432" s="1754"/>
      <c r="N432" s="1754"/>
      <c r="O432" s="1754"/>
      <c r="P432" s="1754"/>
      <c r="Q432" s="1754"/>
      <c r="R432" s="595" cm="1">
        <f t="array" ref="R432">INDEX(Table37891011121314151617[[#This Row],[P1]:[P5]],1,$H$34)</f>
        <v>0</v>
      </c>
      <c r="S432" s="567"/>
    </row>
    <row r="433" spans="1:25" ht="15" customHeight="1" outlineLevel="1" x14ac:dyDescent="0.25">
      <c r="B433" s="559"/>
      <c r="C433" s="571"/>
      <c r="D433" s="1752"/>
      <c r="E433" s="1737"/>
      <c r="F433" s="1737"/>
      <c r="G433" s="1737"/>
      <c r="H433" s="1737"/>
      <c r="I433" s="1737"/>
      <c r="J433" s="1702">
        <f>Table37891011121314151617[[#This Row],[Quantity]]*Table37891011121314151617[[#This Row],[Unit Price]]</f>
        <v>0</v>
      </c>
      <c r="K433" s="1737"/>
      <c r="L433" s="1755"/>
      <c r="M433" s="1754"/>
      <c r="N433" s="1754"/>
      <c r="O433" s="1754"/>
      <c r="P433" s="1754"/>
      <c r="Q433" s="1754"/>
      <c r="R433" s="595" cm="1">
        <f t="array" ref="R433">INDEX(Table37891011121314151617[[#This Row],[P1]:[P5]],1,$H$34)</f>
        <v>0</v>
      </c>
      <c r="S433" s="567"/>
    </row>
    <row r="434" spans="1:25" ht="15" customHeight="1" outlineLevel="1" x14ac:dyDescent="0.25">
      <c r="B434" s="559"/>
      <c r="C434" s="571"/>
      <c r="D434" s="1752"/>
      <c r="E434" s="1737"/>
      <c r="F434" s="1737"/>
      <c r="G434" s="1737"/>
      <c r="H434" s="1737"/>
      <c r="I434" s="1737"/>
      <c r="J434" s="1702">
        <f>Table37891011121314151617[[#This Row],[Quantity]]*Table37891011121314151617[[#This Row],[Unit Price]]</f>
        <v>0</v>
      </c>
      <c r="K434" s="1737"/>
      <c r="L434" s="1753"/>
      <c r="M434" s="1754"/>
      <c r="N434" s="1754"/>
      <c r="O434" s="1754"/>
      <c r="P434" s="1754"/>
      <c r="Q434" s="1754"/>
      <c r="R434" s="595" cm="1">
        <f t="array" ref="R434">INDEX(Table37891011121314151617[[#This Row],[P1]:[P5]],1,$H$34)</f>
        <v>0</v>
      </c>
      <c r="S434" s="567"/>
    </row>
    <row r="435" spans="1:25" ht="15" customHeight="1" outlineLevel="1" x14ac:dyDescent="0.25">
      <c r="B435" s="559"/>
      <c r="C435" s="571"/>
      <c r="D435" s="1752"/>
      <c r="E435" s="1737"/>
      <c r="F435" s="1737"/>
      <c r="G435" s="1737"/>
      <c r="H435" s="1737"/>
      <c r="I435" s="1737"/>
      <c r="J435" s="1702">
        <f>Table37891011121314151617[[#This Row],[Quantity]]*Table37891011121314151617[[#This Row],[Unit Price]]</f>
        <v>0</v>
      </c>
      <c r="K435" s="1737"/>
      <c r="L435" s="1755"/>
      <c r="M435" s="1754"/>
      <c r="N435" s="1754"/>
      <c r="O435" s="1754"/>
      <c r="P435" s="1754"/>
      <c r="Q435" s="1754"/>
      <c r="R435" s="595" cm="1">
        <f t="array" ref="R435">INDEX(Table37891011121314151617[[#This Row],[P1]:[P5]],1,$H$34)</f>
        <v>0</v>
      </c>
      <c r="S435" s="567"/>
    </row>
    <row r="436" spans="1:25" ht="15" customHeight="1" outlineLevel="1" x14ac:dyDescent="0.25">
      <c r="B436" s="559"/>
      <c r="C436" s="571"/>
      <c r="D436" s="1752"/>
      <c r="E436" s="1737"/>
      <c r="F436" s="1737"/>
      <c r="G436" s="1737"/>
      <c r="H436" s="1737"/>
      <c r="I436" s="1737"/>
      <c r="J436" s="1702">
        <f>Table37891011121314151617[[#This Row],[Quantity]]*Table37891011121314151617[[#This Row],[Unit Price]]</f>
        <v>0</v>
      </c>
      <c r="K436" s="1737"/>
      <c r="L436" s="1755"/>
      <c r="M436" s="1754"/>
      <c r="N436" s="1754"/>
      <c r="O436" s="1754"/>
      <c r="P436" s="1754"/>
      <c r="Q436" s="1754"/>
      <c r="R436" s="595" cm="1">
        <f t="array" ref="R436">INDEX(Table37891011121314151617[[#This Row],[P1]:[P5]],1,$H$34)</f>
        <v>0</v>
      </c>
      <c r="S436" s="567"/>
    </row>
    <row r="437" spans="1:25" s="276" customFormat="1" ht="15" customHeight="1" outlineLevel="1" x14ac:dyDescent="0.25">
      <c r="A437" s="274"/>
      <c r="B437" s="559"/>
      <c r="C437" s="571"/>
      <c r="D437" s="1752"/>
      <c r="E437" s="1737"/>
      <c r="F437" s="1737"/>
      <c r="G437" s="1737"/>
      <c r="H437" s="1737"/>
      <c r="I437" s="1737"/>
      <c r="J437" s="1702">
        <f>Table37891011121314151617[[#This Row],[Quantity]]*Table37891011121314151617[[#This Row],[Unit Price]]</f>
        <v>0</v>
      </c>
      <c r="K437" s="1737"/>
      <c r="L437" s="1755"/>
      <c r="M437" s="1754"/>
      <c r="N437" s="1754"/>
      <c r="O437" s="1754"/>
      <c r="P437" s="1754"/>
      <c r="Q437" s="1754"/>
      <c r="R437" s="595" cm="1">
        <f t="array" ref="R437">INDEX(Table37891011121314151617[[#This Row],[P1]:[P5]],1,$H$34)</f>
        <v>0</v>
      </c>
      <c r="S437" s="567"/>
      <c r="T437" s="274"/>
      <c r="U437" s="274"/>
      <c r="V437" s="274"/>
      <c r="W437" s="274"/>
      <c r="X437" s="274"/>
      <c r="Y437" s="274"/>
    </row>
    <row r="438" spans="1:25" s="276" customFormat="1" ht="15" customHeight="1" outlineLevel="1" x14ac:dyDescent="0.25">
      <c r="B438" s="559"/>
      <c r="C438" s="571"/>
      <c r="D438" s="1752"/>
      <c r="E438" s="1737"/>
      <c r="F438" s="1737"/>
      <c r="G438" s="1737"/>
      <c r="H438" s="1737"/>
      <c r="I438" s="1737"/>
      <c r="J438" s="1702">
        <f>Table37891011121314151617[[#This Row],[Quantity]]*Table37891011121314151617[[#This Row],[Unit Price]]</f>
        <v>0</v>
      </c>
      <c r="K438" s="1737"/>
      <c r="L438" s="1755"/>
      <c r="M438" s="1754"/>
      <c r="N438" s="1754"/>
      <c r="O438" s="1754"/>
      <c r="P438" s="1754"/>
      <c r="Q438" s="1754"/>
      <c r="R438" s="595" cm="1">
        <f t="array" ref="R438">INDEX(Table37891011121314151617[[#This Row],[P1]:[P5]],1,$H$34)</f>
        <v>0</v>
      </c>
      <c r="S438" s="567"/>
      <c r="T438" s="274"/>
      <c r="U438" s="274"/>
      <c r="V438" s="274"/>
      <c r="W438" s="274"/>
      <c r="X438" s="274"/>
      <c r="Y438" s="274"/>
    </row>
    <row r="439" spans="1:25" s="276" customFormat="1" ht="15" customHeight="1" outlineLevel="1" x14ac:dyDescent="0.25">
      <c r="B439" s="559"/>
      <c r="C439" s="571"/>
      <c r="D439" s="1752"/>
      <c r="E439" s="1737"/>
      <c r="F439" s="1737"/>
      <c r="G439" s="1737"/>
      <c r="H439" s="1737"/>
      <c r="I439" s="1737"/>
      <c r="J439" s="1702">
        <f>Table37891011121314151617[[#This Row],[Quantity]]*Table37891011121314151617[[#This Row],[Unit Price]]</f>
        <v>0</v>
      </c>
      <c r="K439" s="1737"/>
      <c r="L439" s="1755"/>
      <c r="M439" s="1754"/>
      <c r="N439" s="1754"/>
      <c r="O439" s="1754"/>
      <c r="P439" s="1754"/>
      <c r="Q439" s="1754"/>
      <c r="R439" s="595" cm="1">
        <f t="array" ref="R439">INDEX(Table37891011121314151617[[#This Row],[P1]:[P5]],1,$H$34)</f>
        <v>0</v>
      </c>
      <c r="S439" s="567"/>
    </row>
    <row r="440" spans="1:25" s="276" customFormat="1" ht="15" customHeight="1" outlineLevel="1" x14ac:dyDescent="0.25">
      <c r="B440" s="559"/>
      <c r="C440" s="571"/>
      <c r="D440" s="1752"/>
      <c r="E440" s="1737"/>
      <c r="F440" s="1737"/>
      <c r="G440" s="1737"/>
      <c r="H440" s="1737"/>
      <c r="I440" s="1737"/>
      <c r="J440" s="1702">
        <f>Table37891011121314151617[[#This Row],[Quantity]]*Table37891011121314151617[[#This Row],[Unit Price]]</f>
        <v>0</v>
      </c>
      <c r="K440" s="1737"/>
      <c r="L440" s="1755"/>
      <c r="M440" s="1754"/>
      <c r="N440" s="1754"/>
      <c r="O440" s="1754"/>
      <c r="P440" s="1754"/>
      <c r="Q440" s="1754"/>
      <c r="R440" s="595" cm="1">
        <f t="array" ref="R440">INDEX(Table37891011121314151617[[#This Row],[P1]:[P5]],1,$H$34)</f>
        <v>0</v>
      </c>
      <c r="S440" s="567"/>
    </row>
    <row r="441" spans="1:25" s="276" customFormat="1" ht="15" customHeight="1" outlineLevel="1" x14ac:dyDescent="0.25">
      <c r="B441" s="559"/>
      <c r="C441" s="571"/>
      <c r="D441" s="1752"/>
      <c r="E441" s="1737"/>
      <c r="F441" s="1737"/>
      <c r="G441" s="1737"/>
      <c r="H441" s="1737"/>
      <c r="I441" s="1737"/>
      <c r="J441" s="1702">
        <f>Table37891011121314151617[[#This Row],[Quantity]]*Table37891011121314151617[[#This Row],[Unit Price]]</f>
        <v>0</v>
      </c>
      <c r="K441" s="1737"/>
      <c r="L441" s="1753"/>
      <c r="M441" s="1754"/>
      <c r="N441" s="1754"/>
      <c r="O441" s="1754"/>
      <c r="P441" s="1754"/>
      <c r="Q441" s="1754"/>
      <c r="R441" s="595" cm="1">
        <f t="array" ref="R441">INDEX(Table37891011121314151617[[#This Row],[P1]:[P5]],1,$H$34)</f>
        <v>0</v>
      </c>
      <c r="S441" s="567"/>
    </row>
    <row r="442" spans="1:25" s="276" customFormat="1" ht="15" customHeight="1" outlineLevel="1" x14ac:dyDescent="0.25">
      <c r="B442" s="559"/>
      <c r="C442" s="571"/>
      <c r="D442" s="1752"/>
      <c r="E442" s="1737"/>
      <c r="F442" s="1737"/>
      <c r="G442" s="1737"/>
      <c r="H442" s="1737"/>
      <c r="I442" s="1737"/>
      <c r="J442" s="1702">
        <f>Table37891011121314151617[[#This Row],[Quantity]]*Table37891011121314151617[[#This Row],[Unit Price]]</f>
        <v>0</v>
      </c>
      <c r="K442" s="1737"/>
      <c r="L442" s="1755"/>
      <c r="M442" s="1754"/>
      <c r="N442" s="1754"/>
      <c r="O442" s="1754"/>
      <c r="P442" s="1754"/>
      <c r="Q442" s="1754"/>
      <c r="R442" s="595" cm="1">
        <f t="array" ref="R442">INDEX(Table37891011121314151617[[#This Row],[P1]:[P5]],1,$H$34)</f>
        <v>0</v>
      </c>
      <c r="S442" s="567"/>
    </row>
    <row r="443" spans="1:25" s="276" customFormat="1" ht="15" customHeight="1" outlineLevel="1" x14ac:dyDescent="0.25">
      <c r="B443" s="559"/>
      <c r="C443" s="571"/>
      <c r="D443" s="1752"/>
      <c r="E443" s="1737"/>
      <c r="F443" s="1737"/>
      <c r="G443" s="1737"/>
      <c r="H443" s="1737"/>
      <c r="I443" s="1737"/>
      <c r="J443" s="1702">
        <f>Table37891011121314151617[[#This Row],[Quantity]]*Table37891011121314151617[[#This Row],[Unit Price]]</f>
        <v>0</v>
      </c>
      <c r="K443" s="1737"/>
      <c r="L443" s="1755"/>
      <c r="M443" s="1754"/>
      <c r="N443" s="1754"/>
      <c r="O443" s="1754"/>
      <c r="P443" s="1754"/>
      <c r="Q443" s="1754"/>
      <c r="R443" s="595" cm="1">
        <f t="array" ref="R443">INDEX(Table37891011121314151617[[#This Row],[P1]:[P5]],1,$H$34)</f>
        <v>0</v>
      </c>
      <c r="S443" s="567"/>
    </row>
    <row r="444" spans="1:25" outlineLevel="1" x14ac:dyDescent="0.25">
      <c r="A444" s="276"/>
      <c r="B444" s="559"/>
      <c r="C444" s="571"/>
      <c r="D444" s="1752"/>
      <c r="E444" s="1737"/>
      <c r="F444" s="1737"/>
      <c r="G444" s="1737"/>
      <c r="H444" s="1737"/>
      <c r="I444" s="1737"/>
      <c r="J444" s="1702">
        <f>Table37891011121314151617[[#This Row],[Quantity]]*Table37891011121314151617[[#This Row],[Unit Price]]</f>
        <v>0</v>
      </c>
      <c r="K444" s="1737"/>
      <c r="L444" s="1755"/>
      <c r="M444" s="1754"/>
      <c r="N444" s="1754"/>
      <c r="O444" s="1754"/>
      <c r="P444" s="1754"/>
      <c r="Q444" s="1754"/>
      <c r="R444" s="595" cm="1">
        <f t="array" ref="R444">INDEX(Table37891011121314151617[[#This Row],[P1]:[P5]],1,$H$34)</f>
        <v>0</v>
      </c>
      <c r="S444" s="567"/>
      <c r="T444" s="276"/>
      <c r="U444" s="276"/>
      <c r="V444" s="276"/>
      <c r="W444" s="276"/>
      <c r="X444" s="276"/>
      <c r="Y444" s="276"/>
    </row>
    <row r="445" spans="1:25" outlineLevel="1" x14ac:dyDescent="0.25">
      <c r="B445" s="559"/>
      <c r="C445" s="571"/>
      <c r="D445" s="1752"/>
      <c r="E445" s="1737"/>
      <c r="F445" s="1737"/>
      <c r="G445" s="1737"/>
      <c r="H445" s="1737"/>
      <c r="I445" s="1737"/>
      <c r="J445" s="1702">
        <f>Table37891011121314151617[[#This Row],[Quantity]]*Table37891011121314151617[[#This Row],[Unit Price]]</f>
        <v>0</v>
      </c>
      <c r="K445" s="1737"/>
      <c r="L445" s="1755"/>
      <c r="M445" s="1754"/>
      <c r="N445" s="1754"/>
      <c r="O445" s="1754"/>
      <c r="P445" s="1754"/>
      <c r="Q445" s="1754"/>
      <c r="R445" s="595" cm="1">
        <f t="array" ref="R445">INDEX(Table37891011121314151617[[#This Row],[P1]:[P5]],1,$H$34)</f>
        <v>0</v>
      </c>
      <c r="S445" s="567"/>
      <c r="T445" s="276"/>
      <c r="U445" s="276"/>
      <c r="V445" s="276"/>
      <c r="W445" s="276"/>
      <c r="X445" s="276"/>
      <c r="Y445" s="276"/>
    </row>
    <row r="446" spans="1:25" outlineLevel="1" x14ac:dyDescent="0.25">
      <c r="B446" s="559"/>
      <c r="C446" s="571"/>
      <c r="D446" s="1752"/>
      <c r="E446" s="1737"/>
      <c r="F446" s="1737"/>
      <c r="G446" s="1737"/>
      <c r="H446" s="1737"/>
      <c r="I446" s="1737"/>
      <c r="J446" s="1702">
        <f>Table37891011121314151617[[#This Row],[Quantity]]*Table37891011121314151617[[#This Row],[Unit Price]]</f>
        <v>0</v>
      </c>
      <c r="K446" s="1737"/>
      <c r="L446" s="1755"/>
      <c r="M446" s="1754"/>
      <c r="N446" s="1754"/>
      <c r="O446" s="1754"/>
      <c r="P446" s="1754"/>
      <c r="Q446" s="1754"/>
      <c r="R446" s="595" cm="1">
        <f t="array" ref="R446">INDEX(Table37891011121314151617[[#This Row],[P1]:[P5]],1,$H$34)</f>
        <v>0</v>
      </c>
      <c r="S446" s="567"/>
    </row>
    <row r="447" spans="1:25" outlineLevel="1" x14ac:dyDescent="0.25">
      <c r="B447" s="559"/>
      <c r="C447" s="571"/>
      <c r="D447" s="1752"/>
      <c r="E447" s="1737"/>
      <c r="F447" s="1737"/>
      <c r="G447" s="1737"/>
      <c r="H447" s="1737"/>
      <c r="I447" s="1737"/>
      <c r="J447" s="1702">
        <f>Table37891011121314151617[[#This Row],[Quantity]]*Table37891011121314151617[[#This Row],[Unit Price]]</f>
        <v>0</v>
      </c>
      <c r="K447" s="1737"/>
      <c r="L447" s="1755"/>
      <c r="M447" s="1754"/>
      <c r="N447" s="1754"/>
      <c r="O447" s="1754"/>
      <c r="P447" s="1754"/>
      <c r="Q447" s="1754"/>
      <c r="R447" s="595" cm="1">
        <f t="array" ref="R447">INDEX(Table37891011121314151617[[#This Row],[P1]:[P5]],1,$H$34)</f>
        <v>0</v>
      </c>
      <c r="S447" s="567"/>
    </row>
    <row r="448" spans="1:25" outlineLevel="1" x14ac:dyDescent="0.25">
      <c r="B448" s="559"/>
      <c r="C448" s="571"/>
      <c r="D448" s="1752"/>
      <c r="E448" s="1737"/>
      <c r="F448" s="1737"/>
      <c r="G448" s="1737"/>
      <c r="H448" s="1737"/>
      <c r="I448" s="1737"/>
      <c r="J448" s="1702">
        <f>Table37891011121314151617[[#This Row],[Quantity]]*Table37891011121314151617[[#This Row],[Unit Price]]</f>
        <v>0</v>
      </c>
      <c r="K448" s="1737"/>
      <c r="L448" s="1755"/>
      <c r="M448" s="1754"/>
      <c r="N448" s="1754"/>
      <c r="O448" s="1754"/>
      <c r="P448" s="1754"/>
      <c r="Q448" s="1754"/>
      <c r="R448" s="595" cm="1">
        <f t="array" ref="R448">INDEX(Table37891011121314151617[[#This Row],[P1]:[P5]],1,$H$34)</f>
        <v>0</v>
      </c>
      <c r="S448" s="567"/>
    </row>
    <row r="449" spans="1:25" outlineLevel="1" x14ac:dyDescent="0.25">
      <c r="B449" s="559"/>
      <c r="C449" s="571"/>
      <c r="D449" s="1752"/>
      <c r="E449" s="1737"/>
      <c r="F449" s="1737"/>
      <c r="G449" s="1737"/>
      <c r="H449" s="1737"/>
      <c r="I449" s="1737"/>
      <c r="J449" s="1702">
        <f>Table37891011121314151617[[#This Row],[Quantity]]*Table37891011121314151617[[#This Row],[Unit Price]]</f>
        <v>0</v>
      </c>
      <c r="K449" s="1737"/>
      <c r="L449" s="1755"/>
      <c r="M449" s="1754"/>
      <c r="N449" s="1754"/>
      <c r="O449" s="1754"/>
      <c r="P449" s="1754"/>
      <c r="Q449" s="1754"/>
      <c r="R449" s="595" cm="1">
        <f t="array" ref="R449">INDEX(Table37891011121314151617[[#This Row],[P1]:[P5]],1,$H$34)</f>
        <v>0</v>
      </c>
      <c r="S449" s="567"/>
    </row>
    <row r="450" spans="1:25" outlineLevel="1" x14ac:dyDescent="0.25">
      <c r="B450" s="559"/>
      <c r="C450" s="571"/>
      <c r="D450" s="1752"/>
      <c r="E450" s="1737"/>
      <c r="F450" s="1737"/>
      <c r="G450" s="1737"/>
      <c r="H450" s="1737"/>
      <c r="I450" s="1737"/>
      <c r="J450" s="1702">
        <f>Table37891011121314151617[[#This Row],[Quantity]]*Table37891011121314151617[[#This Row],[Unit Price]]</f>
        <v>0</v>
      </c>
      <c r="K450" s="1737"/>
      <c r="L450" s="1755"/>
      <c r="M450" s="1754"/>
      <c r="N450" s="1754"/>
      <c r="O450" s="1754"/>
      <c r="P450" s="1754"/>
      <c r="Q450" s="1754"/>
      <c r="R450" s="596" cm="1">
        <f t="array" ref="R450">INDEX(Table37891011121314151617[[#This Row],[P1]:[P5]],1,$H$34)</f>
        <v>0</v>
      </c>
      <c r="S450" s="567"/>
    </row>
    <row r="451" spans="1:25" outlineLevel="1" x14ac:dyDescent="0.25">
      <c r="B451" s="575"/>
      <c r="C451" s="9"/>
      <c r="D451" s="9"/>
      <c r="E451" s="9"/>
      <c r="F451" s="9"/>
      <c r="G451" s="9"/>
      <c r="H451" s="9"/>
      <c r="I451" s="9"/>
      <c r="J451" s="9"/>
      <c r="K451" s="9"/>
      <c r="L451" s="9"/>
      <c r="M451" s="9"/>
      <c r="N451" s="9"/>
      <c r="O451" s="9"/>
      <c r="P451" s="9"/>
      <c r="Q451" s="9"/>
      <c r="R451" s="9"/>
      <c r="S451" s="567"/>
    </row>
    <row r="452" spans="1:25" outlineLevel="1" x14ac:dyDescent="0.25">
      <c r="B452" s="575"/>
      <c r="C452" s="566">
        <v>2</v>
      </c>
      <c r="D452" s="380" t="s">
        <v>715</v>
      </c>
      <c r="E452" s="537"/>
      <c r="F452" s="593" t="s">
        <v>717</v>
      </c>
      <c r="G452" s="1742" t="s">
        <v>700</v>
      </c>
      <c r="H452" s="1770">
        <f>MATCH(G452,HIDE5!$U$13:$U$17,0)</f>
        <v>1</v>
      </c>
      <c r="I452" s="1771"/>
      <c r="J452" s="1771"/>
      <c r="K452" s="1771"/>
      <c r="L452" s="1771"/>
      <c r="M452" s="380" t="s">
        <v>718</v>
      </c>
      <c r="N452" s="380"/>
      <c r="O452" s="380"/>
      <c r="P452" s="380"/>
      <c r="Q452" s="380"/>
      <c r="R452" s="576"/>
      <c r="S452" s="567"/>
    </row>
    <row r="453" spans="1:25" outlineLevel="1" x14ac:dyDescent="0.25">
      <c r="B453" s="1767"/>
      <c r="C453" s="1768"/>
      <c r="D453" s="1768"/>
      <c r="E453" s="1768"/>
      <c r="F453" s="1768"/>
      <c r="G453" s="1768"/>
      <c r="H453" s="1768"/>
      <c r="I453" s="1768"/>
      <c r="J453" s="1769"/>
      <c r="K453" s="1769"/>
      <c r="L453" s="1769"/>
      <c r="M453" s="597" t="s">
        <v>700</v>
      </c>
      <c r="N453" s="597" t="s">
        <v>701</v>
      </c>
      <c r="O453" s="597" t="s">
        <v>702</v>
      </c>
      <c r="P453" s="597" t="s">
        <v>703</v>
      </c>
      <c r="Q453" s="597" t="s">
        <v>704</v>
      </c>
      <c r="R453" s="576"/>
      <c r="S453" s="567"/>
    </row>
    <row r="454" spans="1:25" outlineLevel="1" x14ac:dyDescent="0.25">
      <c r="B454" s="559"/>
      <c r="C454" s="1768"/>
      <c r="D454" s="586" t="str">
        <f>HIDE5!$X$3</f>
        <v>Appliances</v>
      </c>
      <c r="E454" s="1772">
        <f>SUMIFS(Table37891011121314151617[Total],Table37891011121314151617[Category],$D454,Table37891011121314151617[Check],HIDE5!$Q$3)</f>
        <v>0</v>
      </c>
      <c r="F454" s="586" t="str">
        <f>HIDE5!$X$7</f>
        <v>Lighting</v>
      </c>
      <c r="G454" s="1772">
        <f>SUMIFS(Table37891011121314151617[Total],Table37891011121314151617[Category],$F454,Table37891011121314151617[Check],HIDE5!$Q$3)</f>
        <v>0</v>
      </c>
      <c r="H454" s="1771"/>
      <c r="I454" s="1771"/>
      <c r="J454" s="1771"/>
      <c r="K454" s="1771"/>
      <c r="L454" s="1771"/>
      <c r="M454" s="1773">
        <f>SUMIF(Table37891011121314151617[P1],HIDE5!$Q$3,Table37891011121314151617[Total])</f>
        <v>0</v>
      </c>
      <c r="N454" s="1773">
        <f>SUMIF(Table37891011121314151617[P2],HIDE5!$Q$3,Table37891011121314151617[Total])</f>
        <v>0</v>
      </c>
      <c r="O454" s="1773">
        <f>SUMIF(Table37891011121314151617[P3],HIDE5!$Q$3,Table37891011121314151617[Total])</f>
        <v>0</v>
      </c>
      <c r="P454" s="1773">
        <f>SUMIF(Table37891011121314151617[P4],HIDE5!$Q$3,Table37891011121314151617[Total])</f>
        <v>0</v>
      </c>
      <c r="Q454" s="1773">
        <f>SUMIF(Table37891011121314151617[P5],HIDE5!$Q$3,Table37891011121314151617[Total])</f>
        <v>0</v>
      </c>
      <c r="R454" s="576"/>
      <c r="S454" s="567"/>
    </row>
    <row r="455" spans="1:25" ht="15" customHeight="1" outlineLevel="1" x14ac:dyDescent="0.25">
      <c r="B455" s="559"/>
      <c r="C455" s="1768"/>
      <c r="D455" s="586" t="str">
        <f>HIDE5!$X$4</f>
        <v>Furniture</v>
      </c>
      <c r="E455" s="1772">
        <f>SUMIFS(Table37891011121314151617[Total],Table37891011121314151617[Category],$D455,Table37891011121314151617[Check],HIDE5!$Q$3)</f>
        <v>0</v>
      </c>
      <c r="F455" s="586" t="str">
        <f>HIDE5!$X$8</f>
        <v>Electronics</v>
      </c>
      <c r="G455" s="1772">
        <f>SUMIFS(Table37891011121314151617[Total],Table37891011121314151617[Category],$F455,Table37891011121314151617[Check],HIDE5!$Q$3)</f>
        <v>0</v>
      </c>
      <c r="H455" s="1771"/>
      <c r="I455" s="1771"/>
      <c r="J455" s="1771"/>
      <c r="K455" s="1771"/>
      <c r="L455" s="1771"/>
      <c r="M455" s="1771"/>
      <c r="N455" s="1771"/>
      <c r="O455" s="1771"/>
      <c r="P455" s="1771"/>
      <c r="Q455" s="1771"/>
      <c r="R455" s="576"/>
      <c r="S455" s="567"/>
    </row>
    <row r="456" spans="1:25" s="558" customFormat="1" ht="15" customHeight="1" outlineLevel="1" x14ac:dyDescent="0.25">
      <c r="A456" s="274"/>
      <c r="B456" s="559"/>
      <c r="C456" s="1768"/>
      <c r="D456" s="586" t="str">
        <f>HIDE5!$X$5</f>
        <v>Kitchenware</v>
      </c>
      <c r="E456" s="1772">
        <f>SUMIFS(Table37891011121314151617[Total],Table37891011121314151617[Category],$D456,Table37891011121314151617[Check],HIDE5!$Q$3)</f>
        <v>0</v>
      </c>
      <c r="F456" s="586" t="str">
        <f>HIDE5!$X$10</f>
        <v>Accessories</v>
      </c>
      <c r="G456" s="1772">
        <f>SUMIFS(Table37891011121314151617[Total],Table37891011121314151617[Category],$F456,Table37891011121314151617[Check],HIDE5!$Q$3)</f>
        <v>0</v>
      </c>
      <c r="H456" s="1771"/>
      <c r="I456" s="1771"/>
      <c r="J456" s="1771"/>
      <c r="K456" s="1771"/>
      <c r="L456" s="1771"/>
      <c r="M456" s="1771"/>
      <c r="N456" s="1771"/>
      <c r="O456" s="1771"/>
      <c r="P456" s="1771"/>
      <c r="Q456" s="1771"/>
      <c r="R456" s="576"/>
      <c r="S456" s="567"/>
      <c r="T456" s="274"/>
      <c r="U456" s="274"/>
      <c r="V456" s="274"/>
      <c r="W456" s="274"/>
      <c r="X456" s="274"/>
      <c r="Y456" s="274"/>
    </row>
    <row r="457" spans="1:25" outlineLevel="1" x14ac:dyDescent="0.25">
      <c r="A457" s="558"/>
      <c r="B457" s="559"/>
      <c r="C457" s="1768"/>
      <c r="D457" s="586" t="str">
        <f>HIDE5!$X$6</f>
        <v>Bedding</v>
      </c>
      <c r="E457" s="1772">
        <f>SUMIFS(Table37891011121314151617[Total],Table37891011121314151617[Category],$D457,Table37891011121314151617[Check],HIDE5!$Q$3)</f>
        <v>0</v>
      </c>
      <c r="F457" s="586" t="str">
        <f>HIDE5!$X$11</f>
        <v>Decor</v>
      </c>
      <c r="G457" s="1772">
        <f>SUMIFS(Table37891011121314151617[Total],Table37891011121314151617[Category],$F457,Table37891011121314151617[Check],HIDE5!$Q$3)</f>
        <v>0</v>
      </c>
      <c r="H457" s="1771"/>
      <c r="I457" s="1771"/>
      <c r="J457" s="1771"/>
      <c r="K457" s="1771"/>
      <c r="L457" s="1771"/>
      <c r="M457" s="1771"/>
      <c r="N457" s="1771"/>
      <c r="O457" s="1771"/>
      <c r="P457" s="1771"/>
      <c r="Q457" s="1771"/>
      <c r="R457" s="576"/>
      <c r="S457" s="567"/>
    </row>
    <row r="458" spans="1:25" s="558" customFormat="1" ht="15" customHeight="1" outlineLevel="1" x14ac:dyDescent="0.25">
      <c r="A458" s="274"/>
      <c r="B458" s="559"/>
      <c r="C458" s="1772"/>
      <c r="D458" s="1772"/>
      <c r="E458" s="1772"/>
      <c r="F458" s="1772"/>
      <c r="G458" s="1772"/>
      <c r="H458" s="1771"/>
      <c r="I458" s="1771"/>
      <c r="J458" s="1771"/>
      <c r="K458" s="1771"/>
      <c r="L458" s="1771"/>
      <c r="M458" s="1771"/>
      <c r="N458" s="1771"/>
      <c r="O458" s="1771"/>
      <c r="P458" s="1771"/>
      <c r="Q458" s="1771"/>
      <c r="R458" s="576"/>
      <c r="S458" s="567"/>
    </row>
    <row r="459" spans="1:25" s="558" customFormat="1" ht="15" customHeight="1" outlineLevel="1" x14ac:dyDescent="0.25">
      <c r="B459" s="559"/>
      <c r="C459" s="1772"/>
      <c r="D459" s="591" t="s">
        <v>696</v>
      </c>
      <c r="E459" s="1774">
        <f>IFERROR(SUM(E454:E457,G454:G457),0)</f>
        <v>0</v>
      </c>
      <c r="F459" s="1771"/>
      <c r="G459" s="1771"/>
      <c r="H459" s="1771"/>
      <c r="I459" s="1771"/>
      <c r="J459" s="1771"/>
      <c r="K459" s="1771"/>
      <c r="L459" s="1771"/>
      <c r="M459" s="1771"/>
      <c r="N459" s="1771"/>
      <c r="O459" s="1771"/>
      <c r="P459" s="1772"/>
      <c r="Q459" s="1772"/>
      <c r="R459" s="577"/>
      <c r="S459" s="567"/>
      <c r="T459" s="274"/>
      <c r="U459" s="274"/>
      <c r="V459" s="274"/>
      <c r="W459" s="274"/>
      <c r="X459" s="274"/>
      <c r="Y459" s="274"/>
    </row>
    <row r="460" spans="1:25" ht="15" customHeight="1" x14ac:dyDescent="0.25">
      <c r="A460" s="558"/>
      <c r="B460" s="575"/>
      <c r="C460" s="9"/>
      <c r="D460" s="9"/>
      <c r="E460" s="9"/>
      <c r="F460" s="9"/>
      <c r="G460" s="9"/>
      <c r="H460" s="9"/>
      <c r="I460" s="9"/>
      <c r="J460" s="9"/>
      <c r="K460" s="9"/>
      <c r="L460" s="9"/>
      <c r="M460" s="9"/>
      <c r="N460" s="9"/>
      <c r="O460" s="9"/>
      <c r="P460" s="9"/>
      <c r="Q460" s="9"/>
      <c r="R460" s="9"/>
      <c r="S460" s="567"/>
      <c r="T460" s="558"/>
      <c r="U460" s="558"/>
      <c r="V460" s="558"/>
      <c r="W460" s="558"/>
      <c r="X460" s="558"/>
      <c r="Y460" s="558"/>
    </row>
    <row r="461" spans="1:25" x14ac:dyDescent="0.25">
      <c r="B461" s="561"/>
      <c r="C461" s="578"/>
      <c r="D461" s="578"/>
      <c r="E461" s="578"/>
      <c r="F461" s="578"/>
      <c r="G461" s="578"/>
      <c r="H461" s="578"/>
      <c r="I461" s="578"/>
      <c r="J461" s="578"/>
      <c r="K461" s="578"/>
      <c r="L461" s="578"/>
      <c r="M461" s="579"/>
      <c r="N461" s="579"/>
      <c r="O461" s="579"/>
      <c r="P461" s="579"/>
      <c r="Q461" s="579"/>
      <c r="R461" s="579"/>
      <c r="S461" s="580"/>
      <c r="T461" s="558"/>
      <c r="U461" s="558"/>
      <c r="V461" s="558"/>
      <c r="W461" s="558"/>
      <c r="X461" s="558"/>
      <c r="Y461" s="558"/>
    </row>
    <row r="462" spans="1:25" outlineLevel="1" x14ac:dyDescent="0.25"/>
    <row r="463" spans="1:25" outlineLevel="1" x14ac:dyDescent="0.25">
      <c r="B463" s="562">
        <v>13</v>
      </c>
      <c r="C463" s="563" t="str">
        <f>UPPER(DASHBOARD!$AP$70)</f>
        <v>BASEMENT</v>
      </c>
      <c r="D463" s="564"/>
      <c r="E463" s="564"/>
      <c r="F463" s="564"/>
      <c r="G463" s="564"/>
      <c r="H463" s="564"/>
      <c r="I463" s="564"/>
      <c r="J463" s="564"/>
      <c r="K463" s="564"/>
      <c r="L463" s="564"/>
      <c r="M463" s="564"/>
      <c r="N463" s="564"/>
      <c r="O463" s="564"/>
      <c r="P463" s="564"/>
      <c r="Q463" s="564"/>
      <c r="R463" s="564"/>
      <c r="S463" s="565"/>
    </row>
    <row r="464" spans="1:25" outlineLevel="1" x14ac:dyDescent="0.25">
      <c r="B464" s="559"/>
      <c r="C464" s="9"/>
      <c r="D464" s="9"/>
      <c r="E464" s="9"/>
      <c r="F464" s="9"/>
      <c r="G464" s="9"/>
      <c r="H464" s="9"/>
      <c r="I464" s="9"/>
      <c r="J464" s="9"/>
      <c r="K464" s="9"/>
      <c r="L464" s="9"/>
      <c r="M464" s="9"/>
      <c r="N464" s="9"/>
      <c r="O464" s="9"/>
      <c r="P464" s="9"/>
      <c r="Q464" s="9"/>
      <c r="R464" s="9"/>
      <c r="S464" s="560"/>
    </row>
    <row r="465" spans="1:25" ht="15.75" customHeight="1" outlineLevel="1" x14ac:dyDescent="0.25">
      <c r="B465" s="559"/>
      <c r="C465" s="566">
        <v>1</v>
      </c>
      <c r="D465" s="380" t="s">
        <v>1147</v>
      </c>
      <c r="E465" s="537"/>
      <c r="F465" s="537"/>
      <c r="G465" s="537"/>
      <c r="H465" s="537"/>
      <c r="I465" s="537"/>
      <c r="J465" s="537"/>
      <c r="K465" s="537"/>
      <c r="L465" s="537"/>
      <c r="M465" s="568"/>
      <c r="N465" s="569"/>
      <c r="O465" s="569"/>
      <c r="P465" s="570"/>
      <c r="Q465" s="569"/>
      <c r="R465" s="569"/>
      <c r="S465" s="567"/>
    </row>
    <row r="466" spans="1:25" outlineLevel="1" x14ac:dyDescent="0.25">
      <c r="B466" s="559"/>
      <c r="C466" s="571"/>
      <c r="D466" s="572"/>
      <c r="E466" s="572"/>
      <c r="F466" s="572"/>
      <c r="G466" s="572"/>
      <c r="H466" s="572"/>
      <c r="I466" s="572"/>
      <c r="J466" s="573"/>
      <c r="K466" s="573"/>
      <c r="L466" s="573"/>
      <c r="M466" s="573"/>
      <c r="N466" s="573"/>
      <c r="O466" s="572"/>
      <c r="P466" s="571"/>
      <c r="Q466" s="574"/>
      <c r="R466" s="585"/>
      <c r="S466" s="567"/>
    </row>
    <row r="467" spans="1:25" outlineLevel="1" x14ac:dyDescent="0.25">
      <c r="B467" s="559"/>
      <c r="C467" s="571"/>
      <c r="D467" s="572"/>
      <c r="E467" s="572"/>
      <c r="F467" s="572"/>
      <c r="G467" s="572"/>
      <c r="H467" s="572"/>
      <c r="I467" s="572"/>
      <c r="J467" s="573"/>
      <c r="K467" s="573"/>
      <c r="L467" s="84"/>
      <c r="M467" s="2580" t="s">
        <v>719</v>
      </c>
      <c r="N467" s="2581"/>
      <c r="O467" s="2581"/>
      <c r="P467" s="2581"/>
      <c r="Q467" s="2581"/>
      <c r="R467" s="589"/>
      <c r="S467" s="567"/>
    </row>
    <row r="468" spans="1:25" outlineLevel="1" x14ac:dyDescent="0.25">
      <c r="B468" s="559"/>
      <c r="C468" s="571"/>
      <c r="D468" s="590" t="s">
        <v>633</v>
      </c>
      <c r="E468" s="587" t="s">
        <v>697</v>
      </c>
      <c r="F468" s="587" t="s">
        <v>438</v>
      </c>
      <c r="G468" s="587" t="s">
        <v>698</v>
      </c>
      <c r="H468" s="587" t="s">
        <v>662</v>
      </c>
      <c r="I468" s="587" t="s">
        <v>699</v>
      </c>
      <c r="J468" s="587" t="s">
        <v>20</v>
      </c>
      <c r="K468" s="587" t="s">
        <v>695</v>
      </c>
      <c r="L468" s="592" t="s">
        <v>716</v>
      </c>
      <c r="M468" s="588" t="s">
        <v>700</v>
      </c>
      <c r="N468" s="588" t="s">
        <v>701</v>
      </c>
      <c r="O468" s="588" t="s">
        <v>702</v>
      </c>
      <c r="P468" s="588" t="s">
        <v>703</v>
      </c>
      <c r="Q468" s="588" t="s">
        <v>704</v>
      </c>
      <c r="R468" s="588" t="s">
        <v>124</v>
      </c>
      <c r="S468" s="567"/>
    </row>
    <row r="469" spans="1:25" ht="14.4" outlineLevel="1" x14ac:dyDescent="0.25">
      <c r="B469" s="559"/>
      <c r="C469" s="571"/>
      <c r="D469" s="1752"/>
      <c r="E469" s="1737"/>
      <c r="F469" s="1737"/>
      <c r="G469" s="1737"/>
      <c r="H469" s="1737"/>
      <c r="I469" s="1737"/>
      <c r="J469" s="1702">
        <f>Table3789101112131415161718[[#This Row],[Quantity]]*Table3789101112131415161718[[#This Row],[Unit Price]]</f>
        <v>0</v>
      </c>
      <c r="K469" s="1737"/>
      <c r="L469" s="1753"/>
      <c r="M469" s="1754"/>
      <c r="N469" s="1754"/>
      <c r="O469" s="1754"/>
      <c r="P469" s="1754"/>
      <c r="Q469" s="1754"/>
      <c r="R469" s="594" cm="1">
        <f t="array" ref="R469">INDEX(Table3789101112131415161718[[#This Row],[P1]:[P5]],1,$H$34)</f>
        <v>0</v>
      </c>
      <c r="S469" s="567"/>
    </row>
    <row r="470" spans="1:25" ht="15" customHeight="1" outlineLevel="1" x14ac:dyDescent="0.25">
      <c r="B470" s="559"/>
      <c r="C470" s="571"/>
      <c r="D470" s="1752"/>
      <c r="E470" s="1737"/>
      <c r="F470" s="1737"/>
      <c r="G470" s="1737"/>
      <c r="H470" s="1737"/>
      <c r="I470" s="1737"/>
      <c r="J470" s="1702">
        <f>Table3789101112131415161718[[#This Row],[Quantity]]*Table3789101112131415161718[[#This Row],[Unit Price]]</f>
        <v>0</v>
      </c>
      <c r="K470" s="1737"/>
      <c r="L470" s="1755"/>
      <c r="M470" s="1754"/>
      <c r="N470" s="1754"/>
      <c r="O470" s="1754"/>
      <c r="P470" s="1754"/>
      <c r="Q470" s="1754"/>
      <c r="R470" s="595" cm="1">
        <f t="array" ref="R470">INDEX(Table3789101112131415161718[[#This Row],[P1]:[P5]],1,$H$34)</f>
        <v>0</v>
      </c>
      <c r="S470" s="567"/>
    </row>
    <row r="471" spans="1:25" ht="15" customHeight="1" outlineLevel="1" x14ac:dyDescent="0.25">
      <c r="B471" s="559"/>
      <c r="C471" s="571"/>
      <c r="D471" s="1752"/>
      <c r="E471" s="1737"/>
      <c r="F471" s="1737"/>
      <c r="G471" s="1737"/>
      <c r="H471" s="1737"/>
      <c r="I471" s="1737"/>
      <c r="J471" s="1702">
        <f>Table3789101112131415161718[[#This Row],[Quantity]]*Table3789101112131415161718[[#This Row],[Unit Price]]</f>
        <v>0</v>
      </c>
      <c r="K471" s="1737"/>
      <c r="L471" s="1755"/>
      <c r="M471" s="1754"/>
      <c r="N471" s="1754"/>
      <c r="O471" s="1754"/>
      <c r="P471" s="1754"/>
      <c r="Q471" s="1754"/>
      <c r="R471" s="595" cm="1">
        <f t="array" ref="R471">INDEX(Table3789101112131415161718[[#This Row],[P1]:[P5]],1,$H$34)</f>
        <v>0</v>
      </c>
      <c r="S471" s="567"/>
    </row>
    <row r="472" spans="1:25" ht="15" customHeight="1" outlineLevel="1" x14ac:dyDescent="0.25">
      <c r="B472" s="559"/>
      <c r="C472" s="571"/>
      <c r="D472" s="1752"/>
      <c r="E472" s="1737"/>
      <c r="F472" s="1737"/>
      <c r="G472" s="1737"/>
      <c r="H472" s="1737"/>
      <c r="I472" s="1737"/>
      <c r="J472" s="1702">
        <f>Table3789101112131415161718[[#This Row],[Quantity]]*Table3789101112131415161718[[#This Row],[Unit Price]]</f>
        <v>0</v>
      </c>
      <c r="K472" s="1737"/>
      <c r="L472" s="1753"/>
      <c r="M472" s="1754"/>
      <c r="N472" s="1754"/>
      <c r="O472" s="1754"/>
      <c r="P472" s="1754"/>
      <c r="Q472" s="1754"/>
      <c r="R472" s="595" cm="1">
        <f t="array" ref="R472">INDEX(Table3789101112131415161718[[#This Row],[P1]:[P5]],1,$H$34)</f>
        <v>0</v>
      </c>
      <c r="S472" s="567"/>
    </row>
    <row r="473" spans="1:25" ht="15" customHeight="1" outlineLevel="1" x14ac:dyDescent="0.25">
      <c r="B473" s="559"/>
      <c r="C473" s="571"/>
      <c r="D473" s="1752"/>
      <c r="E473" s="1737"/>
      <c r="F473" s="1737"/>
      <c r="G473" s="1737"/>
      <c r="H473" s="1737"/>
      <c r="I473" s="1737"/>
      <c r="J473" s="1702">
        <f>Table3789101112131415161718[[#This Row],[Quantity]]*Table3789101112131415161718[[#This Row],[Unit Price]]</f>
        <v>0</v>
      </c>
      <c r="K473" s="1737"/>
      <c r="L473" s="1755"/>
      <c r="M473" s="1754"/>
      <c r="N473" s="1754"/>
      <c r="O473" s="1754"/>
      <c r="P473" s="1754"/>
      <c r="Q473" s="1754"/>
      <c r="R473" s="595" cm="1">
        <f t="array" ref="R473">INDEX(Table3789101112131415161718[[#This Row],[P1]:[P5]],1,$H$34)</f>
        <v>0</v>
      </c>
      <c r="S473" s="567"/>
    </row>
    <row r="474" spans="1:25" ht="15" customHeight="1" outlineLevel="1" x14ac:dyDescent="0.25">
      <c r="B474" s="559"/>
      <c r="C474" s="571"/>
      <c r="D474" s="1752"/>
      <c r="E474" s="1737"/>
      <c r="F474" s="1737"/>
      <c r="G474" s="1737"/>
      <c r="H474" s="1737"/>
      <c r="I474" s="1737"/>
      <c r="J474" s="1702">
        <f>Table3789101112131415161718[[#This Row],[Quantity]]*Table3789101112131415161718[[#This Row],[Unit Price]]</f>
        <v>0</v>
      </c>
      <c r="K474" s="1737"/>
      <c r="L474" s="1755"/>
      <c r="M474" s="1754"/>
      <c r="N474" s="1754"/>
      <c r="O474" s="1754"/>
      <c r="P474" s="1754"/>
      <c r="Q474" s="1754"/>
      <c r="R474" s="595" cm="1">
        <f t="array" ref="R474">INDEX(Table3789101112131415161718[[#This Row],[P1]:[P5]],1,$H$34)</f>
        <v>0</v>
      </c>
      <c r="S474" s="567"/>
    </row>
    <row r="475" spans="1:25" s="276" customFormat="1" ht="15" customHeight="1" outlineLevel="1" x14ac:dyDescent="0.25">
      <c r="A475" s="274"/>
      <c r="B475" s="559"/>
      <c r="C475" s="571"/>
      <c r="D475" s="1752"/>
      <c r="E475" s="1737"/>
      <c r="F475" s="1737"/>
      <c r="G475" s="1737"/>
      <c r="H475" s="1737"/>
      <c r="I475" s="1737"/>
      <c r="J475" s="1702">
        <f>Table3789101112131415161718[[#This Row],[Quantity]]*Table3789101112131415161718[[#This Row],[Unit Price]]</f>
        <v>0</v>
      </c>
      <c r="K475" s="1737"/>
      <c r="L475" s="1755"/>
      <c r="M475" s="1754"/>
      <c r="N475" s="1754"/>
      <c r="O475" s="1754"/>
      <c r="P475" s="1754"/>
      <c r="Q475" s="1754"/>
      <c r="R475" s="595" cm="1">
        <f t="array" ref="R475">INDEX(Table3789101112131415161718[[#This Row],[P1]:[P5]],1,$H$34)</f>
        <v>0</v>
      </c>
      <c r="S475" s="567"/>
      <c r="T475" s="274"/>
      <c r="U475" s="274"/>
      <c r="V475" s="274"/>
      <c r="W475" s="274"/>
      <c r="X475" s="274"/>
      <c r="Y475" s="274"/>
    </row>
    <row r="476" spans="1:25" s="276" customFormat="1" ht="15" customHeight="1" outlineLevel="1" x14ac:dyDescent="0.25">
      <c r="B476" s="559"/>
      <c r="C476" s="571"/>
      <c r="D476" s="1752"/>
      <c r="E476" s="1737"/>
      <c r="F476" s="1737"/>
      <c r="G476" s="1737"/>
      <c r="H476" s="1737"/>
      <c r="I476" s="1737"/>
      <c r="J476" s="1702">
        <f>Table3789101112131415161718[[#This Row],[Quantity]]*Table3789101112131415161718[[#This Row],[Unit Price]]</f>
        <v>0</v>
      </c>
      <c r="K476" s="1737"/>
      <c r="L476" s="1755"/>
      <c r="M476" s="1754"/>
      <c r="N476" s="1754"/>
      <c r="O476" s="1754"/>
      <c r="P476" s="1754"/>
      <c r="Q476" s="1754"/>
      <c r="R476" s="595" cm="1">
        <f t="array" ref="R476">INDEX(Table3789101112131415161718[[#This Row],[P1]:[P5]],1,$H$34)</f>
        <v>0</v>
      </c>
      <c r="S476" s="567"/>
      <c r="T476" s="274"/>
      <c r="U476" s="274"/>
      <c r="V476" s="274"/>
      <c r="W476" s="274"/>
      <c r="X476" s="274"/>
      <c r="Y476" s="274"/>
    </row>
    <row r="477" spans="1:25" s="276" customFormat="1" ht="15" customHeight="1" outlineLevel="1" x14ac:dyDescent="0.25">
      <c r="B477" s="559"/>
      <c r="C477" s="571"/>
      <c r="D477" s="1752"/>
      <c r="E477" s="1737"/>
      <c r="F477" s="1737"/>
      <c r="G477" s="1737"/>
      <c r="H477" s="1737"/>
      <c r="I477" s="1737"/>
      <c r="J477" s="1702">
        <f>Table3789101112131415161718[[#This Row],[Quantity]]*Table3789101112131415161718[[#This Row],[Unit Price]]</f>
        <v>0</v>
      </c>
      <c r="K477" s="1737"/>
      <c r="L477" s="1755"/>
      <c r="M477" s="1754"/>
      <c r="N477" s="1754"/>
      <c r="O477" s="1754"/>
      <c r="P477" s="1754"/>
      <c r="Q477" s="1754"/>
      <c r="R477" s="595" cm="1">
        <f t="array" ref="R477">INDEX(Table3789101112131415161718[[#This Row],[P1]:[P5]],1,$H$34)</f>
        <v>0</v>
      </c>
      <c r="S477" s="567"/>
    </row>
    <row r="478" spans="1:25" s="276" customFormat="1" ht="15" customHeight="1" outlineLevel="1" x14ac:dyDescent="0.25">
      <c r="B478" s="559"/>
      <c r="C478" s="571"/>
      <c r="D478" s="1752"/>
      <c r="E478" s="1737"/>
      <c r="F478" s="1737"/>
      <c r="G478" s="1737"/>
      <c r="H478" s="1737"/>
      <c r="I478" s="1737"/>
      <c r="J478" s="1702">
        <f>Table3789101112131415161718[[#This Row],[Quantity]]*Table3789101112131415161718[[#This Row],[Unit Price]]</f>
        <v>0</v>
      </c>
      <c r="K478" s="1737"/>
      <c r="L478" s="1755"/>
      <c r="M478" s="1754"/>
      <c r="N478" s="1754"/>
      <c r="O478" s="1754"/>
      <c r="P478" s="1754"/>
      <c r="Q478" s="1754"/>
      <c r="R478" s="595" cm="1">
        <f t="array" ref="R478">INDEX(Table3789101112131415161718[[#This Row],[P1]:[P5]],1,$H$34)</f>
        <v>0</v>
      </c>
      <c r="S478" s="567"/>
    </row>
    <row r="479" spans="1:25" s="276" customFormat="1" ht="15" customHeight="1" outlineLevel="1" x14ac:dyDescent="0.25">
      <c r="B479" s="559"/>
      <c r="C479" s="571"/>
      <c r="D479" s="1752"/>
      <c r="E479" s="1737"/>
      <c r="F479" s="1737"/>
      <c r="G479" s="1737"/>
      <c r="H479" s="1737"/>
      <c r="I479" s="1737"/>
      <c r="J479" s="1702">
        <f>Table3789101112131415161718[[#This Row],[Quantity]]*Table3789101112131415161718[[#This Row],[Unit Price]]</f>
        <v>0</v>
      </c>
      <c r="K479" s="1737"/>
      <c r="L479" s="1753"/>
      <c r="M479" s="1754"/>
      <c r="N479" s="1754"/>
      <c r="O479" s="1754"/>
      <c r="P479" s="1754"/>
      <c r="Q479" s="1754"/>
      <c r="R479" s="595" cm="1">
        <f t="array" ref="R479">INDEX(Table3789101112131415161718[[#This Row],[P1]:[P5]],1,$H$34)</f>
        <v>0</v>
      </c>
      <c r="S479" s="567"/>
    </row>
    <row r="480" spans="1:25" s="276" customFormat="1" ht="15" customHeight="1" outlineLevel="1" x14ac:dyDescent="0.25">
      <c r="B480" s="559"/>
      <c r="C480" s="571"/>
      <c r="D480" s="1752"/>
      <c r="E480" s="1737"/>
      <c r="F480" s="1737"/>
      <c r="G480" s="1737"/>
      <c r="H480" s="1737"/>
      <c r="I480" s="1737"/>
      <c r="J480" s="1702">
        <f>Table3789101112131415161718[[#This Row],[Quantity]]*Table3789101112131415161718[[#This Row],[Unit Price]]</f>
        <v>0</v>
      </c>
      <c r="K480" s="1737"/>
      <c r="L480" s="1755"/>
      <c r="M480" s="1754"/>
      <c r="N480" s="1754"/>
      <c r="O480" s="1754"/>
      <c r="P480" s="1754"/>
      <c r="Q480" s="1754"/>
      <c r="R480" s="595" cm="1">
        <f t="array" ref="R480">INDEX(Table3789101112131415161718[[#This Row],[P1]:[P5]],1,$H$34)</f>
        <v>0</v>
      </c>
      <c r="S480" s="567"/>
    </row>
    <row r="481" spans="1:25" s="276" customFormat="1" ht="15" customHeight="1" outlineLevel="1" x14ac:dyDescent="0.25">
      <c r="B481" s="559"/>
      <c r="C481" s="571"/>
      <c r="D481" s="1752"/>
      <c r="E481" s="1737"/>
      <c r="F481" s="1737"/>
      <c r="G481" s="1737"/>
      <c r="H481" s="1737"/>
      <c r="I481" s="1737"/>
      <c r="J481" s="1702">
        <f>Table3789101112131415161718[[#This Row],[Quantity]]*Table3789101112131415161718[[#This Row],[Unit Price]]</f>
        <v>0</v>
      </c>
      <c r="K481" s="1737"/>
      <c r="L481" s="1755"/>
      <c r="M481" s="1754"/>
      <c r="N481" s="1754"/>
      <c r="O481" s="1754"/>
      <c r="P481" s="1754"/>
      <c r="Q481" s="1754"/>
      <c r="R481" s="595" cm="1">
        <f t="array" ref="R481">INDEX(Table3789101112131415161718[[#This Row],[P1]:[P5]],1,$H$34)</f>
        <v>0</v>
      </c>
      <c r="S481" s="567"/>
    </row>
    <row r="482" spans="1:25" outlineLevel="1" x14ac:dyDescent="0.25">
      <c r="A482" s="276"/>
      <c r="B482" s="559"/>
      <c r="C482" s="571"/>
      <c r="D482" s="1752"/>
      <c r="E482" s="1737"/>
      <c r="F482" s="1737"/>
      <c r="G482" s="1737"/>
      <c r="H482" s="1737"/>
      <c r="I482" s="1737"/>
      <c r="J482" s="1702">
        <f>Table3789101112131415161718[[#This Row],[Quantity]]*Table3789101112131415161718[[#This Row],[Unit Price]]</f>
        <v>0</v>
      </c>
      <c r="K482" s="1737"/>
      <c r="L482" s="1755"/>
      <c r="M482" s="1754"/>
      <c r="N482" s="1754"/>
      <c r="O482" s="1754"/>
      <c r="P482" s="1754"/>
      <c r="Q482" s="1754"/>
      <c r="R482" s="595" cm="1">
        <f t="array" ref="R482">INDEX(Table3789101112131415161718[[#This Row],[P1]:[P5]],1,$H$34)</f>
        <v>0</v>
      </c>
      <c r="S482" s="567"/>
      <c r="T482" s="276"/>
      <c r="U482" s="276"/>
      <c r="V482" s="276"/>
      <c r="W482" s="276"/>
      <c r="X482" s="276"/>
      <c r="Y482" s="276"/>
    </row>
    <row r="483" spans="1:25" outlineLevel="1" x14ac:dyDescent="0.25">
      <c r="B483" s="559"/>
      <c r="C483" s="571"/>
      <c r="D483" s="1752"/>
      <c r="E483" s="1737"/>
      <c r="F483" s="1737"/>
      <c r="G483" s="1737"/>
      <c r="H483" s="1737"/>
      <c r="I483" s="1737"/>
      <c r="J483" s="1702">
        <f>Table3789101112131415161718[[#This Row],[Quantity]]*Table3789101112131415161718[[#This Row],[Unit Price]]</f>
        <v>0</v>
      </c>
      <c r="K483" s="1737"/>
      <c r="L483" s="1755"/>
      <c r="M483" s="1754"/>
      <c r="N483" s="1754"/>
      <c r="O483" s="1754"/>
      <c r="P483" s="1754"/>
      <c r="Q483" s="1754"/>
      <c r="R483" s="595" cm="1">
        <f t="array" ref="R483">INDEX(Table3789101112131415161718[[#This Row],[P1]:[P5]],1,$H$34)</f>
        <v>0</v>
      </c>
      <c r="S483" s="567"/>
      <c r="T483" s="276"/>
      <c r="U483" s="276"/>
      <c r="V483" s="276"/>
      <c r="W483" s="276"/>
      <c r="X483" s="276"/>
      <c r="Y483" s="276"/>
    </row>
    <row r="484" spans="1:25" outlineLevel="1" x14ac:dyDescent="0.25">
      <c r="B484" s="559"/>
      <c r="C484" s="571"/>
      <c r="D484" s="1752"/>
      <c r="E484" s="1737"/>
      <c r="F484" s="1737"/>
      <c r="G484" s="1737"/>
      <c r="H484" s="1737"/>
      <c r="I484" s="1737"/>
      <c r="J484" s="1702">
        <f>Table3789101112131415161718[[#This Row],[Quantity]]*Table3789101112131415161718[[#This Row],[Unit Price]]</f>
        <v>0</v>
      </c>
      <c r="K484" s="1737"/>
      <c r="L484" s="1755"/>
      <c r="M484" s="1754"/>
      <c r="N484" s="1754"/>
      <c r="O484" s="1754"/>
      <c r="P484" s="1754"/>
      <c r="Q484" s="1754"/>
      <c r="R484" s="595" cm="1">
        <f t="array" ref="R484">INDEX(Table3789101112131415161718[[#This Row],[P1]:[P5]],1,$H$34)</f>
        <v>0</v>
      </c>
      <c r="S484" s="567"/>
    </row>
    <row r="485" spans="1:25" outlineLevel="1" x14ac:dyDescent="0.25">
      <c r="B485" s="559"/>
      <c r="C485" s="571"/>
      <c r="D485" s="1752"/>
      <c r="E485" s="1737"/>
      <c r="F485" s="1737"/>
      <c r="G485" s="1737"/>
      <c r="H485" s="1737"/>
      <c r="I485" s="1737"/>
      <c r="J485" s="1702">
        <f>Table3789101112131415161718[[#This Row],[Quantity]]*Table3789101112131415161718[[#This Row],[Unit Price]]</f>
        <v>0</v>
      </c>
      <c r="K485" s="1737"/>
      <c r="L485" s="1755"/>
      <c r="M485" s="1754"/>
      <c r="N485" s="1754"/>
      <c r="O485" s="1754"/>
      <c r="P485" s="1754"/>
      <c r="Q485" s="1754"/>
      <c r="R485" s="595" cm="1">
        <f t="array" ref="R485">INDEX(Table3789101112131415161718[[#This Row],[P1]:[P5]],1,$H$34)</f>
        <v>0</v>
      </c>
      <c r="S485" s="567"/>
    </row>
    <row r="486" spans="1:25" outlineLevel="1" x14ac:dyDescent="0.25">
      <c r="B486" s="559"/>
      <c r="C486" s="571"/>
      <c r="D486" s="1752"/>
      <c r="E486" s="1737"/>
      <c r="F486" s="1737"/>
      <c r="G486" s="1737"/>
      <c r="H486" s="1737"/>
      <c r="I486" s="1737"/>
      <c r="J486" s="1702">
        <f>Table3789101112131415161718[[#This Row],[Quantity]]*Table3789101112131415161718[[#This Row],[Unit Price]]</f>
        <v>0</v>
      </c>
      <c r="K486" s="1737"/>
      <c r="L486" s="1755"/>
      <c r="M486" s="1754"/>
      <c r="N486" s="1754"/>
      <c r="O486" s="1754"/>
      <c r="P486" s="1754"/>
      <c r="Q486" s="1754"/>
      <c r="R486" s="595" cm="1">
        <f t="array" ref="R486">INDEX(Table3789101112131415161718[[#This Row],[P1]:[P5]],1,$H$34)</f>
        <v>0</v>
      </c>
      <c r="S486" s="567"/>
    </row>
    <row r="487" spans="1:25" outlineLevel="1" x14ac:dyDescent="0.25">
      <c r="B487" s="559"/>
      <c r="C487" s="571"/>
      <c r="D487" s="1752"/>
      <c r="E487" s="1737"/>
      <c r="F487" s="1737"/>
      <c r="G487" s="1737"/>
      <c r="H487" s="1737"/>
      <c r="I487" s="1737"/>
      <c r="J487" s="1702">
        <f>Table3789101112131415161718[[#This Row],[Quantity]]*Table3789101112131415161718[[#This Row],[Unit Price]]</f>
        <v>0</v>
      </c>
      <c r="K487" s="1737"/>
      <c r="L487" s="1755"/>
      <c r="M487" s="1754"/>
      <c r="N487" s="1754"/>
      <c r="O487" s="1754"/>
      <c r="P487" s="1754"/>
      <c r="Q487" s="1754"/>
      <c r="R487" s="595" cm="1">
        <f t="array" ref="R487">INDEX(Table3789101112131415161718[[#This Row],[P1]:[P5]],1,$H$34)</f>
        <v>0</v>
      </c>
      <c r="S487" s="567"/>
    </row>
    <row r="488" spans="1:25" outlineLevel="1" x14ac:dyDescent="0.25">
      <c r="B488" s="559"/>
      <c r="C488" s="571"/>
      <c r="D488" s="1752"/>
      <c r="E488" s="1737"/>
      <c r="F488" s="1737"/>
      <c r="G488" s="1737"/>
      <c r="H488" s="1737"/>
      <c r="I488" s="1737"/>
      <c r="J488" s="1702">
        <f>Table3789101112131415161718[[#This Row],[Quantity]]*Table3789101112131415161718[[#This Row],[Unit Price]]</f>
        <v>0</v>
      </c>
      <c r="K488" s="1737"/>
      <c r="L488" s="1755"/>
      <c r="M488" s="1754"/>
      <c r="N488" s="1754"/>
      <c r="O488" s="1754"/>
      <c r="P488" s="1754"/>
      <c r="Q488" s="1754"/>
      <c r="R488" s="596" cm="1">
        <f t="array" ref="R488">INDEX(Table3789101112131415161718[[#This Row],[P1]:[P5]],1,$H$34)</f>
        <v>0</v>
      </c>
      <c r="S488" s="567"/>
    </row>
    <row r="489" spans="1:25" outlineLevel="1" x14ac:dyDescent="0.25">
      <c r="B489" s="575"/>
      <c r="C489" s="9"/>
      <c r="D489" s="9"/>
      <c r="E489" s="9"/>
      <c r="F489" s="9"/>
      <c r="G489" s="9"/>
      <c r="H489" s="9"/>
      <c r="I489" s="9"/>
      <c r="J489" s="9"/>
      <c r="K489" s="9"/>
      <c r="L489" s="9"/>
      <c r="M489" s="9"/>
      <c r="N489" s="9"/>
      <c r="O489" s="9"/>
      <c r="P489" s="9"/>
      <c r="Q489" s="9"/>
      <c r="R489" s="9"/>
      <c r="S489" s="567"/>
    </row>
    <row r="490" spans="1:25" outlineLevel="1" x14ac:dyDescent="0.25">
      <c r="B490" s="575"/>
      <c r="C490" s="566">
        <v>2</v>
      </c>
      <c r="D490" s="380" t="s">
        <v>715</v>
      </c>
      <c r="E490" s="537"/>
      <c r="F490" s="593" t="s">
        <v>717</v>
      </c>
      <c r="G490" s="1742" t="s">
        <v>700</v>
      </c>
      <c r="H490" s="1770">
        <f>MATCH(G490,HIDE5!$U$13:$U$17,0)</f>
        <v>1</v>
      </c>
      <c r="I490" s="1771"/>
      <c r="J490" s="1771"/>
      <c r="K490" s="1771"/>
      <c r="L490" s="1771"/>
      <c r="M490" s="380" t="s">
        <v>718</v>
      </c>
      <c r="N490" s="380"/>
      <c r="O490" s="380"/>
      <c r="P490" s="380"/>
      <c r="Q490" s="380"/>
      <c r="R490" s="576"/>
      <c r="S490" s="567"/>
    </row>
    <row r="491" spans="1:25" outlineLevel="1" x14ac:dyDescent="0.25">
      <c r="B491" s="1767"/>
      <c r="C491" s="1768"/>
      <c r="D491" s="1768"/>
      <c r="E491" s="1768"/>
      <c r="F491" s="1768"/>
      <c r="G491" s="1768"/>
      <c r="H491" s="1768"/>
      <c r="I491" s="1768"/>
      <c r="J491" s="1769"/>
      <c r="K491" s="1769"/>
      <c r="L491" s="1769"/>
      <c r="M491" s="597" t="s">
        <v>700</v>
      </c>
      <c r="N491" s="597" t="s">
        <v>701</v>
      </c>
      <c r="O491" s="597" t="s">
        <v>702</v>
      </c>
      <c r="P491" s="597" t="s">
        <v>703</v>
      </c>
      <c r="Q491" s="597" t="s">
        <v>704</v>
      </c>
      <c r="R491" s="576"/>
      <c r="S491" s="567"/>
    </row>
    <row r="492" spans="1:25" outlineLevel="1" x14ac:dyDescent="0.25">
      <c r="B492" s="559"/>
      <c r="C492" s="1768"/>
      <c r="D492" s="586" t="str">
        <f>HIDE5!$X$3</f>
        <v>Appliances</v>
      </c>
      <c r="E492" s="1772">
        <f>SUMIFS(Table3789101112131415161718[Total],Table3789101112131415161718[Category],$D492,Table3789101112131415161718[Check],HIDE5!$Q$3)</f>
        <v>0</v>
      </c>
      <c r="F492" s="586" t="str">
        <f>HIDE5!$X$7</f>
        <v>Lighting</v>
      </c>
      <c r="G492" s="1772">
        <f>SUMIFS(Table3789101112131415161718[Total],Table3789101112131415161718[Category],$F492,Table3789101112131415161718[Check],HIDE5!$Q$3)</f>
        <v>0</v>
      </c>
      <c r="H492" s="1771"/>
      <c r="I492" s="1771"/>
      <c r="J492" s="1771"/>
      <c r="K492" s="1771"/>
      <c r="L492" s="1771"/>
      <c r="M492" s="1773">
        <f>SUMIF(Table3789101112131415161718[P1],HIDE5!$Q$3,Table3789101112131415161718[Total])</f>
        <v>0</v>
      </c>
      <c r="N492" s="1773">
        <f>SUMIF(Table3789101112131415161718[P2],HIDE5!$Q$3,Table3789101112131415161718[Total])</f>
        <v>0</v>
      </c>
      <c r="O492" s="1773">
        <f>SUMIF(Table3789101112131415161718[P3],HIDE5!$Q$3,Table3789101112131415161718[Total])</f>
        <v>0</v>
      </c>
      <c r="P492" s="1773">
        <f>SUMIF(Table3789101112131415161718[P4],HIDE5!$Q$3,Table3789101112131415161718[Total])</f>
        <v>0</v>
      </c>
      <c r="Q492" s="1773">
        <f>SUMIF(Table3789101112131415161718[P5],HIDE5!$Q$3,Table3789101112131415161718[Total])</f>
        <v>0</v>
      </c>
      <c r="R492" s="576"/>
      <c r="S492" s="567"/>
    </row>
    <row r="493" spans="1:25" ht="15" customHeight="1" outlineLevel="1" x14ac:dyDescent="0.25">
      <c r="B493" s="559"/>
      <c r="C493" s="1768"/>
      <c r="D493" s="586" t="str">
        <f>HIDE5!$X$4</f>
        <v>Furniture</v>
      </c>
      <c r="E493" s="1772">
        <f>SUMIFS(Table3789101112131415161718[Total],Table3789101112131415161718[Category],$D493,Table3789101112131415161718[Check],HIDE5!$Q$3)</f>
        <v>0</v>
      </c>
      <c r="F493" s="586" t="str">
        <f>HIDE5!$X$8</f>
        <v>Electronics</v>
      </c>
      <c r="G493" s="1772">
        <f>SUMIFS(Table3789101112131415161718[Total],Table3789101112131415161718[Category],$F493,Table3789101112131415161718[Check],HIDE5!$Q$3)</f>
        <v>0</v>
      </c>
      <c r="H493" s="1771"/>
      <c r="I493" s="1771"/>
      <c r="J493" s="1771"/>
      <c r="K493" s="1771"/>
      <c r="L493" s="1771"/>
      <c r="M493" s="1771"/>
      <c r="N493" s="1771"/>
      <c r="O493" s="1771"/>
      <c r="P493" s="1771"/>
      <c r="Q493" s="1771"/>
      <c r="R493" s="576"/>
      <c r="S493" s="567"/>
    </row>
    <row r="494" spans="1:25" s="558" customFormat="1" ht="15" customHeight="1" outlineLevel="1" x14ac:dyDescent="0.25">
      <c r="A494" s="274"/>
      <c r="B494" s="559"/>
      <c r="C494" s="1768"/>
      <c r="D494" s="586" t="str">
        <f>HIDE5!$X$5</f>
        <v>Kitchenware</v>
      </c>
      <c r="E494" s="1772">
        <f>SUMIFS(Table3789101112131415161718[Total],Table3789101112131415161718[Category],$D494,Table3789101112131415161718[Check],HIDE5!$Q$3)</f>
        <v>0</v>
      </c>
      <c r="F494" s="586" t="str">
        <f>HIDE5!$X$10</f>
        <v>Accessories</v>
      </c>
      <c r="G494" s="1772">
        <f>SUMIFS(Table3789101112131415161718[Total],Table3789101112131415161718[Category],$F494,Table3789101112131415161718[Check],HIDE5!$Q$3)</f>
        <v>0</v>
      </c>
      <c r="H494" s="1771"/>
      <c r="I494" s="1771"/>
      <c r="J494" s="1771"/>
      <c r="K494" s="1771"/>
      <c r="L494" s="1771"/>
      <c r="M494" s="1771"/>
      <c r="N494" s="1771"/>
      <c r="O494" s="1771"/>
      <c r="P494" s="1771"/>
      <c r="Q494" s="1771"/>
      <c r="R494" s="576"/>
      <c r="S494" s="567"/>
      <c r="T494" s="274"/>
      <c r="U494" s="274"/>
      <c r="V494" s="274"/>
      <c r="W494" s="274"/>
      <c r="X494" s="274"/>
      <c r="Y494" s="274"/>
    </row>
    <row r="495" spans="1:25" outlineLevel="1" x14ac:dyDescent="0.25">
      <c r="A495" s="558"/>
      <c r="B495" s="559"/>
      <c r="C495" s="1768"/>
      <c r="D495" s="586" t="str">
        <f>HIDE5!$X$6</f>
        <v>Bedding</v>
      </c>
      <c r="E495" s="1772">
        <f>SUMIFS(Table3789101112131415161718[Total],Table3789101112131415161718[Category],$D495,Table3789101112131415161718[Check],HIDE5!$Q$3)</f>
        <v>0</v>
      </c>
      <c r="F495" s="586" t="str">
        <f>HIDE5!$X$11</f>
        <v>Decor</v>
      </c>
      <c r="G495" s="1772">
        <f>SUMIFS(Table3789101112131415161718[Total],Table3789101112131415161718[Category],$F495,Table3789101112131415161718[Check],HIDE5!$Q$3)</f>
        <v>0</v>
      </c>
      <c r="H495" s="1771"/>
      <c r="I495" s="1771"/>
      <c r="J495" s="1771"/>
      <c r="K495" s="1771"/>
      <c r="L495" s="1771"/>
      <c r="M495" s="1771"/>
      <c r="N495" s="1771"/>
      <c r="O495" s="1771"/>
      <c r="P495" s="1771"/>
      <c r="Q495" s="1771"/>
      <c r="R495" s="576"/>
      <c r="S495" s="567"/>
    </row>
    <row r="496" spans="1:25" s="558" customFormat="1" ht="15" customHeight="1" outlineLevel="1" x14ac:dyDescent="0.25">
      <c r="A496" s="274"/>
      <c r="B496" s="559"/>
      <c r="C496" s="1772"/>
      <c r="D496" s="1772"/>
      <c r="E496" s="1772"/>
      <c r="F496" s="1772"/>
      <c r="G496" s="1772"/>
      <c r="H496" s="1771"/>
      <c r="I496" s="1771"/>
      <c r="J496" s="1771"/>
      <c r="K496" s="1771"/>
      <c r="L496" s="1771"/>
      <c r="M496" s="1771"/>
      <c r="N496" s="1771"/>
      <c r="O496" s="1771"/>
      <c r="P496" s="1771"/>
      <c r="Q496" s="1771"/>
      <c r="R496" s="576"/>
      <c r="S496" s="567"/>
    </row>
    <row r="497" spans="1:25" s="558" customFormat="1" ht="15" customHeight="1" outlineLevel="1" x14ac:dyDescent="0.25">
      <c r="B497" s="559"/>
      <c r="C497" s="1772"/>
      <c r="D497" s="591" t="s">
        <v>696</v>
      </c>
      <c r="E497" s="1774">
        <f>IFERROR(SUM(E492:E495,G492:G495),0)</f>
        <v>0</v>
      </c>
      <c r="F497" s="1771"/>
      <c r="G497" s="1771"/>
      <c r="H497" s="1771"/>
      <c r="I497" s="1771"/>
      <c r="J497" s="1771"/>
      <c r="K497" s="1771"/>
      <c r="L497" s="1771"/>
      <c r="M497" s="1771"/>
      <c r="N497" s="1771"/>
      <c r="O497" s="1771"/>
      <c r="P497" s="1772"/>
      <c r="Q497" s="1772"/>
      <c r="R497" s="577"/>
      <c r="S497" s="567"/>
      <c r="T497" s="274"/>
      <c r="U497" s="274"/>
      <c r="V497" s="274"/>
      <c r="W497" s="274"/>
      <c r="X497" s="274"/>
      <c r="Y497" s="274"/>
    </row>
    <row r="498" spans="1:25" ht="15" customHeight="1" x14ac:dyDescent="0.25">
      <c r="A498" s="558"/>
      <c r="B498" s="575"/>
      <c r="C498" s="9"/>
      <c r="D498" s="9"/>
      <c r="E498" s="9"/>
      <c r="F498" s="9"/>
      <c r="G498" s="9"/>
      <c r="H498" s="9"/>
      <c r="I498" s="9"/>
      <c r="J498" s="9"/>
      <c r="K498" s="9"/>
      <c r="L498" s="9"/>
      <c r="M498" s="9"/>
      <c r="N498" s="9"/>
      <c r="O498" s="9"/>
      <c r="P498" s="9"/>
      <c r="Q498" s="9"/>
      <c r="R498" s="9"/>
      <c r="S498" s="567"/>
      <c r="T498" s="558"/>
      <c r="U498" s="558"/>
      <c r="V498" s="558"/>
      <c r="W498" s="558"/>
      <c r="X498" s="558"/>
      <c r="Y498" s="558"/>
    </row>
    <row r="499" spans="1:25" x14ac:dyDescent="0.25">
      <c r="B499" s="561"/>
      <c r="C499" s="578"/>
      <c r="D499" s="578"/>
      <c r="E499" s="578"/>
      <c r="F499" s="578"/>
      <c r="G499" s="578"/>
      <c r="H499" s="578"/>
      <c r="I499" s="578"/>
      <c r="J499" s="578"/>
      <c r="K499" s="578"/>
      <c r="L499" s="578"/>
      <c r="M499" s="579"/>
      <c r="N499" s="579"/>
      <c r="O499" s="579"/>
      <c r="P499" s="579"/>
      <c r="Q499" s="579"/>
      <c r="R499" s="579"/>
      <c r="S499" s="580"/>
      <c r="T499" s="558"/>
      <c r="U499" s="558"/>
      <c r="V499" s="558"/>
      <c r="W499" s="558"/>
      <c r="X499" s="558"/>
      <c r="Y499" s="558"/>
    </row>
    <row r="500" spans="1:25" outlineLevel="1" x14ac:dyDescent="0.25"/>
    <row r="501" spans="1:25" outlineLevel="1" x14ac:dyDescent="0.25">
      <c r="B501" s="562">
        <v>14</v>
      </c>
      <c r="C501" s="563" t="str">
        <f>UPPER(DASHBOARD!$AP$71)</f>
        <v>EXTERIOR</v>
      </c>
      <c r="D501" s="564"/>
      <c r="E501" s="564"/>
      <c r="F501" s="564"/>
      <c r="G501" s="564"/>
      <c r="H501" s="564"/>
      <c r="I501" s="564"/>
      <c r="J501" s="564"/>
      <c r="K501" s="564"/>
      <c r="L501" s="564"/>
      <c r="M501" s="564"/>
      <c r="N501" s="564"/>
      <c r="O501" s="564"/>
      <c r="P501" s="564"/>
      <c r="Q501" s="564"/>
      <c r="R501" s="564"/>
      <c r="S501" s="565"/>
    </row>
    <row r="502" spans="1:25" outlineLevel="1" x14ac:dyDescent="0.25">
      <c r="B502" s="559"/>
      <c r="C502" s="9"/>
      <c r="D502" s="9"/>
      <c r="E502" s="9"/>
      <c r="F502" s="9"/>
      <c r="G502" s="9"/>
      <c r="H502" s="9"/>
      <c r="I502" s="9"/>
      <c r="J502" s="9"/>
      <c r="K502" s="9"/>
      <c r="L502" s="9"/>
      <c r="M502" s="9"/>
      <c r="N502" s="9"/>
      <c r="O502" s="9"/>
      <c r="P502" s="9"/>
      <c r="Q502" s="9"/>
      <c r="R502" s="9"/>
      <c r="S502" s="560"/>
    </row>
    <row r="503" spans="1:25" ht="15.75" customHeight="1" outlineLevel="1" x14ac:dyDescent="0.25">
      <c r="B503" s="559"/>
      <c r="C503" s="566">
        <v>1</v>
      </c>
      <c r="D503" s="380" t="s">
        <v>1147</v>
      </c>
      <c r="E503" s="537"/>
      <c r="F503" s="537"/>
      <c r="G503" s="537"/>
      <c r="H503" s="537"/>
      <c r="I503" s="537"/>
      <c r="J503" s="537"/>
      <c r="K503" s="537"/>
      <c r="L503" s="537"/>
      <c r="M503" s="568"/>
      <c r="N503" s="569"/>
      <c r="O503" s="569"/>
      <c r="P503" s="570"/>
      <c r="Q503" s="569"/>
      <c r="R503" s="569"/>
      <c r="S503" s="567"/>
    </row>
    <row r="504" spans="1:25" outlineLevel="1" x14ac:dyDescent="0.25">
      <c r="B504" s="559"/>
      <c r="C504" s="571"/>
      <c r="D504" s="572"/>
      <c r="E504" s="572"/>
      <c r="F504" s="572"/>
      <c r="G504" s="572"/>
      <c r="H504" s="572"/>
      <c r="I504" s="572"/>
      <c r="J504" s="573"/>
      <c r="K504" s="573"/>
      <c r="L504" s="573"/>
      <c r="M504" s="573"/>
      <c r="N504" s="573"/>
      <c r="O504" s="572"/>
      <c r="P504" s="571"/>
      <c r="Q504" s="574"/>
      <c r="R504" s="585"/>
      <c r="S504" s="567"/>
    </row>
    <row r="505" spans="1:25" outlineLevel="1" x14ac:dyDescent="0.25">
      <c r="B505" s="559"/>
      <c r="C505" s="571"/>
      <c r="D505" s="572"/>
      <c r="E505" s="572"/>
      <c r="F505" s="572"/>
      <c r="G505" s="572"/>
      <c r="H505" s="572"/>
      <c r="I505" s="572"/>
      <c r="J505" s="573"/>
      <c r="K505" s="573"/>
      <c r="L505" s="84"/>
      <c r="M505" s="2580" t="s">
        <v>719</v>
      </c>
      <c r="N505" s="2581"/>
      <c r="O505" s="2581"/>
      <c r="P505" s="2581"/>
      <c r="Q505" s="2581"/>
      <c r="R505" s="589"/>
      <c r="S505" s="567"/>
    </row>
    <row r="506" spans="1:25" outlineLevel="1" x14ac:dyDescent="0.25">
      <c r="B506" s="559"/>
      <c r="C506" s="571"/>
      <c r="D506" s="590" t="s">
        <v>633</v>
      </c>
      <c r="E506" s="587" t="s">
        <v>697</v>
      </c>
      <c r="F506" s="587" t="s">
        <v>438</v>
      </c>
      <c r="G506" s="587" t="s">
        <v>698</v>
      </c>
      <c r="H506" s="587" t="s">
        <v>662</v>
      </c>
      <c r="I506" s="587" t="s">
        <v>699</v>
      </c>
      <c r="J506" s="587" t="s">
        <v>20</v>
      </c>
      <c r="K506" s="587" t="s">
        <v>695</v>
      </c>
      <c r="L506" s="592" t="s">
        <v>716</v>
      </c>
      <c r="M506" s="588" t="s">
        <v>700</v>
      </c>
      <c r="N506" s="588" t="s">
        <v>701</v>
      </c>
      <c r="O506" s="588" t="s">
        <v>702</v>
      </c>
      <c r="P506" s="588" t="s">
        <v>703</v>
      </c>
      <c r="Q506" s="588" t="s">
        <v>704</v>
      </c>
      <c r="R506" s="588" t="s">
        <v>124</v>
      </c>
      <c r="S506" s="567"/>
    </row>
    <row r="507" spans="1:25" ht="14.4" outlineLevel="1" x14ac:dyDescent="0.25">
      <c r="B507" s="559"/>
      <c r="C507" s="571"/>
      <c r="D507" s="1752"/>
      <c r="E507" s="1737"/>
      <c r="F507" s="1737"/>
      <c r="G507" s="1737"/>
      <c r="H507" s="1737"/>
      <c r="I507" s="1737"/>
      <c r="J507" s="1702">
        <f>Table378910111213141516171819[[#This Row],[Quantity]]*Table378910111213141516171819[[#This Row],[Unit Price]]</f>
        <v>0</v>
      </c>
      <c r="K507" s="1737"/>
      <c r="L507" s="1753"/>
      <c r="M507" s="1754"/>
      <c r="N507" s="1754"/>
      <c r="O507" s="1754"/>
      <c r="P507" s="1754"/>
      <c r="Q507" s="1754"/>
      <c r="R507" s="594" cm="1">
        <f t="array" ref="R507">INDEX(Table378910111213141516171819[[#This Row],[P1]:[P5]],1,$H$34)</f>
        <v>0</v>
      </c>
      <c r="S507" s="567"/>
    </row>
    <row r="508" spans="1:25" ht="15" customHeight="1" outlineLevel="1" x14ac:dyDescent="0.25">
      <c r="B508" s="559"/>
      <c r="C508" s="571"/>
      <c r="D508" s="1752"/>
      <c r="E508" s="1737"/>
      <c r="F508" s="1737"/>
      <c r="G508" s="1737"/>
      <c r="H508" s="1737"/>
      <c r="I508" s="1737"/>
      <c r="J508" s="1702">
        <f>Table378910111213141516171819[[#This Row],[Quantity]]*Table378910111213141516171819[[#This Row],[Unit Price]]</f>
        <v>0</v>
      </c>
      <c r="K508" s="1737"/>
      <c r="L508" s="1755"/>
      <c r="M508" s="1754"/>
      <c r="N508" s="1754"/>
      <c r="O508" s="1754"/>
      <c r="P508" s="1754"/>
      <c r="Q508" s="1754"/>
      <c r="R508" s="595" cm="1">
        <f t="array" ref="R508">INDEX(Table378910111213141516171819[[#This Row],[P1]:[P5]],1,$H$34)</f>
        <v>0</v>
      </c>
      <c r="S508" s="567"/>
    </row>
    <row r="509" spans="1:25" ht="15" customHeight="1" outlineLevel="1" x14ac:dyDescent="0.25">
      <c r="B509" s="559"/>
      <c r="C509" s="571"/>
      <c r="D509" s="1752"/>
      <c r="E509" s="1737"/>
      <c r="F509" s="1737"/>
      <c r="G509" s="1737"/>
      <c r="H509" s="1737"/>
      <c r="I509" s="1737"/>
      <c r="J509" s="1702">
        <f>Table378910111213141516171819[[#This Row],[Quantity]]*Table378910111213141516171819[[#This Row],[Unit Price]]</f>
        <v>0</v>
      </c>
      <c r="K509" s="1737"/>
      <c r="L509" s="1755"/>
      <c r="M509" s="1754"/>
      <c r="N509" s="1754"/>
      <c r="O509" s="1754"/>
      <c r="P509" s="1754"/>
      <c r="Q509" s="1754"/>
      <c r="R509" s="595" cm="1">
        <f t="array" ref="R509">INDEX(Table378910111213141516171819[[#This Row],[P1]:[P5]],1,$H$34)</f>
        <v>0</v>
      </c>
      <c r="S509" s="567"/>
    </row>
    <row r="510" spans="1:25" ht="15" customHeight="1" outlineLevel="1" x14ac:dyDescent="0.25">
      <c r="B510" s="559"/>
      <c r="C510" s="571"/>
      <c r="D510" s="1752"/>
      <c r="E510" s="1737"/>
      <c r="F510" s="1737"/>
      <c r="G510" s="1737"/>
      <c r="H510" s="1737"/>
      <c r="I510" s="1737"/>
      <c r="J510" s="1702">
        <f>Table378910111213141516171819[[#This Row],[Quantity]]*Table378910111213141516171819[[#This Row],[Unit Price]]</f>
        <v>0</v>
      </c>
      <c r="K510" s="1737"/>
      <c r="L510" s="1753"/>
      <c r="M510" s="1754"/>
      <c r="N510" s="1754"/>
      <c r="O510" s="1754"/>
      <c r="P510" s="1754"/>
      <c r="Q510" s="1754"/>
      <c r="R510" s="595" cm="1">
        <f t="array" ref="R510">INDEX(Table378910111213141516171819[[#This Row],[P1]:[P5]],1,$H$34)</f>
        <v>0</v>
      </c>
      <c r="S510" s="567"/>
    </row>
    <row r="511" spans="1:25" ht="15" customHeight="1" outlineLevel="1" x14ac:dyDescent="0.25">
      <c r="B511" s="559"/>
      <c r="C511" s="571"/>
      <c r="D511" s="1752"/>
      <c r="E511" s="1737"/>
      <c r="F511" s="1737"/>
      <c r="G511" s="1737"/>
      <c r="H511" s="1737"/>
      <c r="I511" s="1737"/>
      <c r="J511" s="1702">
        <f>Table378910111213141516171819[[#This Row],[Quantity]]*Table378910111213141516171819[[#This Row],[Unit Price]]</f>
        <v>0</v>
      </c>
      <c r="K511" s="1737"/>
      <c r="L511" s="1755"/>
      <c r="M511" s="1754"/>
      <c r="N511" s="1754"/>
      <c r="O511" s="1754"/>
      <c r="P511" s="1754"/>
      <c r="Q511" s="1754"/>
      <c r="R511" s="595" cm="1">
        <f t="array" ref="R511">INDEX(Table378910111213141516171819[[#This Row],[P1]:[P5]],1,$H$34)</f>
        <v>0</v>
      </c>
      <c r="S511" s="567"/>
    </row>
    <row r="512" spans="1:25" ht="15" customHeight="1" outlineLevel="1" x14ac:dyDescent="0.25">
      <c r="B512" s="559"/>
      <c r="C512" s="571"/>
      <c r="D512" s="1752"/>
      <c r="E512" s="1737"/>
      <c r="F512" s="1737"/>
      <c r="G512" s="1737"/>
      <c r="H512" s="1737"/>
      <c r="I512" s="1737"/>
      <c r="J512" s="1702">
        <f>Table378910111213141516171819[[#This Row],[Quantity]]*Table378910111213141516171819[[#This Row],[Unit Price]]</f>
        <v>0</v>
      </c>
      <c r="K512" s="1737"/>
      <c r="L512" s="1755"/>
      <c r="M512" s="1754"/>
      <c r="N512" s="1754"/>
      <c r="O512" s="1754"/>
      <c r="P512" s="1754"/>
      <c r="Q512" s="1754"/>
      <c r="R512" s="595" cm="1">
        <f t="array" ref="R512">INDEX(Table378910111213141516171819[[#This Row],[P1]:[P5]],1,$H$34)</f>
        <v>0</v>
      </c>
      <c r="S512" s="567"/>
    </row>
    <row r="513" spans="1:25" s="276" customFormat="1" ht="15" customHeight="1" outlineLevel="1" x14ac:dyDescent="0.25">
      <c r="A513" s="274"/>
      <c r="B513" s="559"/>
      <c r="C513" s="571"/>
      <c r="D513" s="1752"/>
      <c r="E513" s="1737"/>
      <c r="F513" s="1737"/>
      <c r="G513" s="1737"/>
      <c r="H513" s="1737"/>
      <c r="I513" s="1737"/>
      <c r="J513" s="1702">
        <f>Table378910111213141516171819[[#This Row],[Quantity]]*Table378910111213141516171819[[#This Row],[Unit Price]]</f>
        <v>0</v>
      </c>
      <c r="K513" s="1737"/>
      <c r="L513" s="1755"/>
      <c r="M513" s="1754"/>
      <c r="N513" s="1754"/>
      <c r="O513" s="1754"/>
      <c r="P513" s="1754"/>
      <c r="Q513" s="1754"/>
      <c r="R513" s="595" cm="1">
        <f t="array" ref="R513">INDEX(Table378910111213141516171819[[#This Row],[P1]:[P5]],1,$H$34)</f>
        <v>0</v>
      </c>
      <c r="S513" s="567"/>
      <c r="T513" s="274"/>
      <c r="U513" s="274"/>
      <c r="V513" s="274"/>
      <c r="W513" s="274"/>
      <c r="X513" s="274"/>
      <c r="Y513" s="274"/>
    </row>
    <row r="514" spans="1:25" s="276" customFormat="1" ht="15" customHeight="1" outlineLevel="1" x14ac:dyDescent="0.25">
      <c r="B514" s="559"/>
      <c r="C514" s="571"/>
      <c r="D514" s="1752"/>
      <c r="E514" s="1737"/>
      <c r="F514" s="1737"/>
      <c r="G514" s="1737"/>
      <c r="H514" s="1737"/>
      <c r="I514" s="1737"/>
      <c r="J514" s="1702">
        <f>Table378910111213141516171819[[#This Row],[Quantity]]*Table378910111213141516171819[[#This Row],[Unit Price]]</f>
        <v>0</v>
      </c>
      <c r="K514" s="1737"/>
      <c r="L514" s="1755"/>
      <c r="M514" s="1754"/>
      <c r="N514" s="1754"/>
      <c r="O514" s="1754"/>
      <c r="P514" s="1754"/>
      <c r="Q514" s="1754"/>
      <c r="R514" s="595" cm="1">
        <f t="array" ref="R514">INDEX(Table378910111213141516171819[[#This Row],[P1]:[P5]],1,$H$34)</f>
        <v>0</v>
      </c>
      <c r="S514" s="567"/>
      <c r="T514" s="274"/>
      <c r="U514" s="274"/>
      <c r="V514" s="274"/>
      <c r="W514" s="274"/>
      <c r="X514" s="274"/>
      <c r="Y514" s="274"/>
    </row>
    <row r="515" spans="1:25" s="276" customFormat="1" ht="15" customHeight="1" outlineLevel="1" x14ac:dyDescent="0.25">
      <c r="B515" s="559"/>
      <c r="C515" s="571"/>
      <c r="D515" s="1752"/>
      <c r="E515" s="1737"/>
      <c r="F515" s="1737"/>
      <c r="G515" s="1737"/>
      <c r="H515" s="1737"/>
      <c r="I515" s="1737"/>
      <c r="J515" s="1702">
        <f>Table378910111213141516171819[[#This Row],[Quantity]]*Table378910111213141516171819[[#This Row],[Unit Price]]</f>
        <v>0</v>
      </c>
      <c r="K515" s="1737"/>
      <c r="L515" s="1755"/>
      <c r="M515" s="1754"/>
      <c r="N515" s="1754"/>
      <c r="O515" s="1754"/>
      <c r="P515" s="1754"/>
      <c r="Q515" s="1754"/>
      <c r="R515" s="595" cm="1">
        <f t="array" ref="R515">INDEX(Table378910111213141516171819[[#This Row],[P1]:[P5]],1,$H$34)</f>
        <v>0</v>
      </c>
      <c r="S515" s="567"/>
    </row>
    <row r="516" spans="1:25" s="276" customFormat="1" ht="15" customHeight="1" outlineLevel="1" x14ac:dyDescent="0.25">
      <c r="B516" s="559"/>
      <c r="C516" s="571"/>
      <c r="D516" s="1752"/>
      <c r="E516" s="1737"/>
      <c r="F516" s="1737"/>
      <c r="G516" s="1737"/>
      <c r="H516" s="1737"/>
      <c r="I516" s="1737"/>
      <c r="J516" s="1702">
        <f>Table378910111213141516171819[[#This Row],[Quantity]]*Table378910111213141516171819[[#This Row],[Unit Price]]</f>
        <v>0</v>
      </c>
      <c r="K516" s="1737"/>
      <c r="L516" s="1755"/>
      <c r="M516" s="1754"/>
      <c r="N516" s="1754"/>
      <c r="O516" s="1754"/>
      <c r="P516" s="1754"/>
      <c r="Q516" s="1754"/>
      <c r="R516" s="595" cm="1">
        <f t="array" ref="R516">INDEX(Table378910111213141516171819[[#This Row],[P1]:[P5]],1,$H$34)</f>
        <v>0</v>
      </c>
      <c r="S516" s="567"/>
    </row>
    <row r="517" spans="1:25" s="276" customFormat="1" ht="15" customHeight="1" outlineLevel="1" x14ac:dyDescent="0.25">
      <c r="B517" s="559"/>
      <c r="C517" s="571"/>
      <c r="D517" s="1752"/>
      <c r="E517" s="1737"/>
      <c r="F517" s="1737"/>
      <c r="G517" s="1737"/>
      <c r="H517" s="1737"/>
      <c r="I517" s="1737"/>
      <c r="J517" s="1702">
        <f>Table378910111213141516171819[[#This Row],[Quantity]]*Table378910111213141516171819[[#This Row],[Unit Price]]</f>
        <v>0</v>
      </c>
      <c r="K517" s="1737"/>
      <c r="L517" s="1753"/>
      <c r="M517" s="1754"/>
      <c r="N517" s="1754"/>
      <c r="O517" s="1754"/>
      <c r="P517" s="1754"/>
      <c r="Q517" s="1754"/>
      <c r="R517" s="595" cm="1">
        <f t="array" ref="R517">INDEX(Table378910111213141516171819[[#This Row],[P1]:[P5]],1,$H$34)</f>
        <v>0</v>
      </c>
      <c r="S517" s="567"/>
    </row>
    <row r="518" spans="1:25" s="276" customFormat="1" ht="15" customHeight="1" outlineLevel="1" x14ac:dyDescent="0.25">
      <c r="B518" s="559"/>
      <c r="C518" s="571"/>
      <c r="D518" s="1752"/>
      <c r="E518" s="1737"/>
      <c r="F518" s="1737"/>
      <c r="G518" s="1737"/>
      <c r="H518" s="1737"/>
      <c r="I518" s="1737"/>
      <c r="J518" s="1702">
        <f>Table378910111213141516171819[[#This Row],[Quantity]]*Table378910111213141516171819[[#This Row],[Unit Price]]</f>
        <v>0</v>
      </c>
      <c r="K518" s="1737"/>
      <c r="L518" s="1755"/>
      <c r="M518" s="1754"/>
      <c r="N518" s="1754"/>
      <c r="O518" s="1754"/>
      <c r="P518" s="1754"/>
      <c r="Q518" s="1754"/>
      <c r="R518" s="595" cm="1">
        <f t="array" ref="R518">INDEX(Table378910111213141516171819[[#This Row],[P1]:[P5]],1,$H$34)</f>
        <v>0</v>
      </c>
      <c r="S518" s="567"/>
    </row>
    <row r="519" spans="1:25" s="276" customFormat="1" ht="15" customHeight="1" outlineLevel="1" x14ac:dyDescent="0.25">
      <c r="B519" s="559"/>
      <c r="C519" s="571"/>
      <c r="D519" s="1752"/>
      <c r="E519" s="1737"/>
      <c r="F519" s="1737"/>
      <c r="G519" s="1737"/>
      <c r="H519" s="1737"/>
      <c r="I519" s="1737"/>
      <c r="J519" s="1702">
        <f>Table378910111213141516171819[[#This Row],[Quantity]]*Table378910111213141516171819[[#This Row],[Unit Price]]</f>
        <v>0</v>
      </c>
      <c r="K519" s="1737"/>
      <c r="L519" s="1755"/>
      <c r="M519" s="1754"/>
      <c r="N519" s="1754"/>
      <c r="O519" s="1754"/>
      <c r="P519" s="1754"/>
      <c r="Q519" s="1754"/>
      <c r="R519" s="595" cm="1">
        <f t="array" ref="R519">INDEX(Table378910111213141516171819[[#This Row],[P1]:[P5]],1,$H$34)</f>
        <v>0</v>
      </c>
      <c r="S519" s="567"/>
    </row>
    <row r="520" spans="1:25" outlineLevel="1" x14ac:dyDescent="0.25">
      <c r="A520" s="276"/>
      <c r="B520" s="559"/>
      <c r="C520" s="571"/>
      <c r="D520" s="1752"/>
      <c r="E520" s="1737"/>
      <c r="F520" s="1737"/>
      <c r="G520" s="1737"/>
      <c r="H520" s="1737"/>
      <c r="I520" s="1737"/>
      <c r="J520" s="1702">
        <f>Table378910111213141516171819[[#This Row],[Quantity]]*Table378910111213141516171819[[#This Row],[Unit Price]]</f>
        <v>0</v>
      </c>
      <c r="K520" s="1737"/>
      <c r="L520" s="1755"/>
      <c r="M520" s="1754"/>
      <c r="N520" s="1754"/>
      <c r="O520" s="1754"/>
      <c r="P520" s="1754"/>
      <c r="Q520" s="1754"/>
      <c r="R520" s="595" cm="1">
        <f t="array" ref="R520">INDEX(Table378910111213141516171819[[#This Row],[P1]:[P5]],1,$H$34)</f>
        <v>0</v>
      </c>
      <c r="S520" s="567"/>
      <c r="T520" s="276"/>
      <c r="U520" s="276"/>
      <c r="V520" s="276"/>
      <c r="W520" s="276"/>
      <c r="X520" s="276"/>
      <c r="Y520" s="276"/>
    </row>
    <row r="521" spans="1:25" outlineLevel="1" x14ac:dyDescent="0.25">
      <c r="B521" s="559"/>
      <c r="C521" s="571"/>
      <c r="D521" s="1752"/>
      <c r="E521" s="1737"/>
      <c r="F521" s="1737"/>
      <c r="G521" s="1737"/>
      <c r="H521" s="1737"/>
      <c r="I521" s="1737"/>
      <c r="J521" s="1702">
        <f>Table378910111213141516171819[[#This Row],[Quantity]]*Table378910111213141516171819[[#This Row],[Unit Price]]</f>
        <v>0</v>
      </c>
      <c r="K521" s="1737"/>
      <c r="L521" s="1755"/>
      <c r="M521" s="1754"/>
      <c r="N521" s="1754"/>
      <c r="O521" s="1754"/>
      <c r="P521" s="1754"/>
      <c r="Q521" s="1754"/>
      <c r="R521" s="595" cm="1">
        <f t="array" ref="R521">INDEX(Table378910111213141516171819[[#This Row],[P1]:[P5]],1,$H$34)</f>
        <v>0</v>
      </c>
      <c r="S521" s="567"/>
      <c r="T521" s="276"/>
      <c r="U521" s="276"/>
      <c r="V521" s="276"/>
      <c r="W521" s="276"/>
      <c r="X521" s="276"/>
      <c r="Y521" s="276"/>
    </row>
    <row r="522" spans="1:25" outlineLevel="1" x14ac:dyDescent="0.25">
      <c r="B522" s="559"/>
      <c r="C522" s="571"/>
      <c r="D522" s="1752"/>
      <c r="E522" s="1737"/>
      <c r="F522" s="1737"/>
      <c r="G522" s="1737"/>
      <c r="H522" s="1737"/>
      <c r="I522" s="1737"/>
      <c r="J522" s="1702">
        <f>Table378910111213141516171819[[#This Row],[Quantity]]*Table378910111213141516171819[[#This Row],[Unit Price]]</f>
        <v>0</v>
      </c>
      <c r="K522" s="1737"/>
      <c r="L522" s="1755"/>
      <c r="M522" s="1754"/>
      <c r="N522" s="1754"/>
      <c r="O522" s="1754"/>
      <c r="P522" s="1754"/>
      <c r="Q522" s="1754"/>
      <c r="R522" s="595" cm="1">
        <f t="array" ref="R522">INDEX(Table378910111213141516171819[[#This Row],[P1]:[P5]],1,$H$34)</f>
        <v>0</v>
      </c>
      <c r="S522" s="567"/>
    </row>
    <row r="523" spans="1:25" outlineLevel="1" x14ac:dyDescent="0.25">
      <c r="B523" s="559"/>
      <c r="C523" s="571"/>
      <c r="D523" s="1752"/>
      <c r="E523" s="1737"/>
      <c r="F523" s="1737"/>
      <c r="G523" s="1737"/>
      <c r="H523" s="1737"/>
      <c r="I523" s="1737"/>
      <c r="J523" s="1702">
        <f>Table378910111213141516171819[[#This Row],[Quantity]]*Table378910111213141516171819[[#This Row],[Unit Price]]</f>
        <v>0</v>
      </c>
      <c r="K523" s="1737"/>
      <c r="L523" s="1755"/>
      <c r="M523" s="1754"/>
      <c r="N523" s="1754"/>
      <c r="O523" s="1754"/>
      <c r="P523" s="1754"/>
      <c r="Q523" s="1754"/>
      <c r="R523" s="595" cm="1">
        <f t="array" ref="R523">INDEX(Table378910111213141516171819[[#This Row],[P1]:[P5]],1,$H$34)</f>
        <v>0</v>
      </c>
      <c r="S523" s="567"/>
    </row>
    <row r="524" spans="1:25" outlineLevel="1" x14ac:dyDescent="0.25">
      <c r="B524" s="559"/>
      <c r="C524" s="571"/>
      <c r="D524" s="1752"/>
      <c r="E524" s="1737"/>
      <c r="F524" s="1737"/>
      <c r="G524" s="1737"/>
      <c r="H524" s="1737"/>
      <c r="I524" s="1737"/>
      <c r="J524" s="1702">
        <f>Table378910111213141516171819[[#This Row],[Quantity]]*Table378910111213141516171819[[#This Row],[Unit Price]]</f>
        <v>0</v>
      </c>
      <c r="K524" s="1737"/>
      <c r="L524" s="1755"/>
      <c r="M524" s="1754"/>
      <c r="N524" s="1754"/>
      <c r="O524" s="1754"/>
      <c r="P524" s="1754"/>
      <c r="Q524" s="1754"/>
      <c r="R524" s="595" cm="1">
        <f t="array" ref="R524">INDEX(Table378910111213141516171819[[#This Row],[P1]:[P5]],1,$H$34)</f>
        <v>0</v>
      </c>
      <c r="S524" s="567"/>
    </row>
    <row r="525" spans="1:25" outlineLevel="1" x14ac:dyDescent="0.25">
      <c r="B525" s="559"/>
      <c r="C525" s="571"/>
      <c r="D525" s="1752"/>
      <c r="E525" s="1737"/>
      <c r="F525" s="1737"/>
      <c r="G525" s="1737"/>
      <c r="H525" s="1737"/>
      <c r="I525" s="1737"/>
      <c r="J525" s="1702">
        <f>Table378910111213141516171819[[#This Row],[Quantity]]*Table378910111213141516171819[[#This Row],[Unit Price]]</f>
        <v>0</v>
      </c>
      <c r="K525" s="1737"/>
      <c r="L525" s="1755"/>
      <c r="M525" s="1754"/>
      <c r="N525" s="1754"/>
      <c r="O525" s="1754"/>
      <c r="P525" s="1754"/>
      <c r="Q525" s="1754"/>
      <c r="R525" s="595" cm="1">
        <f t="array" ref="R525">INDEX(Table378910111213141516171819[[#This Row],[P1]:[P5]],1,$H$34)</f>
        <v>0</v>
      </c>
      <c r="S525" s="567"/>
    </row>
    <row r="526" spans="1:25" outlineLevel="1" x14ac:dyDescent="0.25">
      <c r="B526" s="559"/>
      <c r="C526" s="571"/>
      <c r="D526" s="1752"/>
      <c r="E526" s="1737"/>
      <c r="F526" s="1737"/>
      <c r="G526" s="1737"/>
      <c r="H526" s="1737"/>
      <c r="I526" s="1737"/>
      <c r="J526" s="1702">
        <f>Table378910111213141516171819[[#This Row],[Quantity]]*Table378910111213141516171819[[#This Row],[Unit Price]]</f>
        <v>0</v>
      </c>
      <c r="K526" s="1737"/>
      <c r="L526" s="1755"/>
      <c r="M526" s="1754"/>
      <c r="N526" s="1754"/>
      <c r="O526" s="1754"/>
      <c r="P526" s="1754"/>
      <c r="Q526" s="1754"/>
      <c r="R526" s="596" cm="1">
        <f t="array" ref="R526">INDEX(Table378910111213141516171819[[#This Row],[P1]:[P5]],1,$H$34)</f>
        <v>0</v>
      </c>
      <c r="S526" s="567"/>
    </row>
    <row r="527" spans="1:25" outlineLevel="1" x14ac:dyDescent="0.25">
      <c r="B527" s="575"/>
      <c r="C527" s="9"/>
      <c r="D527" s="9"/>
      <c r="E527" s="9"/>
      <c r="F527" s="9"/>
      <c r="G527" s="9"/>
      <c r="H527" s="9"/>
      <c r="I527" s="9"/>
      <c r="J527" s="9"/>
      <c r="K527" s="9"/>
      <c r="L527" s="9"/>
      <c r="M527" s="9"/>
      <c r="N527" s="9"/>
      <c r="O527" s="9"/>
      <c r="P527" s="9"/>
      <c r="Q527" s="9"/>
      <c r="R527" s="9"/>
      <c r="S527" s="567"/>
    </row>
    <row r="528" spans="1:25" outlineLevel="1" x14ac:dyDescent="0.25">
      <c r="B528" s="575"/>
      <c r="C528" s="566">
        <v>2</v>
      </c>
      <c r="D528" s="380" t="s">
        <v>715</v>
      </c>
      <c r="E528" s="537"/>
      <c r="F528" s="593" t="s">
        <v>717</v>
      </c>
      <c r="G528" s="1742" t="s">
        <v>700</v>
      </c>
      <c r="H528" s="1770">
        <f>MATCH(G528,HIDE5!$U$13:$U$17,0)</f>
        <v>1</v>
      </c>
      <c r="I528" s="1771"/>
      <c r="J528" s="1771"/>
      <c r="K528" s="1771"/>
      <c r="L528" s="1771"/>
      <c r="M528" s="380" t="s">
        <v>718</v>
      </c>
      <c r="N528" s="380"/>
      <c r="O528" s="380"/>
      <c r="P528" s="380"/>
      <c r="Q528" s="380"/>
      <c r="R528" s="576"/>
      <c r="S528" s="567"/>
    </row>
    <row r="529" spans="1:25" outlineLevel="1" x14ac:dyDescent="0.25">
      <c r="B529" s="1767"/>
      <c r="C529" s="1768"/>
      <c r="D529" s="1768"/>
      <c r="E529" s="1768"/>
      <c r="F529" s="1768"/>
      <c r="G529" s="1768"/>
      <c r="H529" s="1768"/>
      <c r="I529" s="1768"/>
      <c r="J529" s="1769"/>
      <c r="K529" s="1769"/>
      <c r="L529" s="1769"/>
      <c r="M529" s="597" t="s">
        <v>700</v>
      </c>
      <c r="N529" s="597" t="s">
        <v>701</v>
      </c>
      <c r="O529" s="597" t="s">
        <v>702</v>
      </c>
      <c r="P529" s="597" t="s">
        <v>703</v>
      </c>
      <c r="Q529" s="597" t="s">
        <v>704</v>
      </c>
      <c r="R529" s="576"/>
      <c r="S529" s="567"/>
    </row>
    <row r="530" spans="1:25" outlineLevel="1" x14ac:dyDescent="0.25">
      <c r="B530" s="559"/>
      <c r="C530" s="1768"/>
      <c r="D530" s="586" t="str">
        <f>HIDE5!$X$3</f>
        <v>Appliances</v>
      </c>
      <c r="E530" s="1772">
        <f>SUMIFS(Table378910111213141516171819[Total],Table378910111213141516171819[Category],$D530,Table378910111213141516171819[Check],HIDE5!$Q$3)</f>
        <v>0</v>
      </c>
      <c r="F530" s="586" t="str">
        <f>HIDE5!$X$7</f>
        <v>Lighting</v>
      </c>
      <c r="G530" s="1772">
        <f>SUMIFS(Table378910111213141516171819[Total],Table378910111213141516171819[Category],$F530,Table378910111213141516171819[Check],HIDE5!$Q$3)</f>
        <v>0</v>
      </c>
      <c r="H530" s="1771"/>
      <c r="I530" s="1771"/>
      <c r="J530" s="1771"/>
      <c r="K530" s="1771"/>
      <c r="L530" s="1771"/>
      <c r="M530" s="1773">
        <f>SUMIF(Table378910111213141516171819[P1],HIDE5!$Q$3,Table378910111213141516171819[Total])</f>
        <v>0</v>
      </c>
      <c r="N530" s="1773">
        <f>SUMIF(Table378910111213141516171819[P2],HIDE5!$Q$3,Table378910111213141516171819[Total])</f>
        <v>0</v>
      </c>
      <c r="O530" s="1773">
        <f>SUMIF(Table378910111213141516171819[P3],HIDE5!$Q$3,Table378910111213141516171819[Total])</f>
        <v>0</v>
      </c>
      <c r="P530" s="1773">
        <f>SUMIF(Table378910111213141516171819[P4],HIDE5!$Q$3,Table378910111213141516171819[Total])</f>
        <v>0</v>
      </c>
      <c r="Q530" s="1773">
        <f>SUMIF(Table378910111213141516171819[P5],HIDE5!$Q$3,Table378910111213141516171819[Total])</f>
        <v>0</v>
      </c>
      <c r="R530" s="576"/>
      <c r="S530" s="567"/>
    </row>
    <row r="531" spans="1:25" ht="15" customHeight="1" outlineLevel="1" x14ac:dyDescent="0.25">
      <c r="B531" s="559"/>
      <c r="C531" s="1768"/>
      <c r="D531" s="586" t="str">
        <f>HIDE5!$X$4</f>
        <v>Furniture</v>
      </c>
      <c r="E531" s="1772">
        <f>SUMIFS(Table378910111213141516171819[Total],Table378910111213141516171819[Category],$D531,Table378910111213141516171819[Check],HIDE5!$Q$3)</f>
        <v>0</v>
      </c>
      <c r="F531" s="586" t="str">
        <f>HIDE5!$X$8</f>
        <v>Electronics</v>
      </c>
      <c r="G531" s="1772">
        <f>SUMIFS(Table378910111213141516171819[Total],Table378910111213141516171819[Category],$F531,Table378910111213141516171819[Check],HIDE5!$Q$3)</f>
        <v>0</v>
      </c>
      <c r="H531" s="1771"/>
      <c r="I531" s="1771"/>
      <c r="J531" s="1771"/>
      <c r="K531" s="1771"/>
      <c r="L531" s="1771"/>
      <c r="M531" s="1771"/>
      <c r="N531" s="1771"/>
      <c r="O531" s="1771"/>
      <c r="P531" s="1771"/>
      <c r="Q531" s="1771"/>
      <c r="R531" s="576"/>
      <c r="S531" s="567"/>
    </row>
    <row r="532" spans="1:25" s="558" customFormat="1" ht="15" customHeight="1" outlineLevel="1" x14ac:dyDescent="0.25">
      <c r="A532" s="274"/>
      <c r="B532" s="559"/>
      <c r="C532" s="1768"/>
      <c r="D532" s="586" t="str">
        <f>HIDE5!$X$5</f>
        <v>Kitchenware</v>
      </c>
      <c r="E532" s="1772">
        <f>SUMIFS(Table378910111213141516171819[Total],Table378910111213141516171819[Category],$D532,Table378910111213141516171819[Check],HIDE5!$Q$3)</f>
        <v>0</v>
      </c>
      <c r="F532" s="586" t="str">
        <f>HIDE5!$X$10</f>
        <v>Accessories</v>
      </c>
      <c r="G532" s="1772">
        <f>SUMIFS(Table378910111213141516171819[Total],Table378910111213141516171819[Category],$F532,Table378910111213141516171819[Check],HIDE5!$Q$3)</f>
        <v>0</v>
      </c>
      <c r="H532" s="1771"/>
      <c r="I532" s="1771"/>
      <c r="J532" s="1771"/>
      <c r="K532" s="1771"/>
      <c r="L532" s="1771"/>
      <c r="M532" s="1771"/>
      <c r="N532" s="1771"/>
      <c r="O532" s="1771"/>
      <c r="P532" s="1771"/>
      <c r="Q532" s="1771"/>
      <c r="R532" s="576"/>
      <c r="S532" s="567"/>
      <c r="T532" s="274"/>
      <c r="U532" s="274"/>
      <c r="V532" s="274"/>
      <c r="W532" s="274"/>
      <c r="X532" s="274"/>
      <c r="Y532" s="274"/>
    </row>
    <row r="533" spans="1:25" outlineLevel="1" x14ac:dyDescent="0.25">
      <c r="A533" s="558"/>
      <c r="B533" s="559"/>
      <c r="C533" s="1768"/>
      <c r="D533" s="586" t="str">
        <f>HIDE5!$X$6</f>
        <v>Bedding</v>
      </c>
      <c r="E533" s="1772">
        <f>SUMIFS(Table378910111213141516171819[Total],Table378910111213141516171819[Category],$D533,Table378910111213141516171819[Check],HIDE5!$Q$3)</f>
        <v>0</v>
      </c>
      <c r="F533" s="586" t="str">
        <f>HIDE5!$X$11</f>
        <v>Decor</v>
      </c>
      <c r="G533" s="1772">
        <f>SUMIFS(Table378910111213141516171819[Total],Table378910111213141516171819[Category],$F533,Table378910111213141516171819[Check],HIDE5!$Q$3)</f>
        <v>0</v>
      </c>
      <c r="H533" s="1771"/>
      <c r="I533" s="1771"/>
      <c r="J533" s="1771"/>
      <c r="K533" s="1771"/>
      <c r="L533" s="1771"/>
      <c r="M533" s="1771"/>
      <c r="N533" s="1771"/>
      <c r="O533" s="1771"/>
      <c r="P533" s="1771"/>
      <c r="Q533" s="1771"/>
      <c r="R533" s="576"/>
      <c r="S533" s="567"/>
    </row>
    <row r="534" spans="1:25" s="558" customFormat="1" ht="15" customHeight="1" outlineLevel="1" x14ac:dyDescent="0.25">
      <c r="A534" s="274"/>
      <c r="B534" s="559"/>
      <c r="C534" s="1772"/>
      <c r="D534" s="1772"/>
      <c r="E534" s="1772"/>
      <c r="F534" s="1772"/>
      <c r="G534" s="1772"/>
      <c r="H534" s="1771"/>
      <c r="I534" s="1771"/>
      <c r="J534" s="1771"/>
      <c r="K534" s="1771"/>
      <c r="L534" s="1771"/>
      <c r="M534" s="1771"/>
      <c r="N534" s="1771"/>
      <c r="O534" s="1771"/>
      <c r="P534" s="1771"/>
      <c r="Q534" s="1771"/>
      <c r="R534" s="576"/>
      <c r="S534" s="567"/>
    </row>
    <row r="535" spans="1:25" s="558" customFormat="1" ht="15" customHeight="1" outlineLevel="1" x14ac:dyDescent="0.25">
      <c r="B535" s="559"/>
      <c r="C535" s="1772"/>
      <c r="D535" s="591" t="s">
        <v>696</v>
      </c>
      <c r="E535" s="1774">
        <f>IFERROR(SUM(E530:E533,G530:G533),0)</f>
        <v>0</v>
      </c>
      <c r="F535" s="1771"/>
      <c r="G535" s="1771"/>
      <c r="H535" s="1771"/>
      <c r="I535" s="1771"/>
      <c r="J535" s="1771"/>
      <c r="K535" s="1771"/>
      <c r="L535" s="1771"/>
      <c r="M535" s="1771"/>
      <c r="N535" s="1771"/>
      <c r="O535" s="1771"/>
      <c r="P535" s="1772"/>
      <c r="Q535" s="1772"/>
      <c r="R535" s="577"/>
      <c r="S535" s="567"/>
      <c r="T535" s="274"/>
      <c r="U535" s="274"/>
      <c r="V535" s="274"/>
      <c r="W535" s="274"/>
      <c r="X535" s="274"/>
      <c r="Y535" s="274"/>
    </row>
    <row r="536" spans="1:25" ht="15" customHeight="1" x14ac:dyDescent="0.25">
      <c r="A536" s="558"/>
      <c r="B536" s="575"/>
      <c r="C536" s="9"/>
      <c r="D536" s="9"/>
      <c r="E536" s="9"/>
      <c r="F536" s="9"/>
      <c r="G536" s="9"/>
      <c r="H536" s="9"/>
      <c r="I536" s="9"/>
      <c r="J536" s="9"/>
      <c r="K536" s="9"/>
      <c r="L536" s="9"/>
      <c r="M536" s="9"/>
      <c r="N536" s="9"/>
      <c r="O536" s="9"/>
      <c r="P536" s="9"/>
      <c r="Q536" s="9"/>
      <c r="R536" s="9"/>
      <c r="S536" s="567"/>
      <c r="T536" s="558"/>
      <c r="U536" s="558"/>
      <c r="V536" s="558"/>
      <c r="W536" s="558"/>
      <c r="X536" s="558"/>
      <c r="Y536" s="558"/>
    </row>
    <row r="537" spans="1:25" x14ac:dyDescent="0.25">
      <c r="B537" s="561"/>
      <c r="C537" s="578"/>
      <c r="D537" s="578"/>
      <c r="E537" s="578"/>
      <c r="F537" s="578"/>
      <c r="G537" s="578"/>
      <c r="H537" s="578"/>
      <c r="I537" s="578"/>
      <c r="J537" s="578"/>
      <c r="K537" s="578"/>
      <c r="L537" s="578"/>
      <c r="M537" s="579"/>
      <c r="N537" s="579"/>
      <c r="O537" s="579"/>
      <c r="P537" s="579"/>
      <c r="Q537" s="579"/>
      <c r="R537" s="579"/>
      <c r="S537" s="580"/>
      <c r="T537" s="558"/>
      <c r="U537" s="558"/>
      <c r="V537" s="558"/>
      <c r="W537" s="558"/>
      <c r="X537" s="558"/>
      <c r="Y537" s="558"/>
    </row>
    <row r="538" spans="1:25" outlineLevel="1" x14ac:dyDescent="0.25"/>
    <row r="539" spans="1:25" outlineLevel="1" x14ac:dyDescent="0.25">
      <c r="B539" s="562">
        <v>15</v>
      </c>
      <c r="C539" s="563" t="str">
        <f>UPPER(DASHBOARD!$AP$72)</f>
        <v>OTHER</v>
      </c>
      <c r="D539" s="564"/>
      <c r="E539" s="564"/>
      <c r="F539" s="564"/>
      <c r="G539" s="564"/>
      <c r="H539" s="564"/>
      <c r="I539" s="564"/>
      <c r="J539" s="564"/>
      <c r="K539" s="564"/>
      <c r="L539" s="564"/>
      <c r="M539" s="564"/>
      <c r="N539" s="564"/>
      <c r="O539" s="564"/>
      <c r="P539" s="564"/>
      <c r="Q539" s="564"/>
      <c r="R539" s="564"/>
      <c r="S539" s="565"/>
    </row>
    <row r="540" spans="1:25" outlineLevel="1" x14ac:dyDescent="0.25">
      <c r="B540" s="559"/>
      <c r="C540" s="9"/>
      <c r="D540" s="9"/>
      <c r="E540" s="9"/>
      <c r="F540" s="9"/>
      <c r="G540" s="9"/>
      <c r="H540" s="9"/>
      <c r="I540" s="9"/>
      <c r="J540" s="9"/>
      <c r="K540" s="9"/>
      <c r="L540" s="9"/>
      <c r="M540" s="9"/>
      <c r="N540" s="9"/>
      <c r="O540" s="9"/>
      <c r="P540" s="9"/>
      <c r="Q540" s="9"/>
      <c r="R540" s="9"/>
      <c r="S540" s="560"/>
    </row>
    <row r="541" spans="1:25" ht="15.75" customHeight="1" outlineLevel="1" x14ac:dyDescent="0.25">
      <c r="B541" s="559"/>
      <c r="C541" s="566">
        <v>1</v>
      </c>
      <c r="D541" s="380" t="s">
        <v>1147</v>
      </c>
      <c r="E541" s="537"/>
      <c r="F541" s="537"/>
      <c r="G541" s="537"/>
      <c r="H541" s="537"/>
      <c r="I541" s="537"/>
      <c r="J541" s="537"/>
      <c r="K541" s="537"/>
      <c r="L541" s="537"/>
      <c r="M541" s="568"/>
      <c r="N541" s="569"/>
      <c r="O541" s="569"/>
      <c r="P541" s="570"/>
      <c r="Q541" s="569"/>
      <c r="R541" s="569"/>
      <c r="S541" s="567"/>
    </row>
    <row r="542" spans="1:25" outlineLevel="1" x14ac:dyDescent="0.25">
      <c r="B542" s="559"/>
      <c r="C542" s="571"/>
      <c r="D542" s="572"/>
      <c r="E542" s="572"/>
      <c r="F542" s="572"/>
      <c r="G542" s="572"/>
      <c r="H542" s="572"/>
      <c r="I542" s="572"/>
      <c r="J542" s="573"/>
      <c r="K542" s="573"/>
      <c r="L542" s="573"/>
      <c r="M542" s="573"/>
      <c r="N542" s="573"/>
      <c r="O542" s="572"/>
      <c r="P542" s="571"/>
      <c r="Q542" s="574"/>
      <c r="R542" s="585"/>
      <c r="S542" s="567"/>
    </row>
    <row r="543" spans="1:25" outlineLevel="1" x14ac:dyDescent="0.25">
      <c r="B543" s="559"/>
      <c r="C543" s="571"/>
      <c r="D543" s="572"/>
      <c r="E543" s="572"/>
      <c r="F543" s="572"/>
      <c r="G543" s="572"/>
      <c r="H543" s="572"/>
      <c r="I543" s="572"/>
      <c r="J543" s="573"/>
      <c r="K543" s="573"/>
      <c r="L543" s="84"/>
      <c r="M543" s="2580" t="s">
        <v>719</v>
      </c>
      <c r="N543" s="2581"/>
      <c r="O543" s="2581"/>
      <c r="P543" s="2581"/>
      <c r="Q543" s="2581"/>
      <c r="R543" s="589"/>
      <c r="S543" s="567"/>
    </row>
    <row r="544" spans="1:25" outlineLevel="1" x14ac:dyDescent="0.25">
      <c r="B544" s="559"/>
      <c r="C544" s="571"/>
      <c r="D544" s="590" t="s">
        <v>633</v>
      </c>
      <c r="E544" s="587" t="s">
        <v>697</v>
      </c>
      <c r="F544" s="587" t="s">
        <v>438</v>
      </c>
      <c r="G544" s="587" t="s">
        <v>698</v>
      </c>
      <c r="H544" s="587" t="s">
        <v>662</v>
      </c>
      <c r="I544" s="587" t="s">
        <v>699</v>
      </c>
      <c r="J544" s="587" t="s">
        <v>20</v>
      </c>
      <c r="K544" s="587" t="s">
        <v>695</v>
      </c>
      <c r="L544" s="592" t="s">
        <v>716</v>
      </c>
      <c r="M544" s="588" t="s">
        <v>700</v>
      </c>
      <c r="N544" s="588" t="s">
        <v>701</v>
      </c>
      <c r="O544" s="588" t="s">
        <v>702</v>
      </c>
      <c r="P544" s="588" t="s">
        <v>703</v>
      </c>
      <c r="Q544" s="588" t="s">
        <v>704</v>
      </c>
      <c r="R544" s="588" t="s">
        <v>124</v>
      </c>
      <c r="S544" s="567"/>
    </row>
    <row r="545" spans="1:25" ht="14.4" outlineLevel="1" x14ac:dyDescent="0.25">
      <c r="B545" s="559"/>
      <c r="C545" s="571"/>
      <c r="D545" s="1752"/>
      <c r="E545" s="1737"/>
      <c r="F545" s="1737"/>
      <c r="G545" s="1737"/>
      <c r="H545" s="1737"/>
      <c r="I545" s="1737"/>
      <c r="J545" s="1702">
        <f>Table37891011121314151617181920[[#This Row],[Quantity]]*Table37891011121314151617181920[[#This Row],[Unit Price]]</f>
        <v>0</v>
      </c>
      <c r="K545" s="1737"/>
      <c r="L545" s="1753"/>
      <c r="M545" s="1754"/>
      <c r="N545" s="1754"/>
      <c r="O545" s="1754"/>
      <c r="P545" s="1754"/>
      <c r="Q545" s="1754"/>
      <c r="R545" s="594" cm="1">
        <f t="array" ref="R545">INDEX(Table37891011121314151617181920[[#This Row],[P1]:[P5]],1,$H$34)</f>
        <v>0</v>
      </c>
      <c r="S545" s="567"/>
    </row>
    <row r="546" spans="1:25" ht="15" customHeight="1" outlineLevel="1" x14ac:dyDescent="0.25">
      <c r="B546" s="559"/>
      <c r="C546" s="571"/>
      <c r="D546" s="1752"/>
      <c r="E546" s="1737"/>
      <c r="F546" s="1737"/>
      <c r="G546" s="1737"/>
      <c r="H546" s="1737"/>
      <c r="I546" s="1737"/>
      <c r="J546" s="1702">
        <f>Table37891011121314151617181920[[#This Row],[Quantity]]*Table37891011121314151617181920[[#This Row],[Unit Price]]</f>
        <v>0</v>
      </c>
      <c r="K546" s="1737"/>
      <c r="L546" s="1755"/>
      <c r="M546" s="1754"/>
      <c r="N546" s="1754"/>
      <c r="O546" s="1754"/>
      <c r="P546" s="1754"/>
      <c r="Q546" s="1754"/>
      <c r="R546" s="595" cm="1">
        <f t="array" ref="R546">INDEX(Table37891011121314151617181920[[#This Row],[P1]:[P5]],1,$H$34)</f>
        <v>0</v>
      </c>
      <c r="S546" s="567"/>
    </row>
    <row r="547" spans="1:25" ht="15" customHeight="1" outlineLevel="1" x14ac:dyDescent="0.25">
      <c r="B547" s="559"/>
      <c r="C547" s="571"/>
      <c r="D547" s="1752"/>
      <c r="E547" s="1737"/>
      <c r="F547" s="1737"/>
      <c r="G547" s="1737"/>
      <c r="H547" s="1737"/>
      <c r="I547" s="1737"/>
      <c r="J547" s="1702">
        <f>Table37891011121314151617181920[[#This Row],[Quantity]]*Table37891011121314151617181920[[#This Row],[Unit Price]]</f>
        <v>0</v>
      </c>
      <c r="K547" s="1737"/>
      <c r="L547" s="1755"/>
      <c r="M547" s="1754"/>
      <c r="N547" s="1754"/>
      <c r="O547" s="1754"/>
      <c r="P547" s="1754"/>
      <c r="Q547" s="1754"/>
      <c r="R547" s="595" cm="1">
        <f t="array" ref="R547">INDEX(Table37891011121314151617181920[[#This Row],[P1]:[P5]],1,$H$34)</f>
        <v>0</v>
      </c>
      <c r="S547" s="567"/>
    </row>
    <row r="548" spans="1:25" ht="15" customHeight="1" outlineLevel="1" x14ac:dyDescent="0.25">
      <c r="B548" s="559"/>
      <c r="C548" s="571"/>
      <c r="D548" s="1752"/>
      <c r="E548" s="1737"/>
      <c r="F548" s="1737"/>
      <c r="G548" s="1737"/>
      <c r="H548" s="1737"/>
      <c r="I548" s="1737"/>
      <c r="J548" s="1702">
        <f>Table37891011121314151617181920[[#This Row],[Quantity]]*Table37891011121314151617181920[[#This Row],[Unit Price]]</f>
        <v>0</v>
      </c>
      <c r="K548" s="1737"/>
      <c r="L548" s="1753"/>
      <c r="M548" s="1754"/>
      <c r="N548" s="1754"/>
      <c r="O548" s="1754"/>
      <c r="P548" s="1754"/>
      <c r="Q548" s="1754"/>
      <c r="R548" s="595" cm="1">
        <f t="array" ref="R548">INDEX(Table37891011121314151617181920[[#This Row],[P1]:[P5]],1,$H$34)</f>
        <v>0</v>
      </c>
      <c r="S548" s="567"/>
    </row>
    <row r="549" spans="1:25" ht="15" customHeight="1" outlineLevel="1" x14ac:dyDescent="0.25">
      <c r="B549" s="559"/>
      <c r="C549" s="571"/>
      <c r="D549" s="1752"/>
      <c r="E549" s="1737"/>
      <c r="F549" s="1737"/>
      <c r="G549" s="1737"/>
      <c r="H549" s="1737"/>
      <c r="I549" s="1737"/>
      <c r="J549" s="1702">
        <f>Table37891011121314151617181920[[#This Row],[Quantity]]*Table37891011121314151617181920[[#This Row],[Unit Price]]</f>
        <v>0</v>
      </c>
      <c r="K549" s="1737"/>
      <c r="L549" s="1755"/>
      <c r="M549" s="1754"/>
      <c r="N549" s="1754"/>
      <c r="O549" s="1754"/>
      <c r="P549" s="1754"/>
      <c r="Q549" s="1754"/>
      <c r="R549" s="595" cm="1">
        <f t="array" ref="R549">INDEX(Table37891011121314151617181920[[#This Row],[P1]:[P5]],1,$H$34)</f>
        <v>0</v>
      </c>
      <c r="S549" s="567"/>
    </row>
    <row r="550" spans="1:25" ht="15" customHeight="1" outlineLevel="1" x14ac:dyDescent="0.25">
      <c r="B550" s="559"/>
      <c r="C550" s="571"/>
      <c r="D550" s="1752"/>
      <c r="E550" s="1737"/>
      <c r="F550" s="1737"/>
      <c r="G550" s="1737"/>
      <c r="H550" s="1737"/>
      <c r="I550" s="1737"/>
      <c r="J550" s="1702">
        <f>Table37891011121314151617181920[[#This Row],[Quantity]]*Table37891011121314151617181920[[#This Row],[Unit Price]]</f>
        <v>0</v>
      </c>
      <c r="K550" s="1737"/>
      <c r="L550" s="1755"/>
      <c r="M550" s="1754"/>
      <c r="N550" s="1754"/>
      <c r="O550" s="1754"/>
      <c r="P550" s="1754"/>
      <c r="Q550" s="1754"/>
      <c r="R550" s="595" cm="1">
        <f t="array" ref="R550">INDEX(Table37891011121314151617181920[[#This Row],[P1]:[P5]],1,$H$34)</f>
        <v>0</v>
      </c>
      <c r="S550" s="567"/>
    </row>
    <row r="551" spans="1:25" s="276" customFormat="1" ht="15" customHeight="1" outlineLevel="1" x14ac:dyDescent="0.25">
      <c r="A551" s="274"/>
      <c r="B551" s="559"/>
      <c r="C551" s="571"/>
      <c r="D551" s="1752"/>
      <c r="E551" s="1737"/>
      <c r="F551" s="1737"/>
      <c r="G551" s="1737"/>
      <c r="H551" s="1737"/>
      <c r="I551" s="1737"/>
      <c r="J551" s="1702">
        <f>Table37891011121314151617181920[[#This Row],[Quantity]]*Table37891011121314151617181920[[#This Row],[Unit Price]]</f>
        <v>0</v>
      </c>
      <c r="K551" s="1737"/>
      <c r="L551" s="1755"/>
      <c r="M551" s="1754"/>
      <c r="N551" s="1754"/>
      <c r="O551" s="1754"/>
      <c r="P551" s="1754"/>
      <c r="Q551" s="1754"/>
      <c r="R551" s="595" cm="1">
        <f t="array" ref="R551">INDEX(Table37891011121314151617181920[[#This Row],[P1]:[P5]],1,$H$34)</f>
        <v>0</v>
      </c>
      <c r="S551" s="567"/>
      <c r="T551" s="274"/>
      <c r="U551" s="274"/>
      <c r="V551" s="274"/>
      <c r="W551" s="274"/>
      <c r="X551" s="274"/>
      <c r="Y551" s="274"/>
    </row>
    <row r="552" spans="1:25" s="276" customFormat="1" ht="15" customHeight="1" outlineLevel="1" x14ac:dyDescent="0.25">
      <c r="B552" s="559"/>
      <c r="C552" s="571"/>
      <c r="D552" s="1752"/>
      <c r="E552" s="1737"/>
      <c r="F552" s="1737"/>
      <c r="G552" s="1737"/>
      <c r="H552" s="1737"/>
      <c r="I552" s="1737"/>
      <c r="J552" s="1702">
        <f>Table37891011121314151617181920[[#This Row],[Quantity]]*Table37891011121314151617181920[[#This Row],[Unit Price]]</f>
        <v>0</v>
      </c>
      <c r="K552" s="1737"/>
      <c r="L552" s="1755"/>
      <c r="M552" s="1754"/>
      <c r="N552" s="1754"/>
      <c r="O552" s="1754"/>
      <c r="P552" s="1754"/>
      <c r="Q552" s="1754"/>
      <c r="R552" s="595" cm="1">
        <f t="array" ref="R552">INDEX(Table37891011121314151617181920[[#This Row],[P1]:[P5]],1,$H$34)</f>
        <v>0</v>
      </c>
      <c r="S552" s="567"/>
      <c r="T552" s="274"/>
      <c r="U552" s="274"/>
      <c r="V552" s="274"/>
      <c r="W552" s="274"/>
      <c r="X552" s="274"/>
      <c r="Y552" s="274"/>
    </row>
    <row r="553" spans="1:25" s="276" customFormat="1" ht="15" customHeight="1" outlineLevel="1" x14ac:dyDescent="0.25">
      <c r="B553" s="559"/>
      <c r="C553" s="571"/>
      <c r="D553" s="1752"/>
      <c r="E553" s="1737"/>
      <c r="F553" s="1737"/>
      <c r="G553" s="1737"/>
      <c r="H553" s="1737"/>
      <c r="I553" s="1737"/>
      <c r="J553" s="1702">
        <f>Table37891011121314151617181920[[#This Row],[Quantity]]*Table37891011121314151617181920[[#This Row],[Unit Price]]</f>
        <v>0</v>
      </c>
      <c r="K553" s="1737"/>
      <c r="L553" s="1755"/>
      <c r="M553" s="1754"/>
      <c r="N553" s="1754"/>
      <c r="O553" s="1754"/>
      <c r="P553" s="1754"/>
      <c r="Q553" s="1754"/>
      <c r="R553" s="595" cm="1">
        <f t="array" ref="R553">INDEX(Table37891011121314151617181920[[#This Row],[P1]:[P5]],1,$H$34)</f>
        <v>0</v>
      </c>
      <c r="S553" s="567"/>
    </row>
    <row r="554" spans="1:25" s="276" customFormat="1" ht="15" customHeight="1" outlineLevel="1" x14ac:dyDescent="0.25">
      <c r="B554" s="559"/>
      <c r="C554" s="571"/>
      <c r="D554" s="1752"/>
      <c r="E554" s="1737"/>
      <c r="F554" s="1737"/>
      <c r="G554" s="1737"/>
      <c r="H554" s="1737"/>
      <c r="I554" s="1737"/>
      <c r="J554" s="1702">
        <f>Table37891011121314151617181920[[#This Row],[Quantity]]*Table37891011121314151617181920[[#This Row],[Unit Price]]</f>
        <v>0</v>
      </c>
      <c r="K554" s="1737"/>
      <c r="L554" s="1755"/>
      <c r="M554" s="1754"/>
      <c r="N554" s="1754"/>
      <c r="O554" s="1754"/>
      <c r="P554" s="1754"/>
      <c r="Q554" s="1754"/>
      <c r="R554" s="595" cm="1">
        <f t="array" ref="R554">INDEX(Table37891011121314151617181920[[#This Row],[P1]:[P5]],1,$H$34)</f>
        <v>0</v>
      </c>
      <c r="S554" s="567"/>
    </row>
    <row r="555" spans="1:25" s="276" customFormat="1" ht="15" customHeight="1" outlineLevel="1" x14ac:dyDescent="0.25">
      <c r="B555" s="559"/>
      <c r="C555" s="571"/>
      <c r="D555" s="1752"/>
      <c r="E555" s="1737"/>
      <c r="F555" s="1737"/>
      <c r="G555" s="1737"/>
      <c r="H555" s="1737"/>
      <c r="I555" s="1737"/>
      <c r="J555" s="1702">
        <f>Table37891011121314151617181920[[#This Row],[Quantity]]*Table37891011121314151617181920[[#This Row],[Unit Price]]</f>
        <v>0</v>
      </c>
      <c r="K555" s="1737"/>
      <c r="L555" s="1753"/>
      <c r="M555" s="1754"/>
      <c r="N555" s="1754"/>
      <c r="O555" s="1754"/>
      <c r="P555" s="1754"/>
      <c r="Q555" s="1754"/>
      <c r="R555" s="595" cm="1">
        <f t="array" ref="R555">INDEX(Table37891011121314151617181920[[#This Row],[P1]:[P5]],1,$H$34)</f>
        <v>0</v>
      </c>
      <c r="S555" s="567"/>
    </row>
    <row r="556" spans="1:25" s="276" customFormat="1" ht="15" customHeight="1" outlineLevel="1" x14ac:dyDescent="0.25">
      <c r="B556" s="559"/>
      <c r="C556" s="571"/>
      <c r="D556" s="1752"/>
      <c r="E556" s="1737"/>
      <c r="F556" s="1737"/>
      <c r="G556" s="1737"/>
      <c r="H556" s="1737"/>
      <c r="I556" s="1737"/>
      <c r="J556" s="1702">
        <f>Table37891011121314151617181920[[#This Row],[Quantity]]*Table37891011121314151617181920[[#This Row],[Unit Price]]</f>
        <v>0</v>
      </c>
      <c r="K556" s="1737"/>
      <c r="L556" s="1755"/>
      <c r="M556" s="1754"/>
      <c r="N556" s="1754"/>
      <c r="O556" s="1754"/>
      <c r="P556" s="1754"/>
      <c r="Q556" s="1754"/>
      <c r="R556" s="595" cm="1">
        <f t="array" ref="R556">INDEX(Table37891011121314151617181920[[#This Row],[P1]:[P5]],1,$H$34)</f>
        <v>0</v>
      </c>
      <c r="S556" s="567"/>
    </row>
    <row r="557" spans="1:25" s="276" customFormat="1" ht="15" customHeight="1" outlineLevel="1" x14ac:dyDescent="0.25">
      <c r="B557" s="559"/>
      <c r="C557" s="571"/>
      <c r="D557" s="1752"/>
      <c r="E557" s="1737"/>
      <c r="F557" s="1737"/>
      <c r="G557" s="1737"/>
      <c r="H557" s="1737"/>
      <c r="I557" s="1737"/>
      <c r="J557" s="1702">
        <f>Table37891011121314151617181920[[#This Row],[Quantity]]*Table37891011121314151617181920[[#This Row],[Unit Price]]</f>
        <v>0</v>
      </c>
      <c r="K557" s="1737"/>
      <c r="L557" s="1755"/>
      <c r="M557" s="1754"/>
      <c r="N557" s="1754"/>
      <c r="O557" s="1754"/>
      <c r="P557" s="1754"/>
      <c r="Q557" s="1754"/>
      <c r="R557" s="595" cm="1">
        <f t="array" ref="R557">INDEX(Table37891011121314151617181920[[#This Row],[P1]:[P5]],1,$H$34)</f>
        <v>0</v>
      </c>
      <c r="S557" s="567"/>
    </row>
    <row r="558" spans="1:25" outlineLevel="1" x14ac:dyDescent="0.25">
      <c r="A558" s="276"/>
      <c r="B558" s="559"/>
      <c r="C558" s="571"/>
      <c r="D558" s="1752"/>
      <c r="E558" s="1737"/>
      <c r="F558" s="1737"/>
      <c r="G558" s="1737"/>
      <c r="H558" s="1737"/>
      <c r="I558" s="1737"/>
      <c r="J558" s="1702">
        <f>Table37891011121314151617181920[[#This Row],[Quantity]]*Table37891011121314151617181920[[#This Row],[Unit Price]]</f>
        <v>0</v>
      </c>
      <c r="K558" s="1737"/>
      <c r="L558" s="1755"/>
      <c r="M558" s="1754"/>
      <c r="N558" s="1754"/>
      <c r="O558" s="1754"/>
      <c r="P558" s="1754"/>
      <c r="Q558" s="1754"/>
      <c r="R558" s="595" cm="1">
        <f t="array" ref="R558">INDEX(Table37891011121314151617181920[[#This Row],[P1]:[P5]],1,$H$34)</f>
        <v>0</v>
      </c>
      <c r="S558" s="567"/>
      <c r="T558" s="276"/>
      <c r="U558" s="276"/>
      <c r="V558" s="276"/>
      <c r="W558" s="276"/>
      <c r="X558" s="276"/>
      <c r="Y558" s="276"/>
    </row>
    <row r="559" spans="1:25" outlineLevel="1" x14ac:dyDescent="0.25">
      <c r="B559" s="559"/>
      <c r="C559" s="571"/>
      <c r="D559" s="1752"/>
      <c r="E559" s="1737"/>
      <c r="F559" s="1737"/>
      <c r="G559" s="1737"/>
      <c r="H559" s="1737"/>
      <c r="I559" s="1737"/>
      <c r="J559" s="1702">
        <f>Table37891011121314151617181920[[#This Row],[Quantity]]*Table37891011121314151617181920[[#This Row],[Unit Price]]</f>
        <v>0</v>
      </c>
      <c r="K559" s="1737"/>
      <c r="L559" s="1755"/>
      <c r="M559" s="1754"/>
      <c r="N559" s="1754"/>
      <c r="O559" s="1754"/>
      <c r="P559" s="1754"/>
      <c r="Q559" s="1754"/>
      <c r="R559" s="595" cm="1">
        <f t="array" ref="R559">INDEX(Table37891011121314151617181920[[#This Row],[P1]:[P5]],1,$H$34)</f>
        <v>0</v>
      </c>
      <c r="S559" s="567"/>
      <c r="T559" s="276"/>
      <c r="U559" s="276"/>
      <c r="V559" s="276"/>
      <c r="W559" s="276"/>
      <c r="X559" s="276"/>
      <c r="Y559" s="276"/>
    </row>
    <row r="560" spans="1:25" outlineLevel="1" x14ac:dyDescent="0.25">
      <c r="B560" s="559"/>
      <c r="C560" s="571"/>
      <c r="D560" s="1752"/>
      <c r="E560" s="1737"/>
      <c r="F560" s="1737"/>
      <c r="G560" s="1737"/>
      <c r="H560" s="1737"/>
      <c r="I560" s="1737"/>
      <c r="J560" s="1702">
        <f>Table37891011121314151617181920[[#This Row],[Quantity]]*Table37891011121314151617181920[[#This Row],[Unit Price]]</f>
        <v>0</v>
      </c>
      <c r="K560" s="1737"/>
      <c r="L560" s="1755"/>
      <c r="M560" s="1754"/>
      <c r="N560" s="1754"/>
      <c r="O560" s="1754"/>
      <c r="P560" s="1754"/>
      <c r="Q560" s="1754"/>
      <c r="R560" s="595" cm="1">
        <f t="array" ref="R560">INDEX(Table37891011121314151617181920[[#This Row],[P1]:[P5]],1,$H$34)</f>
        <v>0</v>
      </c>
      <c r="S560" s="567"/>
    </row>
    <row r="561" spans="1:25" outlineLevel="1" x14ac:dyDescent="0.25">
      <c r="B561" s="559"/>
      <c r="C561" s="571"/>
      <c r="D561" s="1752"/>
      <c r="E561" s="1737"/>
      <c r="F561" s="1737"/>
      <c r="G561" s="1737"/>
      <c r="H561" s="1737"/>
      <c r="I561" s="1737"/>
      <c r="J561" s="1702">
        <f>Table37891011121314151617181920[[#This Row],[Quantity]]*Table37891011121314151617181920[[#This Row],[Unit Price]]</f>
        <v>0</v>
      </c>
      <c r="K561" s="1737"/>
      <c r="L561" s="1755"/>
      <c r="M561" s="1754"/>
      <c r="N561" s="1754"/>
      <c r="O561" s="1754"/>
      <c r="P561" s="1754"/>
      <c r="Q561" s="1754"/>
      <c r="R561" s="595" cm="1">
        <f t="array" ref="R561">INDEX(Table37891011121314151617181920[[#This Row],[P1]:[P5]],1,$H$34)</f>
        <v>0</v>
      </c>
      <c r="S561" s="567"/>
    </row>
    <row r="562" spans="1:25" outlineLevel="1" x14ac:dyDescent="0.25">
      <c r="B562" s="559"/>
      <c r="C562" s="571"/>
      <c r="D562" s="1752"/>
      <c r="E562" s="1737"/>
      <c r="F562" s="1737"/>
      <c r="G562" s="1737"/>
      <c r="H562" s="1737"/>
      <c r="I562" s="1737"/>
      <c r="J562" s="1702">
        <f>Table37891011121314151617181920[[#This Row],[Quantity]]*Table37891011121314151617181920[[#This Row],[Unit Price]]</f>
        <v>0</v>
      </c>
      <c r="K562" s="1737"/>
      <c r="L562" s="1755"/>
      <c r="M562" s="1754"/>
      <c r="N562" s="1754"/>
      <c r="O562" s="1754"/>
      <c r="P562" s="1754"/>
      <c r="Q562" s="1754"/>
      <c r="R562" s="595" cm="1">
        <f t="array" ref="R562">INDEX(Table37891011121314151617181920[[#This Row],[P1]:[P5]],1,$H$34)</f>
        <v>0</v>
      </c>
      <c r="S562" s="567"/>
    </row>
    <row r="563" spans="1:25" outlineLevel="1" x14ac:dyDescent="0.25">
      <c r="B563" s="559"/>
      <c r="C563" s="571"/>
      <c r="D563" s="1752"/>
      <c r="E563" s="1737"/>
      <c r="F563" s="1737"/>
      <c r="G563" s="1737"/>
      <c r="H563" s="1737"/>
      <c r="I563" s="1737"/>
      <c r="J563" s="1702">
        <f>Table37891011121314151617181920[[#This Row],[Quantity]]*Table37891011121314151617181920[[#This Row],[Unit Price]]</f>
        <v>0</v>
      </c>
      <c r="K563" s="1737"/>
      <c r="L563" s="1755"/>
      <c r="M563" s="1754"/>
      <c r="N563" s="1754"/>
      <c r="O563" s="1754"/>
      <c r="P563" s="1754"/>
      <c r="Q563" s="1754"/>
      <c r="R563" s="595" cm="1">
        <f t="array" ref="R563">INDEX(Table37891011121314151617181920[[#This Row],[P1]:[P5]],1,$H$34)</f>
        <v>0</v>
      </c>
      <c r="S563" s="567"/>
    </row>
    <row r="564" spans="1:25" outlineLevel="1" x14ac:dyDescent="0.25">
      <c r="B564" s="559"/>
      <c r="C564" s="571"/>
      <c r="D564" s="1752"/>
      <c r="E564" s="1737"/>
      <c r="F564" s="1737"/>
      <c r="G564" s="1737"/>
      <c r="H564" s="1737"/>
      <c r="I564" s="1737"/>
      <c r="J564" s="1702">
        <f>Table37891011121314151617181920[[#This Row],[Quantity]]*Table37891011121314151617181920[[#This Row],[Unit Price]]</f>
        <v>0</v>
      </c>
      <c r="K564" s="1737"/>
      <c r="L564" s="1755"/>
      <c r="M564" s="1754"/>
      <c r="N564" s="1754"/>
      <c r="O564" s="1754"/>
      <c r="P564" s="1754"/>
      <c r="Q564" s="1754"/>
      <c r="R564" s="596" cm="1">
        <f t="array" ref="R564">INDEX(Table37891011121314151617181920[[#This Row],[P1]:[P5]],1,$H$34)</f>
        <v>0</v>
      </c>
      <c r="S564" s="567"/>
    </row>
    <row r="565" spans="1:25" outlineLevel="1" x14ac:dyDescent="0.25">
      <c r="B565" s="575"/>
      <c r="C565" s="9"/>
      <c r="D565" s="9"/>
      <c r="E565" s="9"/>
      <c r="F565" s="9"/>
      <c r="G565" s="9"/>
      <c r="H565" s="9"/>
      <c r="I565" s="9"/>
      <c r="J565" s="9"/>
      <c r="K565" s="9"/>
      <c r="L565" s="9"/>
      <c r="M565" s="9"/>
      <c r="N565" s="9"/>
      <c r="O565" s="9"/>
      <c r="P565" s="9"/>
      <c r="Q565" s="9"/>
      <c r="R565" s="9"/>
      <c r="S565" s="567"/>
    </row>
    <row r="566" spans="1:25" outlineLevel="1" x14ac:dyDescent="0.25">
      <c r="B566" s="575"/>
      <c r="C566" s="566">
        <v>2</v>
      </c>
      <c r="D566" s="380" t="s">
        <v>715</v>
      </c>
      <c r="E566" s="537"/>
      <c r="F566" s="593" t="s">
        <v>717</v>
      </c>
      <c r="G566" s="1742" t="s">
        <v>700</v>
      </c>
      <c r="H566" s="1770">
        <f>MATCH(G566,HIDE5!$U$13:$U$17,0)</f>
        <v>1</v>
      </c>
      <c r="I566" s="1771"/>
      <c r="J566" s="1771"/>
      <c r="K566" s="1771"/>
      <c r="L566" s="1771"/>
      <c r="M566" s="380" t="s">
        <v>718</v>
      </c>
      <c r="N566" s="380"/>
      <c r="O566" s="380"/>
      <c r="P566" s="380"/>
      <c r="Q566" s="380"/>
      <c r="R566" s="576"/>
      <c r="S566" s="567"/>
    </row>
    <row r="567" spans="1:25" outlineLevel="1" x14ac:dyDescent="0.25">
      <c r="B567" s="1767"/>
      <c r="C567" s="1768"/>
      <c r="D567" s="1768"/>
      <c r="E567" s="1768"/>
      <c r="F567" s="1768"/>
      <c r="G567" s="1768"/>
      <c r="H567" s="1768"/>
      <c r="I567" s="1768"/>
      <c r="J567" s="1769"/>
      <c r="K567" s="1769"/>
      <c r="L567" s="1769"/>
      <c r="M567" s="597" t="s">
        <v>700</v>
      </c>
      <c r="N567" s="597" t="s">
        <v>701</v>
      </c>
      <c r="O567" s="597" t="s">
        <v>702</v>
      </c>
      <c r="P567" s="597" t="s">
        <v>703</v>
      </c>
      <c r="Q567" s="597" t="s">
        <v>704</v>
      </c>
      <c r="R567" s="576"/>
      <c r="S567" s="567"/>
    </row>
    <row r="568" spans="1:25" outlineLevel="1" x14ac:dyDescent="0.25">
      <c r="B568" s="559"/>
      <c r="C568" s="1768"/>
      <c r="D568" s="586" t="str">
        <f>HIDE5!$X$3</f>
        <v>Appliances</v>
      </c>
      <c r="E568" s="1772">
        <f>SUMIFS(Table37891011121314151617181920[Total],Table37891011121314151617181920[Category],$D568,Table37891011121314151617181920[Check],HIDE5!$Q$3)</f>
        <v>0</v>
      </c>
      <c r="F568" s="586" t="str">
        <f>HIDE5!$X$7</f>
        <v>Lighting</v>
      </c>
      <c r="G568" s="1772">
        <f>SUMIFS(Table37891011121314151617181920[Total],Table37891011121314151617181920[Category],$F568,Table37891011121314151617181920[Check],HIDE5!$Q$3)</f>
        <v>0</v>
      </c>
      <c r="H568" s="1771"/>
      <c r="I568" s="1771"/>
      <c r="J568" s="1771"/>
      <c r="K568" s="1771"/>
      <c r="L568" s="1771"/>
      <c r="M568" s="1773">
        <f>SUMIF(Table37891011121314151617181920[P1],HIDE5!$Q$3,Table37891011121314151617181920[Total])</f>
        <v>0</v>
      </c>
      <c r="N568" s="1773">
        <f>SUMIF(Table37891011121314151617181920[P2],HIDE5!$Q$3,Table37891011121314151617181920[Total])</f>
        <v>0</v>
      </c>
      <c r="O568" s="1773">
        <f>SUMIF(Table37891011121314151617181920[P3],HIDE5!$Q$3,Table37891011121314151617181920[Total])</f>
        <v>0</v>
      </c>
      <c r="P568" s="1773">
        <f>SUMIF(Table37891011121314151617181920[P4],HIDE5!$Q$3,Table37891011121314151617181920[Total])</f>
        <v>0</v>
      </c>
      <c r="Q568" s="1773">
        <f>SUMIF(Table37891011121314151617181920[P5],HIDE5!$Q$3,Table37891011121314151617181920[Total])</f>
        <v>0</v>
      </c>
      <c r="R568" s="576"/>
      <c r="S568" s="567"/>
    </row>
    <row r="569" spans="1:25" ht="15" customHeight="1" outlineLevel="1" x14ac:dyDescent="0.25">
      <c r="B569" s="559"/>
      <c r="C569" s="1768"/>
      <c r="D569" s="586" t="str">
        <f>HIDE5!$X$4</f>
        <v>Furniture</v>
      </c>
      <c r="E569" s="1772">
        <f>SUMIFS(Table37891011121314151617181920[Total],Table37891011121314151617181920[Category],$D569,Table37891011121314151617181920[Check],HIDE5!$Q$3)</f>
        <v>0</v>
      </c>
      <c r="F569" s="586" t="str">
        <f>HIDE5!$X$8</f>
        <v>Electronics</v>
      </c>
      <c r="G569" s="1772">
        <f>SUMIFS(Table37891011121314151617181920[Total],Table37891011121314151617181920[Category],$F569,Table37891011121314151617181920[Check],HIDE5!$Q$3)</f>
        <v>0</v>
      </c>
      <c r="H569" s="1771"/>
      <c r="I569" s="1771"/>
      <c r="J569" s="1771"/>
      <c r="K569" s="1771"/>
      <c r="L569" s="1771"/>
      <c r="M569" s="1771"/>
      <c r="N569" s="1771"/>
      <c r="O569" s="1771"/>
      <c r="P569" s="1771"/>
      <c r="Q569" s="1771"/>
      <c r="R569" s="576"/>
      <c r="S569" s="567"/>
    </row>
    <row r="570" spans="1:25" s="558" customFormat="1" ht="15" customHeight="1" outlineLevel="1" x14ac:dyDescent="0.25">
      <c r="A570" s="274"/>
      <c r="B570" s="559"/>
      <c r="C570" s="1768"/>
      <c r="D570" s="586" t="str">
        <f>HIDE5!$X$5</f>
        <v>Kitchenware</v>
      </c>
      <c r="E570" s="1772">
        <f>SUMIFS(Table37891011121314151617181920[Total],Table37891011121314151617181920[Category],$D570,Table37891011121314151617181920[Check],HIDE5!$Q$3)</f>
        <v>0</v>
      </c>
      <c r="F570" s="586" t="str">
        <f>HIDE5!$X$10</f>
        <v>Accessories</v>
      </c>
      <c r="G570" s="1772">
        <f>SUMIFS(Table37891011121314151617181920[Total],Table37891011121314151617181920[Category],$F570,Table37891011121314151617181920[Check],HIDE5!$Q$3)</f>
        <v>0</v>
      </c>
      <c r="H570" s="1771"/>
      <c r="I570" s="1771"/>
      <c r="J570" s="1771"/>
      <c r="K570" s="1771"/>
      <c r="L570" s="1771"/>
      <c r="M570" s="1771"/>
      <c r="N570" s="1771"/>
      <c r="O570" s="1771"/>
      <c r="P570" s="1771"/>
      <c r="Q570" s="1771"/>
      <c r="R570" s="576"/>
      <c r="S570" s="567"/>
      <c r="T570" s="274"/>
      <c r="U570" s="274"/>
      <c r="V570" s="274"/>
      <c r="W570" s="274"/>
      <c r="X570" s="274"/>
      <c r="Y570" s="274"/>
    </row>
    <row r="571" spans="1:25" outlineLevel="1" x14ac:dyDescent="0.25">
      <c r="A571" s="558"/>
      <c r="B571" s="559"/>
      <c r="C571" s="1768"/>
      <c r="D571" s="586" t="str">
        <f>HIDE5!$X$6</f>
        <v>Bedding</v>
      </c>
      <c r="E571" s="1772">
        <f>SUMIFS(Table37891011121314151617181920[Total],Table37891011121314151617181920[Category],$D571,Table37891011121314151617181920[Check],HIDE5!$Q$3)</f>
        <v>0</v>
      </c>
      <c r="F571" s="586" t="str">
        <f>HIDE5!$X$11</f>
        <v>Decor</v>
      </c>
      <c r="G571" s="1772">
        <f>SUMIFS(Table37891011121314151617181920[Total],Table37891011121314151617181920[Category],$F571,Table37891011121314151617181920[Check],HIDE5!$Q$3)</f>
        <v>0</v>
      </c>
      <c r="H571" s="1771"/>
      <c r="I571" s="1771"/>
      <c r="J571" s="1771"/>
      <c r="K571" s="1771"/>
      <c r="L571" s="1771"/>
      <c r="M571" s="1771"/>
      <c r="N571" s="1771"/>
      <c r="O571" s="1771"/>
      <c r="P571" s="1771"/>
      <c r="Q571" s="1771"/>
      <c r="R571" s="576"/>
      <c r="S571" s="567"/>
    </row>
    <row r="572" spans="1:25" s="558" customFormat="1" ht="15" customHeight="1" outlineLevel="1" x14ac:dyDescent="0.25">
      <c r="A572" s="274"/>
      <c r="B572" s="559"/>
      <c r="C572" s="1772"/>
      <c r="D572" s="1772"/>
      <c r="E572" s="1772"/>
      <c r="F572" s="1772"/>
      <c r="G572" s="1772"/>
      <c r="H572" s="1771"/>
      <c r="I572" s="1771"/>
      <c r="J572" s="1771"/>
      <c r="K572" s="1771"/>
      <c r="L572" s="1771"/>
      <c r="M572" s="1771"/>
      <c r="N572" s="1771"/>
      <c r="O572" s="1771"/>
      <c r="P572" s="1771"/>
      <c r="Q572" s="1771"/>
      <c r="R572" s="576"/>
      <c r="S572" s="567"/>
    </row>
    <row r="573" spans="1:25" s="558" customFormat="1" ht="15" customHeight="1" outlineLevel="1" x14ac:dyDescent="0.25">
      <c r="B573" s="559"/>
      <c r="C573" s="1772"/>
      <c r="D573" s="591" t="s">
        <v>696</v>
      </c>
      <c r="E573" s="1774">
        <f>IFERROR(SUM(E568:E571,G568:G571),0)</f>
        <v>0</v>
      </c>
      <c r="F573" s="1771"/>
      <c r="G573" s="1771"/>
      <c r="H573" s="1771"/>
      <c r="I573" s="1771"/>
      <c r="J573" s="1771"/>
      <c r="K573" s="1771"/>
      <c r="L573" s="1771"/>
      <c r="M573" s="1771"/>
      <c r="N573" s="1771"/>
      <c r="O573" s="1771"/>
      <c r="P573" s="1772"/>
      <c r="Q573" s="1772"/>
      <c r="R573" s="577"/>
      <c r="S573" s="567"/>
      <c r="T573" s="274"/>
      <c r="U573" s="274"/>
      <c r="V573" s="274"/>
      <c r="W573" s="274"/>
      <c r="X573" s="274"/>
      <c r="Y573" s="274"/>
    </row>
    <row r="574" spans="1:25" ht="15" customHeight="1" x14ac:dyDescent="0.25">
      <c r="A574" s="558"/>
      <c r="B574" s="575"/>
      <c r="C574" s="9"/>
      <c r="D574" s="9"/>
      <c r="E574" s="9"/>
      <c r="F574" s="9"/>
      <c r="G574" s="9"/>
      <c r="H574" s="9"/>
      <c r="I574" s="9"/>
      <c r="J574" s="9"/>
      <c r="K574" s="9"/>
      <c r="L574" s="9"/>
      <c r="M574" s="9"/>
      <c r="N574" s="9"/>
      <c r="O574" s="9"/>
      <c r="P574" s="9"/>
      <c r="Q574" s="9"/>
      <c r="R574" s="9"/>
      <c r="S574" s="567"/>
      <c r="T574" s="558"/>
      <c r="U574" s="558"/>
      <c r="V574" s="558"/>
      <c r="W574" s="558"/>
      <c r="X574" s="558"/>
      <c r="Y574" s="558"/>
    </row>
    <row r="575" spans="1:25" ht="14.25" customHeight="1" x14ac:dyDescent="0.25">
      <c r="B575" s="561"/>
      <c r="C575" s="578"/>
      <c r="D575" s="578"/>
      <c r="E575" s="578"/>
      <c r="F575" s="578"/>
      <c r="G575" s="578"/>
      <c r="H575" s="578"/>
      <c r="I575" s="578"/>
      <c r="J575" s="578"/>
      <c r="K575" s="578"/>
      <c r="L575" s="578"/>
      <c r="M575" s="579"/>
      <c r="N575" s="579"/>
      <c r="O575" s="579"/>
      <c r="P575" s="579"/>
      <c r="Q575" s="579"/>
      <c r="R575" s="579"/>
      <c r="S575" s="580"/>
      <c r="T575" s="558"/>
      <c r="U575" s="558"/>
      <c r="V575" s="558"/>
      <c r="W575" s="558"/>
      <c r="X575" s="558"/>
      <c r="Y575" s="558"/>
    </row>
    <row r="576" spans="1:25" s="584" customFormat="1" ht="15" customHeight="1" x14ac:dyDescent="0.3">
      <c r="A576" s="274"/>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row>
    <row r="577" spans="1:25" x14ac:dyDescent="0.25">
      <c r="A577" s="582"/>
    </row>
    <row r="578" spans="1:25" ht="14.4" x14ac:dyDescent="0.3">
      <c r="B578" s="985" t="str">
        <f>DISCLAIMER!$A$35</f>
        <v>© 2025 by WinsWithMike.com or Michael Forsberg Nampa, Idaho. All rights reserved</v>
      </c>
      <c r="C578" s="583"/>
      <c r="D578" s="583"/>
      <c r="E578" s="583"/>
      <c r="F578" s="583"/>
      <c r="G578" s="583"/>
      <c r="H578" s="583"/>
      <c r="I578" s="583"/>
      <c r="J578" s="583"/>
      <c r="K578" s="583"/>
      <c r="L578" s="583"/>
      <c r="M578" s="583"/>
      <c r="N578" s="583"/>
      <c r="O578" s="583"/>
      <c r="P578" s="583"/>
      <c r="Q578" s="583"/>
      <c r="R578" s="583"/>
      <c r="S578" s="583"/>
      <c r="T578" s="584"/>
      <c r="U578" s="584"/>
      <c r="V578" s="584"/>
      <c r="W578" s="584"/>
      <c r="X578" s="584"/>
      <c r="Y578" s="584"/>
    </row>
  </sheetData>
  <sheetProtection sheet="1" objects="1" scenarios="1" selectLockedCells="1"/>
  <dataConsolidate/>
  <mergeCells count="15">
    <mergeCell ref="M11:Q11"/>
    <mergeCell ref="M49:Q49"/>
    <mergeCell ref="M543:Q543"/>
    <mergeCell ref="M505:Q505"/>
    <mergeCell ref="M467:Q467"/>
    <mergeCell ref="M429:Q429"/>
    <mergeCell ref="M391:Q391"/>
    <mergeCell ref="M353:Q353"/>
    <mergeCell ref="M315:Q315"/>
    <mergeCell ref="M277:Q277"/>
    <mergeCell ref="M239:Q239"/>
    <mergeCell ref="M201:Q201"/>
    <mergeCell ref="M163:Q163"/>
    <mergeCell ref="M125:Q125"/>
    <mergeCell ref="M87:Q87"/>
  </mergeCells>
  <phoneticPr fontId="2" type="noConversion"/>
  <dataValidations count="4">
    <dataValidation operator="greaterThanOrEqual" allowBlank="1" showInputMessage="1" showErrorMessage="1" sqref="E41:O41 S7:S43 R34:R35 H72:L72 J35:L35 E79:O79 E74:E77 E36:E39 R72:R73 J73:L73 G36:G39 S45:S81 H74:R78 H36:R40 H34:L34 G74:G77 H110:L110 E117:O117 E112:E115 R110:R111 J111:L111 H112:R116 G112:G115 S83:S119 H148:L148 E155:O155 E150:E153 R148:R149 J149:L149 H150:R154 G150:G153 H186:L186 E193:O193 E188:E191 R186:R187 J187:L187 H188:R192 G188:G191 H224:L224 E231:O231 E226:E229 R224:R225 J225:L225 H226:R230 G226:G229 H262:L262 E269:O269 E264:E267 R262:R263 J263:L263 H264:R268 G264:G267 H300:L300 E307:O307 E302:E305 R300:R301 J301:L301 H302:R306 G302:G305 H338:L338 E345:O345 E340:E343 R338:R339 J339:L339 H340:R344 G340:G343 H376:L376 E383:O383 E378:E381 R376:R377 J377:L377 H378:R382 G378:G381 H414:L414 E421:O421 E416:E419 R414:R415 J415:L415 H416:R420 G416:G419 H452:L452 E459:O459 E454:E457 R452:R453 J453:L453 H454:R458 G454:G457 H490:L490 E497:O497 E492:E495 R490:R491 J491:L491 H492:R496 G492:G495 H528:L528 E535:O535 E530:E533 R528:R529 J529:L529 H530:R534 G530:G533 H566:L566 E573:O573 E568:E571 R566:R567 J567:L567 H568:R572 G568:G571 S539:S575 S501:S537 S463:S499 S425:S461 S387:S423 S349:S385 S311:S347 S273:S309 S235:S271 S197:S233 S159:S195 S121:S157" xr:uid="{4F7E1B1D-D881-458B-8121-1A08E110FE7B}"/>
    <dataValidation allowBlank="1" showErrorMessage="1" sqref="J10:M11 M12:R12 N10:O10 M35:Q35 J48:M49 M50:R50 N48:O48 M73:Q73 J86:M87 M88:R88 N86:O86 M111:Q111 J124:M125 M126:R126 N124:O124 M149:Q149 J162:M163 M164:R164 N162:O162 M187:Q187 J200:M201 M202:R202 N200:O200 M225:Q225 J238:M239 M240:R240 N238:O238 M263:Q263 J276:M277 M278:R278 N276:O276 M301:Q301 J314:M315 M316:R316 N314:O314 M339:Q339 J352:M353 M354:R354 N352:O352 M377:Q377 J390:M391 M392:R392 N390:O390 M415:Q415 J428:M429 M430:R430 N428:O428 M453:Q453 J466:M467 M468:R468 N466:O466 M491:Q491 J504:M505 M506:R506 N504:O504 M529:Q529 J542:M543 M544:R544 N542:O542 M567:Q567" xr:uid="{8058E162-E51D-488A-A42E-D60AC696195B}"/>
    <dataValidation type="decimal" operator="greaterThan" allowBlank="1" showInputMessage="1" showErrorMessage="1" sqref="H13:I32" xr:uid="{A37F0E52-6E81-4991-A763-E93A647D177D}">
      <formula1>-99999999</formula1>
    </dataValidation>
    <dataValidation type="decimal" operator="greaterThan" allowBlank="1" showInputMessage="1" showErrorMessage="1" sqref="H51:I70 H89:I108 H127:I146 H165:I184 H203:I222 H241:I260 H279:I298 H317:I336 H355:I374 H393:I412 H431:I450 H469:I488 H507:I526 H545:I564" xr:uid="{98E9488C-0D03-428C-9159-729F3420F708}">
      <formula1>-999999</formula1>
    </dataValidation>
  </dataValidations>
  <hyperlinks>
    <hyperlink ref="D4" location="Area_1" display="Area_1" xr:uid="{4C2ECC7E-E26D-4552-B943-14F5FF2D5F9A}"/>
    <hyperlink ref="E4" location="Area_2" display="Area_2" xr:uid="{2C6B183B-7FEC-46F6-BEE4-1EA1C01103F7}"/>
    <hyperlink ref="F4" location="Area_3" display="Area_3" xr:uid="{CE00625B-3BE7-4AA2-95B1-E77C7B71B8D1}"/>
    <hyperlink ref="G4" location="Area_4" display="Area_4" xr:uid="{8F2200E1-93BA-4E75-8AA9-3FE097E6ADBC}"/>
    <hyperlink ref="H4" location="Area_5" display="Area_5" xr:uid="{E98CF25B-D013-4FC0-8FB0-9AEF213791CF}"/>
    <hyperlink ref="I4" location="Area_6" display="Area_6" xr:uid="{DF680617-0596-43CE-8963-4D692BC77DA3}"/>
    <hyperlink ref="J4" location="Area_7" display="Area_7" xr:uid="{ADF86CD7-2864-41A6-9DE4-08F8A50F700D}"/>
    <hyperlink ref="K4" location="Area_8" display="Area_8" xr:uid="{7DC50D44-69F1-4BC4-9262-2CCBD7E8C4EA}"/>
    <hyperlink ref="D5" location="Area_9" display="Area_9" xr:uid="{D076BCDF-5A82-4CC7-9963-8F7260ADAB77}"/>
    <hyperlink ref="E5" location="Area_10" display="Area_10" xr:uid="{C904427F-13BC-460D-90BF-62FCF9DDD40B}"/>
    <hyperlink ref="F5" location="Area_11" display="Area_11" xr:uid="{031063DD-F6BE-4BBE-8B5D-1CF51968BA61}"/>
    <hyperlink ref="G5" location="Area_12" display="Area_12" xr:uid="{343D071D-7D1B-4CD0-9B71-2DC2E221A84E}"/>
    <hyperlink ref="H5" location="Area_13" display="Area_13" xr:uid="{7369D01C-88CB-41C0-B2B3-EF70A95C32A8}"/>
    <hyperlink ref="I5" location="Area_14" display="Area_14" xr:uid="{DD13EB72-D669-4BAF-9F7A-56B222A2CD45}"/>
    <hyperlink ref="J5" location="Area_15" display="Area_15" xr:uid="{AAAF5619-E90C-4208-8C0E-6F40D8150F11}"/>
  </hyperlinks>
  <pageMargins left="0.7" right="0.7" top="0.75" bottom="0.75" header="0.3" footer="0.3"/>
  <pageSetup scale="62" fitToHeight="0" orientation="landscape" r:id="rId1"/>
  <rowBreaks count="14" manualBreakCount="14">
    <brk id="44" min="1" max="18" man="1"/>
    <brk id="82" min="1" max="18" man="1"/>
    <brk id="120" min="1" max="18" man="1"/>
    <brk id="158" min="1" max="18" man="1"/>
    <brk id="196" min="1" max="18" man="1"/>
    <brk id="234" min="1" max="18" man="1"/>
    <brk id="272" min="1" max="18" man="1"/>
    <brk id="310" min="1" max="18" man="1"/>
    <brk id="348" min="1" max="18" man="1"/>
    <brk id="386" min="1" max="18" man="1"/>
    <brk id="424" min="1" max="18" man="1"/>
    <brk id="462" min="1" max="18" man="1"/>
    <brk id="500" min="1" max="18" man="1"/>
    <brk id="538" min="1" max="18" man="1"/>
  </rowBreaks>
  <drawing r:id="rId2"/>
  <tableParts count="15">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s>
  <extLst>
    <ext xmlns:x14="http://schemas.microsoft.com/office/spreadsheetml/2009/9/main" uri="{CCE6A557-97BC-4b89-ADB6-D9C93CAAB3DF}">
      <x14:dataValidations xmlns:xm="http://schemas.microsoft.com/office/excel/2006/main" count="3">
        <x14:dataValidation type="list" allowBlank="1" showInputMessage="1" showErrorMessage="1" xr:uid="{81281C18-AE1D-42B5-8C51-4837AB0808A5}">
          <x14:formula1>
            <xm:f>HIDE5!$Q$3:$Q$4</xm:f>
          </x14:formula1>
          <xm:sqref>M13:Q32 M51:Q70 M89:Q108 M127:Q146 M165:Q184 M203:Q222 M241:Q260 M279:Q298 M317:Q336 M355:Q374 M393:Q412 M431:Q450 M469:Q488 M507:Q526 M545:Q564</xm:sqref>
        </x14:dataValidation>
        <x14:dataValidation type="list" allowBlank="1" showInputMessage="1" showErrorMessage="1" xr:uid="{8AC90813-1543-4348-8920-627DF935BDCD}">
          <x14:formula1>
            <xm:f>HIDE5!$U$13:$U$17</xm:f>
          </x14:formula1>
          <xm:sqref>G34 G72 G110 G148 G186 G224 G262 G300 G338 G376 G414 G452 G490 G528 G566</xm:sqref>
        </x14:dataValidation>
        <x14:dataValidation type="list" allowBlank="1" showInputMessage="1" showErrorMessage="1" xr:uid="{DDFB5954-0219-49A1-A1A5-0E37AEB2B217}">
          <x14:formula1>
            <xm:f>HIDE5!$X$3:$X$12</xm:f>
          </x14:formula1>
          <xm:sqref>D13:D32 D51:D70 D89:D108 D127:D146 D165:D184 D203:D222 D241:D260 D279:D298 D317:D336 D355:D374 D393:D412 D431:D450 D469:D488 D507:D526 D545:D564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6205-0D47-41CB-8CCA-3E1CEB4BC258}">
  <sheetPr codeName="Sheet3" filterMode="1">
    <tabColor rgb="FF3B4E87"/>
    <pageSetUpPr fitToPage="1"/>
  </sheetPr>
  <dimension ref="A1:AZ198"/>
  <sheetViews>
    <sheetView showGridLines="0" showRowColHeaders="0" zoomScaleNormal="100" workbookViewId="0">
      <pane ySplit="3" topLeftCell="A4" activePane="bottomLeft" state="frozen"/>
      <selection pane="bottomLeft" activeCell="A4" sqref="A4"/>
    </sheetView>
  </sheetViews>
  <sheetFormatPr defaultColWidth="9.109375" defaultRowHeight="13.8" outlineLevelRow="1" x14ac:dyDescent="0.3"/>
  <cols>
    <col min="1" max="1" width="2.88671875" style="283" customWidth="1"/>
    <col min="2" max="2" width="28" style="283" customWidth="1"/>
    <col min="3" max="3" width="11.44140625" style="283" customWidth="1"/>
    <col min="4" max="5" width="10" style="283" customWidth="1"/>
    <col min="6" max="6" width="9.109375" style="283" customWidth="1"/>
    <col min="7" max="35" width="10" style="283" customWidth="1"/>
    <col min="36" max="36" width="4.88671875" style="450" customWidth="1"/>
    <col min="37" max="37" width="13.6640625" style="283" hidden="1" customWidth="1"/>
    <col min="38" max="39" width="0" style="283" hidden="1" customWidth="1"/>
    <col min="40" max="16384" width="9.109375" style="283"/>
  </cols>
  <sheetData>
    <row r="1" spans="1:37" s="1244" customFormat="1" ht="30" customHeight="1" x14ac:dyDescent="0.25">
      <c r="A1" s="1685" t="s">
        <v>741</v>
      </c>
      <c r="AJ1" s="1603"/>
    </row>
    <row r="2" spans="1:37" s="1244" customFormat="1" ht="30" customHeight="1" x14ac:dyDescent="0.25">
      <c r="A2" s="1685"/>
      <c r="AJ2" s="1603"/>
    </row>
    <row r="3" spans="1:37" s="673" customFormat="1" ht="18.75" customHeight="1" x14ac:dyDescent="0.3">
      <c r="B3" s="1705" t="s">
        <v>743</v>
      </c>
      <c r="C3" s="674" t="s">
        <v>210</v>
      </c>
      <c r="D3" s="674" t="s">
        <v>172</v>
      </c>
      <c r="E3" s="674" t="s">
        <v>763</v>
      </c>
      <c r="F3" s="674" t="s">
        <v>185</v>
      </c>
      <c r="G3" s="674" t="s">
        <v>742</v>
      </c>
      <c r="H3" s="674" t="s">
        <v>1117</v>
      </c>
      <c r="J3" s="986" t="s">
        <v>761</v>
      </c>
      <c r="K3" s="934">
        <f>DASHBOARD!AE25</f>
        <v>45870</v>
      </c>
      <c r="L3" s="987" t="s">
        <v>762</v>
      </c>
      <c r="M3" s="935">
        <f>DASHBOARD!AE29</f>
        <v>45870</v>
      </c>
      <c r="N3" s="1666" t="s">
        <v>1143</v>
      </c>
      <c r="O3" s="927" t="str">
        <f>IFERROR(XIRR(D85:AI85,D163:AI163),"n.a")</f>
        <v>n.a</v>
      </c>
      <c r="P3" s="1666" t="s">
        <v>1142</v>
      </c>
      <c r="Q3" s="927">
        <f ca="1">IFERROR(MIRR(D85:OFFSET(D85,0,COUNTIF(E5:AI5,"&lt;"&amp;3)),0%,DASHBOARD!AD83),"n.a")</f>
        <v>1.8358489342316906</v>
      </c>
      <c r="R3" s="1666" t="s">
        <v>1141</v>
      </c>
      <c r="S3" s="932">
        <f>IFERROR(SUM(D85:AI85),"n.a")</f>
        <v>224800.16095890407</v>
      </c>
      <c r="T3" s="1666" t="s">
        <v>1140</v>
      </c>
      <c r="U3" s="933" t="str">
        <f>IFERROR(XIRR(D101:AI101,D163:AI163),"n.a")</f>
        <v>n.a</v>
      </c>
      <c r="V3" s="1666" t="s">
        <v>1137</v>
      </c>
      <c r="W3" s="933">
        <f ca="1">IFERROR(MIRR(D101:OFFSET(D101,0,COUNTIF(E5:AI5,"&lt;"&amp;3)),0%,DASHBOARD!AD83),"n.a")</f>
        <v>31.383204884537385</v>
      </c>
      <c r="X3" s="1666" t="s">
        <v>1138</v>
      </c>
      <c r="Y3" s="931">
        <f>IFERROR(SUMIF($D$101:$AI$101,"&gt;0")/-SUMIF($D$101:$AI$101,"&lt;0"),"n.a")</f>
        <v>32.383204884537385</v>
      </c>
      <c r="Z3" s="1666" t="s">
        <v>1139</v>
      </c>
      <c r="AA3" s="932">
        <f>IFERROR(SUM(D101:AI101),"n.a")</f>
        <v>221231.06510901553</v>
      </c>
      <c r="AJ3" s="1604"/>
    </row>
    <row r="4" spans="1:37" s="450" customFormat="1" ht="15" customHeight="1" x14ac:dyDescent="0.3">
      <c r="A4" s="1861"/>
      <c r="E4" s="1663">
        <f>YEAR(E8)</f>
        <v>2025</v>
      </c>
      <c r="F4" s="1663">
        <f t="shared" ref="F4:AI4" si="0">YEAR(F8)</f>
        <v>2026</v>
      </c>
      <c r="G4" s="1663">
        <f t="shared" si="0"/>
        <v>2027</v>
      </c>
      <c r="H4" s="1663">
        <f t="shared" si="0"/>
        <v>2028</v>
      </c>
      <c r="I4" s="1663">
        <f t="shared" si="0"/>
        <v>2029</v>
      </c>
      <c r="J4" s="1663">
        <f t="shared" si="0"/>
        <v>2030</v>
      </c>
      <c r="K4" s="1663">
        <f t="shared" si="0"/>
        <v>2031</v>
      </c>
      <c r="L4" s="1663">
        <f t="shared" si="0"/>
        <v>2032</v>
      </c>
      <c r="M4" s="1663">
        <f t="shared" si="0"/>
        <v>2033</v>
      </c>
      <c r="N4" s="1663">
        <f t="shared" si="0"/>
        <v>2034</v>
      </c>
      <c r="O4" s="1663">
        <f t="shared" si="0"/>
        <v>2035</v>
      </c>
      <c r="P4" s="1663">
        <f t="shared" si="0"/>
        <v>2036</v>
      </c>
      <c r="Q4" s="1663">
        <f t="shared" si="0"/>
        <v>2037</v>
      </c>
      <c r="R4" s="1663">
        <f t="shared" si="0"/>
        <v>2038</v>
      </c>
      <c r="S4" s="1663">
        <f t="shared" si="0"/>
        <v>2039</v>
      </c>
      <c r="T4" s="1663">
        <f t="shared" si="0"/>
        <v>2040</v>
      </c>
      <c r="U4" s="1663">
        <f t="shared" si="0"/>
        <v>2041</v>
      </c>
      <c r="V4" s="1663">
        <f t="shared" si="0"/>
        <v>2042</v>
      </c>
      <c r="W4" s="1663">
        <f t="shared" si="0"/>
        <v>2043</v>
      </c>
      <c r="X4" s="1663">
        <f t="shared" si="0"/>
        <v>2044</v>
      </c>
      <c r="Y4" s="1663">
        <f t="shared" si="0"/>
        <v>2045</v>
      </c>
      <c r="Z4" s="1663">
        <f t="shared" si="0"/>
        <v>2046</v>
      </c>
      <c r="AA4" s="1663">
        <f t="shared" si="0"/>
        <v>2047</v>
      </c>
      <c r="AB4" s="1663">
        <f t="shared" si="0"/>
        <v>2048</v>
      </c>
      <c r="AC4" s="1663">
        <f t="shared" si="0"/>
        <v>2049</v>
      </c>
      <c r="AD4" s="1663">
        <f t="shared" si="0"/>
        <v>2050</v>
      </c>
      <c r="AE4" s="1663">
        <f t="shared" si="0"/>
        <v>2051</v>
      </c>
      <c r="AF4" s="1663">
        <f t="shared" si="0"/>
        <v>2052</v>
      </c>
      <c r="AG4" s="1663">
        <f t="shared" si="0"/>
        <v>2053</v>
      </c>
      <c r="AH4" s="1663">
        <f t="shared" si="0"/>
        <v>2054</v>
      </c>
      <c r="AI4" s="1663">
        <f t="shared" si="0"/>
        <v>2055</v>
      </c>
    </row>
    <row r="5" spans="1:37" s="450" customFormat="1" ht="15" customHeight="1" x14ac:dyDescent="0.3">
      <c r="D5" s="1664" t="s">
        <v>751</v>
      </c>
      <c r="E5" s="1665">
        <f t="shared" ref="E5:AI5" si="1">IFERROR(IF(YEAR(E8)&gt;YEAR(sale_date-1),3,IF(YEAR(E8)=YEAR(sale_date-1),2,1)),1)</f>
        <v>2</v>
      </c>
      <c r="F5" s="1665">
        <f t="shared" si="1"/>
        <v>3</v>
      </c>
      <c r="G5" s="1665">
        <f t="shared" si="1"/>
        <v>3</v>
      </c>
      <c r="H5" s="1665">
        <f t="shared" si="1"/>
        <v>3</v>
      </c>
      <c r="I5" s="1665">
        <f t="shared" si="1"/>
        <v>3</v>
      </c>
      <c r="J5" s="1665">
        <f t="shared" si="1"/>
        <v>3</v>
      </c>
      <c r="K5" s="1665">
        <f t="shared" si="1"/>
        <v>3</v>
      </c>
      <c r="L5" s="1665">
        <f t="shared" si="1"/>
        <v>3</v>
      </c>
      <c r="M5" s="1665">
        <f t="shared" si="1"/>
        <v>3</v>
      </c>
      <c r="N5" s="1665">
        <f t="shared" si="1"/>
        <v>3</v>
      </c>
      <c r="O5" s="1665">
        <f t="shared" si="1"/>
        <v>3</v>
      </c>
      <c r="P5" s="1665">
        <f t="shared" si="1"/>
        <v>3</v>
      </c>
      <c r="Q5" s="1665">
        <f t="shared" si="1"/>
        <v>3</v>
      </c>
      <c r="R5" s="1665">
        <f t="shared" si="1"/>
        <v>3</v>
      </c>
      <c r="S5" s="1665">
        <f t="shared" si="1"/>
        <v>3</v>
      </c>
      <c r="T5" s="1665">
        <f t="shared" si="1"/>
        <v>3</v>
      </c>
      <c r="U5" s="1665">
        <f t="shared" si="1"/>
        <v>3</v>
      </c>
      <c r="V5" s="1665">
        <f t="shared" si="1"/>
        <v>3</v>
      </c>
      <c r="W5" s="1665">
        <f t="shared" si="1"/>
        <v>3</v>
      </c>
      <c r="X5" s="1665">
        <f t="shared" si="1"/>
        <v>3</v>
      </c>
      <c r="Y5" s="1665">
        <f t="shared" si="1"/>
        <v>3</v>
      </c>
      <c r="Z5" s="1665">
        <f t="shared" si="1"/>
        <v>3</v>
      </c>
      <c r="AA5" s="1665">
        <f t="shared" si="1"/>
        <v>3</v>
      </c>
      <c r="AB5" s="1665">
        <f t="shared" si="1"/>
        <v>3</v>
      </c>
      <c r="AC5" s="1665">
        <f t="shared" si="1"/>
        <v>3</v>
      </c>
      <c r="AD5" s="1665">
        <f t="shared" si="1"/>
        <v>3</v>
      </c>
      <c r="AE5" s="1665">
        <f t="shared" si="1"/>
        <v>3</v>
      </c>
      <c r="AF5" s="1665">
        <f t="shared" si="1"/>
        <v>3</v>
      </c>
      <c r="AG5" s="1665">
        <f t="shared" si="1"/>
        <v>3</v>
      </c>
      <c r="AH5" s="1665">
        <f t="shared" si="1"/>
        <v>3</v>
      </c>
      <c r="AI5" s="1665">
        <f t="shared" si="1"/>
        <v>3</v>
      </c>
    </row>
    <row r="6" spans="1:37" ht="15" customHeight="1" x14ac:dyDescent="0.3">
      <c r="B6" s="1747" t="s">
        <v>292</v>
      </c>
      <c r="C6" s="701"/>
      <c r="D6" s="701"/>
      <c r="E6" s="701"/>
      <c r="F6" s="701"/>
      <c r="G6" s="701"/>
      <c r="H6" s="701"/>
      <c r="I6" s="701"/>
      <c r="J6" s="701"/>
      <c r="K6" s="701"/>
      <c r="L6" s="701"/>
      <c r="M6" s="701"/>
      <c r="N6" s="701"/>
      <c r="O6" s="701"/>
      <c r="P6" s="701"/>
      <c r="Q6" s="701"/>
      <c r="R6" s="701"/>
      <c r="S6" s="701"/>
      <c r="T6" s="701"/>
      <c r="U6" s="701"/>
      <c r="V6" s="701"/>
      <c r="W6" s="701"/>
      <c r="X6" s="701"/>
      <c r="Y6" s="701"/>
      <c r="Z6" s="701"/>
      <c r="AA6" s="701"/>
      <c r="AB6" s="701"/>
      <c r="AC6" s="701"/>
      <c r="AD6" s="701"/>
      <c r="AE6" s="701"/>
      <c r="AF6" s="701"/>
      <c r="AG6" s="701"/>
      <c r="AH6" s="701"/>
      <c r="AI6" s="702"/>
    </row>
    <row r="7" spans="1:37" s="289" customFormat="1" ht="15" customHeight="1" x14ac:dyDescent="0.3">
      <c r="B7" s="839"/>
      <c r="C7" s="3"/>
      <c r="D7" s="306" t="s">
        <v>40</v>
      </c>
      <c r="E7" s="126">
        <v>1</v>
      </c>
      <c r="F7" s="126">
        <f>E7+1</f>
        <v>2</v>
      </c>
      <c r="G7" s="126">
        <f>F7+1</f>
        <v>3</v>
      </c>
      <c r="H7" s="126">
        <f t="shared" ref="H7:AI7" si="2">G7+1</f>
        <v>4</v>
      </c>
      <c r="I7" s="126">
        <f t="shared" si="2"/>
        <v>5</v>
      </c>
      <c r="J7" s="126">
        <f t="shared" si="2"/>
        <v>6</v>
      </c>
      <c r="K7" s="126">
        <f t="shared" si="2"/>
        <v>7</v>
      </c>
      <c r="L7" s="126">
        <f t="shared" si="2"/>
        <v>8</v>
      </c>
      <c r="M7" s="126">
        <f t="shared" si="2"/>
        <v>9</v>
      </c>
      <c r="N7" s="126">
        <f t="shared" si="2"/>
        <v>10</v>
      </c>
      <c r="O7" s="126">
        <f t="shared" si="2"/>
        <v>11</v>
      </c>
      <c r="P7" s="126">
        <f t="shared" si="2"/>
        <v>12</v>
      </c>
      <c r="Q7" s="126">
        <f t="shared" si="2"/>
        <v>13</v>
      </c>
      <c r="R7" s="126">
        <f t="shared" si="2"/>
        <v>14</v>
      </c>
      <c r="S7" s="126">
        <f t="shared" si="2"/>
        <v>15</v>
      </c>
      <c r="T7" s="126">
        <f t="shared" si="2"/>
        <v>16</v>
      </c>
      <c r="U7" s="126">
        <f t="shared" si="2"/>
        <v>17</v>
      </c>
      <c r="V7" s="126">
        <f t="shared" si="2"/>
        <v>18</v>
      </c>
      <c r="W7" s="126">
        <f t="shared" si="2"/>
        <v>19</v>
      </c>
      <c r="X7" s="126">
        <f t="shared" si="2"/>
        <v>20</v>
      </c>
      <c r="Y7" s="126">
        <f t="shared" si="2"/>
        <v>21</v>
      </c>
      <c r="Z7" s="126">
        <f t="shared" si="2"/>
        <v>22</v>
      </c>
      <c r="AA7" s="126">
        <f t="shared" si="2"/>
        <v>23</v>
      </c>
      <c r="AB7" s="126">
        <f t="shared" si="2"/>
        <v>24</v>
      </c>
      <c r="AC7" s="126">
        <f t="shared" si="2"/>
        <v>25</v>
      </c>
      <c r="AD7" s="126">
        <f t="shared" si="2"/>
        <v>26</v>
      </c>
      <c r="AE7" s="126">
        <f t="shared" si="2"/>
        <v>27</v>
      </c>
      <c r="AF7" s="126">
        <f t="shared" si="2"/>
        <v>28</v>
      </c>
      <c r="AG7" s="126">
        <f t="shared" si="2"/>
        <v>29</v>
      </c>
      <c r="AH7" s="126">
        <f t="shared" si="2"/>
        <v>30</v>
      </c>
      <c r="AI7" s="840">
        <f t="shared" si="2"/>
        <v>31</v>
      </c>
      <c r="AJ7" s="450"/>
    </row>
    <row r="8" spans="1:37" s="289" customFormat="1" ht="15" customHeight="1" outlineLevel="1" x14ac:dyDescent="0.3">
      <c r="B8" s="936"/>
      <c r="C8" s="957"/>
      <c r="D8" s="310" t="s">
        <v>744</v>
      </c>
      <c r="E8" s="238">
        <f>DATE(YEAR(K3),12,31)</f>
        <v>46022</v>
      </c>
      <c r="F8" s="238">
        <f>EDATE(E8,12)</f>
        <v>46387</v>
      </c>
      <c r="G8" s="238">
        <f>EDATE(F8,12)</f>
        <v>46752</v>
      </c>
      <c r="H8" s="238">
        <f t="shared" ref="H8:AI8" si="3">EDATE(G8,12)</f>
        <v>47118</v>
      </c>
      <c r="I8" s="238">
        <f t="shared" si="3"/>
        <v>47483</v>
      </c>
      <c r="J8" s="238">
        <f t="shared" si="3"/>
        <v>47848</v>
      </c>
      <c r="K8" s="238">
        <f t="shared" si="3"/>
        <v>48213</v>
      </c>
      <c r="L8" s="238">
        <f t="shared" si="3"/>
        <v>48579</v>
      </c>
      <c r="M8" s="238">
        <f t="shared" si="3"/>
        <v>48944</v>
      </c>
      <c r="N8" s="238">
        <f t="shared" si="3"/>
        <v>49309</v>
      </c>
      <c r="O8" s="238">
        <f t="shared" si="3"/>
        <v>49674</v>
      </c>
      <c r="P8" s="238">
        <f t="shared" si="3"/>
        <v>50040</v>
      </c>
      <c r="Q8" s="238">
        <f t="shared" si="3"/>
        <v>50405</v>
      </c>
      <c r="R8" s="238">
        <f t="shared" si="3"/>
        <v>50770</v>
      </c>
      <c r="S8" s="238">
        <f t="shared" si="3"/>
        <v>51135</v>
      </c>
      <c r="T8" s="238">
        <f t="shared" si="3"/>
        <v>51501</v>
      </c>
      <c r="U8" s="238">
        <f t="shared" si="3"/>
        <v>51866</v>
      </c>
      <c r="V8" s="238">
        <f t="shared" si="3"/>
        <v>52231</v>
      </c>
      <c r="W8" s="238">
        <f t="shared" si="3"/>
        <v>52596</v>
      </c>
      <c r="X8" s="238">
        <f t="shared" si="3"/>
        <v>52962</v>
      </c>
      <c r="Y8" s="238">
        <f t="shared" si="3"/>
        <v>53327</v>
      </c>
      <c r="Z8" s="238">
        <f t="shared" si="3"/>
        <v>53692</v>
      </c>
      <c r="AA8" s="238">
        <f t="shared" si="3"/>
        <v>54057</v>
      </c>
      <c r="AB8" s="238">
        <f t="shared" si="3"/>
        <v>54423</v>
      </c>
      <c r="AC8" s="238">
        <f t="shared" si="3"/>
        <v>54788</v>
      </c>
      <c r="AD8" s="238">
        <f t="shared" si="3"/>
        <v>55153</v>
      </c>
      <c r="AE8" s="238">
        <f t="shared" si="3"/>
        <v>55518</v>
      </c>
      <c r="AF8" s="238">
        <f t="shared" si="3"/>
        <v>55884</v>
      </c>
      <c r="AG8" s="238">
        <f t="shared" si="3"/>
        <v>56249</v>
      </c>
      <c r="AH8" s="238">
        <f t="shared" si="3"/>
        <v>56614</v>
      </c>
      <c r="AI8" s="770">
        <f t="shared" si="3"/>
        <v>56979</v>
      </c>
      <c r="AJ8" s="1605"/>
    </row>
    <row r="9" spans="1:37" s="289" customFormat="1" ht="15" customHeight="1" outlineLevel="1" x14ac:dyDescent="0.3">
      <c r="B9" s="771"/>
      <c r="C9" s="958"/>
      <c r="D9" s="127" t="s">
        <v>752</v>
      </c>
      <c r="E9" s="959">
        <f>CHOOSE(E5,(E8-K3+1)/(365+IF(MOD(YEAR(E8),4),0,1))*12,(1-(E8-sale_date+1)/(365+IF(MOD(YEAR(E8),4),0,1)))*12,0)</f>
        <v>6.9698630136986308</v>
      </c>
      <c r="F9" s="959">
        <f t="shared" ref="F9:AI9" si="4">CHOOSE(F5,(F8-E8)/(365+IF(MOD(YEAR(F8),4),0,1))*12,(1-(F8-sale_date+1)/(365+IF(MOD(YEAR(F8),4),0,1)))*12,0)</f>
        <v>0</v>
      </c>
      <c r="G9" s="959">
        <f t="shared" si="4"/>
        <v>0</v>
      </c>
      <c r="H9" s="959">
        <f t="shared" si="4"/>
        <v>0</v>
      </c>
      <c r="I9" s="959">
        <f t="shared" si="4"/>
        <v>0</v>
      </c>
      <c r="J9" s="959">
        <f t="shared" si="4"/>
        <v>0</v>
      </c>
      <c r="K9" s="959">
        <f t="shared" si="4"/>
        <v>0</v>
      </c>
      <c r="L9" s="959">
        <f t="shared" si="4"/>
        <v>0</v>
      </c>
      <c r="M9" s="959">
        <f t="shared" si="4"/>
        <v>0</v>
      </c>
      <c r="N9" s="959">
        <f t="shared" si="4"/>
        <v>0</v>
      </c>
      <c r="O9" s="959">
        <f t="shared" si="4"/>
        <v>0</v>
      </c>
      <c r="P9" s="959">
        <f t="shared" si="4"/>
        <v>0</v>
      </c>
      <c r="Q9" s="959">
        <f t="shared" si="4"/>
        <v>0</v>
      </c>
      <c r="R9" s="959">
        <f t="shared" si="4"/>
        <v>0</v>
      </c>
      <c r="S9" s="959">
        <f t="shared" si="4"/>
        <v>0</v>
      </c>
      <c r="T9" s="959">
        <f t="shared" si="4"/>
        <v>0</v>
      </c>
      <c r="U9" s="959">
        <f t="shared" si="4"/>
        <v>0</v>
      </c>
      <c r="V9" s="959">
        <f t="shared" si="4"/>
        <v>0</v>
      </c>
      <c r="W9" s="959">
        <f t="shared" si="4"/>
        <v>0</v>
      </c>
      <c r="X9" s="959">
        <f t="shared" si="4"/>
        <v>0</v>
      </c>
      <c r="Y9" s="959">
        <f t="shared" si="4"/>
        <v>0</v>
      </c>
      <c r="Z9" s="959">
        <f t="shared" si="4"/>
        <v>0</v>
      </c>
      <c r="AA9" s="959">
        <f t="shared" si="4"/>
        <v>0</v>
      </c>
      <c r="AB9" s="959">
        <f t="shared" si="4"/>
        <v>0</v>
      </c>
      <c r="AC9" s="959">
        <f t="shared" si="4"/>
        <v>0</v>
      </c>
      <c r="AD9" s="959">
        <f t="shared" si="4"/>
        <v>0</v>
      </c>
      <c r="AE9" s="959">
        <f t="shared" si="4"/>
        <v>0</v>
      </c>
      <c r="AF9" s="959">
        <f t="shared" si="4"/>
        <v>0</v>
      </c>
      <c r="AG9" s="959">
        <f t="shared" si="4"/>
        <v>0</v>
      </c>
      <c r="AH9" s="959">
        <f t="shared" si="4"/>
        <v>0</v>
      </c>
      <c r="AI9" s="896">
        <f t="shared" si="4"/>
        <v>0</v>
      </c>
      <c r="AJ9" s="450"/>
      <c r="AK9" s="897"/>
    </row>
    <row r="10" spans="1:37" s="293" customFormat="1" outlineLevel="1" x14ac:dyDescent="0.3">
      <c r="B10" s="1469"/>
      <c r="C10" s="489"/>
      <c r="D10" s="1470"/>
      <c r="E10" s="1476"/>
      <c r="F10" s="1471"/>
      <c r="G10" s="1472"/>
      <c r="H10" s="1473"/>
      <c r="I10" s="1473"/>
      <c r="J10" s="1473"/>
      <c r="K10" s="1473"/>
      <c r="L10" s="1473"/>
      <c r="M10" s="1473"/>
      <c r="N10" s="1473"/>
      <c r="O10" s="1474"/>
      <c r="P10" s="1474"/>
      <c r="Q10" s="1474"/>
      <c r="R10" s="1474"/>
      <c r="S10" s="1474"/>
      <c r="T10" s="1474"/>
      <c r="U10" s="1474"/>
      <c r="V10" s="1474"/>
      <c r="W10" s="1474"/>
      <c r="X10" s="1474"/>
      <c r="Y10" s="1474"/>
      <c r="Z10" s="1474"/>
      <c r="AA10" s="1474"/>
      <c r="AB10" s="1474"/>
      <c r="AC10" s="1474"/>
      <c r="AD10" s="1472"/>
      <c r="AE10" s="1472"/>
      <c r="AF10" s="1474"/>
      <c r="AG10" s="489"/>
      <c r="AH10" s="489"/>
      <c r="AI10" s="1475"/>
      <c r="AJ10" s="298"/>
    </row>
    <row r="11" spans="1:37" outlineLevel="1" x14ac:dyDescent="0.3">
      <c r="B11" s="773" t="s">
        <v>293</v>
      </c>
      <c r="C11" s="675" t="s">
        <v>20</v>
      </c>
      <c r="D11" s="939"/>
      <c r="E11" s="959"/>
      <c r="F11" s="963"/>
      <c r="G11" s="964"/>
      <c r="H11" s="14"/>
      <c r="I11" s="14"/>
      <c r="J11" s="14"/>
      <c r="K11" s="14"/>
      <c r="L11" s="14"/>
      <c r="M11" s="14"/>
      <c r="N11" s="93"/>
      <c r="O11" s="93"/>
      <c r="P11" s="93"/>
      <c r="Q11" s="93"/>
      <c r="R11" s="93"/>
      <c r="S11" s="93"/>
      <c r="T11" s="93"/>
      <c r="U11" s="93"/>
      <c r="V11" s="93"/>
      <c r="W11" s="93"/>
      <c r="X11" s="93"/>
      <c r="Y11" s="93"/>
      <c r="Z11" s="93"/>
      <c r="AA11" s="93"/>
      <c r="AB11" s="93"/>
      <c r="AC11" s="93"/>
      <c r="AD11" s="93"/>
      <c r="AE11" s="965"/>
      <c r="AF11" s="965"/>
      <c r="AG11" s="93"/>
      <c r="AH11" s="93"/>
      <c r="AI11" s="774"/>
      <c r="AJ11" s="1605">
        <f>SUMPRODUCT(AJ13:AJ128,ROW(AJ13:AJ128))</f>
        <v>6942</v>
      </c>
    </row>
    <row r="12" spans="1:37" s="289" customFormat="1" hidden="1" outlineLevel="1" x14ac:dyDescent="0.3">
      <c r="B12" s="706"/>
      <c r="C12" s="966"/>
      <c r="D12" s="127"/>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707"/>
      <c r="AJ12" s="1606"/>
    </row>
    <row r="13" spans="1:37" s="289" customFormat="1" ht="14.4" outlineLevel="1" x14ac:dyDescent="0.3">
      <c r="B13" s="706" t="s">
        <v>568</v>
      </c>
      <c r="C13" s="966">
        <f>IFERROR(SUM(E13:AI13),0)</f>
        <v>1</v>
      </c>
      <c r="D13" s="127"/>
      <c r="E13" s="14">
        <f>CHOOSE(E$5,E8-purchase_date+1,sale_date-purchase_date+1,0)</f>
        <v>1</v>
      </c>
      <c r="F13" s="14">
        <f t="shared" ref="F13:AI13" si="5">CHOOSE(F5,F8-E8,365+IF(MOD(YEAR(F8),4),0,1)-(F8-sale_date+1),0)</f>
        <v>0</v>
      </c>
      <c r="G13" s="14">
        <f t="shared" si="5"/>
        <v>0</v>
      </c>
      <c r="H13" s="14">
        <f t="shared" si="5"/>
        <v>0</v>
      </c>
      <c r="I13" s="14">
        <f t="shared" si="5"/>
        <v>0</v>
      </c>
      <c r="J13" s="14">
        <f t="shared" si="5"/>
        <v>0</v>
      </c>
      <c r="K13" s="14">
        <f t="shared" si="5"/>
        <v>0</v>
      </c>
      <c r="L13" s="14">
        <f t="shared" si="5"/>
        <v>0</v>
      </c>
      <c r="M13" s="14">
        <f t="shared" si="5"/>
        <v>0</v>
      </c>
      <c r="N13" s="14">
        <f t="shared" si="5"/>
        <v>0</v>
      </c>
      <c r="O13" s="14">
        <f t="shared" si="5"/>
        <v>0</v>
      </c>
      <c r="P13" s="14">
        <f t="shared" si="5"/>
        <v>0</v>
      </c>
      <c r="Q13" s="14">
        <f t="shared" si="5"/>
        <v>0</v>
      </c>
      <c r="R13" s="14">
        <f t="shared" si="5"/>
        <v>0</v>
      </c>
      <c r="S13" s="14">
        <f t="shared" si="5"/>
        <v>0</v>
      </c>
      <c r="T13" s="14">
        <f t="shared" si="5"/>
        <v>0</v>
      </c>
      <c r="U13" s="14">
        <f t="shared" si="5"/>
        <v>0</v>
      </c>
      <c r="V13" s="14">
        <f t="shared" si="5"/>
        <v>0</v>
      </c>
      <c r="W13" s="14">
        <f t="shared" si="5"/>
        <v>0</v>
      </c>
      <c r="X13" s="14">
        <f t="shared" si="5"/>
        <v>0</v>
      </c>
      <c r="Y13" s="14">
        <f t="shared" si="5"/>
        <v>0</v>
      </c>
      <c r="Z13" s="14">
        <f t="shared" si="5"/>
        <v>0</v>
      </c>
      <c r="AA13" s="14">
        <f t="shared" si="5"/>
        <v>0</v>
      </c>
      <c r="AB13" s="14">
        <f t="shared" si="5"/>
        <v>0</v>
      </c>
      <c r="AC13" s="14">
        <f t="shared" si="5"/>
        <v>0</v>
      </c>
      <c r="AD13" s="959">
        <f t="shared" si="5"/>
        <v>0</v>
      </c>
      <c r="AE13" s="14">
        <f t="shared" si="5"/>
        <v>0</v>
      </c>
      <c r="AF13" s="14">
        <f t="shared" si="5"/>
        <v>0</v>
      </c>
      <c r="AG13" s="14">
        <f t="shared" si="5"/>
        <v>0</v>
      </c>
      <c r="AH13" s="14">
        <f t="shared" si="5"/>
        <v>0</v>
      </c>
      <c r="AI13" s="707">
        <f t="shared" si="5"/>
        <v>0</v>
      </c>
      <c r="AJ13" s="1606">
        <v>1</v>
      </c>
      <c r="AK13" s="897"/>
    </row>
    <row r="14" spans="1:37" s="289" customFormat="1" outlineLevel="1" x14ac:dyDescent="0.3">
      <c r="B14" s="706" t="s">
        <v>544</v>
      </c>
      <c r="C14" s="966"/>
      <c r="D14" s="127"/>
      <c r="E14" s="483">
        <f>CHOOSE(E$5,HIDE5!Q45,HIDE5!Q45,0)</f>
        <v>0</v>
      </c>
      <c r="F14" s="769">
        <f>CHOOSE(F5,CHOOSE(DASHBOARD!$K$135,occupancy_rate,FORECASTS!F15),CHOOSE(DASHBOARD!$K$135,occupancy_rate,FORECASTS!F15),0)</f>
        <v>0</v>
      </c>
      <c r="G14" s="483">
        <f>CHOOSE(G5,CHOOSE(DASHBOARD!$K$135,occupancy_rate,FORECASTS!G15),CHOOSE(DASHBOARD!$K$135,occupancy_rate,FORECASTS!G15),0)</f>
        <v>0</v>
      </c>
      <c r="H14" s="483">
        <f>CHOOSE(H5,CHOOSE(DASHBOARD!$K$135,occupancy_rate,FORECASTS!H15),CHOOSE(DASHBOARD!$K$135,occupancy_rate,FORECASTS!H15),0)</f>
        <v>0</v>
      </c>
      <c r="I14" s="483">
        <f>CHOOSE(I5,CHOOSE(DASHBOARD!$K$135,occupancy_rate,FORECASTS!I15),CHOOSE(DASHBOARD!$K$135,occupancy_rate,FORECASTS!I15),0)</f>
        <v>0</v>
      </c>
      <c r="J14" s="483">
        <f>CHOOSE(J5,CHOOSE(DASHBOARD!$K$135,occupancy_rate,FORECASTS!J15),CHOOSE(DASHBOARD!$K$135,occupancy_rate,FORECASTS!J15),0)</f>
        <v>0</v>
      </c>
      <c r="K14" s="483">
        <f>CHOOSE(K5,CHOOSE(DASHBOARD!$K$135,occupancy_rate,FORECASTS!K15),CHOOSE(DASHBOARD!$K$135,occupancy_rate,FORECASTS!K15),0)</f>
        <v>0</v>
      </c>
      <c r="L14" s="483">
        <f>CHOOSE(L5,CHOOSE(DASHBOARD!$K$135,occupancy_rate,FORECASTS!L15),CHOOSE(DASHBOARD!$K$135,occupancy_rate,FORECASTS!L15),0)</f>
        <v>0</v>
      </c>
      <c r="M14" s="483">
        <f>CHOOSE(M5,CHOOSE(DASHBOARD!$K$135,occupancy_rate,FORECASTS!M15),CHOOSE(DASHBOARD!$K$135,occupancy_rate,FORECASTS!M15),0)</f>
        <v>0</v>
      </c>
      <c r="N14" s="483">
        <f>CHOOSE(N5,CHOOSE(DASHBOARD!$K$135,occupancy_rate,FORECASTS!N15),CHOOSE(DASHBOARD!$K$135,occupancy_rate,FORECASTS!N15),0)</f>
        <v>0</v>
      </c>
      <c r="O14" s="483">
        <f>CHOOSE(O5,CHOOSE(DASHBOARD!$K$135,occupancy_rate,FORECASTS!O15),CHOOSE(DASHBOARD!$K$135,occupancy_rate,FORECASTS!O15),0)</f>
        <v>0</v>
      </c>
      <c r="P14" s="483">
        <f>CHOOSE(P5,CHOOSE(DASHBOARD!$K$135,occupancy_rate,FORECASTS!P15),CHOOSE(DASHBOARD!$K$135,occupancy_rate,FORECASTS!P15),0)</f>
        <v>0</v>
      </c>
      <c r="Q14" s="483">
        <f>CHOOSE(Q5,CHOOSE(DASHBOARD!$K$135,occupancy_rate,FORECASTS!Q15),CHOOSE(DASHBOARD!$K$135,occupancy_rate,FORECASTS!Q15),0)</f>
        <v>0</v>
      </c>
      <c r="R14" s="483">
        <f>CHOOSE(R5,CHOOSE(DASHBOARD!$K$135,occupancy_rate,FORECASTS!R15),CHOOSE(DASHBOARD!$K$135,occupancy_rate,FORECASTS!R15),0)</f>
        <v>0</v>
      </c>
      <c r="S14" s="483">
        <f>CHOOSE(S5,CHOOSE(DASHBOARD!$K$135,occupancy_rate,FORECASTS!S15),CHOOSE(DASHBOARD!$K$135,occupancy_rate,FORECASTS!S15),0)</f>
        <v>0</v>
      </c>
      <c r="T14" s="483">
        <f>CHOOSE(T5,CHOOSE(DASHBOARD!$K$135,occupancy_rate,FORECASTS!T15),CHOOSE(DASHBOARD!$K$135,occupancy_rate,FORECASTS!T15),0)</f>
        <v>0</v>
      </c>
      <c r="U14" s="483">
        <f>CHOOSE(U5,CHOOSE(DASHBOARD!$K$135,occupancy_rate,FORECASTS!U15),CHOOSE(DASHBOARD!$K$135,occupancy_rate,FORECASTS!U15),0)</f>
        <v>0</v>
      </c>
      <c r="V14" s="483">
        <f>CHOOSE(V5,CHOOSE(DASHBOARD!$K$135,occupancy_rate,FORECASTS!V15),CHOOSE(DASHBOARD!$K$135,occupancy_rate,FORECASTS!V15),0)</f>
        <v>0</v>
      </c>
      <c r="W14" s="483">
        <f>CHOOSE(W5,CHOOSE(DASHBOARD!$K$135,occupancy_rate,FORECASTS!W15),CHOOSE(DASHBOARD!$K$135,occupancy_rate,FORECASTS!W15),0)</f>
        <v>0</v>
      </c>
      <c r="X14" s="483">
        <f>CHOOSE(X5,CHOOSE(DASHBOARD!$K$135,occupancy_rate,FORECASTS!X15),CHOOSE(DASHBOARD!$K$135,occupancy_rate,FORECASTS!X15),0)</f>
        <v>0</v>
      </c>
      <c r="Y14" s="483">
        <f>CHOOSE(Y5,CHOOSE(DASHBOARD!$K$135,occupancy_rate,FORECASTS!Y15),CHOOSE(DASHBOARD!$K$135,occupancy_rate,FORECASTS!Y15),0)</f>
        <v>0</v>
      </c>
      <c r="Z14" s="483">
        <f>CHOOSE(Z5,CHOOSE(DASHBOARD!$K$135,occupancy_rate,FORECASTS!Z15),CHOOSE(DASHBOARD!$K$135,occupancy_rate,FORECASTS!Z15),0)</f>
        <v>0</v>
      </c>
      <c r="AA14" s="483">
        <f>CHOOSE(AA5,CHOOSE(DASHBOARD!$K$135,occupancy_rate,FORECASTS!AA15),CHOOSE(DASHBOARD!$K$135,occupancy_rate,FORECASTS!AA15),0)</f>
        <v>0</v>
      </c>
      <c r="AB14" s="483">
        <f>CHOOSE(AB5,CHOOSE(DASHBOARD!$K$135,occupancy_rate,FORECASTS!AB15),CHOOSE(DASHBOARD!$K$135,occupancy_rate,FORECASTS!AB15),0)</f>
        <v>0</v>
      </c>
      <c r="AC14" s="483">
        <f>CHOOSE(AC5,CHOOSE(DASHBOARD!$K$135,occupancy_rate,FORECASTS!AC15),CHOOSE(DASHBOARD!$K$135,occupancy_rate,FORECASTS!AC15),0)</f>
        <v>0</v>
      </c>
      <c r="AD14" s="483">
        <f>CHOOSE(AD5,CHOOSE(DASHBOARD!$K$135,occupancy_rate,FORECASTS!AD15),CHOOSE(DASHBOARD!$K$135,occupancy_rate,FORECASTS!AD15),0)</f>
        <v>0</v>
      </c>
      <c r="AE14" s="483">
        <f>CHOOSE(AE5,CHOOSE(DASHBOARD!$K$135,occupancy_rate,FORECASTS!AE15),CHOOSE(DASHBOARD!$K$135,occupancy_rate,FORECASTS!AE15),0)</f>
        <v>0</v>
      </c>
      <c r="AF14" s="483">
        <f>CHOOSE(AF5,CHOOSE(DASHBOARD!$K$135,occupancy_rate,FORECASTS!AF15),CHOOSE(DASHBOARD!$K$135,occupancy_rate,FORECASTS!AF15),0)</f>
        <v>0</v>
      </c>
      <c r="AG14" s="483">
        <f>CHOOSE(AG5,CHOOSE(DASHBOARD!$K$135,occupancy_rate,FORECASTS!AG15),CHOOSE(DASHBOARD!$K$135,occupancy_rate,FORECASTS!AG15),0)</f>
        <v>0</v>
      </c>
      <c r="AH14" s="483">
        <f>CHOOSE(AH5,CHOOSE(DASHBOARD!$K$135,occupancy_rate,FORECASTS!AH15),CHOOSE(DASHBOARD!$K$135,occupancy_rate,FORECASTS!AH15),0)</f>
        <v>0</v>
      </c>
      <c r="AI14" s="775">
        <f>CHOOSE(AI5,CHOOSE(DASHBOARD!$K$135,occupancy_rate,FORECASTS!AI15),CHOOSE(DASHBOARD!$K$135,occupancy_rate,FORECASTS!AI15),0)</f>
        <v>0</v>
      </c>
      <c r="AJ14" s="1606">
        <f>IF(DASHBOARD!K135=1,1,0)</f>
        <v>1</v>
      </c>
    </row>
    <row r="15" spans="1:37" s="289" customFormat="1" hidden="1" outlineLevel="1" x14ac:dyDescent="0.3">
      <c r="B15" s="776" t="s">
        <v>593</v>
      </c>
      <c r="C15" s="966"/>
      <c r="D15" s="127"/>
      <c r="E15" s="483">
        <f>CHOOSE(E$5,HIDE5!Q45,HIDE5!Q45,0)</f>
        <v>0</v>
      </c>
      <c r="F15" s="1095">
        <f>F14</f>
        <v>0</v>
      </c>
      <c r="G15" s="1095">
        <f t="shared" ref="G15:AI15" si="6">F15</f>
        <v>0</v>
      </c>
      <c r="H15" s="1095">
        <f t="shared" si="6"/>
        <v>0</v>
      </c>
      <c r="I15" s="1095">
        <f t="shared" si="6"/>
        <v>0</v>
      </c>
      <c r="J15" s="1095">
        <f t="shared" si="6"/>
        <v>0</v>
      </c>
      <c r="K15" s="1095">
        <f t="shared" si="6"/>
        <v>0</v>
      </c>
      <c r="L15" s="1095">
        <f t="shared" si="6"/>
        <v>0</v>
      </c>
      <c r="M15" s="1095">
        <f t="shared" si="6"/>
        <v>0</v>
      </c>
      <c r="N15" s="1095">
        <f t="shared" si="6"/>
        <v>0</v>
      </c>
      <c r="O15" s="1095">
        <f t="shared" si="6"/>
        <v>0</v>
      </c>
      <c r="P15" s="1095">
        <f t="shared" si="6"/>
        <v>0</v>
      </c>
      <c r="Q15" s="1095">
        <f t="shared" si="6"/>
        <v>0</v>
      </c>
      <c r="R15" s="1095">
        <f t="shared" si="6"/>
        <v>0</v>
      </c>
      <c r="S15" s="1095">
        <f t="shared" si="6"/>
        <v>0</v>
      </c>
      <c r="T15" s="1095">
        <f t="shared" si="6"/>
        <v>0</v>
      </c>
      <c r="U15" s="1095">
        <f t="shared" si="6"/>
        <v>0</v>
      </c>
      <c r="V15" s="1095">
        <f t="shared" si="6"/>
        <v>0</v>
      </c>
      <c r="W15" s="1095">
        <f t="shared" si="6"/>
        <v>0</v>
      </c>
      <c r="X15" s="1095">
        <f t="shared" si="6"/>
        <v>0</v>
      </c>
      <c r="Y15" s="1095">
        <f t="shared" si="6"/>
        <v>0</v>
      </c>
      <c r="Z15" s="1095">
        <f t="shared" si="6"/>
        <v>0</v>
      </c>
      <c r="AA15" s="1095">
        <f t="shared" si="6"/>
        <v>0</v>
      </c>
      <c r="AB15" s="1095">
        <f t="shared" si="6"/>
        <v>0</v>
      </c>
      <c r="AC15" s="1095">
        <f t="shared" si="6"/>
        <v>0</v>
      </c>
      <c r="AD15" s="1095">
        <f t="shared" si="6"/>
        <v>0</v>
      </c>
      <c r="AE15" s="1095">
        <f t="shared" si="6"/>
        <v>0</v>
      </c>
      <c r="AF15" s="1095">
        <f t="shared" si="6"/>
        <v>0</v>
      </c>
      <c r="AG15" s="1095">
        <f t="shared" si="6"/>
        <v>0</v>
      </c>
      <c r="AH15" s="1095">
        <f t="shared" si="6"/>
        <v>0</v>
      </c>
      <c r="AI15" s="1096">
        <f t="shared" si="6"/>
        <v>0</v>
      </c>
      <c r="AJ15" s="1605">
        <f>IF(DASHBOARD!K135=2,1,0)</f>
        <v>0</v>
      </c>
    </row>
    <row r="16" spans="1:37" s="289" customFormat="1" outlineLevel="1" x14ac:dyDescent="0.3">
      <c r="B16" s="706" t="s">
        <v>569</v>
      </c>
      <c r="C16" s="966">
        <f>IFERROR(SUM(E16:AI16),0)</f>
        <v>0</v>
      </c>
      <c r="D16" s="127"/>
      <c r="E16" s="14">
        <f>CHOOSE(E$5,HIDE5!Q46,HIDE5!Q46,0)</f>
        <v>0</v>
      </c>
      <c r="F16" s="14">
        <f t="shared" ref="F16:AI16" si="7">F14*F13</f>
        <v>0</v>
      </c>
      <c r="G16" s="14">
        <f t="shared" si="7"/>
        <v>0</v>
      </c>
      <c r="H16" s="14">
        <f t="shared" si="7"/>
        <v>0</v>
      </c>
      <c r="I16" s="14">
        <f t="shared" si="7"/>
        <v>0</v>
      </c>
      <c r="J16" s="14">
        <f t="shared" si="7"/>
        <v>0</v>
      </c>
      <c r="K16" s="14">
        <f t="shared" si="7"/>
        <v>0</v>
      </c>
      <c r="L16" s="14">
        <f t="shared" si="7"/>
        <v>0</v>
      </c>
      <c r="M16" s="14">
        <f t="shared" si="7"/>
        <v>0</v>
      </c>
      <c r="N16" s="14">
        <f t="shared" si="7"/>
        <v>0</v>
      </c>
      <c r="O16" s="14">
        <f t="shared" si="7"/>
        <v>0</v>
      </c>
      <c r="P16" s="14">
        <f t="shared" si="7"/>
        <v>0</v>
      </c>
      <c r="Q16" s="14">
        <f t="shared" si="7"/>
        <v>0</v>
      </c>
      <c r="R16" s="14">
        <f t="shared" si="7"/>
        <v>0</v>
      </c>
      <c r="S16" s="14">
        <f t="shared" si="7"/>
        <v>0</v>
      </c>
      <c r="T16" s="14">
        <f t="shared" si="7"/>
        <v>0</v>
      </c>
      <c r="U16" s="14">
        <f t="shared" si="7"/>
        <v>0</v>
      </c>
      <c r="V16" s="14">
        <f t="shared" si="7"/>
        <v>0</v>
      </c>
      <c r="W16" s="14">
        <f t="shared" si="7"/>
        <v>0</v>
      </c>
      <c r="X16" s="14">
        <f t="shared" si="7"/>
        <v>0</v>
      </c>
      <c r="Y16" s="14">
        <f t="shared" si="7"/>
        <v>0</v>
      </c>
      <c r="Z16" s="14">
        <f t="shared" si="7"/>
        <v>0</v>
      </c>
      <c r="AA16" s="14">
        <f t="shared" si="7"/>
        <v>0</v>
      </c>
      <c r="AB16" s="14">
        <f t="shared" si="7"/>
        <v>0</v>
      </c>
      <c r="AC16" s="14">
        <f t="shared" si="7"/>
        <v>0</v>
      </c>
      <c r="AD16" s="14">
        <f t="shared" si="7"/>
        <v>0</v>
      </c>
      <c r="AE16" s="14">
        <f t="shared" si="7"/>
        <v>0</v>
      </c>
      <c r="AF16" s="14">
        <f t="shared" si="7"/>
        <v>0</v>
      </c>
      <c r="AG16" s="14">
        <f t="shared" si="7"/>
        <v>0</v>
      </c>
      <c r="AH16" s="14">
        <f t="shared" si="7"/>
        <v>0</v>
      </c>
      <c r="AI16" s="707">
        <f t="shared" si="7"/>
        <v>0</v>
      </c>
      <c r="AJ16" s="1606">
        <v>1</v>
      </c>
    </row>
    <row r="17" spans="1:37" s="289" customFormat="1" outlineLevel="1" x14ac:dyDescent="0.3">
      <c r="B17" s="706" t="s">
        <v>533</v>
      </c>
      <c r="C17" s="966"/>
      <c r="D17" s="127"/>
      <c r="E17" s="14">
        <f>IFERROR(CHOOSE(E$5,HIDE5!Q47,HIDE5!Q47,0),0)</f>
        <v>0</v>
      </c>
      <c r="F17" s="959">
        <f>CHOOSE(F5,CHOOSE(DASHBOARD!$K$134,night_rate*(1+DASHBOARD!$P$134),night_rate*(1+F18)),CHOOSE(DASHBOARD!$K$134,night_rate*(1+DASHBOARD!$P$134),night_rate*(1+F18)),0)</f>
        <v>0</v>
      </c>
      <c r="G17" s="14">
        <f>CHOOSE(G5,CHOOSE(DASHBOARD!$K$134,F17*(1+DASHBOARD!$P$134),F17*(1+G18)),CHOOSE(DASHBOARD!$K$134,F17*(1+DASHBOARD!$P$134),F17*(1+G18)),0)</f>
        <v>0</v>
      </c>
      <c r="H17" s="14">
        <f>CHOOSE(H5,CHOOSE(DASHBOARD!$K$134,G17*(1+DASHBOARD!$P$134),G17*(1+H18)),CHOOSE(DASHBOARD!$K$134,G17*(1+DASHBOARD!$P$134),G17*(1+H18)),0)</f>
        <v>0</v>
      </c>
      <c r="I17" s="14">
        <f>CHOOSE(I5,CHOOSE(DASHBOARD!$K$134,H17*(1+DASHBOARD!$P$134),H17*(1+I18)),CHOOSE(DASHBOARD!$K$134,H17*(1+DASHBOARD!$P$134),H17*(1+I18)),0)</f>
        <v>0</v>
      </c>
      <c r="J17" s="14">
        <f>CHOOSE(J5,CHOOSE(DASHBOARD!$K$134,I17*(1+DASHBOARD!$P$134),I17*(1+J18)),CHOOSE(DASHBOARD!$K$134,I17*(1+DASHBOARD!$P$134),I17*(1+J18)),0)</f>
        <v>0</v>
      </c>
      <c r="K17" s="14">
        <f>CHOOSE(K5,CHOOSE(DASHBOARD!$K$134,J17*(1+DASHBOARD!$P$134),J17*(1+K18)),CHOOSE(DASHBOARD!$K$134,J17*(1+DASHBOARD!$P$134),J17*(1+K18)),0)</f>
        <v>0</v>
      </c>
      <c r="L17" s="14">
        <f>CHOOSE(L5,CHOOSE(DASHBOARD!$K$134,K17*(1+DASHBOARD!$P$134),K17*(1+L18)),CHOOSE(DASHBOARD!$K$134,K17*(1+DASHBOARD!$P$134),K17*(1+L18)),0)</f>
        <v>0</v>
      </c>
      <c r="M17" s="14">
        <f>CHOOSE(M5,CHOOSE(DASHBOARD!$K$134,L17*(1+DASHBOARD!$P$134),L17*(1+M18)),CHOOSE(DASHBOARD!$K$134,L17*(1+DASHBOARD!$P$134),L17*(1+M18)),0)</f>
        <v>0</v>
      </c>
      <c r="N17" s="14">
        <f>CHOOSE(N5,CHOOSE(DASHBOARD!$K$134,M17*(1+DASHBOARD!$P$134),M17*(1+N18)),CHOOSE(DASHBOARD!$K$134,M17*(1+DASHBOARD!$P$134),M17*(1+N18)),0)</f>
        <v>0</v>
      </c>
      <c r="O17" s="14">
        <f>CHOOSE(O5,CHOOSE(DASHBOARD!$K$134,N17*(1+DASHBOARD!$P$134),N17*(1+O18)),CHOOSE(DASHBOARD!$K$134,N17*(1+DASHBOARD!$P$134),N17*(1+O18)),0)</f>
        <v>0</v>
      </c>
      <c r="P17" s="14">
        <f>CHOOSE(P5,CHOOSE(DASHBOARD!$K$134,O17*(1+DASHBOARD!$P$134),O17*(1+P18)),CHOOSE(DASHBOARD!$K$134,O17*(1+DASHBOARD!$P$134),O17*(1+P18)),0)</f>
        <v>0</v>
      </c>
      <c r="Q17" s="14">
        <f>CHOOSE(Q5,CHOOSE(DASHBOARD!$K$134,P17*(1+DASHBOARD!$P$134),P17*(1+Q18)),CHOOSE(DASHBOARD!$K$134,P17*(1+DASHBOARD!$P$134),P17*(1+Q18)),0)</f>
        <v>0</v>
      </c>
      <c r="R17" s="14">
        <f>CHOOSE(R5,CHOOSE(DASHBOARD!$K$134,Q17*(1+DASHBOARD!$P$134),Q17*(1+R18)),CHOOSE(DASHBOARD!$K$134,Q17*(1+DASHBOARD!$P$134),Q17*(1+R18)),0)</f>
        <v>0</v>
      </c>
      <c r="S17" s="14">
        <f>CHOOSE(S5,CHOOSE(DASHBOARD!$K$134,R17*(1+DASHBOARD!$P$134),R17*(1+S18)),CHOOSE(DASHBOARD!$K$134,R17*(1+DASHBOARD!$P$134),R17*(1+S18)),0)</f>
        <v>0</v>
      </c>
      <c r="T17" s="14">
        <f>CHOOSE(T5,CHOOSE(DASHBOARD!$K$134,S17*(1+DASHBOARD!$P$134),S17*(1+T18)),CHOOSE(DASHBOARD!$K$134,S17*(1+DASHBOARD!$P$134),S17*(1+T18)),0)</f>
        <v>0</v>
      </c>
      <c r="U17" s="14">
        <f>CHOOSE(U5,CHOOSE(DASHBOARD!$K$134,T17*(1+DASHBOARD!$P$134),T17*(1+U18)),CHOOSE(DASHBOARD!$K$134,T17*(1+DASHBOARD!$P$134),T17*(1+U18)),0)</f>
        <v>0</v>
      </c>
      <c r="V17" s="14">
        <f>CHOOSE(V5,CHOOSE(DASHBOARD!$K$134,U17*(1+DASHBOARD!$P$134),U17*(1+V18)),CHOOSE(DASHBOARD!$K$134,U17*(1+DASHBOARD!$P$134),U17*(1+V18)),0)</f>
        <v>0</v>
      </c>
      <c r="W17" s="14">
        <f>CHOOSE(W5,CHOOSE(DASHBOARD!$K$134,V17*(1+DASHBOARD!$P$134),V17*(1+W18)),CHOOSE(DASHBOARD!$K$134,V17*(1+DASHBOARD!$P$134),V17*(1+W18)),0)</f>
        <v>0</v>
      </c>
      <c r="X17" s="14">
        <f>CHOOSE(X5,CHOOSE(DASHBOARD!$K$134,W17*(1+DASHBOARD!$P$134),W17*(1+X18)),CHOOSE(DASHBOARD!$K$134,W17*(1+DASHBOARD!$P$134),W17*(1+X18)),0)</f>
        <v>0</v>
      </c>
      <c r="Y17" s="14">
        <f>CHOOSE(Y5,CHOOSE(DASHBOARD!$K$134,X17*(1+DASHBOARD!$P$134),X17*(1+Y18)),CHOOSE(DASHBOARD!$K$134,X17*(1+DASHBOARD!$P$134),X17*(1+Y18)),0)</f>
        <v>0</v>
      </c>
      <c r="Z17" s="14">
        <f>CHOOSE(Z5,CHOOSE(DASHBOARD!$K$134,Y17*(1+DASHBOARD!$P$134),Y17*(1+Z18)),CHOOSE(DASHBOARD!$K$134,Y17*(1+DASHBOARD!$P$134),Y17*(1+Z18)),0)</f>
        <v>0</v>
      </c>
      <c r="AA17" s="14">
        <f>CHOOSE(AA5,CHOOSE(DASHBOARD!$K$134,Z17*(1+DASHBOARD!$P$134),Z17*(1+AA18)),CHOOSE(DASHBOARD!$K$134,Z17*(1+DASHBOARD!$P$134),Z17*(1+AA18)),0)</f>
        <v>0</v>
      </c>
      <c r="AB17" s="14">
        <f>CHOOSE(AB5,CHOOSE(DASHBOARD!$K$134,AA17*(1+DASHBOARD!$P$134),AA17*(1+AB18)),CHOOSE(DASHBOARD!$K$134,AA17*(1+DASHBOARD!$P$134),AA17*(1+AB18)),0)</f>
        <v>0</v>
      </c>
      <c r="AC17" s="14">
        <f>CHOOSE(AC5,CHOOSE(DASHBOARD!$K$134,AB17*(1+DASHBOARD!$P$134),AB17*(1+AC18)),CHOOSE(DASHBOARD!$K$134,AB17*(1+DASHBOARD!$P$134),AB17*(1+AC18)),0)</f>
        <v>0</v>
      </c>
      <c r="AD17" s="14">
        <f>CHOOSE(AD5,CHOOSE(DASHBOARD!$K$134,AC17*(1+DASHBOARD!$P$134),AC17*(1+AD18)),CHOOSE(DASHBOARD!$K$134,AC17*(1+DASHBOARD!$P$134),AC17*(1+AD18)),0)</f>
        <v>0</v>
      </c>
      <c r="AE17" s="14">
        <f>CHOOSE(AE5,CHOOSE(DASHBOARD!$K$134,AD17*(1+DASHBOARD!$P$134),AD17*(1+AE18)),CHOOSE(DASHBOARD!$K$134,AD17*(1+DASHBOARD!$P$134),AD17*(1+AE18)),0)</f>
        <v>0</v>
      </c>
      <c r="AF17" s="14">
        <f>CHOOSE(AF5,CHOOSE(DASHBOARD!$K$134,AE17*(1+DASHBOARD!$P$134),AE17*(1+AF18)),CHOOSE(DASHBOARD!$K$134,AE17*(1+DASHBOARD!$P$134),AE17*(1+AF18)),0)</f>
        <v>0</v>
      </c>
      <c r="AG17" s="14">
        <f>CHOOSE(AG5,CHOOSE(DASHBOARD!$K$134,AF17*(1+DASHBOARD!$P$134),AF17*(1+AG18)),CHOOSE(DASHBOARD!$K$134,AF17*(1+DASHBOARD!$P$134),AF17*(1+AG18)),0)</f>
        <v>0</v>
      </c>
      <c r="AH17" s="14">
        <f>CHOOSE(AH5,CHOOSE(DASHBOARD!$K$134,AG17*(1+DASHBOARD!$P$134),AG17*(1+AH18)),CHOOSE(DASHBOARD!$K$134,AG17*(1+DASHBOARD!$P$134),AG17*(1+AH18)),0)</f>
        <v>0</v>
      </c>
      <c r="AI17" s="707">
        <f>CHOOSE(AI5,CHOOSE(DASHBOARD!$K$134,AH17*(1+DASHBOARD!$P$134),AH17*(1+AI18)),CHOOSE(DASHBOARD!$K$134,AH17*(1+DASHBOARD!$P$134),AH17*(1+AI18)),0)</f>
        <v>0</v>
      </c>
      <c r="AJ17" s="1606">
        <v>1</v>
      </c>
    </row>
    <row r="18" spans="1:37" s="289" customFormat="1" hidden="1" outlineLevel="1" x14ac:dyDescent="0.3">
      <c r="B18" s="776" t="s">
        <v>526</v>
      </c>
      <c r="C18" s="966"/>
      <c r="D18" s="127"/>
      <c r="E18" s="14"/>
      <c r="F18" s="1095">
        <f>DASHBOARD!P134</f>
        <v>0.03</v>
      </c>
      <c r="G18" s="1095">
        <f>F18</f>
        <v>0.03</v>
      </c>
      <c r="H18" s="1095">
        <f t="shared" ref="H18:AI18" si="8">G18</f>
        <v>0.03</v>
      </c>
      <c r="I18" s="1095">
        <f t="shared" si="8"/>
        <v>0.03</v>
      </c>
      <c r="J18" s="1095">
        <f t="shared" si="8"/>
        <v>0.03</v>
      </c>
      <c r="K18" s="1095">
        <f t="shared" si="8"/>
        <v>0.03</v>
      </c>
      <c r="L18" s="1095">
        <f t="shared" si="8"/>
        <v>0.03</v>
      </c>
      <c r="M18" s="1095">
        <f t="shared" si="8"/>
        <v>0.03</v>
      </c>
      <c r="N18" s="1095">
        <f t="shared" si="8"/>
        <v>0.03</v>
      </c>
      <c r="O18" s="1095">
        <f t="shared" si="8"/>
        <v>0.03</v>
      </c>
      <c r="P18" s="1095">
        <f t="shared" si="8"/>
        <v>0.03</v>
      </c>
      <c r="Q18" s="1095">
        <f t="shared" si="8"/>
        <v>0.03</v>
      </c>
      <c r="R18" s="1095">
        <f t="shared" si="8"/>
        <v>0.03</v>
      </c>
      <c r="S18" s="1095">
        <f t="shared" si="8"/>
        <v>0.03</v>
      </c>
      <c r="T18" s="1095">
        <f t="shared" si="8"/>
        <v>0.03</v>
      </c>
      <c r="U18" s="1095">
        <f t="shared" si="8"/>
        <v>0.03</v>
      </c>
      <c r="V18" s="1095">
        <f t="shared" si="8"/>
        <v>0.03</v>
      </c>
      <c r="W18" s="1095">
        <f t="shared" si="8"/>
        <v>0.03</v>
      </c>
      <c r="X18" s="1095">
        <f t="shared" si="8"/>
        <v>0.03</v>
      </c>
      <c r="Y18" s="1095">
        <f t="shared" si="8"/>
        <v>0.03</v>
      </c>
      <c r="Z18" s="1095">
        <f t="shared" si="8"/>
        <v>0.03</v>
      </c>
      <c r="AA18" s="1095">
        <f t="shared" si="8"/>
        <v>0.03</v>
      </c>
      <c r="AB18" s="1095">
        <f t="shared" si="8"/>
        <v>0.03</v>
      </c>
      <c r="AC18" s="1095">
        <f t="shared" si="8"/>
        <v>0.03</v>
      </c>
      <c r="AD18" s="1095">
        <f t="shared" si="8"/>
        <v>0.03</v>
      </c>
      <c r="AE18" s="1095">
        <f t="shared" si="8"/>
        <v>0.03</v>
      </c>
      <c r="AF18" s="1095">
        <f t="shared" si="8"/>
        <v>0.03</v>
      </c>
      <c r="AG18" s="1095">
        <f t="shared" si="8"/>
        <v>0.03</v>
      </c>
      <c r="AH18" s="1095">
        <f t="shared" si="8"/>
        <v>0.03</v>
      </c>
      <c r="AI18" s="1096">
        <f t="shared" si="8"/>
        <v>0.03</v>
      </c>
      <c r="AJ18" s="1605">
        <f>IF(DASHBOARD!K134=2,1,0)</f>
        <v>0</v>
      </c>
    </row>
    <row r="19" spans="1:37" s="626" customFormat="1" outlineLevel="1" x14ac:dyDescent="0.25">
      <c r="A19" s="289"/>
      <c r="B19" s="717" t="s">
        <v>467</v>
      </c>
      <c r="C19" s="967">
        <f>IFERROR(SUM(E19:AI19),0)</f>
        <v>0</v>
      </c>
      <c r="D19" s="1800"/>
      <c r="E19" s="968">
        <f t="shared" ref="E19:AI19" si="9">IF(E5=3,0,E16*E17)</f>
        <v>0</v>
      </c>
      <c r="F19" s="968">
        <f t="shared" si="9"/>
        <v>0</v>
      </c>
      <c r="G19" s="969">
        <f t="shared" si="9"/>
        <v>0</v>
      </c>
      <c r="H19" s="969">
        <f t="shared" si="9"/>
        <v>0</v>
      </c>
      <c r="I19" s="969">
        <f t="shared" si="9"/>
        <v>0</v>
      </c>
      <c r="J19" s="969">
        <f t="shared" si="9"/>
        <v>0</v>
      </c>
      <c r="K19" s="969">
        <f t="shared" si="9"/>
        <v>0</v>
      </c>
      <c r="L19" s="969">
        <f t="shared" si="9"/>
        <v>0</v>
      </c>
      <c r="M19" s="969">
        <f t="shared" si="9"/>
        <v>0</v>
      </c>
      <c r="N19" s="969">
        <f t="shared" si="9"/>
        <v>0</v>
      </c>
      <c r="O19" s="969">
        <f t="shared" si="9"/>
        <v>0</v>
      </c>
      <c r="P19" s="969">
        <f t="shared" si="9"/>
        <v>0</v>
      </c>
      <c r="Q19" s="969">
        <f t="shared" si="9"/>
        <v>0</v>
      </c>
      <c r="R19" s="969">
        <f t="shared" si="9"/>
        <v>0</v>
      </c>
      <c r="S19" s="969">
        <f t="shared" si="9"/>
        <v>0</v>
      </c>
      <c r="T19" s="969">
        <f t="shared" si="9"/>
        <v>0</v>
      </c>
      <c r="U19" s="969">
        <f t="shared" si="9"/>
        <v>0</v>
      </c>
      <c r="V19" s="969">
        <f t="shared" si="9"/>
        <v>0</v>
      </c>
      <c r="W19" s="969">
        <f t="shared" si="9"/>
        <v>0</v>
      </c>
      <c r="X19" s="969">
        <f t="shared" si="9"/>
        <v>0</v>
      </c>
      <c r="Y19" s="969">
        <f t="shared" si="9"/>
        <v>0</v>
      </c>
      <c r="Z19" s="969">
        <f t="shared" si="9"/>
        <v>0</v>
      </c>
      <c r="AA19" s="969">
        <f t="shared" si="9"/>
        <v>0</v>
      </c>
      <c r="AB19" s="969">
        <f t="shared" si="9"/>
        <v>0</v>
      </c>
      <c r="AC19" s="969">
        <f t="shared" si="9"/>
        <v>0</v>
      </c>
      <c r="AD19" s="969">
        <f t="shared" si="9"/>
        <v>0</v>
      </c>
      <c r="AE19" s="969">
        <f t="shared" si="9"/>
        <v>0</v>
      </c>
      <c r="AF19" s="969">
        <f t="shared" si="9"/>
        <v>0</v>
      </c>
      <c r="AG19" s="969">
        <f t="shared" si="9"/>
        <v>0</v>
      </c>
      <c r="AH19" s="969">
        <f t="shared" si="9"/>
        <v>0</v>
      </c>
      <c r="AI19" s="777">
        <f t="shared" si="9"/>
        <v>0</v>
      </c>
      <c r="AJ19" s="1605">
        <v>1</v>
      </c>
    </row>
    <row r="20" spans="1:37" s="289" customFormat="1" outlineLevel="1" x14ac:dyDescent="0.3">
      <c r="B20" s="776"/>
      <c r="C20" s="966"/>
      <c r="D20" s="127"/>
      <c r="E20" s="14"/>
      <c r="F20" s="1706"/>
      <c r="G20" s="1706"/>
      <c r="H20" s="1706"/>
      <c r="I20" s="1706"/>
      <c r="J20" s="1706"/>
      <c r="K20" s="1706"/>
      <c r="L20" s="1706"/>
      <c r="M20" s="1706"/>
      <c r="N20" s="1706"/>
      <c r="O20" s="1706"/>
      <c r="P20" s="1706"/>
      <c r="Q20" s="1706"/>
      <c r="R20" s="1706"/>
      <c r="S20" s="1706"/>
      <c r="T20" s="1706"/>
      <c r="U20" s="1706"/>
      <c r="V20" s="1706"/>
      <c r="W20" s="1706"/>
      <c r="X20" s="1706"/>
      <c r="Y20" s="1706"/>
      <c r="Z20" s="1706"/>
      <c r="AA20" s="1706"/>
      <c r="AB20" s="1706"/>
      <c r="AC20" s="1706"/>
      <c r="AD20" s="1706"/>
      <c r="AE20" s="1706"/>
      <c r="AF20" s="1706"/>
      <c r="AG20" s="1706"/>
      <c r="AH20" s="1706"/>
      <c r="AI20" s="1707"/>
      <c r="AJ20" s="1605">
        <v>1</v>
      </c>
    </row>
    <row r="21" spans="1:37" s="289" customFormat="1" outlineLevel="1" x14ac:dyDescent="0.3">
      <c r="B21" s="706" t="s">
        <v>134</v>
      </c>
      <c r="C21" s="309">
        <f>IFERROR(SUM(E21:AI21),0)</f>
        <v>0</v>
      </c>
      <c r="D21" s="127"/>
      <c r="E21" s="14">
        <f>IF(E5=3,0,HIDE5!Q50)</f>
        <v>0</v>
      </c>
      <c r="F21" s="959">
        <f>CHOOSE(F5,CHOOSE(DASHBOARD!$K$136,DASHBOARD!BH194*(1+DASHBOARD!$P$136),DASHBOARD!BH194*(1+FORECASTS!F22)),CHOOSE(DASHBOARD!$K$136,DASHBOARD!BH194*(1+DASHBOARD!$P$136),DASHBOARD!BH194*(1+FORECASTS!F22))*F9/12,0)</f>
        <v>0</v>
      </c>
      <c r="G21" s="14">
        <f>CHOOSE(G5,CHOOSE(DASHBOARD!$K$136,F21*(1+DASHBOARD!$P$136),FORECASTS!F21*(1+FORECASTS!G22)),CHOOSE(DASHBOARD!$K$136,F21*(1+DASHBOARD!$P$136),FORECASTS!F21*(1+FORECASTS!G22))*G9/12,0)</f>
        <v>0</v>
      </c>
      <c r="H21" s="14">
        <f>CHOOSE(H5,CHOOSE(DASHBOARD!$K$136,G21*(1+DASHBOARD!$P$136),FORECASTS!G21*(1+FORECASTS!H22)),CHOOSE(DASHBOARD!$K$136,G21*(1+DASHBOARD!$P$136),FORECASTS!G21*(1+FORECASTS!H22))*H9/12,0)</f>
        <v>0</v>
      </c>
      <c r="I21" s="14">
        <f>CHOOSE(I5,CHOOSE(DASHBOARD!$K$136,H21*(1+DASHBOARD!$P$136),FORECASTS!H21*(1+FORECASTS!I22)),CHOOSE(DASHBOARD!$K$136,H21*(1+DASHBOARD!$P$136),FORECASTS!H21*(1+FORECASTS!I22))*I9/12,0)</f>
        <v>0</v>
      </c>
      <c r="J21" s="14">
        <f>CHOOSE(J5,CHOOSE(DASHBOARD!$K$136,I21*(1+DASHBOARD!$P$136),FORECASTS!I21*(1+FORECASTS!J22)),CHOOSE(DASHBOARD!$K$136,I21*(1+DASHBOARD!$P$136),FORECASTS!I21*(1+FORECASTS!J22))*J9/12,0)</f>
        <v>0</v>
      </c>
      <c r="K21" s="14">
        <f>CHOOSE(K5,CHOOSE(DASHBOARD!$K$136,J21*(1+DASHBOARD!$P$136),FORECASTS!J21*(1+FORECASTS!K22)),CHOOSE(DASHBOARD!$K$136,J21*(1+DASHBOARD!$P$136),FORECASTS!J21*(1+FORECASTS!K22))*K9/12,0)</f>
        <v>0</v>
      </c>
      <c r="L21" s="14">
        <f>CHOOSE(L5,CHOOSE(DASHBOARD!$K$136,K21*(1+DASHBOARD!$P$136),FORECASTS!K21*(1+FORECASTS!L22)),CHOOSE(DASHBOARD!$K$136,K21*(1+DASHBOARD!$P$136),FORECASTS!K21*(1+FORECASTS!L22))*L9/12,0)</f>
        <v>0</v>
      </c>
      <c r="M21" s="14">
        <f>CHOOSE(M5,CHOOSE(DASHBOARD!$K$136,L21*(1+DASHBOARD!$P$136),FORECASTS!L21*(1+FORECASTS!M22)),CHOOSE(DASHBOARD!$K$136,L21*(1+DASHBOARD!$P$136),FORECASTS!L21*(1+FORECASTS!M22))*M9/12,0)</f>
        <v>0</v>
      </c>
      <c r="N21" s="14">
        <f>CHOOSE(N5,CHOOSE(DASHBOARD!$K$136,M21*(1+DASHBOARD!$P$136),FORECASTS!M21*(1+FORECASTS!N22)),CHOOSE(DASHBOARD!$K$136,M21*(1+DASHBOARD!$P$136),FORECASTS!M21*(1+FORECASTS!N22))*N9/12,0)</f>
        <v>0</v>
      </c>
      <c r="O21" s="14">
        <f>CHOOSE(O5,CHOOSE(DASHBOARD!$K$136,N21*(1+DASHBOARD!$P$136),FORECASTS!N21*(1+FORECASTS!O22)),CHOOSE(DASHBOARD!$K$136,N21*(1+DASHBOARD!$P$136),FORECASTS!N21*(1+FORECASTS!O22))*O9/12,0)</f>
        <v>0</v>
      </c>
      <c r="P21" s="14">
        <f>CHOOSE(P5,CHOOSE(DASHBOARD!$K$136,O21*(1+DASHBOARD!$P$136),FORECASTS!O21*(1+FORECASTS!P22)),CHOOSE(DASHBOARD!$K$136,O21*(1+DASHBOARD!$P$136),FORECASTS!O21*(1+FORECASTS!P22))*P9/12,0)</f>
        <v>0</v>
      </c>
      <c r="Q21" s="14">
        <f>CHOOSE(Q5,CHOOSE(DASHBOARD!$K$136,P21*(1+DASHBOARD!$P$136),FORECASTS!P21*(1+FORECASTS!Q22)),CHOOSE(DASHBOARD!$K$136,P21*(1+DASHBOARD!$P$136),FORECASTS!P21*(1+FORECASTS!Q22))*Q9/12,0)</f>
        <v>0</v>
      </c>
      <c r="R21" s="14">
        <f>CHOOSE(R5,CHOOSE(DASHBOARD!$K$136,Q21*(1+DASHBOARD!$P$136),FORECASTS!Q21*(1+FORECASTS!R22)),CHOOSE(DASHBOARD!$K$136,Q21*(1+DASHBOARD!$P$136),FORECASTS!Q21*(1+FORECASTS!R22))*R9/12,0)</f>
        <v>0</v>
      </c>
      <c r="S21" s="14">
        <f>CHOOSE(S5,CHOOSE(DASHBOARD!$K$136,R21*(1+DASHBOARD!$P$136),FORECASTS!R21*(1+FORECASTS!S22)),CHOOSE(DASHBOARD!$K$136,R21*(1+DASHBOARD!$P$136),FORECASTS!R21*(1+FORECASTS!S22))*S9/12,0)</f>
        <v>0</v>
      </c>
      <c r="T21" s="14">
        <f>CHOOSE(T5,CHOOSE(DASHBOARD!$K$136,S21*(1+DASHBOARD!$P$136),FORECASTS!S21*(1+FORECASTS!T22)),CHOOSE(DASHBOARD!$K$136,S21*(1+DASHBOARD!$P$136),FORECASTS!S21*(1+FORECASTS!T22))*T9/12,0)</f>
        <v>0</v>
      </c>
      <c r="U21" s="14">
        <f>CHOOSE(U5,CHOOSE(DASHBOARD!$K$136,T21*(1+DASHBOARD!$P$136),FORECASTS!T21*(1+FORECASTS!U22)),CHOOSE(DASHBOARD!$K$136,T21*(1+DASHBOARD!$P$136),FORECASTS!T21*(1+FORECASTS!U22))*U9/12,0)</f>
        <v>0</v>
      </c>
      <c r="V21" s="14">
        <f>CHOOSE(V5,CHOOSE(DASHBOARD!$K$136,U21*(1+DASHBOARD!$P$136),FORECASTS!U21*(1+FORECASTS!V22)),CHOOSE(DASHBOARD!$K$136,U21*(1+DASHBOARD!$P$136),FORECASTS!U21*(1+FORECASTS!V22))*V9/12,0)</f>
        <v>0</v>
      </c>
      <c r="W21" s="14">
        <f>CHOOSE(W5,CHOOSE(DASHBOARD!$K$136,V21*(1+DASHBOARD!$P$136),FORECASTS!V21*(1+FORECASTS!W22)),CHOOSE(DASHBOARD!$K$136,V21*(1+DASHBOARD!$P$136),FORECASTS!V21*(1+FORECASTS!W22))*W9/12,0)</f>
        <v>0</v>
      </c>
      <c r="X21" s="14">
        <f>CHOOSE(X5,CHOOSE(DASHBOARD!$K$136,W21*(1+DASHBOARD!$P$136),FORECASTS!W21*(1+FORECASTS!X22)),CHOOSE(DASHBOARD!$K$136,W21*(1+DASHBOARD!$P$136),FORECASTS!W21*(1+FORECASTS!X22))*X9/12,0)</f>
        <v>0</v>
      </c>
      <c r="Y21" s="14">
        <f>CHOOSE(Y5,CHOOSE(DASHBOARD!$K$136,X21*(1+DASHBOARD!$P$136),FORECASTS!X21*(1+FORECASTS!Y22)),CHOOSE(DASHBOARD!$K$136,X21*(1+DASHBOARD!$P$136),FORECASTS!X21*(1+FORECASTS!Y22))*Y9/12,0)</f>
        <v>0</v>
      </c>
      <c r="Z21" s="14">
        <f>CHOOSE(Z5,CHOOSE(DASHBOARD!$K$136,Y21*(1+DASHBOARD!$P$136),FORECASTS!Y21*(1+FORECASTS!Z22)),CHOOSE(DASHBOARD!$K$136,Y21*(1+DASHBOARD!$P$136),FORECASTS!Y21*(1+FORECASTS!Z22))*Z9/12,0)</f>
        <v>0</v>
      </c>
      <c r="AA21" s="14">
        <f>CHOOSE(AA5,CHOOSE(DASHBOARD!$K$136,Z21*(1+DASHBOARD!$P$136),FORECASTS!Z21*(1+FORECASTS!AA22)),CHOOSE(DASHBOARD!$K$136,Z21*(1+DASHBOARD!$P$136),FORECASTS!Z21*(1+FORECASTS!AA22))*AA9/12,0)</f>
        <v>0</v>
      </c>
      <c r="AB21" s="14">
        <f>CHOOSE(AB5,CHOOSE(DASHBOARD!$K$136,AA21*(1+DASHBOARD!$P$136),FORECASTS!AA21*(1+FORECASTS!AB22)),CHOOSE(DASHBOARD!$K$136,AA21*(1+DASHBOARD!$P$136),FORECASTS!AA21*(1+FORECASTS!AB22))*AB9/12,0)</f>
        <v>0</v>
      </c>
      <c r="AC21" s="14">
        <f>CHOOSE(AC5,CHOOSE(DASHBOARD!$K$136,AB21*(1+DASHBOARD!$P$136),FORECASTS!AB21*(1+FORECASTS!AC22)),CHOOSE(DASHBOARD!$K$136,AB21*(1+DASHBOARD!$P$136),FORECASTS!AB21*(1+FORECASTS!AC22))*AC9/12,0)</f>
        <v>0</v>
      </c>
      <c r="AD21" s="14">
        <f>CHOOSE(AD5,CHOOSE(DASHBOARD!$K$136,AC21*(1+DASHBOARD!$P$136),FORECASTS!AC21*(1+FORECASTS!AD22)),CHOOSE(DASHBOARD!$K$136,AC21*(1+DASHBOARD!$P$136),FORECASTS!AC21*(1+FORECASTS!AD22))*AD9/12,0)</f>
        <v>0</v>
      </c>
      <c r="AE21" s="14">
        <f>CHOOSE(AE5,CHOOSE(DASHBOARD!$K$136,AD21*(1+DASHBOARD!$P$136),FORECASTS!AD21*(1+FORECASTS!AE22)),CHOOSE(DASHBOARD!$K$136,AD21*(1+DASHBOARD!$P$136),FORECASTS!AD21*(1+FORECASTS!AE22))*AE9/12,0)</f>
        <v>0</v>
      </c>
      <c r="AF21" s="14">
        <f>CHOOSE(AF5,CHOOSE(DASHBOARD!$K$136,AE21*(1+DASHBOARD!$P$136),FORECASTS!AE21*(1+FORECASTS!AF22)),CHOOSE(DASHBOARD!$K$136,AE21*(1+DASHBOARD!$P$136),FORECASTS!AE21*(1+FORECASTS!AF22))*AF9/12,0)</f>
        <v>0</v>
      </c>
      <c r="AG21" s="14">
        <f>CHOOSE(AG5,CHOOSE(DASHBOARD!$K$136,AF21*(1+DASHBOARD!$P$136),FORECASTS!AF21*(1+FORECASTS!AG22)),CHOOSE(DASHBOARD!$K$136,AF21*(1+DASHBOARD!$P$136),FORECASTS!AF21*(1+FORECASTS!AG22))*AG9/12,0)</f>
        <v>0</v>
      </c>
      <c r="AH21" s="14">
        <f>CHOOSE(AH5,CHOOSE(DASHBOARD!$K$136,AG21*(1+DASHBOARD!$P$136),FORECASTS!AG21*(1+FORECASTS!AH22)),CHOOSE(DASHBOARD!$K$136,AG21*(1+DASHBOARD!$P$136),FORECASTS!AG21*(1+FORECASTS!AH22))*AH9/12,0)</f>
        <v>0</v>
      </c>
      <c r="AI21" s="707">
        <f>CHOOSE(AI5,CHOOSE(DASHBOARD!$K$136,AH21*(1+DASHBOARD!$P$136),FORECASTS!AH21*(1+FORECASTS!AI22)),CHOOSE(DASHBOARD!$K$136,AH21*(1+DASHBOARD!$P$136),FORECASTS!AH21*(1+FORECASTS!AI22))*AI9/12,0)</f>
        <v>0</v>
      </c>
      <c r="AJ21" s="1605">
        <v>1</v>
      </c>
    </row>
    <row r="22" spans="1:37" s="289" customFormat="1" hidden="1" outlineLevel="1" x14ac:dyDescent="0.3">
      <c r="B22" s="776" t="s">
        <v>526</v>
      </c>
      <c r="C22" s="966"/>
      <c r="D22" s="127"/>
      <c r="E22" s="14"/>
      <c r="F22" s="1095">
        <f>DASHBOARD!P136</f>
        <v>0</v>
      </c>
      <c r="G22" s="1095">
        <f>F22</f>
        <v>0</v>
      </c>
      <c r="H22" s="1095">
        <f t="shared" ref="H22:AI22" si="10">G22</f>
        <v>0</v>
      </c>
      <c r="I22" s="1095">
        <f t="shared" si="10"/>
        <v>0</v>
      </c>
      <c r="J22" s="1095">
        <f t="shared" si="10"/>
        <v>0</v>
      </c>
      <c r="K22" s="1095">
        <f t="shared" si="10"/>
        <v>0</v>
      </c>
      <c r="L22" s="1095">
        <f t="shared" si="10"/>
        <v>0</v>
      </c>
      <c r="M22" s="1095">
        <f t="shared" si="10"/>
        <v>0</v>
      </c>
      <c r="N22" s="1095">
        <f t="shared" si="10"/>
        <v>0</v>
      </c>
      <c r="O22" s="1095">
        <f t="shared" si="10"/>
        <v>0</v>
      </c>
      <c r="P22" s="1095">
        <f t="shared" si="10"/>
        <v>0</v>
      </c>
      <c r="Q22" s="1095">
        <f t="shared" si="10"/>
        <v>0</v>
      </c>
      <c r="R22" s="1095">
        <f t="shared" si="10"/>
        <v>0</v>
      </c>
      <c r="S22" s="1095">
        <f t="shared" si="10"/>
        <v>0</v>
      </c>
      <c r="T22" s="1095">
        <f t="shared" si="10"/>
        <v>0</v>
      </c>
      <c r="U22" s="1095">
        <f t="shared" si="10"/>
        <v>0</v>
      </c>
      <c r="V22" s="1095">
        <f t="shared" si="10"/>
        <v>0</v>
      </c>
      <c r="W22" s="1095">
        <f t="shared" si="10"/>
        <v>0</v>
      </c>
      <c r="X22" s="1095">
        <f t="shared" si="10"/>
        <v>0</v>
      </c>
      <c r="Y22" s="1095">
        <f t="shared" si="10"/>
        <v>0</v>
      </c>
      <c r="Z22" s="1095">
        <f t="shared" si="10"/>
        <v>0</v>
      </c>
      <c r="AA22" s="1095">
        <f t="shared" si="10"/>
        <v>0</v>
      </c>
      <c r="AB22" s="1095">
        <f t="shared" si="10"/>
        <v>0</v>
      </c>
      <c r="AC22" s="1095">
        <f t="shared" si="10"/>
        <v>0</v>
      </c>
      <c r="AD22" s="1095">
        <f t="shared" si="10"/>
        <v>0</v>
      </c>
      <c r="AE22" s="1095">
        <f t="shared" si="10"/>
        <v>0</v>
      </c>
      <c r="AF22" s="1095">
        <f t="shared" si="10"/>
        <v>0</v>
      </c>
      <c r="AG22" s="1095">
        <f t="shared" si="10"/>
        <v>0</v>
      </c>
      <c r="AH22" s="1095">
        <f t="shared" si="10"/>
        <v>0</v>
      </c>
      <c r="AI22" s="1096">
        <f t="shared" si="10"/>
        <v>0</v>
      </c>
      <c r="AJ22" s="1605">
        <f>IF(DASHBOARD!K136=2,1,0)</f>
        <v>0</v>
      </c>
    </row>
    <row r="23" spans="1:37" s="289" customFormat="1" outlineLevel="1" x14ac:dyDescent="0.3">
      <c r="B23" s="706" t="str">
        <f>DASHBOARD!C195</f>
        <v>Additional Guest Fee</v>
      </c>
      <c r="C23" s="309">
        <f>IFERROR(SUM(E23:AI23),0)</f>
        <v>0</v>
      </c>
      <c r="D23" s="127"/>
      <c r="E23" s="14">
        <f>IF(E7=3,0,HIDE5!Q51)</f>
        <v>0</v>
      </c>
      <c r="F23" s="959">
        <f>CHOOSE(F7,CHOOSE(DASHBOARD!$K$137,DASHBOARD!BH195*(1+DASHBOARD!$P$137),DASHBOARD!BH195*(1+FORECASTS!F24)),CHOOSE(DASHBOARD!$K$137,DASHBOARD!BH195*(1+DASHBOARD!$P$137),DASHBOARD!BH195*(1+FORECASTS!F24))*F9/12,0)</f>
        <v>0</v>
      </c>
      <c r="G23" s="14">
        <f>CHOOSE(G5,CHOOSE(DASHBOARD!$K$137,F23*(1+DASHBOARD!$P$137),F23*(1+G24)),CHOOSE(DASHBOARD!$K$137,F23*(1+DASHBOARD!$P$137),F23*(1+G24))*G9/12,0)</f>
        <v>0</v>
      </c>
      <c r="H23" s="14">
        <f>CHOOSE(H5,CHOOSE(DASHBOARD!$K$137,G23*(1+DASHBOARD!$P$137),G23*(1+H24)),CHOOSE(DASHBOARD!$K$137,G23*(1+DASHBOARD!$P$137),G23*(1+H24))*H9/12,0)</f>
        <v>0</v>
      </c>
      <c r="I23" s="14">
        <f>CHOOSE(I5,CHOOSE(DASHBOARD!$K$137,H23*(1+DASHBOARD!$P$137),H23*(1+I24)),CHOOSE(DASHBOARD!$K$137,H23*(1+DASHBOARD!$P$137),H23*(1+I24))*I9/12,0)</f>
        <v>0</v>
      </c>
      <c r="J23" s="14">
        <f>CHOOSE(J5,CHOOSE(DASHBOARD!$K$137,I23*(1+DASHBOARD!$P$137),I23*(1+J24)),CHOOSE(DASHBOARD!$K$137,I23*(1+DASHBOARD!$P$137),I23*(1+J24))*J9/12,0)</f>
        <v>0</v>
      </c>
      <c r="K23" s="14">
        <f>CHOOSE(K5,CHOOSE(DASHBOARD!$K$137,J23*(1+DASHBOARD!$P$137),J23*(1+K24)),CHOOSE(DASHBOARD!$K$137,J23*(1+DASHBOARD!$P$137),J23*(1+K24))*K9/12,0)</f>
        <v>0</v>
      </c>
      <c r="L23" s="14">
        <f>CHOOSE(L5,CHOOSE(DASHBOARD!$K$137,K23*(1+DASHBOARD!$P$137),K23*(1+L24)),CHOOSE(DASHBOARD!$K$137,K23*(1+DASHBOARD!$P$137),K23*(1+L24))*L9/12,0)</f>
        <v>0</v>
      </c>
      <c r="M23" s="14">
        <f>CHOOSE(M5,CHOOSE(DASHBOARD!$K$137,L23*(1+DASHBOARD!$P$137),L23*(1+M24)),CHOOSE(DASHBOARD!$K$137,L23*(1+DASHBOARD!$P$137),L23*(1+M24))*M9/12,0)</f>
        <v>0</v>
      </c>
      <c r="N23" s="14">
        <f>CHOOSE(N5,CHOOSE(DASHBOARD!$K$137,M23*(1+DASHBOARD!$P$137),M23*(1+N24)),CHOOSE(DASHBOARD!$K$137,M23*(1+DASHBOARD!$P$137),M23*(1+N24))*N9/12,0)</f>
        <v>0</v>
      </c>
      <c r="O23" s="14">
        <f>CHOOSE(O5,CHOOSE(DASHBOARD!$K$137,N23*(1+DASHBOARD!$P$137),N23*(1+O24)),CHOOSE(DASHBOARD!$K$137,N23*(1+DASHBOARD!$P$137),N23*(1+O24))*O9/12,0)</f>
        <v>0</v>
      </c>
      <c r="P23" s="14">
        <f>CHOOSE(P5,CHOOSE(DASHBOARD!$K$137,O23*(1+DASHBOARD!$P$137),O23*(1+P24)),CHOOSE(DASHBOARD!$K$137,O23*(1+DASHBOARD!$P$137),O23*(1+P24))*P9/12,0)</f>
        <v>0</v>
      </c>
      <c r="Q23" s="14">
        <f>CHOOSE(Q5,CHOOSE(DASHBOARD!$K$137,P23*(1+DASHBOARD!$P$137),P23*(1+Q24)),CHOOSE(DASHBOARD!$K$137,P23*(1+DASHBOARD!$P$137),P23*(1+Q24))*Q9/12,0)</f>
        <v>0</v>
      </c>
      <c r="R23" s="14">
        <f>CHOOSE(R5,CHOOSE(DASHBOARD!$K$137,Q23*(1+DASHBOARD!$P$137),Q23*(1+R24)),CHOOSE(DASHBOARD!$K$137,Q23*(1+DASHBOARD!$P$137),Q23*(1+R24))*R9/12,0)</f>
        <v>0</v>
      </c>
      <c r="S23" s="14">
        <f>CHOOSE(S5,CHOOSE(DASHBOARD!$K$137,R23*(1+DASHBOARD!$P$137),R23*(1+S24)),CHOOSE(DASHBOARD!$K$137,R23*(1+DASHBOARD!$P$137),R23*(1+S24))*S9/12,0)</f>
        <v>0</v>
      </c>
      <c r="T23" s="14">
        <f>CHOOSE(T5,CHOOSE(DASHBOARD!$K$137,S23*(1+DASHBOARD!$P$137),S23*(1+T24)),CHOOSE(DASHBOARD!$K$137,S23*(1+DASHBOARD!$P$137),S23*(1+T24))*T9/12,0)</f>
        <v>0</v>
      </c>
      <c r="U23" s="14">
        <f>CHOOSE(U5,CHOOSE(DASHBOARD!$K$137,T23*(1+DASHBOARD!$P$137),T23*(1+U24)),CHOOSE(DASHBOARD!$K$137,T23*(1+DASHBOARD!$P$137),T23*(1+U24))*U9/12,0)</f>
        <v>0</v>
      </c>
      <c r="V23" s="14">
        <f>CHOOSE(V5,CHOOSE(DASHBOARD!$K$137,U23*(1+DASHBOARD!$P$137),U23*(1+V24)),CHOOSE(DASHBOARD!$K$137,U23*(1+DASHBOARD!$P$137),U23*(1+V24))*V9/12,0)</f>
        <v>0</v>
      </c>
      <c r="W23" s="14">
        <f>CHOOSE(W5,CHOOSE(DASHBOARD!$K$137,V23*(1+DASHBOARD!$P$137),V23*(1+W24)),CHOOSE(DASHBOARD!$K$137,V23*(1+DASHBOARD!$P$137),V23*(1+W24))*W9/12,0)</f>
        <v>0</v>
      </c>
      <c r="X23" s="14">
        <f>CHOOSE(X5,CHOOSE(DASHBOARD!$K$137,W23*(1+DASHBOARD!$P$137),W23*(1+X24)),CHOOSE(DASHBOARD!$K$137,W23*(1+DASHBOARD!$P$137),W23*(1+X24))*X9/12,0)</f>
        <v>0</v>
      </c>
      <c r="Y23" s="14">
        <f>CHOOSE(Y5,CHOOSE(DASHBOARD!$K$137,X23*(1+DASHBOARD!$P$137),X23*(1+Y24)),CHOOSE(DASHBOARD!$K$137,X23*(1+DASHBOARD!$P$137),X23*(1+Y24))*Y9/12,0)</f>
        <v>0</v>
      </c>
      <c r="Z23" s="14">
        <f>CHOOSE(Z5,CHOOSE(DASHBOARD!$K$137,Y23*(1+DASHBOARD!$P$137),Y23*(1+Z24)),CHOOSE(DASHBOARD!$K$137,Y23*(1+DASHBOARD!$P$137),Y23*(1+Z24))*Z9/12,0)</f>
        <v>0</v>
      </c>
      <c r="AA23" s="14">
        <f>CHOOSE(AA5,CHOOSE(DASHBOARD!$K$137,Z23*(1+DASHBOARD!$P$137),Z23*(1+AA24)),CHOOSE(DASHBOARD!$K$137,Z23*(1+DASHBOARD!$P$137),Z23*(1+AA24))*AA9/12,0)</f>
        <v>0</v>
      </c>
      <c r="AB23" s="14">
        <f>CHOOSE(AB5,CHOOSE(DASHBOARD!$K$137,AA23*(1+DASHBOARD!$P$137),AA23*(1+AB24)),CHOOSE(DASHBOARD!$K$137,AA23*(1+DASHBOARD!$P$137),AA23*(1+AB24))*AB9/12,0)</f>
        <v>0</v>
      </c>
      <c r="AC23" s="14">
        <f>CHOOSE(AC5,CHOOSE(DASHBOARD!$K$137,AB23*(1+DASHBOARD!$P$137),AB23*(1+AC24)),CHOOSE(DASHBOARD!$K$137,AB23*(1+DASHBOARD!$P$137),AB23*(1+AC24))*AC9/12,0)</f>
        <v>0</v>
      </c>
      <c r="AD23" s="14">
        <f>CHOOSE(AD5,CHOOSE(DASHBOARD!$K$137,AC23*(1+DASHBOARD!$P$137),AC23*(1+AD24)),CHOOSE(DASHBOARD!$K$137,AC23*(1+DASHBOARD!$P$137),AC23*(1+AD24))*AD9/12,0)</f>
        <v>0</v>
      </c>
      <c r="AE23" s="14">
        <f>CHOOSE(AE5,CHOOSE(DASHBOARD!$K$137,AD23*(1+DASHBOARD!$P$137),AD23*(1+AE24)),CHOOSE(DASHBOARD!$K$137,AD23*(1+DASHBOARD!$P$137),AD23*(1+AE24))*AE9/12,0)</f>
        <v>0</v>
      </c>
      <c r="AF23" s="14">
        <f>CHOOSE(AF5,CHOOSE(DASHBOARD!$K$137,AE23*(1+DASHBOARD!$P$137),AE23*(1+AF24)),CHOOSE(DASHBOARD!$K$137,AE23*(1+DASHBOARD!$P$137),AE23*(1+AF24))*AF9/12,0)</f>
        <v>0</v>
      </c>
      <c r="AG23" s="14">
        <f>CHOOSE(AG5,CHOOSE(DASHBOARD!$K$137,AF23*(1+DASHBOARD!$P$137),AF23*(1+AG24)),CHOOSE(DASHBOARD!$K$137,AF23*(1+DASHBOARD!$P$137),AF23*(1+AG24))*AG9/12,0)</f>
        <v>0</v>
      </c>
      <c r="AH23" s="14">
        <f>CHOOSE(AH5,CHOOSE(DASHBOARD!$K$137,AG23*(1+DASHBOARD!$P$137),AG23*(1+AH24)),CHOOSE(DASHBOARD!$K$137,AG23*(1+DASHBOARD!$P$137),AG23*(1+AH24))*AH9/12,0)</f>
        <v>0</v>
      </c>
      <c r="AI23" s="707">
        <f>CHOOSE(AI5,CHOOSE(DASHBOARD!$K$137,AH23*(1+DASHBOARD!$P$137),AH23*(1+AI24)),CHOOSE(DASHBOARD!$K$137,AH23*(1+DASHBOARD!$P$137),AH23*(1+AI24))*AI9/12,0)</f>
        <v>0</v>
      </c>
      <c r="AJ23" s="1605">
        <v>1</v>
      </c>
    </row>
    <row r="24" spans="1:37" s="289" customFormat="1" hidden="1" outlineLevel="1" x14ac:dyDescent="0.3">
      <c r="B24" s="776" t="s">
        <v>526</v>
      </c>
      <c r="C24" s="966"/>
      <c r="D24" s="127"/>
      <c r="E24" s="14"/>
      <c r="F24" s="1095">
        <f>DASHBOARD!P137</f>
        <v>1.2500000000000001E-2</v>
      </c>
      <c r="G24" s="1095">
        <f t="shared" ref="G24:AI24" si="11">F24</f>
        <v>1.2500000000000001E-2</v>
      </c>
      <c r="H24" s="1095">
        <f t="shared" si="11"/>
        <v>1.2500000000000001E-2</v>
      </c>
      <c r="I24" s="1095">
        <f t="shared" si="11"/>
        <v>1.2500000000000001E-2</v>
      </c>
      <c r="J24" s="1095">
        <f t="shared" si="11"/>
        <v>1.2500000000000001E-2</v>
      </c>
      <c r="K24" s="1095">
        <f t="shared" si="11"/>
        <v>1.2500000000000001E-2</v>
      </c>
      <c r="L24" s="1095">
        <f t="shared" si="11"/>
        <v>1.2500000000000001E-2</v>
      </c>
      <c r="M24" s="1095">
        <f t="shared" si="11"/>
        <v>1.2500000000000001E-2</v>
      </c>
      <c r="N24" s="1095">
        <f t="shared" si="11"/>
        <v>1.2500000000000001E-2</v>
      </c>
      <c r="O24" s="1095">
        <f t="shared" si="11"/>
        <v>1.2500000000000001E-2</v>
      </c>
      <c r="P24" s="1095">
        <f t="shared" si="11"/>
        <v>1.2500000000000001E-2</v>
      </c>
      <c r="Q24" s="1095">
        <f t="shared" si="11"/>
        <v>1.2500000000000001E-2</v>
      </c>
      <c r="R24" s="1095">
        <f t="shared" si="11"/>
        <v>1.2500000000000001E-2</v>
      </c>
      <c r="S24" s="1095">
        <f t="shared" si="11"/>
        <v>1.2500000000000001E-2</v>
      </c>
      <c r="T24" s="1095">
        <f t="shared" si="11"/>
        <v>1.2500000000000001E-2</v>
      </c>
      <c r="U24" s="1095">
        <f t="shared" si="11"/>
        <v>1.2500000000000001E-2</v>
      </c>
      <c r="V24" s="1095">
        <f t="shared" si="11"/>
        <v>1.2500000000000001E-2</v>
      </c>
      <c r="W24" s="1095">
        <f t="shared" si="11"/>
        <v>1.2500000000000001E-2</v>
      </c>
      <c r="X24" s="1095">
        <f t="shared" si="11"/>
        <v>1.2500000000000001E-2</v>
      </c>
      <c r="Y24" s="1095">
        <f t="shared" si="11"/>
        <v>1.2500000000000001E-2</v>
      </c>
      <c r="Z24" s="1095">
        <f t="shared" si="11"/>
        <v>1.2500000000000001E-2</v>
      </c>
      <c r="AA24" s="1095">
        <f t="shared" si="11"/>
        <v>1.2500000000000001E-2</v>
      </c>
      <c r="AB24" s="1095">
        <f t="shared" si="11"/>
        <v>1.2500000000000001E-2</v>
      </c>
      <c r="AC24" s="1095">
        <f t="shared" si="11"/>
        <v>1.2500000000000001E-2</v>
      </c>
      <c r="AD24" s="1095">
        <f t="shared" si="11"/>
        <v>1.2500000000000001E-2</v>
      </c>
      <c r="AE24" s="1095">
        <f t="shared" si="11"/>
        <v>1.2500000000000001E-2</v>
      </c>
      <c r="AF24" s="1095">
        <f t="shared" si="11"/>
        <v>1.2500000000000001E-2</v>
      </c>
      <c r="AG24" s="1095">
        <f t="shared" si="11"/>
        <v>1.2500000000000001E-2</v>
      </c>
      <c r="AH24" s="1095">
        <f t="shared" si="11"/>
        <v>1.2500000000000001E-2</v>
      </c>
      <c r="AI24" s="1096">
        <f t="shared" si="11"/>
        <v>1.2500000000000001E-2</v>
      </c>
      <c r="AJ24" s="1605">
        <f>IF(DASHBOARD!K137=2,1,0)</f>
        <v>0</v>
      </c>
    </row>
    <row r="25" spans="1:37" s="289" customFormat="1" outlineLevel="1" x14ac:dyDescent="0.3">
      <c r="B25" s="706" t="s">
        <v>576</v>
      </c>
      <c r="C25" s="309">
        <f>IFERROR(SUM(E25:AI25),0)</f>
        <v>0</v>
      </c>
      <c r="D25" s="127"/>
      <c r="E25" s="14">
        <f>IF(E5=3,0,HIDE5!Q52)</f>
        <v>0</v>
      </c>
      <c r="F25" s="14">
        <f t="shared" ref="F25:AI25" si="12">-(F19+F111+F112)*service_fee</f>
        <v>0</v>
      </c>
      <c r="G25" s="14">
        <f t="shared" si="12"/>
        <v>0</v>
      </c>
      <c r="H25" s="14">
        <f t="shared" si="12"/>
        <v>0</v>
      </c>
      <c r="I25" s="14">
        <f t="shared" si="12"/>
        <v>0</v>
      </c>
      <c r="J25" s="14">
        <f t="shared" si="12"/>
        <v>0</v>
      </c>
      <c r="K25" s="14">
        <f t="shared" si="12"/>
        <v>0</v>
      </c>
      <c r="L25" s="14">
        <f t="shared" si="12"/>
        <v>0</v>
      </c>
      <c r="M25" s="14">
        <f t="shared" si="12"/>
        <v>0</v>
      </c>
      <c r="N25" s="14">
        <f t="shared" si="12"/>
        <v>0</v>
      </c>
      <c r="O25" s="14">
        <f t="shared" si="12"/>
        <v>0</v>
      </c>
      <c r="P25" s="14">
        <f t="shared" si="12"/>
        <v>0</v>
      </c>
      <c r="Q25" s="14">
        <f t="shared" si="12"/>
        <v>0</v>
      </c>
      <c r="R25" s="14">
        <f t="shared" si="12"/>
        <v>0</v>
      </c>
      <c r="S25" s="14">
        <f t="shared" si="12"/>
        <v>0</v>
      </c>
      <c r="T25" s="14">
        <f t="shared" si="12"/>
        <v>0</v>
      </c>
      <c r="U25" s="14">
        <f t="shared" si="12"/>
        <v>0</v>
      </c>
      <c r="V25" s="14">
        <f t="shared" si="12"/>
        <v>0</v>
      </c>
      <c r="W25" s="14">
        <f t="shared" si="12"/>
        <v>0</v>
      </c>
      <c r="X25" s="14">
        <f t="shared" si="12"/>
        <v>0</v>
      </c>
      <c r="Y25" s="14">
        <f t="shared" si="12"/>
        <v>0</v>
      </c>
      <c r="Z25" s="14">
        <f t="shared" si="12"/>
        <v>0</v>
      </c>
      <c r="AA25" s="14">
        <f t="shared" si="12"/>
        <v>0</v>
      </c>
      <c r="AB25" s="14">
        <f t="shared" si="12"/>
        <v>0</v>
      </c>
      <c r="AC25" s="14">
        <f t="shared" si="12"/>
        <v>0</v>
      </c>
      <c r="AD25" s="14">
        <f t="shared" si="12"/>
        <v>0</v>
      </c>
      <c r="AE25" s="14">
        <f t="shared" si="12"/>
        <v>0</v>
      </c>
      <c r="AF25" s="14">
        <f t="shared" si="12"/>
        <v>0</v>
      </c>
      <c r="AG25" s="14">
        <f t="shared" si="12"/>
        <v>0</v>
      </c>
      <c r="AH25" s="14">
        <f t="shared" si="12"/>
        <v>0</v>
      </c>
      <c r="AI25" s="707">
        <f t="shared" si="12"/>
        <v>0</v>
      </c>
      <c r="AJ25" s="1605">
        <v>1</v>
      </c>
    </row>
    <row r="26" spans="1:37" s="290" customFormat="1" ht="14.4" outlineLevel="1" x14ac:dyDescent="0.3">
      <c r="B26" s="710" t="s">
        <v>584</v>
      </c>
      <c r="C26" s="970">
        <f>IFERROR(SUM(E26:AI26),0)</f>
        <v>0</v>
      </c>
      <c r="D26" s="1803" t="s">
        <v>1149</v>
      </c>
      <c r="E26" s="323">
        <f>E19+E21+E25+E23</f>
        <v>0</v>
      </c>
      <c r="F26" s="323">
        <f t="shared" ref="F26:AI26" si="13">F19+F21+F25+F23</f>
        <v>0</v>
      </c>
      <c r="G26" s="323">
        <f t="shared" si="13"/>
        <v>0</v>
      </c>
      <c r="H26" s="323">
        <f t="shared" si="13"/>
        <v>0</v>
      </c>
      <c r="I26" s="323">
        <f t="shared" si="13"/>
        <v>0</v>
      </c>
      <c r="J26" s="323">
        <f t="shared" si="13"/>
        <v>0</v>
      </c>
      <c r="K26" s="323">
        <f t="shared" si="13"/>
        <v>0</v>
      </c>
      <c r="L26" s="323">
        <f t="shared" si="13"/>
        <v>0</v>
      </c>
      <c r="M26" s="323">
        <f t="shared" si="13"/>
        <v>0</v>
      </c>
      <c r="N26" s="323">
        <f t="shared" si="13"/>
        <v>0</v>
      </c>
      <c r="O26" s="323">
        <f t="shared" si="13"/>
        <v>0</v>
      </c>
      <c r="P26" s="323">
        <f t="shared" si="13"/>
        <v>0</v>
      </c>
      <c r="Q26" s="323">
        <f t="shared" si="13"/>
        <v>0</v>
      </c>
      <c r="R26" s="323">
        <f t="shared" si="13"/>
        <v>0</v>
      </c>
      <c r="S26" s="323">
        <f t="shared" si="13"/>
        <v>0</v>
      </c>
      <c r="T26" s="323">
        <f t="shared" si="13"/>
        <v>0</v>
      </c>
      <c r="U26" s="323">
        <f t="shared" si="13"/>
        <v>0</v>
      </c>
      <c r="V26" s="323">
        <f t="shared" si="13"/>
        <v>0</v>
      </c>
      <c r="W26" s="323">
        <f t="shared" si="13"/>
        <v>0</v>
      </c>
      <c r="X26" s="323">
        <f t="shared" si="13"/>
        <v>0</v>
      </c>
      <c r="Y26" s="323">
        <f t="shared" si="13"/>
        <v>0</v>
      </c>
      <c r="Z26" s="323">
        <f t="shared" si="13"/>
        <v>0</v>
      </c>
      <c r="AA26" s="323">
        <f t="shared" si="13"/>
        <v>0</v>
      </c>
      <c r="AB26" s="323">
        <f t="shared" si="13"/>
        <v>0</v>
      </c>
      <c r="AC26" s="323">
        <f t="shared" si="13"/>
        <v>0</v>
      </c>
      <c r="AD26" s="323">
        <f t="shared" si="13"/>
        <v>0</v>
      </c>
      <c r="AE26" s="323">
        <f t="shared" si="13"/>
        <v>0</v>
      </c>
      <c r="AF26" s="323">
        <f t="shared" si="13"/>
        <v>0</v>
      </c>
      <c r="AG26" s="323">
        <f t="shared" si="13"/>
        <v>0</v>
      </c>
      <c r="AH26" s="323">
        <f t="shared" si="13"/>
        <v>0</v>
      </c>
      <c r="AI26" s="711">
        <f t="shared" si="13"/>
        <v>0</v>
      </c>
      <c r="AJ26" s="1607">
        <v>1</v>
      </c>
    </row>
    <row r="27" spans="1:37" s="289" customFormat="1" outlineLevel="1" x14ac:dyDescent="0.3">
      <c r="B27" s="778" t="s">
        <v>466</v>
      </c>
      <c r="C27" s="971"/>
      <c r="D27" s="128"/>
      <c r="E27" s="21"/>
      <c r="F27" s="18">
        <f t="shared" ref="F27:AI27" si="14">IFERROR(IF(F5=1,F26/E26-1,0),0)</f>
        <v>0</v>
      </c>
      <c r="G27" s="18">
        <f t="shared" si="14"/>
        <v>0</v>
      </c>
      <c r="H27" s="18">
        <f t="shared" si="14"/>
        <v>0</v>
      </c>
      <c r="I27" s="18">
        <f t="shared" si="14"/>
        <v>0</v>
      </c>
      <c r="J27" s="18">
        <f t="shared" si="14"/>
        <v>0</v>
      </c>
      <c r="K27" s="18">
        <f t="shared" si="14"/>
        <v>0</v>
      </c>
      <c r="L27" s="18">
        <f t="shared" si="14"/>
        <v>0</v>
      </c>
      <c r="M27" s="18">
        <f t="shared" si="14"/>
        <v>0</v>
      </c>
      <c r="N27" s="18">
        <f t="shared" si="14"/>
        <v>0</v>
      </c>
      <c r="O27" s="18">
        <f t="shared" si="14"/>
        <v>0</v>
      </c>
      <c r="P27" s="18">
        <f t="shared" si="14"/>
        <v>0</v>
      </c>
      <c r="Q27" s="18">
        <f t="shared" si="14"/>
        <v>0</v>
      </c>
      <c r="R27" s="18">
        <f t="shared" si="14"/>
        <v>0</v>
      </c>
      <c r="S27" s="18">
        <f t="shared" si="14"/>
        <v>0</v>
      </c>
      <c r="T27" s="18">
        <f t="shared" si="14"/>
        <v>0</v>
      </c>
      <c r="U27" s="18">
        <f t="shared" si="14"/>
        <v>0</v>
      </c>
      <c r="V27" s="18">
        <f t="shared" si="14"/>
        <v>0</v>
      </c>
      <c r="W27" s="18">
        <f t="shared" si="14"/>
        <v>0</v>
      </c>
      <c r="X27" s="18">
        <f t="shared" si="14"/>
        <v>0</v>
      </c>
      <c r="Y27" s="18">
        <f t="shared" si="14"/>
        <v>0</v>
      </c>
      <c r="Z27" s="18">
        <f t="shared" si="14"/>
        <v>0</v>
      </c>
      <c r="AA27" s="18">
        <f t="shared" si="14"/>
        <v>0</v>
      </c>
      <c r="AB27" s="18">
        <f t="shared" si="14"/>
        <v>0</v>
      </c>
      <c r="AC27" s="18">
        <f t="shared" si="14"/>
        <v>0</v>
      </c>
      <c r="AD27" s="18">
        <f t="shared" si="14"/>
        <v>0</v>
      </c>
      <c r="AE27" s="18">
        <f t="shared" si="14"/>
        <v>0</v>
      </c>
      <c r="AF27" s="18">
        <f t="shared" si="14"/>
        <v>0</v>
      </c>
      <c r="AG27" s="18">
        <f t="shared" si="14"/>
        <v>0</v>
      </c>
      <c r="AH27" s="18">
        <f t="shared" si="14"/>
        <v>0</v>
      </c>
      <c r="AI27" s="779">
        <f t="shared" si="14"/>
        <v>0</v>
      </c>
      <c r="AJ27" s="1605">
        <v>1</v>
      </c>
      <c r="AK27" s="882"/>
    </row>
    <row r="28" spans="1:37" s="289" customFormat="1" outlineLevel="1" x14ac:dyDescent="0.3">
      <c r="B28" s="706"/>
      <c r="C28" s="84"/>
      <c r="D28" s="127"/>
      <c r="E28" s="15"/>
      <c r="F28" s="15"/>
      <c r="G28" s="972"/>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244"/>
      <c r="AH28" s="937"/>
      <c r="AI28" s="923"/>
      <c r="AJ28" s="1605">
        <v>1</v>
      </c>
    </row>
    <row r="29" spans="1:37" s="289" customFormat="1" outlineLevel="1" x14ac:dyDescent="0.3">
      <c r="B29" s="706" t="s">
        <v>23</v>
      </c>
      <c r="C29" s="309">
        <f>IFERROR(SUM(E29:AI29),0)</f>
        <v>0</v>
      </c>
      <c r="D29" s="127"/>
      <c r="E29" s="134">
        <f t="shared" ref="E29:AI29" si="15">IF(E5=3,0,-thumb*E19)</f>
        <v>0</v>
      </c>
      <c r="F29" s="134">
        <f t="shared" si="15"/>
        <v>0</v>
      </c>
      <c r="G29" s="134">
        <f t="shared" si="15"/>
        <v>0</v>
      </c>
      <c r="H29" s="134">
        <f t="shared" si="15"/>
        <v>0</v>
      </c>
      <c r="I29" s="134">
        <f t="shared" si="15"/>
        <v>0</v>
      </c>
      <c r="J29" s="134">
        <f t="shared" si="15"/>
        <v>0</v>
      </c>
      <c r="K29" s="134">
        <f t="shared" si="15"/>
        <v>0</v>
      </c>
      <c r="L29" s="134">
        <f t="shared" si="15"/>
        <v>0</v>
      </c>
      <c r="M29" s="134">
        <f t="shared" si="15"/>
        <v>0</v>
      </c>
      <c r="N29" s="134">
        <f t="shared" si="15"/>
        <v>0</v>
      </c>
      <c r="O29" s="134">
        <f t="shared" si="15"/>
        <v>0</v>
      </c>
      <c r="P29" s="134">
        <f t="shared" si="15"/>
        <v>0</v>
      </c>
      <c r="Q29" s="134">
        <f t="shared" si="15"/>
        <v>0</v>
      </c>
      <c r="R29" s="134">
        <f t="shared" si="15"/>
        <v>0</v>
      </c>
      <c r="S29" s="134">
        <f t="shared" si="15"/>
        <v>0</v>
      </c>
      <c r="T29" s="134">
        <f t="shared" si="15"/>
        <v>0</v>
      </c>
      <c r="U29" s="134">
        <f t="shared" si="15"/>
        <v>0</v>
      </c>
      <c r="V29" s="134">
        <f t="shared" si="15"/>
        <v>0</v>
      </c>
      <c r="W29" s="134">
        <f t="shared" si="15"/>
        <v>0</v>
      </c>
      <c r="X29" s="134">
        <f t="shared" si="15"/>
        <v>0</v>
      </c>
      <c r="Y29" s="134">
        <f t="shared" si="15"/>
        <v>0</v>
      </c>
      <c r="Z29" s="134">
        <f t="shared" si="15"/>
        <v>0</v>
      </c>
      <c r="AA29" s="134">
        <f t="shared" si="15"/>
        <v>0</v>
      </c>
      <c r="AB29" s="134">
        <f t="shared" si="15"/>
        <v>0</v>
      </c>
      <c r="AC29" s="134">
        <f t="shared" si="15"/>
        <v>0</v>
      </c>
      <c r="AD29" s="134">
        <f t="shared" si="15"/>
        <v>0</v>
      </c>
      <c r="AE29" s="134">
        <f t="shared" si="15"/>
        <v>0</v>
      </c>
      <c r="AF29" s="134">
        <f t="shared" si="15"/>
        <v>0</v>
      </c>
      <c r="AG29" s="134">
        <f t="shared" si="15"/>
        <v>0</v>
      </c>
      <c r="AH29" s="134">
        <f t="shared" si="15"/>
        <v>0</v>
      </c>
      <c r="AI29" s="708">
        <f t="shared" si="15"/>
        <v>0</v>
      </c>
      <c r="AJ29" s="1605">
        <v>1</v>
      </c>
    </row>
    <row r="30" spans="1:37" s="289" customFormat="1" outlineLevel="1" x14ac:dyDescent="0.3">
      <c r="B30" s="706" t="str">
        <f>DASHBOARD!W119</f>
        <v>Electrical Utilities</v>
      </c>
      <c r="C30" s="309">
        <f>IFERROR(SUM(E30:AI30),0)</f>
        <v>0</v>
      </c>
      <c r="D30" s="127"/>
      <c r="E30" s="134">
        <f>IF(OR(E5=3,thumb&lt;&gt;0),0,HIDE5!Q55)</f>
        <v>0</v>
      </c>
      <c r="F30" s="134">
        <f>IF(thumb&lt;&gt;0,0,CHOOSE(F5,DASHBOARD!BH199*(1+CHOOSE(DASHBOARD!$K$138,DASHBOARD!$P$138,FORECASTS!F31)),DASHBOARD!BH199*(1+CHOOSE(DASHBOARD!$K$138,DASHBOARD!$P$138,FORECASTS!F31))*$F$9/12,0))</f>
        <v>0</v>
      </c>
      <c r="G30" s="134">
        <f>CHOOSE(G$5,F30*(1+CHOOSE(DASHBOARD!$K$138,DASHBOARD!$P$138,FORECASTS!G31)),F30*(1+CHOOSE(DASHBOARD!$K$138,DASHBOARD!$P$138,FORECASTS!G31))*G$9/12,0)</f>
        <v>0</v>
      </c>
      <c r="H30" s="134">
        <f>CHOOSE(H$5,G30*(1+CHOOSE(DASHBOARD!$K$138,DASHBOARD!$P$138,FORECASTS!H31)),G30*(1+CHOOSE(DASHBOARD!$K$138,DASHBOARD!$P$138,FORECASTS!H31))*H$9/12,0)</f>
        <v>0</v>
      </c>
      <c r="I30" s="134">
        <f>CHOOSE(I$5,H30*(1+CHOOSE(DASHBOARD!$K$138,DASHBOARD!$P$138,FORECASTS!I31)),H30*(1+CHOOSE(DASHBOARD!$K$138,DASHBOARD!$P$138,FORECASTS!I31))*I$9/12,0)</f>
        <v>0</v>
      </c>
      <c r="J30" s="134">
        <f>CHOOSE(J$5,I30*(1+CHOOSE(DASHBOARD!$K$138,DASHBOARD!$P$138,FORECASTS!J31)),I30*(1+CHOOSE(DASHBOARD!$K$138,DASHBOARD!$P$138,FORECASTS!J31))*J$9/12,0)</f>
        <v>0</v>
      </c>
      <c r="K30" s="134">
        <f>CHOOSE(K$5,J30*(1+CHOOSE(DASHBOARD!$K$138,DASHBOARD!$P$138,FORECASTS!K31)),J30*(1+CHOOSE(DASHBOARD!$K$138,DASHBOARD!$P$138,FORECASTS!K31))*K$9/12,0)</f>
        <v>0</v>
      </c>
      <c r="L30" s="134">
        <f>CHOOSE(L$5,K30*(1+CHOOSE(DASHBOARD!$K$138,DASHBOARD!$P$138,FORECASTS!L31)),K30*(1+CHOOSE(DASHBOARD!$K$138,DASHBOARD!$P$138,FORECASTS!L31))*L$9/12,0)</f>
        <v>0</v>
      </c>
      <c r="M30" s="134">
        <f>CHOOSE(M$5,L30*(1+CHOOSE(DASHBOARD!$K$138,DASHBOARD!$P$138,FORECASTS!M31)),L30*(1+CHOOSE(DASHBOARD!$K$138,DASHBOARD!$P$138,FORECASTS!M31))*M$9/12,0)</f>
        <v>0</v>
      </c>
      <c r="N30" s="134">
        <f>CHOOSE(N$5,M30*(1+CHOOSE(DASHBOARD!$K$138,DASHBOARD!$P$138,FORECASTS!N31)),M30*(1+CHOOSE(DASHBOARD!$K$138,DASHBOARD!$P$138,FORECASTS!N31))*N$9/12,0)</f>
        <v>0</v>
      </c>
      <c r="O30" s="134">
        <f>CHOOSE(O$5,N30*(1+CHOOSE(DASHBOARD!$K$138,DASHBOARD!$P$138,FORECASTS!O31)),N30*(1+CHOOSE(DASHBOARD!$K$138,DASHBOARD!$P$138,FORECASTS!O31))*O$9/12,0)</f>
        <v>0</v>
      </c>
      <c r="P30" s="134">
        <f>CHOOSE(P$5,O30*(1+CHOOSE(DASHBOARD!$K$138,DASHBOARD!$P$138,FORECASTS!P31)),O30*(1+CHOOSE(DASHBOARD!$K$138,DASHBOARD!$P$138,FORECASTS!P31))*P$9/12,0)</f>
        <v>0</v>
      </c>
      <c r="Q30" s="134">
        <f>CHOOSE(Q$5,P30*(1+CHOOSE(DASHBOARD!$K$138,DASHBOARD!$P$138,FORECASTS!Q31)),P30*(1+CHOOSE(DASHBOARD!$K$138,DASHBOARD!$P$138,FORECASTS!Q31))*Q$9/12,0)</f>
        <v>0</v>
      </c>
      <c r="R30" s="134">
        <f>CHOOSE(R$5,Q30*(1+CHOOSE(DASHBOARD!$K$138,DASHBOARD!$P$138,FORECASTS!R31)),Q30*(1+CHOOSE(DASHBOARD!$K$138,DASHBOARD!$P$138,FORECASTS!R31))*R$9/12,0)</f>
        <v>0</v>
      </c>
      <c r="S30" s="134">
        <f>CHOOSE(S$5,R30*(1+CHOOSE(DASHBOARD!$K$138,DASHBOARD!$P$138,FORECASTS!S31)),R30*(1+CHOOSE(DASHBOARD!$K$138,DASHBOARD!$P$138,FORECASTS!S31))*S$9/12,0)</f>
        <v>0</v>
      </c>
      <c r="T30" s="134">
        <f>CHOOSE(T$5,S30*(1+CHOOSE(DASHBOARD!$K$138,DASHBOARD!$P$138,FORECASTS!T31)),S30*(1+CHOOSE(DASHBOARD!$K$138,DASHBOARD!$P$138,FORECASTS!T31))*T$9/12,0)</f>
        <v>0</v>
      </c>
      <c r="U30" s="134">
        <f>CHOOSE(U$5,T30*(1+CHOOSE(DASHBOARD!$K$138,DASHBOARD!$P$138,FORECASTS!U31)),T30*(1+CHOOSE(DASHBOARD!$K$138,DASHBOARD!$P$138,FORECASTS!U31))*U$9/12,0)</f>
        <v>0</v>
      </c>
      <c r="V30" s="134">
        <f>CHOOSE(V$5,U30*(1+CHOOSE(DASHBOARD!$K$138,DASHBOARD!$P$138,FORECASTS!V31)),U30*(1+CHOOSE(DASHBOARD!$K$138,DASHBOARD!$P$138,FORECASTS!V31))*V$9/12,0)</f>
        <v>0</v>
      </c>
      <c r="W30" s="134">
        <f>CHOOSE(W$5,V30*(1+CHOOSE(DASHBOARD!$K$138,DASHBOARD!$P$138,FORECASTS!W31)),V30*(1+CHOOSE(DASHBOARD!$K$138,DASHBOARD!$P$138,FORECASTS!W31))*W$9/12,0)</f>
        <v>0</v>
      </c>
      <c r="X30" s="134">
        <f>CHOOSE(X$5,W30*(1+CHOOSE(DASHBOARD!$K$138,DASHBOARD!$P$138,FORECASTS!X31)),W30*(1+CHOOSE(DASHBOARD!$K$138,DASHBOARD!$P$138,FORECASTS!X31))*X$9/12,0)</f>
        <v>0</v>
      </c>
      <c r="Y30" s="134">
        <f>CHOOSE(Y$5,X30*(1+CHOOSE(DASHBOARD!$K$138,DASHBOARD!$P$138,FORECASTS!Y31)),X30*(1+CHOOSE(DASHBOARD!$K$138,DASHBOARD!$P$138,FORECASTS!Y31))*Y$9/12,0)</f>
        <v>0</v>
      </c>
      <c r="Z30" s="134">
        <f>CHOOSE(Z$5,Y30*(1+CHOOSE(DASHBOARD!$K$138,DASHBOARD!$P$138,FORECASTS!Z31)),Y30*(1+CHOOSE(DASHBOARD!$K$138,DASHBOARD!$P$138,FORECASTS!Z31))*Z$9/12,0)</f>
        <v>0</v>
      </c>
      <c r="AA30" s="134">
        <f>CHOOSE(AA$5,Z30*(1+CHOOSE(DASHBOARD!$K$138,DASHBOARD!$P$138,FORECASTS!AA31)),Z30*(1+CHOOSE(DASHBOARD!$K$138,DASHBOARD!$P$138,FORECASTS!AA31))*AA$9/12,0)</f>
        <v>0</v>
      </c>
      <c r="AB30" s="134">
        <f>CHOOSE(AB$5,AA30*(1+CHOOSE(DASHBOARD!$K$138,DASHBOARD!$P$138,FORECASTS!AB31)),AA30*(1+CHOOSE(DASHBOARD!$K$138,DASHBOARD!$P$138,FORECASTS!AB31))*AB$9/12,0)</f>
        <v>0</v>
      </c>
      <c r="AC30" s="134">
        <f>CHOOSE(AC$5,AB30*(1+CHOOSE(DASHBOARD!$K$138,DASHBOARD!$P$138,FORECASTS!AC31)),AB30*(1+CHOOSE(DASHBOARD!$K$138,DASHBOARD!$P$138,FORECASTS!AC31))*AC$9/12,0)</f>
        <v>0</v>
      </c>
      <c r="AD30" s="134">
        <f>CHOOSE(AD$5,AC30*(1+CHOOSE(DASHBOARD!$K$138,DASHBOARD!$P$138,FORECASTS!AD31)),AC30*(1+CHOOSE(DASHBOARD!$K$138,DASHBOARD!$P$138,FORECASTS!AD31))*AD$9/12,0)</f>
        <v>0</v>
      </c>
      <c r="AE30" s="134">
        <f>CHOOSE(AE$5,AD30*(1+CHOOSE(DASHBOARD!$K$138,DASHBOARD!$P$138,FORECASTS!AE31)),AD30*(1+CHOOSE(DASHBOARD!$K$138,DASHBOARD!$P$138,FORECASTS!AE31))*AE$9/12,0)</f>
        <v>0</v>
      </c>
      <c r="AF30" s="134">
        <f>CHOOSE(AF$5,AE30*(1+CHOOSE(DASHBOARD!$K$138,DASHBOARD!$P$138,FORECASTS!AF31)),AE30*(1+CHOOSE(DASHBOARD!$K$138,DASHBOARD!$P$138,FORECASTS!AF31))*AF$9/12,0)</f>
        <v>0</v>
      </c>
      <c r="AG30" s="134">
        <f>CHOOSE(AG$5,AF30*(1+CHOOSE(DASHBOARD!$K$138,DASHBOARD!$P$138,FORECASTS!AG31)),AF30*(1+CHOOSE(DASHBOARD!$K$138,DASHBOARD!$P$138,FORECASTS!AG31))*AG$9/12,0)</f>
        <v>0</v>
      </c>
      <c r="AH30" s="134">
        <f>CHOOSE(AH$5,AG30*(1+CHOOSE(DASHBOARD!$K$138,DASHBOARD!$P$138,FORECASTS!AH31)),AG30*(1+CHOOSE(DASHBOARD!$K$138,DASHBOARD!$P$138,FORECASTS!AH31))*AH$9/12,0)</f>
        <v>0</v>
      </c>
      <c r="AI30" s="708">
        <f>CHOOSE(AI$5,AH30*(1+CHOOSE(DASHBOARD!$K$138,DASHBOARD!$P$138,FORECASTS!AI31)),AH30*(1+CHOOSE(DASHBOARD!$K$138,DASHBOARD!$P$138,FORECASTS!AI31))*AI$9/12,0)</f>
        <v>0</v>
      </c>
      <c r="AJ30" s="1605">
        <v>1</v>
      </c>
    </row>
    <row r="31" spans="1:37" s="289" customFormat="1" hidden="1" outlineLevel="1" x14ac:dyDescent="0.3">
      <c r="B31" s="776" t="s">
        <v>526</v>
      </c>
      <c r="C31" s="966"/>
      <c r="D31" s="127"/>
      <c r="E31" s="14"/>
      <c r="F31" s="1095">
        <f>DASHBOARD!$P$138</f>
        <v>0.06</v>
      </c>
      <c r="G31" s="1095">
        <f t="shared" ref="G31:AI31" si="16">F31</f>
        <v>0.06</v>
      </c>
      <c r="H31" s="1095">
        <f t="shared" si="16"/>
        <v>0.06</v>
      </c>
      <c r="I31" s="1095">
        <f t="shared" si="16"/>
        <v>0.06</v>
      </c>
      <c r="J31" s="1095">
        <f t="shared" si="16"/>
        <v>0.06</v>
      </c>
      <c r="K31" s="1095">
        <f t="shared" si="16"/>
        <v>0.06</v>
      </c>
      <c r="L31" s="1095">
        <f t="shared" si="16"/>
        <v>0.06</v>
      </c>
      <c r="M31" s="1095">
        <f t="shared" si="16"/>
        <v>0.06</v>
      </c>
      <c r="N31" s="1095">
        <f t="shared" si="16"/>
        <v>0.06</v>
      </c>
      <c r="O31" s="1095">
        <f t="shared" si="16"/>
        <v>0.06</v>
      </c>
      <c r="P31" s="1095">
        <f t="shared" si="16"/>
        <v>0.06</v>
      </c>
      <c r="Q31" s="1095">
        <f t="shared" si="16"/>
        <v>0.06</v>
      </c>
      <c r="R31" s="1095">
        <f t="shared" si="16"/>
        <v>0.06</v>
      </c>
      <c r="S31" s="1095">
        <f t="shared" si="16"/>
        <v>0.06</v>
      </c>
      <c r="T31" s="1095">
        <f t="shared" si="16"/>
        <v>0.06</v>
      </c>
      <c r="U31" s="1095">
        <f t="shared" si="16"/>
        <v>0.06</v>
      </c>
      <c r="V31" s="1095">
        <f t="shared" si="16"/>
        <v>0.06</v>
      </c>
      <c r="W31" s="1095">
        <f t="shared" si="16"/>
        <v>0.06</v>
      </c>
      <c r="X31" s="1095">
        <f t="shared" si="16"/>
        <v>0.06</v>
      </c>
      <c r="Y31" s="1095">
        <f t="shared" si="16"/>
        <v>0.06</v>
      </c>
      <c r="Z31" s="1095">
        <f t="shared" si="16"/>
        <v>0.06</v>
      </c>
      <c r="AA31" s="1095">
        <f t="shared" si="16"/>
        <v>0.06</v>
      </c>
      <c r="AB31" s="1095">
        <f t="shared" si="16"/>
        <v>0.06</v>
      </c>
      <c r="AC31" s="1095">
        <f t="shared" si="16"/>
        <v>0.06</v>
      </c>
      <c r="AD31" s="1095">
        <f t="shared" si="16"/>
        <v>0.06</v>
      </c>
      <c r="AE31" s="1095">
        <f t="shared" si="16"/>
        <v>0.06</v>
      </c>
      <c r="AF31" s="1095">
        <f t="shared" si="16"/>
        <v>0.06</v>
      </c>
      <c r="AG31" s="1095">
        <f t="shared" si="16"/>
        <v>0.06</v>
      </c>
      <c r="AH31" s="1095">
        <f t="shared" si="16"/>
        <v>0.06</v>
      </c>
      <c r="AI31" s="1096">
        <f t="shared" si="16"/>
        <v>0.06</v>
      </c>
      <c r="AJ31" s="1605">
        <f>IF(AND(DASHBOARD!$K$138=2,DASHBOARD!$BC$134=1),1,0)</f>
        <v>0</v>
      </c>
    </row>
    <row r="32" spans="1:37" s="289" customFormat="1" outlineLevel="1" x14ac:dyDescent="0.3">
      <c r="B32" s="706" t="str">
        <f>DASHBOARD!W120</f>
        <v>Gas Utilities</v>
      </c>
      <c r="C32" s="309">
        <f>IFERROR(SUM(E32:AI32),0)</f>
        <v>0</v>
      </c>
      <c r="D32" s="127"/>
      <c r="E32" s="134">
        <f>IF(OR(E5=3,thumb&lt;&gt;0),0,HIDE5!Q56)</f>
        <v>0</v>
      </c>
      <c r="F32" s="134">
        <f>IF(thumb&lt;&gt;0,0,CHOOSE(F7,DASHBOARD!BH200*(1+CHOOSE(DASHBOARD!$K$138,DASHBOARD!$P$138,FORECASTS!F33)),DASHBOARD!BH200*(1+CHOOSE(DASHBOARD!$K$138,DASHBOARD!$P$138,FORECASTS!F33))*$F$9/12,0))</f>
        <v>0</v>
      </c>
      <c r="G32" s="134">
        <f>CHOOSE(G$5,F32*(1+CHOOSE(DASHBOARD!$K$138,DASHBOARD!$P$138,FORECASTS!G33)),F32*(1+CHOOSE(DASHBOARD!$K$138,DASHBOARD!$P$138,FORECASTS!G33))*G$9/12,0)</f>
        <v>0</v>
      </c>
      <c r="H32" s="134">
        <f>CHOOSE(H$5,G32*(1+CHOOSE(DASHBOARD!$K$138,DASHBOARD!$P$138,FORECASTS!H33)),G32*(1+CHOOSE(DASHBOARD!$K$138,DASHBOARD!$P$138,FORECASTS!H33))*H$9/12,0)</f>
        <v>0</v>
      </c>
      <c r="I32" s="134">
        <f>CHOOSE(I$5,H32*(1+CHOOSE(DASHBOARD!$K$138,DASHBOARD!$P$138,FORECASTS!I33)),H32*(1+CHOOSE(DASHBOARD!$K$138,DASHBOARD!$P$138,FORECASTS!I33))*I$9/12,0)</f>
        <v>0</v>
      </c>
      <c r="J32" s="134">
        <f>CHOOSE(J$5,I32*(1+CHOOSE(DASHBOARD!$K$138,DASHBOARD!$P$138,FORECASTS!J33)),I32*(1+CHOOSE(DASHBOARD!$K$138,DASHBOARD!$P$138,FORECASTS!J33))*J$9/12,0)</f>
        <v>0</v>
      </c>
      <c r="K32" s="134">
        <f>CHOOSE(K$5,J32*(1+CHOOSE(DASHBOARD!$K$138,DASHBOARD!$P$138,FORECASTS!K33)),J32*(1+CHOOSE(DASHBOARD!$K$138,DASHBOARD!$P$138,FORECASTS!K33))*K$9/12,0)</f>
        <v>0</v>
      </c>
      <c r="L32" s="134">
        <f>CHOOSE(L$5,K32*(1+CHOOSE(DASHBOARD!$K$138,DASHBOARD!$P$138,FORECASTS!L33)),K32*(1+CHOOSE(DASHBOARD!$K$138,DASHBOARD!$P$138,FORECASTS!L33))*L$9/12,0)</f>
        <v>0</v>
      </c>
      <c r="M32" s="134">
        <f>CHOOSE(M$5,L32*(1+CHOOSE(DASHBOARD!$K$138,DASHBOARD!$P$138,FORECASTS!M33)),L32*(1+CHOOSE(DASHBOARD!$K$138,DASHBOARD!$P$138,FORECASTS!M33))*M$9/12,0)</f>
        <v>0</v>
      </c>
      <c r="N32" s="134">
        <f>CHOOSE(N$5,M32*(1+CHOOSE(DASHBOARD!$K$138,DASHBOARD!$P$138,FORECASTS!N33)),M32*(1+CHOOSE(DASHBOARD!$K$138,DASHBOARD!$P$138,FORECASTS!N33))*N$9/12,0)</f>
        <v>0</v>
      </c>
      <c r="O32" s="134">
        <f>CHOOSE(O$5,N32*(1+CHOOSE(DASHBOARD!$K$138,DASHBOARD!$P$138,FORECASTS!O33)),N32*(1+CHOOSE(DASHBOARD!$K$138,DASHBOARD!$P$138,FORECASTS!O33))*O$9/12,0)</f>
        <v>0</v>
      </c>
      <c r="P32" s="134">
        <f>CHOOSE(P$5,O32*(1+CHOOSE(DASHBOARD!$K$138,DASHBOARD!$P$138,FORECASTS!P33)),O32*(1+CHOOSE(DASHBOARD!$K$138,DASHBOARD!$P$138,FORECASTS!P33))*P$9/12,0)</f>
        <v>0</v>
      </c>
      <c r="Q32" s="134">
        <f>CHOOSE(Q$5,P32*(1+CHOOSE(DASHBOARD!$K$138,DASHBOARD!$P$138,FORECASTS!Q33)),P32*(1+CHOOSE(DASHBOARD!$K$138,DASHBOARD!$P$138,FORECASTS!Q33))*Q$9/12,0)</f>
        <v>0</v>
      </c>
      <c r="R32" s="134">
        <f>CHOOSE(R$5,Q32*(1+CHOOSE(DASHBOARD!$K$138,DASHBOARD!$P$138,FORECASTS!R33)),Q32*(1+CHOOSE(DASHBOARD!$K$138,DASHBOARD!$P$138,FORECASTS!R33))*R$9/12,0)</f>
        <v>0</v>
      </c>
      <c r="S32" s="134">
        <f>CHOOSE(S$5,R32*(1+CHOOSE(DASHBOARD!$K$138,DASHBOARD!$P$138,FORECASTS!S33)),R32*(1+CHOOSE(DASHBOARD!$K$138,DASHBOARD!$P$138,FORECASTS!S33))*S$9/12,0)</f>
        <v>0</v>
      </c>
      <c r="T32" s="134">
        <f>CHOOSE(T$5,S32*(1+CHOOSE(DASHBOARD!$K$138,DASHBOARD!$P$138,FORECASTS!T33)),S32*(1+CHOOSE(DASHBOARD!$K$138,DASHBOARD!$P$138,FORECASTS!T33))*T$9/12,0)</f>
        <v>0</v>
      </c>
      <c r="U32" s="134">
        <f>CHOOSE(U$5,T32*(1+CHOOSE(DASHBOARD!$K$138,DASHBOARD!$P$138,FORECASTS!U33)),T32*(1+CHOOSE(DASHBOARD!$K$138,DASHBOARD!$P$138,FORECASTS!U33))*U$9/12,0)</f>
        <v>0</v>
      </c>
      <c r="V32" s="134">
        <f>CHOOSE(V$5,U32*(1+CHOOSE(DASHBOARD!$K$138,DASHBOARD!$P$138,FORECASTS!V33)),U32*(1+CHOOSE(DASHBOARD!$K$138,DASHBOARD!$P$138,FORECASTS!V33))*V$9/12,0)</f>
        <v>0</v>
      </c>
      <c r="W32" s="134">
        <f>CHOOSE(W$5,V32*(1+CHOOSE(DASHBOARD!$K$138,DASHBOARD!$P$138,FORECASTS!W33)),V32*(1+CHOOSE(DASHBOARD!$K$138,DASHBOARD!$P$138,FORECASTS!W33))*W$9/12,0)</f>
        <v>0</v>
      </c>
      <c r="X32" s="134">
        <f>CHOOSE(X$5,W32*(1+CHOOSE(DASHBOARD!$K$138,DASHBOARD!$P$138,FORECASTS!X33)),W32*(1+CHOOSE(DASHBOARD!$K$138,DASHBOARD!$P$138,FORECASTS!X33))*X$9/12,0)</f>
        <v>0</v>
      </c>
      <c r="Y32" s="134">
        <f>CHOOSE(Y$5,X32*(1+CHOOSE(DASHBOARD!$K$138,DASHBOARD!$P$138,FORECASTS!Y33)),X32*(1+CHOOSE(DASHBOARD!$K$138,DASHBOARD!$P$138,FORECASTS!Y33))*Y$9/12,0)</f>
        <v>0</v>
      </c>
      <c r="Z32" s="134">
        <f>CHOOSE(Z$5,Y32*(1+CHOOSE(DASHBOARD!$K$138,DASHBOARD!$P$138,FORECASTS!Z33)),Y32*(1+CHOOSE(DASHBOARD!$K$138,DASHBOARD!$P$138,FORECASTS!Z33))*Z$9/12,0)</f>
        <v>0</v>
      </c>
      <c r="AA32" s="134">
        <f>CHOOSE(AA$5,Z32*(1+CHOOSE(DASHBOARD!$K$138,DASHBOARD!$P$138,FORECASTS!AA33)),Z32*(1+CHOOSE(DASHBOARD!$K$138,DASHBOARD!$P$138,FORECASTS!AA33))*AA$9/12,0)</f>
        <v>0</v>
      </c>
      <c r="AB32" s="134">
        <f>CHOOSE(AB$5,AA32*(1+CHOOSE(DASHBOARD!$K$138,DASHBOARD!$P$138,FORECASTS!AB33)),AA32*(1+CHOOSE(DASHBOARD!$K$138,DASHBOARD!$P$138,FORECASTS!AB33))*AB$9/12,0)</f>
        <v>0</v>
      </c>
      <c r="AC32" s="134">
        <f>CHOOSE(AC$5,AB32*(1+CHOOSE(DASHBOARD!$K$138,DASHBOARD!$P$138,FORECASTS!AC33)),AB32*(1+CHOOSE(DASHBOARD!$K$138,DASHBOARD!$P$138,FORECASTS!AC33))*AC$9/12,0)</f>
        <v>0</v>
      </c>
      <c r="AD32" s="134">
        <f>CHOOSE(AD$5,AC32*(1+CHOOSE(DASHBOARD!$K$138,DASHBOARD!$P$138,FORECASTS!AD33)),AC32*(1+CHOOSE(DASHBOARD!$K$138,DASHBOARD!$P$138,FORECASTS!AD33))*AD$9/12,0)</f>
        <v>0</v>
      </c>
      <c r="AE32" s="134">
        <f>CHOOSE(AE$5,AD32*(1+CHOOSE(DASHBOARD!$K$138,DASHBOARD!$P$138,FORECASTS!AE33)),AD32*(1+CHOOSE(DASHBOARD!$K$138,DASHBOARD!$P$138,FORECASTS!AE33))*AE$9/12,0)</f>
        <v>0</v>
      </c>
      <c r="AF32" s="134">
        <f>CHOOSE(AF$5,AE32*(1+CHOOSE(DASHBOARD!$K$138,DASHBOARD!$P$138,FORECASTS!AF33)),AE32*(1+CHOOSE(DASHBOARD!$K$138,DASHBOARD!$P$138,FORECASTS!AF33))*AF$9/12,0)</f>
        <v>0</v>
      </c>
      <c r="AG32" s="134">
        <f>CHOOSE(AG$5,AF32*(1+CHOOSE(DASHBOARD!$K$138,DASHBOARD!$P$138,FORECASTS!AG33)),AF32*(1+CHOOSE(DASHBOARD!$K$138,DASHBOARD!$P$138,FORECASTS!AG33))*AG$9/12,0)</f>
        <v>0</v>
      </c>
      <c r="AH32" s="134">
        <f>CHOOSE(AH$5,AG32*(1+CHOOSE(DASHBOARD!$K$138,DASHBOARD!$P$138,FORECASTS!AH33)),AG32*(1+CHOOSE(DASHBOARD!$K$138,DASHBOARD!$P$138,FORECASTS!AH33))*AH$9/12,0)</f>
        <v>0</v>
      </c>
      <c r="AI32" s="708">
        <f>CHOOSE(AI$5,AH32*(1+CHOOSE(DASHBOARD!$K$138,DASHBOARD!$P$138,FORECASTS!AI33)),AH32*(1+CHOOSE(DASHBOARD!$K$138,DASHBOARD!$P$138,FORECASTS!AI33))*AI$9/12,0)</f>
        <v>0</v>
      </c>
      <c r="AJ32" s="1605">
        <v>1</v>
      </c>
    </row>
    <row r="33" spans="2:36" s="289" customFormat="1" hidden="1" outlineLevel="1" x14ac:dyDescent="0.3">
      <c r="B33" s="776" t="s">
        <v>526</v>
      </c>
      <c r="C33" s="966"/>
      <c r="D33" s="127"/>
      <c r="E33" s="14"/>
      <c r="F33" s="1095">
        <f>DASHBOARD!$P$138</f>
        <v>0.06</v>
      </c>
      <c r="G33" s="1095">
        <f t="shared" ref="G33:AI33" si="17">F33</f>
        <v>0.06</v>
      </c>
      <c r="H33" s="1095">
        <f t="shared" si="17"/>
        <v>0.06</v>
      </c>
      <c r="I33" s="1095">
        <f t="shared" si="17"/>
        <v>0.06</v>
      </c>
      <c r="J33" s="1095">
        <f t="shared" si="17"/>
        <v>0.06</v>
      </c>
      <c r="K33" s="1095">
        <f t="shared" si="17"/>
        <v>0.06</v>
      </c>
      <c r="L33" s="1095">
        <f t="shared" si="17"/>
        <v>0.06</v>
      </c>
      <c r="M33" s="1095">
        <f t="shared" si="17"/>
        <v>0.06</v>
      </c>
      <c r="N33" s="1095">
        <f t="shared" si="17"/>
        <v>0.06</v>
      </c>
      <c r="O33" s="1095">
        <f t="shared" si="17"/>
        <v>0.06</v>
      </c>
      <c r="P33" s="1095">
        <f t="shared" si="17"/>
        <v>0.06</v>
      </c>
      <c r="Q33" s="1095">
        <f t="shared" si="17"/>
        <v>0.06</v>
      </c>
      <c r="R33" s="1095">
        <f t="shared" si="17"/>
        <v>0.06</v>
      </c>
      <c r="S33" s="1095">
        <f t="shared" si="17"/>
        <v>0.06</v>
      </c>
      <c r="T33" s="1095">
        <f t="shared" si="17"/>
        <v>0.06</v>
      </c>
      <c r="U33" s="1095">
        <f t="shared" si="17"/>
        <v>0.06</v>
      </c>
      <c r="V33" s="1095">
        <f t="shared" si="17"/>
        <v>0.06</v>
      </c>
      <c r="W33" s="1095">
        <f t="shared" si="17"/>
        <v>0.06</v>
      </c>
      <c r="X33" s="1095">
        <f t="shared" si="17"/>
        <v>0.06</v>
      </c>
      <c r="Y33" s="1095">
        <f t="shared" si="17"/>
        <v>0.06</v>
      </c>
      <c r="Z33" s="1095">
        <f t="shared" si="17"/>
        <v>0.06</v>
      </c>
      <c r="AA33" s="1095">
        <f t="shared" si="17"/>
        <v>0.06</v>
      </c>
      <c r="AB33" s="1095">
        <f t="shared" si="17"/>
        <v>0.06</v>
      </c>
      <c r="AC33" s="1095">
        <f t="shared" si="17"/>
        <v>0.06</v>
      </c>
      <c r="AD33" s="1095">
        <f t="shared" si="17"/>
        <v>0.06</v>
      </c>
      <c r="AE33" s="1095">
        <f t="shared" si="17"/>
        <v>0.06</v>
      </c>
      <c r="AF33" s="1095">
        <f t="shared" si="17"/>
        <v>0.06</v>
      </c>
      <c r="AG33" s="1095">
        <f t="shared" si="17"/>
        <v>0.06</v>
      </c>
      <c r="AH33" s="1095">
        <f t="shared" si="17"/>
        <v>0.06</v>
      </c>
      <c r="AI33" s="1096">
        <f t="shared" si="17"/>
        <v>0.06</v>
      </c>
      <c r="AJ33" s="1605">
        <f>IF(AND(DASHBOARD!$K$138=2,DASHBOARD!$BC$134=1),1,0)</f>
        <v>0</v>
      </c>
    </row>
    <row r="34" spans="2:36" s="289" customFormat="1" outlineLevel="1" x14ac:dyDescent="0.3">
      <c r="B34" s="706" t="str">
        <f>DASHBOARD!W121</f>
        <v>Water Utilities</v>
      </c>
      <c r="C34" s="309">
        <f>IFERROR(SUM(E34:AI34),0)</f>
        <v>0</v>
      </c>
      <c r="D34" s="127"/>
      <c r="E34" s="134">
        <f>IF(OR(E5=3,thumb&lt;&gt;0),0,HIDE5!Q57)</f>
        <v>0</v>
      </c>
      <c r="F34" s="134">
        <f>IF(thumb&lt;&gt;0,0,CHOOSE(F$5,DASHBOARD!BH201*(1+CHOOSE(DASHBOARD!$K$138,DASHBOARD!$P$138,FORECASTS!F35)),DASHBOARD!BH201*(1+CHOOSE(DASHBOARD!$K$138,DASHBOARD!$P$138,FORECASTS!F35))*$F$9/12,0))</f>
        <v>0</v>
      </c>
      <c r="G34" s="134">
        <f>CHOOSE(G$5,F34*(1+CHOOSE(DASHBOARD!$K$138,DASHBOARD!$P$138,FORECASTS!G35)),F34*(1+CHOOSE(DASHBOARD!$K$138,DASHBOARD!$P$138,FORECASTS!G35))*G$9/12,0)</f>
        <v>0</v>
      </c>
      <c r="H34" s="134">
        <f>CHOOSE(H$5,G34*(1+CHOOSE(DASHBOARD!$K$138,DASHBOARD!$P$138,FORECASTS!H35)),G34*(1+CHOOSE(DASHBOARD!$K$138,DASHBOARD!$P$138,FORECASTS!H35))*H$9/12,0)</f>
        <v>0</v>
      </c>
      <c r="I34" s="134">
        <f>CHOOSE(I$5,H34*(1+CHOOSE(DASHBOARD!$K$138,DASHBOARD!$P$138,FORECASTS!I35)),H34*(1+CHOOSE(DASHBOARD!$K$138,DASHBOARD!$P$138,FORECASTS!I35))*I$9/12,0)</f>
        <v>0</v>
      </c>
      <c r="J34" s="134">
        <f>CHOOSE(J$5,I34*(1+CHOOSE(DASHBOARD!$K$138,DASHBOARD!$P$138,FORECASTS!J35)),I34*(1+CHOOSE(DASHBOARD!$K$138,DASHBOARD!$P$138,FORECASTS!J35))*J$9/12,0)</f>
        <v>0</v>
      </c>
      <c r="K34" s="134">
        <f>CHOOSE(K$5,J34*(1+CHOOSE(DASHBOARD!$K$138,DASHBOARD!$P$138,FORECASTS!K35)),J34*(1+CHOOSE(DASHBOARD!$K$138,DASHBOARD!$P$138,FORECASTS!K35))*K$9/12,0)</f>
        <v>0</v>
      </c>
      <c r="L34" s="134">
        <f>CHOOSE(L$5,K34*(1+CHOOSE(DASHBOARD!$K$138,DASHBOARD!$P$138,FORECASTS!L35)),K34*(1+CHOOSE(DASHBOARD!$K$138,DASHBOARD!$P$138,FORECASTS!L35))*L$9/12,0)</f>
        <v>0</v>
      </c>
      <c r="M34" s="134">
        <f>CHOOSE(M$5,L34*(1+CHOOSE(DASHBOARD!$K$138,DASHBOARD!$P$138,FORECASTS!M35)),L34*(1+CHOOSE(DASHBOARD!$K$138,DASHBOARD!$P$138,FORECASTS!M35))*M$9/12,0)</f>
        <v>0</v>
      </c>
      <c r="N34" s="134">
        <f>CHOOSE(N$5,M34*(1+CHOOSE(DASHBOARD!$K$138,DASHBOARD!$P$138,FORECASTS!N35)),M34*(1+CHOOSE(DASHBOARD!$K$138,DASHBOARD!$P$138,FORECASTS!N35))*N$9/12,0)</f>
        <v>0</v>
      </c>
      <c r="O34" s="134">
        <f>CHOOSE(O$5,N34*(1+CHOOSE(DASHBOARD!$K$138,DASHBOARD!$P$138,FORECASTS!O35)),N34*(1+CHOOSE(DASHBOARD!$K$138,DASHBOARD!$P$138,FORECASTS!O35))*O$9/12,0)</f>
        <v>0</v>
      </c>
      <c r="P34" s="134">
        <f>CHOOSE(P$5,O34*(1+CHOOSE(DASHBOARD!$K$138,DASHBOARD!$P$138,FORECASTS!P35)),O34*(1+CHOOSE(DASHBOARD!$K$138,DASHBOARD!$P$138,FORECASTS!P35))*P$9/12,0)</f>
        <v>0</v>
      </c>
      <c r="Q34" s="134">
        <f>CHOOSE(Q$5,P34*(1+CHOOSE(DASHBOARD!$K$138,DASHBOARD!$P$138,FORECASTS!Q35)),P34*(1+CHOOSE(DASHBOARD!$K$138,DASHBOARD!$P$138,FORECASTS!Q35))*Q$9/12,0)</f>
        <v>0</v>
      </c>
      <c r="R34" s="134">
        <f>CHOOSE(R$5,Q34*(1+CHOOSE(DASHBOARD!$K$138,DASHBOARD!$P$138,FORECASTS!R35)),Q34*(1+CHOOSE(DASHBOARD!$K$138,DASHBOARD!$P$138,FORECASTS!R35))*R$9/12,0)</f>
        <v>0</v>
      </c>
      <c r="S34" s="134">
        <f>CHOOSE(S$5,R34*(1+CHOOSE(DASHBOARD!$K$138,DASHBOARD!$P$138,FORECASTS!S35)),R34*(1+CHOOSE(DASHBOARD!$K$138,DASHBOARD!$P$138,FORECASTS!S35))*S$9/12,0)</f>
        <v>0</v>
      </c>
      <c r="T34" s="134">
        <f>CHOOSE(T$5,S34*(1+CHOOSE(DASHBOARD!$K$138,DASHBOARD!$P$138,FORECASTS!T35)),S34*(1+CHOOSE(DASHBOARD!$K$138,DASHBOARD!$P$138,FORECASTS!T35))*T$9/12,0)</f>
        <v>0</v>
      </c>
      <c r="U34" s="134">
        <f>CHOOSE(U$5,T34*(1+CHOOSE(DASHBOARD!$K$138,DASHBOARD!$P$138,FORECASTS!U35)),T34*(1+CHOOSE(DASHBOARD!$K$138,DASHBOARD!$P$138,FORECASTS!U35))*U$9/12,0)</f>
        <v>0</v>
      </c>
      <c r="V34" s="134">
        <f>CHOOSE(V$5,U34*(1+CHOOSE(DASHBOARD!$K$138,DASHBOARD!$P$138,FORECASTS!V35)),U34*(1+CHOOSE(DASHBOARD!$K$138,DASHBOARD!$P$138,FORECASTS!V35))*V$9/12,0)</f>
        <v>0</v>
      </c>
      <c r="W34" s="134">
        <f>CHOOSE(W$5,V34*(1+CHOOSE(DASHBOARD!$K$138,DASHBOARD!$P$138,FORECASTS!W35)),V34*(1+CHOOSE(DASHBOARD!$K$138,DASHBOARD!$P$138,FORECASTS!W35))*W$9/12,0)</f>
        <v>0</v>
      </c>
      <c r="X34" s="134">
        <f>CHOOSE(X$5,W34*(1+CHOOSE(DASHBOARD!$K$138,DASHBOARD!$P$138,FORECASTS!X35)),W34*(1+CHOOSE(DASHBOARD!$K$138,DASHBOARD!$P$138,FORECASTS!X35))*X$9/12,0)</f>
        <v>0</v>
      </c>
      <c r="Y34" s="134">
        <f>CHOOSE(Y$5,X34*(1+CHOOSE(DASHBOARD!$K$138,DASHBOARD!$P$138,FORECASTS!Y35)),X34*(1+CHOOSE(DASHBOARD!$K$138,DASHBOARD!$P$138,FORECASTS!Y35))*Y$9/12,0)</f>
        <v>0</v>
      </c>
      <c r="Z34" s="134">
        <f>CHOOSE(Z$5,Y34*(1+CHOOSE(DASHBOARD!$K$138,DASHBOARD!$P$138,FORECASTS!Z35)),Y34*(1+CHOOSE(DASHBOARD!$K$138,DASHBOARD!$P$138,FORECASTS!Z35))*Z$9/12,0)</f>
        <v>0</v>
      </c>
      <c r="AA34" s="134">
        <f>CHOOSE(AA$5,Z34*(1+CHOOSE(DASHBOARD!$K$138,DASHBOARD!$P$138,FORECASTS!AA35)),Z34*(1+CHOOSE(DASHBOARD!$K$138,DASHBOARD!$P$138,FORECASTS!AA35))*AA$9/12,0)</f>
        <v>0</v>
      </c>
      <c r="AB34" s="134">
        <f>CHOOSE(AB$5,AA34*(1+CHOOSE(DASHBOARD!$K$138,DASHBOARD!$P$138,FORECASTS!AB35)),AA34*(1+CHOOSE(DASHBOARD!$K$138,DASHBOARD!$P$138,FORECASTS!AB35))*AB$9/12,0)</f>
        <v>0</v>
      </c>
      <c r="AC34" s="134">
        <f>CHOOSE(AC$5,AB34*(1+CHOOSE(DASHBOARD!$K$138,DASHBOARD!$P$138,FORECASTS!AC35)),AB34*(1+CHOOSE(DASHBOARD!$K$138,DASHBOARD!$P$138,FORECASTS!AC35))*AC$9/12,0)</f>
        <v>0</v>
      </c>
      <c r="AD34" s="134">
        <f>CHOOSE(AD$5,AC34*(1+CHOOSE(DASHBOARD!$K$138,DASHBOARD!$P$138,FORECASTS!AD35)),AC34*(1+CHOOSE(DASHBOARD!$K$138,DASHBOARD!$P$138,FORECASTS!AD35))*AD$9/12,0)</f>
        <v>0</v>
      </c>
      <c r="AE34" s="134">
        <f>CHOOSE(AE$5,AD34*(1+CHOOSE(DASHBOARD!$K$138,DASHBOARD!$P$138,FORECASTS!AE35)),AD34*(1+CHOOSE(DASHBOARD!$K$138,DASHBOARD!$P$138,FORECASTS!AE35))*AE$9/12,0)</f>
        <v>0</v>
      </c>
      <c r="AF34" s="134">
        <f>CHOOSE(AF$5,AE34*(1+CHOOSE(DASHBOARD!$K$138,DASHBOARD!$P$138,FORECASTS!AF35)),AE34*(1+CHOOSE(DASHBOARD!$K$138,DASHBOARD!$P$138,FORECASTS!AF35))*AF$9/12,0)</f>
        <v>0</v>
      </c>
      <c r="AG34" s="134">
        <f>CHOOSE(AG$5,AF34*(1+CHOOSE(DASHBOARD!$K$138,DASHBOARD!$P$138,FORECASTS!AG35)),AF34*(1+CHOOSE(DASHBOARD!$K$138,DASHBOARD!$P$138,FORECASTS!AG35))*AG$9/12,0)</f>
        <v>0</v>
      </c>
      <c r="AH34" s="134">
        <f>CHOOSE(AH$5,AG34*(1+CHOOSE(DASHBOARD!$K$138,DASHBOARD!$P$138,FORECASTS!AH35)),AG34*(1+CHOOSE(DASHBOARD!$K$138,DASHBOARD!$P$138,FORECASTS!AH35))*AH$9/12,0)</f>
        <v>0</v>
      </c>
      <c r="AI34" s="708">
        <f>CHOOSE(AI$5,AH34*(1+CHOOSE(DASHBOARD!$K$138,DASHBOARD!$P$138,FORECASTS!AI35)),AH34*(1+CHOOSE(DASHBOARD!$K$138,DASHBOARD!$P$138,FORECASTS!AI35))*AI$9/12,0)</f>
        <v>0</v>
      </c>
      <c r="AJ34" s="1605">
        <v>1</v>
      </c>
    </row>
    <row r="35" spans="2:36" s="289" customFormat="1" hidden="1" outlineLevel="1" x14ac:dyDescent="0.3">
      <c r="B35" s="776" t="s">
        <v>526</v>
      </c>
      <c r="C35" s="966"/>
      <c r="D35" s="127"/>
      <c r="E35" s="14"/>
      <c r="F35" s="1095">
        <f>DASHBOARD!$P$138</f>
        <v>0.06</v>
      </c>
      <c r="G35" s="1095">
        <f t="shared" ref="G35:AI35" si="18">F35</f>
        <v>0.06</v>
      </c>
      <c r="H35" s="1095">
        <f t="shared" si="18"/>
        <v>0.06</v>
      </c>
      <c r="I35" s="1095">
        <f t="shared" si="18"/>
        <v>0.06</v>
      </c>
      <c r="J35" s="1095">
        <f t="shared" si="18"/>
        <v>0.06</v>
      </c>
      <c r="K35" s="1095">
        <f t="shared" si="18"/>
        <v>0.06</v>
      </c>
      <c r="L35" s="1095">
        <f t="shared" si="18"/>
        <v>0.06</v>
      </c>
      <c r="M35" s="1095">
        <f t="shared" si="18"/>
        <v>0.06</v>
      </c>
      <c r="N35" s="1095">
        <f t="shared" si="18"/>
        <v>0.06</v>
      </c>
      <c r="O35" s="1095">
        <f t="shared" si="18"/>
        <v>0.06</v>
      </c>
      <c r="P35" s="1095">
        <f t="shared" si="18"/>
        <v>0.06</v>
      </c>
      <c r="Q35" s="1095">
        <f t="shared" si="18"/>
        <v>0.06</v>
      </c>
      <c r="R35" s="1095">
        <f t="shared" si="18"/>
        <v>0.06</v>
      </c>
      <c r="S35" s="1095">
        <f t="shared" si="18"/>
        <v>0.06</v>
      </c>
      <c r="T35" s="1095">
        <f t="shared" si="18"/>
        <v>0.06</v>
      </c>
      <c r="U35" s="1095">
        <f t="shared" si="18"/>
        <v>0.06</v>
      </c>
      <c r="V35" s="1095">
        <f t="shared" si="18"/>
        <v>0.06</v>
      </c>
      <c r="W35" s="1095">
        <f t="shared" si="18"/>
        <v>0.06</v>
      </c>
      <c r="X35" s="1095">
        <f t="shared" si="18"/>
        <v>0.06</v>
      </c>
      <c r="Y35" s="1095">
        <f t="shared" si="18"/>
        <v>0.06</v>
      </c>
      <c r="Z35" s="1095">
        <f t="shared" si="18"/>
        <v>0.06</v>
      </c>
      <c r="AA35" s="1095">
        <f t="shared" si="18"/>
        <v>0.06</v>
      </c>
      <c r="AB35" s="1095">
        <f t="shared" si="18"/>
        <v>0.06</v>
      </c>
      <c r="AC35" s="1095">
        <f t="shared" si="18"/>
        <v>0.06</v>
      </c>
      <c r="AD35" s="1095">
        <f t="shared" si="18"/>
        <v>0.06</v>
      </c>
      <c r="AE35" s="1095">
        <f t="shared" si="18"/>
        <v>0.06</v>
      </c>
      <c r="AF35" s="1095">
        <f t="shared" si="18"/>
        <v>0.06</v>
      </c>
      <c r="AG35" s="1095">
        <f t="shared" si="18"/>
        <v>0.06</v>
      </c>
      <c r="AH35" s="1095">
        <f t="shared" si="18"/>
        <v>0.06</v>
      </c>
      <c r="AI35" s="1096">
        <f t="shared" si="18"/>
        <v>0.06</v>
      </c>
      <c r="AJ35" s="1605">
        <f>IF(AND(DASHBOARD!$K$138=2,DASHBOARD!$BC$134=1),1,0)</f>
        <v>0</v>
      </c>
    </row>
    <row r="36" spans="2:36" s="289" customFormat="1" outlineLevel="1" x14ac:dyDescent="0.3">
      <c r="B36" s="706" t="str">
        <f>DASHBOARD!W122</f>
        <v>Phone</v>
      </c>
      <c r="C36" s="309">
        <f>IFERROR(SUM(E36:AI36),0)</f>
        <v>0</v>
      </c>
      <c r="D36" s="127"/>
      <c r="E36" s="134">
        <f>IF(OR(E5=3,thumb&lt;&gt;0),0,HIDE5!Q58)</f>
        <v>0</v>
      </c>
      <c r="F36" s="134">
        <f>IF(thumb&lt;&gt;0,0,CHOOSE(F$5,DASHBOARD!BH202*(1+CHOOSE(DASHBOARD!$K$138,DASHBOARD!$P$138,FORECASTS!F37)),DASHBOARD!BH202*(1+CHOOSE(DASHBOARD!$K$138,DASHBOARD!$P$138,FORECASTS!F37))*$F$9/12,0))</f>
        <v>0</v>
      </c>
      <c r="G36" s="134">
        <f>CHOOSE(G$5,F36*(1+CHOOSE(DASHBOARD!$K$138,DASHBOARD!$P$138,FORECASTS!G37)),F36*(1+CHOOSE(DASHBOARD!$K$138,DASHBOARD!$P$138,FORECASTS!G37))*G$9/12,0)</f>
        <v>0</v>
      </c>
      <c r="H36" s="134">
        <f>CHOOSE(H$5,G36*(1+CHOOSE(DASHBOARD!$K$138,DASHBOARD!$P$138,FORECASTS!H37)),G36*(1+CHOOSE(DASHBOARD!$K$138,DASHBOARD!$P$138,FORECASTS!H37))*H$9/12,0)</f>
        <v>0</v>
      </c>
      <c r="I36" s="134">
        <f>CHOOSE(I$5,H36*(1+CHOOSE(DASHBOARD!$K$138,DASHBOARD!$P$138,FORECASTS!I37)),H36*(1+CHOOSE(DASHBOARD!$K$138,DASHBOARD!$P$138,FORECASTS!I37))*I$9/12,0)</f>
        <v>0</v>
      </c>
      <c r="J36" s="134">
        <f>CHOOSE(J$5,I36*(1+CHOOSE(DASHBOARD!$K$138,DASHBOARD!$P$138,FORECASTS!J37)),I36*(1+CHOOSE(DASHBOARD!$K$138,DASHBOARD!$P$138,FORECASTS!J37))*J$9/12,0)</f>
        <v>0</v>
      </c>
      <c r="K36" s="134">
        <f>CHOOSE(K$5,J36*(1+CHOOSE(DASHBOARD!$K$138,DASHBOARD!$P$138,FORECASTS!K37)),J36*(1+CHOOSE(DASHBOARD!$K$138,DASHBOARD!$P$138,FORECASTS!K37))*K$9/12,0)</f>
        <v>0</v>
      </c>
      <c r="L36" s="134">
        <f>CHOOSE(L$5,K36*(1+CHOOSE(DASHBOARD!$K$138,DASHBOARD!$P$138,FORECASTS!L37)),K36*(1+CHOOSE(DASHBOARD!$K$138,DASHBOARD!$P$138,FORECASTS!L37))*L$9/12,0)</f>
        <v>0</v>
      </c>
      <c r="M36" s="134">
        <f>CHOOSE(M$5,L36*(1+CHOOSE(DASHBOARD!$K$138,DASHBOARD!$P$138,FORECASTS!M37)),L36*(1+CHOOSE(DASHBOARD!$K$138,DASHBOARD!$P$138,FORECASTS!M37))*M$9/12,0)</f>
        <v>0</v>
      </c>
      <c r="N36" s="134">
        <f>CHOOSE(N$5,M36*(1+CHOOSE(DASHBOARD!$K$138,DASHBOARD!$P$138,FORECASTS!N37)),M36*(1+CHOOSE(DASHBOARD!$K$138,DASHBOARD!$P$138,FORECASTS!N37))*N$9/12,0)</f>
        <v>0</v>
      </c>
      <c r="O36" s="134">
        <f>CHOOSE(O$5,N36*(1+CHOOSE(DASHBOARD!$K$138,DASHBOARD!$P$138,FORECASTS!O37)),N36*(1+CHOOSE(DASHBOARD!$K$138,DASHBOARD!$P$138,FORECASTS!O37))*O$9/12,0)</f>
        <v>0</v>
      </c>
      <c r="P36" s="134">
        <f>CHOOSE(P$5,O36*(1+CHOOSE(DASHBOARD!$K$138,DASHBOARD!$P$138,FORECASTS!P37)),O36*(1+CHOOSE(DASHBOARD!$K$138,DASHBOARD!$P$138,FORECASTS!P37))*P$9/12,0)</f>
        <v>0</v>
      </c>
      <c r="Q36" s="134">
        <f>CHOOSE(Q$5,P36*(1+CHOOSE(DASHBOARD!$K$138,DASHBOARD!$P$138,FORECASTS!Q37)),P36*(1+CHOOSE(DASHBOARD!$K$138,DASHBOARD!$P$138,FORECASTS!Q37))*Q$9/12,0)</f>
        <v>0</v>
      </c>
      <c r="R36" s="134">
        <f>CHOOSE(R$5,Q36*(1+CHOOSE(DASHBOARD!$K$138,DASHBOARD!$P$138,FORECASTS!R37)),Q36*(1+CHOOSE(DASHBOARD!$K$138,DASHBOARD!$P$138,FORECASTS!R37))*R$9/12,0)</f>
        <v>0</v>
      </c>
      <c r="S36" s="134">
        <f>CHOOSE(S$5,R36*(1+CHOOSE(DASHBOARD!$K$138,DASHBOARD!$P$138,FORECASTS!S37)),R36*(1+CHOOSE(DASHBOARD!$K$138,DASHBOARD!$P$138,FORECASTS!S37))*S$9/12,0)</f>
        <v>0</v>
      </c>
      <c r="T36" s="134">
        <f>CHOOSE(T$5,S36*(1+CHOOSE(DASHBOARD!$K$138,DASHBOARD!$P$138,FORECASTS!T37)),S36*(1+CHOOSE(DASHBOARD!$K$138,DASHBOARD!$P$138,FORECASTS!T37))*T$9/12,0)</f>
        <v>0</v>
      </c>
      <c r="U36" s="134">
        <f>CHOOSE(U$5,T36*(1+CHOOSE(DASHBOARD!$K$138,DASHBOARD!$P$138,FORECASTS!U37)),T36*(1+CHOOSE(DASHBOARD!$K$138,DASHBOARD!$P$138,FORECASTS!U37))*U$9/12,0)</f>
        <v>0</v>
      </c>
      <c r="V36" s="134">
        <f>CHOOSE(V$5,U36*(1+CHOOSE(DASHBOARD!$K$138,DASHBOARD!$P$138,FORECASTS!V37)),U36*(1+CHOOSE(DASHBOARD!$K$138,DASHBOARD!$P$138,FORECASTS!V37))*V$9/12,0)</f>
        <v>0</v>
      </c>
      <c r="W36" s="134">
        <f>CHOOSE(W$5,V36*(1+CHOOSE(DASHBOARD!$K$138,DASHBOARD!$P$138,FORECASTS!W37)),V36*(1+CHOOSE(DASHBOARD!$K$138,DASHBOARD!$P$138,FORECASTS!W37))*W$9/12,0)</f>
        <v>0</v>
      </c>
      <c r="X36" s="134">
        <f>CHOOSE(X$5,W36*(1+CHOOSE(DASHBOARD!$K$138,DASHBOARD!$P$138,FORECASTS!X37)),W36*(1+CHOOSE(DASHBOARD!$K$138,DASHBOARD!$P$138,FORECASTS!X37))*X$9/12,0)</f>
        <v>0</v>
      </c>
      <c r="Y36" s="134">
        <f>CHOOSE(Y$5,X36*(1+CHOOSE(DASHBOARD!$K$138,DASHBOARD!$P$138,FORECASTS!Y37)),X36*(1+CHOOSE(DASHBOARD!$K$138,DASHBOARD!$P$138,FORECASTS!Y37))*Y$9/12,0)</f>
        <v>0</v>
      </c>
      <c r="Z36" s="134">
        <f>CHOOSE(Z$5,Y36*(1+CHOOSE(DASHBOARD!$K$138,DASHBOARD!$P$138,FORECASTS!Z37)),Y36*(1+CHOOSE(DASHBOARD!$K$138,DASHBOARD!$P$138,FORECASTS!Z37))*Z$9/12,0)</f>
        <v>0</v>
      </c>
      <c r="AA36" s="134">
        <f>CHOOSE(AA$5,Z36*(1+CHOOSE(DASHBOARD!$K$138,DASHBOARD!$P$138,FORECASTS!AA37)),Z36*(1+CHOOSE(DASHBOARD!$K$138,DASHBOARD!$P$138,FORECASTS!AA37))*AA$9/12,0)</f>
        <v>0</v>
      </c>
      <c r="AB36" s="134">
        <f>CHOOSE(AB$5,AA36*(1+CHOOSE(DASHBOARD!$K$138,DASHBOARD!$P$138,FORECASTS!AB37)),AA36*(1+CHOOSE(DASHBOARD!$K$138,DASHBOARD!$P$138,FORECASTS!AB37))*AB$9/12,0)</f>
        <v>0</v>
      </c>
      <c r="AC36" s="134">
        <f>CHOOSE(AC$5,AB36*(1+CHOOSE(DASHBOARD!$K$138,DASHBOARD!$P$138,FORECASTS!AC37)),AB36*(1+CHOOSE(DASHBOARD!$K$138,DASHBOARD!$P$138,FORECASTS!AC37))*AC$9/12,0)</f>
        <v>0</v>
      </c>
      <c r="AD36" s="134">
        <f>CHOOSE(AD$5,AC36*(1+CHOOSE(DASHBOARD!$K$138,DASHBOARD!$P$138,FORECASTS!AD37)),AC36*(1+CHOOSE(DASHBOARD!$K$138,DASHBOARD!$P$138,FORECASTS!AD37))*AD$9/12,0)</f>
        <v>0</v>
      </c>
      <c r="AE36" s="134">
        <f>CHOOSE(AE$5,AD36*(1+CHOOSE(DASHBOARD!$K$138,DASHBOARD!$P$138,FORECASTS!AE37)),AD36*(1+CHOOSE(DASHBOARD!$K$138,DASHBOARD!$P$138,FORECASTS!AE37))*AE$9/12,0)</f>
        <v>0</v>
      </c>
      <c r="AF36" s="134">
        <f>CHOOSE(AF$5,AE36*(1+CHOOSE(DASHBOARD!$K$138,DASHBOARD!$P$138,FORECASTS!AF37)),AE36*(1+CHOOSE(DASHBOARD!$K$138,DASHBOARD!$P$138,FORECASTS!AF37))*AF$9/12,0)</f>
        <v>0</v>
      </c>
      <c r="AG36" s="134">
        <f>CHOOSE(AG$5,AF36*(1+CHOOSE(DASHBOARD!$K$138,DASHBOARD!$P$138,FORECASTS!AG37)),AF36*(1+CHOOSE(DASHBOARD!$K$138,DASHBOARD!$P$138,FORECASTS!AG37))*AG$9/12,0)</f>
        <v>0</v>
      </c>
      <c r="AH36" s="134">
        <f>CHOOSE(AH$5,AG36*(1+CHOOSE(DASHBOARD!$K$138,DASHBOARD!$P$138,FORECASTS!AH37)),AG36*(1+CHOOSE(DASHBOARD!$K$138,DASHBOARD!$P$138,FORECASTS!AH37))*AH$9/12,0)</f>
        <v>0</v>
      </c>
      <c r="AI36" s="708">
        <f>CHOOSE(AI$5,AH36*(1+CHOOSE(DASHBOARD!$K$138,DASHBOARD!$P$138,FORECASTS!AI37)),AH36*(1+CHOOSE(DASHBOARD!$K$138,DASHBOARD!$P$138,FORECASTS!AI37))*AI$9/12,0)</f>
        <v>0</v>
      </c>
      <c r="AJ36" s="1605">
        <v>1</v>
      </c>
    </row>
    <row r="37" spans="2:36" s="289" customFormat="1" hidden="1" outlineLevel="1" x14ac:dyDescent="0.3">
      <c r="B37" s="776" t="s">
        <v>526</v>
      </c>
      <c r="C37" s="966"/>
      <c r="D37" s="127"/>
      <c r="E37" s="14"/>
      <c r="F37" s="1095">
        <f>DASHBOARD!$P$138</f>
        <v>0.06</v>
      </c>
      <c r="G37" s="1095">
        <f t="shared" ref="G37:AI37" si="19">F37</f>
        <v>0.06</v>
      </c>
      <c r="H37" s="1095">
        <f t="shared" si="19"/>
        <v>0.06</v>
      </c>
      <c r="I37" s="1095">
        <f t="shared" si="19"/>
        <v>0.06</v>
      </c>
      <c r="J37" s="1095">
        <f t="shared" si="19"/>
        <v>0.06</v>
      </c>
      <c r="K37" s="1095">
        <f t="shared" si="19"/>
        <v>0.06</v>
      </c>
      <c r="L37" s="1095">
        <f t="shared" si="19"/>
        <v>0.06</v>
      </c>
      <c r="M37" s="1095">
        <f t="shared" si="19"/>
        <v>0.06</v>
      </c>
      <c r="N37" s="1095">
        <f t="shared" si="19"/>
        <v>0.06</v>
      </c>
      <c r="O37" s="1095">
        <f t="shared" si="19"/>
        <v>0.06</v>
      </c>
      <c r="P37" s="1095">
        <f t="shared" si="19"/>
        <v>0.06</v>
      </c>
      <c r="Q37" s="1095">
        <f t="shared" si="19"/>
        <v>0.06</v>
      </c>
      <c r="R37" s="1095">
        <f t="shared" si="19"/>
        <v>0.06</v>
      </c>
      <c r="S37" s="1095">
        <f t="shared" si="19"/>
        <v>0.06</v>
      </c>
      <c r="T37" s="1095">
        <f t="shared" si="19"/>
        <v>0.06</v>
      </c>
      <c r="U37" s="1095">
        <f t="shared" si="19"/>
        <v>0.06</v>
      </c>
      <c r="V37" s="1095">
        <f t="shared" si="19"/>
        <v>0.06</v>
      </c>
      <c r="W37" s="1095">
        <f t="shared" si="19"/>
        <v>0.06</v>
      </c>
      <c r="X37" s="1095">
        <f t="shared" si="19"/>
        <v>0.06</v>
      </c>
      <c r="Y37" s="1095">
        <f t="shared" si="19"/>
        <v>0.06</v>
      </c>
      <c r="Z37" s="1095">
        <f t="shared" si="19"/>
        <v>0.06</v>
      </c>
      <c r="AA37" s="1095">
        <f t="shared" si="19"/>
        <v>0.06</v>
      </c>
      <c r="AB37" s="1095">
        <f t="shared" si="19"/>
        <v>0.06</v>
      </c>
      <c r="AC37" s="1095">
        <f t="shared" si="19"/>
        <v>0.06</v>
      </c>
      <c r="AD37" s="1095">
        <f t="shared" si="19"/>
        <v>0.06</v>
      </c>
      <c r="AE37" s="1095">
        <f t="shared" si="19"/>
        <v>0.06</v>
      </c>
      <c r="AF37" s="1095">
        <f t="shared" si="19"/>
        <v>0.06</v>
      </c>
      <c r="AG37" s="1095">
        <f t="shared" si="19"/>
        <v>0.06</v>
      </c>
      <c r="AH37" s="1095">
        <f t="shared" si="19"/>
        <v>0.06</v>
      </c>
      <c r="AI37" s="1096">
        <f t="shared" si="19"/>
        <v>0.06</v>
      </c>
      <c r="AJ37" s="1605">
        <f>IF(AND(DASHBOARD!$K$138=2,DASHBOARD!$BC$134=1),1,0)</f>
        <v>0</v>
      </c>
    </row>
    <row r="38" spans="2:36" s="289" customFormat="1" outlineLevel="1" x14ac:dyDescent="0.3">
      <c r="B38" s="706" t="str">
        <f>DASHBOARD!W123</f>
        <v>Internet</v>
      </c>
      <c r="C38" s="309">
        <f>IFERROR(SUM(E38:AI38),0)</f>
        <v>0</v>
      </c>
      <c r="D38" s="127"/>
      <c r="E38" s="134">
        <f>IF(OR(E5=3,thumb&lt;&gt;0),0,HIDE5!Q59)</f>
        <v>0</v>
      </c>
      <c r="F38" s="134">
        <f>IF(thumb&lt;&gt;0,0,CHOOSE(F$5,DASHBOARD!BH203*(1+CHOOSE(DASHBOARD!$K$138,DASHBOARD!$P$138,FORECASTS!F39)),DASHBOARD!BH203*(1+CHOOSE(DASHBOARD!$K$138,DASHBOARD!$P$138,FORECASTS!F39))*$F$9/12,0))</f>
        <v>0</v>
      </c>
      <c r="G38" s="134">
        <f>CHOOSE(G$5,F38*(1+CHOOSE(DASHBOARD!$K$138,DASHBOARD!$P$138,FORECASTS!G39)),F38*(1+CHOOSE(DASHBOARD!$K$138,DASHBOARD!$P$138,FORECASTS!G39))*G$9/12,0)</f>
        <v>0</v>
      </c>
      <c r="H38" s="134">
        <f>CHOOSE(H$5,G38*(1+CHOOSE(DASHBOARD!$K$138,DASHBOARD!$P$138,FORECASTS!H39)),G38*(1+CHOOSE(DASHBOARD!$K$138,DASHBOARD!$P$138,FORECASTS!H39))*H$9/12,0)</f>
        <v>0</v>
      </c>
      <c r="I38" s="134">
        <f>CHOOSE(I$5,H38*(1+CHOOSE(DASHBOARD!$K$138,DASHBOARD!$P$138,FORECASTS!I39)),H38*(1+CHOOSE(DASHBOARD!$K$138,DASHBOARD!$P$138,FORECASTS!I39))*I$9/12,0)</f>
        <v>0</v>
      </c>
      <c r="J38" s="134">
        <f>CHOOSE(J$5,I38*(1+CHOOSE(DASHBOARD!$K$138,DASHBOARD!$P$138,FORECASTS!J39)),I38*(1+CHOOSE(DASHBOARD!$K$138,DASHBOARD!$P$138,FORECASTS!J39))*J$9/12,0)</f>
        <v>0</v>
      </c>
      <c r="K38" s="134">
        <f>CHOOSE(K$5,J38*(1+CHOOSE(DASHBOARD!$K$138,DASHBOARD!$P$138,FORECASTS!K39)),J38*(1+CHOOSE(DASHBOARD!$K$138,DASHBOARD!$P$138,FORECASTS!K39))*K$9/12,0)</f>
        <v>0</v>
      </c>
      <c r="L38" s="134">
        <f>CHOOSE(L$5,K38*(1+CHOOSE(DASHBOARD!$K$138,DASHBOARD!$P$138,FORECASTS!L39)),K38*(1+CHOOSE(DASHBOARD!$K$138,DASHBOARD!$P$138,FORECASTS!L39))*L$9/12,0)</f>
        <v>0</v>
      </c>
      <c r="M38" s="134">
        <f>CHOOSE(M$5,L38*(1+CHOOSE(DASHBOARD!$K$138,DASHBOARD!$P$138,FORECASTS!M39)),L38*(1+CHOOSE(DASHBOARD!$K$138,DASHBOARD!$P$138,FORECASTS!M39))*M$9/12,0)</f>
        <v>0</v>
      </c>
      <c r="N38" s="134">
        <f>CHOOSE(N$5,M38*(1+CHOOSE(DASHBOARD!$K$138,DASHBOARD!$P$138,FORECASTS!N39)),M38*(1+CHOOSE(DASHBOARD!$K$138,DASHBOARD!$P$138,FORECASTS!N39))*N$9/12,0)</f>
        <v>0</v>
      </c>
      <c r="O38" s="134">
        <f>CHOOSE(O$5,N38*(1+CHOOSE(DASHBOARD!$K$138,DASHBOARD!$P$138,FORECASTS!O39)),N38*(1+CHOOSE(DASHBOARD!$K$138,DASHBOARD!$P$138,FORECASTS!O39))*O$9/12,0)</f>
        <v>0</v>
      </c>
      <c r="P38" s="134">
        <f>CHOOSE(P$5,O38*(1+CHOOSE(DASHBOARD!$K$138,DASHBOARD!$P$138,FORECASTS!P39)),O38*(1+CHOOSE(DASHBOARD!$K$138,DASHBOARD!$P$138,FORECASTS!P39))*P$9/12,0)</f>
        <v>0</v>
      </c>
      <c r="Q38" s="134">
        <f>CHOOSE(Q$5,P38*(1+CHOOSE(DASHBOARD!$K$138,DASHBOARD!$P$138,FORECASTS!Q39)),P38*(1+CHOOSE(DASHBOARD!$K$138,DASHBOARD!$P$138,FORECASTS!Q39))*Q$9/12,0)</f>
        <v>0</v>
      </c>
      <c r="R38" s="134">
        <f>CHOOSE(R$5,Q38*(1+CHOOSE(DASHBOARD!$K$138,DASHBOARD!$P$138,FORECASTS!R39)),Q38*(1+CHOOSE(DASHBOARD!$K$138,DASHBOARD!$P$138,FORECASTS!R39))*R$9/12,0)</f>
        <v>0</v>
      </c>
      <c r="S38" s="134">
        <f>CHOOSE(S$5,R38*(1+CHOOSE(DASHBOARD!$K$138,DASHBOARD!$P$138,FORECASTS!S39)),R38*(1+CHOOSE(DASHBOARD!$K$138,DASHBOARD!$P$138,FORECASTS!S39))*S$9/12,0)</f>
        <v>0</v>
      </c>
      <c r="T38" s="134">
        <f>CHOOSE(T$5,S38*(1+CHOOSE(DASHBOARD!$K$138,DASHBOARD!$P$138,FORECASTS!T39)),S38*(1+CHOOSE(DASHBOARD!$K$138,DASHBOARD!$P$138,FORECASTS!T39))*T$9/12,0)</f>
        <v>0</v>
      </c>
      <c r="U38" s="134">
        <f>CHOOSE(U$5,T38*(1+CHOOSE(DASHBOARD!$K$138,DASHBOARD!$P$138,FORECASTS!U39)),T38*(1+CHOOSE(DASHBOARD!$K$138,DASHBOARD!$P$138,FORECASTS!U39))*U$9/12,0)</f>
        <v>0</v>
      </c>
      <c r="V38" s="134">
        <f>CHOOSE(V$5,U38*(1+CHOOSE(DASHBOARD!$K$138,DASHBOARD!$P$138,FORECASTS!V39)),U38*(1+CHOOSE(DASHBOARD!$K$138,DASHBOARD!$P$138,FORECASTS!V39))*V$9/12,0)</f>
        <v>0</v>
      </c>
      <c r="W38" s="134">
        <f>CHOOSE(W$5,V38*(1+CHOOSE(DASHBOARD!$K$138,DASHBOARD!$P$138,FORECASTS!W39)),V38*(1+CHOOSE(DASHBOARD!$K$138,DASHBOARD!$P$138,FORECASTS!W39))*W$9/12,0)</f>
        <v>0</v>
      </c>
      <c r="X38" s="134">
        <f>CHOOSE(X$5,W38*(1+CHOOSE(DASHBOARD!$K$138,DASHBOARD!$P$138,FORECASTS!X39)),W38*(1+CHOOSE(DASHBOARD!$K$138,DASHBOARD!$P$138,FORECASTS!X39))*X$9/12,0)</f>
        <v>0</v>
      </c>
      <c r="Y38" s="134">
        <f>CHOOSE(Y$5,X38*(1+CHOOSE(DASHBOARD!$K$138,DASHBOARD!$P$138,FORECASTS!Y39)),X38*(1+CHOOSE(DASHBOARD!$K$138,DASHBOARD!$P$138,FORECASTS!Y39))*Y$9/12,0)</f>
        <v>0</v>
      </c>
      <c r="Z38" s="134">
        <f>CHOOSE(Z$5,Y38*(1+CHOOSE(DASHBOARD!$K$138,DASHBOARD!$P$138,FORECASTS!Z39)),Y38*(1+CHOOSE(DASHBOARD!$K$138,DASHBOARD!$P$138,FORECASTS!Z39))*Z$9/12,0)</f>
        <v>0</v>
      </c>
      <c r="AA38" s="134">
        <f>CHOOSE(AA$5,Z38*(1+CHOOSE(DASHBOARD!$K$138,DASHBOARD!$P$138,FORECASTS!AA39)),Z38*(1+CHOOSE(DASHBOARD!$K$138,DASHBOARD!$P$138,FORECASTS!AA39))*AA$9/12,0)</f>
        <v>0</v>
      </c>
      <c r="AB38" s="134">
        <f>CHOOSE(AB$5,AA38*(1+CHOOSE(DASHBOARD!$K$138,DASHBOARD!$P$138,FORECASTS!AB39)),AA38*(1+CHOOSE(DASHBOARD!$K$138,DASHBOARD!$P$138,FORECASTS!AB39))*AB$9/12,0)</f>
        <v>0</v>
      </c>
      <c r="AC38" s="134">
        <f>CHOOSE(AC$5,AB38*(1+CHOOSE(DASHBOARD!$K$138,DASHBOARD!$P$138,FORECASTS!AC39)),AB38*(1+CHOOSE(DASHBOARD!$K$138,DASHBOARD!$P$138,FORECASTS!AC39))*AC$9/12,0)</f>
        <v>0</v>
      </c>
      <c r="AD38" s="134">
        <f>CHOOSE(AD$5,AC38*(1+CHOOSE(DASHBOARD!$K$138,DASHBOARD!$P$138,FORECASTS!AD39)),AC38*(1+CHOOSE(DASHBOARD!$K$138,DASHBOARD!$P$138,FORECASTS!AD39))*AD$9/12,0)</f>
        <v>0</v>
      </c>
      <c r="AE38" s="134">
        <f>CHOOSE(AE$5,AD38*(1+CHOOSE(DASHBOARD!$K$138,DASHBOARD!$P$138,FORECASTS!AE39)),AD38*(1+CHOOSE(DASHBOARD!$K$138,DASHBOARD!$P$138,FORECASTS!AE39))*AE$9/12,0)</f>
        <v>0</v>
      </c>
      <c r="AF38" s="134">
        <f>CHOOSE(AF$5,AE38*(1+CHOOSE(DASHBOARD!$K$138,DASHBOARD!$P$138,FORECASTS!AF39)),AE38*(1+CHOOSE(DASHBOARD!$K$138,DASHBOARD!$P$138,FORECASTS!AF39))*AF$9/12,0)</f>
        <v>0</v>
      </c>
      <c r="AG38" s="134">
        <f>CHOOSE(AG$5,AF38*(1+CHOOSE(DASHBOARD!$K$138,DASHBOARD!$P$138,FORECASTS!AG39)),AF38*(1+CHOOSE(DASHBOARD!$K$138,DASHBOARD!$P$138,FORECASTS!AG39))*AG$9/12,0)</f>
        <v>0</v>
      </c>
      <c r="AH38" s="134">
        <f>CHOOSE(AH$5,AG38*(1+CHOOSE(DASHBOARD!$K$138,DASHBOARD!$P$138,FORECASTS!AH39)),AG38*(1+CHOOSE(DASHBOARD!$K$138,DASHBOARD!$P$138,FORECASTS!AH39))*AH$9/12,0)</f>
        <v>0</v>
      </c>
      <c r="AI38" s="708">
        <f>CHOOSE(AI$5,AH38*(1+CHOOSE(DASHBOARD!$K$138,DASHBOARD!$P$138,FORECASTS!AI39)),AH38*(1+CHOOSE(DASHBOARD!$K$138,DASHBOARD!$P$138,FORECASTS!AI39))*AI$9/12,0)</f>
        <v>0</v>
      </c>
      <c r="AJ38" s="1605">
        <v>1</v>
      </c>
    </row>
    <row r="39" spans="2:36" s="289" customFormat="1" hidden="1" outlineLevel="1" x14ac:dyDescent="0.3">
      <c r="B39" s="776" t="s">
        <v>526</v>
      </c>
      <c r="C39" s="966"/>
      <c r="D39" s="127"/>
      <c r="E39" s="14"/>
      <c r="F39" s="1095">
        <f>DASHBOARD!$P$138</f>
        <v>0.06</v>
      </c>
      <c r="G39" s="1095">
        <f t="shared" ref="G39:AI39" si="20">F39</f>
        <v>0.06</v>
      </c>
      <c r="H39" s="1095">
        <f t="shared" si="20"/>
        <v>0.06</v>
      </c>
      <c r="I39" s="1095">
        <f t="shared" si="20"/>
        <v>0.06</v>
      </c>
      <c r="J39" s="1095">
        <f t="shared" si="20"/>
        <v>0.06</v>
      </c>
      <c r="K39" s="1095">
        <f t="shared" si="20"/>
        <v>0.06</v>
      </c>
      <c r="L39" s="1095">
        <f t="shared" si="20"/>
        <v>0.06</v>
      </c>
      <c r="M39" s="1095">
        <f t="shared" si="20"/>
        <v>0.06</v>
      </c>
      <c r="N39" s="1095">
        <f t="shared" si="20"/>
        <v>0.06</v>
      </c>
      <c r="O39" s="1095">
        <f t="shared" si="20"/>
        <v>0.06</v>
      </c>
      <c r="P39" s="1095">
        <f t="shared" si="20"/>
        <v>0.06</v>
      </c>
      <c r="Q39" s="1095">
        <f t="shared" si="20"/>
        <v>0.06</v>
      </c>
      <c r="R39" s="1095">
        <f t="shared" si="20"/>
        <v>0.06</v>
      </c>
      <c r="S39" s="1095">
        <f t="shared" si="20"/>
        <v>0.06</v>
      </c>
      <c r="T39" s="1095">
        <f t="shared" si="20"/>
        <v>0.06</v>
      </c>
      <c r="U39" s="1095">
        <f t="shared" si="20"/>
        <v>0.06</v>
      </c>
      <c r="V39" s="1095">
        <f t="shared" si="20"/>
        <v>0.06</v>
      </c>
      <c r="W39" s="1095">
        <f t="shared" si="20"/>
        <v>0.06</v>
      </c>
      <c r="X39" s="1095">
        <f t="shared" si="20"/>
        <v>0.06</v>
      </c>
      <c r="Y39" s="1095">
        <f t="shared" si="20"/>
        <v>0.06</v>
      </c>
      <c r="Z39" s="1095">
        <f t="shared" si="20"/>
        <v>0.06</v>
      </c>
      <c r="AA39" s="1095">
        <f t="shared" si="20"/>
        <v>0.06</v>
      </c>
      <c r="AB39" s="1095">
        <f t="shared" si="20"/>
        <v>0.06</v>
      </c>
      <c r="AC39" s="1095">
        <f t="shared" si="20"/>
        <v>0.06</v>
      </c>
      <c r="AD39" s="1095">
        <f t="shared" si="20"/>
        <v>0.06</v>
      </c>
      <c r="AE39" s="1095">
        <f t="shared" si="20"/>
        <v>0.06</v>
      </c>
      <c r="AF39" s="1095">
        <f t="shared" si="20"/>
        <v>0.06</v>
      </c>
      <c r="AG39" s="1095">
        <f t="shared" si="20"/>
        <v>0.06</v>
      </c>
      <c r="AH39" s="1095">
        <f t="shared" si="20"/>
        <v>0.06</v>
      </c>
      <c r="AI39" s="1096">
        <f t="shared" si="20"/>
        <v>0.06</v>
      </c>
      <c r="AJ39" s="1605">
        <f>IF(AND(DASHBOARD!$K$138=2,DASHBOARD!$BC$134=1),1,0)</f>
        <v>0</v>
      </c>
    </row>
    <row r="40" spans="2:36" s="289" customFormat="1" outlineLevel="1" x14ac:dyDescent="0.3">
      <c r="B40" s="706" t="str">
        <f>DASHBOARD!W124</f>
        <v>Property Insurance + Tax</v>
      </c>
      <c r="C40" s="309">
        <f>IFERROR(SUM(E40:AI40),0)</f>
        <v>0</v>
      </c>
      <c r="D40" s="127"/>
      <c r="E40" s="134">
        <f>IF(OR(E5=3,thumb&lt;&gt;0),0,HIDE5!Q60)</f>
        <v>0</v>
      </c>
      <c r="F40" s="134">
        <f>IF(thumb&lt;&gt;0,0,CHOOSE(F$5,DASHBOARD!BH204*(1+CHOOSE(DASHBOARD!$K$138,DASHBOARD!$P$138,FORECASTS!F41)),DASHBOARD!BH204*(1+CHOOSE(DASHBOARD!$K$138,DASHBOARD!$P$138,FORECASTS!F41))*$F$9/12,0))</f>
        <v>0</v>
      </c>
      <c r="G40" s="134">
        <f>CHOOSE(G$5,F40*(1+CHOOSE(DASHBOARD!$K$138,DASHBOARD!$P$138,FORECASTS!G41)),F40*(1+CHOOSE(DASHBOARD!$K$138,DASHBOARD!$P$138,FORECASTS!G41))*G$9/12,0)</f>
        <v>0</v>
      </c>
      <c r="H40" s="134">
        <f>CHOOSE(H$5,G40*(1+CHOOSE(DASHBOARD!$K$138,DASHBOARD!$P$138,FORECASTS!H41)),G40*(1+CHOOSE(DASHBOARD!$K$138,DASHBOARD!$P$138,FORECASTS!H41))*H$9/12,0)</f>
        <v>0</v>
      </c>
      <c r="I40" s="134">
        <f>CHOOSE(I$5,H40*(1+CHOOSE(DASHBOARD!$K$138,DASHBOARD!$P$138,FORECASTS!I41)),H40*(1+CHOOSE(DASHBOARD!$K$138,DASHBOARD!$P$138,FORECASTS!I41))*I$9/12,0)</f>
        <v>0</v>
      </c>
      <c r="J40" s="134">
        <f>CHOOSE(J$5,I40*(1+CHOOSE(DASHBOARD!$K$138,DASHBOARD!$P$138,FORECASTS!J41)),I40*(1+CHOOSE(DASHBOARD!$K$138,DASHBOARD!$P$138,FORECASTS!J41))*J$9/12,0)</f>
        <v>0</v>
      </c>
      <c r="K40" s="134">
        <f>CHOOSE(K$5,J40*(1+CHOOSE(DASHBOARD!$K$138,DASHBOARD!$P$138,FORECASTS!K41)),J40*(1+CHOOSE(DASHBOARD!$K$138,DASHBOARD!$P$138,FORECASTS!K41))*K$9/12,0)</f>
        <v>0</v>
      </c>
      <c r="L40" s="134">
        <f>CHOOSE(L$5,K40*(1+CHOOSE(DASHBOARD!$K$138,DASHBOARD!$P$138,FORECASTS!L41)),K40*(1+CHOOSE(DASHBOARD!$K$138,DASHBOARD!$P$138,FORECASTS!L41))*L$9/12,0)</f>
        <v>0</v>
      </c>
      <c r="M40" s="134">
        <f>CHOOSE(M$5,L40*(1+CHOOSE(DASHBOARD!$K$138,DASHBOARD!$P$138,FORECASTS!M41)),L40*(1+CHOOSE(DASHBOARD!$K$138,DASHBOARD!$P$138,FORECASTS!M41))*M$9/12,0)</f>
        <v>0</v>
      </c>
      <c r="N40" s="134">
        <f>CHOOSE(N$5,M40*(1+CHOOSE(DASHBOARD!$K$138,DASHBOARD!$P$138,FORECASTS!N41)),M40*(1+CHOOSE(DASHBOARD!$K$138,DASHBOARD!$P$138,FORECASTS!N41))*N$9/12,0)</f>
        <v>0</v>
      </c>
      <c r="O40" s="134">
        <f>CHOOSE(O$5,N40*(1+CHOOSE(DASHBOARD!$K$138,DASHBOARD!$P$138,FORECASTS!O41)),N40*(1+CHOOSE(DASHBOARD!$K$138,DASHBOARD!$P$138,FORECASTS!O41))*O$9/12,0)</f>
        <v>0</v>
      </c>
      <c r="P40" s="134">
        <f>CHOOSE(P$5,O40*(1+CHOOSE(DASHBOARD!$K$138,DASHBOARD!$P$138,FORECASTS!P41)),O40*(1+CHOOSE(DASHBOARD!$K$138,DASHBOARD!$P$138,FORECASTS!P41))*P$9/12,0)</f>
        <v>0</v>
      </c>
      <c r="Q40" s="134">
        <f>CHOOSE(Q$5,P40*(1+CHOOSE(DASHBOARD!$K$138,DASHBOARD!$P$138,FORECASTS!Q41)),P40*(1+CHOOSE(DASHBOARD!$K$138,DASHBOARD!$P$138,FORECASTS!Q41))*Q$9/12,0)</f>
        <v>0</v>
      </c>
      <c r="R40" s="134">
        <f>CHOOSE(R$5,Q40*(1+CHOOSE(DASHBOARD!$K$138,DASHBOARD!$P$138,FORECASTS!R41)),Q40*(1+CHOOSE(DASHBOARD!$K$138,DASHBOARD!$P$138,FORECASTS!R41))*R$9/12,0)</f>
        <v>0</v>
      </c>
      <c r="S40" s="134">
        <f>CHOOSE(S$5,R40*(1+CHOOSE(DASHBOARD!$K$138,DASHBOARD!$P$138,FORECASTS!S41)),R40*(1+CHOOSE(DASHBOARD!$K$138,DASHBOARD!$P$138,FORECASTS!S41))*S$9/12,0)</f>
        <v>0</v>
      </c>
      <c r="T40" s="134">
        <f>CHOOSE(T$5,S40*(1+CHOOSE(DASHBOARD!$K$138,DASHBOARD!$P$138,FORECASTS!T41)),S40*(1+CHOOSE(DASHBOARD!$K$138,DASHBOARD!$P$138,FORECASTS!T41))*T$9/12,0)</f>
        <v>0</v>
      </c>
      <c r="U40" s="134">
        <f>CHOOSE(U$5,T40*(1+CHOOSE(DASHBOARD!$K$138,DASHBOARD!$P$138,FORECASTS!U41)),T40*(1+CHOOSE(DASHBOARD!$K$138,DASHBOARD!$P$138,FORECASTS!U41))*U$9/12,0)</f>
        <v>0</v>
      </c>
      <c r="V40" s="134">
        <f>CHOOSE(V$5,U40*(1+CHOOSE(DASHBOARD!$K$138,DASHBOARD!$P$138,FORECASTS!V41)),U40*(1+CHOOSE(DASHBOARD!$K$138,DASHBOARD!$P$138,FORECASTS!V41))*V$9/12,0)</f>
        <v>0</v>
      </c>
      <c r="W40" s="134">
        <f>CHOOSE(W$5,V40*(1+CHOOSE(DASHBOARD!$K$138,DASHBOARD!$P$138,FORECASTS!W41)),V40*(1+CHOOSE(DASHBOARD!$K$138,DASHBOARD!$P$138,FORECASTS!W41))*W$9/12,0)</f>
        <v>0</v>
      </c>
      <c r="X40" s="134">
        <f>CHOOSE(X$5,W40*(1+CHOOSE(DASHBOARD!$K$138,DASHBOARD!$P$138,FORECASTS!X41)),W40*(1+CHOOSE(DASHBOARD!$K$138,DASHBOARD!$P$138,FORECASTS!X41))*X$9/12,0)</f>
        <v>0</v>
      </c>
      <c r="Y40" s="134">
        <f>CHOOSE(Y$5,X40*(1+CHOOSE(DASHBOARD!$K$138,DASHBOARD!$P$138,FORECASTS!Y41)),X40*(1+CHOOSE(DASHBOARD!$K$138,DASHBOARD!$P$138,FORECASTS!Y41))*Y$9/12,0)</f>
        <v>0</v>
      </c>
      <c r="Z40" s="134">
        <f>CHOOSE(Z$5,Y40*(1+CHOOSE(DASHBOARD!$K$138,DASHBOARD!$P$138,FORECASTS!Z41)),Y40*(1+CHOOSE(DASHBOARD!$K$138,DASHBOARD!$P$138,FORECASTS!Z41))*Z$9/12,0)</f>
        <v>0</v>
      </c>
      <c r="AA40" s="134">
        <f>CHOOSE(AA$5,Z40*(1+CHOOSE(DASHBOARD!$K$138,DASHBOARD!$P$138,FORECASTS!AA41)),Z40*(1+CHOOSE(DASHBOARD!$K$138,DASHBOARD!$P$138,FORECASTS!AA41))*AA$9/12,0)</f>
        <v>0</v>
      </c>
      <c r="AB40" s="134">
        <f>CHOOSE(AB$5,AA40*(1+CHOOSE(DASHBOARD!$K$138,DASHBOARD!$P$138,FORECASTS!AB41)),AA40*(1+CHOOSE(DASHBOARD!$K$138,DASHBOARD!$P$138,FORECASTS!AB41))*AB$9/12,0)</f>
        <v>0</v>
      </c>
      <c r="AC40" s="134">
        <f>CHOOSE(AC$5,AB40*(1+CHOOSE(DASHBOARD!$K$138,DASHBOARD!$P$138,FORECASTS!AC41)),AB40*(1+CHOOSE(DASHBOARD!$K$138,DASHBOARD!$P$138,FORECASTS!AC41))*AC$9/12,0)</f>
        <v>0</v>
      </c>
      <c r="AD40" s="134">
        <f>CHOOSE(AD$5,AC40*(1+CHOOSE(DASHBOARD!$K$138,DASHBOARD!$P$138,FORECASTS!AD41)),AC40*(1+CHOOSE(DASHBOARD!$K$138,DASHBOARD!$P$138,FORECASTS!AD41))*AD$9/12,0)</f>
        <v>0</v>
      </c>
      <c r="AE40" s="134">
        <f>CHOOSE(AE$5,AD40*(1+CHOOSE(DASHBOARD!$K$138,DASHBOARD!$P$138,FORECASTS!AE41)),AD40*(1+CHOOSE(DASHBOARD!$K$138,DASHBOARD!$P$138,FORECASTS!AE41))*AE$9/12,0)</f>
        <v>0</v>
      </c>
      <c r="AF40" s="134">
        <f>CHOOSE(AF$5,AE40*(1+CHOOSE(DASHBOARD!$K$138,DASHBOARD!$P$138,FORECASTS!AF41)),AE40*(1+CHOOSE(DASHBOARD!$K$138,DASHBOARD!$P$138,FORECASTS!AF41))*AF$9/12,0)</f>
        <v>0</v>
      </c>
      <c r="AG40" s="134">
        <f>CHOOSE(AG$5,AF40*(1+CHOOSE(DASHBOARD!$K$138,DASHBOARD!$P$138,FORECASTS!AG41)),AF40*(1+CHOOSE(DASHBOARD!$K$138,DASHBOARD!$P$138,FORECASTS!AG41))*AG$9/12,0)</f>
        <v>0</v>
      </c>
      <c r="AH40" s="134">
        <f>CHOOSE(AH$5,AG40*(1+CHOOSE(DASHBOARD!$K$138,DASHBOARD!$P$138,FORECASTS!AH41)),AG40*(1+CHOOSE(DASHBOARD!$K$138,DASHBOARD!$P$138,FORECASTS!AH41))*AH$9/12,0)</f>
        <v>0</v>
      </c>
      <c r="AI40" s="708">
        <f>CHOOSE(AI$5,AH40*(1+CHOOSE(DASHBOARD!$K$138,DASHBOARD!$P$138,FORECASTS!AI41)),AH40*(1+CHOOSE(DASHBOARD!$K$138,DASHBOARD!$P$138,FORECASTS!AI41))*AI$9/12,0)</f>
        <v>0</v>
      </c>
      <c r="AJ40" s="1605">
        <v>1</v>
      </c>
    </row>
    <row r="41" spans="2:36" s="289" customFormat="1" hidden="1" outlineLevel="1" x14ac:dyDescent="0.3">
      <c r="B41" s="776" t="s">
        <v>526</v>
      </c>
      <c r="C41" s="966"/>
      <c r="D41" s="127"/>
      <c r="E41" s="14"/>
      <c r="F41" s="1095">
        <f>DASHBOARD!$P$138</f>
        <v>0.06</v>
      </c>
      <c r="G41" s="1095">
        <f t="shared" ref="G41:AI41" si="21">F41</f>
        <v>0.06</v>
      </c>
      <c r="H41" s="1095">
        <f t="shared" si="21"/>
        <v>0.06</v>
      </c>
      <c r="I41" s="1095">
        <f t="shared" si="21"/>
        <v>0.06</v>
      </c>
      <c r="J41" s="1095">
        <f t="shared" si="21"/>
        <v>0.06</v>
      </c>
      <c r="K41" s="1095">
        <f t="shared" si="21"/>
        <v>0.06</v>
      </c>
      <c r="L41" s="1095">
        <f t="shared" si="21"/>
        <v>0.06</v>
      </c>
      <c r="M41" s="1095">
        <f t="shared" si="21"/>
        <v>0.06</v>
      </c>
      <c r="N41" s="1095">
        <f t="shared" si="21"/>
        <v>0.06</v>
      </c>
      <c r="O41" s="1095">
        <f t="shared" si="21"/>
        <v>0.06</v>
      </c>
      <c r="P41" s="1095">
        <f t="shared" si="21"/>
        <v>0.06</v>
      </c>
      <c r="Q41" s="1095">
        <f t="shared" si="21"/>
        <v>0.06</v>
      </c>
      <c r="R41" s="1095">
        <f t="shared" si="21"/>
        <v>0.06</v>
      </c>
      <c r="S41" s="1095">
        <f t="shared" si="21"/>
        <v>0.06</v>
      </c>
      <c r="T41" s="1095">
        <f t="shared" si="21"/>
        <v>0.06</v>
      </c>
      <c r="U41" s="1095">
        <f t="shared" si="21"/>
        <v>0.06</v>
      </c>
      <c r="V41" s="1095">
        <f t="shared" si="21"/>
        <v>0.06</v>
      </c>
      <c r="W41" s="1095">
        <f t="shared" si="21"/>
        <v>0.06</v>
      </c>
      <c r="X41" s="1095">
        <f t="shared" si="21"/>
        <v>0.06</v>
      </c>
      <c r="Y41" s="1095">
        <f t="shared" si="21"/>
        <v>0.06</v>
      </c>
      <c r="Z41" s="1095">
        <f t="shared" si="21"/>
        <v>0.06</v>
      </c>
      <c r="AA41" s="1095">
        <f t="shared" si="21"/>
        <v>0.06</v>
      </c>
      <c r="AB41" s="1095">
        <f t="shared" si="21"/>
        <v>0.06</v>
      </c>
      <c r="AC41" s="1095">
        <f t="shared" si="21"/>
        <v>0.06</v>
      </c>
      <c r="AD41" s="1095">
        <f t="shared" si="21"/>
        <v>0.06</v>
      </c>
      <c r="AE41" s="1095">
        <f t="shared" si="21"/>
        <v>0.06</v>
      </c>
      <c r="AF41" s="1095">
        <f t="shared" si="21"/>
        <v>0.06</v>
      </c>
      <c r="AG41" s="1095">
        <f t="shared" si="21"/>
        <v>0.06</v>
      </c>
      <c r="AH41" s="1095">
        <f t="shared" si="21"/>
        <v>0.06</v>
      </c>
      <c r="AI41" s="1096">
        <f t="shared" si="21"/>
        <v>0.06</v>
      </c>
      <c r="AJ41" s="1605">
        <f>IF(AND(DASHBOARD!$K$138=2,DASHBOARD!$BC$134=1),1,0)</f>
        <v>0</v>
      </c>
    </row>
    <row r="42" spans="2:36" s="289" customFormat="1" outlineLevel="1" x14ac:dyDescent="0.3">
      <c r="B42" s="706" t="str">
        <f>DASHBOARD!W125</f>
        <v>Irrigation</v>
      </c>
      <c r="C42" s="309">
        <f>IFERROR(SUM(E42:AI42),0)</f>
        <v>0</v>
      </c>
      <c r="D42" s="127"/>
      <c r="E42" s="134">
        <f>IF(OR(E5=3,thumb&lt;&gt;0),0,HIDE5!Q61)</f>
        <v>0</v>
      </c>
      <c r="F42" s="134">
        <f>IF(thumb&lt;&gt;0,0,CHOOSE(F$5,DASHBOARD!BH205*(1+CHOOSE(DASHBOARD!$K$138,DASHBOARD!$P$138,FORECASTS!F43)),DASHBOARD!BH205*(1+CHOOSE(DASHBOARD!$K$138,DASHBOARD!$P$138,FORECASTS!F43))*$F$9/12,0))</f>
        <v>0</v>
      </c>
      <c r="G42" s="134">
        <f>CHOOSE(G$5,F42*(1+CHOOSE(DASHBOARD!$K$138,DASHBOARD!$P$138,FORECASTS!G43)),F42*(1+CHOOSE(DASHBOARD!$K$138,DASHBOARD!$P$138,FORECASTS!G43))*G$9/12,0)</f>
        <v>0</v>
      </c>
      <c r="H42" s="134">
        <f>CHOOSE(H$5,G42*(1+CHOOSE(DASHBOARD!$K$138,DASHBOARD!$P$138,FORECASTS!H43)),G42*(1+CHOOSE(DASHBOARD!$K$138,DASHBOARD!$P$138,FORECASTS!H43))*H$9/12,0)</f>
        <v>0</v>
      </c>
      <c r="I42" s="134">
        <f>CHOOSE(I$5,H42*(1+CHOOSE(DASHBOARD!$K$138,DASHBOARD!$P$138,FORECASTS!I43)),H42*(1+CHOOSE(DASHBOARD!$K$138,DASHBOARD!$P$138,FORECASTS!I43))*I$9/12,0)</f>
        <v>0</v>
      </c>
      <c r="J42" s="134">
        <f>CHOOSE(J$5,I42*(1+CHOOSE(DASHBOARD!$K$138,DASHBOARD!$P$138,FORECASTS!J43)),I42*(1+CHOOSE(DASHBOARD!$K$138,DASHBOARD!$P$138,FORECASTS!J43))*J$9/12,0)</f>
        <v>0</v>
      </c>
      <c r="K42" s="134">
        <f>CHOOSE(K$5,J42*(1+CHOOSE(DASHBOARD!$K$138,DASHBOARD!$P$138,FORECASTS!K43)),J42*(1+CHOOSE(DASHBOARD!$K$138,DASHBOARD!$P$138,FORECASTS!K43))*K$9/12,0)</f>
        <v>0</v>
      </c>
      <c r="L42" s="134">
        <f>CHOOSE(L$5,K42*(1+CHOOSE(DASHBOARD!$K$138,DASHBOARD!$P$138,FORECASTS!L43)),K42*(1+CHOOSE(DASHBOARD!$K$138,DASHBOARD!$P$138,FORECASTS!L43))*L$9/12,0)</f>
        <v>0</v>
      </c>
      <c r="M42" s="134">
        <f>CHOOSE(M$5,L42*(1+CHOOSE(DASHBOARD!$K$138,DASHBOARD!$P$138,FORECASTS!M43)),L42*(1+CHOOSE(DASHBOARD!$K$138,DASHBOARD!$P$138,FORECASTS!M43))*M$9/12,0)</f>
        <v>0</v>
      </c>
      <c r="N42" s="134">
        <f>CHOOSE(N$5,M42*(1+CHOOSE(DASHBOARD!$K$138,DASHBOARD!$P$138,FORECASTS!N43)),M42*(1+CHOOSE(DASHBOARD!$K$138,DASHBOARD!$P$138,FORECASTS!N43))*N$9/12,0)</f>
        <v>0</v>
      </c>
      <c r="O42" s="134">
        <f>CHOOSE(O$5,N42*(1+CHOOSE(DASHBOARD!$K$138,DASHBOARD!$P$138,FORECASTS!O43)),N42*(1+CHOOSE(DASHBOARD!$K$138,DASHBOARD!$P$138,FORECASTS!O43))*O$9/12,0)</f>
        <v>0</v>
      </c>
      <c r="P42" s="134">
        <f>CHOOSE(P$5,O42*(1+CHOOSE(DASHBOARD!$K$138,DASHBOARD!$P$138,FORECASTS!P43)),O42*(1+CHOOSE(DASHBOARD!$K$138,DASHBOARD!$P$138,FORECASTS!P43))*P$9/12,0)</f>
        <v>0</v>
      </c>
      <c r="Q42" s="134">
        <f>CHOOSE(Q$5,P42*(1+CHOOSE(DASHBOARD!$K$138,DASHBOARD!$P$138,FORECASTS!Q43)),P42*(1+CHOOSE(DASHBOARD!$K$138,DASHBOARD!$P$138,FORECASTS!Q43))*Q$9/12,0)</f>
        <v>0</v>
      </c>
      <c r="R42" s="134">
        <f>CHOOSE(R$5,Q42*(1+CHOOSE(DASHBOARD!$K$138,DASHBOARD!$P$138,FORECASTS!R43)),Q42*(1+CHOOSE(DASHBOARD!$K$138,DASHBOARD!$P$138,FORECASTS!R43))*R$9/12,0)</f>
        <v>0</v>
      </c>
      <c r="S42" s="134">
        <f>CHOOSE(S$5,R42*(1+CHOOSE(DASHBOARD!$K$138,DASHBOARD!$P$138,FORECASTS!S43)),R42*(1+CHOOSE(DASHBOARD!$K$138,DASHBOARD!$P$138,FORECASTS!S43))*S$9/12,0)</f>
        <v>0</v>
      </c>
      <c r="T42" s="134">
        <f>CHOOSE(T$5,S42*(1+CHOOSE(DASHBOARD!$K$138,DASHBOARD!$P$138,FORECASTS!T43)),S42*(1+CHOOSE(DASHBOARD!$K$138,DASHBOARD!$P$138,FORECASTS!T43))*T$9/12,0)</f>
        <v>0</v>
      </c>
      <c r="U42" s="134">
        <f>CHOOSE(U$5,T42*(1+CHOOSE(DASHBOARD!$K$138,DASHBOARD!$P$138,FORECASTS!U43)),T42*(1+CHOOSE(DASHBOARD!$K$138,DASHBOARD!$P$138,FORECASTS!U43))*U$9/12,0)</f>
        <v>0</v>
      </c>
      <c r="V42" s="134">
        <f>CHOOSE(V$5,U42*(1+CHOOSE(DASHBOARD!$K$138,DASHBOARD!$P$138,FORECASTS!V43)),U42*(1+CHOOSE(DASHBOARD!$K$138,DASHBOARD!$P$138,FORECASTS!V43))*V$9/12,0)</f>
        <v>0</v>
      </c>
      <c r="W42" s="134">
        <f>CHOOSE(W$5,V42*(1+CHOOSE(DASHBOARD!$K$138,DASHBOARD!$P$138,FORECASTS!W43)),V42*(1+CHOOSE(DASHBOARD!$K$138,DASHBOARD!$P$138,FORECASTS!W43))*W$9/12,0)</f>
        <v>0</v>
      </c>
      <c r="X42" s="134">
        <f>CHOOSE(X$5,W42*(1+CHOOSE(DASHBOARD!$K$138,DASHBOARD!$P$138,FORECASTS!X43)),W42*(1+CHOOSE(DASHBOARD!$K$138,DASHBOARD!$P$138,FORECASTS!X43))*X$9/12,0)</f>
        <v>0</v>
      </c>
      <c r="Y42" s="134">
        <f>CHOOSE(Y$5,X42*(1+CHOOSE(DASHBOARD!$K$138,DASHBOARD!$P$138,FORECASTS!Y43)),X42*(1+CHOOSE(DASHBOARD!$K$138,DASHBOARD!$P$138,FORECASTS!Y43))*Y$9/12,0)</f>
        <v>0</v>
      </c>
      <c r="Z42" s="134">
        <f>CHOOSE(Z$5,Y42*(1+CHOOSE(DASHBOARD!$K$138,DASHBOARD!$P$138,FORECASTS!Z43)),Y42*(1+CHOOSE(DASHBOARD!$K$138,DASHBOARD!$P$138,FORECASTS!Z43))*Z$9/12,0)</f>
        <v>0</v>
      </c>
      <c r="AA42" s="134">
        <f>CHOOSE(AA$5,Z42*(1+CHOOSE(DASHBOARD!$K$138,DASHBOARD!$P$138,FORECASTS!AA43)),Z42*(1+CHOOSE(DASHBOARD!$K$138,DASHBOARD!$P$138,FORECASTS!AA43))*AA$9/12,0)</f>
        <v>0</v>
      </c>
      <c r="AB42" s="134">
        <f>CHOOSE(AB$5,AA42*(1+CHOOSE(DASHBOARD!$K$138,DASHBOARD!$P$138,FORECASTS!AB43)),AA42*(1+CHOOSE(DASHBOARD!$K$138,DASHBOARD!$P$138,FORECASTS!AB43))*AB$9/12,0)</f>
        <v>0</v>
      </c>
      <c r="AC42" s="134">
        <f>CHOOSE(AC$5,AB42*(1+CHOOSE(DASHBOARD!$K$138,DASHBOARD!$P$138,FORECASTS!AC43)),AB42*(1+CHOOSE(DASHBOARD!$K$138,DASHBOARD!$P$138,FORECASTS!AC43))*AC$9/12,0)</f>
        <v>0</v>
      </c>
      <c r="AD42" s="134">
        <f>CHOOSE(AD$5,AC42*(1+CHOOSE(DASHBOARD!$K$138,DASHBOARD!$P$138,FORECASTS!AD43)),AC42*(1+CHOOSE(DASHBOARD!$K$138,DASHBOARD!$P$138,FORECASTS!AD43))*AD$9/12,0)</f>
        <v>0</v>
      </c>
      <c r="AE42" s="134">
        <f>CHOOSE(AE$5,AD42*(1+CHOOSE(DASHBOARD!$K$138,DASHBOARD!$P$138,FORECASTS!AE43)),AD42*(1+CHOOSE(DASHBOARD!$K$138,DASHBOARD!$P$138,FORECASTS!AE43))*AE$9/12,0)</f>
        <v>0</v>
      </c>
      <c r="AF42" s="134">
        <f>CHOOSE(AF$5,AE42*(1+CHOOSE(DASHBOARD!$K$138,DASHBOARD!$P$138,FORECASTS!AF43)),AE42*(1+CHOOSE(DASHBOARD!$K$138,DASHBOARD!$P$138,FORECASTS!AF43))*AF$9/12,0)</f>
        <v>0</v>
      </c>
      <c r="AG42" s="134">
        <f>CHOOSE(AG$5,AF42*(1+CHOOSE(DASHBOARD!$K$138,DASHBOARD!$P$138,FORECASTS!AG43)),AF42*(1+CHOOSE(DASHBOARD!$K$138,DASHBOARD!$P$138,FORECASTS!AG43))*AG$9/12,0)</f>
        <v>0</v>
      </c>
      <c r="AH42" s="134">
        <f>CHOOSE(AH$5,AG42*(1+CHOOSE(DASHBOARD!$K$138,DASHBOARD!$P$138,FORECASTS!AH43)),AG42*(1+CHOOSE(DASHBOARD!$K$138,DASHBOARD!$P$138,FORECASTS!AH43))*AH$9/12,0)</f>
        <v>0</v>
      </c>
      <c r="AI42" s="708">
        <f>CHOOSE(AI$5,AH42*(1+CHOOSE(DASHBOARD!$K$138,DASHBOARD!$P$138,FORECASTS!AI43)),AH42*(1+CHOOSE(DASHBOARD!$K$138,DASHBOARD!$P$138,FORECASTS!AI43))*AI$9/12,0)</f>
        <v>0</v>
      </c>
      <c r="AJ42" s="1605">
        <v>1</v>
      </c>
    </row>
    <row r="43" spans="2:36" s="289" customFormat="1" hidden="1" outlineLevel="1" x14ac:dyDescent="0.3">
      <c r="B43" s="776" t="s">
        <v>526</v>
      </c>
      <c r="C43" s="966"/>
      <c r="D43" s="127"/>
      <c r="E43" s="14"/>
      <c r="F43" s="1095">
        <f>DASHBOARD!$P$138</f>
        <v>0.06</v>
      </c>
      <c r="G43" s="1095">
        <f t="shared" ref="G43:AI43" si="22">F43</f>
        <v>0.06</v>
      </c>
      <c r="H43" s="1095">
        <f t="shared" si="22"/>
        <v>0.06</v>
      </c>
      <c r="I43" s="1095">
        <f t="shared" si="22"/>
        <v>0.06</v>
      </c>
      <c r="J43" s="1095">
        <f t="shared" si="22"/>
        <v>0.06</v>
      </c>
      <c r="K43" s="1095">
        <f t="shared" si="22"/>
        <v>0.06</v>
      </c>
      <c r="L43" s="1095">
        <f t="shared" si="22"/>
        <v>0.06</v>
      </c>
      <c r="M43" s="1095">
        <f t="shared" si="22"/>
        <v>0.06</v>
      </c>
      <c r="N43" s="1095">
        <f t="shared" si="22"/>
        <v>0.06</v>
      </c>
      <c r="O43" s="1095">
        <f t="shared" si="22"/>
        <v>0.06</v>
      </c>
      <c r="P43" s="1095">
        <f t="shared" si="22"/>
        <v>0.06</v>
      </c>
      <c r="Q43" s="1095">
        <f t="shared" si="22"/>
        <v>0.06</v>
      </c>
      <c r="R43" s="1095">
        <f t="shared" si="22"/>
        <v>0.06</v>
      </c>
      <c r="S43" s="1095">
        <f t="shared" si="22"/>
        <v>0.06</v>
      </c>
      <c r="T43" s="1095">
        <f t="shared" si="22"/>
        <v>0.06</v>
      </c>
      <c r="U43" s="1095">
        <f t="shared" si="22"/>
        <v>0.06</v>
      </c>
      <c r="V43" s="1095">
        <f t="shared" si="22"/>
        <v>0.06</v>
      </c>
      <c r="W43" s="1095">
        <f t="shared" si="22"/>
        <v>0.06</v>
      </c>
      <c r="X43" s="1095">
        <f t="shared" si="22"/>
        <v>0.06</v>
      </c>
      <c r="Y43" s="1095">
        <f t="shared" si="22"/>
        <v>0.06</v>
      </c>
      <c r="Z43" s="1095">
        <f t="shared" si="22"/>
        <v>0.06</v>
      </c>
      <c r="AA43" s="1095">
        <f t="shared" si="22"/>
        <v>0.06</v>
      </c>
      <c r="AB43" s="1095">
        <f t="shared" si="22"/>
        <v>0.06</v>
      </c>
      <c r="AC43" s="1095">
        <f t="shared" si="22"/>
        <v>0.06</v>
      </c>
      <c r="AD43" s="1095">
        <f t="shared" si="22"/>
        <v>0.06</v>
      </c>
      <c r="AE43" s="1095">
        <f t="shared" si="22"/>
        <v>0.06</v>
      </c>
      <c r="AF43" s="1095">
        <f t="shared" si="22"/>
        <v>0.06</v>
      </c>
      <c r="AG43" s="1095">
        <f t="shared" si="22"/>
        <v>0.06</v>
      </c>
      <c r="AH43" s="1095">
        <f t="shared" si="22"/>
        <v>0.06</v>
      </c>
      <c r="AI43" s="1096">
        <f t="shared" si="22"/>
        <v>0.06</v>
      </c>
      <c r="AJ43" s="1605">
        <f>IF(AND(DASHBOARD!$K$138=2,DASHBOARD!$BC$134=1),1,0)</f>
        <v>0</v>
      </c>
    </row>
    <row r="44" spans="2:36" s="289" customFormat="1" outlineLevel="1" x14ac:dyDescent="0.3">
      <c r="B44" s="706" t="str">
        <f>DASHBOARD!W126</f>
        <v>Security</v>
      </c>
      <c r="C44" s="309">
        <f>IFERROR(SUM(E44:AI44),0)</f>
        <v>0</v>
      </c>
      <c r="D44" s="127"/>
      <c r="E44" s="134">
        <f>IF(OR(E5=3,thumb&lt;&gt;0),0,HIDE5!Q62)</f>
        <v>0</v>
      </c>
      <c r="F44" s="134">
        <f>IF(thumb&lt;&gt;0,0,CHOOSE(F$5,DASHBOARD!BH206*(1+CHOOSE(DASHBOARD!$K$138,DASHBOARD!$P$138,FORECASTS!F45)),DASHBOARD!BH206*(1+CHOOSE(DASHBOARD!$K$138,DASHBOARD!$P$138,FORECASTS!F45))*$F$9/12,0))</f>
        <v>0</v>
      </c>
      <c r="G44" s="134">
        <f>CHOOSE(G$5,F44*(1+CHOOSE(DASHBOARD!$K$138,DASHBOARD!$P$138,FORECASTS!G45)),F44*(1+CHOOSE(DASHBOARD!$K$138,DASHBOARD!$P$138,FORECASTS!G45))*G$9/12,0)</f>
        <v>0</v>
      </c>
      <c r="H44" s="134">
        <f>CHOOSE(H$5,G44*(1+CHOOSE(DASHBOARD!$K$138,DASHBOARD!$P$138,FORECASTS!H45)),G44*(1+CHOOSE(DASHBOARD!$K$138,DASHBOARD!$P$138,FORECASTS!H45))*H$9/12,0)</f>
        <v>0</v>
      </c>
      <c r="I44" s="134">
        <f>CHOOSE(I$5,H44*(1+CHOOSE(DASHBOARD!$K$138,DASHBOARD!$P$138,FORECASTS!I45)),H44*(1+CHOOSE(DASHBOARD!$K$138,DASHBOARD!$P$138,FORECASTS!I45))*I$9/12,0)</f>
        <v>0</v>
      </c>
      <c r="J44" s="134">
        <f>CHOOSE(J$5,I44*(1+CHOOSE(DASHBOARD!$K$138,DASHBOARD!$P$138,FORECASTS!J45)),I44*(1+CHOOSE(DASHBOARD!$K$138,DASHBOARD!$P$138,FORECASTS!J45))*J$9/12,0)</f>
        <v>0</v>
      </c>
      <c r="K44" s="134">
        <f>CHOOSE(K$5,J44*(1+CHOOSE(DASHBOARD!$K$138,DASHBOARD!$P$138,FORECASTS!K45)),J44*(1+CHOOSE(DASHBOARD!$K$138,DASHBOARD!$P$138,FORECASTS!K45))*K$9/12,0)</f>
        <v>0</v>
      </c>
      <c r="L44" s="134">
        <f>CHOOSE(L$5,K44*(1+CHOOSE(DASHBOARD!$K$138,DASHBOARD!$P$138,FORECASTS!L45)),K44*(1+CHOOSE(DASHBOARD!$K$138,DASHBOARD!$P$138,FORECASTS!L45))*L$9/12,0)</f>
        <v>0</v>
      </c>
      <c r="M44" s="134">
        <f>CHOOSE(M$5,L44*(1+CHOOSE(DASHBOARD!$K$138,DASHBOARD!$P$138,FORECASTS!M45)),L44*(1+CHOOSE(DASHBOARD!$K$138,DASHBOARD!$P$138,FORECASTS!M45))*M$9/12,0)</f>
        <v>0</v>
      </c>
      <c r="N44" s="134">
        <f>CHOOSE(N$5,M44*(1+CHOOSE(DASHBOARD!$K$138,DASHBOARD!$P$138,FORECASTS!N45)),M44*(1+CHOOSE(DASHBOARD!$K$138,DASHBOARD!$P$138,FORECASTS!N45))*N$9/12,0)</f>
        <v>0</v>
      </c>
      <c r="O44" s="134">
        <f>CHOOSE(O$5,N44*(1+CHOOSE(DASHBOARD!$K$138,DASHBOARD!$P$138,FORECASTS!O45)),N44*(1+CHOOSE(DASHBOARD!$K$138,DASHBOARD!$P$138,FORECASTS!O45))*O$9/12,0)</f>
        <v>0</v>
      </c>
      <c r="P44" s="134">
        <f>CHOOSE(P$5,O44*(1+CHOOSE(DASHBOARD!$K$138,DASHBOARD!$P$138,FORECASTS!P45)),O44*(1+CHOOSE(DASHBOARD!$K$138,DASHBOARD!$P$138,FORECASTS!P45))*P$9/12,0)</f>
        <v>0</v>
      </c>
      <c r="Q44" s="134">
        <f>CHOOSE(Q$5,P44*(1+CHOOSE(DASHBOARD!$K$138,DASHBOARD!$P$138,FORECASTS!Q45)),P44*(1+CHOOSE(DASHBOARD!$K$138,DASHBOARD!$P$138,FORECASTS!Q45))*Q$9/12,0)</f>
        <v>0</v>
      </c>
      <c r="R44" s="134">
        <f>CHOOSE(R$5,Q44*(1+CHOOSE(DASHBOARD!$K$138,DASHBOARD!$P$138,FORECASTS!R45)),Q44*(1+CHOOSE(DASHBOARD!$K$138,DASHBOARD!$P$138,FORECASTS!R45))*R$9/12,0)</f>
        <v>0</v>
      </c>
      <c r="S44" s="134">
        <f>CHOOSE(S$5,R44*(1+CHOOSE(DASHBOARD!$K$138,DASHBOARD!$P$138,FORECASTS!S45)),R44*(1+CHOOSE(DASHBOARD!$K$138,DASHBOARD!$P$138,FORECASTS!S45))*S$9/12,0)</f>
        <v>0</v>
      </c>
      <c r="T44" s="134">
        <f>CHOOSE(T$5,S44*(1+CHOOSE(DASHBOARD!$K$138,DASHBOARD!$P$138,FORECASTS!T45)),S44*(1+CHOOSE(DASHBOARD!$K$138,DASHBOARD!$P$138,FORECASTS!T45))*T$9/12,0)</f>
        <v>0</v>
      </c>
      <c r="U44" s="134">
        <f>CHOOSE(U$5,T44*(1+CHOOSE(DASHBOARD!$K$138,DASHBOARD!$P$138,FORECASTS!U45)),T44*(1+CHOOSE(DASHBOARD!$K$138,DASHBOARD!$P$138,FORECASTS!U45))*U$9/12,0)</f>
        <v>0</v>
      </c>
      <c r="V44" s="134">
        <f>CHOOSE(V$5,U44*(1+CHOOSE(DASHBOARD!$K$138,DASHBOARD!$P$138,FORECASTS!V45)),U44*(1+CHOOSE(DASHBOARD!$K$138,DASHBOARD!$P$138,FORECASTS!V45))*V$9/12,0)</f>
        <v>0</v>
      </c>
      <c r="W44" s="134">
        <f>CHOOSE(W$5,V44*(1+CHOOSE(DASHBOARD!$K$138,DASHBOARD!$P$138,FORECASTS!W45)),V44*(1+CHOOSE(DASHBOARD!$K$138,DASHBOARD!$P$138,FORECASTS!W45))*W$9/12,0)</f>
        <v>0</v>
      </c>
      <c r="X44" s="134">
        <f>CHOOSE(X$5,W44*(1+CHOOSE(DASHBOARD!$K$138,DASHBOARD!$P$138,FORECASTS!X45)),W44*(1+CHOOSE(DASHBOARD!$K$138,DASHBOARD!$P$138,FORECASTS!X45))*X$9/12,0)</f>
        <v>0</v>
      </c>
      <c r="Y44" s="134">
        <f>CHOOSE(Y$5,X44*(1+CHOOSE(DASHBOARD!$K$138,DASHBOARD!$P$138,FORECASTS!Y45)),X44*(1+CHOOSE(DASHBOARD!$K$138,DASHBOARD!$P$138,FORECASTS!Y45))*Y$9/12,0)</f>
        <v>0</v>
      </c>
      <c r="Z44" s="134">
        <f>CHOOSE(Z$5,Y44*(1+CHOOSE(DASHBOARD!$K$138,DASHBOARD!$P$138,FORECASTS!Z45)),Y44*(1+CHOOSE(DASHBOARD!$K$138,DASHBOARD!$P$138,FORECASTS!Z45))*Z$9/12,0)</f>
        <v>0</v>
      </c>
      <c r="AA44" s="134">
        <f>CHOOSE(AA$5,Z44*(1+CHOOSE(DASHBOARD!$K$138,DASHBOARD!$P$138,FORECASTS!AA45)),Z44*(1+CHOOSE(DASHBOARD!$K$138,DASHBOARD!$P$138,FORECASTS!AA45))*AA$9/12,0)</f>
        <v>0</v>
      </c>
      <c r="AB44" s="134">
        <f>CHOOSE(AB$5,AA44*(1+CHOOSE(DASHBOARD!$K$138,DASHBOARD!$P$138,FORECASTS!AB45)),AA44*(1+CHOOSE(DASHBOARD!$K$138,DASHBOARD!$P$138,FORECASTS!AB45))*AB$9/12,0)</f>
        <v>0</v>
      </c>
      <c r="AC44" s="134">
        <f>CHOOSE(AC$5,AB44*(1+CHOOSE(DASHBOARD!$K$138,DASHBOARD!$P$138,FORECASTS!AC45)),AB44*(1+CHOOSE(DASHBOARD!$K$138,DASHBOARD!$P$138,FORECASTS!AC45))*AC$9/12,0)</f>
        <v>0</v>
      </c>
      <c r="AD44" s="134">
        <f>CHOOSE(AD$5,AC44*(1+CHOOSE(DASHBOARD!$K$138,DASHBOARD!$P$138,FORECASTS!AD45)),AC44*(1+CHOOSE(DASHBOARD!$K$138,DASHBOARD!$P$138,FORECASTS!AD45))*AD$9/12,0)</f>
        <v>0</v>
      </c>
      <c r="AE44" s="134">
        <f>CHOOSE(AE$5,AD44*(1+CHOOSE(DASHBOARD!$K$138,DASHBOARD!$P$138,FORECASTS!AE45)),AD44*(1+CHOOSE(DASHBOARD!$K$138,DASHBOARD!$P$138,FORECASTS!AE45))*AE$9/12,0)</f>
        <v>0</v>
      </c>
      <c r="AF44" s="134">
        <f>CHOOSE(AF$5,AE44*(1+CHOOSE(DASHBOARD!$K$138,DASHBOARD!$P$138,FORECASTS!AF45)),AE44*(1+CHOOSE(DASHBOARD!$K$138,DASHBOARD!$P$138,FORECASTS!AF45))*AF$9/12,0)</f>
        <v>0</v>
      </c>
      <c r="AG44" s="134">
        <f>CHOOSE(AG$5,AF44*(1+CHOOSE(DASHBOARD!$K$138,DASHBOARD!$P$138,FORECASTS!AG45)),AF44*(1+CHOOSE(DASHBOARD!$K$138,DASHBOARD!$P$138,FORECASTS!AG45))*AG$9/12,0)</f>
        <v>0</v>
      </c>
      <c r="AH44" s="134">
        <f>CHOOSE(AH$5,AG44*(1+CHOOSE(DASHBOARD!$K$138,DASHBOARD!$P$138,FORECASTS!AH45)),AG44*(1+CHOOSE(DASHBOARD!$K$138,DASHBOARD!$P$138,FORECASTS!AH45))*AH$9/12,0)</f>
        <v>0</v>
      </c>
      <c r="AI44" s="708">
        <f>CHOOSE(AI$5,AH44*(1+CHOOSE(DASHBOARD!$K$138,DASHBOARD!$P$138,FORECASTS!AI45)),AH44*(1+CHOOSE(DASHBOARD!$K$138,DASHBOARD!$P$138,FORECASTS!AI45))*AI$9/12,0)</f>
        <v>0</v>
      </c>
      <c r="AJ44" s="1605">
        <v>1</v>
      </c>
    </row>
    <row r="45" spans="2:36" s="289" customFormat="1" hidden="1" outlineLevel="1" x14ac:dyDescent="0.3">
      <c r="B45" s="776" t="s">
        <v>526</v>
      </c>
      <c r="C45" s="966"/>
      <c r="D45" s="127"/>
      <c r="E45" s="14"/>
      <c r="F45" s="1095">
        <f>DASHBOARD!$P$138</f>
        <v>0.06</v>
      </c>
      <c r="G45" s="1095">
        <f t="shared" ref="G45:AI45" si="23">F45</f>
        <v>0.06</v>
      </c>
      <c r="H45" s="1095">
        <f t="shared" si="23"/>
        <v>0.06</v>
      </c>
      <c r="I45" s="1095">
        <f t="shared" si="23"/>
        <v>0.06</v>
      </c>
      <c r="J45" s="1095">
        <f t="shared" si="23"/>
        <v>0.06</v>
      </c>
      <c r="K45" s="1095">
        <f t="shared" si="23"/>
        <v>0.06</v>
      </c>
      <c r="L45" s="1095">
        <f t="shared" si="23"/>
        <v>0.06</v>
      </c>
      <c r="M45" s="1095">
        <f t="shared" si="23"/>
        <v>0.06</v>
      </c>
      <c r="N45" s="1095">
        <f t="shared" si="23"/>
        <v>0.06</v>
      </c>
      <c r="O45" s="1095">
        <f t="shared" si="23"/>
        <v>0.06</v>
      </c>
      <c r="P45" s="1095">
        <f t="shared" si="23"/>
        <v>0.06</v>
      </c>
      <c r="Q45" s="1095">
        <f t="shared" si="23"/>
        <v>0.06</v>
      </c>
      <c r="R45" s="1095">
        <f t="shared" si="23"/>
        <v>0.06</v>
      </c>
      <c r="S45" s="1095">
        <f t="shared" si="23"/>
        <v>0.06</v>
      </c>
      <c r="T45" s="1095">
        <f t="shared" si="23"/>
        <v>0.06</v>
      </c>
      <c r="U45" s="1095">
        <f t="shared" si="23"/>
        <v>0.06</v>
      </c>
      <c r="V45" s="1095">
        <f t="shared" si="23"/>
        <v>0.06</v>
      </c>
      <c r="W45" s="1095">
        <f t="shared" si="23"/>
        <v>0.06</v>
      </c>
      <c r="X45" s="1095">
        <f t="shared" si="23"/>
        <v>0.06</v>
      </c>
      <c r="Y45" s="1095">
        <f t="shared" si="23"/>
        <v>0.06</v>
      </c>
      <c r="Z45" s="1095">
        <f t="shared" si="23"/>
        <v>0.06</v>
      </c>
      <c r="AA45" s="1095">
        <f t="shared" si="23"/>
        <v>0.06</v>
      </c>
      <c r="AB45" s="1095">
        <f t="shared" si="23"/>
        <v>0.06</v>
      </c>
      <c r="AC45" s="1095">
        <f t="shared" si="23"/>
        <v>0.06</v>
      </c>
      <c r="AD45" s="1095">
        <f t="shared" si="23"/>
        <v>0.06</v>
      </c>
      <c r="AE45" s="1095">
        <f t="shared" si="23"/>
        <v>0.06</v>
      </c>
      <c r="AF45" s="1095">
        <f t="shared" si="23"/>
        <v>0.06</v>
      </c>
      <c r="AG45" s="1095">
        <f t="shared" si="23"/>
        <v>0.06</v>
      </c>
      <c r="AH45" s="1095">
        <f t="shared" si="23"/>
        <v>0.06</v>
      </c>
      <c r="AI45" s="1096">
        <f t="shared" si="23"/>
        <v>0.06</v>
      </c>
      <c r="AJ45" s="1605">
        <f>IF(AND(DASHBOARD!$K$138=2,DASHBOARD!$BC$134=1),1,0)</f>
        <v>0</v>
      </c>
    </row>
    <row r="46" spans="2:36" s="289" customFormat="1" outlineLevel="1" x14ac:dyDescent="0.3">
      <c r="B46" s="706" t="str">
        <f>DASHBOARD!W127</f>
        <v>Accounting</v>
      </c>
      <c r="C46" s="309">
        <f>IFERROR(SUM(E46:AI46),0)</f>
        <v>0</v>
      </c>
      <c r="D46" s="127"/>
      <c r="E46" s="134">
        <f>IF(OR(E5=3,thumb&lt;&gt;0),0,HIDE5!Q63)</f>
        <v>0</v>
      </c>
      <c r="F46" s="134">
        <f>IF(thumb&lt;&gt;0,0,CHOOSE(F$5,DASHBOARD!BH207*(1+CHOOSE(DASHBOARD!$K$138,DASHBOARD!$P$138,FORECASTS!F47)),DASHBOARD!BH207*(1+CHOOSE(DASHBOARD!$K$138,DASHBOARD!$P$138,FORECASTS!F47))*$F$9/12,0))</f>
        <v>0</v>
      </c>
      <c r="G46" s="134">
        <f>CHOOSE(G$5,F46*(1+CHOOSE(DASHBOARD!$K$138,DASHBOARD!$P$138,FORECASTS!G47)),F46*(1+CHOOSE(DASHBOARD!$K$138,DASHBOARD!$P$138,FORECASTS!G47))*G$9/12,0)</f>
        <v>0</v>
      </c>
      <c r="H46" s="134">
        <f>CHOOSE(H$5,G46*(1+CHOOSE(DASHBOARD!$K$138,DASHBOARD!$P$138,FORECASTS!H47)),G46*(1+CHOOSE(DASHBOARD!$K$138,DASHBOARD!$P$138,FORECASTS!H47))*H$9/12,0)</f>
        <v>0</v>
      </c>
      <c r="I46" s="134">
        <f>CHOOSE(I$5,H46*(1+CHOOSE(DASHBOARD!$K$138,DASHBOARD!$P$138,FORECASTS!I47)),H46*(1+CHOOSE(DASHBOARD!$K$138,DASHBOARD!$P$138,FORECASTS!I47))*I$9/12,0)</f>
        <v>0</v>
      </c>
      <c r="J46" s="134">
        <f>CHOOSE(J$5,I46*(1+CHOOSE(DASHBOARD!$K$138,DASHBOARD!$P$138,FORECASTS!J47)),I46*(1+CHOOSE(DASHBOARD!$K$138,DASHBOARD!$P$138,FORECASTS!J47))*J$9/12,0)</f>
        <v>0</v>
      </c>
      <c r="K46" s="134">
        <f>CHOOSE(K$5,J46*(1+CHOOSE(DASHBOARD!$K$138,DASHBOARD!$P$138,FORECASTS!K47)),J46*(1+CHOOSE(DASHBOARD!$K$138,DASHBOARD!$P$138,FORECASTS!K47))*K$9/12,0)</f>
        <v>0</v>
      </c>
      <c r="L46" s="134">
        <f>CHOOSE(L$5,K46*(1+CHOOSE(DASHBOARD!$K$138,DASHBOARD!$P$138,FORECASTS!L47)),K46*(1+CHOOSE(DASHBOARD!$K$138,DASHBOARD!$P$138,FORECASTS!L47))*L$9/12,0)</f>
        <v>0</v>
      </c>
      <c r="M46" s="134">
        <f>CHOOSE(M$5,L46*(1+CHOOSE(DASHBOARD!$K$138,DASHBOARD!$P$138,FORECASTS!M47)),L46*(1+CHOOSE(DASHBOARD!$K$138,DASHBOARD!$P$138,FORECASTS!M47))*M$9/12,0)</f>
        <v>0</v>
      </c>
      <c r="N46" s="134">
        <f>CHOOSE(N$5,M46*(1+CHOOSE(DASHBOARD!$K$138,DASHBOARD!$P$138,FORECASTS!N47)),M46*(1+CHOOSE(DASHBOARD!$K$138,DASHBOARD!$P$138,FORECASTS!N47))*N$9/12,0)</f>
        <v>0</v>
      </c>
      <c r="O46" s="134">
        <f>CHOOSE(O$5,N46*(1+CHOOSE(DASHBOARD!$K$138,DASHBOARD!$P$138,FORECASTS!O47)),N46*(1+CHOOSE(DASHBOARD!$K$138,DASHBOARD!$P$138,FORECASTS!O47))*O$9/12,0)</f>
        <v>0</v>
      </c>
      <c r="P46" s="134">
        <f>CHOOSE(P$5,O46*(1+CHOOSE(DASHBOARD!$K$138,DASHBOARD!$P$138,FORECASTS!P47)),O46*(1+CHOOSE(DASHBOARD!$K$138,DASHBOARD!$P$138,FORECASTS!P47))*P$9/12,0)</f>
        <v>0</v>
      </c>
      <c r="Q46" s="134">
        <f>CHOOSE(Q$5,P46*(1+CHOOSE(DASHBOARD!$K$138,DASHBOARD!$P$138,FORECASTS!Q47)),P46*(1+CHOOSE(DASHBOARD!$K$138,DASHBOARD!$P$138,FORECASTS!Q47))*Q$9/12,0)</f>
        <v>0</v>
      </c>
      <c r="R46" s="134">
        <f>CHOOSE(R$5,Q46*(1+CHOOSE(DASHBOARD!$K$138,DASHBOARD!$P$138,FORECASTS!R47)),Q46*(1+CHOOSE(DASHBOARD!$K$138,DASHBOARD!$P$138,FORECASTS!R47))*R$9/12,0)</f>
        <v>0</v>
      </c>
      <c r="S46" s="134">
        <f>CHOOSE(S$5,R46*(1+CHOOSE(DASHBOARD!$K$138,DASHBOARD!$P$138,FORECASTS!S47)),R46*(1+CHOOSE(DASHBOARD!$K$138,DASHBOARD!$P$138,FORECASTS!S47))*S$9/12,0)</f>
        <v>0</v>
      </c>
      <c r="T46" s="134">
        <f>CHOOSE(T$5,S46*(1+CHOOSE(DASHBOARD!$K$138,DASHBOARD!$P$138,FORECASTS!T47)),S46*(1+CHOOSE(DASHBOARD!$K$138,DASHBOARD!$P$138,FORECASTS!T47))*T$9/12,0)</f>
        <v>0</v>
      </c>
      <c r="U46" s="134">
        <f>CHOOSE(U$5,T46*(1+CHOOSE(DASHBOARD!$K$138,DASHBOARD!$P$138,FORECASTS!U47)),T46*(1+CHOOSE(DASHBOARD!$K$138,DASHBOARD!$P$138,FORECASTS!U47))*U$9/12,0)</f>
        <v>0</v>
      </c>
      <c r="V46" s="134">
        <f>CHOOSE(V$5,U46*(1+CHOOSE(DASHBOARD!$K$138,DASHBOARD!$P$138,FORECASTS!V47)),U46*(1+CHOOSE(DASHBOARD!$K$138,DASHBOARD!$P$138,FORECASTS!V47))*V$9/12,0)</f>
        <v>0</v>
      </c>
      <c r="W46" s="134">
        <f>CHOOSE(W$5,V46*(1+CHOOSE(DASHBOARD!$K$138,DASHBOARD!$P$138,FORECASTS!W47)),V46*(1+CHOOSE(DASHBOARD!$K$138,DASHBOARD!$P$138,FORECASTS!W47))*W$9/12,0)</f>
        <v>0</v>
      </c>
      <c r="X46" s="134">
        <f>CHOOSE(X$5,W46*(1+CHOOSE(DASHBOARD!$K$138,DASHBOARD!$P$138,FORECASTS!X47)),W46*(1+CHOOSE(DASHBOARD!$K$138,DASHBOARD!$P$138,FORECASTS!X47))*X$9/12,0)</f>
        <v>0</v>
      </c>
      <c r="Y46" s="134">
        <f>CHOOSE(Y$5,X46*(1+CHOOSE(DASHBOARD!$K$138,DASHBOARD!$P$138,FORECASTS!Y47)),X46*(1+CHOOSE(DASHBOARD!$K$138,DASHBOARD!$P$138,FORECASTS!Y47))*Y$9/12,0)</f>
        <v>0</v>
      </c>
      <c r="Z46" s="134">
        <f>CHOOSE(Z$5,Y46*(1+CHOOSE(DASHBOARD!$K$138,DASHBOARD!$P$138,FORECASTS!Z47)),Y46*(1+CHOOSE(DASHBOARD!$K$138,DASHBOARD!$P$138,FORECASTS!Z47))*Z$9/12,0)</f>
        <v>0</v>
      </c>
      <c r="AA46" s="134">
        <f>CHOOSE(AA$5,Z46*(1+CHOOSE(DASHBOARD!$K$138,DASHBOARD!$P$138,FORECASTS!AA47)),Z46*(1+CHOOSE(DASHBOARD!$K$138,DASHBOARD!$P$138,FORECASTS!AA47))*AA$9/12,0)</f>
        <v>0</v>
      </c>
      <c r="AB46" s="134">
        <f>CHOOSE(AB$5,AA46*(1+CHOOSE(DASHBOARD!$K$138,DASHBOARD!$P$138,FORECASTS!AB47)),AA46*(1+CHOOSE(DASHBOARD!$K$138,DASHBOARD!$P$138,FORECASTS!AB47))*AB$9/12,0)</f>
        <v>0</v>
      </c>
      <c r="AC46" s="134">
        <f>CHOOSE(AC$5,AB46*(1+CHOOSE(DASHBOARD!$K$138,DASHBOARD!$P$138,FORECASTS!AC47)),AB46*(1+CHOOSE(DASHBOARD!$K$138,DASHBOARD!$P$138,FORECASTS!AC47))*AC$9/12,0)</f>
        <v>0</v>
      </c>
      <c r="AD46" s="134">
        <f>CHOOSE(AD$5,AC46*(1+CHOOSE(DASHBOARD!$K$138,DASHBOARD!$P$138,FORECASTS!AD47)),AC46*(1+CHOOSE(DASHBOARD!$K$138,DASHBOARD!$P$138,FORECASTS!AD47))*AD$9/12,0)</f>
        <v>0</v>
      </c>
      <c r="AE46" s="134">
        <f>CHOOSE(AE$5,AD46*(1+CHOOSE(DASHBOARD!$K$138,DASHBOARD!$P$138,FORECASTS!AE47)),AD46*(1+CHOOSE(DASHBOARD!$K$138,DASHBOARD!$P$138,FORECASTS!AE47))*AE$9/12,0)</f>
        <v>0</v>
      </c>
      <c r="AF46" s="134">
        <f>CHOOSE(AF$5,AE46*(1+CHOOSE(DASHBOARD!$K$138,DASHBOARD!$P$138,FORECASTS!AF47)),AE46*(1+CHOOSE(DASHBOARD!$K$138,DASHBOARD!$P$138,FORECASTS!AF47))*AF$9/12,0)</f>
        <v>0</v>
      </c>
      <c r="AG46" s="134">
        <f>CHOOSE(AG$5,AF46*(1+CHOOSE(DASHBOARD!$K$138,DASHBOARD!$P$138,FORECASTS!AG47)),AF46*(1+CHOOSE(DASHBOARD!$K$138,DASHBOARD!$P$138,FORECASTS!AG47))*AG$9/12,0)</f>
        <v>0</v>
      </c>
      <c r="AH46" s="134">
        <f>CHOOSE(AH$5,AG46*(1+CHOOSE(DASHBOARD!$K$138,DASHBOARD!$P$138,FORECASTS!AH47)),AG46*(1+CHOOSE(DASHBOARD!$K$138,DASHBOARD!$P$138,FORECASTS!AH47))*AH$9/12,0)</f>
        <v>0</v>
      </c>
      <c r="AI46" s="708">
        <f>CHOOSE(AI$5,AH46*(1+CHOOSE(DASHBOARD!$K$138,DASHBOARD!$P$138,FORECASTS!AI47)),AH46*(1+CHOOSE(DASHBOARD!$K$138,DASHBOARD!$P$138,FORECASTS!AI47))*AI$9/12,0)</f>
        <v>0</v>
      </c>
      <c r="AJ46" s="1605">
        <v>1</v>
      </c>
    </row>
    <row r="47" spans="2:36" s="289" customFormat="1" hidden="1" outlineLevel="1" x14ac:dyDescent="0.3">
      <c r="B47" s="776" t="s">
        <v>526</v>
      </c>
      <c r="C47" s="966"/>
      <c r="D47" s="127"/>
      <c r="E47" s="14"/>
      <c r="F47" s="1095">
        <f>DASHBOARD!$P$138</f>
        <v>0.06</v>
      </c>
      <c r="G47" s="1095">
        <f t="shared" ref="G47:AI47" si="24">F47</f>
        <v>0.06</v>
      </c>
      <c r="H47" s="1095">
        <f t="shared" si="24"/>
        <v>0.06</v>
      </c>
      <c r="I47" s="1095">
        <f t="shared" si="24"/>
        <v>0.06</v>
      </c>
      <c r="J47" s="1095">
        <f t="shared" si="24"/>
        <v>0.06</v>
      </c>
      <c r="K47" s="1095">
        <f t="shared" si="24"/>
        <v>0.06</v>
      </c>
      <c r="L47" s="1095">
        <f t="shared" si="24"/>
        <v>0.06</v>
      </c>
      <c r="M47" s="1095">
        <f t="shared" si="24"/>
        <v>0.06</v>
      </c>
      <c r="N47" s="1095">
        <f t="shared" si="24"/>
        <v>0.06</v>
      </c>
      <c r="O47" s="1095">
        <f t="shared" si="24"/>
        <v>0.06</v>
      </c>
      <c r="P47" s="1095">
        <f t="shared" si="24"/>
        <v>0.06</v>
      </c>
      <c r="Q47" s="1095">
        <f t="shared" si="24"/>
        <v>0.06</v>
      </c>
      <c r="R47" s="1095">
        <f t="shared" si="24"/>
        <v>0.06</v>
      </c>
      <c r="S47" s="1095">
        <f t="shared" si="24"/>
        <v>0.06</v>
      </c>
      <c r="T47" s="1095">
        <f t="shared" si="24"/>
        <v>0.06</v>
      </c>
      <c r="U47" s="1095">
        <f t="shared" si="24"/>
        <v>0.06</v>
      </c>
      <c r="V47" s="1095">
        <f t="shared" si="24"/>
        <v>0.06</v>
      </c>
      <c r="W47" s="1095">
        <f t="shared" si="24"/>
        <v>0.06</v>
      </c>
      <c r="X47" s="1095">
        <f t="shared" si="24"/>
        <v>0.06</v>
      </c>
      <c r="Y47" s="1095">
        <f t="shared" si="24"/>
        <v>0.06</v>
      </c>
      <c r="Z47" s="1095">
        <f t="shared" si="24"/>
        <v>0.06</v>
      </c>
      <c r="AA47" s="1095">
        <f t="shared" si="24"/>
        <v>0.06</v>
      </c>
      <c r="AB47" s="1095">
        <f t="shared" si="24"/>
        <v>0.06</v>
      </c>
      <c r="AC47" s="1095">
        <f t="shared" si="24"/>
        <v>0.06</v>
      </c>
      <c r="AD47" s="1095">
        <f t="shared" si="24"/>
        <v>0.06</v>
      </c>
      <c r="AE47" s="1095">
        <f t="shared" si="24"/>
        <v>0.06</v>
      </c>
      <c r="AF47" s="1095">
        <f t="shared" si="24"/>
        <v>0.06</v>
      </c>
      <c r="AG47" s="1095">
        <f t="shared" si="24"/>
        <v>0.06</v>
      </c>
      <c r="AH47" s="1095">
        <f t="shared" si="24"/>
        <v>0.06</v>
      </c>
      <c r="AI47" s="1096">
        <f t="shared" si="24"/>
        <v>0.06</v>
      </c>
      <c r="AJ47" s="1605">
        <f>IF(AND(DASHBOARD!$K$138=2,DASHBOARD!$BC$134=1),1,0)</f>
        <v>0</v>
      </c>
    </row>
    <row r="48" spans="2:36" s="289" customFormat="1" outlineLevel="1" x14ac:dyDescent="0.3">
      <c r="B48" s="706" t="str">
        <f>DASHBOARD!AQ119</f>
        <v>Repairs &amp; Maintenance</v>
      </c>
      <c r="C48" s="309">
        <f>IFERROR(SUM(E48:AI48),0)</f>
        <v>0</v>
      </c>
      <c r="D48" s="127"/>
      <c r="E48" s="134">
        <f>IF(OR(E5=3,thumb&lt;&gt;0),0,HIDE5!Q64)</f>
        <v>0</v>
      </c>
      <c r="F48" s="134">
        <f>IF(thumb&lt;&gt;0,0,CHOOSE(F$5,CHOOSE(DASHBOARD!$K$139,-DASHBOARD!$BD119,-FORECASTS!F49)*F$19,CHOOSE(DASHBOARD!$K$139,-DASHBOARD!$BD119,-FORECASTS!F49)*F$19,0))</f>
        <v>0</v>
      </c>
      <c r="G48" s="134">
        <f>IF(thumb&lt;&gt;0,0,CHOOSE(G$5,CHOOSE(DASHBOARD!$K$139,-DASHBOARD!$BD119,-FORECASTS!G49)*G$19,CHOOSE(DASHBOARD!$K$139,-DASHBOARD!$BD119,-FORECASTS!G49)*G$19,0))</f>
        <v>0</v>
      </c>
      <c r="H48" s="134">
        <f>IF(thumb&lt;&gt;0,0,CHOOSE(H$5,CHOOSE(DASHBOARD!$K$139,-DASHBOARD!$BD119,-FORECASTS!H49)*H$19,CHOOSE(DASHBOARD!$K$139,-DASHBOARD!$BD119,-FORECASTS!H49)*H$19,0))</f>
        <v>0</v>
      </c>
      <c r="I48" s="134">
        <f>IF(thumb&lt;&gt;0,0,CHOOSE(I$5,CHOOSE(DASHBOARD!$K$139,-DASHBOARD!$BD119,-FORECASTS!I49)*I$19,CHOOSE(DASHBOARD!$K$139,-DASHBOARD!$BD119,-FORECASTS!I49)*I$19,0))</f>
        <v>0</v>
      </c>
      <c r="J48" s="134">
        <f>IF(thumb&lt;&gt;0,0,CHOOSE(J$5,CHOOSE(DASHBOARD!$K$139,-DASHBOARD!$BD119,-FORECASTS!J49)*J$19,CHOOSE(DASHBOARD!$K$139,-DASHBOARD!$BD119,-FORECASTS!J49)*J$19,0))</f>
        <v>0</v>
      </c>
      <c r="K48" s="134">
        <f>IF(thumb&lt;&gt;0,0,CHOOSE(K$5,CHOOSE(DASHBOARD!$K$139,-DASHBOARD!$BD119,-FORECASTS!K49)*K$19,CHOOSE(DASHBOARD!$K$139,-DASHBOARD!$BD119,-FORECASTS!K49)*K$19,0))</f>
        <v>0</v>
      </c>
      <c r="L48" s="134">
        <f>IF(thumb&lt;&gt;0,0,CHOOSE(L$5,CHOOSE(DASHBOARD!$K$139,-DASHBOARD!$BD119,-FORECASTS!L49)*L$19,CHOOSE(DASHBOARD!$K$139,-DASHBOARD!$BD119,-FORECASTS!L49)*L$19,0))</f>
        <v>0</v>
      </c>
      <c r="M48" s="134">
        <f>IF(thumb&lt;&gt;0,0,CHOOSE(M$5,CHOOSE(DASHBOARD!$K$139,-DASHBOARD!$BD119,-FORECASTS!M49)*M$19,CHOOSE(DASHBOARD!$K$139,-DASHBOARD!$BD119,-FORECASTS!M49)*M$19,0))</f>
        <v>0</v>
      </c>
      <c r="N48" s="134">
        <f>IF(thumb&lt;&gt;0,0,CHOOSE(N$5,CHOOSE(DASHBOARD!$K$139,-DASHBOARD!$BD119,-FORECASTS!N49)*N$19,CHOOSE(DASHBOARD!$K$139,-DASHBOARD!$BD119,-FORECASTS!N49)*N$19,0))</f>
        <v>0</v>
      </c>
      <c r="O48" s="134">
        <f>IF(thumb&lt;&gt;0,0,CHOOSE(O$5,CHOOSE(DASHBOARD!$K$139,-DASHBOARD!$BD119,-FORECASTS!O49)*O$19,CHOOSE(DASHBOARD!$K$139,-DASHBOARD!$BD119,-FORECASTS!O49)*O$19,0))</f>
        <v>0</v>
      </c>
      <c r="P48" s="134">
        <f>IF(thumb&lt;&gt;0,0,CHOOSE(P$5,CHOOSE(DASHBOARD!$K$139,-DASHBOARD!$BD119,-FORECASTS!P49)*P$19,CHOOSE(DASHBOARD!$K$139,-DASHBOARD!$BD119,-FORECASTS!P49)*P$19,0))</f>
        <v>0</v>
      </c>
      <c r="Q48" s="134">
        <f>IF(thumb&lt;&gt;0,0,CHOOSE(Q$5,CHOOSE(DASHBOARD!$K$139,-DASHBOARD!$BD119,-FORECASTS!Q49)*Q$19,CHOOSE(DASHBOARD!$K$139,-DASHBOARD!$BD119,-FORECASTS!Q49)*Q$19,0))</f>
        <v>0</v>
      </c>
      <c r="R48" s="134">
        <f>IF(thumb&lt;&gt;0,0,CHOOSE(R$5,CHOOSE(DASHBOARD!$K$139,-DASHBOARD!$BD119,-FORECASTS!R49)*R$19,CHOOSE(DASHBOARD!$K$139,-DASHBOARD!$BD119,-FORECASTS!R49)*R$19,0))</f>
        <v>0</v>
      </c>
      <c r="S48" s="134">
        <f>IF(thumb&lt;&gt;0,0,CHOOSE(S$5,CHOOSE(DASHBOARD!$K$139,-DASHBOARD!$BD119,-FORECASTS!S49)*S$19,CHOOSE(DASHBOARD!$K$139,-DASHBOARD!$BD119,-FORECASTS!S49)*S$19,0))</f>
        <v>0</v>
      </c>
      <c r="T48" s="134">
        <f>IF(thumb&lt;&gt;0,0,CHOOSE(T$5,CHOOSE(DASHBOARD!$K$139,-DASHBOARD!$BD119,-FORECASTS!T49)*T$19,CHOOSE(DASHBOARD!$K$139,-DASHBOARD!$BD119,-FORECASTS!T49)*T$19,0))</f>
        <v>0</v>
      </c>
      <c r="U48" s="134">
        <f>IF(thumb&lt;&gt;0,0,CHOOSE(U$5,CHOOSE(DASHBOARD!$K$139,-DASHBOARD!$BD119,-FORECASTS!U49)*U$19,CHOOSE(DASHBOARD!$K$139,-DASHBOARD!$BD119,-FORECASTS!U49)*U$19,0))</f>
        <v>0</v>
      </c>
      <c r="V48" s="134">
        <f>IF(thumb&lt;&gt;0,0,CHOOSE(V$5,CHOOSE(DASHBOARD!$K$139,-DASHBOARD!$BD119,-FORECASTS!V49)*V$19,CHOOSE(DASHBOARD!$K$139,-DASHBOARD!$BD119,-FORECASTS!V49)*V$19,0))</f>
        <v>0</v>
      </c>
      <c r="W48" s="134">
        <f>IF(thumb&lt;&gt;0,0,CHOOSE(W$5,CHOOSE(DASHBOARD!$K$139,-DASHBOARD!$BD119,-FORECASTS!W49)*W$19,CHOOSE(DASHBOARD!$K$139,-DASHBOARD!$BD119,-FORECASTS!W49)*W$19,0))</f>
        <v>0</v>
      </c>
      <c r="X48" s="134">
        <f>IF(thumb&lt;&gt;0,0,CHOOSE(X$5,CHOOSE(DASHBOARD!$K$139,-DASHBOARD!$BD119,-FORECASTS!X49)*X$19,CHOOSE(DASHBOARD!$K$139,-DASHBOARD!$BD119,-FORECASTS!X49)*X$19,0))</f>
        <v>0</v>
      </c>
      <c r="Y48" s="134">
        <f>IF(thumb&lt;&gt;0,0,CHOOSE(Y$5,CHOOSE(DASHBOARD!$K$139,-DASHBOARD!$BD119,-FORECASTS!Y49)*Y$19,CHOOSE(DASHBOARD!$K$139,-DASHBOARD!$BD119,-FORECASTS!Y49)*Y$19,0))</f>
        <v>0</v>
      </c>
      <c r="Z48" s="134">
        <f>IF(thumb&lt;&gt;0,0,CHOOSE(Z$5,CHOOSE(DASHBOARD!$K$139,-DASHBOARD!$BD119,-FORECASTS!Z49)*Z$19,CHOOSE(DASHBOARD!$K$139,-DASHBOARD!$BD119,-FORECASTS!Z49)*Z$19,0))</f>
        <v>0</v>
      </c>
      <c r="AA48" s="134">
        <f>IF(thumb&lt;&gt;0,0,CHOOSE(AA$5,CHOOSE(DASHBOARD!$K$139,-DASHBOARD!$BD119,-FORECASTS!AA49)*AA$19,CHOOSE(DASHBOARD!$K$139,-DASHBOARD!$BD119,-FORECASTS!AA49)*AA$19,0))</f>
        <v>0</v>
      </c>
      <c r="AB48" s="134">
        <f>IF(thumb&lt;&gt;0,0,CHOOSE(AB$5,CHOOSE(DASHBOARD!$K$139,-DASHBOARD!$BD119,-FORECASTS!AB49)*AB$19,CHOOSE(DASHBOARD!$K$139,-DASHBOARD!$BD119,-FORECASTS!AB49)*AB$19,0))</f>
        <v>0</v>
      </c>
      <c r="AC48" s="134">
        <f>IF(thumb&lt;&gt;0,0,CHOOSE(AC$5,CHOOSE(DASHBOARD!$K$139,-DASHBOARD!$BD119,-FORECASTS!AC49)*AC$19,CHOOSE(DASHBOARD!$K$139,-DASHBOARD!$BD119,-FORECASTS!AC49)*AC$19,0))</f>
        <v>0</v>
      </c>
      <c r="AD48" s="134">
        <f>IF(thumb&lt;&gt;0,0,CHOOSE(AD$5,CHOOSE(DASHBOARD!$K$139,-DASHBOARD!$BD119,-FORECASTS!AD49)*AD$19,CHOOSE(DASHBOARD!$K$139,-DASHBOARD!$BD119,-FORECASTS!AD49)*AD$19,0))</f>
        <v>0</v>
      </c>
      <c r="AE48" s="134">
        <f>IF(thumb&lt;&gt;0,0,CHOOSE(AE$5,CHOOSE(DASHBOARD!$K$139,-DASHBOARD!$BD119,-FORECASTS!AE49)*AE$19,CHOOSE(DASHBOARD!$K$139,-DASHBOARD!$BD119,-FORECASTS!AE49)*AE$19,0))</f>
        <v>0</v>
      </c>
      <c r="AF48" s="134">
        <f>IF(thumb&lt;&gt;0,0,CHOOSE(AF$5,CHOOSE(DASHBOARD!$K$139,-DASHBOARD!$BD119,-FORECASTS!AF49)*AF$19,CHOOSE(DASHBOARD!$K$139,-DASHBOARD!$BD119,-FORECASTS!AF49)*AF$19,0))</f>
        <v>0</v>
      </c>
      <c r="AG48" s="134">
        <f>IF(thumb&lt;&gt;0,0,CHOOSE(AG$5,CHOOSE(DASHBOARD!$K$139,-DASHBOARD!$BD119,-FORECASTS!AG49)*AG$19,CHOOSE(DASHBOARD!$K$139,-DASHBOARD!$BD119,-FORECASTS!AG49)*AG$19,0))</f>
        <v>0</v>
      </c>
      <c r="AH48" s="134">
        <f>IF(thumb&lt;&gt;0,0,CHOOSE(AH$5,CHOOSE(DASHBOARD!$K$139,-DASHBOARD!$BD119,-FORECASTS!AH49)*AH$19,CHOOSE(DASHBOARD!$K$139,-DASHBOARD!$BD119,-FORECASTS!AH49)*AH$19,0))</f>
        <v>0</v>
      </c>
      <c r="AI48" s="708">
        <f>IF(thumb&lt;&gt;0,0,CHOOSE(AI$5,CHOOSE(DASHBOARD!$K$139,-DASHBOARD!$BD119,-FORECASTS!AI49)*AI$19,CHOOSE(DASHBOARD!$K$139,-DASHBOARD!$BD119,-FORECASTS!AI49)*AI$19,0))</f>
        <v>0</v>
      </c>
      <c r="AJ48" s="1605">
        <v>1</v>
      </c>
    </row>
    <row r="49" spans="2:36" s="289" customFormat="1" hidden="1" outlineLevel="1" x14ac:dyDescent="0.3">
      <c r="B49" s="776" t="s">
        <v>585</v>
      </c>
      <c r="C49" s="966"/>
      <c r="D49" s="127"/>
      <c r="E49" s="973">
        <f>DASHBOARD!BD119</f>
        <v>0.05</v>
      </c>
      <c r="F49" s="1095">
        <f t="shared" ref="F49:AI49" si="25">E49</f>
        <v>0.05</v>
      </c>
      <c r="G49" s="1095">
        <f t="shared" si="25"/>
        <v>0.05</v>
      </c>
      <c r="H49" s="1095">
        <f t="shared" si="25"/>
        <v>0.05</v>
      </c>
      <c r="I49" s="1095">
        <f t="shared" si="25"/>
        <v>0.05</v>
      </c>
      <c r="J49" s="1095">
        <f t="shared" si="25"/>
        <v>0.05</v>
      </c>
      <c r="K49" s="1095">
        <f t="shared" si="25"/>
        <v>0.05</v>
      </c>
      <c r="L49" s="1095">
        <f t="shared" si="25"/>
        <v>0.05</v>
      </c>
      <c r="M49" s="1095">
        <f t="shared" si="25"/>
        <v>0.05</v>
      </c>
      <c r="N49" s="1095">
        <f t="shared" si="25"/>
        <v>0.05</v>
      </c>
      <c r="O49" s="1095">
        <f t="shared" si="25"/>
        <v>0.05</v>
      </c>
      <c r="P49" s="1095">
        <f t="shared" si="25"/>
        <v>0.05</v>
      </c>
      <c r="Q49" s="1095">
        <f t="shared" si="25"/>
        <v>0.05</v>
      </c>
      <c r="R49" s="1095">
        <f t="shared" si="25"/>
        <v>0.05</v>
      </c>
      <c r="S49" s="1095">
        <f t="shared" si="25"/>
        <v>0.05</v>
      </c>
      <c r="T49" s="1095">
        <f t="shared" si="25"/>
        <v>0.05</v>
      </c>
      <c r="U49" s="1095">
        <f t="shared" si="25"/>
        <v>0.05</v>
      </c>
      <c r="V49" s="1095">
        <f t="shared" si="25"/>
        <v>0.05</v>
      </c>
      <c r="W49" s="1095">
        <f t="shared" si="25"/>
        <v>0.05</v>
      </c>
      <c r="X49" s="1095">
        <f t="shared" si="25"/>
        <v>0.05</v>
      </c>
      <c r="Y49" s="1095">
        <f t="shared" si="25"/>
        <v>0.05</v>
      </c>
      <c r="Z49" s="1095">
        <f t="shared" si="25"/>
        <v>0.05</v>
      </c>
      <c r="AA49" s="1095">
        <f t="shared" si="25"/>
        <v>0.05</v>
      </c>
      <c r="AB49" s="1095">
        <f t="shared" si="25"/>
        <v>0.05</v>
      </c>
      <c r="AC49" s="1095">
        <f t="shared" si="25"/>
        <v>0.05</v>
      </c>
      <c r="AD49" s="1095">
        <f t="shared" si="25"/>
        <v>0.05</v>
      </c>
      <c r="AE49" s="1095">
        <f t="shared" si="25"/>
        <v>0.05</v>
      </c>
      <c r="AF49" s="1095">
        <f t="shared" si="25"/>
        <v>0.05</v>
      </c>
      <c r="AG49" s="1095">
        <f t="shared" si="25"/>
        <v>0.05</v>
      </c>
      <c r="AH49" s="1095">
        <f t="shared" si="25"/>
        <v>0.05</v>
      </c>
      <c r="AI49" s="1096">
        <f t="shared" si="25"/>
        <v>0.05</v>
      </c>
      <c r="AJ49" s="1605">
        <f>IF(AND(DASHBOARD!$K$139=2,DASHBOARD!$BC$134=1),1,0)</f>
        <v>0</v>
      </c>
    </row>
    <row r="50" spans="2:36" s="289" customFormat="1" outlineLevel="1" x14ac:dyDescent="0.3">
      <c r="B50" s="706" t="str">
        <f>DASHBOARD!AQ120</f>
        <v xml:space="preserve">Property Management </v>
      </c>
      <c r="C50" s="309">
        <f>IFERROR(SUM(E50:AI50),0)</f>
        <v>0</v>
      </c>
      <c r="D50" s="127"/>
      <c r="E50" s="134">
        <f>IF(OR(E5=3,thumb&lt;&gt;0),0,HIDE5!Q65)</f>
        <v>0</v>
      </c>
      <c r="F50" s="134">
        <f>IF(thumb&lt;&gt;0,0,CHOOSE(F$5,CHOOSE(DASHBOARD!$K$139,-DASHBOARD!$BD120,-FORECASTS!F51)*F$19,CHOOSE(DASHBOARD!$K$139,-DASHBOARD!$BD120,-FORECASTS!F51)*F$19,0))</f>
        <v>0</v>
      </c>
      <c r="G50" s="134">
        <f>IF(thumb&lt;&gt;0,0,CHOOSE(G$5,CHOOSE(DASHBOARD!$K$139,-DASHBOARD!$BD120,-FORECASTS!G51)*G$19,CHOOSE(DASHBOARD!$K$139,-DASHBOARD!$BD120,-FORECASTS!G51)*G$19,0))</f>
        <v>0</v>
      </c>
      <c r="H50" s="134">
        <f>IF(thumb&lt;&gt;0,0,CHOOSE(H$5,CHOOSE(DASHBOARD!$K$139,-DASHBOARD!$BD120,-FORECASTS!H51)*H$19,CHOOSE(DASHBOARD!$K$139,-DASHBOARD!$BD120,-FORECASTS!H51)*H$19,0))</f>
        <v>0</v>
      </c>
      <c r="I50" s="134">
        <f>IF(thumb&lt;&gt;0,0,CHOOSE(I$5,CHOOSE(DASHBOARD!$K$139,-DASHBOARD!$BD120,-FORECASTS!I51)*I$19,CHOOSE(DASHBOARD!$K$139,-DASHBOARD!$BD120,-FORECASTS!I51)*I$19,0))</f>
        <v>0</v>
      </c>
      <c r="J50" s="134">
        <f>IF(thumb&lt;&gt;0,0,CHOOSE(J$5,CHOOSE(DASHBOARD!$K$139,-DASHBOARD!$BD120,-FORECASTS!J51)*J$19,CHOOSE(DASHBOARD!$K$139,-DASHBOARD!$BD120,-FORECASTS!J51)*J$19,0))</f>
        <v>0</v>
      </c>
      <c r="K50" s="134">
        <f>IF(thumb&lt;&gt;0,0,CHOOSE(K$5,CHOOSE(DASHBOARD!$K$139,-DASHBOARD!$BD120,-FORECASTS!K51)*K$19,CHOOSE(DASHBOARD!$K$139,-DASHBOARD!$BD120,-FORECASTS!K51)*K$19,0))</f>
        <v>0</v>
      </c>
      <c r="L50" s="134">
        <f>IF(thumb&lt;&gt;0,0,CHOOSE(L$5,CHOOSE(DASHBOARD!$K$139,-DASHBOARD!$BD120,-FORECASTS!L51)*L$19,CHOOSE(DASHBOARD!$K$139,-DASHBOARD!$BD120,-FORECASTS!L51)*L$19,0))</f>
        <v>0</v>
      </c>
      <c r="M50" s="134">
        <f>IF(thumb&lt;&gt;0,0,CHOOSE(M$5,CHOOSE(DASHBOARD!$K$139,-DASHBOARD!$BD120,-FORECASTS!M51)*M$19,CHOOSE(DASHBOARD!$K$139,-DASHBOARD!$BD120,-FORECASTS!M51)*M$19,0))</f>
        <v>0</v>
      </c>
      <c r="N50" s="134">
        <f>IF(thumb&lt;&gt;0,0,CHOOSE(N$5,CHOOSE(DASHBOARD!$K$139,-DASHBOARD!$BD120,-FORECASTS!N51)*N$19,CHOOSE(DASHBOARD!$K$139,-DASHBOARD!$BD120,-FORECASTS!N51)*N$19,0))</f>
        <v>0</v>
      </c>
      <c r="O50" s="134">
        <f>IF(thumb&lt;&gt;0,0,CHOOSE(O$5,CHOOSE(DASHBOARD!$K$139,-DASHBOARD!$BD120,-FORECASTS!O51)*O$19,CHOOSE(DASHBOARD!$K$139,-DASHBOARD!$BD120,-FORECASTS!O51)*O$19,0))</f>
        <v>0</v>
      </c>
      <c r="P50" s="134">
        <f>IF(thumb&lt;&gt;0,0,CHOOSE(P$5,CHOOSE(DASHBOARD!$K$139,-DASHBOARD!$BD120,-FORECASTS!P51)*P$19,CHOOSE(DASHBOARD!$K$139,-DASHBOARD!$BD120,-FORECASTS!P51)*P$19,0))</f>
        <v>0</v>
      </c>
      <c r="Q50" s="134">
        <f>IF(thumb&lt;&gt;0,0,CHOOSE(Q$5,CHOOSE(DASHBOARD!$K$139,-DASHBOARD!$BD120,-FORECASTS!Q51)*Q$19,CHOOSE(DASHBOARD!$K$139,-DASHBOARD!$BD120,-FORECASTS!Q51)*Q$19,0))</f>
        <v>0</v>
      </c>
      <c r="R50" s="134">
        <f>IF(thumb&lt;&gt;0,0,CHOOSE(R$5,CHOOSE(DASHBOARD!$K$139,-DASHBOARD!$BD120,-FORECASTS!R51)*R$19,CHOOSE(DASHBOARD!$K$139,-DASHBOARD!$BD120,-FORECASTS!R51)*R$19,0))</f>
        <v>0</v>
      </c>
      <c r="S50" s="134">
        <f>IF(thumb&lt;&gt;0,0,CHOOSE(S$5,CHOOSE(DASHBOARD!$K$139,-DASHBOARD!$BD120,-FORECASTS!S51)*S$19,CHOOSE(DASHBOARD!$K$139,-DASHBOARD!$BD120,-FORECASTS!S51)*S$19,0))</f>
        <v>0</v>
      </c>
      <c r="T50" s="134">
        <f>IF(thumb&lt;&gt;0,0,CHOOSE(T$5,CHOOSE(DASHBOARD!$K$139,-DASHBOARD!$BD120,-FORECASTS!T51)*T$19,CHOOSE(DASHBOARD!$K$139,-DASHBOARD!$BD120,-FORECASTS!T51)*T$19,0))</f>
        <v>0</v>
      </c>
      <c r="U50" s="134">
        <f>IF(thumb&lt;&gt;0,0,CHOOSE(U$5,CHOOSE(DASHBOARD!$K$139,-DASHBOARD!$BD120,-FORECASTS!U51)*U$19,CHOOSE(DASHBOARD!$K$139,-DASHBOARD!$BD120,-FORECASTS!U51)*U$19,0))</f>
        <v>0</v>
      </c>
      <c r="V50" s="134">
        <f>IF(thumb&lt;&gt;0,0,CHOOSE(V$5,CHOOSE(DASHBOARD!$K$139,-DASHBOARD!$BD120,-FORECASTS!V51)*V$19,CHOOSE(DASHBOARD!$K$139,-DASHBOARD!$BD120,-FORECASTS!V51)*V$19,0))</f>
        <v>0</v>
      </c>
      <c r="W50" s="134">
        <f>IF(thumb&lt;&gt;0,0,CHOOSE(W$5,CHOOSE(DASHBOARD!$K$139,-DASHBOARD!$BD120,-FORECASTS!W51)*W$19,CHOOSE(DASHBOARD!$K$139,-DASHBOARD!$BD120,-FORECASTS!W51)*W$19,0))</f>
        <v>0</v>
      </c>
      <c r="X50" s="134">
        <f>IF(thumb&lt;&gt;0,0,CHOOSE(X$5,CHOOSE(DASHBOARD!$K$139,-DASHBOARD!$BD120,-FORECASTS!X51)*X$19,CHOOSE(DASHBOARD!$K$139,-DASHBOARD!$BD120,-FORECASTS!X51)*X$19,0))</f>
        <v>0</v>
      </c>
      <c r="Y50" s="134">
        <f>IF(thumb&lt;&gt;0,0,CHOOSE(Y$5,CHOOSE(DASHBOARD!$K$139,-DASHBOARD!$BD120,-FORECASTS!Y51)*Y$19,CHOOSE(DASHBOARD!$K$139,-DASHBOARD!$BD120,-FORECASTS!Y51)*Y$19,0))</f>
        <v>0</v>
      </c>
      <c r="Z50" s="134">
        <f>IF(thumb&lt;&gt;0,0,CHOOSE(Z$5,CHOOSE(DASHBOARD!$K$139,-DASHBOARD!$BD120,-FORECASTS!Z51)*Z$19,CHOOSE(DASHBOARD!$K$139,-DASHBOARD!$BD120,-FORECASTS!Z51)*Z$19,0))</f>
        <v>0</v>
      </c>
      <c r="AA50" s="134">
        <f>IF(thumb&lt;&gt;0,0,CHOOSE(AA$5,CHOOSE(DASHBOARD!$K$139,-DASHBOARD!$BD120,-FORECASTS!AA51)*AA$19,CHOOSE(DASHBOARD!$K$139,-DASHBOARD!$BD120,-FORECASTS!AA51)*AA$19,0))</f>
        <v>0</v>
      </c>
      <c r="AB50" s="134">
        <f>IF(thumb&lt;&gt;0,0,CHOOSE(AB$5,CHOOSE(DASHBOARD!$K$139,-DASHBOARD!$BD120,-FORECASTS!AB51)*AB$19,CHOOSE(DASHBOARD!$K$139,-DASHBOARD!$BD120,-FORECASTS!AB51)*AB$19,0))</f>
        <v>0</v>
      </c>
      <c r="AC50" s="134">
        <f>IF(thumb&lt;&gt;0,0,CHOOSE(AC$5,CHOOSE(DASHBOARD!$K$139,-DASHBOARD!$BD120,-FORECASTS!AC51)*AC$19,CHOOSE(DASHBOARD!$K$139,-DASHBOARD!$BD120,-FORECASTS!AC51)*AC$19,0))</f>
        <v>0</v>
      </c>
      <c r="AD50" s="134">
        <f>IF(thumb&lt;&gt;0,0,CHOOSE(AD$5,CHOOSE(DASHBOARD!$K$139,-DASHBOARD!$BD120,-FORECASTS!AD51)*AD$19,CHOOSE(DASHBOARD!$K$139,-DASHBOARD!$BD120,-FORECASTS!AD51)*AD$19,0))</f>
        <v>0</v>
      </c>
      <c r="AE50" s="134">
        <f>IF(thumb&lt;&gt;0,0,CHOOSE(AE$5,CHOOSE(DASHBOARD!$K$139,-DASHBOARD!$BD120,-FORECASTS!AE51)*AE$19,CHOOSE(DASHBOARD!$K$139,-DASHBOARD!$BD120,-FORECASTS!AE51)*AE$19,0))</f>
        <v>0</v>
      </c>
      <c r="AF50" s="134">
        <f>IF(thumb&lt;&gt;0,0,CHOOSE(AF$5,CHOOSE(DASHBOARD!$K$139,-DASHBOARD!$BD120,-FORECASTS!AF51)*AF$19,CHOOSE(DASHBOARD!$K$139,-DASHBOARD!$BD120,-FORECASTS!AF51)*AF$19,0))</f>
        <v>0</v>
      </c>
      <c r="AG50" s="134">
        <f>IF(thumb&lt;&gt;0,0,CHOOSE(AG$5,CHOOSE(DASHBOARD!$K$139,-DASHBOARD!$BD120,-FORECASTS!AG51)*AG$19,CHOOSE(DASHBOARD!$K$139,-DASHBOARD!$BD120,-FORECASTS!AG51)*AG$19,0))</f>
        <v>0</v>
      </c>
      <c r="AH50" s="134">
        <f>IF(thumb&lt;&gt;0,0,CHOOSE(AH$5,CHOOSE(DASHBOARD!$K$139,-DASHBOARD!$BD120,-FORECASTS!AH51)*AH$19,CHOOSE(DASHBOARD!$K$139,-DASHBOARD!$BD120,-FORECASTS!AH51)*AH$19,0))</f>
        <v>0</v>
      </c>
      <c r="AI50" s="708">
        <f>IF(thumb&lt;&gt;0,0,CHOOSE(AI$5,CHOOSE(DASHBOARD!$K$139,-DASHBOARD!$BD120,-FORECASTS!AI51)*AI$19,CHOOSE(DASHBOARD!$K$139,-DASHBOARD!$BD120,-FORECASTS!AI51)*AI$19,0))</f>
        <v>0</v>
      </c>
      <c r="AJ50" s="1605">
        <v>1</v>
      </c>
    </row>
    <row r="51" spans="2:36" s="289" customFormat="1" hidden="1" outlineLevel="1" x14ac:dyDescent="0.3">
      <c r="B51" s="776" t="s">
        <v>585</v>
      </c>
      <c r="C51" s="966"/>
      <c r="D51" s="127"/>
      <c r="E51" s="973">
        <f>DASHBOARD!BD120</f>
        <v>0</v>
      </c>
      <c r="F51" s="1095">
        <f t="shared" ref="F51:AI51" si="26">E51</f>
        <v>0</v>
      </c>
      <c r="G51" s="1095">
        <f t="shared" si="26"/>
        <v>0</v>
      </c>
      <c r="H51" s="1095">
        <f t="shared" si="26"/>
        <v>0</v>
      </c>
      <c r="I51" s="1095">
        <f t="shared" si="26"/>
        <v>0</v>
      </c>
      <c r="J51" s="1095">
        <f t="shared" si="26"/>
        <v>0</v>
      </c>
      <c r="K51" s="1095">
        <f t="shared" si="26"/>
        <v>0</v>
      </c>
      <c r="L51" s="1095">
        <f t="shared" si="26"/>
        <v>0</v>
      </c>
      <c r="M51" s="1095">
        <f t="shared" si="26"/>
        <v>0</v>
      </c>
      <c r="N51" s="1095">
        <f t="shared" si="26"/>
        <v>0</v>
      </c>
      <c r="O51" s="1095">
        <f t="shared" si="26"/>
        <v>0</v>
      </c>
      <c r="P51" s="1095">
        <f t="shared" si="26"/>
        <v>0</v>
      </c>
      <c r="Q51" s="1095">
        <f t="shared" si="26"/>
        <v>0</v>
      </c>
      <c r="R51" s="1095">
        <f t="shared" si="26"/>
        <v>0</v>
      </c>
      <c r="S51" s="1095">
        <f t="shared" si="26"/>
        <v>0</v>
      </c>
      <c r="T51" s="1095">
        <f t="shared" si="26"/>
        <v>0</v>
      </c>
      <c r="U51" s="1095">
        <f t="shared" si="26"/>
        <v>0</v>
      </c>
      <c r="V51" s="1095">
        <f t="shared" si="26"/>
        <v>0</v>
      </c>
      <c r="W51" s="1095">
        <f t="shared" si="26"/>
        <v>0</v>
      </c>
      <c r="X51" s="1095">
        <f t="shared" si="26"/>
        <v>0</v>
      </c>
      <c r="Y51" s="1095">
        <f t="shared" si="26"/>
        <v>0</v>
      </c>
      <c r="Z51" s="1095">
        <f t="shared" si="26"/>
        <v>0</v>
      </c>
      <c r="AA51" s="1095">
        <f t="shared" si="26"/>
        <v>0</v>
      </c>
      <c r="AB51" s="1095">
        <f t="shared" si="26"/>
        <v>0</v>
      </c>
      <c r="AC51" s="1095">
        <f t="shared" si="26"/>
        <v>0</v>
      </c>
      <c r="AD51" s="1095">
        <f t="shared" si="26"/>
        <v>0</v>
      </c>
      <c r="AE51" s="1095">
        <f t="shared" si="26"/>
        <v>0</v>
      </c>
      <c r="AF51" s="1095">
        <f t="shared" si="26"/>
        <v>0</v>
      </c>
      <c r="AG51" s="1095">
        <f t="shared" si="26"/>
        <v>0</v>
      </c>
      <c r="AH51" s="1095">
        <f t="shared" si="26"/>
        <v>0</v>
      </c>
      <c r="AI51" s="1096">
        <f t="shared" si="26"/>
        <v>0</v>
      </c>
      <c r="AJ51" s="1605">
        <f>IF(AND(DASHBOARD!$K$139=2,DASHBOARD!$BC$134=1),1,0)</f>
        <v>0</v>
      </c>
    </row>
    <row r="52" spans="2:36" s="289" customFormat="1" outlineLevel="1" x14ac:dyDescent="0.3">
      <c r="B52" s="706" t="str">
        <f>DASHBOARD!AQ121</f>
        <v>Vacancy Insurance</v>
      </c>
      <c r="C52" s="309">
        <f>IFERROR(SUM(E52:AI52),0)</f>
        <v>0</v>
      </c>
      <c r="D52" s="127"/>
      <c r="E52" s="134">
        <f>IF(OR(E5=3,thumb&lt;&gt;0),0,HIDE5!Q66)</f>
        <v>0</v>
      </c>
      <c r="F52" s="134">
        <f>IF(thumb&lt;&gt;0,0,CHOOSE(F$5,CHOOSE(DASHBOARD!$K$139,-DASHBOARD!$BD121,-FORECASTS!F53)*F$19,CHOOSE(DASHBOARD!$K$139,-DASHBOARD!$BD121,-FORECASTS!F53)*F$19,0))</f>
        <v>0</v>
      </c>
      <c r="G52" s="134">
        <f>IF(thumb&lt;&gt;0,0,CHOOSE(G$5,CHOOSE(DASHBOARD!$K$139,-DASHBOARD!$BD121,-FORECASTS!G53)*G$19,CHOOSE(DASHBOARD!$K$139,-DASHBOARD!$BD121,-FORECASTS!G53)*G$19,0))</f>
        <v>0</v>
      </c>
      <c r="H52" s="134">
        <f>IF(thumb&lt;&gt;0,0,CHOOSE(H$5,CHOOSE(DASHBOARD!$K$139,-DASHBOARD!$BD121,-FORECASTS!H53)*H$19,CHOOSE(DASHBOARD!$K$139,-DASHBOARD!$BD121,-FORECASTS!H53)*H$19,0))</f>
        <v>0</v>
      </c>
      <c r="I52" s="134">
        <f>IF(thumb&lt;&gt;0,0,CHOOSE(I$5,CHOOSE(DASHBOARD!$K$139,-DASHBOARD!$BD121,-FORECASTS!I53)*I$19,CHOOSE(DASHBOARD!$K$139,-DASHBOARD!$BD121,-FORECASTS!I53)*I$19,0))</f>
        <v>0</v>
      </c>
      <c r="J52" s="134">
        <f>IF(thumb&lt;&gt;0,0,CHOOSE(J$5,CHOOSE(DASHBOARD!$K$139,-DASHBOARD!$BD121,-FORECASTS!J53)*J$19,CHOOSE(DASHBOARD!$K$139,-DASHBOARD!$BD121,-FORECASTS!J53)*J$19,0))</f>
        <v>0</v>
      </c>
      <c r="K52" s="134">
        <f>IF(thumb&lt;&gt;0,0,CHOOSE(K$5,CHOOSE(DASHBOARD!$K$139,-DASHBOARD!$BD121,-FORECASTS!K53)*K$19,CHOOSE(DASHBOARD!$K$139,-DASHBOARD!$BD121,-FORECASTS!K53)*K$19,0))</f>
        <v>0</v>
      </c>
      <c r="L52" s="134">
        <f>IF(thumb&lt;&gt;0,0,CHOOSE(L$5,CHOOSE(DASHBOARD!$K$139,-DASHBOARD!$BD121,-FORECASTS!L53)*L$19,CHOOSE(DASHBOARD!$K$139,-DASHBOARD!$BD121,-FORECASTS!L53)*L$19,0))</f>
        <v>0</v>
      </c>
      <c r="M52" s="134">
        <f>IF(thumb&lt;&gt;0,0,CHOOSE(M$5,CHOOSE(DASHBOARD!$K$139,-DASHBOARD!$BD121,-FORECASTS!M53)*M$19,CHOOSE(DASHBOARD!$K$139,-DASHBOARD!$BD121,-FORECASTS!M53)*M$19,0))</f>
        <v>0</v>
      </c>
      <c r="N52" s="134">
        <f>IF(thumb&lt;&gt;0,0,CHOOSE(N$5,CHOOSE(DASHBOARD!$K$139,-DASHBOARD!$BD121,-FORECASTS!N53)*N$19,CHOOSE(DASHBOARD!$K$139,-DASHBOARD!$BD121,-FORECASTS!N53)*N$19,0))</f>
        <v>0</v>
      </c>
      <c r="O52" s="134">
        <f>IF(thumb&lt;&gt;0,0,CHOOSE(O$5,CHOOSE(DASHBOARD!$K$139,-DASHBOARD!$BD121,-FORECASTS!O53)*O$19,CHOOSE(DASHBOARD!$K$139,-DASHBOARD!$BD121,-FORECASTS!O53)*O$19,0))</f>
        <v>0</v>
      </c>
      <c r="P52" s="134">
        <f>IF(thumb&lt;&gt;0,0,CHOOSE(P$5,CHOOSE(DASHBOARD!$K$139,-DASHBOARD!$BD121,-FORECASTS!P53)*P$19,CHOOSE(DASHBOARD!$K$139,-DASHBOARD!$BD121,-FORECASTS!P53)*P$19,0))</f>
        <v>0</v>
      </c>
      <c r="Q52" s="134">
        <f>IF(thumb&lt;&gt;0,0,CHOOSE(Q$5,CHOOSE(DASHBOARD!$K$139,-DASHBOARD!$BD121,-FORECASTS!Q53)*Q$19,CHOOSE(DASHBOARD!$K$139,-DASHBOARD!$BD121,-FORECASTS!Q53)*Q$19,0))</f>
        <v>0</v>
      </c>
      <c r="R52" s="134">
        <f>IF(thumb&lt;&gt;0,0,CHOOSE(R$5,CHOOSE(DASHBOARD!$K$139,-DASHBOARD!$BD121,-FORECASTS!R53)*R$19,CHOOSE(DASHBOARD!$K$139,-DASHBOARD!$BD121,-FORECASTS!R53)*R$19,0))</f>
        <v>0</v>
      </c>
      <c r="S52" s="134">
        <f>IF(thumb&lt;&gt;0,0,CHOOSE(S$5,CHOOSE(DASHBOARD!$K$139,-DASHBOARD!$BD121,-FORECASTS!S53)*S$19,CHOOSE(DASHBOARD!$K$139,-DASHBOARD!$BD121,-FORECASTS!S53)*S$19,0))</f>
        <v>0</v>
      </c>
      <c r="T52" s="134">
        <f>IF(thumb&lt;&gt;0,0,CHOOSE(T$5,CHOOSE(DASHBOARD!$K$139,-DASHBOARD!$BD121,-FORECASTS!T53)*T$19,CHOOSE(DASHBOARD!$K$139,-DASHBOARD!$BD121,-FORECASTS!T53)*T$19,0))</f>
        <v>0</v>
      </c>
      <c r="U52" s="134">
        <f>IF(thumb&lt;&gt;0,0,CHOOSE(U$5,CHOOSE(DASHBOARD!$K$139,-DASHBOARD!$BD121,-FORECASTS!U53)*U$19,CHOOSE(DASHBOARD!$K$139,-DASHBOARD!$BD121,-FORECASTS!U53)*U$19,0))</f>
        <v>0</v>
      </c>
      <c r="V52" s="134">
        <f>IF(thumb&lt;&gt;0,0,CHOOSE(V$5,CHOOSE(DASHBOARD!$K$139,-DASHBOARD!$BD121,-FORECASTS!V53)*V$19,CHOOSE(DASHBOARD!$K$139,-DASHBOARD!$BD121,-FORECASTS!V53)*V$19,0))</f>
        <v>0</v>
      </c>
      <c r="W52" s="134">
        <f>IF(thumb&lt;&gt;0,0,CHOOSE(W$5,CHOOSE(DASHBOARD!$K$139,-DASHBOARD!$BD121,-FORECASTS!W53)*W$19,CHOOSE(DASHBOARD!$K$139,-DASHBOARD!$BD121,-FORECASTS!W53)*W$19,0))</f>
        <v>0</v>
      </c>
      <c r="X52" s="134">
        <f>IF(thumb&lt;&gt;0,0,CHOOSE(X$5,CHOOSE(DASHBOARD!$K$139,-DASHBOARD!$BD121,-FORECASTS!X53)*X$19,CHOOSE(DASHBOARD!$K$139,-DASHBOARD!$BD121,-FORECASTS!X53)*X$19,0))</f>
        <v>0</v>
      </c>
      <c r="Y52" s="134">
        <f>IF(thumb&lt;&gt;0,0,CHOOSE(Y$5,CHOOSE(DASHBOARD!$K$139,-DASHBOARD!$BD121,-FORECASTS!Y53)*Y$19,CHOOSE(DASHBOARD!$K$139,-DASHBOARD!$BD121,-FORECASTS!Y53)*Y$19,0))</f>
        <v>0</v>
      </c>
      <c r="Z52" s="134">
        <f>IF(thumb&lt;&gt;0,0,CHOOSE(Z$5,CHOOSE(DASHBOARD!$K$139,-DASHBOARD!$BD121,-FORECASTS!Z53)*Z$19,CHOOSE(DASHBOARD!$K$139,-DASHBOARD!$BD121,-FORECASTS!Z53)*Z$19,0))</f>
        <v>0</v>
      </c>
      <c r="AA52" s="134">
        <f>IF(thumb&lt;&gt;0,0,CHOOSE(AA$5,CHOOSE(DASHBOARD!$K$139,-DASHBOARD!$BD121,-FORECASTS!AA53)*AA$19,CHOOSE(DASHBOARD!$K$139,-DASHBOARD!$BD121,-FORECASTS!AA53)*AA$19,0))</f>
        <v>0</v>
      </c>
      <c r="AB52" s="134">
        <f>IF(thumb&lt;&gt;0,0,CHOOSE(AB$5,CHOOSE(DASHBOARD!$K$139,-DASHBOARD!$BD121,-FORECASTS!AB53)*AB$19,CHOOSE(DASHBOARD!$K$139,-DASHBOARD!$BD121,-FORECASTS!AB53)*AB$19,0))</f>
        <v>0</v>
      </c>
      <c r="AC52" s="134">
        <f>IF(thumb&lt;&gt;0,0,CHOOSE(AC$5,CHOOSE(DASHBOARD!$K$139,-DASHBOARD!$BD121,-FORECASTS!AC53)*AC$19,CHOOSE(DASHBOARD!$K$139,-DASHBOARD!$BD121,-FORECASTS!AC53)*AC$19,0))</f>
        <v>0</v>
      </c>
      <c r="AD52" s="134">
        <f>IF(thumb&lt;&gt;0,0,CHOOSE(AD$5,CHOOSE(DASHBOARD!$K$139,-DASHBOARD!$BD121,-FORECASTS!AD53)*AD$19,CHOOSE(DASHBOARD!$K$139,-DASHBOARD!$BD121,-FORECASTS!AD53)*AD$19,0))</f>
        <v>0</v>
      </c>
      <c r="AE52" s="134">
        <f>IF(thumb&lt;&gt;0,0,CHOOSE(AE$5,CHOOSE(DASHBOARD!$K$139,-DASHBOARD!$BD121,-FORECASTS!AE53)*AE$19,CHOOSE(DASHBOARD!$K$139,-DASHBOARD!$BD121,-FORECASTS!AE53)*AE$19,0))</f>
        <v>0</v>
      </c>
      <c r="AF52" s="134">
        <f>IF(thumb&lt;&gt;0,0,CHOOSE(AF$5,CHOOSE(DASHBOARD!$K$139,-DASHBOARD!$BD121,-FORECASTS!AF53)*AF$19,CHOOSE(DASHBOARD!$K$139,-DASHBOARD!$BD121,-FORECASTS!AF53)*AF$19,0))</f>
        <v>0</v>
      </c>
      <c r="AG52" s="134">
        <f>IF(thumb&lt;&gt;0,0,CHOOSE(AG$5,CHOOSE(DASHBOARD!$K$139,-DASHBOARD!$BD121,-FORECASTS!AG53)*AG$19,CHOOSE(DASHBOARD!$K$139,-DASHBOARD!$BD121,-FORECASTS!AG53)*AG$19,0))</f>
        <v>0</v>
      </c>
      <c r="AH52" s="134">
        <f>IF(thumb&lt;&gt;0,0,CHOOSE(AH$5,CHOOSE(DASHBOARD!$K$139,-DASHBOARD!$BD121,-FORECASTS!AH53)*AH$19,CHOOSE(DASHBOARD!$K$139,-DASHBOARD!$BD121,-FORECASTS!AH53)*AH$19,0))</f>
        <v>0</v>
      </c>
      <c r="AI52" s="708">
        <f>IF(thumb&lt;&gt;0,0,CHOOSE(AI$5,CHOOSE(DASHBOARD!$K$139,-DASHBOARD!$BD121,-FORECASTS!AI53)*AI$19,CHOOSE(DASHBOARD!$K$139,-DASHBOARD!$BD121,-FORECASTS!AI53)*AI$19,0))</f>
        <v>0</v>
      </c>
      <c r="AJ52" s="1605">
        <v>1</v>
      </c>
    </row>
    <row r="53" spans="2:36" s="289" customFormat="1" hidden="1" outlineLevel="1" x14ac:dyDescent="0.3">
      <c r="B53" s="776" t="s">
        <v>585</v>
      </c>
      <c r="C53" s="966"/>
      <c r="D53" s="127"/>
      <c r="E53" s="973">
        <f>DASHBOARD!BD121</f>
        <v>0</v>
      </c>
      <c r="F53" s="1095">
        <f t="shared" ref="F53:AI53" si="27">E53</f>
        <v>0</v>
      </c>
      <c r="G53" s="1095">
        <f t="shared" si="27"/>
        <v>0</v>
      </c>
      <c r="H53" s="1095">
        <f t="shared" si="27"/>
        <v>0</v>
      </c>
      <c r="I53" s="1095">
        <f t="shared" si="27"/>
        <v>0</v>
      </c>
      <c r="J53" s="1095">
        <f t="shared" si="27"/>
        <v>0</v>
      </c>
      <c r="K53" s="1095">
        <f t="shared" si="27"/>
        <v>0</v>
      </c>
      <c r="L53" s="1095">
        <f t="shared" si="27"/>
        <v>0</v>
      </c>
      <c r="M53" s="1095">
        <f t="shared" si="27"/>
        <v>0</v>
      </c>
      <c r="N53" s="1095">
        <f t="shared" si="27"/>
        <v>0</v>
      </c>
      <c r="O53" s="1095">
        <f t="shared" si="27"/>
        <v>0</v>
      </c>
      <c r="P53" s="1095">
        <f t="shared" si="27"/>
        <v>0</v>
      </c>
      <c r="Q53" s="1095">
        <f t="shared" si="27"/>
        <v>0</v>
      </c>
      <c r="R53" s="1095">
        <f t="shared" si="27"/>
        <v>0</v>
      </c>
      <c r="S53" s="1095">
        <f t="shared" si="27"/>
        <v>0</v>
      </c>
      <c r="T53" s="1095">
        <f t="shared" si="27"/>
        <v>0</v>
      </c>
      <c r="U53" s="1095">
        <f t="shared" si="27"/>
        <v>0</v>
      </c>
      <c r="V53" s="1095">
        <f t="shared" si="27"/>
        <v>0</v>
      </c>
      <c r="W53" s="1095">
        <f t="shared" si="27"/>
        <v>0</v>
      </c>
      <c r="X53" s="1095">
        <f t="shared" si="27"/>
        <v>0</v>
      </c>
      <c r="Y53" s="1095">
        <f t="shared" si="27"/>
        <v>0</v>
      </c>
      <c r="Z53" s="1095">
        <f t="shared" si="27"/>
        <v>0</v>
      </c>
      <c r="AA53" s="1095">
        <f t="shared" si="27"/>
        <v>0</v>
      </c>
      <c r="AB53" s="1095">
        <f t="shared" si="27"/>
        <v>0</v>
      </c>
      <c r="AC53" s="1095">
        <f t="shared" si="27"/>
        <v>0</v>
      </c>
      <c r="AD53" s="1095">
        <f t="shared" si="27"/>
        <v>0</v>
      </c>
      <c r="AE53" s="1095">
        <f t="shared" si="27"/>
        <v>0</v>
      </c>
      <c r="AF53" s="1095">
        <f t="shared" si="27"/>
        <v>0</v>
      </c>
      <c r="AG53" s="1095">
        <f t="shared" si="27"/>
        <v>0</v>
      </c>
      <c r="AH53" s="1095">
        <f t="shared" si="27"/>
        <v>0</v>
      </c>
      <c r="AI53" s="1096">
        <f t="shared" si="27"/>
        <v>0</v>
      </c>
      <c r="AJ53" s="1605">
        <f>IF(AND(DASHBOARD!$K$139=2,DASHBOARD!$BC$134=1),1,0)</f>
        <v>0</v>
      </c>
    </row>
    <row r="54" spans="2:36" s="289" customFormat="1" outlineLevel="1" x14ac:dyDescent="0.3">
      <c r="B54" s="706" t="str">
        <f>DASHBOARD!AQ122</f>
        <v>Rent Insurance</v>
      </c>
      <c r="C54" s="309">
        <f>IFERROR(SUM(E54:AI54),0)</f>
        <v>0</v>
      </c>
      <c r="D54" s="127"/>
      <c r="E54" s="134">
        <f>IF(OR(E5=3,thumb&lt;&gt;0),0,HIDE5!Q67)</f>
        <v>0</v>
      </c>
      <c r="F54" s="134">
        <f>IF(thumb&lt;&gt;0,0,CHOOSE(F$5,CHOOSE(DASHBOARD!$K$139,-DASHBOARD!$BD122,-FORECASTS!F55)*F$19,CHOOSE(DASHBOARD!$K$139,-DASHBOARD!$BD122,-FORECASTS!F55)*F$19,0))</f>
        <v>0</v>
      </c>
      <c r="G54" s="134">
        <f>IF(thumb&lt;&gt;0,0,CHOOSE(G$5,CHOOSE(DASHBOARD!$K$139,-DASHBOARD!$BD122,-FORECASTS!G55)*G$19,CHOOSE(DASHBOARD!$K$139,-DASHBOARD!$BD122,-FORECASTS!G55)*G$19,0))</f>
        <v>0</v>
      </c>
      <c r="H54" s="134">
        <f>IF(thumb&lt;&gt;0,0,CHOOSE(H$5,CHOOSE(DASHBOARD!$K$139,-DASHBOARD!$BD122,-FORECASTS!H55)*H$19,CHOOSE(DASHBOARD!$K$139,-DASHBOARD!$BD122,-FORECASTS!H55)*H$19,0))</f>
        <v>0</v>
      </c>
      <c r="I54" s="134">
        <f>IF(thumb&lt;&gt;0,0,CHOOSE(I$5,CHOOSE(DASHBOARD!$K$139,-DASHBOARD!$BD122,-FORECASTS!I55)*I$19,CHOOSE(DASHBOARD!$K$139,-DASHBOARD!$BD122,-FORECASTS!I55)*I$19,0))</f>
        <v>0</v>
      </c>
      <c r="J54" s="134">
        <f>IF(thumb&lt;&gt;0,0,CHOOSE(J$5,CHOOSE(DASHBOARD!$K$139,-DASHBOARD!$BD122,-FORECASTS!J55)*J$19,CHOOSE(DASHBOARD!$K$139,-DASHBOARD!$BD122,-FORECASTS!J55)*J$19,0))</f>
        <v>0</v>
      </c>
      <c r="K54" s="134">
        <f>IF(thumb&lt;&gt;0,0,CHOOSE(K$5,CHOOSE(DASHBOARD!$K$139,-DASHBOARD!$BD122,-FORECASTS!K55)*K$19,CHOOSE(DASHBOARD!$K$139,-DASHBOARD!$BD122,-FORECASTS!K55)*K$19,0))</f>
        <v>0</v>
      </c>
      <c r="L54" s="134">
        <f>IF(thumb&lt;&gt;0,0,CHOOSE(L$5,CHOOSE(DASHBOARD!$K$139,-DASHBOARD!$BD122,-FORECASTS!L55)*L$19,CHOOSE(DASHBOARD!$K$139,-DASHBOARD!$BD122,-FORECASTS!L55)*L$19,0))</f>
        <v>0</v>
      </c>
      <c r="M54" s="134">
        <f>IF(thumb&lt;&gt;0,0,CHOOSE(M$5,CHOOSE(DASHBOARD!$K$139,-DASHBOARD!$BD122,-FORECASTS!M55)*M$19,CHOOSE(DASHBOARD!$K$139,-DASHBOARD!$BD122,-FORECASTS!M55)*M$19,0))</f>
        <v>0</v>
      </c>
      <c r="N54" s="134">
        <f>IF(thumb&lt;&gt;0,0,CHOOSE(N$5,CHOOSE(DASHBOARD!$K$139,-DASHBOARD!$BD122,-FORECASTS!N55)*N$19,CHOOSE(DASHBOARD!$K$139,-DASHBOARD!$BD122,-FORECASTS!N55)*N$19,0))</f>
        <v>0</v>
      </c>
      <c r="O54" s="134">
        <f>IF(thumb&lt;&gt;0,0,CHOOSE(O$5,CHOOSE(DASHBOARD!$K$139,-DASHBOARD!$BD122,-FORECASTS!O55)*O$19,CHOOSE(DASHBOARD!$K$139,-DASHBOARD!$BD122,-FORECASTS!O55)*O$19,0))</f>
        <v>0</v>
      </c>
      <c r="P54" s="134">
        <f>IF(thumb&lt;&gt;0,0,CHOOSE(P$5,CHOOSE(DASHBOARD!$K$139,-DASHBOARD!$BD122,-FORECASTS!P55)*P$19,CHOOSE(DASHBOARD!$K$139,-DASHBOARD!$BD122,-FORECASTS!P55)*P$19,0))</f>
        <v>0</v>
      </c>
      <c r="Q54" s="134">
        <f>IF(thumb&lt;&gt;0,0,CHOOSE(Q$5,CHOOSE(DASHBOARD!$K$139,-DASHBOARD!$BD122,-FORECASTS!Q55)*Q$19,CHOOSE(DASHBOARD!$K$139,-DASHBOARD!$BD122,-FORECASTS!Q55)*Q$19,0))</f>
        <v>0</v>
      </c>
      <c r="R54" s="134">
        <f>IF(thumb&lt;&gt;0,0,CHOOSE(R$5,CHOOSE(DASHBOARD!$K$139,-DASHBOARD!$BD122,-FORECASTS!R55)*R$19,CHOOSE(DASHBOARD!$K$139,-DASHBOARD!$BD122,-FORECASTS!R55)*R$19,0))</f>
        <v>0</v>
      </c>
      <c r="S54" s="134">
        <f>IF(thumb&lt;&gt;0,0,CHOOSE(S$5,CHOOSE(DASHBOARD!$K$139,-DASHBOARD!$BD122,-FORECASTS!S55)*S$19,CHOOSE(DASHBOARD!$K$139,-DASHBOARD!$BD122,-FORECASTS!S55)*S$19,0))</f>
        <v>0</v>
      </c>
      <c r="T54" s="134">
        <f>IF(thumb&lt;&gt;0,0,CHOOSE(T$5,CHOOSE(DASHBOARD!$K$139,-DASHBOARD!$BD122,-FORECASTS!T55)*T$19,CHOOSE(DASHBOARD!$K$139,-DASHBOARD!$BD122,-FORECASTS!T55)*T$19,0))</f>
        <v>0</v>
      </c>
      <c r="U54" s="134">
        <f>IF(thumb&lt;&gt;0,0,CHOOSE(U$5,CHOOSE(DASHBOARD!$K$139,-DASHBOARD!$BD122,-FORECASTS!U55)*U$19,CHOOSE(DASHBOARD!$K$139,-DASHBOARD!$BD122,-FORECASTS!U55)*U$19,0))</f>
        <v>0</v>
      </c>
      <c r="V54" s="134">
        <f>IF(thumb&lt;&gt;0,0,CHOOSE(V$5,CHOOSE(DASHBOARD!$K$139,-DASHBOARD!$BD122,-FORECASTS!V55)*V$19,CHOOSE(DASHBOARD!$K$139,-DASHBOARD!$BD122,-FORECASTS!V55)*V$19,0))</f>
        <v>0</v>
      </c>
      <c r="W54" s="134">
        <f>IF(thumb&lt;&gt;0,0,CHOOSE(W$5,CHOOSE(DASHBOARD!$K$139,-DASHBOARD!$BD122,-FORECASTS!W55)*W$19,CHOOSE(DASHBOARD!$K$139,-DASHBOARD!$BD122,-FORECASTS!W55)*W$19,0))</f>
        <v>0</v>
      </c>
      <c r="X54" s="134">
        <f>IF(thumb&lt;&gt;0,0,CHOOSE(X$5,CHOOSE(DASHBOARD!$K$139,-DASHBOARD!$BD122,-FORECASTS!X55)*X$19,CHOOSE(DASHBOARD!$K$139,-DASHBOARD!$BD122,-FORECASTS!X55)*X$19,0))</f>
        <v>0</v>
      </c>
      <c r="Y54" s="134">
        <f>IF(thumb&lt;&gt;0,0,CHOOSE(Y$5,CHOOSE(DASHBOARD!$K$139,-DASHBOARD!$BD122,-FORECASTS!Y55)*Y$19,CHOOSE(DASHBOARD!$K$139,-DASHBOARD!$BD122,-FORECASTS!Y55)*Y$19,0))</f>
        <v>0</v>
      </c>
      <c r="Z54" s="134">
        <f>IF(thumb&lt;&gt;0,0,CHOOSE(Z$5,CHOOSE(DASHBOARD!$K$139,-DASHBOARD!$BD122,-FORECASTS!Z55)*Z$19,CHOOSE(DASHBOARD!$K$139,-DASHBOARD!$BD122,-FORECASTS!Z55)*Z$19,0))</f>
        <v>0</v>
      </c>
      <c r="AA54" s="134">
        <f>IF(thumb&lt;&gt;0,0,CHOOSE(AA$5,CHOOSE(DASHBOARD!$K$139,-DASHBOARD!$BD122,-FORECASTS!AA55)*AA$19,CHOOSE(DASHBOARD!$K$139,-DASHBOARD!$BD122,-FORECASTS!AA55)*AA$19,0))</f>
        <v>0</v>
      </c>
      <c r="AB54" s="134">
        <f>IF(thumb&lt;&gt;0,0,CHOOSE(AB$5,CHOOSE(DASHBOARD!$K$139,-DASHBOARD!$BD122,-FORECASTS!AB55)*AB$19,CHOOSE(DASHBOARD!$K$139,-DASHBOARD!$BD122,-FORECASTS!AB55)*AB$19,0))</f>
        <v>0</v>
      </c>
      <c r="AC54" s="134">
        <f>IF(thumb&lt;&gt;0,0,CHOOSE(AC$5,CHOOSE(DASHBOARD!$K$139,-DASHBOARD!$BD122,-FORECASTS!AC55)*AC$19,CHOOSE(DASHBOARD!$K$139,-DASHBOARD!$BD122,-FORECASTS!AC55)*AC$19,0))</f>
        <v>0</v>
      </c>
      <c r="AD54" s="134">
        <f>IF(thumb&lt;&gt;0,0,CHOOSE(AD$5,CHOOSE(DASHBOARD!$K$139,-DASHBOARD!$BD122,-FORECASTS!AD55)*AD$19,CHOOSE(DASHBOARD!$K$139,-DASHBOARD!$BD122,-FORECASTS!AD55)*AD$19,0))</f>
        <v>0</v>
      </c>
      <c r="AE54" s="134">
        <f>IF(thumb&lt;&gt;0,0,CHOOSE(AE$5,CHOOSE(DASHBOARD!$K$139,-DASHBOARD!$BD122,-FORECASTS!AE55)*AE$19,CHOOSE(DASHBOARD!$K$139,-DASHBOARD!$BD122,-FORECASTS!AE55)*AE$19,0))</f>
        <v>0</v>
      </c>
      <c r="AF54" s="134">
        <f>IF(thumb&lt;&gt;0,0,CHOOSE(AF$5,CHOOSE(DASHBOARD!$K$139,-DASHBOARD!$BD122,-FORECASTS!AF55)*AF$19,CHOOSE(DASHBOARD!$K$139,-DASHBOARD!$BD122,-FORECASTS!AF55)*AF$19,0))</f>
        <v>0</v>
      </c>
      <c r="AG54" s="134">
        <f>IF(thumb&lt;&gt;0,0,CHOOSE(AG$5,CHOOSE(DASHBOARD!$K$139,-DASHBOARD!$BD122,-FORECASTS!AG55)*AG$19,CHOOSE(DASHBOARD!$K$139,-DASHBOARD!$BD122,-FORECASTS!AG55)*AG$19,0))</f>
        <v>0</v>
      </c>
      <c r="AH54" s="134">
        <f>IF(thumb&lt;&gt;0,0,CHOOSE(AH$5,CHOOSE(DASHBOARD!$K$139,-DASHBOARD!$BD122,-FORECASTS!AH55)*AH$19,CHOOSE(DASHBOARD!$K$139,-DASHBOARD!$BD122,-FORECASTS!AH55)*AH$19,0))</f>
        <v>0</v>
      </c>
      <c r="AI54" s="708">
        <f>IF(thumb&lt;&gt;0,0,CHOOSE(AI$5,CHOOSE(DASHBOARD!$K$139,-DASHBOARD!$BD122,-FORECASTS!AI55)*AI$19,CHOOSE(DASHBOARD!$K$139,-DASHBOARD!$BD122,-FORECASTS!AI55)*AI$19,0))</f>
        <v>0</v>
      </c>
      <c r="AJ54" s="1605">
        <v>1</v>
      </c>
    </row>
    <row r="55" spans="2:36" s="289" customFormat="1" hidden="1" outlineLevel="1" x14ac:dyDescent="0.3">
      <c r="B55" s="776" t="s">
        <v>585</v>
      </c>
      <c r="C55" s="966"/>
      <c r="D55" s="127"/>
      <c r="E55" s="973">
        <f>DASHBOARD!BD122</f>
        <v>0</v>
      </c>
      <c r="F55" s="1095">
        <f t="shared" ref="F55:AI55" si="28">E55</f>
        <v>0</v>
      </c>
      <c r="G55" s="1095">
        <f t="shared" si="28"/>
        <v>0</v>
      </c>
      <c r="H55" s="1095">
        <f t="shared" si="28"/>
        <v>0</v>
      </c>
      <c r="I55" s="1095">
        <f t="shared" si="28"/>
        <v>0</v>
      </c>
      <c r="J55" s="1095">
        <f t="shared" si="28"/>
        <v>0</v>
      </c>
      <c r="K55" s="1095">
        <f t="shared" si="28"/>
        <v>0</v>
      </c>
      <c r="L55" s="1095">
        <f t="shared" si="28"/>
        <v>0</v>
      </c>
      <c r="M55" s="1095">
        <f t="shared" si="28"/>
        <v>0</v>
      </c>
      <c r="N55" s="1095">
        <f t="shared" si="28"/>
        <v>0</v>
      </c>
      <c r="O55" s="1095">
        <f t="shared" si="28"/>
        <v>0</v>
      </c>
      <c r="P55" s="1095">
        <f t="shared" si="28"/>
        <v>0</v>
      </c>
      <c r="Q55" s="1095">
        <f t="shared" si="28"/>
        <v>0</v>
      </c>
      <c r="R55" s="1095">
        <f t="shared" si="28"/>
        <v>0</v>
      </c>
      <c r="S55" s="1095">
        <f t="shared" si="28"/>
        <v>0</v>
      </c>
      <c r="T55" s="1095">
        <f t="shared" si="28"/>
        <v>0</v>
      </c>
      <c r="U55" s="1095">
        <f t="shared" si="28"/>
        <v>0</v>
      </c>
      <c r="V55" s="1095">
        <f t="shared" si="28"/>
        <v>0</v>
      </c>
      <c r="W55" s="1095">
        <f t="shared" si="28"/>
        <v>0</v>
      </c>
      <c r="X55" s="1095">
        <f t="shared" si="28"/>
        <v>0</v>
      </c>
      <c r="Y55" s="1095">
        <f t="shared" si="28"/>
        <v>0</v>
      </c>
      <c r="Z55" s="1095">
        <f t="shared" si="28"/>
        <v>0</v>
      </c>
      <c r="AA55" s="1095">
        <f t="shared" si="28"/>
        <v>0</v>
      </c>
      <c r="AB55" s="1095">
        <f t="shared" si="28"/>
        <v>0</v>
      </c>
      <c r="AC55" s="1095">
        <f t="shared" si="28"/>
        <v>0</v>
      </c>
      <c r="AD55" s="1095">
        <f t="shared" si="28"/>
        <v>0</v>
      </c>
      <c r="AE55" s="1095">
        <f t="shared" si="28"/>
        <v>0</v>
      </c>
      <c r="AF55" s="1095">
        <f t="shared" si="28"/>
        <v>0</v>
      </c>
      <c r="AG55" s="1095">
        <f t="shared" si="28"/>
        <v>0</v>
      </c>
      <c r="AH55" s="1095">
        <f t="shared" si="28"/>
        <v>0</v>
      </c>
      <c r="AI55" s="1096">
        <f t="shared" si="28"/>
        <v>0</v>
      </c>
      <c r="AJ55" s="1605">
        <f>IF(AND(DASHBOARD!$K$139=2,DASHBOARD!$BC$134=1),1,0)</f>
        <v>0</v>
      </c>
    </row>
    <row r="56" spans="2:36" s="289" customFormat="1" outlineLevel="1" x14ac:dyDescent="0.3">
      <c r="B56" s="706" t="str">
        <f>DASHBOARD!AQ123</f>
        <v>Legal</v>
      </c>
      <c r="C56" s="309">
        <f>IFERROR(SUM(E56:AI56),0)</f>
        <v>0</v>
      </c>
      <c r="D56" s="127"/>
      <c r="E56" s="134">
        <f>IF(OR(E5=3,thumb&lt;&gt;0),0,HIDE5!Q68)</f>
        <v>0</v>
      </c>
      <c r="F56" s="134">
        <f>IF(thumb&lt;&gt;0,0,CHOOSE(F$5,CHOOSE(DASHBOARD!$K$139,-DASHBOARD!$BD123,-FORECASTS!F57)*F$19,CHOOSE(DASHBOARD!$K$139,-DASHBOARD!$BD123,-FORECASTS!F57)*F$19,0))</f>
        <v>0</v>
      </c>
      <c r="G56" s="134">
        <f>IF(thumb&lt;&gt;0,0,CHOOSE(G$5,CHOOSE(DASHBOARD!$K$139,-DASHBOARD!$BD123,-FORECASTS!G57)*G$19,CHOOSE(DASHBOARD!$K$139,-DASHBOARD!$BD123,-FORECASTS!G57)*G$19,0))</f>
        <v>0</v>
      </c>
      <c r="H56" s="134">
        <f>IF(thumb&lt;&gt;0,0,CHOOSE(H$5,CHOOSE(DASHBOARD!$K$139,-DASHBOARD!$BD123,-FORECASTS!H57)*H$19,CHOOSE(DASHBOARD!$K$139,-DASHBOARD!$BD123,-FORECASTS!H57)*H$19,0))</f>
        <v>0</v>
      </c>
      <c r="I56" s="134">
        <f>IF(thumb&lt;&gt;0,0,CHOOSE(I$5,CHOOSE(DASHBOARD!$K$139,-DASHBOARD!$BD123,-FORECASTS!I57)*I$19,CHOOSE(DASHBOARD!$K$139,-DASHBOARD!$BD123,-FORECASTS!I57)*I$19,0))</f>
        <v>0</v>
      </c>
      <c r="J56" s="134">
        <f>IF(thumb&lt;&gt;0,0,CHOOSE(J$5,CHOOSE(DASHBOARD!$K$139,-DASHBOARD!$BD123,-FORECASTS!J57)*J$19,CHOOSE(DASHBOARD!$K$139,-DASHBOARD!$BD123,-FORECASTS!J57)*J$19,0))</f>
        <v>0</v>
      </c>
      <c r="K56" s="134">
        <f>IF(thumb&lt;&gt;0,0,CHOOSE(K$5,CHOOSE(DASHBOARD!$K$139,-DASHBOARD!$BD123,-FORECASTS!K57)*K$19,CHOOSE(DASHBOARD!$K$139,-DASHBOARD!$BD123,-FORECASTS!K57)*K$19,0))</f>
        <v>0</v>
      </c>
      <c r="L56" s="134">
        <f>IF(thumb&lt;&gt;0,0,CHOOSE(L$5,CHOOSE(DASHBOARD!$K$139,-DASHBOARD!$BD123,-FORECASTS!L57)*L$19,CHOOSE(DASHBOARD!$K$139,-DASHBOARD!$BD123,-FORECASTS!L57)*L$19,0))</f>
        <v>0</v>
      </c>
      <c r="M56" s="134">
        <f>IF(thumb&lt;&gt;0,0,CHOOSE(M$5,CHOOSE(DASHBOARD!$K$139,-DASHBOARD!$BD123,-FORECASTS!M57)*M$19,CHOOSE(DASHBOARD!$K$139,-DASHBOARD!$BD123,-FORECASTS!M57)*M$19,0))</f>
        <v>0</v>
      </c>
      <c r="N56" s="134">
        <f>IF(thumb&lt;&gt;0,0,CHOOSE(N$5,CHOOSE(DASHBOARD!$K$139,-DASHBOARD!$BD123,-FORECASTS!N57)*N$19,CHOOSE(DASHBOARD!$K$139,-DASHBOARD!$BD123,-FORECASTS!N57)*N$19,0))</f>
        <v>0</v>
      </c>
      <c r="O56" s="134">
        <f>IF(thumb&lt;&gt;0,0,CHOOSE(O$5,CHOOSE(DASHBOARD!$K$139,-DASHBOARD!$BD123,-FORECASTS!O57)*O$19,CHOOSE(DASHBOARD!$K$139,-DASHBOARD!$BD123,-FORECASTS!O57)*O$19,0))</f>
        <v>0</v>
      </c>
      <c r="P56" s="134">
        <f>IF(thumb&lt;&gt;0,0,CHOOSE(P$5,CHOOSE(DASHBOARD!$K$139,-DASHBOARD!$BD123,-FORECASTS!P57)*P$19,CHOOSE(DASHBOARD!$K$139,-DASHBOARD!$BD123,-FORECASTS!P57)*P$19,0))</f>
        <v>0</v>
      </c>
      <c r="Q56" s="134">
        <f>IF(thumb&lt;&gt;0,0,CHOOSE(Q$5,CHOOSE(DASHBOARD!$K$139,-DASHBOARD!$BD123,-FORECASTS!Q57)*Q$19,CHOOSE(DASHBOARD!$K$139,-DASHBOARD!$BD123,-FORECASTS!Q57)*Q$19,0))</f>
        <v>0</v>
      </c>
      <c r="R56" s="134">
        <f>IF(thumb&lt;&gt;0,0,CHOOSE(R$5,CHOOSE(DASHBOARD!$K$139,-DASHBOARD!$BD123,-FORECASTS!R57)*R$19,CHOOSE(DASHBOARD!$K$139,-DASHBOARD!$BD123,-FORECASTS!R57)*R$19,0))</f>
        <v>0</v>
      </c>
      <c r="S56" s="134">
        <f>IF(thumb&lt;&gt;0,0,CHOOSE(S$5,CHOOSE(DASHBOARD!$K$139,-DASHBOARD!$BD123,-FORECASTS!S57)*S$19,CHOOSE(DASHBOARD!$K$139,-DASHBOARD!$BD123,-FORECASTS!S57)*S$19,0))</f>
        <v>0</v>
      </c>
      <c r="T56" s="134">
        <f>IF(thumb&lt;&gt;0,0,CHOOSE(T$5,CHOOSE(DASHBOARD!$K$139,-DASHBOARD!$BD123,-FORECASTS!T57)*T$19,CHOOSE(DASHBOARD!$K$139,-DASHBOARD!$BD123,-FORECASTS!T57)*T$19,0))</f>
        <v>0</v>
      </c>
      <c r="U56" s="134">
        <f>IF(thumb&lt;&gt;0,0,CHOOSE(U$5,CHOOSE(DASHBOARD!$K$139,-DASHBOARD!$BD123,-FORECASTS!U57)*U$19,CHOOSE(DASHBOARD!$K$139,-DASHBOARD!$BD123,-FORECASTS!U57)*U$19,0))</f>
        <v>0</v>
      </c>
      <c r="V56" s="134">
        <f>IF(thumb&lt;&gt;0,0,CHOOSE(V$5,CHOOSE(DASHBOARD!$K$139,-DASHBOARD!$BD123,-FORECASTS!V57)*V$19,CHOOSE(DASHBOARD!$K$139,-DASHBOARD!$BD123,-FORECASTS!V57)*V$19,0))</f>
        <v>0</v>
      </c>
      <c r="W56" s="134">
        <f>IF(thumb&lt;&gt;0,0,CHOOSE(W$5,CHOOSE(DASHBOARD!$K$139,-DASHBOARD!$BD123,-FORECASTS!W57)*W$19,CHOOSE(DASHBOARD!$K$139,-DASHBOARD!$BD123,-FORECASTS!W57)*W$19,0))</f>
        <v>0</v>
      </c>
      <c r="X56" s="134">
        <f>IF(thumb&lt;&gt;0,0,CHOOSE(X$5,CHOOSE(DASHBOARD!$K$139,-DASHBOARD!$BD123,-FORECASTS!X57)*X$19,CHOOSE(DASHBOARD!$K$139,-DASHBOARD!$BD123,-FORECASTS!X57)*X$19,0))</f>
        <v>0</v>
      </c>
      <c r="Y56" s="134">
        <f>IF(thumb&lt;&gt;0,0,CHOOSE(Y$5,CHOOSE(DASHBOARD!$K$139,-DASHBOARD!$BD123,-FORECASTS!Y57)*Y$19,CHOOSE(DASHBOARD!$K$139,-DASHBOARD!$BD123,-FORECASTS!Y57)*Y$19,0))</f>
        <v>0</v>
      </c>
      <c r="Z56" s="134">
        <f>IF(thumb&lt;&gt;0,0,CHOOSE(Z$5,CHOOSE(DASHBOARD!$K$139,-DASHBOARD!$BD123,-FORECASTS!Z57)*Z$19,CHOOSE(DASHBOARD!$K$139,-DASHBOARD!$BD123,-FORECASTS!Z57)*Z$19,0))</f>
        <v>0</v>
      </c>
      <c r="AA56" s="134">
        <f>IF(thumb&lt;&gt;0,0,CHOOSE(AA$5,CHOOSE(DASHBOARD!$K$139,-DASHBOARD!$BD123,-FORECASTS!AA57)*AA$19,CHOOSE(DASHBOARD!$K$139,-DASHBOARD!$BD123,-FORECASTS!AA57)*AA$19,0))</f>
        <v>0</v>
      </c>
      <c r="AB56" s="134">
        <f>IF(thumb&lt;&gt;0,0,CHOOSE(AB$5,CHOOSE(DASHBOARD!$K$139,-DASHBOARD!$BD123,-FORECASTS!AB57)*AB$19,CHOOSE(DASHBOARD!$K$139,-DASHBOARD!$BD123,-FORECASTS!AB57)*AB$19,0))</f>
        <v>0</v>
      </c>
      <c r="AC56" s="134">
        <f>IF(thumb&lt;&gt;0,0,CHOOSE(AC$5,CHOOSE(DASHBOARD!$K$139,-DASHBOARD!$BD123,-FORECASTS!AC57)*AC$19,CHOOSE(DASHBOARD!$K$139,-DASHBOARD!$BD123,-FORECASTS!AC57)*AC$19,0))</f>
        <v>0</v>
      </c>
      <c r="AD56" s="134">
        <f>IF(thumb&lt;&gt;0,0,CHOOSE(AD$5,CHOOSE(DASHBOARD!$K$139,-DASHBOARD!$BD123,-FORECASTS!AD57)*AD$19,CHOOSE(DASHBOARD!$K$139,-DASHBOARD!$BD123,-FORECASTS!AD57)*AD$19,0))</f>
        <v>0</v>
      </c>
      <c r="AE56" s="134">
        <f>IF(thumb&lt;&gt;0,0,CHOOSE(AE$5,CHOOSE(DASHBOARD!$K$139,-DASHBOARD!$BD123,-FORECASTS!AE57)*AE$19,CHOOSE(DASHBOARD!$K$139,-DASHBOARD!$BD123,-FORECASTS!AE57)*AE$19,0))</f>
        <v>0</v>
      </c>
      <c r="AF56" s="134">
        <f>IF(thumb&lt;&gt;0,0,CHOOSE(AF$5,CHOOSE(DASHBOARD!$K$139,-DASHBOARD!$BD123,-FORECASTS!AF57)*AF$19,CHOOSE(DASHBOARD!$K$139,-DASHBOARD!$BD123,-FORECASTS!AF57)*AF$19,0))</f>
        <v>0</v>
      </c>
      <c r="AG56" s="134">
        <f>IF(thumb&lt;&gt;0,0,CHOOSE(AG$5,CHOOSE(DASHBOARD!$K$139,-DASHBOARD!$BD123,-FORECASTS!AG57)*AG$19,CHOOSE(DASHBOARD!$K$139,-DASHBOARD!$BD123,-FORECASTS!AG57)*AG$19,0))</f>
        <v>0</v>
      </c>
      <c r="AH56" s="134">
        <f>IF(thumb&lt;&gt;0,0,CHOOSE(AH$5,CHOOSE(DASHBOARD!$K$139,-DASHBOARD!$BD123,-FORECASTS!AH57)*AH$19,CHOOSE(DASHBOARD!$K$139,-DASHBOARD!$BD123,-FORECASTS!AH57)*AH$19,0))</f>
        <v>0</v>
      </c>
      <c r="AI56" s="708">
        <f>IF(thumb&lt;&gt;0,0,CHOOSE(AI$5,CHOOSE(DASHBOARD!$K$139,-DASHBOARD!$BD123,-FORECASTS!AI57)*AI$19,CHOOSE(DASHBOARD!$K$139,-DASHBOARD!$BD123,-FORECASTS!AI57)*AI$19,0))</f>
        <v>0</v>
      </c>
      <c r="AJ56" s="1605">
        <v>1</v>
      </c>
    </row>
    <row r="57" spans="2:36" s="289" customFormat="1" hidden="1" outlineLevel="1" x14ac:dyDescent="0.3">
      <c r="B57" s="776" t="s">
        <v>585</v>
      </c>
      <c r="C57" s="966"/>
      <c r="D57" s="127"/>
      <c r="E57" s="973">
        <f>DASHBOARD!BD123</f>
        <v>0</v>
      </c>
      <c r="F57" s="1095">
        <f t="shared" ref="F57:AI57" si="29">E57</f>
        <v>0</v>
      </c>
      <c r="G57" s="1095">
        <f t="shared" si="29"/>
        <v>0</v>
      </c>
      <c r="H57" s="1095">
        <f t="shared" si="29"/>
        <v>0</v>
      </c>
      <c r="I57" s="1095">
        <f t="shared" si="29"/>
        <v>0</v>
      </c>
      <c r="J57" s="1095">
        <f t="shared" si="29"/>
        <v>0</v>
      </c>
      <c r="K57" s="1095">
        <f t="shared" si="29"/>
        <v>0</v>
      </c>
      <c r="L57" s="1095">
        <f t="shared" si="29"/>
        <v>0</v>
      </c>
      <c r="M57" s="1095">
        <f t="shared" si="29"/>
        <v>0</v>
      </c>
      <c r="N57" s="1095">
        <f t="shared" si="29"/>
        <v>0</v>
      </c>
      <c r="O57" s="1095">
        <f t="shared" si="29"/>
        <v>0</v>
      </c>
      <c r="P57" s="1095">
        <f t="shared" si="29"/>
        <v>0</v>
      </c>
      <c r="Q57" s="1095">
        <f t="shared" si="29"/>
        <v>0</v>
      </c>
      <c r="R57" s="1095">
        <f t="shared" si="29"/>
        <v>0</v>
      </c>
      <c r="S57" s="1095">
        <f t="shared" si="29"/>
        <v>0</v>
      </c>
      <c r="T57" s="1095">
        <f t="shared" si="29"/>
        <v>0</v>
      </c>
      <c r="U57" s="1095">
        <f t="shared" si="29"/>
        <v>0</v>
      </c>
      <c r="V57" s="1095">
        <f t="shared" si="29"/>
        <v>0</v>
      </c>
      <c r="W57" s="1095">
        <f t="shared" si="29"/>
        <v>0</v>
      </c>
      <c r="X57" s="1095">
        <f t="shared" si="29"/>
        <v>0</v>
      </c>
      <c r="Y57" s="1095">
        <f t="shared" si="29"/>
        <v>0</v>
      </c>
      <c r="Z57" s="1095">
        <f t="shared" si="29"/>
        <v>0</v>
      </c>
      <c r="AA57" s="1095">
        <f t="shared" si="29"/>
        <v>0</v>
      </c>
      <c r="AB57" s="1095">
        <f t="shared" si="29"/>
        <v>0</v>
      </c>
      <c r="AC57" s="1095">
        <f t="shared" si="29"/>
        <v>0</v>
      </c>
      <c r="AD57" s="1095">
        <f t="shared" si="29"/>
        <v>0</v>
      </c>
      <c r="AE57" s="1095">
        <f t="shared" si="29"/>
        <v>0</v>
      </c>
      <c r="AF57" s="1095">
        <f t="shared" si="29"/>
        <v>0</v>
      </c>
      <c r="AG57" s="1095">
        <f t="shared" si="29"/>
        <v>0</v>
      </c>
      <c r="AH57" s="1095">
        <f t="shared" si="29"/>
        <v>0</v>
      </c>
      <c r="AI57" s="1096">
        <f t="shared" si="29"/>
        <v>0</v>
      </c>
      <c r="AJ57" s="1605">
        <f>IF(AND(DASHBOARD!$K$139=2,DASHBOARD!$BC$134=1),1,0)</f>
        <v>0</v>
      </c>
    </row>
    <row r="58" spans="2:36" s="289" customFormat="1" outlineLevel="1" x14ac:dyDescent="0.3">
      <c r="B58" s="706" t="str">
        <f>DASHBOARD!AQ124</f>
        <v>Advertising</v>
      </c>
      <c r="C58" s="309">
        <f>IFERROR(SUM(E58:AI58),0)</f>
        <v>0</v>
      </c>
      <c r="D58" s="127"/>
      <c r="E58" s="134">
        <f>IF(OR(E5=3,thumb&lt;&gt;0),0,HIDE5!Q69)</f>
        <v>0</v>
      </c>
      <c r="F58" s="134">
        <f>IF(thumb&lt;&gt;0,0,CHOOSE(F$5,CHOOSE(DASHBOARD!$K$139,-DASHBOARD!$BD124,-FORECASTS!F59)*F$19,CHOOSE(DASHBOARD!$K$139,-DASHBOARD!$BD124,-FORECASTS!F59)*F$19,0))</f>
        <v>0</v>
      </c>
      <c r="G58" s="134">
        <f>IF(thumb&lt;&gt;0,0,CHOOSE(G$5,CHOOSE(DASHBOARD!$K$139,-DASHBOARD!$BD124,-FORECASTS!G59)*G$19,CHOOSE(DASHBOARD!$K$139,-DASHBOARD!$BD124,-FORECASTS!G59)*G$19,0))</f>
        <v>0</v>
      </c>
      <c r="H58" s="134">
        <f>IF(thumb&lt;&gt;0,0,CHOOSE(H$5,CHOOSE(DASHBOARD!$K$139,-DASHBOARD!$BD124,-FORECASTS!H59)*H$19,CHOOSE(DASHBOARD!$K$139,-DASHBOARD!$BD124,-FORECASTS!H59)*H$19,0))</f>
        <v>0</v>
      </c>
      <c r="I58" s="134">
        <f>IF(thumb&lt;&gt;0,0,CHOOSE(I$5,CHOOSE(DASHBOARD!$K$139,-DASHBOARD!$BD124,-FORECASTS!I59)*I$19,CHOOSE(DASHBOARD!$K$139,-DASHBOARD!$BD124,-FORECASTS!I59)*I$19,0))</f>
        <v>0</v>
      </c>
      <c r="J58" s="134">
        <f>IF(thumb&lt;&gt;0,0,CHOOSE(J$5,CHOOSE(DASHBOARD!$K$139,-DASHBOARD!$BD124,-FORECASTS!J59)*J$19,CHOOSE(DASHBOARD!$K$139,-DASHBOARD!$BD124,-FORECASTS!J59)*J$19,0))</f>
        <v>0</v>
      </c>
      <c r="K58" s="134">
        <f>IF(thumb&lt;&gt;0,0,CHOOSE(K$5,CHOOSE(DASHBOARD!$K$139,-DASHBOARD!$BD124,-FORECASTS!K59)*K$19,CHOOSE(DASHBOARD!$K$139,-DASHBOARD!$BD124,-FORECASTS!K59)*K$19,0))</f>
        <v>0</v>
      </c>
      <c r="L58" s="134">
        <f>IF(thumb&lt;&gt;0,0,CHOOSE(L$5,CHOOSE(DASHBOARD!$K$139,-DASHBOARD!$BD124,-FORECASTS!L59)*L$19,CHOOSE(DASHBOARD!$K$139,-DASHBOARD!$BD124,-FORECASTS!L59)*L$19,0))</f>
        <v>0</v>
      </c>
      <c r="M58" s="134">
        <f>IF(thumb&lt;&gt;0,0,CHOOSE(M$5,CHOOSE(DASHBOARD!$K$139,-DASHBOARD!$BD124,-FORECASTS!M59)*M$19,CHOOSE(DASHBOARD!$K$139,-DASHBOARD!$BD124,-FORECASTS!M59)*M$19,0))</f>
        <v>0</v>
      </c>
      <c r="N58" s="134">
        <f>IF(thumb&lt;&gt;0,0,CHOOSE(N$5,CHOOSE(DASHBOARD!$K$139,-DASHBOARD!$BD124,-FORECASTS!N59)*N$19,CHOOSE(DASHBOARD!$K$139,-DASHBOARD!$BD124,-FORECASTS!N59)*N$19,0))</f>
        <v>0</v>
      </c>
      <c r="O58" s="134">
        <f>IF(thumb&lt;&gt;0,0,CHOOSE(O$5,CHOOSE(DASHBOARD!$K$139,-DASHBOARD!$BD124,-FORECASTS!O59)*O$19,CHOOSE(DASHBOARD!$K$139,-DASHBOARD!$BD124,-FORECASTS!O59)*O$19,0))</f>
        <v>0</v>
      </c>
      <c r="P58" s="134">
        <f>IF(thumb&lt;&gt;0,0,CHOOSE(P$5,CHOOSE(DASHBOARD!$K$139,-DASHBOARD!$BD124,-FORECASTS!P59)*P$19,CHOOSE(DASHBOARD!$K$139,-DASHBOARD!$BD124,-FORECASTS!P59)*P$19,0))</f>
        <v>0</v>
      </c>
      <c r="Q58" s="134">
        <f>IF(thumb&lt;&gt;0,0,CHOOSE(Q$5,CHOOSE(DASHBOARD!$K$139,-DASHBOARD!$BD124,-FORECASTS!Q59)*Q$19,CHOOSE(DASHBOARD!$K$139,-DASHBOARD!$BD124,-FORECASTS!Q59)*Q$19,0))</f>
        <v>0</v>
      </c>
      <c r="R58" s="134">
        <f>IF(thumb&lt;&gt;0,0,CHOOSE(R$5,CHOOSE(DASHBOARD!$K$139,-DASHBOARD!$BD124,-FORECASTS!R59)*R$19,CHOOSE(DASHBOARD!$K$139,-DASHBOARD!$BD124,-FORECASTS!R59)*R$19,0))</f>
        <v>0</v>
      </c>
      <c r="S58" s="134">
        <f>IF(thumb&lt;&gt;0,0,CHOOSE(S$5,CHOOSE(DASHBOARD!$K$139,-DASHBOARD!$BD124,-FORECASTS!S59)*S$19,CHOOSE(DASHBOARD!$K$139,-DASHBOARD!$BD124,-FORECASTS!S59)*S$19,0))</f>
        <v>0</v>
      </c>
      <c r="T58" s="134">
        <f>IF(thumb&lt;&gt;0,0,CHOOSE(T$5,CHOOSE(DASHBOARD!$K$139,-DASHBOARD!$BD124,-FORECASTS!T59)*T$19,CHOOSE(DASHBOARD!$K$139,-DASHBOARD!$BD124,-FORECASTS!T59)*T$19,0))</f>
        <v>0</v>
      </c>
      <c r="U58" s="134">
        <f>IF(thumb&lt;&gt;0,0,CHOOSE(U$5,CHOOSE(DASHBOARD!$K$139,-DASHBOARD!$BD124,-FORECASTS!U59)*U$19,CHOOSE(DASHBOARD!$K$139,-DASHBOARD!$BD124,-FORECASTS!U59)*U$19,0))</f>
        <v>0</v>
      </c>
      <c r="V58" s="134">
        <f>IF(thumb&lt;&gt;0,0,CHOOSE(V$5,CHOOSE(DASHBOARD!$K$139,-DASHBOARD!$BD124,-FORECASTS!V59)*V$19,CHOOSE(DASHBOARD!$K$139,-DASHBOARD!$BD124,-FORECASTS!V59)*V$19,0))</f>
        <v>0</v>
      </c>
      <c r="W58" s="134">
        <f>IF(thumb&lt;&gt;0,0,CHOOSE(W$5,CHOOSE(DASHBOARD!$K$139,-DASHBOARD!$BD124,-FORECASTS!W59)*W$19,CHOOSE(DASHBOARD!$K$139,-DASHBOARD!$BD124,-FORECASTS!W59)*W$19,0))</f>
        <v>0</v>
      </c>
      <c r="X58" s="134">
        <f>IF(thumb&lt;&gt;0,0,CHOOSE(X$5,CHOOSE(DASHBOARD!$K$139,-DASHBOARD!$BD124,-FORECASTS!X59)*X$19,CHOOSE(DASHBOARD!$K$139,-DASHBOARD!$BD124,-FORECASTS!X59)*X$19,0))</f>
        <v>0</v>
      </c>
      <c r="Y58" s="134">
        <f>IF(thumb&lt;&gt;0,0,CHOOSE(Y$5,CHOOSE(DASHBOARD!$K$139,-DASHBOARD!$BD124,-FORECASTS!Y59)*Y$19,CHOOSE(DASHBOARD!$K$139,-DASHBOARD!$BD124,-FORECASTS!Y59)*Y$19,0))</f>
        <v>0</v>
      </c>
      <c r="Z58" s="134">
        <f>IF(thumb&lt;&gt;0,0,CHOOSE(Z$5,CHOOSE(DASHBOARD!$K$139,-DASHBOARD!$BD124,-FORECASTS!Z59)*Z$19,CHOOSE(DASHBOARD!$K$139,-DASHBOARD!$BD124,-FORECASTS!Z59)*Z$19,0))</f>
        <v>0</v>
      </c>
      <c r="AA58" s="134">
        <f>IF(thumb&lt;&gt;0,0,CHOOSE(AA$5,CHOOSE(DASHBOARD!$K$139,-DASHBOARD!$BD124,-FORECASTS!AA59)*AA$19,CHOOSE(DASHBOARD!$K$139,-DASHBOARD!$BD124,-FORECASTS!AA59)*AA$19,0))</f>
        <v>0</v>
      </c>
      <c r="AB58" s="134">
        <f>IF(thumb&lt;&gt;0,0,CHOOSE(AB$5,CHOOSE(DASHBOARD!$K$139,-DASHBOARD!$BD124,-FORECASTS!AB59)*AB$19,CHOOSE(DASHBOARD!$K$139,-DASHBOARD!$BD124,-FORECASTS!AB59)*AB$19,0))</f>
        <v>0</v>
      </c>
      <c r="AC58" s="134">
        <f>IF(thumb&lt;&gt;0,0,CHOOSE(AC$5,CHOOSE(DASHBOARD!$K$139,-DASHBOARD!$BD124,-FORECASTS!AC59)*AC$19,CHOOSE(DASHBOARD!$K$139,-DASHBOARD!$BD124,-FORECASTS!AC59)*AC$19,0))</f>
        <v>0</v>
      </c>
      <c r="AD58" s="134">
        <f>IF(thumb&lt;&gt;0,0,CHOOSE(AD$5,CHOOSE(DASHBOARD!$K$139,-DASHBOARD!$BD124,-FORECASTS!AD59)*AD$19,CHOOSE(DASHBOARD!$K$139,-DASHBOARD!$BD124,-FORECASTS!AD59)*AD$19,0))</f>
        <v>0</v>
      </c>
      <c r="AE58" s="134">
        <f>IF(thumb&lt;&gt;0,0,CHOOSE(AE$5,CHOOSE(DASHBOARD!$K$139,-DASHBOARD!$BD124,-FORECASTS!AE59)*AE$19,CHOOSE(DASHBOARD!$K$139,-DASHBOARD!$BD124,-FORECASTS!AE59)*AE$19,0))</f>
        <v>0</v>
      </c>
      <c r="AF58" s="134">
        <f>IF(thumb&lt;&gt;0,0,CHOOSE(AF$5,CHOOSE(DASHBOARD!$K$139,-DASHBOARD!$BD124,-FORECASTS!AF59)*AF$19,CHOOSE(DASHBOARD!$K$139,-DASHBOARD!$BD124,-FORECASTS!AF59)*AF$19,0))</f>
        <v>0</v>
      </c>
      <c r="AG58" s="134">
        <f>IF(thumb&lt;&gt;0,0,CHOOSE(AG$5,CHOOSE(DASHBOARD!$K$139,-DASHBOARD!$BD124,-FORECASTS!AG59)*AG$19,CHOOSE(DASHBOARD!$K$139,-DASHBOARD!$BD124,-FORECASTS!AG59)*AG$19,0))</f>
        <v>0</v>
      </c>
      <c r="AH58" s="134">
        <f>IF(thumb&lt;&gt;0,0,CHOOSE(AH$5,CHOOSE(DASHBOARD!$K$139,-DASHBOARD!$BD124,-FORECASTS!AH59)*AH$19,CHOOSE(DASHBOARD!$K$139,-DASHBOARD!$BD124,-FORECASTS!AH59)*AH$19,0))</f>
        <v>0</v>
      </c>
      <c r="AI58" s="708">
        <f>IF(thumb&lt;&gt;0,0,CHOOSE(AI$5,CHOOSE(DASHBOARD!$K$139,-DASHBOARD!$BD124,-FORECASTS!AI59)*AI$19,CHOOSE(DASHBOARD!$K$139,-DASHBOARD!$BD124,-FORECASTS!AI59)*AI$19,0))</f>
        <v>0</v>
      </c>
      <c r="AJ58" s="1605">
        <v>1</v>
      </c>
    </row>
    <row r="59" spans="2:36" s="289" customFormat="1" hidden="1" outlineLevel="1" x14ac:dyDescent="0.3">
      <c r="B59" s="776" t="s">
        <v>585</v>
      </c>
      <c r="C59" s="966"/>
      <c r="D59" s="127"/>
      <c r="E59" s="973">
        <f>DASHBOARD!BD124</f>
        <v>0</v>
      </c>
      <c r="F59" s="1095">
        <f t="shared" ref="F59:AI59" si="30">E59</f>
        <v>0</v>
      </c>
      <c r="G59" s="1095">
        <f t="shared" si="30"/>
        <v>0</v>
      </c>
      <c r="H59" s="1095">
        <f t="shared" si="30"/>
        <v>0</v>
      </c>
      <c r="I59" s="1095">
        <f t="shared" si="30"/>
        <v>0</v>
      </c>
      <c r="J59" s="1095">
        <f t="shared" si="30"/>
        <v>0</v>
      </c>
      <c r="K59" s="1095">
        <f t="shared" si="30"/>
        <v>0</v>
      </c>
      <c r="L59" s="1095">
        <f t="shared" si="30"/>
        <v>0</v>
      </c>
      <c r="M59" s="1095">
        <f t="shared" si="30"/>
        <v>0</v>
      </c>
      <c r="N59" s="1095">
        <f t="shared" si="30"/>
        <v>0</v>
      </c>
      <c r="O59" s="1095">
        <f t="shared" si="30"/>
        <v>0</v>
      </c>
      <c r="P59" s="1095">
        <f t="shared" si="30"/>
        <v>0</v>
      </c>
      <c r="Q59" s="1095">
        <f t="shared" si="30"/>
        <v>0</v>
      </c>
      <c r="R59" s="1095">
        <f t="shared" si="30"/>
        <v>0</v>
      </c>
      <c r="S59" s="1095">
        <f t="shared" si="30"/>
        <v>0</v>
      </c>
      <c r="T59" s="1095">
        <f t="shared" si="30"/>
        <v>0</v>
      </c>
      <c r="U59" s="1095">
        <f t="shared" si="30"/>
        <v>0</v>
      </c>
      <c r="V59" s="1095">
        <f t="shared" si="30"/>
        <v>0</v>
      </c>
      <c r="W59" s="1095">
        <f t="shared" si="30"/>
        <v>0</v>
      </c>
      <c r="X59" s="1095">
        <f t="shared" si="30"/>
        <v>0</v>
      </c>
      <c r="Y59" s="1095">
        <f t="shared" si="30"/>
        <v>0</v>
      </c>
      <c r="Z59" s="1095">
        <f t="shared" si="30"/>
        <v>0</v>
      </c>
      <c r="AA59" s="1095">
        <f t="shared" si="30"/>
        <v>0</v>
      </c>
      <c r="AB59" s="1095">
        <f t="shared" si="30"/>
        <v>0</v>
      </c>
      <c r="AC59" s="1095">
        <f t="shared" si="30"/>
        <v>0</v>
      </c>
      <c r="AD59" s="1095">
        <f t="shared" si="30"/>
        <v>0</v>
      </c>
      <c r="AE59" s="1095">
        <f t="shared" si="30"/>
        <v>0</v>
      </c>
      <c r="AF59" s="1095">
        <f t="shared" si="30"/>
        <v>0</v>
      </c>
      <c r="AG59" s="1095">
        <f t="shared" si="30"/>
        <v>0</v>
      </c>
      <c r="AH59" s="1095">
        <f t="shared" si="30"/>
        <v>0</v>
      </c>
      <c r="AI59" s="1096">
        <f t="shared" si="30"/>
        <v>0</v>
      </c>
      <c r="AJ59" s="1605">
        <f>IF(AND(DASHBOARD!$K$139=2,DASHBOARD!$BC$134=1),1,0)</f>
        <v>0</v>
      </c>
    </row>
    <row r="60" spans="2:36" s="289" customFormat="1" outlineLevel="1" x14ac:dyDescent="0.3">
      <c r="B60" s="706" t="str">
        <f>DASHBOARD!AQ125</f>
        <v>Other Cost 1</v>
      </c>
      <c r="C60" s="309">
        <f>IFERROR(SUM(E60:AI60),0)</f>
        <v>0</v>
      </c>
      <c r="D60" s="127"/>
      <c r="E60" s="134">
        <f>IF(OR(E5=3,thumb&lt;&gt;0),0,HIDE5!Q70)</f>
        <v>0</v>
      </c>
      <c r="F60" s="134">
        <f>IF(thumb&lt;&gt;0,0,CHOOSE(F$5,CHOOSE(DASHBOARD!$K$139,-DASHBOARD!$BD125,-FORECASTS!F61)*F$19,CHOOSE(DASHBOARD!$K$139,-DASHBOARD!$BD125,-FORECASTS!F61)*F$19,0))</f>
        <v>0</v>
      </c>
      <c r="G60" s="134">
        <f>IF(thumb&lt;&gt;0,0,CHOOSE(G$5,CHOOSE(DASHBOARD!$K$139,-DASHBOARD!$BD125,-FORECASTS!G61)*G$19,CHOOSE(DASHBOARD!$K$139,-DASHBOARD!$BD125,-FORECASTS!G61)*G$19,0))</f>
        <v>0</v>
      </c>
      <c r="H60" s="134">
        <f>IF(thumb&lt;&gt;0,0,CHOOSE(H$5,CHOOSE(DASHBOARD!$K$139,-DASHBOARD!$BD125,-FORECASTS!H61)*H$19,CHOOSE(DASHBOARD!$K$139,-DASHBOARD!$BD125,-FORECASTS!H61)*H$19,0))</f>
        <v>0</v>
      </c>
      <c r="I60" s="134">
        <f>IF(thumb&lt;&gt;0,0,CHOOSE(I$5,CHOOSE(DASHBOARD!$K$139,-DASHBOARD!$BD125,-FORECASTS!I61)*I$19,CHOOSE(DASHBOARD!$K$139,-DASHBOARD!$BD125,-FORECASTS!I61)*I$19,0))</f>
        <v>0</v>
      </c>
      <c r="J60" s="134">
        <f>IF(thumb&lt;&gt;0,0,CHOOSE(J$5,CHOOSE(DASHBOARD!$K$139,-DASHBOARD!$BD125,-FORECASTS!J61)*J$19,CHOOSE(DASHBOARD!$K$139,-DASHBOARD!$BD125,-FORECASTS!J61)*J$19,0))</f>
        <v>0</v>
      </c>
      <c r="K60" s="134">
        <f>IF(thumb&lt;&gt;0,0,CHOOSE(K$5,CHOOSE(DASHBOARD!$K$139,-DASHBOARD!$BD125,-FORECASTS!K61)*K$19,CHOOSE(DASHBOARD!$K$139,-DASHBOARD!$BD125,-FORECASTS!K61)*K$19,0))</f>
        <v>0</v>
      </c>
      <c r="L60" s="134">
        <f>IF(thumb&lt;&gt;0,0,CHOOSE(L$5,CHOOSE(DASHBOARD!$K$139,-DASHBOARD!$BD125,-FORECASTS!L61)*L$19,CHOOSE(DASHBOARD!$K$139,-DASHBOARD!$BD125,-FORECASTS!L61)*L$19,0))</f>
        <v>0</v>
      </c>
      <c r="M60" s="134">
        <f>IF(thumb&lt;&gt;0,0,CHOOSE(M$5,CHOOSE(DASHBOARD!$K$139,-DASHBOARD!$BD125,-FORECASTS!M61)*M$19,CHOOSE(DASHBOARD!$K$139,-DASHBOARD!$BD125,-FORECASTS!M61)*M$19,0))</f>
        <v>0</v>
      </c>
      <c r="N60" s="134">
        <f>IF(thumb&lt;&gt;0,0,CHOOSE(N$5,CHOOSE(DASHBOARD!$K$139,-DASHBOARD!$BD125,-FORECASTS!N61)*N$19,CHOOSE(DASHBOARD!$K$139,-DASHBOARD!$BD125,-FORECASTS!N61)*N$19,0))</f>
        <v>0</v>
      </c>
      <c r="O60" s="134">
        <f>IF(thumb&lt;&gt;0,0,CHOOSE(O$5,CHOOSE(DASHBOARD!$K$139,-DASHBOARD!$BD125,-FORECASTS!O61)*O$19,CHOOSE(DASHBOARD!$K$139,-DASHBOARD!$BD125,-FORECASTS!O61)*O$19,0))</f>
        <v>0</v>
      </c>
      <c r="P60" s="134">
        <f>IF(thumb&lt;&gt;0,0,CHOOSE(P$5,CHOOSE(DASHBOARD!$K$139,-DASHBOARD!$BD125,-FORECASTS!P61)*P$19,CHOOSE(DASHBOARD!$K$139,-DASHBOARD!$BD125,-FORECASTS!P61)*P$19,0))</f>
        <v>0</v>
      </c>
      <c r="Q60" s="134">
        <f>IF(thumb&lt;&gt;0,0,CHOOSE(Q$5,CHOOSE(DASHBOARD!$K$139,-DASHBOARD!$BD125,-FORECASTS!Q61)*Q$19,CHOOSE(DASHBOARD!$K$139,-DASHBOARD!$BD125,-FORECASTS!Q61)*Q$19,0))</f>
        <v>0</v>
      </c>
      <c r="R60" s="134">
        <f>IF(thumb&lt;&gt;0,0,CHOOSE(R$5,CHOOSE(DASHBOARD!$K$139,-DASHBOARD!$BD125,-FORECASTS!R61)*R$19,CHOOSE(DASHBOARD!$K$139,-DASHBOARD!$BD125,-FORECASTS!R61)*R$19,0))</f>
        <v>0</v>
      </c>
      <c r="S60" s="134">
        <f>IF(thumb&lt;&gt;0,0,CHOOSE(S$5,CHOOSE(DASHBOARD!$K$139,-DASHBOARD!$BD125,-FORECASTS!S61)*S$19,CHOOSE(DASHBOARD!$K$139,-DASHBOARD!$BD125,-FORECASTS!S61)*S$19,0))</f>
        <v>0</v>
      </c>
      <c r="T60" s="134">
        <f>IF(thumb&lt;&gt;0,0,CHOOSE(T$5,CHOOSE(DASHBOARD!$K$139,-DASHBOARD!$BD125,-FORECASTS!T61)*T$19,CHOOSE(DASHBOARD!$K$139,-DASHBOARD!$BD125,-FORECASTS!T61)*T$19,0))</f>
        <v>0</v>
      </c>
      <c r="U60" s="134">
        <f>IF(thumb&lt;&gt;0,0,CHOOSE(U$5,CHOOSE(DASHBOARD!$K$139,-DASHBOARD!$BD125,-FORECASTS!U61)*U$19,CHOOSE(DASHBOARD!$K$139,-DASHBOARD!$BD125,-FORECASTS!U61)*U$19,0))</f>
        <v>0</v>
      </c>
      <c r="V60" s="134">
        <f>IF(thumb&lt;&gt;0,0,CHOOSE(V$5,CHOOSE(DASHBOARD!$K$139,-DASHBOARD!$BD125,-FORECASTS!V61)*V$19,CHOOSE(DASHBOARD!$K$139,-DASHBOARD!$BD125,-FORECASTS!V61)*V$19,0))</f>
        <v>0</v>
      </c>
      <c r="W60" s="134">
        <f>IF(thumb&lt;&gt;0,0,CHOOSE(W$5,CHOOSE(DASHBOARD!$K$139,-DASHBOARD!$BD125,-FORECASTS!W61)*W$19,CHOOSE(DASHBOARD!$K$139,-DASHBOARD!$BD125,-FORECASTS!W61)*W$19,0))</f>
        <v>0</v>
      </c>
      <c r="X60" s="134">
        <f>IF(thumb&lt;&gt;0,0,CHOOSE(X$5,CHOOSE(DASHBOARD!$K$139,-DASHBOARD!$BD125,-FORECASTS!X61)*X$19,CHOOSE(DASHBOARD!$K$139,-DASHBOARD!$BD125,-FORECASTS!X61)*X$19,0))</f>
        <v>0</v>
      </c>
      <c r="Y60" s="134">
        <f>IF(thumb&lt;&gt;0,0,CHOOSE(Y$5,CHOOSE(DASHBOARD!$K$139,-DASHBOARD!$BD125,-FORECASTS!Y61)*Y$19,CHOOSE(DASHBOARD!$K$139,-DASHBOARD!$BD125,-FORECASTS!Y61)*Y$19,0))</f>
        <v>0</v>
      </c>
      <c r="Z60" s="134">
        <f>IF(thumb&lt;&gt;0,0,CHOOSE(Z$5,CHOOSE(DASHBOARD!$K$139,-DASHBOARD!$BD125,-FORECASTS!Z61)*Z$19,CHOOSE(DASHBOARD!$K$139,-DASHBOARD!$BD125,-FORECASTS!Z61)*Z$19,0))</f>
        <v>0</v>
      </c>
      <c r="AA60" s="134">
        <f>IF(thumb&lt;&gt;0,0,CHOOSE(AA$5,CHOOSE(DASHBOARD!$K$139,-DASHBOARD!$BD125,-FORECASTS!AA61)*AA$19,CHOOSE(DASHBOARD!$K$139,-DASHBOARD!$BD125,-FORECASTS!AA61)*AA$19,0))</f>
        <v>0</v>
      </c>
      <c r="AB60" s="134">
        <f>IF(thumb&lt;&gt;0,0,CHOOSE(AB$5,CHOOSE(DASHBOARD!$K$139,-DASHBOARD!$BD125,-FORECASTS!AB61)*AB$19,CHOOSE(DASHBOARD!$K$139,-DASHBOARD!$BD125,-FORECASTS!AB61)*AB$19,0))</f>
        <v>0</v>
      </c>
      <c r="AC60" s="134">
        <f>IF(thumb&lt;&gt;0,0,CHOOSE(AC$5,CHOOSE(DASHBOARD!$K$139,-DASHBOARD!$BD125,-FORECASTS!AC61)*AC$19,CHOOSE(DASHBOARD!$K$139,-DASHBOARD!$BD125,-FORECASTS!AC61)*AC$19,0))</f>
        <v>0</v>
      </c>
      <c r="AD60" s="134">
        <f>IF(thumb&lt;&gt;0,0,CHOOSE(AD$5,CHOOSE(DASHBOARD!$K$139,-DASHBOARD!$BD125,-FORECASTS!AD61)*AD$19,CHOOSE(DASHBOARD!$K$139,-DASHBOARD!$BD125,-FORECASTS!AD61)*AD$19,0))</f>
        <v>0</v>
      </c>
      <c r="AE60" s="134">
        <f>IF(thumb&lt;&gt;0,0,CHOOSE(AE$5,CHOOSE(DASHBOARD!$K$139,-DASHBOARD!$BD125,-FORECASTS!AE61)*AE$19,CHOOSE(DASHBOARD!$K$139,-DASHBOARD!$BD125,-FORECASTS!AE61)*AE$19,0))</f>
        <v>0</v>
      </c>
      <c r="AF60" s="134">
        <f>IF(thumb&lt;&gt;0,0,CHOOSE(AF$5,CHOOSE(DASHBOARD!$K$139,-DASHBOARD!$BD125,-FORECASTS!AF61)*AF$19,CHOOSE(DASHBOARD!$K$139,-DASHBOARD!$BD125,-FORECASTS!AF61)*AF$19,0))</f>
        <v>0</v>
      </c>
      <c r="AG60" s="134">
        <f>IF(thumb&lt;&gt;0,0,CHOOSE(AG$5,CHOOSE(DASHBOARD!$K$139,-DASHBOARD!$BD125,-FORECASTS!AG61)*AG$19,CHOOSE(DASHBOARD!$K$139,-DASHBOARD!$BD125,-FORECASTS!AG61)*AG$19,0))</f>
        <v>0</v>
      </c>
      <c r="AH60" s="134">
        <f>IF(thumb&lt;&gt;0,0,CHOOSE(AH$5,CHOOSE(DASHBOARD!$K$139,-DASHBOARD!$BD125,-FORECASTS!AH61)*AH$19,CHOOSE(DASHBOARD!$K$139,-DASHBOARD!$BD125,-FORECASTS!AH61)*AH$19,0))</f>
        <v>0</v>
      </c>
      <c r="AI60" s="708">
        <f>IF(thumb&lt;&gt;0,0,CHOOSE(AI$5,CHOOSE(DASHBOARD!$K$139,-DASHBOARD!$BD125,-FORECASTS!AI61)*AI$19,CHOOSE(DASHBOARD!$K$139,-DASHBOARD!$BD125,-FORECASTS!AI61)*AI$19,0))</f>
        <v>0</v>
      </c>
      <c r="AJ60" s="1605">
        <v>1</v>
      </c>
    </row>
    <row r="61" spans="2:36" s="289" customFormat="1" hidden="1" outlineLevel="1" x14ac:dyDescent="0.3">
      <c r="B61" s="776" t="s">
        <v>585</v>
      </c>
      <c r="C61" s="966"/>
      <c r="D61" s="127"/>
      <c r="E61" s="973">
        <f>DASHBOARD!BD125</f>
        <v>0</v>
      </c>
      <c r="F61" s="1095">
        <f t="shared" ref="F61:AI61" si="31">E61</f>
        <v>0</v>
      </c>
      <c r="G61" s="1095">
        <f t="shared" si="31"/>
        <v>0</v>
      </c>
      <c r="H61" s="1095">
        <f t="shared" si="31"/>
        <v>0</v>
      </c>
      <c r="I61" s="1095">
        <f t="shared" si="31"/>
        <v>0</v>
      </c>
      <c r="J61" s="1095">
        <f t="shared" si="31"/>
        <v>0</v>
      </c>
      <c r="K61" s="1095">
        <f t="shared" si="31"/>
        <v>0</v>
      </c>
      <c r="L61" s="1095">
        <f t="shared" si="31"/>
        <v>0</v>
      </c>
      <c r="M61" s="1095">
        <f t="shared" si="31"/>
        <v>0</v>
      </c>
      <c r="N61" s="1095">
        <f t="shared" si="31"/>
        <v>0</v>
      </c>
      <c r="O61" s="1095">
        <f t="shared" si="31"/>
        <v>0</v>
      </c>
      <c r="P61" s="1095">
        <f t="shared" si="31"/>
        <v>0</v>
      </c>
      <c r="Q61" s="1095">
        <f t="shared" si="31"/>
        <v>0</v>
      </c>
      <c r="R61" s="1095">
        <f t="shared" si="31"/>
        <v>0</v>
      </c>
      <c r="S61" s="1095">
        <f t="shared" si="31"/>
        <v>0</v>
      </c>
      <c r="T61" s="1095">
        <f t="shared" si="31"/>
        <v>0</v>
      </c>
      <c r="U61" s="1095">
        <f t="shared" si="31"/>
        <v>0</v>
      </c>
      <c r="V61" s="1095">
        <f t="shared" si="31"/>
        <v>0</v>
      </c>
      <c r="W61" s="1095">
        <f t="shared" si="31"/>
        <v>0</v>
      </c>
      <c r="X61" s="1095">
        <f t="shared" si="31"/>
        <v>0</v>
      </c>
      <c r="Y61" s="1095">
        <f t="shared" si="31"/>
        <v>0</v>
      </c>
      <c r="Z61" s="1095">
        <f t="shared" si="31"/>
        <v>0</v>
      </c>
      <c r="AA61" s="1095">
        <f t="shared" si="31"/>
        <v>0</v>
      </c>
      <c r="AB61" s="1095">
        <f t="shared" si="31"/>
        <v>0</v>
      </c>
      <c r="AC61" s="1095">
        <f t="shared" si="31"/>
        <v>0</v>
      </c>
      <c r="AD61" s="1095">
        <f t="shared" si="31"/>
        <v>0</v>
      </c>
      <c r="AE61" s="1095">
        <f t="shared" si="31"/>
        <v>0</v>
      </c>
      <c r="AF61" s="1095">
        <f t="shared" si="31"/>
        <v>0</v>
      </c>
      <c r="AG61" s="1095">
        <f t="shared" si="31"/>
        <v>0</v>
      </c>
      <c r="AH61" s="1095">
        <f t="shared" si="31"/>
        <v>0</v>
      </c>
      <c r="AI61" s="1096">
        <f t="shared" si="31"/>
        <v>0</v>
      </c>
      <c r="AJ61" s="1605">
        <f>IF(AND(DASHBOARD!$K$139=2,DASHBOARD!$BC$134=1),1,0)</f>
        <v>0</v>
      </c>
    </row>
    <row r="62" spans="2:36" s="289" customFormat="1" outlineLevel="1" x14ac:dyDescent="0.3">
      <c r="B62" s="706" t="str">
        <f>DASHBOARD!AQ126</f>
        <v>Other Cost 2</v>
      </c>
      <c r="C62" s="309">
        <f>IFERROR(SUM(E62:AI62),0)</f>
        <v>0</v>
      </c>
      <c r="D62" s="127"/>
      <c r="E62" s="134">
        <f>IF(OR(E5=3,thumb&lt;&gt;0),0,HIDE5!Q71)</f>
        <v>0</v>
      </c>
      <c r="F62" s="134">
        <f>IF(thumb&lt;&gt;0,0,CHOOSE(F$5,CHOOSE(DASHBOARD!$K$139,-DASHBOARD!$BD126,-FORECASTS!F63)*F$19,CHOOSE(DASHBOARD!$K$139,-DASHBOARD!$BD126,-FORECASTS!F63)*F$19,0))</f>
        <v>0</v>
      </c>
      <c r="G62" s="134">
        <f>IF(thumb&lt;&gt;0,0,CHOOSE(G$5,CHOOSE(DASHBOARD!$K$139,-DASHBOARD!$BD126,-FORECASTS!G63)*G$19,CHOOSE(DASHBOARD!$K$139,-DASHBOARD!$BD126,-FORECASTS!G63)*G$19,0))</f>
        <v>0</v>
      </c>
      <c r="H62" s="134">
        <f>IF(thumb&lt;&gt;0,0,CHOOSE(H$5,CHOOSE(DASHBOARD!$K$139,-DASHBOARD!$BD126,-FORECASTS!H63)*H$19,CHOOSE(DASHBOARD!$K$139,-DASHBOARD!$BD126,-FORECASTS!H63)*H$19,0))</f>
        <v>0</v>
      </c>
      <c r="I62" s="134">
        <f>IF(thumb&lt;&gt;0,0,CHOOSE(I$5,CHOOSE(DASHBOARD!$K$139,-DASHBOARD!$BD126,-FORECASTS!I63)*I$19,CHOOSE(DASHBOARD!$K$139,-DASHBOARD!$BD126,-FORECASTS!I63)*I$19,0))</f>
        <v>0</v>
      </c>
      <c r="J62" s="134">
        <f>IF(thumb&lt;&gt;0,0,CHOOSE(J$5,CHOOSE(DASHBOARD!$K$139,-DASHBOARD!$BD126,-FORECASTS!J63)*J$19,CHOOSE(DASHBOARD!$K$139,-DASHBOARD!$BD126,-FORECASTS!J63)*J$19,0))</f>
        <v>0</v>
      </c>
      <c r="K62" s="134">
        <f>IF(thumb&lt;&gt;0,0,CHOOSE(K$5,CHOOSE(DASHBOARD!$K$139,-DASHBOARD!$BD126,-FORECASTS!K63)*K$19,CHOOSE(DASHBOARD!$K$139,-DASHBOARD!$BD126,-FORECASTS!K63)*K$19,0))</f>
        <v>0</v>
      </c>
      <c r="L62" s="134">
        <f>IF(thumb&lt;&gt;0,0,CHOOSE(L$5,CHOOSE(DASHBOARD!$K$139,-DASHBOARD!$BD126,-FORECASTS!L63)*L$19,CHOOSE(DASHBOARD!$K$139,-DASHBOARD!$BD126,-FORECASTS!L63)*L$19,0))</f>
        <v>0</v>
      </c>
      <c r="M62" s="134">
        <f>IF(thumb&lt;&gt;0,0,CHOOSE(M$5,CHOOSE(DASHBOARD!$K$139,-DASHBOARD!$BD126,-FORECASTS!M63)*M$19,CHOOSE(DASHBOARD!$K$139,-DASHBOARD!$BD126,-FORECASTS!M63)*M$19,0))</f>
        <v>0</v>
      </c>
      <c r="N62" s="134">
        <f>IF(thumb&lt;&gt;0,0,CHOOSE(N$5,CHOOSE(DASHBOARD!$K$139,-DASHBOARD!$BD126,-FORECASTS!N63)*N$19,CHOOSE(DASHBOARD!$K$139,-DASHBOARD!$BD126,-FORECASTS!N63)*N$19,0))</f>
        <v>0</v>
      </c>
      <c r="O62" s="134">
        <f>IF(thumb&lt;&gt;0,0,CHOOSE(O$5,CHOOSE(DASHBOARD!$K$139,-DASHBOARD!$BD126,-FORECASTS!O63)*O$19,CHOOSE(DASHBOARD!$K$139,-DASHBOARD!$BD126,-FORECASTS!O63)*O$19,0))</f>
        <v>0</v>
      </c>
      <c r="P62" s="134">
        <f>IF(thumb&lt;&gt;0,0,CHOOSE(P$5,CHOOSE(DASHBOARD!$K$139,-DASHBOARD!$BD126,-FORECASTS!P63)*P$19,CHOOSE(DASHBOARD!$K$139,-DASHBOARD!$BD126,-FORECASTS!P63)*P$19,0))</f>
        <v>0</v>
      </c>
      <c r="Q62" s="134">
        <f>IF(thumb&lt;&gt;0,0,CHOOSE(Q$5,CHOOSE(DASHBOARD!$K$139,-DASHBOARD!$BD126,-FORECASTS!Q63)*Q$19,CHOOSE(DASHBOARD!$K$139,-DASHBOARD!$BD126,-FORECASTS!Q63)*Q$19,0))</f>
        <v>0</v>
      </c>
      <c r="R62" s="134">
        <f>IF(thumb&lt;&gt;0,0,CHOOSE(R$5,CHOOSE(DASHBOARD!$K$139,-DASHBOARD!$BD126,-FORECASTS!R63)*R$19,CHOOSE(DASHBOARD!$K$139,-DASHBOARD!$BD126,-FORECASTS!R63)*R$19,0))</f>
        <v>0</v>
      </c>
      <c r="S62" s="134">
        <f>IF(thumb&lt;&gt;0,0,CHOOSE(S$5,CHOOSE(DASHBOARD!$K$139,-DASHBOARD!$BD126,-FORECASTS!S63)*S$19,CHOOSE(DASHBOARD!$K$139,-DASHBOARD!$BD126,-FORECASTS!S63)*S$19,0))</f>
        <v>0</v>
      </c>
      <c r="T62" s="134">
        <f>IF(thumb&lt;&gt;0,0,CHOOSE(T$5,CHOOSE(DASHBOARD!$K$139,-DASHBOARD!$BD126,-FORECASTS!T63)*T$19,CHOOSE(DASHBOARD!$K$139,-DASHBOARD!$BD126,-FORECASTS!T63)*T$19,0))</f>
        <v>0</v>
      </c>
      <c r="U62" s="134">
        <f>IF(thumb&lt;&gt;0,0,CHOOSE(U$5,CHOOSE(DASHBOARD!$K$139,-DASHBOARD!$BD126,-FORECASTS!U63)*U$19,CHOOSE(DASHBOARD!$K$139,-DASHBOARD!$BD126,-FORECASTS!U63)*U$19,0))</f>
        <v>0</v>
      </c>
      <c r="V62" s="134">
        <f>IF(thumb&lt;&gt;0,0,CHOOSE(V$5,CHOOSE(DASHBOARD!$K$139,-DASHBOARD!$BD126,-FORECASTS!V63)*V$19,CHOOSE(DASHBOARD!$K$139,-DASHBOARD!$BD126,-FORECASTS!V63)*V$19,0))</f>
        <v>0</v>
      </c>
      <c r="W62" s="134">
        <f>IF(thumb&lt;&gt;0,0,CHOOSE(W$5,CHOOSE(DASHBOARD!$K$139,-DASHBOARD!$BD126,-FORECASTS!W63)*W$19,CHOOSE(DASHBOARD!$K$139,-DASHBOARD!$BD126,-FORECASTS!W63)*W$19,0))</f>
        <v>0</v>
      </c>
      <c r="X62" s="134">
        <f>IF(thumb&lt;&gt;0,0,CHOOSE(X$5,CHOOSE(DASHBOARD!$K$139,-DASHBOARD!$BD126,-FORECASTS!X63)*X$19,CHOOSE(DASHBOARD!$K$139,-DASHBOARD!$BD126,-FORECASTS!X63)*X$19,0))</f>
        <v>0</v>
      </c>
      <c r="Y62" s="134">
        <f>IF(thumb&lt;&gt;0,0,CHOOSE(Y$5,CHOOSE(DASHBOARD!$K$139,-DASHBOARD!$BD126,-FORECASTS!Y63)*Y$19,CHOOSE(DASHBOARD!$K$139,-DASHBOARD!$BD126,-FORECASTS!Y63)*Y$19,0))</f>
        <v>0</v>
      </c>
      <c r="Z62" s="134">
        <f>IF(thumb&lt;&gt;0,0,CHOOSE(Z$5,CHOOSE(DASHBOARD!$K$139,-DASHBOARD!$BD126,-FORECASTS!Z63)*Z$19,CHOOSE(DASHBOARD!$K$139,-DASHBOARD!$BD126,-FORECASTS!Z63)*Z$19,0))</f>
        <v>0</v>
      </c>
      <c r="AA62" s="134">
        <f>IF(thumb&lt;&gt;0,0,CHOOSE(AA$5,CHOOSE(DASHBOARD!$K$139,-DASHBOARD!$BD126,-FORECASTS!AA63)*AA$19,CHOOSE(DASHBOARD!$K$139,-DASHBOARD!$BD126,-FORECASTS!AA63)*AA$19,0))</f>
        <v>0</v>
      </c>
      <c r="AB62" s="134">
        <f>IF(thumb&lt;&gt;0,0,CHOOSE(AB$5,CHOOSE(DASHBOARD!$K$139,-DASHBOARD!$BD126,-FORECASTS!AB63)*AB$19,CHOOSE(DASHBOARD!$K$139,-DASHBOARD!$BD126,-FORECASTS!AB63)*AB$19,0))</f>
        <v>0</v>
      </c>
      <c r="AC62" s="134">
        <f>IF(thumb&lt;&gt;0,0,CHOOSE(AC$5,CHOOSE(DASHBOARD!$K$139,-DASHBOARD!$BD126,-FORECASTS!AC63)*AC$19,CHOOSE(DASHBOARD!$K$139,-DASHBOARD!$BD126,-FORECASTS!AC63)*AC$19,0))</f>
        <v>0</v>
      </c>
      <c r="AD62" s="134">
        <f>IF(thumb&lt;&gt;0,0,CHOOSE(AD$5,CHOOSE(DASHBOARD!$K$139,-DASHBOARD!$BD126,-FORECASTS!AD63)*AD$19,CHOOSE(DASHBOARD!$K$139,-DASHBOARD!$BD126,-FORECASTS!AD63)*AD$19,0))</f>
        <v>0</v>
      </c>
      <c r="AE62" s="134">
        <f>IF(thumb&lt;&gt;0,0,CHOOSE(AE$5,CHOOSE(DASHBOARD!$K$139,-DASHBOARD!$BD126,-FORECASTS!AE63)*AE$19,CHOOSE(DASHBOARD!$K$139,-DASHBOARD!$BD126,-FORECASTS!AE63)*AE$19,0))</f>
        <v>0</v>
      </c>
      <c r="AF62" s="134">
        <f>IF(thumb&lt;&gt;0,0,CHOOSE(AF$5,CHOOSE(DASHBOARD!$K$139,-DASHBOARD!$BD126,-FORECASTS!AF63)*AF$19,CHOOSE(DASHBOARD!$K$139,-DASHBOARD!$BD126,-FORECASTS!AF63)*AF$19,0))</f>
        <v>0</v>
      </c>
      <c r="AG62" s="134">
        <f>IF(thumb&lt;&gt;0,0,CHOOSE(AG$5,CHOOSE(DASHBOARD!$K$139,-DASHBOARD!$BD126,-FORECASTS!AG63)*AG$19,CHOOSE(DASHBOARD!$K$139,-DASHBOARD!$BD126,-FORECASTS!AG63)*AG$19,0))</f>
        <v>0</v>
      </c>
      <c r="AH62" s="134">
        <f>IF(thumb&lt;&gt;0,0,CHOOSE(AH$5,CHOOSE(DASHBOARD!$K$139,-DASHBOARD!$BD126,-FORECASTS!AH63)*AH$19,CHOOSE(DASHBOARD!$K$139,-DASHBOARD!$BD126,-FORECASTS!AH63)*AH$19,0))</f>
        <v>0</v>
      </c>
      <c r="AI62" s="708">
        <f>IF(thumb&lt;&gt;0,0,CHOOSE(AI$5,CHOOSE(DASHBOARD!$K$139,-DASHBOARD!$BD126,-FORECASTS!AI63)*AI$19,CHOOSE(DASHBOARD!$K$139,-DASHBOARD!$BD126,-FORECASTS!AI63)*AI$19,0))</f>
        <v>0</v>
      </c>
      <c r="AJ62" s="1605">
        <v>1</v>
      </c>
    </row>
    <row r="63" spans="2:36" s="289" customFormat="1" hidden="1" outlineLevel="1" x14ac:dyDescent="0.3">
      <c r="B63" s="776" t="s">
        <v>585</v>
      </c>
      <c r="C63" s="966"/>
      <c r="D63" s="127"/>
      <c r="E63" s="973">
        <f>DASHBOARD!BD126</f>
        <v>0</v>
      </c>
      <c r="F63" s="1095">
        <f t="shared" ref="F63:AI63" si="32">E63</f>
        <v>0</v>
      </c>
      <c r="G63" s="1095">
        <f t="shared" si="32"/>
        <v>0</v>
      </c>
      <c r="H63" s="1095">
        <f t="shared" si="32"/>
        <v>0</v>
      </c>
      <c r="I63" s="1095">
        <f t="shared" si="32"/>
        <v>0</v>
      </c>
      <c r="J63" s="1095">
        <f t="shared" si="32"/>
        <v>0</v>
      </c>
      <c r="K63" s="1095">
        <f t="shared" si="32"/>
        <v>0</v>
      </c>
      <c r="L63" s="1095">
        <f t="shared" si="32"/>
        <v>0</v>
      </c>
      <c r="M63" s="1095">
        <f t="shared" si="32"/>
        <v>0</v>
      </c>
      <c r="N63" s="1095">
        <f t="shared" si="32"/>
        <v>0</v>
      </c>
      <c r="O63" s="1095">
        <f t="shared" si="32"/>
        <v>0</v>
      </c>
      <c r="P63" s="1095">
        <f t="shared" si="32"/>
        <v>0</v>
      </c>
      <c r="Q63" s="1095">
        <f t="shared" si="32"/>
        <v>0</v>
      </c>
      <c r="R63" s="1095">
        <f t="shared" si="32"/>
        <v>0</v>
      </c>
      <c r="S63" s="1095">
        <f t="shared" si="32"/>
        <v>0</v>
      </c>
      <c r="T63" s="1095">
        <f t="shared" si="32"/>
        <v>0</v>
      </c>
      <c r="U63" s="1095">
        <f t="shared" si="32"/>
        <v>0</v>
      </c>
      <c r="V63" s="1095">
        <f t="shared" si="32"/>
        <v>0</v>
      </c>
      <c r="W63" s="1095">
        <f t="shared" si="32"/>
        <v>0</v>
      </c>
      <c r="X63" s="1095">
        <f t="shared" si="32"/>
        <v>0</v>
      </c>
      <c r="Y63" s="1095">
        <f t="shared" si="32"/>
        <v>0</v>
      </c>
      <c r="Z63" s="1095">
        <f t="shared" si="32"/>
        <v>0</v>
      </c>
      <c r="AA63" s="1095">
        <f t="shared" si="32"/>
        <v>0</v>
      </c>
      <c r="AB63" s="1095">
        <f t="shared" si="32"/>
        <v>0</v>
      </c>
      <c r="AC63" s="1095">
        <f t="shared" si="32"/>
        <v>0</v>
      </c>
      <c r="AD63" s="1095">
        <f t="shared" si="32"/>
        <v>0</v>
      </c>
      <c r="AE63" s="1095">
        <f t="shared" si="32"/>
        <v>0</v>
      </c>
      <c r="AF63" s="1095">
        <f t="shared" si="32"/>
        <v>0</v>
      </c>
      <c r="AG63" s="1095">
        <f t="shared" si="32"/>
        <v>0</v>
      </c>
      <c r="AH63" s="1095">
        <f t="shared" si="32"/>
        <v>0</v>
      </c>
      <c r="AI63" s="1096">
        <f t="shared" si="32"/>
        <v>0</v>
      </c>
      <c r="AJ63" s="1605">
        <f>IF(AND(DASHBOARD!$K$139=2,DASHBOARD!$BC$134=1),1,0)</f>
        <v>0</v>
      </c>
    </row>
    <row r="64" spans="2:36" s="289" customFormat="1" outlineLevel="1" x14ac:dyDescent="0.3">
      <c r="B64" s="706" t="str">
        <f>DASHBOARD!AQ127</f>
        <v>Miscellaneous (Variable)</v>
      </c>
      <c r="C64" s="309">
        <f>IFERROR(SUM(E64:AI64),0)</f>
        <v>0</v>
      </c>
      <c r="D64" s="127"/>
      <c r="E64" s="134">
        <f>IF(OR(E$5=3,thumb&lt;&gt;0),0,HIDE5!Q72)</f>
        <v>0</v>
      </c>
      <c r="F64" s="134">
        <f>IF(thumb&lt;&gt;0,0,CHOOSE(F$5,CHOOSE(DASHBOARD!$K$139,-DASHBOARD!$BD127,-FORECASTS!F65)*F$19,CHOOSE(DASHBOARD!$K$139,-DASHBOARD!$BD127,-FORECASTS!F65)*F$19,0))</f>
        <v>0</v>
      </c>
      <c r="G64" s="134">
        <f>IF(thumb&lt;&gt;0,0,CHOOSE(G$5,CHOOSE(DASHBOARD!$K$139,-DASHBOARD!$BD127,-FORECASTS!G65)*G$19,CHOOSE(DASHBOARD!$K$139,-DASHBOARD!$BD127,-FORECASTS!G65)*G$19,0))</f>
        <v>0</v>
      </c>
      <c r="H64" s="134">
        <f>IF(thumb&lt;&gt;0,0,CHOOSE(H$5,CHOOSE(DASHBOARD!$K$139,-DASHBOARD!$BD127,-FORECASTS!H65)*H$19,CHOOSE(DASHBOARD!$K$139,-DASHBOARD!$BD127,-FORECASTS!H65)*H$19,0))</f>
        <v>0</v>
      </c>
      <c r="I64" s="134">
        <f>IF(thumb&lt;&gt;0,0,CHOOSE(I$5,CHOOSE(DASHBOARD!$K$139,-DASHBOARD!$BD127,-FORECASTS!I65)*I$19,CHOOSE(DASHBOARD!$K$139,-DASHBOARD!$BD127,-FORECASTS!I65)*I$19,0))</f>
        <v>0</v>
      </c>
      <c r="J64" s="134">
        <f>IF(thumb&lt;&gt;0,0,CHOOSE(J$5,CHOOSE(DASHBOARD!$K$139,-DASHBOARD!$BD127,-FORECASTS!J65)*J$19,CHOOSE(DASHBOARD!$K$139,-DASHBOARD!$BD127,-FORECASTS!J65)*J$19,0))</f>
        <v>0</v>
      </c>
      <c r="K64" s="134">
        <f>IF(thumb&lt;&gt;0,0,CHOOSE(K$5,CHOOSE(DASHBOARD!$K$139,-DASHBOARD!$BD127,-FORECASTS!K65)*K$19,CHOOSE(DASHBOARD!$K$139,-DASHBOARD!$BD127,-FORECASTS!K65)*K$19,0))</f>
        <v>0</v>
      </c>
      <c r="L64" s="134">
        <f>IF(thumb&lt;&gt;0,0,CHOOSE(L$5,CHOOSE(DASHBOARD!$K$139,-DASHBOARD!$BD127,-FORECASTS!L65)*L$19,CHOOSE(DASHBOARD!$K$139,-DASHBOARD!$BD127,-FORECASTS!L65)*L$19,0))</f>
        <v>0</v>
      </c>
      <c r="M64" s="134">
        <f>IF(thumb&lt;&gt;0,0,CHOOSE(M$5,CHOOSE(DASHBOARD!$K$139,-DASHBOARD!$BD127,-FORECASTS!M65)*M$19,CHOOSE(DASHBOARD!$K$139,-DASHBOARD!$BD127,-FORECASTS!M65)*M$19,0))</f>
        <v>0</v>
      </c>
      <c r="N64" s="134">
        <f>IF(thumb&lt;&gt;0,0,CHOOSE(N$5,CHOOSE(DASHBOARD!$K$139,-DASHBOARD!$BD127,-FORECASTS!N65)*N$19,CHOOSE(DASHBOARD!$K$139,-DASHBOARD!$BD127,-FORECASTS!N65)*N$19,0))</f>
        <v>0</v>
      </c>
      <c r="O64" s="134">
        <f>IF(thumb&lt;&gt;0,0,CHOOSE(O$5,CHOOSE(DASHBOARD!$K$139,-DASHBOARD!$BD127,-FORECASTS!O65)*O$19,CHOOSE(DASHBOARD!$K$139,-DASHBOARD!$BD127,-FORECASTS!O65)*O$19,0))</f>
        <v>0</v>
      </c>
      <c r="P64" s="134">
        <f>IF(thumb&lt;&gt;0,0,CHOOSE(P$5,CHOOSE(DASHBOARD!$K$139,-DASHBOARD!$BD127,-FORECASTS!P65)*P$19,CHOOSE(DASHBOARD!$K$139,-DASHBOARD!$BD127,-FORECASTS!P65)*P$19,0))</f>
        <v>0</v>
      </c>
      <c r="Q64" s="134">
        <f>IF(thumb&lt;&gt;0,0,CHOOSE(Q$5,CHOOSE(DASHBOARD!$K$139,-DASHBOARD!$BD127,-FORECASTS!Q65)*Q$19,CHOOSE(DASHBOARD!$K$139,-DASHBOARD!$BD127,-FORECASTS!Q65)*Q$19,0))</f>
        <v>0</v>
      </c>
      <c r="R64" s="134">
        <f>IF(thumb&lt;&gt;0,0,CHOOSE(R$5,CHOOSE(DASHBOARD!$K$139,-DASHBOARD!$BD127,-FORECASTS!R65)*R$19,CHOOSE(DASHBOARD!$K$139,-DASHBOARD!$BD127,-FORECASTS!R65)*R$19,0))</f>
        <v>0</v>
      </c>
      <c r="S64" s="134">
        <f>IF(thumb&lt;&gt;0,0,CHOOSE(S$5,CHOOSE(DASHBOARD!$K$139,-DASHBOARD!$BD127,-FORECASTS!S65)*S$19,CHOOSE(DASHBOARD!$K$139,-DASHBOARD!$BD127,-FORECASTS!S65)*S$19,0))</f>
        <v>0</v>
      </c>
      <c r="T64" s="134">
        <f>IF(thumb&lt;&gt;0,0,CHOOSE(T$5,CHOOSE(DASHBOARD!$K$139,-DASHBOARD!$BD127,-FORECASTS!T65)*T$19,CHOOSE(DASHBOARD!$K$139,-DASHBOARD!$BD127,-FORECASTS!T65)*T$19,0))</f>
        <v>0</v>
      </c>
      <c r="U64" s="134">
        <f>IF(thumb&lt;&gt;0,0,CHOOSE(U$5,CHOOSE(DASHBOARD!$K$139,-DASHBOARD!$BD127,-FORECASTS!U65)*U$19,CHOOSE(DASHBOARD!$K$139,-DASHBOARD!$BD127,-FORECASTS!U65)*U$19,0))</f>
        <v>0</v>
      </c>
      <c r="V64" s="134">
        <f>IF(thumb&lt;&gt;0,0,CHOOSE(V$5,CHOOSE(DASHBOARD!$K$139,-DASHBOARD!$BD127,-FORECASTS!V65)*V$19,CHOOSE(DASHBOARD!$K$139,-DASHBOARD!$BD127,-FORECASTS!V65)*V$19,0))</f>
        <v>0</v>
      </c>
      <c r="W64" s="134">
        <f>IF(thumb&lt;&gt;0,0,CHOOSE(W$5,CHOOSE(DASHBOARD!$K$139,-DASHBOARD!$BD127,-FORECASTS!W65)*W$19,CHOOSE(DASHBOARD!$K$139,-DASHBOARD!$BD127,-FORECASTS!W65)*W$19,0))</f>
        <v>0</v>
      </c>
      <c r="X64" s="134">
        <f>IF(thumb&lt;&gt;0,0,CHOOSE(X$5,CHOOSE(DASHBOARD!$K$139,-DASHBOARD!$BD127,-FORECASTS!X65)*X$19,CHOOSE(DASHBOARD!$K$139,-DASHBOARD!$BD127,-FORECASTS!X65)*X$19,0))</f>
        <v>0</v>
      </c>
      <c r="Y64" s="134">
        <f>IF(thumb&lt;&gt;0,0,CHOOSE(Y$5,CHOOSE(DASHBOARD!$K$139,-DASHBOARD!$BD127,-FORECASTS!Y65)*Y$19,CHOOSE(DASHBOARD!$K$139,-DASHBOARD!$BD127,-FORECASTS!Y65)*Y$19,0))</f>
        <v>0</v>
      </c>
      <c r="Z64" s="134">
        <f>IF(thumb&lt;&gt;0,0,CHOOSE(Z$5,CHOOSE(DASHBOARD!$K$139,-DASHBOARD!$BD127,-FORECASTS!Z65)*Z$19,CHOOSE(DASHBOARD!$K$139,-DASHBOARD!$BD127,-FORECASTS!Z65)*Z$19,0))</f>
        <v>0</v>
      </c>
      <c r="AA64" s="134">
        <f>IF(thumb&lt;&gt;0,0,CHOOSE(AA$5,CHOOSE(DASHBOARD!$K$139,-DASHBOARD!$BD127,-FORECASTS!AA65)*AA$19,CHOOSE(DASHBOARD!$K$139,-DASHBOARD!$BD127,-FORECASTS!AA65)*AA$19,0))</f>
        <v>0</v>
      </c>
      <c r="AB64" s="134">
        <f>IF(thumb&lt;&gt;0,0,CHOOSE(AB$5,CHOOSE(DASHBOARD!$K$139,-DASHBOARD!$BD127,-FORECASTS!AB65)*AB$19,CHOOSE(DASHBOARD!$K$139,-DASHBOARD!$BD127,-FORECASTS!AB65)*AB$19,0))</f>
        <v>0</v>
      </c>
      <c r="AC64" s="134">
        <f>IF(thumb&lt;&gt;0,0,CHOOSE(AC$5,CHOOSE(DASHBOARD!$K$139,-DASHBOARD!$BD127,-FORECASTS!AC65)*AC$19,CHOOSE(DASHBOARD!$K$139,-DASHBOARD!$BD127,-FORECASTS!AC65)*AC$19,0))</f>
        <v>0</v>
      </c>
      <c r="AD64" s="134">
        <f>IF(thumb&lt;&gt;0,0,CHOOSE(AD$5,CHOOSE(DASHBOARD!$K$139,-DASHBOARD!$BD127,-FORECASTS!AD65)*AD$19,CHOOSE(DASHBOARD!$K$139,-DASHBOARD!$BD127,-FORECASTS!AD65)*AD$19,0))</f>
        <v>0</v>
      </c>
      <c r="AE64" s="134">
        <f>IF(thumb&lt;&gt;0,0,CHOOSE(AE$5,CHOOSE(DASHBOARD!$K$139,-DASHBOARD!$BD127,-FORECASTS!AE65)*AE$19,CHOOSE(DASHBOARD!$K$139,-DASHBOARD!$BD127,-FORECASTS!AE65)*AE$19,0))</f>
        <v>0</v>
      </c>
      <c r="AF64" s="134">
        <f>IF(thumb&lt;&gt;0,0,CHOOSE(AF$5,CHOOSE(DASHBOARD!$K$139,-DASHBOARD!$BD127,-FORECASTS!AF65)*AF$19,CHOOSE(DASHBOARD!$K$139,-DASHBOARD!$BD127,-FORECASTS!AF65)*AF$19,0))</f>
        <v>0</v>
      </c>
      <c r="AG64" s="134">
        <f>IF(thumb&lt;&gt;0,0,CHOOSE(AG$5,CHOOSE(DASHBOARD!$K$139,-DASHBOARD!$BD127,-FORECASTS!AG65)*AG$19,CHOOSE(DASHBOARD!$K$139,-DASHBOARD!$BD127,-FORECASTS!AG65)*AG$19,0))</f>
        <v>0</v>
      </c>
      <c r="AH64" s="134">
        <f>IF(thumb&lt;&gt;0,0,CHOOSE(AH$5,CHOOSE(DASHBOARD!$K$139,-DASHBOARD!$BD127,-FORECASTS!AH65)*AH$19,CHOOSE(DASHBOARD!$K$139,-DASHBOARD!$BD127,-FORECASTS!AH65)*AH$19,0))</f>
        <v>0</v>
      </c>
      <c r="AI64" s="708">
        <f>IF(thumb&lt;&gt;0,0,CHOOSE(AI$5,CHOOSE(DASHBOARD!$K$139,-DASHBOARD!$BD127,-FORECASTS!AI65)*AI$19,CHOOSE(DASHBOARD!$K$139,-DASHBOARD!$BD127,-FORECASTS!AI65)*AI$19,0))</f>
        <v>0</v>
      </c>
      <c r="AJ64" s="1605">
        <v>1</v>
      </c>
    </row>
    <row r="65" spans="2:36" s="289" customFormat="1" hidden="1" outlineLevel="1" x14ac:dyDescent="0.3">
      <c r="B65" s="776" t="s">
        <v>585</v>
      </c>
      <c r="C65" s="966"/>
      <c r="D65" s="127"/>
      <c r="E65" s="973">
        <f>DASHBOARD!BD127</f>
        <v>0</v>
      </c>
      <c r="F65" s="1095">
        <f t="shared" ref="F65:AI65" si="33">E65</f>
        <v>0</v>
      </c>
      <c r="G65" s="1095">
        <f t="shared" si="33"/>
        <v>0</v>
      </c>
      <c r="H65" s="1095">
        <f t="shared" si="33"/>
        <v>0</v>
      </c>
      <c r="I65" s="1095">
        <f t="shared" si="33"/>
        <v>0</v>
      </c>
      <c r="J65" s="1095">
        <f t="shared" si="33"/>
        <v>0</v>
      </c>
      <c r="K65" s="1095">
        <f t="shared" si="33"/>
        <v>0</v>
      </c>
      <c r="L65" s="1095">
        <f t="shared" si="33"/>
        <v>0</v>
      </c>
      <c r="M65" s="1095">
        <f t="shared" si="33"/>
        <v>0</v>
      </c>
      <c r="N65" s="1095">
        <f t="shared" si="33"/>
        <v>0</v>
      </c>
      <c r="O65" s="1095">
        <f t="shared" si="33"/>
        <v>0</v>
      </c>
      <c r="P65" s="1095">
        <f t="shared" si="33"/>
        <v>0</v>
      </c>
      <c r="Q65" s="1095">
        <f t="shared" si="33"/>
        <v>0</v>
      </c>
      <c r="R65" s="1095">
        <f t="shared" si="33"/>
        <v>0</v>
      </c>
      <c r="S65" s="1095">
        <f t="shared" si="33"/>
        <v>0</v>
      </c>
      <c r="T65" s="1095">
        <f t="shared" si="33"/>
        <v>0</v>
      </c>
      <c r="U65" s="1095">
        <f t="shared" si="33"/>
        <v>0</v>
      </c>
      <c r="V65" s="1095">
        <f t="shared" si="33"/>
        <v>0</v>
      </c>
      <c r="W65" s="1095">
        <f t="shared" si="33"/>
        <v>0</v>
      </c>
      <c r="X65" s="1095">
        <f t="shared" si="33"/>
        <v>0</v>
      </c>
      <c r="Y65" s="1095">
        <f t="shared" si="33"/>
        <v>0</v>
      </c>
      <c r="Z65" s="1095">
        <f t="shared" si="33"/>
        <v>0</v>
      </c>
      <c r="AA65" s="1095">
        <f t="shared" si="33"/>
        <v>0</v>
      </c>
      <c r="AB65" s="1095">
        <f t="shared" si="33"/>
        <v>0</v>
      </c>
      <c r="AC65" s="1095">
        <f t="shared" si="33"/>
        <v>0</v>
      </c>
      <c r="AD65" s="1095">
        <f t="shared" si="33"/>
        <v>0</v>
      </c>
      <c r="AE65" s="1095">
        <f t="shared" si="33"/>
        <v>0</v>
      </c>
      <c r="AF65" s="1095">
        <f t="shared" si="33"/>
        <v>0</v>
      </c>
      <c r="AG65" s="1095">
        <f t="shared" si="33"/>
        <v>0</v>
      </c>
      <c r="AH65" s="1095">
        <f t="shared" si="33"/>
        <v>0</v>
      </c>
      <c r="AI65" s="1096">
        <f t="shared" si="33"/>
        <v>0</v>
      </c>
      <c r="AJ65" s="1605">
        <f>IF(AND(DASHBOARD!$K$139=2,DASHBOARD!$BC$134=1),1,0)</f>
        <v>0</v>
      </c>
    </row>
    <row r="66" spans="2:36" s="289" customFormat="1" outlineLevel="1" x14ac:dyDescent="0.3">
      <c r="B66" s="1135" t="s">
        <v>754</v>
      </c>
      <c r="C66" s="309">
        <f>IFERROR(SUMIF($E$5:$AI$5,"&lt;&gt;"&amp;3,E66:AI66),0)</f>
        <v>0</v>
      </c>
      <c r="D66" s="127"/>
      <c r="E66" s="1136">
        <v>0</v>
      </c>
      <c r="F66" s="1137">
        <v>0</v>
      </c>
      <c r="G66" s="1137">
        <v>0</v>
      </c>
      <c r="H66" s="1137">
        <v>0</v>
      </c>
      <c r="I66" s="1137">
        <v>0</v>
      </c>
      <c r="J66" s="1137">
        <v>0</v>
      </c>
      <c r="K66" s="1137">
        <v>0</v>
      </c>
      <c r="L66" s="1137">
        <v>0</v>
      </c>
      <c r="M66" s="1137">
        <v>0</v>
      </c>
      <c r="N66" s="1137">
        <v>0</v>
      </c>
      <c r="O66" s="1137">
        <v>0</v>
      </c>
      <c r="P66" s="1137">
        <v>0</v>
      </c>
      <c r="Q66" s="1137">
        <v>0</v>
      </c>
      <c r="R66" s="1137">
        <v>0</v>
      </c>
      <c r="S66" s="1137">
        <v>0</v>
      </c>
      <c r="T66" s="1137">
        <v>0</v>
      </c>
      <c r="U66" s="1137">
        <v>0</v>
      </c>
      <c r="V66" s="1137">
        <v>0</v>
      </c>
      <c r="W66" s="1137">
        <v>0</v>
      </c>
      <c r="X66" s="1137">
        <v>0</v>
      </c>
      <c r="Y66" s="1137">
        <v>0</v>
      </c>
      <c r="Z66" s="1137">
        <v>0</v>
      </c>
      <c r="AA66" s="1137">
        <v>0</v>
      </c>
      <c r="AB66" s="1137">
        <v>0</v>
      </c>
      <c r="AC66" s="1137">
        <v>0</v>
      </c>
      <c r="AD66" s="1137">
        <v>0</v>
      </c>
      <c r="AE66" s="1137">
        <v>0</v>
      </c>
      <c r="AF66" s="1137">
        <v>0</v>
      </c>
      <c r="AG66" s="1137">
        <v>0</v>
      </c>
      <c r="AH66" s="1137">
        <v>0</v>
      </c>
      <c r="AI66" s="1138">
        <v>0</v>
      </c>
      <c r="AJ66" s="1605">
        <v>1</v>
      </c>
    </row>
    <row r="67" spans="2:36" s="289" customFormat="1" outlineLevel="1" x14ac:dyDescent="0.3">
      <c r="B67" s="1135" t="s">
        <v>755</v>
      </c>
      <c r="C67" s="309">
        <f>IFERROR(SUMIF($E$5:$AI$5,"&lt;&gt;"&amp;3,E67:AI67),0)</f>
        <v>0</v>
      </c>
      <c r="D67" s="127"/>
      <c r="E67" s="1139">
        <v>0</v>
      </c>
      <c r="F67" s="1139">
        <v>0</v>
      </c>
      <c r="G67" s="1139">
        <v>0</v>
      </c>
      <c r="H67" s="1139">
        <v>0</v>
      </c>
      <c r="I67" s="1139">
        <v>0</v>
      </c>
      <c r="J67" s="1139">
        <v>0</v>
      </c>
      <c r="K67" s="1139">
        <v>0</v>
      </c>
      <c r="L67" s="1139">
        <v>0</v>
      </c>
      <c r="M67" s="1139">
        <v>0</v>
      </c>
      <c r="N67" s="1139">
        <v>0</v>
      </c>
      <c r="O67" s="1139">
        <v>0</v>
      </c>
      <c r="P67" s="1139">
        <v>0</v>
      </c>
      <c r="Q67" s="1139">
        <v>0</v>
      </c>
      <c r="R67" s="1139">
        <v>0</v>
      </c>
      <c r="S67" s="1139">
        <v>0</v>
      </c>
      <c r="T67" s="1139">
        <v>0</v>
      </c>
      <c r="U67" s="1139">
        <v>0</v>
      </c>
      <c r="V67" s="1139">
        <v>0</v>
      </c>
      <c r="W67" s="1139">
        <v>0</v>
      </c>
      <c r="X67" s="1139">
        <v>0</v>
      </c>
      <c r="Y67" s="1139">
        <v>0</v>
      </c>
      <c r="Z67" s="1139">
        <v>0</v>
      </c>
      <c r="AA67" s="1139">
        <v>0</v>
      </c>
      <c r="AB67" s="1139">
        <v>0</v>
      </c>
      <c r="AC67" s="1139">
        <v>0</v>
      </c>
      <c r="AD67" s="1139">
        <v>0</v>
      </c>
      <c r="AE67" s="1139">
        <v>0</v>
      </c>
      <c r="AF67" s="1139">
        <v>0</v>
      </c>
      <c r="AG67" s="1139">
        <v>0</v>
      </c>
      <c r="AH67" s="1139">
        <v>0</v>
      </c>
      <c r="AI67" s="1140">
        <v>0</v>
      </c>
      <c r="AJ67" s="1605">
        <v>1</v>
      </c>
    </row>
    <row r="68" spans="2:36" s="289" customFormat="1" outlineLevel="1" x14ac:dyDescent="0.3">
      <c r="B68" s="710" t="s">
        <v>1</v>
      </c>
      <c r="C68" s="970">
        <f>IFERROR(SUM(E68:AI68),0)</f>
        <v>0</v>
      </c>
      <c r="D68" s="321"/>
      <c r="E68" s="323">
        <f t="shared" ref="E68:AI68" si="34">E29+E30+E32+E34+E36+E38+E40+E42+E44+E46+E48+E50+E52+E54+E56+E58+E60+E62+E64+IF(AND(thumb=0,E5&lt;&gt;3),SUM(E66:E67),0)</f>
        <v>0</v>
      </c>
      <c r="F68" s="323">
        <f t="shared" si="34"/>
        <v>0</v>
      </c>
      <c r="G68" s="323">
        <f t="shared" si="34"/>
        <v>0</v>
      </c>
      <c r="H68" s="323">
        <f t="shared" si="34"/>
        <v>0</v>
      </c>
      <c r="I68" s="323">
        <f t="shared" si="34"/>
        <v>0</v>
      </c>
      <c r="J68" s="323">
        <f t="shared" si="34"/>
        <v>0</v>
      </c>
      <c r="K68" s="323">
        <f t="shared" si="34"/>
        <v>0</v>
      </c>
      <c r="L68" s="323">
        <f t="shared" si="34"/>
        <v>0</v>
      </c>
      <c r="M68" s="323">
        <f t="shared" si="34"/>
        <v>0</v>
      </c>
      <c r="N68" s="323">
        <f t="shared" si="34"/>
        <v>0</v>
      </c>
      <c r="O68" s="323">
        <f t="shared" si="34"/>
        <v>0</v>
      </c>
      <c r="P68" s="323">
        <f t="shared" si="34"/>
        <v>0</v>
      </c>
      <c r="Q68" s="323">
        <f t="shared" si="34"/>
        <v>0</v>
      </c>
      <c r="R68" s="323">
        <f t="shared" si="34"/>
        <v>0</v>
      </c>
      <c r="S68" s="323">
        <f t="shared" si="34"/>
        <v>0</v>
      </c>
      <c r="T68" s="323">
        <f t="shared" si="34"/>
        <v>0</v>
      </c>
      <c r="U68" s="323">
        <f t="shared" si="34"/>
        <v>0</v>
      </c>
      <c r="V68" s="323">
        <f t="shared" si="34"/>
        <v>0</v>
      </c>
      <c r="W68" s="323">
        <f t="shared" si="34"/>
        <v>0</v>
      </c>
      <c r="X68" s="323">
        <f t="shared" si="34"/>
        <v>0</v>
      </c>
      <c r="Y68" s="323">
        <f t="shared" si="34"/>
        <v>0</v>
      </c>
      <c r="Z68" s="323">
        <f t="shared" si="34"/>
        <v>0</v>
      </c>
      <c r="AA68" s="323">
        <f t="shared" si="34"/>
        <v>0</v>
      </c>
      <c r="AB68" s="323">
        <f t="shared" si="34"/>
        <v>0</v>
      </c>
      <c r="AC68" s="323">
        <f t="shared" si="34"/>
        <v>0</v>
      </c>
      <c r="AD68" s="323">
        <f t="shared" si="34"/>
        <v>0</v>
      </c>
      <c r="AE68" s="323">
        <f t="shared" si="34"/>
        <v>0</v>
      </c>
      <c r="AF68" s="323">
        <f t="shared" si="34"/>
        <v>0</v>
      </c>
      <c r="AG68" s="323">
        <f t="shared" si="34"/>
        <v>0</v>
      </c>
      <c r="AH68" s="323">
        <f t="shared" si="34"/>
        <v>0</v>
      </c>
      <c r="AI68" s="711">
        <f t="shared" si="34"/>
        <v>0</v>
      </c>
      <c r="AJ68" s="1605">
        <v>1</v>
      </c>
    </row>
    <row r="69" spans="2:36" s="289" customFormat="1" outlineLevel="1" x14ac:dyDescent="0.3">
      <c r="B69" s="778" t="s">
        <v>588</v>
      </c>
      <c r="C69" s="84"/>
      <c r="D69" s="325"/>
      <c r="E69" s="18">
        <f t="shared" ref="E69:AI69" si="35">IFERROR(-E68/E19,0)</f>
        <v>0</v>
      </c>
      <c r="F69" s="18">
        <f t="shared" si="35"/>
        <v>0</v>
      </c>
      <c r="G69" s="18">
        <f t="shared" si="35"/>
        <v>0</v>
      </c>
      <c r="H69" s="18">
        <f t="shared" si="35"/>
        <v>0</v>
      </c>
      <c r="I69" s="18">
        <f t="shared" si="35"/>
        <v>0</v>
      </c>
      <c r="J69" s="18">
        <f t="shared" si="35"/>
        <v>0</v>
      </c>
      <c r="K69" s="18">
        <f t="shared" si="35"/>
        <v>0</v>
      </c>
      <c r="L69" s="18">
        <f t="shared" si="35"/>
        <v>0</v>
      </c>
      <c r="M69" s="18">
        <f t="shared" si="35"/>
        <v>0</v>
      </c>
      <c r="N69" s="18">
        <f t="shared" si="35"/>
        <v>0</v>
      </c>
      <c r="O69" s="18">
        <f t="shared" si="35"/>
        <v>0</v>
      </c>
      <c r="P69" s="18">
        <f t="shared" si="35"/>
        <v>0</v>
      </c>
      <c r="Q69" s="18">
        <f t="shared" si="35"/>
        <v>0</v>
      </c>
      <c r="R69" s="18">
        <f t="shared" si="35"/>
        <v>0</v>
      </c>
      <c r="S69" s="18">
        <f t="shared" si="35"/>
        <v>0</v>
      </c>
      <c r="T69" s="18">
        <f t="shared" si="35"/>
        <v>0</v>
      </c>
      <c r="U69" s="18">
        <f t="shared" si="35"/>
        <v>0</v>
      </c>
      <c r="V69" s="18">
        <f t="shared" si="35"/>
        <v>0</v>
      </c>
      <c r="W69" s="18">
        <f t="shared" si="35"/>
        <v>0</v>
      </c>
      <c r="X69" s="18">
        <f t="shared" si="35"/>
        <v>0</v>
      </c>
      <c r="Y69" s="18">
        <f t="shared" si="35"/>
        <v>0</v>
      </c>
      <c r="Z69" s="18">
        <f t="shared" si="35"/>
        <v>0</v>
      </c>
      <c r="AA69" s="18">
        <f t="shared" si="35"/>
        <v>0</v>
      </c>
      <c r="AB69" s="18">
        <f t="shared" si="35"/>
        <v>0</v>
      </c>
      <c r="AC69" s="18">
        <f t="shared" si="35"/>
        <v>0</v>
      </c>
      <c r="AD69" s="18">
        <f t="shared" si="35"/>
        <v>0</v>
      </c>
      <c r="AE69" s="18">
        <f t="shared" si="35"/>
        <v>0</v>
      </c>
      <c r="AF69" s="18">
        <f t="shared" si="35"/>
        <v>0</v>
      </c>
      <c r="AG69" s="18">
        <f t="shared" si="35"/>
        <v>0</v>
      </c>
      <c r="AH69" s="18">
        <f t="shared" si="35"/>
        <v>0</v>
      </c>
      <c r="AI69" s="779">
        <f t="shared" si="35"/>
        <v>0</v>
      </c>
      <c r="AJ69" s="1605">
        <v>1</v>
      </c>
    </row>
    <row r="70" spans="2:36" s="289" customFormat="1" outlineLevel="1" x14ac:dyDescent="0.3">
      <c r="B70" s="706"/>
      <c r="C70" s="308"/>
      <c r="D70" s="325"/>
      <c r="E70" s="15"/>
      <c r="F70" s="15"/>
      <c r="G70" s="20"/>
      <c r="H70" s="20"/>
      <c r="I70" s="20"/>
      <c r="J70" s="20"/>
      <c r="K70" s="20"/>
      <c r="L70" s="20"/>
      <c r="M70" s="20"/>
      <c r="N70" s="20"/>
      <c r="O70" s="20"/>
      <c r="P70" s="20"/>
      <c r="Q70" s="20"/>
      <c r="R70" s="20"/>
      <c r="S70" s="20"/>
      <c r="T70" s="20"/>
      <c r="U70" s="20"/>
      <c r="V70" s="20"/>
      <c r="W70" s="20"/>
      <c r="X70" s="20"/>
      <c r="Y70" s="20"/>
      <c r="Z70" s="20"/>
      <c r="AA70" s="20"/>
      <c r="AB70" s="125"/>
      <c r="AC70" s="125"/>
      <c r="AD70" s="125"/>
      <c r="AE70" s="125"/>
      <c r="AF70" s="125"/>
      <c r="AG70" s="125"/>
      <c r="AH70" s="125"/>
      <c r="AI70" s="780"/>
      <c r="AJ70" s="1605">
        <v>1</v>
      </c>
    </row>
    <row r="71" spans="2:36" s="289" customFormat="1" outlineLevel="1" x14ac:dyDescent="0.3">
      <c r="B71" s="717" t="s">
        <v>18</v>
      </c>
      <c r="C71" s="974">
        <f>C26+C68</f>
        <v>0</v>
      </c>
      <c r="D71" s="1804" t="s">
        <v>1149</v>
      </c>
      <c r="E71" s="968">
        <f t="shared" ref="E71:AI71" si="36">E26+E68</f>
        <v>0</v>
      </c>
      <c r="F71" s="968">
        <f t="shared" si="36"/>
        <v>0</v>
      </c>
      <c r="G71" s="969">
        <f t="shared" si="36"/>
        <v>0</v>
      </c>
      <c r="H71" s="969">
        <f t="shared" si="36"/>
        <v>0</v>
      </c>
      <c r="I71" s="969">
        <f t="shared" si="36"/>
        <v>0</v>
      </c>
      <c r="J71" s="969">
        <f t="shared" si="36"/>
        <v>0</v>
      </c>
      <c r="K71" s="969">
        <f t="shared" si="36"/>
        <v>0</v>
      </c>
      <c r="L71" s="969">
        <f t="shared" si="36"/>
        <v>0</v>
      </c>
      <c r="M71" s="969">
        <f t="shared" si="36"/>
        <v>0</v>
      </c>
      <c r="N71" s="969">
        <f t="shared" si="36"/>
        <v>0</v>
      </c>
      <c r="O71" s="969">
        <f t="shared" si="36"/>
        <v>0</v>
      </c>
      <c r="P71" s="969">
        <f t="shared" si="36"/>
        <v>0</v>
      </c>
      <c r="Q71" s="969">
        <f t="shared" si="36"/>
        <v>0</v>
      </c>
      <c r="R71" s="969">
        <f t="shared" si="36"/>
        <v>0</v>
      </c>
      <c r="S71" s="969">
        <f t="shared" si="36"/>
        <v>0</v>
      </c>
      <c r="T71" s="969">
        <f t="shared" si="36"/>
        <v>0</v>
      </c>
      <c r="U71" s="969">
        <f t="shared" si="36"/>
        <v>0</v>
      </c>
      <c r="V71" s="969">
        <f t="shared" si="36"/>
        <v>0</v>
      </c>
      <c r="W71" s="969">
        <f t="shared" si="36"/>
        <v>0</v>
      </c>
      <c r="X71" s="969">
        <f t="shared" si="36"/>
        <v>0</v>
      </c>
      <c r="Y71" s="969">
        <f t="shared" si="36"/>
        <v>0</v>
      </c>
      <c r="Z71" s="969">
        <f t="shared" si="36"/>
        <v>0</v>
      </c>
      <c r="AA71" s="969">
        <f t="shared" si="36"/>
        <v>0</v>
      </c>
      <c r="AB71" s="969">
        <f t="shared" si="36"/>
        <v>0</v>
      </c>
      <c r="AC71" s="969">
        <f t="shared" si="36"/>
        <v>0</v>
      </c>
      <c r="AD71" s="969">
        <f t="shared" si="36"/>
        <v>0</v>
      </c>
      <c r="AE71" s="969">
        <f t="shared" si="36"/>
        <v>0</v>
      </c>
      <c r="AF71" s="969">
        <f t="shared" si="36"/>
        <v>0</v>
      </c>
      <c r="AG71" s="969">
        <f t="shared" si="36"/>
        <v>0</v>
      </c>
      <c r="AH71" s="969">
        <f t="shared" si="36"/>
        <v>0</v>
      </c>
      <c r="AI71" s="777">
        <f t="shared" si="36"/>
        <v>0</v>
      </c>
      <c r="AJ71" s="1605">
        <v>1</v>
      </c>
    </row>
    <row r="72" spans="2:36" s="289" customFormat="1" outlineLevel="1" x14ac:dyDescent="0.3">
      <c r="B72" s="781" t="s">
        <v>588</v>
      </c>
      <c r="C72" s="307">
        <f>IFERROR(C71/C19,0)</f>
        <v>0</v>
      </c>
      <c r="D72" s="326"/>
      <c r="E72" s="312">
        <f t="shared" ref="E72:AI72" si="37">IFERROR(E71/E19,0)</f>
        <v>0</v>
      </c>
      <c r="F72" s="312">
        <f t="shared" si="37"/>
        <v>0</v>
      </c>
      <c r="G72" s="245">
        <f t="shared" si="37"/>
        <v>0</v>
      </c>
      <c r="H72" s="245">
        <f t="shared" si="37"/>
        <v>0</v>
      </c>
      <c r="I72" s="245">
        <f t="shared" si="37"/>
        <v>0</v>
      </c>
      <c r="J72" s="245">
        <f t="shared" si="37"/>
        <v>0</v>
      </c>
      <c r="K72" s="245">
        <f t="shared" si="37"/>
        <v>0</v>
      </c>
      <c r="L72" s="245">
        <f t="shared" si="37"/>
        <v>0</v>
      </c>
      <c r="M72" s="245">
        <f t="shared" si="37"/>
        <v>0</v>
      </c>
      <c r="N72" s="245">
        <f t="shared" si="37"/>
        <v>0</v>
      </c>
      <c r="O72" s="245">
        <f t="shared" si="37"/>
        <v>0</v>
      </c>
      <c r="P72" s="245">
        <f t="shared" si="37"/>
        <v>0</v>
      </c>
      <c r="Q72" s="245">
        <f t="shared" si="37"/>
        <v>0</v>
      </c>
      <c r="R72" s="245">
        <f t="shared" si="37"/>
        <v>0</v>
      </c>
      <c r="S72" s="245">
        <f t="shared" si="37"/>
        <v>0</v>
      </c>
      <c r="T72" s="245">
        <f t="shared" si="37"/>
        <v>0</v>
      </c>
      <c r="U72" s="245">
        <f t="shared" si="37"/>
        <v>0</v>
      </c>
      <c r="V72" s="245">
        <f t="shared" si="37"/>
        <v>0</v>
      </c>
      <c r="W72" s="245">
        <f t="shared" si="37"/>
        <v>0</v>
      </c>
      <c r="X72" s="245">
        <f t="shared" si="37"/>
        <v>0</v>
      </c>
      <c r="Y72" s="245">
        <f t="shared" si="37"/>
        <v>0</v>
      </c>
      <c r="Z72" s="245">
        <f t="shared" si="37"/>
        <v>0</v>
      </c>
      <c r="AA72" s="245">
        <f t="shared" si="37"/>
        <v>0</v>
      </c>
      <c r="AB72" s="245">
        <f t="shared" si="37"/>
        <v>0</v>
      </c>
      <c r="AC72" s="245">
        <f t="shared" si="37"/>
        <v>0</v>
      </c>
      <c r="AD72" s="245">
        <f t="shared" si="37"/>
        <v>0</v>
      </c>
      <c r="AE72" s="245">
        <f t="shared" si="37"/>
        <v>0</v>
      </c>
      <c r="AF72" s="245">
        <f t="shared" si="37"/>
        <v>0</v>
      </c>
      <c r="AG72" s="245">
        <f t="shared" si="37"/>
        <v>0</v>
      </c>
      <c r="AH72" s="245">
        <f t="shared" si="37"/>
        <v>0</v>
      </c>
      <c r="AI72" s="782">
        <f t="shared" si="37"/>
        <v>0</v>
      </c>
      <c r="AJ72" s="1605">
        <v>1</v>
      </c>
    </row>
    <row r="73" spans="2:36" s="289" customFormat="1" outlineLevel="1" x14ac:dyDescent="0.3">
      <c r="B73" s="706"/>
      <c r="C73" s="20"/>
      <c r="D73" s="325"/>
      <c r="E73" s="15"/>
      <c r="F73" s="938"/>
      <c r="G73" s="938"/>
      <c r="H73" s="938"/>
      <c r="I73" s="938"/>
      <c r="J73" s="938"/>
      <c r="K73" s="938"/>
      <c r="L73" s="938"/>
      <c r="M73" s="938"/>
      <c r="N73" s="938"/>
      <c r="O73" s="938"/>
      <c r="P73" s="938"/>
      <c r="Q73" s="938"/>
      <c r="R73" s="938"/>
      <c r="S73" s="938"/>
      <c r="T73" s="938"/>
      <c r="U73" s="938"/>
      <c r="V73" s="938"/>
      <c r="W73" s="938"/>
      <c r="X73" s="938"/>
      <c r="Y73" s="938"/>
      <c r="Z73" s="938"/>
      <c r="AA73" s="938"/>
      <c r="AB73" s="938"/>
      <c r="AC73" s="938"/>
      <c r="AD73" s="938"/>
      <c r="AE73" s="938"/>
      <c r="AF73" s="938"/>
      <c r="AG73" s="938"/>
      <c r="AH73" s="938"/>
      <c r="AI73" s="922"/>
      <c r="AJ73" s="1605">
        <v>1</v>
      </c>
    </row>
    <row r="74" spans="2:36" s="289" customFormat="1" outlineLevel="1" x14ac:dyDescent="0.3">
      <c r="B74" s="706" t="s">
        <v>191</v>
      </c>
      <c r="C74" s="309">
        <f>IFERROR(SUM(E74:AI74),0)</f>
        <v>0</v>
      </c>
      <c r="D74" s="127"/>
      <c r="E74" s="134">
        <f>IF(OR(E$5=3,thumb&lt;&gt;0),0,HIDE5!Q79)</f>
        <v>0</v>
      </c>
      <c r="F74" s="134">
        <f>IF(thumb&lt;&gt;0,0,CHOOSE(F$5,CHOOSE(DASHBOARD!$K$139,-DASHBOARD!$BD130,-FORECASTS!F75)*F$19,CHOOSE(DASHBOARD!$K$139,-DASHBOARD!$BD130,-FORECASTS!F75)*F$19,0))</f>
        <v>0</v>
      </c>
      <c r="G74" s="134">
        <f>IF(thumb&lt;&gt;0,0,CHOOSE(G$5,CHOOSE(DASHBOARD!$K$139,-DASHBOARD!$BD130,-FORECASTS!G75)*G$19,CHOOSE(DASHBOARD!$K$139,-DASHBOARD!$BD130,-FORECASTS!G75)*G$19,0))</f>
        <v>0</v>
      </c>
      <c r="H74" s="134">
        <f>IF(thumb&lt;&gt;0,0,CHOOSE(H$5,CHOOSE(DASHBOARD!$K$139,-DASHBOARD!$BD130,-FORECASTS!H75)*H$19,CHOOSE(DASHBOARD!$K$139,-DASHBOARD!$BD130,-FORECASTS!H75)*H$19,0))</f>
        <v>0</v>
      </c>
      <c r="I74" s="134">
        <f>IF(thumb&lt;&gt;0,0,CHOOSE(I$5,CHOOSE(DASHBOARD!$K$139,-DASHBOARD!$BD130,-FORECASTS!I75)*I$19,CHOOSE(DASHBOARD!$K$139,-DASHBOARD!$BD130,-FORECASTS!I75)*I$19,0))</f>
        <v>0</v>
      </c>
      <c r="J74" s="134">
        <f>IF(thumb&lt;&gt;0,0,CHOOSE(J$5,CHOOSE(DASHBOARD!$K$139,-DASHBOARD!$BD130,-FORECASTS!J75)*J$19,CHOOSE(DASHBOARD!$K$139,-DASHBOARD!$BD130,-FORECASTS!J75)*J$19,0))</f>
        <v>0</v>
      </c>
      <c r="K74" s="134">
        <f>IF(thumb&lt;&gt;0,0,CHOOSE(K$5,CHOOSE(DASHBOARD!$K$139,-DASHBOARD!$BD130,-FORECASTS!K75)*K$19,CHOOSE(DASHBOARD!$K$139,-DASHBOARD!$BD130,-FORECASTS!K75)*K$19,0))</f>
        <v>0</v>
      </c>
      <c r="L74" s="134">
        <f>IF(thumb&lt;&gt;0,0,CHOOSE(L$5,CHOOSE(DASHBOARD!$K$139,-DASHBOARD!$BD130,-FORECASTS!L75)*L$19,CHOOSE(DASHBOARD!$K$139,-DASHBOARD!$BD130,-FORECASTS!L75)*L$19,0))</f>
        <v>0</v>
      </c>
      <c r="M74" s="134">
        <f>IF(thumb&lt;&gt;0,0,CHOOSE(M$5,CHOOSE(DASHBOARD!$K$139,-DASHBOARD!$BD130,-FORECASTS!M75)*M$19,CHOOSE(DASHBOARD!$K$139,-DASHBOARD!$BD130,-FORECASTS!M75)*M$19,0))</f>
        <v>0</v>
      </c>
      <c r="N74" s="134">
        <f>IF(thumb&lt;&gt;0,0,CHOOSE(N$5,CHOOSE(DASHBOARD!$K$139,-DASHBOARD!$BD130,-FORECASTS!N75)*N$19,CHOOSE(DASHBOARD!$K$139,-DASHBOARD!$BD130,-FORECASTS!N75)*N$19,0))</f>
        <v>0</v>
      </c>
      <c r="O74" s="134">
        <f>IF(thumb&lt;&gt;0,0,CHOOSE(O$5,CHOOSE(DASHBOARD!$K$139,-DASHBOARD!$BD130,-FORECASTS!O75)*O$19,CHOOSE(DASHBOARD!$K$139,-DASHBOARD!$BD130,-FORECASTS!O75)*O$19,0))</f>
        <v>0</v>
      </c>
      <c r="P74" s="134">
        <f>IF(thumb&lt;&gt;0,0,CHOOSE(P$5,CHOOSE(DASHBOARD!$K$139,-DASHBOARD!$BD130,-FORECASTS!P75)*P$19,CHOOSE(DASHBOARD!$K$139,-DASHBOARD!$BD130,-FORECASTS!P75)*P$19,0))</f>
        <v>0</v>
      </c>
      <c r="Q74" s="134">
        <f>IF(thumb&lt;&gt;0,0,CHOOSE(Q$5,CHOOSE(DASHBOARD!$K$139,-DASHBOARD!$BD130,-FORECASTS!Q75)*Q$19,CHOOSE(DASHBOARD!$K$139,-DASHBOARD!$BD130,-FORECASTS!Q75)*Q$19,0))</f>
        <v>0</v>
      </c>
      <c r="R74" s="134">
        <f>IF(thumb&lt;&gt;0,0,CHOOSE(R$5,CHOOSE(DASHBOARD!$K$139,-DASHBOARD!$BD130,-FORECASTS!R75)*R$19,CHOOSE(DASHBOARD!$K$139,-DASHBOARD!$BD130,-FORECASTS!R75)*R$19,0))</f>
        <v>0</v>
      </c>
      <c r="S74" s="134">
        <f>IF(thumb&lt;&gt;0,0,CHOOSE(S$5,CHOOSE(DASHBOARD!$K$139,-DASHBOARD!$BD130,-FORECASTS!S75)*S$19,CHOOSE(DASHBOARD!$K$139,-DASHBOARD!$BD130,-FORECASTS!S75)*S$19,0))</f>
        <v>0</v>
      </c>
      <c r="T74" s="134">
        <f>IF(thumb&lt;&gt;0,0,CHOOSE(T$5,CHOOSE(DASHBOARD!$K$139,-DASHBOARD!$BD130,-FORECASTS!T75)*T$19,CHOOSE(DASHBOARD!$K$139,-DASHBOARD!$BD130,-FORECASTS!T75)*T$19,0))</f>
        <v>0</v>
      </c>
      <c r="U74" s="134">
        <f>IF(thumb&lt;&gt;0,0,CHOOSE(U$5,CHOOSE(DASHBOARD!$K$139,-DASHBOARD!$BD130,-FORECASTS!U75)*U$19,CHOOSE(DASHBOARD!$K$139,-DASHBOARD!$BD130,-FORECASTS!U75)*U$19,0))</f>
        <v>0</v>
      </c>
      <c r="V74" s="134">
        <f>IF(thumb&lt;&gt;0,0,CHOOSE(V$5,CHOOSE(DASHBOARD!$K$139,-DASHBOARD!$BD130,-FORECASTS!V75)*V$19,CHOOSE(DASHBOARD!$K$139,-DASHBOARD!$BD130,-FORECASTS!V75)*V$19,0))</f>
        <v>0</v>
      </c>
      <c r="W74" s="134">
        <f>IF(thumb&lt;&gt;0,0,CHOOSE(W$5,CHOOSE(DASHBOARD!$K$139,-DASHBOARD!$BD130,-FORECASTS!W75)*W$19,CHOOSE(DASHBOARD!$K$139,-DASHBOARD!$BD130,-FORECASTS!W75)*W$19,0))</f>
        <v>0</v>
      </c>
      <c r="X74" s="134">
        <f>IF(thumb&lt;&gt;0,0,CHOOSE(X$5,CHOOSE(DASHBOARD!$K$139,-DASHBOARD!$BD130,-FORECASTS!X75)*X$19,CHOOSE(DASHBOARD!$K$139,-DASHBOARD!$BD130,-FORECASTS!X75)*X$19,0))</f>
        <v>0</v>
      </c>
      <c r="Y74" s="134">
        <f>IF(thumb&lt;&gt;0,0,CHOOSE(Y$5,CHOOSE(DASHBOARD!$K$139,-DASHBOARD!$BD130,-FORECASTS!Y75)*Y$19,CHOOSE(DASHBOARD!$K$139,-DASHBOARD!$BD130,-FORECASTS!Y75)*Y$19,0))</f>
        <v>0</v>
      </c>
      <c r="Z74" s="134">
        <f>IF(thumb&lt;&gt;0,0,CHOOSE(Z$5,CHOOSE(DASHBOARD!$K$139,-DASHBOARD!$BD130,-FORECASTS!Z75)*Z$19,CHOOSE(DASHBOARD!$K$139,-DASHBOARD!$BD130,-FORECASTS!Z75)*Z$19,0))</f>
        <v>0</v>
      </c>
      <c r="AA74" s="134">
        <f>IF(thumb&lt;&gt;0,0,CHOOSE(AA$5,CHOOSE(DASHBOARD!$K$139,-DASHBOARD!$BD130,-FORECASTS!AA75)*AA$19,CHOOSE(DASHBOARD!$K$139,-DASHBOARD!$BD130,-FORECASTS!AA75)*AA$19,0))</f>
        <v>0</v>
      </c>
      <c r="AB74" s="134">
        <f>IF(thumb&lt;&gt;0,0,CHOOSE(AB$5,CHOOSE(DASHBOARD!$K$139,-DASHBOARD!$BD130,-FORECASTS!AB75)*AB$19,CHOOSE(DASHBOARD!$K$139,-DASHBOARD!$BD130,-FORECASTS!AB75)*AB$19,0))</f>
        <v>0</v>
      </c>
      <c r="AC74" s="134">
        <f>IF(thumb&lt;&gt;0,0,CHOOSE(AC$5,CHOOSE(DASHBOARD!$K$139,-DASHBOARD!$BD130,-FORECASTS!AC75)*AC$19,CHOOSE(DASHBOARD!$K$139,-DASHBOARD!$BD130,-FORECASTS!AC75)*AC$19,0))</f>
        <v>0</v>
      </c>
      <c r="AD74" s="134">
        <f>IF(thumb&lt;&gt;0,0,CHOOSE(AD$5,CHOOSE(DASHBOARD!$K$139,-DASHBOARD!$BD130,-FORECASTS!AD75)*AD$19,CHOOSE(DASHBOARD!$K$139,-DASHBOARD!$BD130,-FORECASTS!AD75)*AD$19,0))</f>
        <v>0</v>
      </c>
      <c r="AE74" s="134">
        <f>IF(thumb&lt;&gt;0,0,CHOOSE(AE$5,CHOOSE(DASHBOARD!$K$139,-DASHBOARD!$BD130,-FORECASTS!AE75)*AE$19,CHOOSE(DASHBOARD!$K$139,-DASHBOARD!$BD130,-FORECASTS!AE75)*AE$19,0))</f>
        <v>0</v>
      </c>
      <c r="AF74" s="134">
        <f>IF(thumb&lt;&gt;0,0,CHOOSE(AF$5,CHOOSE(DASHBOARD!$K$139,-DASHBOARD!$BD130,-FORECASTS!AF75)*AF$19,CHOOSE(DASHBOARD!$K$139,-DASHBOARD!$BD130,-FORECASTS!AF75)*AF$19,0))</f>
        <v>0</v>
      </c>
      <c r="AG74" s="134">
        <f>IF(thumb&lt;&gt;0,0,CHOOSE(AG$5,CHOOSE(DASHBOARD!$K$139,-DASHBOARD!$BD130,-FORECASTS!AG75)*AG$19,CHOOSE(DASHBOARD!$K$139,-DASHBOARD!$BD130,-FORECASTS!AG75)*AG$19,0))</f>
        <v>0</v>
      </c>
      <c r="AH74" s="134">
        <f>IF(thumb&lt;&gt;0,0,CHOOSE(AH$5,CHOOSE(DASHBOARD!$K$139,-DASHBOARD!$BD130,-FORECASTS!AH75)*AH$19,CHOOSE(DASHBOARD!$K$139,-DASHBOARD!$BD130,-FORECASTS!AH75)*AH$19,0))</f>
        <v>0</v>
      </c>
      <c r="AI74" s="708">
        <f>IF(thumb&lt;&gt;0,0,CHOOSE(AI$5,CHOOSE(DASHBOARD!$K$139,-DASHBOARD!$BD130,-FORECASTS!AI75)*AI$19,CHOOSE(DASHBOARD!$K$139,-DASHBOARD!$BD130,-FORECASTS!AI75)*AI$19,0))</f>
        <v>0</v>
      </c>
      <c r="AJ74" s="1605">
        <v>1</v>
      </c>
    </row>
    <row r="75" spans="2:36" s="289" customFormat="1" hidden="1" outlineLevel="1" x14ac:dyDescent="0.3">
      <c r="B75" s="776" t="s">
        <v>585</v>
      </c>
      <c r="C75" s="966"/>
      <c r="D75" s="127"/>
      <c r="E75" s="973">
        <f>DASHBOARD!BD130</f>
        <v>2.3800000000000002E-2</v>
      </c>
      <c r="F75" s="1095">
        <f t="shared" ref="F75:AI75" si="38">E75</f>
        <v>2.3800000000000002E-2</v>
      </c>
      <c r="G75" s="1095">
        <f t="shared" si="38"/>
        <v>2.3800000000000002E-2</v>
      </c>
      <c r="H75" s="1095">
        <f t="shared" si="38"/>
        <v>2.3800000000000002E-2</v>
      </c>
      <c r="I75" s="1095">
        <f t="shared" si="38"/>
        <v>2.3800000000000002E-2</v>
      </c>
      <c r="J75" s="1095">
        <f t="shared" si="38"/>
        <v>2.3800000000000002E-2</v>
      </c>
      <c r="K75" s="1095">
        <f t="shared" si="38"/>
        <v>2.3800000000000002E-2</v>
      </c>
      <c r="L75" s="1095">
        <f t="shared" si="38"/>
        <v>2.3800000000000002E-2</v>
      </c>
      <c r="M75" s="1095">
        <f t="shared" si="38"/>
        <v>2.3800000000000002E-2</v>
      </c>
      <c r="N75" s="1095">
        <f t="shared" si="38"/>
        <v>2.3800000000000002E-2</v>
      </c>
      <c r="O75" s="1095">
        <f t="shared" si="38"/>
        <v>2.3800000000000002E-2</v>
      </c>
      <c r="P75" s="1095">
        <f t="shared" si="38"/>
        <v>2.3800000000000002E-2</v>
      </c>
      <c r="Q75" s="1095">
        <f t="shared" si="38"/>
        <v>2.3800000000000002E-2</v>
      </c>
      <c r="R75" s="1095">
        <f t="shared" si="38"/>
        <v>2.3800000000000002E-2</v>
      </c>
      <c r="S75" s="1095">
        <f t="shared" si="38"/>
        <v>2.3800000000000002E-2</v>
      </c>
      <c r="T75" s="1095">
        <f t="shared" si="38"/>
        <v>2.3800000000000002E-2</v>
      </c>
      <c r="U75" s="1095">
        <f t="shared" si="38"/>
        <v>2.3800000000000002E-2</v>
      </c>
      <c r="V75" s="1095">
        <f t="shared" si="38"/>
        <v>2.3800000000000002E-2</v>
      </c>
      <c r="W75" s="1095">
        <f t="shared" si="38"/>
        <v>2.3800000000000002E-2</v>
      </c>
      <c r="X75" s="1095">
        <f t="shared" si="38"/>
        <v>2.3800000000000002E-2</v>
      </c>
      <c r="Y75" s="1095">
        <f t="shared" si="38"/>
        <v>2.3800000000000002E-2</v>
      </c>
      <c r="Z75" s="1095">
        <f t="shared" si="38"/>
        <v>2.3800000000000002E-2</v>
      </c>
      <c r="AA75" s="1095">
        <f t="shared" si="38"/>
        <v>2.3800000000000002E-2</v>
      </c>
      <c r="AB75" s="1095">
        <f t="shared" si="38"/>
        <v>2.3800000000000002E-2</v>
      </c>
      <c r="AC75" s="1095">
        <f t="shared" si="38"/>
        <v>2.3800000000000002E-2</v>
      </c>
      <c r="AD75" s="1095">
        <f t="shared" si="38"/>
        <v>2.3800000000000002E-2</v>
      </c>
      <c r="AE75" s="1095">
        <f t="shared" si="38"/>
        <v>2.3800000000000002E-2</v>
      </c>
      <c r="AF75" s="1095">
        <f t="shared" si="38"/>
        <v>2.3800000000000002E-2</v>
      </c>
      <c r="AG75" s="1095">
        <f t="shared" si="38"/>
        <v>2.3800000000000002E-2</v>
      </c>
      <c r="AH75" s="1095">
        <f t="shared" si="38"/>
        <v>2.3800000000000002E-2</v>
      </c>
      <c r="AI75" s="1096">
        <f t="shared" si="38"/>
        <v>2.3800000000000002E-2</v>
      </c>
      <c r="AJ75" s="1605">
        <f>IF(AND(DASHBOARD!$K$139=2,DASHBOARD!$BC$134=1),1,0)</f>
        <v>0</v>
      </c>
    </row>
    <row r="76" spans="2:36" s="289" customFormat="1" outlineLevel="1" x14ac:dyDescent="0.3">
      <c r="B76" s="1135" t="s">
        <v>518</v>
      </c>
      <c r="C76" s="20"/>
      <c r="D76" s="325"/>
      <c r="E76" s="1139">
        <v>0</v>
      </c>
      <c r="F76" s="1139">
        <v>0</v>
      </c>
      <c r="G76" s="1139">
        <v>0</v>
      </c>
      <c r="H76" s="1139">
        <v>0</v>
      </c>
      <c r="I76" s="1139">
        <v>0</v>
      </c>
      <c r="J76" s="1139">
        <v>0</v>
      </c>
      <c r="K76" s="1139">
        <v>0</v>
      </c>
      <c r="L76" s="1139">
        <v>0</v>
      </c>
      <c r="M76" s="1139">
        <v>0</v>
      </c>
      <c r="N76" s="1139">
        <v>0</v>
      </c>
      <c r="O76" s="1139">
        <v>0</v>
      </c>
      <c r="P76" s="1139">
        <v>0</v>
      </c>
      <c r="Q76" s="1139">
        <v>0</v>
      </c>
      <c r="R76" s="1139">
        <v>0</v>
      </c>
      <c r="S76" s="1139">
        <v>0</v>
      </c>
      <c r="T76" s="1139">
        <v>0</v>
      </c>
      <c r="U76" s="1139">
        <v>0</v>
      </c>
      <c r="V76" s="1139">
        <v>0</v>
      </c>
      <c r="W76" s="1139">
        <v>0</v>
      </c>
      <c r="X76" s="1139">
        <v>0</v>
      </c>
      <c r="Y76" s="1139">
        <v>0</v>
      </c>
      <c r="Z76" s="1139">
        <v>0</v>
      </c>
      <c r="AA76" s="1139">
        <v>0</v>
      </c>
      <c r="AB76" s="1139">
        <v>0</v>
      </c>
      <c r="AC76" s="1139">
        <v>0</v>
      </c>
      <c r="AD76" s="1139">
        <v>0</v>
      </c>
      <c r="AE76" s="1139">
        <v>0</v>
      </c>
      <c r="AF76" s="1139">
        <v>0</v>
      </c>
      <c r="AG76" s="1139">
        <v>0</v>
      </c>
      <c r="AH76" s="1139">
        <v>0</v>
      </c>
      <c r="AI76" s="1140">
        <v>0</v>
      </c>
      <c r="AJ76" s="1605">
        <v>1</v>
      </c>
    </row>
    <row r="77" spans="2:36" s="289" customFormat="1" outlineLevel="1" x14ac:dyDescent="0.3">
      <c r="B77" s="1135" t="s">
        <v>519</v>
      </c>
      <c r="C77" s="20"/>
      <c r="D77" s="325"/>
      <c r="E77" s="1139">
        <v>0</v>
      </c>
      <c r="F77" s="1139">
        <v>0</v>
      </c>
      <c r="G77" s="1139">
        <v>0</v>
      </c>
      <c r="H77" s="1139">
        <v>0</v>
      </c>
      <c r="I77" s="1139">
        <v>0</v>
      </c>
      <c r="J77" s="1139">
        <v>0</v>
      </c>
      <c r="K77" s="1139">
        <v>0</v>
      </c>
      <c r="L77" s="1139">
        <v>0</v>
      </c>
      <c r="M77" s="1139">
        <v>0</v>
      </c>
      <c r="N77" s="1139">
        <v>0</v>
      </c>
      <c r="O77" s="1139">
        <v>0</v>
      </c>
      <c r="P77" s="1139">
        <v>0</v>
      </c>
      <c r="Q77" s="1139">
        <v>0</v>
      </c>
      <c r="R77" s="1139">
        <v>0</v>
      </c>
      <c r="S77" s="1139">
        <v>0</v>
      </c>
      <c r="T77" s="1139">
        <v>0</v>
      </c>
      <c r="U77" s="1139">
        <v>0</v>
      </c>
      <c r="V77" s="1139">
        <v>0</v>
      </c>
      <c r="W77" s="1139">
        <v>0</v>
      </c>
      <c r="X77" s="1139">
        <v>0</v>
      </c>
      <c r="Y77" s="1139">
        <v>0</v>
      </c>
      <c r="Z77" s="1139">
        <v>0</v>
      </c>
      <c r="AA77" s="1139">
        <v>0</v>
      </c>
      <c r="AB77" s="1139">
        <v>0</v>
      </c>
      <c r="AC77" s="1139">
        <v>0</v>
      </c>
      <c r="AD77" s="1139">
        <v>0</v>
      </c>
      <c r="AE77" s="1139">
        <v>0</v>
      </c>
      <c r="AF77" s="1139">
        <v>0</v>
      </c>
      <c r="AG77" s="1139">
        <v>0</v>
      </c>
      <c r="AH77" s="1139">
        <v>0</v>
      </c>
      <c r="AI77" s="1140">
        <v>0</v>
      </c>
      <c r="AJ77" s="1605">
        <v>1</v>
      </c>
    </row>
    <row r="78" spans="2:36" s="289" customFormat="1" outlineLevel="1" x14ac:dyDescent="0.3">
      <c r="B78" s="783"/>
      <c r="C78" s="20"/>
      <c r="D78" s="325"/>
      <c r="E78" s="15"/>
      <c r="F78" s="15"/>
      <c r="G78" s="20"/>
      <c r="H78" s="20"/>
      <c r="I78" s="20"/>
      <c r="J78" s="20"/>
      <c r="K78" s="20"/>
      <c r="L78" s="20"/>
      <c r="M78" s="20"/>
      <c r="N78" s="20"/>
      <c r="O78" s="20"/>
      <c r="P78" s="20"/>
      <c r="Q78" s="20"/>
      <c r="R78" s="20"/>
      <c r="S78" s="20"/>
      <c r="T78" s="20"/>
      <c r="U78" s="20"/>
      <c r="V78" s="20"/>
      <c r="W78" s="20"/>
      <c r="X78" s="20"/>
      <c r="Y78" s="20"/>
      <c r="Z78" s="20"/>
      <c r="AA78" s="20"/>
      <c r="AB78" s="125"/>
      <c r="AC78" s="125"/>
      <c r="AD78" s="125"/>
      <c r="AE78" s="125"/>
      <c r="AF78" s="125"/>
      <c r="AG78" s="125"/>
      <c r="AH78" s="125"/>
      <c r="AI78" s="780"/>
      <c r="AJ78" s="1605">
        <v>1</v>
      </c>
    </row>
    <row r="79" spans="2:36" s="289" customFormat="1" outlineLevel="1" x14ac:dyDescent="0.3">
      <c r="B79" s="773" t="s">
        <v>293</v>
      </c>
      <c r="C79" s="975"/>
      <c r="D79" s="677" t="s">
        <v>765</v>
      </c>
      <c r="E79" s="15"/>
      <c r="F79" s="15"/>
      <c r="G79" s="20"/>
      <c r="H79" s="20"/>
      <c r="I79" s="20"/>
      <c r="J79" s="20"/>
      <c r="K79" s="20"/>
      <c r="L79" s="20"/>
      <c r="M79" s="20"/>
      <c r="N79" s="20"/>
      <c r="O79" s="20"/>
      <c r="P79" s="20"/>
      <c r="Q79" s="20"/>
      <c r="R79" s="20"/>
      <c r="S79" s="20"/>
      <c r="T79" s="20"/>
      <c r="U79" s="20"/>
      <c r="V79" s="20"/>
      <c r="W79" s="20"/>
      <c r="X79" s="20"/>
      <c r="Y79" s="20"/>
      <c r="Z79" s="20"/>
      <c r="AA79" s="20"/>
      <c r="AB79" s="125"/>
      <c r="AC79" s="125"/>
      <c r="AD79" s="125"/>
      <c r="AE79" s="125"/>
      <c r="AF79" s="125"/>
      <c r="AG79" s="125"/>
      <c r="AH79" s="125"/>
      <c r="AI79" s="780"/>
      <c r="AJ79" s="1605">
        <v>1</v>
      </c>
    </row>
    <row r="80" spans="2:36" s="289" customFormat="1" outlineLevel="1" x14ac:dyDescent="0.3">
      <c r="B80" s="706" t="s">
        <v>24</v>
      </c>
      <c r="C80" s="20"/>
      <c r="D80" s="327">
        <f>-DASHBOARD!D27</f>
        <v>-116000</v>
      </c>
      <c r="E80" s="15"/>
      <c r="F80" s="15"/>
      <c r="G80" s="20"/>
      <c r="H80" s="20"/>
      <c r="I80" s="20"/>
      <c r="J80" s="20"/>
      <c r="K80" s="20"/>
      <c r="L80" s="20"/>
      <c r="M80" s="20"/>
      <c r="N80" s="20"/>
      <c r="O80" s="20"/>
      <c r="P80" s="20"/>
      <c r="Q80" s="20"/>
      <c r="R80" s="20"/>
      <c r="S80" s="20"/>
      <c r="T80" s="20"/>
      <c r="U80" s="20"/>
      <c r="V80" s="20"/>
      <c r="W80" s="20"/>
      <c r="X80" s="20"/>
      <c r="Y80" s="20"/>
      <c r="Z80" s="20"/>
      <c r="AA80" s="20"/>
      <c r="AB80" s="125"/>
      <c r="AC80" s="125"/>
      <c r="AD80" s="125"/>
      <c r="AE80" s="125"/>
      <c r="AF80" s="125"/>
      <c r="AG80" s="125"/>
      <c r="AH80" s="125"/>
      <c r="AI80" s="780"/>
      <c r="AJ80" s="1605">
        <v>1</v>
      </c>
    </row>
    <row r="81" spans="1:52" s="289" customFormat="1" outlineLevel="1" x14ac:dyDescent="0.3">
      <c r="B81" s="706" t="s">
        <v>303</v>
      </c>
      <c r="C81" s="20"/>
      <c r="D81" s="327">
        <f>-(DASHBOARD!AE14+DASHBOARD!AE16+DASHBOARD!AE13+DASHBOARD!AE15)</f>
        <v>-6450.25</v>
      </c>
      <c r="E81" s="15"/>
      <c r="F81" s="15"/>
      <c r="G81" s="20"/>
      <c r="H81" s="20"/>
      <c r="I81" s="20"/>
      <c r="J81" s="20"/>
      <c r="K81" s="20"/>
      <c r="L81" s="20"/>
      <c r="M81" s="20"/>
      <c r="N81" s="20"/>
      <c r="O81" s="20"/>
      <c r="P81" s="20"/>
      <c r="Q81" s="20"/>
      <c r="R81" s="20"/>
      <c r="S81" s="20"/>
      <c r="T81" s="20"/>
      <c r="U81" s="20"/>
      <c r="V81" s="20"/>
      <c r="W81" s="20"/>
      <c r="X81" s="20"/>
      <c r="Y81" s="20"/>
      <c r="Z81" s="20"/>
      <c r="AA81" s="20"/>
      <c r="AB81" s="125"/>
      <c r="AC81" s="125"/>
      <c r="AD81" s="125"/>
      <c r="AE81" s="125"/>
      <c r="AF81" s="125"/>
      <c r="AG81" s="125"/>
      <c r="AH81" s="125"/>
      <c r="AI81" s="780"/>
      <c r="AJ81" s="1605">
        <v>1</v>
      </c>
    </row>
    <row r="82" spans="1:52" s="289" customFormat="1" outlineLevel="1" x14ac:dyDescent="0.3">
      <c r="B82" s="706" t="s">
        <v>25</v>
      </c>
      <c r="C82" s="20"/>
      <c r="D82" s="310"/>
      <c r="E82" s="134">
        <f t="shared" ref="E82:AI82" si="39">IFERROR(IF(YEAR(E8)=YEAR(sale_date-1),property_sale,0),0)</f>
        <v>347250.41095890407</v>
      </c>
      <c r="F82" s="134">
        <f t="shared" si="39"/>
        <v>0</v>
      </c>
      <c r="G82" s="134">
        <f t="shared" si="39"/>
        <v>0</v>
      </c>
      <c r="H82" s="134">
        <f t="shared" si="39"/>
        <v>0</v>
      </c>
      <c r="I82" s="134">
        <f t="shared" si="39"/>
        <v>0</v>
      </c>
      <c r="J82" s="134">
        <f t="shared" si="39"/>
        <v>0</v>
      </c>
      <c r="K82" s="134">
        <f t="shared" si="39"/>
        <v>0</v>
      </c>
      <c r="L82" s="134">
        <f t="shared" si="39"/>
        <v>0</v>
      </c>
      <c r="M82" s="134">
        <f t="shared" si="39"/>
        <v>0</v>
      </c>
      <c r="N82" s="134">
        <f t="shared" si="39"/>
        <v>0</v>
      </c>
      <c r="O82" s="134">
        <f t="shared" si="39"/>
        <v>0</v>
      </c>
      <c r="P82" s="134">
        <f t="shared" si="39"/>
        <v>0</v>
      </c>
      <c r="Q82" s="134">
        <f t="shared" si="39"/>
        <v>0</v>
      </c>
      <c r="R82" s="134">
        <f t="shared" si="39"/>
        <v>0</v>
      </c>
      <c r="S82" s="134">
        <f t="shared" si="39"/>
        <v>0</v>
      </c>
      <c r="T82" s="134">
        <f t="shared" si="39"/>
        <v>0</v>
      </c>
      <c r="U82" s="134">
        <f t="shared" si="39"/>
        <v>0</v>
      </c>
      <c r="V82" s="134">
        <f t="shared" si="39"/>
        <v>0</v>
      </c>
      <c r="W82" s="134">
        <f t="shared" si="39"/>
        <v>0</v>
      </c>
      <c r="X82" s="134">
        <f t="shared" si="39"/>
        <v>0</v>
      </c>
      <c r="Y82" s="134">
        <f t="shared" si="39"/>
        <v>0</v>
      </c>
      <c r="Z82" s="134">
        <f t="shared" si="39"/>
        <v>0</v>
      </c>
      <c r="AA82" s="134">
        <f t="shared" si="39"/>
        <v>0</v>
      </c>
      <c r="AB82" s="134">
        <f t="shared" si="39"/>
        <v>0</v>
      </c>
      <c r="AC82" s="134">
        <f t="shared" si="39"/>
        <v>0</v>
      </c>
      <c r="AD82" s="134">
        <f t="shared" si="39"/>
        <v>0</v>
      </c>
      <c r="AE82" s="134">
        <f t="shared" si="39"/>
        <v>0</v>
      </c>
      <c r="AF82" s="134">
        <f t="shared" si="39"/>
        <v>0</v>
      </c>
      <c r="AG82" s="134">
        <f t="shared" si="39"/>
        <v>0</v>
      </c>
      <c r="AH82" s="134">
        <f t="shared" si="39"/>
        <v>0</v>
      </c>
      <c r="AI82" s="708">
        <f t="shared" si="39"/>
        <v>0</v>
      </c>
      <c r="AJ82" s="1605">
        <v>1</v>
      </c>
    </row>
    <row r="83" spans="1:52" s="289" customFormat="1" outlineLevel="1" x14ac:dyDescent="0.3">
      <c r="B83" s="706" t="s">
        <v>26</v>
      </c>
      <c r="C83" s="20"/>
      <c r="D83" s="310"/>
      <c r="E83" s="134">
        <f t="shared" ref="E83:AI83" si="40">IFERROR(IF(YEAR(E8)=YEAR(sale_date-1),selling_costs,0),0)</f>
        <v>0</v>
      </c>
      <c r="F83" s="134">
        <f t="shared" si="40"/>
        <v>0</v>
      </c>
      <c r="G83" s="134">
        <f t="shared" si="40"/>
        <v>0</v>
      </c>
      <c r="H83" s="134">
        <f t="shared" si="40"/>
        <v>0</v>
      </c>
      <c r="I83" s="134">
        <f t="shared" si="40"/>
        <v>0</v>
      </c>
      <c r="J83" s="134">
        <f t="shared" si="40"/>
        <v>0</v>
      </c>
      <c r="K83" s="134">
        <f t="shared" si="40"/>
        <v>0</v>
      </c>
      <c r="L83" s="134">
        <f t="shared" si="40"/>
        <v>0</v>
      </c>
      <c r="M83" s="134">
        <f t="shared" si="40"/>
        <v>0</v>
      </c>
      <c r="N83" s="134">
        <f t="shared" si="40"/>
        <v>0</v>
      </c>
      <c r="O83" s="134">
        <f t="shared" si="40"/>
        <v>0</v>
      </c>
      <c r="P83" s="134">
        <f t="shared" si="40"/>
        <v>0</v>
      </c>
      <c r="Q83" s="134">
        <f t="shared" si="40"/>
        <v>0</v>
      </c>
      <c r="R83" s="134">
        <f t="shared" si="40"/>
        <v>0</v>
      </c>
      <c r="S83" s="134">
        <f t="shared" si="40"/>
        <v>0</v>
      </c>
      <c r="T83" s="134">
        <f t="shared" si="40"/>
        <v>0</v>
      </c>
      <c r="U83" s="134">
        <f t="shared" si="40"/>
        <v>0</v>
      </c>
      <c r="V83" s="134">
        <f t="shared" si="40"/>
        <v>0</v>
      </c>
      <c r="W83" s="134">
        <f t="shared" si="40"/>
        <v>0</v>
      </c>
      <c r="X83" s="134">
        <f t="shared" si="40"/>
        <v>0</v>
      </c>
      <c r="Y83" s="134">
        <f t="shared" si="40"/>
        <v>0</v>
      </c>
      <c r="Z83" s="134">
        <f t="shared" si="40"/>
        <v>0</v>
      </c>
      <c r="AA83" s="134">
        <f t="shared" si="40"/>
        <v>0</v>
      </c>
      <c r="AB83" s="134">
        <f t="shared" si="40"/>
        <v>0</v>
      </c>
      <c r="AC83" s="134">
        <f t="shared" si="40"/>
        <v>0</v>
      </c>
      <c r="AD83" s="134">
        <f t="shared" si="40"/>
        <v>0</v>
      </c>
      <c r="AE83" s="134">
        <f t="shared" si="40"/>
        <v>0</v>
      </c>
      <c r="AF83" s="134">
        <f t="shared" si="40"/>
        <v>0</v>
      </c>
      <c r="AG83" s="134">
        <f t="shared" si="40"/>
        <v>0</v>
      </c>
      <c r="AH83" s="134">
        <f t="shared" si="40"/>
        <v>0</v>
      </c>
      <c r="AI83" s="708">
        <f t="shared" si="40"/>
        <v>0</v>
      </c>
      <c r="AJ83" s="1605">
        <v>1</v>
      </c>
    </row>
    <row r="84" spans="1:52" s="289" customFormat="1" outlineLevel="1" x14ac:dyDescent="0.3">
      <c r="B84" s="706"/>
      <c r="C84" s="20"/>
      <c r="D84" s="310"/>
      <c r="E84" s="15"/>
      <c r="F84" s="15"/>
      <c r="G84" s="20"/>
      <c r="H84" s="20"/>
      <c r="I84" s="20"/>
      <c r="J84" s="20"/>
      <c r="K84" s="20"/>
      <c r="L84" s="20"/>
      <c r="M84" s="20"/>
      <c r="N84" s="20"/>
      <c r="O84" s="20"/>
      <c r="P84" s="20"/>
      <c r="Q84" s="20"/>
      <c r="R84" s="20"/>
      <c r="S84" s="20"/>
      <c r="T84" s="20"/>
      <c r="U84" s="20"/>
      <c r="V84" s="20"/>
      <c r="W84" s="20"/>
      <c r="X84" s="20"/>
      <c r="Y84" s="20"/>
      <c r="Z84" s="20"/>
      <c r="AA84" s="20"/>
      <c r="AB84" s="125"/>
      <c r="AC84" s="125"/>
      <c r="AD84" s="125"/>
      <c r="AE84" s="125"/>
      <c r="AF84" s="125"/>
      <c r="AG84" s="125"/>
      <c r="AH84" s="125"/>
      <c r="AI84" s="780"/>
      <c r="AJ84" s="1605">
        <v>1</v>
      </c>
    </row>
    <row r="85" spans="1:52" s="289" customFormat="1" outlineLevel="1" x14ac:dyDescent="0.3">
      <c r="B85" s="847" t="s">
        <v>135</v>
      </c>
      <c r="C85" s="976"/>
      <c r="D85" s="311">
        <f>IF(K3&lt;=EOMONTH(DASHBOARD!$AE$29,0),FORECASTS!D74+FORECASTS!D80+FORECASTS!D81+FORECASTS!D82+FORECASTS!D83,0)</f>
        <v>-122450.25</v>
      </c>
      <c r="E85" s="246">
        <f t="shared" ref="E85:AI85" si="41">E71+E74+CHOOSE(E5,E76+E77,(E76+E77)*E9/12,0)+E82+E83</f>
        <v>347250.41095890407</v>
      </c>
      <c r="F85" s="246">
        <f t="shared" si="41"/>
        <v>0</v>
      </c>
      <c r="G85" s="977">
        <f t="shared" si="41"/>
        <v>0</v>
      </c>
      <c r="H85" s="977">
        <f t="shared" si="41"/>
        <v>0</v>
      </c>
      <c r="I85" s="977">
        <f t="shared" si="41"/>
        <v>0</v>
      </c>
      <c r="J85" s="977">
        <f t="shared" si="41"/>
        <v>0</v>
      </c>
      <c r="K85" s="977">
        <f t="shared" si="41"/>
        <v>0</v>
      </c>
      <c r="L85" s="977">
        <f t="shared" si="41"/>
        <v>0</v>
      </c>
      <c r="M85" s="977">
        <f t="shared" si="41"/>
        <v>0</v>
      </c>
      <c r="N85" s="977">
        <f t="shared" si="41"/>
        <v>0</v>
      </c>
      <c r="O85" s="977">
        <f t="shared" si="41"/>
        <v>0</v>
      </c>
      <c r="P85" s="977">
        <f t="shared" si="41"/>
        <v>0</v>
      </c>
      <c r="Q85" s="977">
        <f t="shared" si="41"/>
        <v>0</v>
      </c>
      <c r="R85" s="977">
        <f t="shared" si="41"/>
        <v>0</v>
      </c>
      <c r="S85" s="977">
        <f t="shared" si="41"/>
        <v>0</v>
      </c>
      <c r="T85" s="977">
        <f t="shared" si="41"/>
        <v>0</v>
      </c>
      <c r="U85" s="977">
        <f t="shared" si="41"/>
        <v>0</v>
      </c>
      <c r="V85" s="977">
        <f t="shared" si="41"/>
        <v>0</v>
      </c>
      <c r="W85" s="977">
        <f t="shared" si="41"/>
        <v>0</v>
      </c>
      <c r="X85" s="977">
        <f t="shared" si="41"/>
        <v>0</v>
      </c>
      <c r="Y85" s="977">
        <f t="shared" si="41"/>
        <v>0</v>
      </c>
      <c r="Z85" s="977">
        <f t="shared" si="41"/>
        <v>0</v>
      </c>
      <c r="AA85" s="977">
        <f t="shared" si="41"/>
        <v>0</v>
      </c>
      <c r="AB85" s="977">
        <f t="shared" si="41"/>
        <v>0</v>
      </c>
      <c r="AC85" s="977">
        <f t="shared" si="41"/>
        <v>0</v>
      </c>
      <c r="AD85" s="977">
        <f t="shared" si="41"/>
        <v>0</v>
      </c>
      <c r="AE85" s="977">
        <f t="shared" si="41"/>
        <v>0</v>
      </c>
      <c r="AF85" s="977">
        <f t="shared" si="41"/>
        <v>0</v>
      </c>
      <c r="AG85" s="977">
        <f t="shared" si="41"/>
        <v>0</v>
      </c>
      <c r="AH85" s="977">
        <f t="shared" si="41"/>
        <v>0</v>
      </c>
      <c r="AI85" s="863">
        <f t="shared" si="41"/>
        <v>0</v>
      </c>
      <c r="AJ85" s="1605">
        <v>1</v>
      </c>
      <c r="AZ85" s="1819">
        <f>E85</f>
        <v>347250.41095890407</v>
      </c>
    </row>
    <row r="86" spans="1:52" s="372" customFormat="1" outlineLevel="1" x14ac:dyDescent="0.3">
      <c r="A86" s="289"/>
      <c r="B86" s="854" t="s">
        <v>150</v>
      </c>
      <c r="C86" s="855"/>
      <c r="D86" s="864"/>
      <c r="E86" s="858">
        <f>IF(E5=3,0,SUM($E$85:E85)-E82-E83)</f>
        <v>0</v>
      </c>
      <c r="F86" s="858">
        <f>IF(F5=3,0,SUM($E$85:F85)-F82-F83)</f>
        <v>0</v>
      </c>
      <c r="G86" s="858">
        <f>IF(G5=3,0,SUM($E$85:G85)-G82-G83)</f>
        <v>0</v>
      </c>
      <c r="H86" s="858">
        <f>IF(H5=3,0,SUM($E$85:H85)-H82-H83)</f>
        <v>0</v>
      </c>
      <c r="I86" s="858">
        <f>IF(I5=3,0,SUM($E$85:I85)-I82-I83)</f>
        <v>0</v>
      </c>
      <c r="J86" s="858">
        <f>IF(J5=3,0,SUM($E$85:J85)-J82-J83)</f>
        <v>0</v>
      </c>
      <c r="K86" s="858">
        <f>IF(K5=3,0,SUM($E$85:K85)-K82-K83)</f>
        <v>0</v>
      </c>
      <c r="L86" s="858">
        <f>IF(L5=3,0,SUM($E$85:L85)-L82-L83)</f>
        <v>0</v>
      </c>
      <c r="M86" s="858">
        <f>IF(M5=3,0,SUM($E$85:M85)-M82-M83)</f>
        <v>0</v>
      </c>
      <c r="N86" s="858">
        <f>IF(N5=3,0,SUM($E$85:N85)-N82-N83)</f>
        <v>0</v>
      </c>
      <c r="O86" s="858">
        <f>IF(O5=3,0,SUM($E$85:O85)-O82-O83)</f>
        <v>0</v>
      </c>
      <c r="P86" s="858">
        <f>IF(P5=3,0,SUM($E$85:P85)-P82-P83)</f>
        <v>0</v>
      </c>
      <c r="Q86" s="858">
        <f>IF(Q5=3,0,SUM($E$85:Q85)-Q82-Q83)</f>
        <v>0</v>
      </c>
      <c r="R86" s="858">
        <f>IF(R5=3,0,SUM($E$85:R85)-R82-R83)</f>
        <v>0</v>
      </c>
      <c r="S86" s="858">
        <f>IF(S5=3,0,SUM($E$85:S85)-S82-S83)</f>
        <v>0</v>
      </c>
      <c r="T86" s="858">
        <f>IF(T5=3,0,SUM($E$85:T85)-T82-T83)</f>
        <v>0</v>
      </c>
      <c r="U86" s="858">
        <f>IF(U5=3,0,SUM($E$85:U85)-U82-U83)</f>
        <v>0</v>
      </c>
      <c r="V86" s="858">
        <f>IF(V5=3,0,SUM($E$85:V85)-V82-V83)</f>
        <v>0</v>
      </c>
      <c r="W86" s="858">
        <f>IF(W5=3,0,SUM($E$85:W85)-W82-W83)</f>
        <v>0</v>
      </c>
      <c r="X86" s="858">
        <f>IF(X5=3,0,SUM($E$85:X85)-X82-X83)</f>
        <v>0</v>
      </c>
      <c r="Y86" s="858">
        <f>IF(Y5=3,0,SUM($E$85:Y85)-Y82-Y83)</f>
        <v>0</v>
      </c>
      <c r="Z86" s="858">
        <f>IF(Z5=3,0,SUM($E$85:Z85)-Z82-Z83)</f>
        <v>0</v>
      </c>
      <c r="AA86" s="858">
        <f>IF(AA5=3,0,SUM($E$85:AA85)-AA82-AA83)</f>
        <v>0</v>
      </c>
      <c r="AB86" s="858">
        <f>IF(AB5=3,0,SUM($E$85:AB85)-AB82-AB83)</f>
        <v>0</v>
      </c>
      <c r="AC86" s="858">
        <f>IF(AC5=3,0,SUM($E$85:AC85)-AC82-AC83)</f>
        <v>0</v>
      </c>
      <c r="AD86" s="858">
        <f>IF(AD5=3,0,SUM($E$85:AD85)-AD82-AD83)</f>
        <v>0</v>
      </c>
      <c r="AE86" s="858">
        <f>IF(AE5=3,0,SUM($E$85:AE85)-AE82-AE83)</f>
        <v>0</v>
      </c>
      <c r="AF86" s="858">
        <f>IF(AF5=3,0,SUM($E$85:AF85)-AF82-AF83)</f>
        <v>0</v>
      </c>
      <c r="AG86" s="858">
        <f>IF(AG5=3,0,SUM($E$85:AG85)-AG82-AG83)</f>
        <v>0</v>
      </c>
      <c r="AH86" s="858">
        <f>IF(AH5=3,0,SUM($E$85:AH85)-AH82-AH83)</f>
        <v>0</v>
      </c>
      <c r="AI86" s="859">
        <f>IF(AI5=3,0,SUM($E$85:AI85)-AI82-AI83)</f>
        <v>0</v>
      </c>
      <c r="AJ86" s="1605">
        <v>1</v>
      </c>
    </row>
    <row r="87" spans="1:52" x14ac:dyDescent="0.3">
      <c r="A87" s="289"/>
      <c r="B87" s="28"/>
      <c r="C87" s="28"/>
      <c r="D87" s="28"/>
      <c r="E87" s="28"/>
      <c r="F87" s="28"/>
      <c r="G87" s="28"/>
      <c r="H87" s="28"/>
      <c r="I87" s="28"/>
      <c r="J87" s="930"/>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1605">
        <v>1</v>
      </c>
    </row>
    <row r="88" spans="1:52" x14ac:dyDescent="0.3">
      <c r="A88" s="289"/>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1605">
        <v>1</v>
      </c>
    </row>
    <row r="89" spans="1:52" x14ac:dyDescent="0.3">
      <c r="A89" s="289"/>
      <c r="B89" s="1747" t="s">
        <v>295</v>
      </c>
      <c r="C89" s="701"/>
      <c r="D89" s="701"/>
      <c r="E89" s="701"/>
      <c r="F89" s="701"/>
      <c r="G89" s="701"/>
      <c r="H89" s="701"/>
      <c r="I89" s="701"/>
      <c r="J89" s="701"/>
      <c r="K89" s="701"/>
      <c r="L89" s="701"/>
      <c r="M89" s="701"/>
      <c r="N89" s="701"/>
      <c r="O89" s="701"/>
      <c r="P89" s="701"/>
      <c r="Q89" s="701"/>
      <c r="R89" s="701"/>
      <c r="S89" s="701"/>
      <c r="T89" s="701"/>
      <c r="U89" s="701"/>
      <c r="V89" s="701"/>
      <c r="W89" s="701"/>
      <c r="X89" s="701"/>
      <c r="Y89" s="701"/>
      <c r="Z89" s="701"/>
      <c r="AA89" s="701"/>
      <c r="AB89" s="701"/>
      <c r="AC89" s="701"/>
      <c r="AD89" s="701"/>
      <c r="AE89" s="701"/>
      <c r="AF89" s="701"/>
      <c r="AG89" s="701"/>
      <c r="AH89" s="701"/>
      <c r="AI89" s="702"/>
      <c r="AJ89" s="1605">
        <v>1</v>
      </c>
    </row>
    <row r="90" spans="1:52" s="289" customFormat="1" x14ac:dyDescent="0.3">
      <c r="B90" s="839"/>
      <c r="C90" s="3"/>
      <c r="D90" s="838" t="s">
        <v>40</v>
      </c>
      <c r="E90" s="130">
        <v>1</v>
      </c>
      <c r="F90" s="126">
        <f>E90+1</f>
        <v>2</v>
      </c>
      <c r="G90" s="126">
        <f>F90+1</f>
        <v>3</v>
      </c>
      <c r="H90" s="126">
        <f t="shared" ref="H90:AI90" si="42">G90+1</f>
        <v>4</v>
      </c>
      <c r="I90" s="126">
        <f t="shared" si="42"/>
        <v>5</v>
      </c>
      <c r="J90" s="126">
        <f t="shared" si="42"/>
        <v>6</v>
      </c>
      <c r="K90" s="126">
        <f t="shared" si="42"/>
        <v>7</v>
      </c>
      <c r="L90" s="126">
        <f t="shared" si="42"/>
        <v>8</v>
      </c>
      <c r="M90" s="126">
        <f t="shared" si="42"/>
        <v>9</v>
      </c>
      <c r="N90" s="126">
        <f t="shared" si="42"/>
        <v>10</v>
      </c>
      <c r="O90" s="126">
        <f t="shared" si="42"/>
        <v>11</v>
      </c>
      <c r="P90" s="126">
        <f t="shared" si="42"/>
        <v>12</v>
      </c>
      <c r="Q90" s="126">
        <f t="shared" si="42"/>
        <v>13</v>
      </c>
      <c r="R90" s="126">
        <f t="shared" si="42"/>
        <v>14</v>
      </c>
      <c r="S90" s="126">
        <f t="shared" si="42"/>
        <v>15</v>
      </c>
      <c r="T90" s="126">
        <f t="shared" si="42"/>
        <v>16</v>
      </c>
      <c r="U90" s="126">
        <f t="shared" si="42"/>
        <v>17</v>
      </c>
      <c r="V90" s="126">
        <f t="shared" si="42"/>
        <v>18</v>
      </c>
      <c r="W90" s="126">
        <f t="shared" si="42"/>
        <v>19</v>
      </c>
      <c r="X90" s="126">
        <f t="shared" si="42"/>
        <v>20</v>
      </c>
      <c r="Y90" s="126">
        <f t="shared" si="42"/>
        <v>21</v>
      </c>
      <c r="Z90" s="126">
        <f t="shared" si="42"/>
        <v>22</v>
      </c>
      <c r="AA90" s="126">
        <f t="shared" si="42"/>
        <v>23</v>
      </c>
      <c r="AB90" s="126">
        <f t="shared" si="42"/>
        <v>24</v>
      </c>
      <c r="AC90" s="126">
        <f t="shared" si="42"/>
        <v>25</v>
      </c>
      <c r="AD90" s="126">
        <f t="shared" si="42"/>
        <v>26</v>
      </c>
      <c r="AE90" s="126">
        <f t="shared" si="42"/>
        <v>27</v>
      </c>
      <c r="AF90" s="126">
        <f t="shared" si="42"/>
        <v>28</v>
      </c>
      <c r="AG90" s="126">
        <f t="shared" si="42"/>
        <v>29</v>
      </c>
      <c r="AH90" s="126">
        <f t="shared" si="42"/>
        <v>30</v>
      </c>
      <c r="AI90" s="840">
        <f t="shared" si="42"/>
        <v>31</v>
      </c>
      <c r="AJ90" s="1605">
        <v>1</v>
      </c>
    </row>
    <row r="91" spans="1:52" outlineLevel="1" x14ac:dyDescent="0.3">
      <c r="A91" s="289"/>
      <c r="B91" s="841"/>
      <c r="C91" s="842"/>
      <c r="D91" s="310" t="str">
        <f t="shared" ref="D91:AI91" si="43">D8</f>
        <v>Year End:</v>
      </c>
      <c r="E91" s="238">
        <f t="shared" si="43"/>
        <v>46022</v>
      </c>
      <c r="F91" s="238">
        <f t="shared" si="43"/>
        <v>46387</v>
      </c>
      <c r="G91" s="238">
        <f t="shared" si="43"/>
        <v>46752</v>
      </c>
      <c r="H91" s="238">
        <f t="shared" si="43"/>
        <v>47118</v>
      </c>
      <c r="I91" s="238">
        <f t="shared" si="43"/>
        <v>47483</v>
      </c>
      <c r="J91" s="238">
        <f t="shared" si="43"/>
        <v>47848</v>
      </c>
      <c r="K91" s="238">
        <f t="shared" si="43"/>
        <v>48213</v>
      </c>
      <c r="L91" s="238">
        <f t="shared" si="43"/>
        <v>48579</v>
      </c>
      <c r="M91" s="238">
        <f t="shared" si="43"/>
        <v>48944</v>
      </c>
      <c r="N91" s="238">
        <f t="shared" si="43"/>
        <v>49309</v>
      </c>
      <c r="O91" s="238">
        <f t="shared" si="43"/>
        <v>49674</v>
      </c>
      <c r="P91" s="238">
        <f t="shared" si="43"/>
        <v>50040</v>
      </c>
      <c r="Q91" s="238">
        <f t="shared" si="43"/>
        <v>50405</v>
      </c>
      <c r="R91" s="238">
        <f t="shared" si="43"/>
        <v>50770</v>
      </c>
      <c r="S91" s="238">
        <f t="shared" si="43"/>
        <v>51135</v>
      </c>
      <c r="T91" s="238">
        <f t="shared" si="43"/>
        <v>51501</v>
      </c>
      <c r="U91" s="238">
        <f t="shared" si="43"/>
        <v>51866</v>
      </c>
      <c r="V91" s="238">
        <f t="shared" si="43"/>
        <v>52231</v>
      </c>
      <c r="W91" s="238">
        <f t="shared" si="43"/>
        <v>52596</v>
      </c>
      <c r="X91" s="238">
        <f t="shared" si="43"/>
        <v>52962</v>
      </c>
      <c r="Y91" s="238">
        <f t="shared" si="43"/>
        <v>53327</v>
      </c>
      <c r="Z91" s="238">
        <f t="shared" si="43"/>
        <v>53692</v>
      </c>
      <c r="AA91" s="238">
        <f t="shared" si="43"/>
        <v>54057</v>
      </c>
      <c r="AB91" s="238">
        <f t="shared" si="43"/>
        <v>54423</v>
      </c>
      <c r="AC91" s="238">
        <f t="shared" si="43"/>
        <v>54788</v>
      </c>
      <c r="AD91" s="238">
        <f t="shared" si="43"/>
        <v>55153</v>
      </c>
      <c r="AE91" s="238">
        <f t="shared" si="43"/>
        <v>55518</v>
      </c>
      <c r="AF91" s="238">
        <f t="shared" si="43"/>
        <v>55884</v>
      </c>
      <c r="AG91" s="238">
        <f t="shared" si="43"/>
        <v>56249</v>
      </c>
      <c r="AH91" s="238">
        <f t="shared" si="43"/>
        <v>56614</v>
      </c>
      <c r="AI91" s="770">
        <f t="shared" si="43"/>
        <v>56979</v>
      </c>
      <c r="AJ91" s="1605">
        <v>1</v>
      </c>
    </row>
    <row r="92" spans="1:52" hidden="1" outlineLevel="1" x14ac:dyDescent="0.3">
      <c r="A92" s="289"/>
      <c r="B92" s="841"/>
      <c r="C92" s="842"/>
      <c r="D92" s="842"/>
      <c r="E92" s="131"/>
      <c r="F92" s="132"/>
      <c r="G92" s="132"/>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2"/>
      <c r="AF92" s="132"/>
      <c r="AG92" s="132"/>
      <c r="AH92" s="132"/>
      <c r="AI92" s="843"/>
      <c r="AJ92" s="1605"/>
    </row>
    <row r="93" spans="1:52" outlineLevel="1" x14ac:dyDescent="0.3">
      <c r="A93" s="289"/>
      <c r="B93" s="773" t="s">
        <v>293</v>
      </c>
      <c r="C93" s="675" t="s">
        <v>20</v>
      </c>
      <c r="D93" s="675" t="s">
        <v>765</v>
      </c>
      <c r="E93" s="131"/>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843"/>
      <c r="AJ93" s="1605">
        <v>1</v>
      </c>
    </row>
    <row r="94" spans="1:52" s="289" customFormat="1" outlineLevel="1" x14ac:dyDescent="0.3">
      <c r="B94" s="706" t="s">
        <v>503</v>
      </c>
      <c r="C94" s="309"/>
      <c r="D94" s="309">
        <f>DASHBOARD!AZ88</f>
        <v>118970</v>
      </c>
      <c r="E94" s="129">
        <f>DEBT!D15</f>
        <v>0</v>
      </c>
      <c r="F94" s="134">
        <f>DEBT!E15</f>
        <v>0</v>
      </c>
      <c r="G94" s="134">
        <f>DEBT!F15</f>
        <v>0</v>
      </c>
      <c r="H94" s="134">
        <f>DEBT!G15</f>
        <v>0</v>
      </c>
      <c r="I94" s="134">
        <f>DEBT!H15</f>
        <v>0</v>
      </c>
      <c r="J94" s="134">
        <f>DEBT!I15</f>
        <v>0</v>
      </c>
      <c r="K94" s="134">
        <f>DEBT!J15</f>
        <v>0</v>
      </c>
      <c r="L94" s="134">
        <f>DEBT!K15</f>
        <v>0</v>
      </c>
      <c r="M94" s="134">
        <f>DEBT!L15</f>
        <v>0</v>
      </c>
      <c r="N94" s="134">
        <f>DEBT!M15</f>
        <v>0</v>
      </c>
      <c r="O94" s="134">
        <f>DEBT!N15</f>
        <v>0</v>
      </c>
      <c r="P94" s="134">
        <f>DEBT!O15</f>
        <v>0</v>
      </c>
      <c r="Q94" s="134">
        <f>DEBT!P15</f>
        <v>0</v>
      </c>
      <c r="R94" s="134">
        <f>DEBT!Q15</f>
        <v>0</v>
      </c>
      <c r="S94" s="134">
        <f>DEBT!R15</f>
        <v>0</v>
      </c>
      <c r="T94" s="134">
        <f>DEBT!S15</f>
        <v>0</v>
      </c>
      <c r="U94" s="134">
        <f>DEBT!T15</f>
        <v>0</v>
      </c>
      <c r="V94" s="134">
        <f>DEBT!U15</f>
        <v>0</v>
      </c>
      <c r="W94" s="134">
        <f>DEBT!V15</f>
        <v>0</v>
      </c>
      <c r="X94" s="134">
        <f>DEBT!W15</f>
        <v>0</v>
      </c>
      <c r="Y94" s="134">
        <f>DEBT!X15</f>
        <v>0</v>
      </c>
      <c r="Z94" s="134">
        <f>DEBT!Y15</f>
        <v>0</v>
      </c>
      <c r="AA94" s="134">
        <f>DEBT!Z15</f>
        <v>0</v>
      </c>
      <c r="AB94" s="134">
        <f>DEBT!AA15</f>
        <v>0</v>
      </c>
      <c r="AC94" s="134">
        <f>DEBT!AB15</f>
        <v>0</v>
      </c>
      <c r="AD94" s="134">
        <f>DEBT!AC15</f>
        <v>0</v>
      </c>
      <c r="AE94" s="134">
        <f>DEBT!AD15</f>
        <v>0</v>
      </c>
      <c r="AF94" s="134">
        <f>DEBT!AE15</f>
        <v>0</v>
      </c>
      <c r="AG94" s="134">
        <f>DEBT!AF15</f>
        <v>0</v>
      </c>
      <c r="AH94" s="134">
        <f>DEBT!AG15</f>
        <v>0</v>
      </c>
      <c r="AI94" s="708">
        <f>DEBT!AH15</f>
        <v>0</v>
      </c>
      <c r="AJ94" s="1605">
        <v>1</v>
      </c>
    </row>
    <row r="95" spans="1:52" s="289" customFormat="1" outlineLevel="1" x14ac:dyDescent="0.3">
      <c r="B95" s="706" t="s">
        <v>302</v>
      </c>
      <c r="C95" s="309"/>
      <c r="D95" s="309">
        <f>-DASHBOARD!AH80</f>
        <v>-3569.0958498885466</v>
      </c>
      <c r="E95" s="129">
        <f>IF(E5=3,0,IF(E90=refi_year+1,-DASHBOARD!$AI$104,0))*active_refi</f>
        <v>0</v>
      </c>
      <c r="F95" s="134">
        <f>IF(F5=3,0,IF(F90=refi_year+1,-DASHBOARD!$AI$104,0))*active_refi</f>
        <v>0</v>
      </c>
      <c r="G95" s="134">
        <f>IF(G5=3,0,IF(G90=refi_year+1,-DASHBOARD!$AI$104,0))*active_refi</f>
        <v>0</v>
      </c>
      <c r="H95" s="134">
        <f>IF(H5=3,0,IF(H90=refi_year+1,-DASHBOARD!$AI$104,0))*active_refi</f>
        <v>0</v>
      </c>
      <c r="I95" s="134">
        <f>IF(I5=3,0,IF(I90=refi_year+1,-DASHBOARD!$AI$104,0))*active_refi</f>
        <v>0</v>
      </c>
      <c r="J95" s="134">
        <f>IF(J5=3,0,IF(J90=refi_year+1,-DASHBOARD!$AI$104,0))*active_refi</f>
        <v>0</v>
      </c>
      <c r="K95" s="134">
        <f>IF(K5=3,0,IF(K90=refi_year+1,-DASHBOARD!$AI$104,0))*active_refi</f>
        <v>0</v>
      </c>
      <c r="L95" s="134">
        <f>IF(L5=3,0,IF(L90=refi_year+1,-DASHBOARD!$AI$104,0))*active_refi</f>
        <v>0</v>
      </c>
      <c r="M95" s="134">
        <f>IF(M5=3,0,IF(M90=refi_year+1,-DASHBOARD!$AI$104,0))*active_refi</f>
        <v>0</v>
      </c>
      <c r="N95" s="134">
        <f>IF(N5=3,0,IF(N90=refi_year+1,-DASHBOARD!$AI$104,0))*active_refi</f>
        <v>0</v>
      </c>
      <c r="O95" s="134">
        <f>IF(O5=3,0,IF(O90=refi_year+1,-DASHBOARD!$AI$104,0))*active_refi</f>
        <v>0</v>
      </c>
      <c r="P95" s="134">
        <f>IF(P5=3,0,IF(P90=refi_year+1,-DASHBOARD!$AI$104,0))*active_refi</f>
        <v>0</v>
      </c>
      <c r="Q95" s="134">
        <f>IF(Q5=3,0,IF(Q90=refi_year+1,-DASHBOARD!$AI$104,0))*active_refi</f>
        <v>0</v>
      </c>
      <c r="R95" s="134">
        <f>IF(R5=3,0,IF(R90=refi_year+1,-DASHBOARD!$AI$104,0))*active_refi</f>
        <v>0</v>
      </c>
      <c r="S95" s="134">
        <f>IF(S5=3,0,IF(S90=refi_year+1,-DASHBOARD!$AI$104,0))*active_refi</f>
        <v>0</v>
      </c>
      <c r="T95" s="134">
        <f>IF(T5=3,0,IF(T90=refi_year+1,-DASHBOARD!$AI$104,0))*active_refi</f>
        <v>0</v>
      </c>
      <c r="U95" s="134">
        <f>IF(U5=3,0,IF(U90=refi_year+1,-DASHBOARD!$AI$104,0))*active_refi</f>
        <v>0</v>
      </c>
      <c r="V95" s="134">
        <f>IF(V5=3,0,IF(V90=refi_year+1,-DASHBOARD!$AI$104,0))*active_refi</f>
        <v>0</v>
      </c>
      <c r="W95" s="134">
        <f>IF(W5=3,0,IF(W90=refi_year+1,-DASHBOARD!$AI$104,0))*active_refi</f>
        <v>0</v>
      </c>
      <c r="X95" s="134">
        <f>IF(X5=3,0,IF(X90=refi_year+1,-DASHBOARD!$AI$104,0))*active_refi</f>
        <v>0</v>
      </c>
      <c r="Y95" s="134">
        <f>IF(Y5=3,0,IF(Y90=refi_year+1,-DASHBOARD!$AI$104,0))*active_refi</f>
        <v>0</v>
      </c>
      <c r="Z95" s="134">
        <f>IF(Z5=3,0,IF(Z90=refi_year+1,-DASHBOARD!$AI$104,0))*active_refi</f>
        <v>0</v>
      </c>
      <c r="AA95" s="134">
        <f>IF(AA5=3,0,IF(AA90=refi_year+1,-DASHBOARD!$AI$104,0))*active_refi</f>
        <v>0</v>
      </c>
      <c r="AB95" s="134">
        <f>IF(AB5=3,0,IF(AB90=refi_year+1,-DASHBOARD!$AI$104,0))*active_refi</f>
        <v>0</v>
      </c>
      <c r="AC95" s="134">
        <f>IF(AC5=3,0,IF(AC90=refi_year+1,-DASHBOARD!$AI$104,0))*active_refi</f>
        <v>0</v>
      </c>
      <c r="AD95" s="134">
        <f>IF(AD5=3,0,IF(AD90=refi_year+1,-DASHBOARD!$AI$104,0))*active_refi</f>
        <v>0</v>
      </c>
      <c r="AE95" s="134">
        <f>IF(AE5=3,0,IF(AE90=refi_year+1,-DASHBOARD!$AI$104,0))*active_refi</f>
        <v>0</v>
      </c>
      <c r="AF95" s="134">
        <f>IF(AF5=3,0,IF(AF90=refi_year+1,-DASHBOARD!$AI$104,0))*active_refi</f>
        <v>0</v>
      </c>
      <c r="AG95" s="134">
        <f>IF(AG5=3,0,IF(AG90=refi_year+1,-DASHBOARD!$AI$104,0))*active_refi</f>
        <v>0</v>
      </c>
      <c r="AH95" s="134">
        <f>IF(AH5=3,0,IF(AH90=refi_year+1,-DASHBOARD!$AI$104,0))*active_refi</f>
        <v>0</v>
      </c>
      <c r="AI95" s="708">
        <f>IF(AI5=3,0,IF(AI90=refi_year+1,-DASHBOARD!$AI$104,0))*active_refi</f>
        <v>0</v>
      </c>
      <c r="AJ95" s="1605">
        <v>1</v>
      </c>
    </row>
    <row r="96" spans="1:52" s="289" customFormat="1" outlineLevel="1" x14ac:dyDescent="0.3">
      <c r="B96" s="706" t="s">
        <v>27</v>
      </c>
      <c r="C96" s="309">
        <f>IFERROR(SUM(E96:AI96),0)</f>
        <v>-118970</v>
      </c>
      <c r="D96" s="844"/>
      <c r="E96" s="129">
        <f>DEBT!D14+DEBT!D16</f>
        <v>-118970</v>
      </c>
      <c r="F96" s="134">
        <f>DEBT!E14+DEBT!E16</f>
        <v>0</v>
      </c>
      <c r="G96" s="134">
        <f>DEBT!F14+DEBT!F16</f>
        <v>0</v>
      </c>
      <c r="H96" s="134">
        <f>DEBT!G14+DEBT!G16</f>
        <v>0</v>
      </c>
      <c r="I96" s="134">
        <f>DEBT!H14+DEBT!H16</f>
        <v>0</v>
      </c>
      <c r="J96" s="134">
        <f>DEBT!I14+DEBT!I16</f>
        <v>0</v>
      </c>
      <c r="K96" s="134">
        <f>DEBT!J14+DEBT!J16</f>
        <v>0</v>
      </c>
      <c r="L96" s="134">
        <f>DEBT!K14+DEBT!K16</f>
        <v>0</v>
      </c>
      <c r="M96" s="134">
        <f>DEBT!L14+DEBT!L16</f>
        <v>0</v>
      </c>
      <c r="N96" s="134">
        <f>DEBT!M14+DEBT!M16</f>
        <v>0</v>
      </c>
      <c r="O96" s="134">
        <f>DEBT!N14+DEBT!N16</f>
        <v>0</v>
      </c>
      <c r="P96" s="134">
        <f>DEBT!O14+DEBT!O16</f>
        <v>0</v>
      </c>
      <c r="Q96" s="134">
        <f>DEBT!P14+DEBT!P16</f>
        <v>0</v>
      </c>
      <c r="R96" s="134">
        <f>DEBT!Q14+DEBT!Q16</f>
        <v>0</v>
      </c>
      <c r="S96" s="134">
        <f>DEBT!R14+DEBT!R16</f>
        <v>0</v>
      </c>
      <c r="T96" s="134">
        <f>DEBT!S14+DEBT!S16</f>
        <v>0</v>
      </c>
      <c r="U96" s="134">
        <f>DEBT!T14+DEBT!T16</f>
        <v>0</v>
      </c>
      <c r="V96" s="134">
        <f>DEBT!U14+DEBT!U16</f>
        <v>0</v>
      </c>
      <c r="W96" s="134">
        <f>DEBT!V14+DEBT!V16</f>
        <v>0</v>
      </c>
      <c r="X96" s="134">
        <f>DEBT!W14+DEBT!W16</f>
        <v>0</v>
      </c>
      <c r="Y96" s="134">
        <f>DEBT!X14+DEBT!X16</f>
        <v>0</v>
      </c>
      <c r="Z96" s="134">
        <f>DEBT!Y14+DEBT!Y16</f>
        <v>0</v>
      </c>
      <c r="AA96" s="134">
        <f>DEBT!Z14+DEBT!Z16</f>
        <v>0</v>
      </c>
      <c r="AB96" s="134">
        <f>DEBT!AA14+DEBT!AA16</f>
        <v>0</v>
      </c>
      <c r="AC96" s="134">
        <f>DEBT!AB14+DEBT!AB16</f>
        <v>0</v>
      </c>
      <c r="AD96" s="134">
        <f>DEBT!AC14+DEBT!AC16</f>
        <v>0</v>
      </c>
      <c r="AE96" s="134">
        <f>DEBT!AD14+DEBT!AD16</f>
        <v>0</v>
      </c>
      <c r="AF96" s="134">
        <f>DEBT!AE14+DEBT!AE16</f>
        <v>0</v>
      </c>
      <c r="AG96" s="134">
        <f>DEBT!AF14+DEBT!AF16</f>
        <v>0</v>
      </c>
      <c r="AH96" s="134">
        <f>DEBT!AG14+DEBT!AG16</f>
        <v>0</v>
      </c>
      <c r="AI96" s="708">
        <f>DEBT!AH14+DEBT!AH16</f>
        <v>0</v>
      </c>
      <c r="AJ96" s="1605">
        <v>1</v>
      </c>
    </row>
    <row r="97" spans="1:36" s="289" customFormat="1" outlineLevel="1" x14ac:dyDescent="0.3">
      <c r="B97" s="706" t="s">
        <v>28</v>
      </c>
      <c r="C97" s="309">
        <f>IFERROR(SUM(E97:AI97),0)</f>
        <v>0</v>
      </c>
      <c r="D97" s="844"/>
      <c r="E97" s="129">
        <f>DEBT!D20</f>
        <v>0</v>
      </c>
      <c r="F97" s="134">
        <f>DEBT!E20</f>
        <v>0</v>
      </c>
      <c r="G97" s="134">
        <f>DEBT!F20</f>
        <v>0</v>
      </c>
      <c r="H97" s="134">
        <f>DEBT!G20</f>
        <v>0</v>
      </c>
      <c r="I97" s="134">
        <f>DEBT!H20</f>
        <v>0</v>
      </c>
      <c r="J97" s="134">
        <f>DEBT!I20</f>
        <v>0</v>
      </c>
      <c r="K97" s="134">
        <f>DEBT!J20</f>
        <v>0</v>
      </c>
      <c r="L97" s="134">
        <f>DEBT!K20</f>
        <v>0</v>
      </c>
      <c r="M97" s="134">
        <f>DEBT!L20</f>
        <v>0</v>
      </c>
      <c r="N97" s="134">
        <f>DEBT!M20</f>
        <v>0</v>
      </c>
      <c r="O97" s="134">
        <f>DEBT!N20</f>
        <v>0</v>
      </c>
      <c r="P97" s="134">
        <f>DEBT!O20</f>
        <v>0</v>
      </c>
      <c r="Q97" s="134">
        <f>DEBT!P20</f>
        <v>0</v>
      </c>
      <c r="R97" s="134">
        <f>DEBT!Q20</f>
        <v>0</v>
      </c>
      <c r="S97" s="134">
        <f>DEBT!R20</f>
        <v>0</v>
      </c>
      <c r="T97" s="134">
        <f>DEBT!S20</f>
        <v>0</v>
      </c>
      <c r="U97" s="134">
        <f>DEBT!T20</f>
        <v>0</v>
      </c>
      <c r="V97" s="134">
        <f>DEBT!U20</f>
        <v>0</v>
      </c>
      <c r="W97" s="134">
        <f>DEBT!V20</f>
        <v>0</v>
      </c>
      <c r="X97" s="134">
        <f>DEBT!W20</f>
        <v>0</v>
      </c>
      <c r="Y97" s="134">
        <f>DEBT!X20</f>
        <v>0</v>
      </c>
      <c r="Z97" s="134">
        <f>DEBT!Y20</f>
        <v>0</v>
      </c>
      <c r="AA97" s="134">
        <f>DEBT!Z20</f>
        <v>0</v>
      </c>
      <c r="AB97" s="134">
        <f>DEBT!AA20</f>
        <v>0</v>
      </c>
      <c r="AC97" s="134">
        <f>DEBT!AB20</f>
        <v>0</v>
      </c>
      <c r="AD97" s="134">
        <f>DEBT!AC20</f>
        <v>0</v>
      </c>
      <c r="AE97" s="134">
        <f>DEBT!AD20</f>
        <v>0</v>
      </c>
      <c r="AF97" s="134">
        <f>DEBT!AE20</f>
        <v>0</v>
      </c>
      <c r="AG97" s="134">
        <f>DEBT!AF20</f>
        <v>0</v>
      </c>
      <c r="AH97" s="134">
        <f>DEBT!AG20</f>
        <v>0</v>
      </c>
      <c r="AI97" s="708">
        <f>DEBT!AH20</f>
        <v>0</v>
      </c>
      <c r="AJ97" s="1605">
        <v>1</v>
      </c>
    </row>
    <row r="98" spans="1:36" s="289" customFormat="1" outlineLevel="1" x14ac:dyDescent="0.3">
      <c r="B98" s="706" t="s">
        <v>29</v>
      </c>
      <c r="C98" s="309">
        <f>IFERROR(SUM(E98:AI98),0)</f>
        <v>0</v>
      </c>
      <c r="D98" s="844"/>
      <c r="E98" s="129">
        <f>DEBT!D23</f>
        <v>0</v>
      </c>
      <c r="F98" s="134">
        <f>DEBT!E23</f>
        <v>0</v>
      </c>
      <c r="G98" s="134">
        <f>DEBT!F23</f>
        <v>0</v>
      </c>
      <c r="H98" s="134">
        <f>DEBT!G23</f>
        <v>0</v>
      </c>
      <c r="I98" s="134">
        <f>DEBT!H23</f>
        <v>0</v>
      </c>
      <c r="J98" s="134">
        <f>DEBT!I23</f>
        <v>0</v>
      </c>
      <c r="K98" s="134">
        <f>DEBT!J23</f>
        <v>0</v>
      </c>
      <c r="L98" s="134">
        <f>DEBT!K23</f>
        <v>0</v>
      </c>
      <c r="M98" s="134">
        <f>DEBT!L23</f>
        <v>0</v>
      </c>
      <c r="N98" s="134">
        <f>DEBT!M23</f>
        <v>0</v>
      </c>
      <c r="O98" s="134">
        <f>DEBT!N23</f>
        <v>0</v>
      </c>
      <c r="P98" s="134">
        <f>DEBT!O23</f>
        <v>0</v>
      </c>
      <c r="Q98" s="134">
        <f>DEBT!P23</f>
        <v>0</v>
      </c>
      <c r="R98" s="134">
        <f>DEBT!Q23</f>
        <v>0</v>
      </c>
      <c r="S98" s="134">
        <f>DEBT!R23</f>
        <v>0</v>
      </c>
      <c r="T98" s="134">
        <f>DEBT!S23</f>
        <v>0</v>
      </c>
      <c r="U98" s="134">
        <f>DEBT!T23</f>
        <v>0</v>
      </c>
      <c r="V98" s="134">
        <f>DEBT!U23</f>
        <v>0</v>
      </c>
      <c r="W98" s="134">
        <f>DEBT!V23</f>
        <v>0</v>
      </c>
      <c r="X98" s="134">
        <f>DEBT!W23</f>
        <v>0</v>
      </c>
      <c r="Y98" s="134">
        <f>DEBT!X23</f>
        <v>0</v>
      </c>
      <c r="Z98" s="134">
        <f>DEBT!Y23</f>
        <v>0</v>
      </c>
      <c r="AA98" s="134">
        <f>DEBT!Z23</f>
        <v>0</v>
      </c>
      <c r="AB98" s="134">
        <f>DEBT!AA23</f>
        <v>0</v>
      </c>
      <c r="AC98" s="134">
        <f>DEBT!AB23</f>
        <v>0</v>
      </c>
      <c r="AD98" s="134">
        <f>DEBT!AC23</f>
        <v>0</v>
      </c>
      <c r="AE98" s="134">
        <f>DEBT!AD23</f>
        <v>0</v>
      </c>
      <c r="AF98" s="134">
        <f>DEBT!AE23</f>
        <v>0</v>
      </c>
      <c r="AG98" s="134">
        <f>DEBT!AF23</f>
        <v>0</v>
      </c>
      <c r="AH98" s="134">
        <f>DEBT!AG23</f>
        <v>0</v>
      </c>
      <c r="AI98" s="708">
        <f>DEBT!AH23</f>
        <v>0</v>
      </c>
      <c r="AJ98" s="1605">
        <v>1</v>
      </c>
    </row>
    <row r="99" spans="1:36" s="289" customFormat="1" outlineLevel="1" x14ac:dyDescent="0.3">
      <c r="B99" s="710" t="s">
        <v>508</v>
      </c>
      <c r="C99" s="239"/>
      <c r="D99" s="845">
        <f t="shared" ref="D99:AG99" si="44">SUM(D94:D98)</f>
        <v>115400.90415011146</v>
      </c>
      <c r="E99" s="322">
        <f t="shared" si="44"/>
        <v>-118970</v>
      </c>
      <c r="F99" s="323">
        <f t="shared" si="44"/>
        <v>0</v>
      </c>
      <c r="G99" s="323">
        <f t="shared" si="44"/>
        <v>0</v>
      </c>
      <c r="H99" s="323">
        <f t="shared" si="44"/>
        <v>0</v>
      </c>
      <c r="I99" s="323">
        <f t="shared" si="44"/>
        <v>0</v>
      </c>
      <c r="J99" s="323">
        <f t="shared" si="44"/>
        <v>0</v>
      </c>
      <c r="K99" s="323">
        <f t="shared" si="44"/>
        <v>0</v>
      </c>
      <c r="L99" s="323">
        <f t="shared" si="44"/>
        <v>0</v>
      </c>
      <c r="M99" s="323">
        <f t="shared" si="44"/>
        <v>0</v>
      </c>
      <c r="N99" s="323">
        <f t="shared" si="44"/>
        <v>0</v>
      </c>
      <c r="O99" s="323">
        <f t="shared" si="44"/>
        <v>0</v>
      </c>
      <c r="P99" s="323">
        <f t="shared" si="44"/>
        <v>0</v>
      </c>
      <c r="Q99" s="323">
        <f t="shared" si="44"/>
        <v>0</v>
      </c>
      <c r="R99" s="323">
        <f t="shared" si="44"/>
        <v>0</v>
      </c>
      <c r="S99" s="323">
        <f t="shared" si="44"/>
        <v>0</v>
      </c>
      <c r="T99" s="323">
        <f t="shared" si="44"/>
        <v>0</v>
      </c>
      <c r="U99" s="323">
        <f t="shared" si="44"/>
        <v>0</v>
      </c>
      <c r="V99" s="323">
        <f t="shared" si="44"/>
        <v>0</v>
      </c>
      <c r="W99" s="323">
        <f t="shared" si="44"/>
        <v>0</v>
      </c>
      <c r="X99" s="323">
        <f t="shared" si="44"/>
        <v>0</v>
      </c>
      <c r="Y99" s="323">
        <f t="shared" si="44"/>
        <v>0</v>
      </c>
      <c r="Z99" s="323">
        <f t="shared" si="44"/>
        <v>0</v>
      </c>
      <c r="AA99" s="323">
        <f t="shared" si="44"/>
        <v>0</v>
      </c>
      <c r="AB99" s="323">
        <f t="shared" si="44"/>
        <v>0</v>
      </c>
      <c r="AC99" s="323">
        <f t="shared" si="44"/>
        <v>0</v>
      </c>
      <c r="AD99" s="323">
        <f t="shared" si="44"/>
        <v>0</v>
      </c>
      <c r="AE99" s="323">
        <f t="shared" si="44"/>
        <v>0</v>
      </c>
      <c r="AF99" s="323">
        <f t="shared" si="44"/>
        <v>0</v>
      </c>
      <c r="AG99" s="323">
        <f t="shared" si="44"/>
        <v>0</v>
      </c>
      <c r="AH99" s="323">
        <f>SUM(AH94:AH98)</f>
        <v>0</v>
      </c>
      <c r="AI99" s="711">
        <f>SUM(AI94:AI98)</f>
        <v>0</v>
      </c>
      <c r="AJ99" s="1605">
        <v>1</v>
      </c>
    </row>
    <row r="100" spans="1:36" s="289" customFormat="1" outlineLevel="1" x14ac:dyDescent="0.3">
      <c r="B100" s="706"/>
      <c r="C100" s="84"/>
      <c r="D100" s="308"/>
      <c r="E100" s="133"/>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846"/>
      <c r="AJ100" s="1605">
        <v>1</v>
      </c>
    </row>
    <row r="101" spans="1:36" outlineLevel="1" x14ac:dyDescent="0.3">
      <c r="A101" s="289"/>
      <c r="B101" s="847" t="s">
        <v>136</v>
      </c>
      <c r="C101" s="848"/>
      <c r="D101" s="311">
        <f t="shared" ref="D101:AI101" si="45">D99+D85</f>
        <v>-7049.3458498885448</v>
      </c>
      <c r="E101" s="179">
        <f t="shared" si="45"/>
        <v>228280.41095890407</v>
      </c>
      <c r="F101" s="246">
        <f t="shared" si="45"/>
        <v>0</v>
      </c>
      <c r="G101" s="246">
        <f t="shared" si="45"/>
        <v>0</v>
      </c>
      <c r="H101" s="246">
        <f t="shared" si="45"/>
        <v>0</v>
      </c>
      <c r="I101" s="246">
        <f t="shared" si="45"/>
        <v>0</v>
      </c>
      <c r="J101" s="246">
        <f t="shared" si="45"/>
        <v>0</v>
      </c>
      <c r="K101" s="246">
        <f t="shared" si="45"/>
        <v>0</v>
      </c>
      <c r="L101" s="246">
        <f t="shared" si="45"/>
        <v>0</v>
      </c>
      <c r="M101" s="246">
        <f t="shared" si="45"/>
        <v>0</v>
      </c>
      <c r="N101" s="246">
        <f t="shared" si="45"/>
        <v>0</v>
      </c>
      <c r="O101" s="246">
        <f t="shared" si="45"/>
        <v>0</v>
      </c>
      <c r="P101" s="246">
        <f t="shared" si="45"/>
        <v>0</v>
      </c>
      <c r="Q101" s="246">
        <f t="shared" si="45"/>
        <v>0</v>
      </c>
      <c r="R101" s="246">
        <f t="shared" si="45"/>
        <v>0</v>
      </c>
      <c r="S101" s="246">
        <f t="shared" si="45"/>
        <v>0</v>
      </c>
      <c r="T101" s="246">
        <f t="shared" si="45"/>
        <v>0</v>
      </c>
      <c r="U101" s="246">
        <f t="shared" si="45"/>
        <v>0</v>
      </c>
      <c r="V101" s="246">
        <f t="shared" si="45"/>
        <v>0</v>
      </c>
      <c r="W101" s="246">
        <f t="shared" si="45"/>
        <v>0</v>
      </c>
      <c r="X101" s="246">
        <f t="shared" si="45"/>
        <v>0</v>
      </c>
      <c r="Y101" s="246">
        <f t="shared" si="45"/>
        <v>0</v>
      </c>
      <c r="Z101" s="246">
        <f t="shared" si="45"/>
        <v>0</v>
      </c>
      <c r="AA101" s="246">
        <f t="shared" si="45"/>
        <v>0</v>
      </c>
      <c r="AB101" s="246">
        <f t="shared" si="45"/>
        <v>0</v>
      </c>
      <c r="AC101" s="246">
        <f t="shared" si="45"/>
        <v>0</v>
      </c>
      <c r="AD101" s="246">
        <f t="shared" si="45"/>
        <v>0</v>
      </c>
      <c r="AE101" s="246">
        <f t="shared" si="45"/>
        <v>0</v>
      </c>
      <c r="AF101" s="246">
        <f t="shared" si="45"/>
        <v>0</v>
      </c>
      <c r="AG101" s="246">
        <f t="shared" si="45"/>
        <v>0</v>
      </c>
      <c r="AH101" s="246">
        <f t="shared" si="45"/>
        <v>0</v>
      </c>
      <c r="AI101" s="849">
        <f t="shared" si="45"/>
        <v>0</v>
      </c>
      <c r="AJ101" s="1605">
        <v>1</v>
      </c>
    </row>
    <row r="102" spans="1:36" outlineLevel="1" x14ac:dyDescent="0.3">
      <c r="A102" s="289"/>
      <c r="B102" s="850" t="s">
        <v>151</v>
      </c>
      <c r="C102" s="851"/>
      <c r="D102" s="1804" t="s">
        <v>1149</v>
      </c>
      <c r="E102" s="381">
        <f>IF(E5=3,0,SUM($E$101:E101)-E82-E83-DEBT!D16-SUM($E$94:E94)-SUM($E$95:E95))</f>
        <v>0</v>
      </c>
      <c r="F102" s="852">
        <f>IF(F5=3,0,SUM($E$101:F101)-F82-F83-DEBT!E16-SUM($E$94:F94)-SUM($E$95:F95))</f>
        <v>0</v>
      </c>
      <c r="G102" s="852">
        <f>IF(G5=3,0,SUM($E$101:G101)-G82-G83-DEBT!F16-SUM($E$94:G94)-SUM($E$95:G95))</f>
        <v>0</v>
      </c>
      <c r="H102" s="852">
        <f>IF(H5=3,0,SUM($E$101:H101)-H82-H83-DEBT!G16-SUM($E$94:H94)-SUM($E$95:H95))</f>
        <v>0</v>
      </c>
      <c r="I102" s="852">
        <f>IF(I5=3,0,SUM($E$101:I101)-I82-I83-DEBT!H16-SUM($E$94:I94)-SUM($E$95:I95))</f>
        <v>0</v>
      </c>
      <c r="J102" s="852">
        <f>IF(J5=3,0,SUM($E$101:J101)-J82-J83-DEBT!I16-SUM($E$94:J94)-SUM($E$95:J95))</f>
        <v>0</v>
      </c>
      <c r="K102" s="852">
        <f>IF(K5=3,0,SUM($E$101:K101)-K82-K83-DEBT!J16-SUM($E$94:K94)-SUM($E$95:K95))</f>
        <v>0</v>
      </c>
      <c r="L102" s="852">
        <f>IF(L5=3,0,SUM($E$101:L101)-L82-L83-DEBT!K16-SUM($E$94:L94)-SUM($E$95:L95))</f>
        <v>0</v>
      </c>
      <c r="M102" s="852">
        <f>IF(M5=3,0,SUM($E$101:M101)-M82-M83-DEBT!L16-SUM($E$94:M94)-SUM($E$95:M95))</f>
        <v>0</v>
      </c>
      <c r="N102" s="852">
        <f>IF(N5=3,0,SUM($E$101:N101)-N82-N83-DEBT!M16-SUM($E$94:N94)-SUM($E$95:N95))</f>
        <v>0</v>
      </c>
      <c r="O102" s="852">
        <f>IF(O5=3,0,SUM($E$101:O101)-O82-O83-DEBT!N16-SUM($E$94:O94)-SUM($E$95:O95))</f>
        <v>0</v>
      </c>
      <c r="P102" s="852">
        <f>IF(P5=3,0,SUM($E$101:P101)-P82-P83-DEBT!O16-SUM($E$94:P94)-SUM($E$95:P95))</f>
        <v>0</v>
      </c>
      <c r="Q102" s="852">
        <f>IF(Q5=3,0,SUM($E$101:Q101)-Q82-Q83-DEBT!P16-SUM($E$94:Q94)-SUM($E$95:Q95))</f>
        <v>0</v>
      </c>
      <c r="R102" s="852">
        <f>IF(R5=3,0,SUM($E$101:R101)-R82-R83-DEBT!Q16-SUM($E$94:R94)-SUM($E$95:R95))</f>
        <v>0</v>
      </c>
      <c r="S102" s="852">
        <f>IF(S5=3,0,SUM($E$101:S101)-S82-S83-DEBT!R16-SUM($E$94:S94)-SUM($E$95:S95))</f>
        <v>0</v>
      </c>
      <c r="T102" s="852">
        <f>IF(T5=3,0,SUM($E$101:T101)-T82-T83-DEBT!S16-SUM($E$94:T94)-SUM($E$95:T95))</f>
        <v>0</v>
      </c>
      <c r="U102" s="852">
        <f>IF(U5=3,0,SUM($E$101:U101)-U82-U83-DEBT!T16-SUM($E$94:U94)-SUM($E$95:U95))</f>
        <v>0</v>
      </c>
      <c r="V102" s="852">
        <f>IF(V5=3,0,SUM($E$101:V101)-V82-V83-DEBT!U16-SUM($E$94:V94)-SUM($E$95:V95))</f>
        <v>0</v>
      </c>
      <c r="W102" s="852">
        <f>IF(W5=3,0,SUM($E$101:W101)-W82-W83-DEBT!V16-SUM($E$94:W94)-SUM($E$95:W95))</f>
        <v>0</v>
      </c>
      <c r="X102" s="852">
        <f>IF(X5=3,0,SUM($E$101:X101)-X82-X83-DEBT!W16-SUM($E$94:X94)-SUM($E$95:X95))</f>
        <v>0</v>
      </c>
      <c r="Y102" s="852">
        <f>IF(Y5=3,0,SUM($E$101:Y101)-Y82-Y83-DEBT!X16-SUM($E$94:Y94)-SUM($E$95:Y95))</f>
        <v>0</v>
      </c>
      <c r="Z102" s="852">
        <f>IF(Z5=3,0,SUM($E$101:Z101)-Z82-Z83-DEBT!Y16-SUM($E$94:Z94)-SUM($E$95:Z95))</f>
        <v>0</v>
      </c>
      <c r="AA102" s="852">
        <f>IF(AA5=3,0,SUM($E$101:AA101)-AA82-AA83-DEBT!Z16-SUM($E$94:AA94)-SUM($E$95:AA95))</f>
        <v>0</v>
      </c>
      <c r="AB102" s="852">
        <f>IF(AB5=3,0,SUM($E$101:AB101)-AB82-AB83-DEBT!AA16-SUM($E$94:AB94)-SUM($E$95:AB95))</f>
        <v>0</v>
      </c>
      <c r="AC102" s="852">
        <f>IF(AC5=3,0,SUM($E$101:AC101)-AC82-AC83-DEBT!AB16-SUM($E$94:AC94)-SUM($E$95:AC95))</f>
        <v>0</v>
      </c>
      <c r="AD102" s="852">
        <f>IF(AD5=3,0,SUM($E$101:AD101)-AD82-AD83-DEBT!AC16-SUM($E$94:AD94)-SUM($E$95:AD95))</f>
        <v>0</v>
      </c>
      <c r="AE102" s="852">
        <f>IF(AE5=3,0,SUM($E$101:AE101)-AE82-AE83-DEBT!AD16-SUM($E$94:AE94)-SUM($E$95:AE95))</f>
        <v>0</v>
      </c>
      <c r="AF102" s="852">
        <f>IF(AF5=3,0,SUM($E$101:AF101)-AF82-AF83-DEBT!AE16-SUM($E$94:AF94)-SUM($E$95:AF95))</f>
        <v>0</v>
      </c>
      <c r="AG102" s="852">
        <f>IF(AG5=3,0,SUM($E$101:AG101)-AG82-AG83-DEBT!AF16-SUM($E$94:AG94)-SUM($E$95:AG95))</f>
        <v>0</v>
      </c>
      <c r="AH102" s="852">
        <f>IF(AH5=3,0,SUM($E$101:AH101)-AH82-AH83-DEBT!AG16-SUM($E$94:AH94)-SUM($E$95:AH95))</f>
        <v>0</v>
      </c>
      <c r="AI102" s="853">
        <f>IF(AI5=3,0,SUM($E$101:AI101)-AI82-AI83-DEBT!AH16-SUM($E$94:AI94)-SUM($E$95:AI95))</f>
        <v>0</v>
      </c>
      <c r="AJ102" s="1605">
        <v>1</v>
      </c>
    </row>
    <row r="103" spans="1:36" outlineLevel="1" x14ac:dyDescent="0.3">
      <c r="A103" s="289"/>
      <c r="B103" s="854" t="s">
        <v>525</v>
      </c>
      <c r="C103" s="856"/>
      <c r="D103" s="1805" t="s">
        <v>1149</v>
      </c>
      <c r="E103" s="857">
        <f>IF(E5=3,0,SUM($E$101:E101))</f>
        <v>228280.41095890407</v>
      </c>
      <c r="F103" s="858">
        <f>IF(F5=3,0,SUM($E$101:F101))</f>
        <v>0</v>
      </c>
      <c r="G103" s="858">
        <f>IF(G5=3,0,SUM($E$101:G101))</f>
        <v>0</v>
      </c>
      <c r="H103" s="858">
        <f>IF(H5=3,0,SUM($E$101:H101))</f>
        <v>0</v>
      </c>
      <c r="I103" s="858">
        <f>IF(I5=3,0,SUM($E$101:I101))</f>
        <v>0</v>
      </c>
      <c r="J103" s="858">
        <f>IF(J5=3,0,SUM($E$101:J101))</f>
        <v>0</v>
      </c>
      <c r="K103" s="858">
        <f>IF(K5=3,0,SUM($E$101:K101))</f>
        <v>0</v>
      </c>
      <c r="L103" s="858">
        <f>IF(L5=3,0,SUM($E$101:L101))</f>
        <v>0</v>
      </c>
      <c r="M103" s="858">
        <f>IF(M5=3,0,SUM($E$101:M101))</f>
        <v>0</v>
      </c>
      <c r="N103" s="858">
        <f>IF(N5=3,0,SUM($E$101:N101))</f>
        <v>0</v>
      </c>
      <c r="O103" s="858">
        <f>IF(O5=3,0,SUM($E$101:O101))</f>
        <v>0</v>
      </c>
      <c r="P103" s="858">
        <f>IF(P5=3,0,SUM($E$101:P101))</f>
        <v>0</v>
      </c>
      <c r="Q103" s="858">
        <f>IF(Q5=3,0,SUM($E$101:Q101))</f>
        <v>0</v>
      </c>
      <c r="R103" s="858">
        <f>IF(R5=3,0,SUM($E$101:R101))</f>
        <v>0</v>
      </c>
      <c r="S103" s="858">
        <f>IF(S5=3,0,SUM($E$101:S101))</f>
        <v>0</v>
      </c>
      <c r="T103" s="858">
        <f>IF(T5=3,0,SUM($E$101:T101))</f>
        <v>0</v>
      </c>
      <c r="U103" s="858">
        <f>IF(U5=3,0,SUM($E$101:U101))</f>
        <v>0</v>
      </c>
      <c r="V103" s="858">
        <f>IF(V5=3,0,SUM($E$101:V101))</f>
        <v>0</v>
      </c>
      <c r="W103" s="858">
        <f>IF(W5=3,0,SUM($E$101:W101))</f>
        <v>0</v>
      </c>
      <c r="X103" s="858">
        <f>IF(X5=3,0,SUM($E$101:X101))</f>
        <v>0</v>
      </c>
      <c r="Y103" s="858">
        <f>IF(Y5=3,0,SUM($E$101:Y101))</f>
        <v>0</v>
      </c>
      <c r="Z103" s="858">
        <f>IF(Z5=3,0,SUM($E$101:Z101))</f>
        <v>0</v>
      </c>
      <c r="AA103" s="858">
        <f>IF(AA5=3,0,SUM($E$101:AA101))</f>
        <v>0</v>
      </c>
      <c r="AB103" s="858">
        <f>IF(AB5=3,0,SUM($E$101:AB101))</f>
        <v>0</v>
      </c>
      <c r="AC103" s="858">
        <f>IF(AC5=3,0,SUM($E$101:AC101))</f>
        <v>0</v>
      </c>
      <c r="AD103" s="858">
        <f>IF(AD5=3,0,SUM($E$101:AD101))</f>
        <v>0</v>
      </c>
      <c r="AE103" s="858">
        <f>IF(AE5=3,0,SUM($E$101:AE101))</f>
        <v>0</v>
      </c>
      <c r="AF103" s="858">
        <f>IF(AF5=3,0,SUM($E$101:AF101))</f>
        <v>0</v>
      </c>
      <c r="AG103" s="858">
        <f>IF(AG5=3,0,SUM($E$101:AG101))</f>
        <v>0</v>
      </c>
      <c r="AH103" s="858">
        <f>IF(AH5=3,0,SUM($E$101:AH101))</f>
        <v>0</v>
      </c>
      <c r="AI103" s="859">
        <f>IF(AI5=3,0,SUM($E$101:AI101))</f>
        <v>0</v>
      </c>
      <c r="AJ103" s="1605">
        <v>1</v>
      </c>
    </row>
    <row r="104" spans="1:36" s="450" customFormat="1" x14ac:dyDescent="0.3">
      <c r="B104" s="1605" t="s">
        <v>126</v>
      </c>
      <c r="C104" s="1605"/>
      <c r="D104" s="1605"/>
      <c r="E104" s="1703">
        <f>E97+E96</f>
        <v>-118970</v>
      </c>
      <c r="F104" s="1703">
        <f t="shared" ref="F104:AI104" si="46">F97+F96</f>
        <v>0</v>
      </c>
      <c r="G104" s="1703">
        <f t="shared" si="46"/>
        <v>0</v>
      </c>
      <c r="H104" s="1703">
        <f t="shared" si="46"/>
        <v>0</v>
      </c>
      <c r="I104" s="1703">
        <f t="shared" si="46"/>
        <v>0</v>
      </c>
      <c r="J104" s="1703">
        <f t="shared" si="46"/>
        <v>0</v>
      </c>
      <c r="K104" s="1703">
        <f t="shared" si="46"/>
        <v>0</v>
      </c>
      <c r="L104" s="1703">
        <f t="shared" si="46"/>
        <v>0</v>
      </c>
      <c r="M104" s="1703">
        <f t="shared" si="46"/>
        <v>0</v>
      </c>
      <c r="N104" s="1703">
        <f t="shared" si="46"/>
        <v>0</v>
      </c>
      <c r="O104" s="1703">
        <f t="shared" si="46"/>
        <v>0</v>
      </c>
      <c r="P104" s="1703">
        <f t="shared" si="46"/>
        <v>0</v>
      </c>
      <c r="Q104" s="1703">
        <f t="shared" si="46"/>
        <v>0</v>
      </c>
      <c r="R104" s="1703">
        <f t="shared" si="46"/>
        <v>0</v>
      </c>
      <c r="S104" s="1703">
        <f t="shared" si="46"/>
        <v>0</v>
      </c>
      <c r="T104" s="1703">
        <f t="shared" si="46"/>
        <v>0</v>
      </c>
      <c r="U104" s="1703">
        <f t="shared" si="46"/>
        <v>0</v>
      </c>
      <c r="V104" s="1703">
        <f t="shared" si="46"/>
        <v>0</v>
      </c>
      <c r="W104" s="1703">
        <f t="shared" si="46"/>
        <v>0</v>
      </c>
      <c r="X104" s="1703">
        <f t="shared" si="46"/>
        <v>0</v>
      </c>
      <c r="Y104" s="1703">
        <f t="shared" si="46"/>
        <v>0</v>
      </c>
      <c r="Z104" s="1703">
        <f t="shared" si="46"/>
        <v>0</v>
      </c>
      <c r="AA104" s="1703">
        <f t="shared" si="46"/>
        <v>0</v>
      </c>
      <c r="AB104" s="1703">
        <f t="shared" si="46"/>
        <v>0</v>
      </c>
      <c r="AC104" s="1703">
        <f t="shared" si="46"/>
        <v>0</v>
      </c>
      <c r="AD104" s="1703">
        <f t="shared" si="46"/>
        <v>0</v>
      </c>
      <c r="AE104" s="1703">
        <f t="shared" si="46"/>
        <v>0</v>
      </c>
      <c r="AF104" s="1703">
        <f t="shared" si="46"/>
        <v>0</v>
      </c>
      <c r="AG104" s="1703">
        <f t="shared" si="46"/>
        <v>0</v>
      </c>
      <c r="AH104" s="1703">
        <f t="shared" si="46"/>
        <v>0</v>
      </c>
      <c r="AI104" s="1703">
        <f t="shared" si="46"/>
        <v>0</v>
      </c>
      <c r="AJ104" s="1605">
        <v>1</v>
      </c>
    </row>
    <row r="105" spans="1:36" s="293" customFormat="1" x14ac:dyDescent="0.3">
      <c r="A105" s="289"/>
      <c r="B105" s="298"/>
      <c r="C105" s="298"/>
      <c r="D105" s="298"/>
      <c r="E105" s="298"/>
      <c r="F105" s="298"/>
      <c r="G105" s="298"/>
      <c r="H105" s="298"/>
      <c r="I105" s="298"/>
      <c r="J105" s="298"/>
      <c r="K105" s="298"/>
      <c r="L105" s="298"/>
      <c r="M105" s="837"/>
      <c r="N105" s="298"/>
      <c r="O105" s="298"/>
      <c r="P105" s="298"/>
      <c r="Q105" s="298"/>
      <c r="R105" s="298"/>
      <c r="S105" s="298"/>
      <c r="T105" s="298"/>
      <c r="U105" s="298"/>
      <c r="V105" s="298"/>
      <c r="W105" s="298"/>
      <c r="X105" s="298"/>
      <c r="Y105" s="298"/>
      <c r="Z105" s="298"/>
      <c r="AA105" s="298"/>
      <c r="AB105" s="298"/>
      <c r="AC105" s="298"/>
      <c r="AD105" s="298"/>
      <c r="AE105" s="298"/>
      <c r="AF105" s="298"/>
      <c r="AG105" s="298"/>
      <c r="AH105" s="298"/>
      <c r="AI105" s="298"/>
      <c r="AJ105" s="1605">
        <v>1</v>
      </c>
    </row>
    <row r="106" spans="1:36" x14ac:dyDescent="0.3">
      <c r="A106" s="289"/>
      <c r="B106" s="1747" t="s">
        <v>595</v>
      </c>
      <c r="C106" s="701"/>
      <c r="D106" s="701"/>
      <c r="E106" s="701"/>
      <c r="F106" s="701"/>
      <c r="G106" s="701"/>
      <c r="H106" s="701"/>
      <c r="I106" s="701"/>
      <c r="J106" s="701"/>
      <c r="K106" s="701"/>
      <c r="L106" s="701"/>
      <c r="M106" s="701"/>
      <c r="N106" s="701"/>
      <c r="O106" s="701"/>
      <c r="P106" s="701"/>
      <c r="Q106" s="701"/>
      <c r="R106" s="701"/>
      <c r="S106" s="701"/>
      <c r="T106" s="701"/>
      <c r="U106" s="701"/>
      <c r="V106" s="701"/>
      <c r="W106" s="701"/>
      <c r="X106" s="701"/>
      <c r="Y106" s="701"/>
      <c r="Z106" s="701"/>
      <c r="AA106" s="701"/>
      <c r="AB106" s="701"/>
      <c r="AC106" s="701"/>
      <c r="AD106" s="701"/>
      <c r="AE106" s="701"/>
      <c r="AF106" s="701"/>
      <c r="AG106" s="701"/>
      <c r="AH106" s="701"/>
      <c r="AI106" s="702"/>
      <c r="AJ106" s="1605">
        <v>1</v>
      </c>
    </row>
    <row r="107" spans="1:36" x14ac:dyDescent="0.3">
      <c r="A107" s="289"/>
      <c r="B107" s="839"/>
      <c r="C107" s="3"/>
      <c r="D107" s="838" t="s">
        <v>40</v>
      </c>
      <c r="E107" s="130">
        <v>1</v>
      </c>
      <c r="F107" s="126">
        <f t="shared" ref="F107:AI107" si="47">E107+1</f>
        <v>2</v>
      </c>
      <c r="G107" s="126">
        <f t="shared" si="47"/>
        <v>3</v>
      </c>
      <c r="H107" s="126">
        <f t="shared" si="47"/>
        <v>4</v>
      </c>
      <c r="I107" s="126">
        <f t="shared" si="47"/>
        <v>5</v>
      </c>
      <c r="J107" s="126">
        <f t="shared" si="47"/>
        <v>6</v>
      </c>
      <c r="K107" s="126">
        <f t="shared" si="47"/>
        <v>7</v>
      </c>
      <c r="L107" s="126">
        <f t="shared" si="47"/>
        <v>8</v>
      </c>
      <c r="M107" s="126">
        <f t="shared" si="47"/>
        <v>9</v>
      </c>
      <c r="N107" s="126">
        <f t="shared" si="47"/>
        <v>10</v>
      </c>
      <c r="O107" s="126">
        <f t="shared" si="47"/>
        <v>11</v>
      </c>
      <c r="P107" s="126">
        <f t="shared" si="47"/>
        <v>12</v>
      </c>
      <c r="Q107" s="126">
        <f t="shared" si="47"/>
        <v>13</v>
      </c>
      <c r="R107" s="126">
        <f t="shared" si="47"/>
        <v>14</v>
      </c>
      <c r="S107" s="126">
        <f t="shared" si="47"/>
        <v>15</v>
      </c>
      <c r="T107" s="126">
        <f t="shared" si="47"/>
        <v>16</v>
      </c>
      <c r="U107" s="126">
        <f t="shared" si="47"/>
        <v>17</v>
      </c>
      <c r="V107" s="126">
        <f t="shared" si="47"/>
        <v>18</v>
      </c>
      <c r="W107" s="126">
        <f t="shared" si="47"/>
        <v>19</v>
      </c>
      <c r="X107" s="126">
        <f t="shared" si="47"/>
        <v>20</v>
      </c>
      <c r="Y107" s="126">
        <f t="shared" si="47"/>
        <v>21</v>
      </c>
      <c r="Z107" s="126">
        <f t="shared" si="47"/>
        <v>22</v>
      </c>
      <c r="AA107" s="126">
        <f t="shared" si="47"/>
        <v>23</v>
      </c>
      <c r="AB107" s="126">
        <f t="shared" si="47"/>
        <v>24</v>
      </c>
      <c r="AC107" s="126">
        <f t="shared" si="47"/>
        <v>25</v>
      </c>
      <c r="AD107" s="126">
        <f t="shared" si="47"/>
        <v>26</v>
      </c>
      <c r="AE107" s="126">
        <f t="shared" si="47"/>
        <v>27</v>
      </c>
      <c r="AF107" s="126">
        <f t="shared" si="47"/>
        <v>28</v>
      </c>
      <c r="AG107" s="126">
        <f t="shared" si="47"/>
        <v>29</v>
      </c>
      <c r="AH107" s="126">
        <f t="shared" si="47"/>
        <v>30</v>
      </c>
      <c r="AI107" s="840">
        <f t="shared" si="47"/>
        <v>31</v>
      </c>
      <c r="AJ107" s="1605">
        <v>1</v>
      </c>
    </row>
    <row r="108" spans="1:36" outlineLevel="1" x14ac:dyDescent="0.3">
      <c r="A108" s="289"/>
      <c r="B108" s="841"/>
      <c r="C108" s="842"/>
      <c r="D108" s="842"/>
      <c r="E108" s="131"/>
      <c r="F108" s="132"/>
      <c r="G108" s="132"/>
      <c r="H108" s="132"/>
      <c r="I108" s="132"/>
      <c r="J108" s="132"/>
      <c r="K108" s="132"/>
      <c r="L108" s="132"/>
      <c r="M108" s="132"/>
      <c r="N108" s="132"/>
      <c r="O108" s="132"/>
      <c r="P108" s="132"/>
      <c r="Q108" s="132"/>
      <c r="R108" s="132"/>
      <c r="S108" s="132"/>
      <c r="T108" s="132"/>
      <c r="U108" s="132"/>
      <c r="V108" s="132"/>
      <c r="W108" s="132"/>
      <c r="X108" s="132"/>
      <c r="Y108" s="132"/>
      <c r="Z108" s="132"/>
      <c r="AA108" s="132"/>
      <c r="AB108" s="132"/>
      <c r="AC108" s="132"/>
      <c r="AD108" s="132"/>
      <c r="AE108" s="132"/>
      <c r="AF108" s="132"/>
      <c r="AG108" s="132"/>
      <c r="AH108" s="132"/>
      <c r="AI108" s="843"/>
      <c r="AJ108" s="1605">
        <v>1</v>
      </c>
    </row>
    <row r="109" spans="1:36" outlineLevel="1" x14ac:dyDescent="0.3">
      <c r="A109" s="289"/>
      <c r="B109" s="773" t="s">
        <v>293</v>
      </c>
      <c r="C109" s="676" t="s">
        <v>20</v>
      </c>
      <c r="D109" s="842"/>
      <c r="E109" s="131"/>
      <c r="F109" s="132"/>
      <c r="G109" s="132"/>
      <c r="H109" s="132"/>
      <c r="I109" s="132"/>
      <c r="J109" s="132"/>
      <c r="K109" s="132"/>
      <c r="L109" s="132"/>
      <c r="M109" s="132"/>
      <c r="N109" s="132"/>
      <c r="O109" s="132"/>
      <c r="P109" s="132"/>
      <c r="Q109" s="132"/>
      <c r="R109" s="132"/>
      <c r="S109" s="132"/>
      <c r="T109" s="132"/>
      <c r="U109" s="132"/>
      <c r="V109" s="132"/>
      <c r="W109" s="132"/>
      <c r="X109" s="132"/>
      <c r="Y109" s="132"/>
      <c r="Z109" s="132"/>
      <c r="AA109" s="132"/>
      <c r="AB109" s="132"/>
      <c r="AC109" s="132"/>
      <c r="AD109" s="132"/>
      <c r="AE109" s="132"/>
      <c r="AF109" s="132"/>
      <c r="AG109" s="132"/>
      <c r="AH109" s="132"/>
      <c r="AI109" s="843"/>
      <c r="AJ109" s="1605">
        <v>1</v>
      </c>
    </row>
    <row r="110" spans="1:36" outlineLevel="1" x14ac:dyDescent="0.3">
      <c r="A110" s="289"/>
      <c r="B110" s="706" t="s">
        <v>580</v>
      </c>
      <c r="C110" s="309">
        <f>IFERROR(SUM(E110:AI110),0)</f>
        <v>0</v>
      </c>
      <c r="D110" s="842"/>
      <c r="E110" s="129">
        <f t="shared" ref="E110:AI110" si="48">E19</f>
        <v>0</v>
      </c>
      <c r="F110" s="134">
        <f t="shared" si="48"/>
        <v>0</v>
      </c>
      <c r="G110" s="134">
        <f t="shared" si="48"/>
        <v>0</v>
      </c>
      <c r="H110" s="134">
        <f t="shared" si="48"/>
        <v>0</v>
      </c>
      <c r="I110" s="134">
        <f t="shared" si="48"/>
        <v>0</v>
      </c>
      <c r="J110" s="134">
        <f t="shared" si="48"/>
        <v>0</v>
      </c>
      <c r="K110" s="134">
        <f t="shared" si="48"/>
        <v>0</v>
      </c>
      <c r="L110" s="134">
        <f t="shared" si="48"/>
        <v>0</v>
      </c>
      <c r="M110" s="134">
        <f t="shared" si="48"/>
        <v>0</v>
      </c>
      <c r="N110" s="134">
        <f t="shared" si="48"/>
        <v>0</v>
      </c>
      <c r="O110" s="134">
        <f t="shared" si="48"/>
        <v>0</v>
      </c>
      <c r="P110" s="134">
        <f t="shared" si="48"/>
        <v>0</v>
      </c>
      <c r="Q110" s="134">
        <f t="shared" si="48"/>
        <v>0</v>
      </c>
      <c r="R110" s="134">
        <f t="shared" si="48"/>
        <v>0</v>
      </c>
      <c r="S110" s="134">
        <f t="shared" si="48"/>
        <v>0</v>
      </c>
      <c r="T110" s="134">
        <f t="shared" si="48"/>
        <v>0</v>
      </c>
      <c r="U110" s="134">
        <f t="shared" si="48"/>
        <v>0</v>
      </c>
      <c r="V110" s="134">
        <f t="shared" si="48"/>
        <v>0</v>
      </c>
      <c r="W110" s="134">
        <f t="shared" si="48"/>
        <v>0</v>
      </c>
      <c r="X110" s="134">
        <f t="shared" si="48"/>
        <v>0</v>
      </c>
      <c r="Y110" s="134">
        <f t="shared" si="48"/>
        <v>0</v>
      </c>
      <c r="Z110" s="134">
        <f t="shared" si="48"/>
        <v>0</v>
      </c>
      <c r="AA110" s="134">
        <f t="shared" si="48"/>
        <v>0</v>
      </c>
      <c r="AB110" s="134">
        <f t="shared" si="48"/>
        <v>0</v>
      </c>
      <c r="AC110" s="134">
        <f t="shared" si="48"/>
        <v>0</v>
      </c>
      <c r="AD110" s="134">
        <f t="shared" si="48"/>
        <v>0</v>
      </c>
      <c r="AE110" s="134">
        <f t="shared" si="48"/>
        <v>0</v>
      </c>
      <c r="AF110" s="134">
        <f t="shared" si="48"/>
        <v>0</v>
      </c>
      <c r="AG110" s="134">
        <f t="shared" si="48"/>
        <v>0</v>
      </c>
      <c r="AH110" s="134">
        <f t="shared" si="48"/>
        <v>0</v>
      </c>
      <c r="AI110" s="708">
        <f t="shared" si="48"/>
        <v>0</v>
      </c>
      <c r="AJ110" s="1605">
        <v>1</v>
      </c>
    </row>
    <row r="111" spans="1:36" outlineLevel="1" x14ac:dyDescent="0.3">
      <c r="A111" s="289"/>
      <c r="B111" s="706" t="s">
        <v>579</v>
      </c>
      <c r="C111" s="309">
        <f>IFERROR(SUM(E111:AI111),0)</f>
        <v>0</v>
      </c>
      <c r="D111" s="842"/>
      <c r="E111" s="129">
        <f>IFERROR(E16/DASHBOARD!$AF$136*DASHBOARD!$AF$137,0)</f>
        <v>0</v>
      </c>
      <c r="F111" s="134">
        <f>IFERROR(F16/DASHBOARD!$AF$136*DASHBOARD!$AF$137,0)</f>
        <v>0</v>
      </c>
      <c r="G111" s="134">
        <f>IFERROR(G16/DASHBOARD!$AF$136*DASHBOARD!$AF$137,0)</f>
        <v>0</v>
      </c>
      <c r="H111" s="134">
        <f>IFERROR(H16/DASHBOARD!$AF$136*DASHBOARD!$AF$137,0)</f>
        <v>0</v>
      </c>
      <c r="I111" s="134">
        <f>IFERROR(I16/DASHBOARD!$AF$136*DASHBOARD!$AF$137,0)</f>
        <v>0</v>
      </c>
      <c r="J111" s="134">
        <f>IFERROR(J16/DASHBOARD!$AF$136*DASHBOARD!$AF$137,0)</f>
        <v>0</v>
      </c>
      <c r="K111" s="134">
        <f>IFERROR(K16/DASHBOARD!$AF$136*DASHBOARD!$AF$137,0)</f>
        <v>0</v>
      </c>
      <c r="L111" s="134">
        <f>IFERROR(L16/DASHBOARD!$AF$136*DASHBOARD!$AF$137,0)</f>
        <v>0</v>
      </c>
      <c r="M111" s="134">
        <f>IFERROR(M16/DASHBOARD!$AF$136*DASHBOARD!$AF$137,0)</f>
        <v>0</v>
      </c>
      <c r="N111" s="134">
        <f>IFERROR(N16/DASHBOARD!$AF$136*DASHBOARD!$AF$137,0)</f>
        <v>0</v>
      </c>
      <c r="O111" s="134">
        <f>IFERROR(O16/DASHBOARD!$AF$136*DASHBOARD!$AF$137,0)</f>
        <v>0</v>
      </c>
      <c r="P111" s="134">
        <f>IFERROR(P16/DASHBOARD!$AF$136*DASHBOARD!$AF$137,0)</f>
        <v>0</v>
      </c>
      <c r="Q111" s="134">
        <f>IFERROR(Q16/DASHBOARD!$AF$136*DASHBOARD!$AF$137,0)</f>
        <v>0</v>
      </c>
      <c r="R111" s="134">
        <f>IFERROR(R16/DASHBOARD!$AF$136*DASHBOARD!$AF$137,0)</f>
        <v>0</v>
      </c>
      <c r="S111" s="134">
        <f>IFERROR(S16/DASHBOARD!$AF$136*DASHBOARD!$AF$137,0)</f>
        <v>0</v>
      </c>
      <c r="T111" s="134">
        <f>IFERROR(T16/DASHBOARD!$AF$136*DASHBOARD!$AF$137,0)</f>
        <v>0</v>
      </c>
      <c r="U111" s="134">
        <f>IFERROR(U16/DASHBOARD!$AF$136*DASHBOARD!$AF$137,0)</f>
        <v>0</v>
      </c>
      <c r="V111" s="134">
        <f>IFERROR(V16/DASHBOARD!$AF$136*DASHBOARD!$AF$137,0)</f>
        <v>0</v>
      </c>
      <c r="W111" s="134">
        <f>IFERROR(W16/DASHBOARD!$AF$136*DASHBOARD!$AF$137,0)</f>
        <v>0</v>
      </c>
      <c r="X111" s="134">
        <f>IFERROR(X16/DASHBOARD!$AF$136*DASHBOARD!$AF$137,0)</f>
        <v>0</v>
      </c>
      <c r="Y111" s="134">
        <f>IFERROR(Y16/DASHBOARD!$AF$136*DASHBOARD!$AF$137,0)</f>
        <v>0</v>
      </c>
      <c r="Z111" s="134">
        <f>IFERROR(Z16/DASHBOARD!$AF$136*DASHBOARD!$AF$137,0)</f>
        <v>0</v>
      </c>
      <c r="AA111" s="134">
        <f>IFERROR(AA16/DASHBOARD!$AF$136*DASHBOARD!$AF$137,0)</f>
        <v>0</v>
      </c>
      <c r="AB111" s="134">
        <f>IFERROR(AB16/DASHBOARD!$AF$136*DASHBOARD!$AF$137,0)</f>
        <v>0</v>
      </c>
      <c r="AC111" s="134">
        <f>IFERROR(AC16/DASHBOARD!$AF$136*DASHBOARD!$AF$137,0)</f>
        <v>0</v>
      </c>
      <c r="AD111" s="134">
        <f>IFERROR(AD16/DASHBOARD!$AF$136*DASHBOARD!$AF$137,0)</f>
        <v>0</v>
      </c>
      <c r="AE111" s="134">
        <f>IFERROR(AE16/DASHBOARD!$AF$136*DASHBOARD!$AF$137,0)</f>
        <v>0</v>
      </c>
      <c r="AF111" s="134">
        <f>IFERROR(AF16/DASHBOARD!$AF$136*DASHBOARD!$AF$137,0)</f>
        <v>0</v>
      </c>
      <c r="AG111" s="134">
        <f>IFERROR(AG16/DASHBOARD!$AF$136*DASHBOARD!$AF$137,0)</f>
        <v>0</v>
      </c>
      <c r="AH111" s="134">
        <f>IFERROR(AH16/DASHBOARD!$AF$136*DASHBOARD!$AF$137,0)</f>
        <v>0</v>
      </c>
      <c r="AI111" s="708">
        <f>IFERROR(AI16/DASHBOARD!$AF$136*DASHBOARD!$AF$137,0)</f>
        <v>0</v>
      </c>
      <c r="AJ111" s="1605">
        <v>1</v>
      </c>
    </row>
    <row r="112" spans="1:36" outlineLevel="1" x14ac:dyDescent="0.3">
      <c r="A112" s="289"/>
      <c r="B112" s="706" t="s">
        <v>966</v>
      </c>
      <c r="C112" s="309">
        <f>IFERROR(SUM(E112:AI112),0)</f>
        <v>0</v>
      </c>
      <c r="D112" s="842"/>
      <c r="E112" s="129">
        <f>E16*DASHBOARD!$AF$138</f>
        <v>0</v>
      </c>
      <c r="F112" s="134">
        <f>F16*DASHBOARD!$AF$138</f>
        <v>0</v>
      </c>
      <c r="G112" s="134">
        <f>G16*DASHBOARD!$AF$138</f>
        <v>0</v>
      </c>
      <c r="H112" s="134">
        <f>H16*DASHBOARD!$AF$138</f>
        <v>0</v>
      </c>
      <c r="I112" s="134">
        <f>I16*DASHBOARD!$AF$138</f>
        <v>0</v>
      </c>
      <c r="J112" s="134">
        <f>J16*DASHBOARD!$AF$138</f>
        <v>0</v>
      </c>
      <c r="K112" s="134">
        <f>K16*DASHBOARD!$AF$138</f>
        <v>0</v>
      </c>
      <c r="L112" s="134">
        <f>L16*DASHBOARD!$AF$138</f>
        <v>0</v>
      </c>
      <c r="M112" s="134">
        <f>M16*DASHBOARD!$AF$138</f>
        <v>0</v>
      </c>
      <c r="N112" s="134">
        <f>N16*DASHBOARD!$AF$138</f>
        <v>0</v>
      </c>
      <c r="O112" s="134">
        <f>O16*DASHBOARD!$AF$138</f>
        <v>0</v>
      </c>
      <c r="P112" s="134">
        <f>P16*DASHBOARD!$AF$138</f>
        <v>0</v>
      </c>
      <c r="Q112" s="134">
        <f>Q16*DASHBOARD!$AF$138</f>
        <v>0</v>
      </c>
      <c r="R112" s="134">
        <f>R16*DASHBOARD!$AF$138</f>
        <v>0</v>
      </c>
      <c r="S112" s="134">
        <f>S16*DASHBOARD!$AF$138</f>
        <v>0</v>
      </c>
      <c r="T112" s="134">
        <f>T16*DASHBOARD!$AF$138</f>
        <v>0</v>
      </c>
      <c r="U112" s="134">
        <f>U16*DASHBOARD!$AF$138</f>
        <v>0</v>
      </c>
      <c r="V112" s="134">
        <f>V16*DASHBOARD!$AF$138</f>
        <v>0</v>
      </c>
      <c r="W112" s="134">
        <f>W16*DASHBOARD!$AF$138</f>
        <v>0</v>
      </c>
      <c r="X112" s="134">
        <f>X16*DASHBOARD!$AF$138</f>
        <v>0</v>
      </c>
      <c r="Y112" s="134">
        <f>Y16*DASHBOARD!$AF$138</f>
        <v>0</v>
      </c>
      <c r="Z112" s="134">
        <f>Z16*DASHBOARD!$AF$138</f>
        <v>0</v>
      </c>
      <c r="AA112" s="134">
        <f>AA16*DASHBOARD!$AF$138</f>
        <v>0</v>
      </c>
      <c r="AB112" s="134">
        <f>AB16*DASHBOARD!$AF$138</f>
        <v>0</v>
      </c>
      <c r="AC112" s="134">
        <f>AC16*DASHBOARD!$AF$138</f>
        <v>0</v>
      </c>
      <c r="AD112" s="134">
        <f>AD16*DASHBOARD!$AF$138</f>
        <v>0</v>
      </c>
      <c r="AE112" s="134">
        <f>AE16*DASHBOARD!$AF$138</f>
        <v>0</v>
      </c>
      <c r="AF112" s="134">
        <f>AF16*DASHBOARD!$AF$138</f>
        <v>0</v>
      </c>
      <c r="AG112" s="134">
        <f>AG16*DASHBOARD!$AF$138</f>
        <v>0</v>
      </c>
      <c r="AH112" s="134">
        <f>AH16*DASHBOARD!$AF$138</f>
        <v>0</v>
      </c>
      <c r="AI112" s="708">
        <f>AI16*DASHBOARD!$AF$138</f>
        <v>0</v>
      </c>
      <c r="AJ112" s="1605">
        <v>1</v>
      </c>
    </row>
    <row r="113" spans="1:36" outlineLevel="1" x14ac:dyDescent="0.3">
      <c r="A113" s="289"/>
      <c r="B113" s="706" t="s">
        <v>581</v>
      </c>
      <c r="C113" s="309">
        <f>IFERROR(SUM(E113:AI113),0)</f>
        <v>0</v>
      </c>
      <c r="D113" s="844"/>
      <c r="E113" s="129">
        <f>(E110+E111+E112)*DASHBOARD!$AF$135</f>
        <v>0</v>
      </c>
      <c r="F113" s="134">
        <f>(F110+F111+F112)*DASHBOARD!$AF$135</f>
        <v>0</v>
      </c>
      <c r="G113" s="134">
        <f>(G110+G111+G112)*DASHBOARD!$AF$135</f>
        <v>0</v>
      </c>
      <c r="H113" s="134">
        <f>(H110+H111+H112)*DASHBOARD!$AF$135</f>
        <v>0</v>
      </c>
      <c r="I113" s="134">
        <f>(I110+I111+I112)*DASHBOARD!$AF$135</f>
        <v>0</v>
      </c>
      <c r="J113" s="134">
        <f>(J110+J111+J112)*DASHBOARD!$AF$135</f>
        <v>0</v>
      </c>
      <c r="K113" s="134">
        <f>(K110+K111+K112)*DASHBOARD!$AF$135</f>
        <v>0</v>
      </c>
      <c r="L113" s="134">
        <f>(L110+L111+L112)*DASHBOARD!$AF$135</f>
        <v>0</v>
      </c>
      <c r="M113" s="134">
        <f>(M110+M111+M112)*DASHBOARD!$AF$135</f>
        <v>0</v>
      </c>
      <c r="N113" s="134">
        <f>(N110+N111+N112)*DASHBOARD!$AF$135</f>
        <v>0</v>
      </c>
      <c r="O113" s="134">
        <f>(O110+O111+O112)*DASHBOARD!$AF$135</f>
        <v>0</v>
      </c>
      <c r="P113" s="134">
        <f>(P110+P111+P112)*DASHBOARD!$AF$135</f>
        <v>0</v>
      </c>
      <c r="Q113" s="134">
        <f>(Q110+Q111+Q112)*DASHBOARD!$AF$135</f>
        <v>0</v>
      </c>
      <c r="R113" s="134">
        <f>(R110+R111+R112)*DASHBOARD!$AF$135</f>
        <v>0</v>
      </c>
      <c r="S113" s="134">
        <f>(S110+S111+S112)*DASHBOARD!$AF$135</f>
        <v>0</v>
      </c>
      <c r="T113" s="134">
        <f>(T110+T111+T112)*DASHBOARD!$AF$135</f>
        <v>0</v>
      </c>
      <c r="U113" s="134">
        <f>(U110+U111+U112)*DASHBOARD!$AF$135</f>
        <v>0</v>
      </c>
      <c r="V113" s="134">
        <f>(V110+V111+V112)*DASHBOARD!$AF$135</f>
        <v>0</v>
      </c>
      <c r="W113" s="134">
        <f>(W110+W111+W112)*DASHBOARD!$AF$135</f>
        <v>0</v>
      </c>
      <c r="X113" s="134">
        <f>(X110+X111+X112)*DASHBOARD!$AF$135</f>
        <v>0</v>
      </c>
      <c r="Y113" s="134">
        <f>(Y110+Y111+Y112)*DASHBOARD!$AF$135</f>
        <v>0</v>
      </c>
      <c r="Z113" s="134">
        <f>(Z110+Z111+Z112)*DASHBOARD!$AF$135</f>
        <v>0</v>
      </c>
      <c r="AA113" s="134">
        <f>(AA110+AA111+AA112)*DASHBOARD!$AF$135</f>
        <v>0</v>
      </c>
      <c r="AB113" s="134">
        <f>(AB110+AB111+AB112)*DASHBOARD!$AF$135</f>
        <v>0</v>
      </c>
      <c r="AC113" s="134">
        <f>(AC110+AC111+AC112)*DASHBOARD!$AF$135</f>
        <v>0</v>
      </c>
      <c r="AD113" s="134">
        <f>(AD110+AD111+AD112)*DASHBOARD!$AF$135</f>
        <v>0</v>
      </c>
      <c r="AE113" s="134">
        <f>(AE110+AE111+AE112)*DASHBOARD!$AF$135</f>
        <v>0</v>
      </c>
      <c r="AF113" s="134">
        <f>(AF110+AF111+AF112)*DASHBOARD!$AF$135</f>
        <v>0</v>
      </c>
      <c r="AG113" s="134">
        <f>(AG110+AG111+AG112)*DASHBOARD!$AF$135</f>
        <v>0</v>
      </c>
      <c r="AH113" s="134">
        <f>(AH110+AH111+AH112)*DASHBOARD!$AF$135</f>
        <v>0</v>
      </c>
      <c r="AI113" s="708">
        <f>(AI110+AI111+AI112)*DASHBOARD!$AF$135</f>
        <v>0</v>
      </c>
      <c r="AJ113" s="1605">
        <v>1</v>
      </c>
    </row>
    <row r="114" spans="1:36" outlineLevel="1" x14ac:dyDescent="0.3">
      <c r="A114" s="289"/>
      <c r="B114" s="706" t="s">
        <v>589</v>
      </c>
      <c r="C114" s="309">
        <f>IFERROR(SUM(E114:AI114),0)</f>
        <v>0</v>
      </c>
      <c r="D114" s="844"/>
      <c r="E114" s="129">
        <f>(E110+E111)*DASHBOARD!$AF$139</f>
        <v>0</v>
      </c>
      <c r="F114" s="134">
        <f>(F110+F111)*DASHBOARD!$AF$139</f>
        <v>0</v>
      </c>
      <c r="G114" s="134">
        <f>(G110+G111)*DASHBOARD!$AF$139</f>
        <v>0</v>
      </c>
      <c r="H114" s="134">
        <f>(H110+H111)*DASHBOARD!$AF$139</f>
        <v>0</v>
      </c>
      <c r="I114" s="134">
        <f>(I110+I111)*DASHBOARD!$AF$139</f>
        <v>0</v>
      </c>
      <c r="J114" s="134">
        <f>(J110+J111)*DASHBOARD!$AF$139</f>
        <v>0</v>
      </c>
      <c r="K114" s="134">
        <f>(K110+K111)*DASHBOARD!$AF$139</f>
        <v>0</v>
      </c>
      <c r="L114" s="134">
        <f>(L110+L111)*DASHBOARD!$AF$139</f>
        <v>0</v>
      </c>
      <c r="M114" s="134">
        <f>(M110+M111)*DASHBOARD!$AF$139</f>
        <v>0</v>
      </c>
      <c r="N114" s="134">
        <f>(N110+N111)*DASHBOARD!$AF$139</f>
        <v>0</v>
      </c>
      <c r="O114" s="134">
        <f>(O110+O111)*DASHBOARD!$AF$139</f>
        <v>0</v>
      </c>
      <c r="P114" s="134">
        <f>(P110+P111)*DASHBOARD!$AF$139</f>
        <v>0</v>
      </c>
      <c r="Q114" s="134">
        <f>(Q110+Q111)*DASHBOARD!$AF$139</f>
        <v>0</v>
      </c>
      <c r="R114" s="134">
        <f>(R110+R111)*DASHBOARD!$AF$139</f>
        <v>0</v>
      </c>
      <c r="S114" s="134">
        <f>(S110+S111)*DASHBOARD!$AF$139</f>
        <v>0</v>
      </c>
      <c r="T114" s="134">
        <f>(T110+T111)*DASHBOARD!$AF$139</f>
        <v>0</v>
      </c>
      <c r="U114" s="134">
        <f>(U110+U111)*DASHBOARD!$AF$139</f>
        <v>0</v>
      </c>
      <c r="V114" s="134">
        <f>(V110+V111)*DASHBOARD!$AF$139</f>
        <v>0</v>
      </c>
      <c r="W114" s="134">
        <f>(W110+W111)*DASHBOARD!$AF$139</f>
        <v>0</v>
      </c>
      <c r="X114" s="134">
        <f>(X110+X111)*DASHBOARD!$AF$139</f>
        <v>0</v>
      </c>
      <c r="Y114" s="134">
        <f>(Y110+Y111)*DASHBOARD!$AF$139</f>
        <v>0</v>
      </c>
      <c r="Z114" s="134">
        <f>(Z110+Z111)*DASHBOARD!$AF$139</f>
        <v>0</v>
      </c>
      <c r="AA114" s="134">
        <f>(AA110+AA111)*DASHBOARD!$AF$139</f>
        <v>0</v>
      </c>
      <c r="AB114" s="134">
        <f>(AB110+AB111)*DASHBOARD!$AF$139</f>
        <v>0</v>
      </c>
      <c r="AC114" s="134">
        <f>(AC110+AC111)*DASHBOARD!$AF$139</f>
        <v>0</v>
      </c>
      <c r="AD114" s="134">
        <f>(AD110+AD111)*DASHBOARD!$AF$139</f>
        <v>0</v>
      </c>
      <c r="AE114" s="134">
        <f>(AE110+AE111)*DASHBOARD!$AF$139</f>
        <v>0</v>
      </c>
      <c r="AF114" s="134">
        <f>(AF110+AF111)*DASHBOARD!$AF$139</f>
        <v>0</v>
      </c>
      <c r="AG114" s="134">
        <f>(AG110+AG111)*DASHBOARD!$AF$139</f>
        <v>0</v>
      </c>
      <c r="AH114" s="134">
        <f>(AH110+AH111)*DASHBOARD!$AF$139</f>
        <v>0</v>
      </c>
      <c r="AI114" s="708">
        <f>(AI110+AI111)*DASHBOARD!$AF$139</f>
        <v>0</v>
      </c>
      <c r="AJ114" s="1605">
        <v>1</v>
      </c>
    </row>
    <row r="115" spans="1:36" outlineLevel="1" x14ac:dyDescent="0.3">
      <c r="A115" s="289"/>
      <c r="B115" s="847" t="s">
        <v>582</v>
      </c>
      <c r="C115" s="848">
        <f>C110+C111+C113+C114</f>
        <v>0</v>
      </c>
      <c r="D115" s="311"/>
      <c r="E115" s="179">
        <f>E110+E111+E113+E114+E112</f>
        <v>0</v>
      </c>
      <c r="F115" s="246">
        <f t="shared" ref="F115:AI115" si="49">F110+F111+F113+F114+F112</f>
        <v>0</v>
      </c>
      <c r="G115" s="246">
        <f t="shared" si="49"/>
        <v>0</v>
      </c>
      <c r="H115" s="246">
        <f t="shared" si="49"/>
        <v>0</v>
      </c>
      <c r="I115" s="246">
        <f t="shared" si="49"/>
        <v>0</v>
      </c>
      <c r="J115" s="246">
        <f t="shared" si="49"/>
        <v>0</v>
      </c>
      <c r="K115" s="246">
        <f t="shared" si="49"/>
        <v>0</v>
      </c>
      <c r="L115" s="246">
        <f t="shared" si="49"/>
        <v>0</v>
      </c>
      <c r="M115" s="246">
        <f t="shared" si="49"/>
        <v>0</v>
      </c>
      <c r="N115" s="246">
        <f t="shared" si="49"/>
        <v>0</v>
      </c>
      <c r="O115" s="246">
        <f t="shared" si="49"/>
        <v>0</v>
      </c>
      <c r="P115" s="246">
        <f t="shared" si="49"/>
        <v>0</v>
      </c>
      <c r="Q115" s="246">
        <f t="shared" si="49"/>
        <v>0</v>
      </c>
      <c r="R115" s="246">
        <f t="shared" si="49"/>
        <v>0</v>
      </c>
      <c r="S115" s="246">
        <f t="shared" si="49"/>
        <v>0</v>
      </c>
      <c r="T115" s="246">
        <f t="shared" si="49"/>
        <v>0</v>
      </c>
      <c r="U115" s="246">
        <f t="shared" si="49"/>
        <v>0</v>
      </c>
      <c r="V115" s="246">
        <f t="shared" si="49"/>
        <v>0</v>
      </c>
      <c r="W115" s="246">
        <f t="shared" si="49"/>
        <v>0</v>
      </c>
      <c r="X115" s="246">
        <f t="shared" si="49"/>
        <v>0</v>
      </c>
      <c r="Y115" s="246">
        <f t="shared" si="49"/>
        <v>0</v>
      </c>
      <c r="Z115" s="246">
        <f t="shared" si="49"/>
        <v>0</v>
      </c>
      <c r="AA115" s="246">
        <f t="shared" si="49"/>
        <v>0</v>
      </c>
      <c r="AB115" s="246">
        <f t="shared" si="49"/>
        <v>0</v>
      </c>
      <c r="AC115" s="246">
        <f t="shared" si="49"/>
        <v>0</v>
      </c>
      <c r="AD115" s="246">
        <f t="shared" si="49"/>
        <v>0</v>
      </c>
      <c r="AE115" s="246">
        <f t="shared" si="49"/>
        <v>0</v>
      </c>
      <c r="AF115" s="246">
        <f t="shared" si="49"/>
        <v>0</v>
      </c>
      <c r="AG115" s="246">
        <f t="shared" si="49"/>
        <v>0</v>
      </c>
      <c r="AH115" s="246">
        <f t="shared" si="49"/>
        <v>0</v>
      </c>
      <c r="AI115" s="849">
        <f t="shared" si="49"/>
        <v>0</v>
      </c>
      <c r="AJ115" s="1605">
        <v>1</v>
      </c>
    </row>
    <row r="116" spans="1:36" outlineLevel="1" x14ac:dyDescent="0.25">
      <c r="A116" s="289"/>
      <c r="B116" s="854" t="s">
        <v>583</v>
      </c>
      <c r="C116" s="856"/>
      <c r="D116" s="1801"/>
      <c r="E116" s="860">
        <f t="shared" ref="E116:AI116" si="50">IFERROR(E115/E16,0)</f>
        <v>0</v>
      </c>
      <c r="F116" s="861">
        <f t="shared" si="50"/>
        <v>0</v>
      </c>
      <c r="G116" s="861">
        <f t="shared" si="50"/>
        <v>0</v>
      </c>
      <c r="H116" s="861">
        <f t="shared" si="50"/>
        <v>0</v>
      </c>
      <c r="I116" s="861">
        <f t="shared" si="50"/>
        <v>0</v>
      </c>
      <c r="J116" s="861">
        <f t="shared" si="50"/>
        <v>0</v>
      </c>
      <c r="K116" s="861">
        <f t="shared" si="50"/>
        <v>0</v>
      </c>
      <c r="L116" s="861">
        <f t="shared" si="50"/>
        <v>0</v>
      </c>
      <c r="M116" s="861">
        <f t="shared" si="50"/>
        <v>0</v>
      </c>
      <c r="N116" s="861">
        <f t="shared" si="50"/>
        <v>0</v>
      </c>
      <c r="O116" s="861">
        <f t="shared" si="50"/>
        <v>0</v>
      </c>
      <c r="P116" s="861">
        <f t="shared" si="50"/>
        <v>0</v>
      </c>
      <c r="Q116" s="861">
        <f t="shared" si="50"/>
        <v>0</v>
      </c>
      <c r="R116" s="861">
        <f t="shared" si="50"/>
        <v>0</v>
      </c>
      <c r="S116" s="861">
        <f t="shared" si="50"/>
        <v>0</v>
      </c>
      <c r="T116" s="861">
        <f t="shared" si="50"/>
        <v>0</v>
      </c>
      <c r="U116" s="861">
        <f t="shared" si="50"/>
        <v>0</v>
      </c>
      <c r="V116" s="861">
        <f t="shared" si="50"/>
        <v>0</v>
      </c>
      <c r="W116" s="861">
        <f t="shared" si="50"/>
        <v>0</v>
      </c>
      <c r="X116" s="861">
        <f t="shared" si="50"/>
        <v>0</v>
      </c>
      <c r="Y116" s="861">
        <f t="shared" si="50"/>
        <v>0</v>
      </c>
      <c r="Z116" s="861">
        <f t="shared" si="50"/>
        <v>0</v>
      </c>
      <c r="AA116" s="861">
        <f t="shared" si="50"/>
        <v>0</v>
      </c>
      <c r="AB116" s="861">
        <f t="shared" si="50"/>
        <v>0</v>
      </c>
      <c r="AC116" s="861">
        <f t="shared" si="50"/>
        <v>0</v>
      </c>
      <c r="AD116" s="861">
        <f t="shared" si="50"/>
        <v>0</v>
      </c>
      <c r="AE116" s="861">
        <f t="shared" si="50"/>
        <v>0</v>
      </c>
      <c r="AF116" s="861">
        <f t="shared" si="50"/>
        <v>0</v>
      </c>
      <c r="AG116" s="861">
        <f t="shared" si="50"/>
        <v>0</v>
      </c>
      <c r="AH116" s="861">
        <f t="shared" si="50"/>
        <v>0</v>
      </c>
      <c r="AI116" s="862">
        <f t="shared" si="50"/>
        <v>0</v>
      </c>
      <c r="AJ116" s="1605">
        <v>1</v>
      </c>
    </row>
    <row r="117" spans="1:36" x14ac:dyDescent="0.3">
      <c r="A117" s="289"/>
      <c r="B117" s="299"/>
      <c r="C117" s="299"/>
      <c r="D117" s="299"/>
      <c r="E117" s="299"/>
      <c r="F117" s="299"/>
      <c r="G117" s="299"/>
      <c r="H117" s="299"/>
      <c r="I117" s="299"/>
      <c r="J117" s="299"/>
      <c r="K117" s="299"/>
      <c r="L117" s="299"/>
      <c r="M117" s="299"/>
      <c r="N117" s="299"/>
      <c r="O117" s="299"/>
      <c r="P117" s="299"/>
      <c r="Q117" s="299"/>
      <c r="R117" s="299"/>
      <c r="S117" s="299"/>
      <c r="T117" s="299"/>
      <c r="U117" s="299"/>
      <c r="V117" s="28"/>
      <c r="W117" s="28"/>
      <c r="X117" s="28"/>
      <c r="Y117" s="28"/>
      <c r="Z117" s="28"/>
      <c r="AA117" s="28"/>
      <c r="AB117" s="28"/>
      <c r="AC117" s="28"/>
      <c r="AD117" s="28"/>
      <c r="AE117" s="28"/>
      <c r="AF117" s="28"/>
      <c r="AG117" s="28"/>
      <c r="AH117" s="28"/>
      <c r="AI117" s="28"/>
      <c r="AJ117" s="1605">
        <v>1</v>
      </c>
    </row>
    <row r="118" spans="1:36" x14ac:dyDescent="0.3">
      <c r="A118" s="289"/>
      <c r="B118" s="299"/>
      <c r="C118" s="299"/>
      <c r="D118" s="299"/>
      <c r="E118" s="299"/>
      <c r="F118" s="299"/>
      <c r="G118" s="299"/>
      <c r="H118" s="299"/>
      <c r="I118" s="299"/>
      <c r="J118" s="299"/>
      <c r="K118" s="299"/>
      <c r="L118" s="299"/>
      <c r="M118" s="299"/>
      <c r="N118" s="299"/>
      <c r="O118" s="299"/>
      <c r="P118" s="299"/>
      <c r="Q118" s="299"/>
      <c r="R118" s="299"/>
      <c r="S118" s="299"/>
      <c r="T118" s="299"/>
      <c r="U118" s="299"/>
      <c r="V118" s="28"/>
      <c r="W118" s="28"/>
      <c r="X118" s="28"/>
      <c r="Y118" s="28"/>
      <c r="Z118" s="28"/>
      <c r="AA118" s="28"/>
      <c r="AB118" s="28"/>
      <c r="AC118" s="28"/>
      <c r="AD118" s="28"/>
      <c r="AE118" s="28"/>
      <c r="AF118" s="28"/>
      <c r="AG118" s="28"/>
      <c r="AH118" s="28"/>
      <c r="AI118" s="28"/>
      <c r="AJ118" s="1605">
        <v>1</v>
      </c>
    </row>
    <row r="119" spans="1:36" x14ac:dyDescent="0.3">
      <c r="A119" s="289"/>
      <c r="B119" s="1747" t="s">
        <v>296</v>
      </c>
      <c r="C119" s="701"/>
      <c r="D119" s="701"/>
      <c r="E119" s="701"/>
      <c r="F119" s="701"/>
      <c r="G119" s="701"/>
      <c r="H119" s="701"/>
      <c r="I119" s="701"/>
      <c r="J119" s="701"/>
      <c r="K119" s="701"/>
      <c r="L119" s="701"/>
      <c r="M119" s="701"/>
      <c r="N119" s="701"/>
      <c r="O119" s="701"/>
      <c r="P119" s="701"/>
      <c r="Q119" s="701"/>
      <c r="R119" s="701"/>
      <c r="S119" s="701"/>
      <c r="T119" s="701"/>
      <c r="U119" s="701"/>
      <c r="V119" s="701"/>
      <c r="W119" s="701"/>
      <c r="X119" s="701"/>
      <c r="Y119" s="701"/>
      <c r="Z119" s="701"/>
      <c r="AA119" s="701"/>
      <c r="AB119" s="701"/>
      <c r="AC119" s="701"/>
      <c r="AD119" s="701"/>
      <c r="AE119" s="701"/>
      <c r="AF119" s="701"/>
      <c r="AG119" s="701"/>
      <c r="AH119" s="701"/>
      <c r="AI119" s="702"/>
      <c r="AJ119" s="1605">
        <v>1</v>
      </c>
    </row>
    <row r="120" spans="1:36" x14ac:dyDescent="0.3">
      <c r="A120" s="289"/>
      <c r="B120" s="865"/>
      <c r="C120" s="135"/>
      <c r="D120" s="838" t="s">
        <v>40</v>
      </c>
      <c r="E120" s="130">
        <v>1</v>
      </c>
      <c r="F120" s="126">
        <f>E120+1</f>
        <v>2</v>
      </c>
      <c r="G120" s="126">
        <f>F120+1</f>
        <v>3</v>
      </c>
      <c r="H120" s="126">
        <f t="shared" ref="H120:AI120" si="51">G120+1</f>
        <v>4</v>
      </c>
      <c r="I120" s="126">
        <f t="shared" si="51"/>
        <v>5</v>
      </c>
      <c r="J120" s="126">
        <f t="shared" si="51"/>
        <v>6</v>
      </c>
      <c r="K120" s="126">
        <f t="shared" si="51"/>
        <v>7</v>
      </c>
      <c r="L120" s="126">
        <f t="shared" si="51"/>
        <v>8</v>
      </c>
      <c r="M120" s="126">
        <f t="shared" si="51"/>
        <v>9</v>
      </c>
      <c r="N120" s="126">
        <f t="shared" si="51"/>
        <v>10</v>
      </c>
      <c r="O120" s="126">
        <f t="shared" si="51"/>
        <v>11</v>
      </c>
      <c r="P120" s="126">
        <f t="shared" si="51"/>
        <v>12</v>
      </c>
      <c r="Q120" s="126">
        <f t="shared" si="51"/>
        <v>13</v>
      </c>
      <c r="R120" s="126">
        <f t="shared" si="51"/>
        <v>14</v>
      </c>
      <c r="S120" s="126">
        <f t="shared" si="51"/>
        <v>15</v>
      </c>
      <c r="T120" s="126">
        <f t="shared" si="51"/>
        <v>16</v>
      </c>
      <c r="U120" s="126">
        <f t="shared" si="51"/>
        <v>17</v>
      </c>
      <c r="V120" s="126">
        <f t="shared" si="51"/>
        <v>18</v>
      </c>
      <c r="W120" s="126">
        <f t="shared" si="51"/>
        <v>19</v>
      </c>
      <c r="X120" s="126">
        <f t="shared" si="51"/>
        <v>20</v>
      </c>
      <c r="Y120" s="126">
        <f t="shared" si="51"/>
        <v>21</v>
      </c>
      <c r="Z120" s="126">
        <f t="shared" si="51"/>
        <v>22</v>
      </c>
      <c r="AA120" s="126">
        <f t="shared" si="51"/>
        <v>23</v>
      </c>
      <c r="AB120" s="126">
        <f t="shared" si="51"/>
        <v>24</v>
      </c>
      <c r="AC120" s="126">
        <f t="shared" si="51"/>
        <v>25</v>
      </c>
      <c r="AD120" s="126">
        <f t="shared" si="51"/>
        <v>26</v>
      </c>
      <c r="AE120" s="126">
        <f t="shared" si="51"/>
        <v>27</v>
      </c>
      <c r="AF120" s="126">
        <f t="shared" si="51"/>
        <v>28</v>
      </c>
      <c r="AG120" s="126">
        <f t="shared" si="51"/>
        <v>29</v>
      </c>
      <c r="AH120" s="126">
        <f t="shared" si="51"/>
        <v>30</v>
      </c>
      <c r="AI120" s="237">
        <f t="shared" si="51"/>
        <v>31</v>
      </c>
      <c r="AJ120" s="1605">
        <v>1</v>
      </c>
    </row>
    <row r="121" spans="1:36" outlineLevel="1" x14ac:dyDescent="0.3">
      <c r="A121" s="289"/>
      <c r="B121" s="772"/>
      <c r="C121" s="24"/>
      <c r="D121" s="24"/>
      <c r="E121" s="136"/>
      <c r="F121" s="921"/>
      <c r="G121" s="866"/>
      <c r="H121" s="866"/>
      <c r="I121" s="866"/>
      <c r="J121" s="866"/>
      <c r="K121" s="866"/>
      <c r="L121" s="866"/>
      <c r="M121" s="866"/>
      <c r="N121" s="866"/>
      <c r="O121" s="866"/>
      <c r="P121" s="866"/>
      <c r="Q121" s="866"/>
      <c r="R121" s="866"/>
      <c r="S121" s="866"/>
      <c r="T121" s="866"/>
      <c r="U121" s="866"/>
      <c r="V121" s="866"/>
      <c r="W121" s="866"/>
      <c r="X121" s="866"/>
      <c r="Y121" s="866"/>
      <c r="Z121" s="866"/>
      <c r="AA121" s="866"/>
      <c r="AB121" s="866"/>
      <c r="AC121" s="866"/>
      <c r="AD121" s="866"/>
      <c r="AE121" s="866"/>
      <c r="AF121" s="866"/>
      <c r="AG121" s="866"/>
      <c r="AH121" s="866"/>
      <c r="AI121" s="248"/>
      <c r="AJ121" s="1605">
        <v>1</v>
      </c>
    </row>
    <row r="122" spans="1:36" outlineLevel="1" x14ac:dyDescent="0.3">
      <c r="A122" s="289"/>
      <c r="B122" s="781" t="s">
        <v>45</v>
      </c>
      <c r="C122" s="867"/>
      <c r="D122" s="868">
        <f>DASHBOARD!I27</f>
        <v>330000</v>
      </c>
      <c r="E122" s="255">
        <f>IF(E5=3,0,CHOOSE(DASHBOARD!$BG$12,(DASHBOARD!BH220)/FORECASTS!E123,FORECASTS!D122*(1+FORECASTS!E125*E9/12)))</f>
        <v>347250.41095890407</v>
      </c>
      <c r="F122" s="869">
        <f>IF(F5=3,0,CHOOSE(DASHBOARD!$BG$12,(FORECASTS!F71+E71*(1-F9/12))/FORECASTS!F123,FORECASTS!E122*(1+FORECASTS!F125*F9/12)))</f>
        <v>0</v>
      </c>
      <c r="G122" s="869">
        <f>IF(G5=3,0,CHOOSE(DASHBOARD!$BG$12,(FORECASTS!G71+F71*(1-G9/12))/FORECASTS!G123,FORECASTS!F122*(1+FORECASTS!G125*G9/12)))</f>
        <v>0</v>
      </c>
      <c r="H122" s="869">
        <f>IF(H5=3,0,CHOOSE(DASHBOARD!$BG$12,(FORECASTS!H71+G71*(1-H9/12))/FORECASTS!H123,FORECASTS!G122*(1+FORECASTS!H125*H9/12)))</f>
        <v>0</v>
      </c>
      <c r="I122" s="869">
        <f>IF(I5=3,0,CHOOSE(DASHBOARD!$BG$12,(FORECASTS!I71+H71*(1-I9/12))/FORECASTS!I123,FORECASTS!H122*(1+FORECASTS!I125*I9/12)))</f>
        <v>0</v>
      </c>
      <c r="J122" s="869">
        <f>IF(J5=3,0,CHOOSE(DASHBOARD!$BG$12,(FORECASTS!J71+I71*(1-J9/12))/FORECASTS!J123,FORECASTS!I122*(1+FORECASTS!J125*J9/12)))</f>
        <v>0</v>
      </c>
      <c r="K122" s="869">
        <f>IF(K5=3,0,CHOOSE(DASHBOARD!$BG$12,(FORECASTS!K71+J71*(1-K9/12))/FORECASTS!K123,FORECASTS!J122*(1+FORECASTS!K125*K9/12)))</f>
        <v>0</v>
      </c>
      <c r="L122" s="869">
        <f>IF(L5=3,0,CHOOSE(DASHBOARD!$BG$12,(FORECASTS!L71+K71*(1-L9/12))/FORECASTS!L123,FORECASTS!K122*(1+FORECASTS!L125*L9/12)))</f>
        <v>0</v>
      </c>
      <c r="M122" s="869">
        <f>IF(M5=3,0,CHOOSE(DASHBOARD!$BG$12,(FORECASTS!M71+L71*(1-M9/12))/FORECASTS!M123,FORECASTS!L122*(1+FORECASTS!M125*M9/12)))</f>
        <v>0</v>
      </c>
      <c r="N122" s="869">
        <f>IF(N5=3,0,CHOOSE(DASHBOARD!$BG$12,(FORECASTS!N71+M71*(1-N9/12))/FORECASTS!N123,FORECASTS!M122*(1+FORECASTS!N125*N9/12)))</f>
        <v>0</v>
      </c>
      <c r="O122" s="869">
        <f>IF(O5=3,0,CHOOSE(DASHBOARD!$BG$12,(FORECASTS!O71+N71*(1-O9/12))/FORECASTS!O123,FORECASTS!N122*(1+FORECASTS!O125*O9/12)))</f>
        <v>0</v>
      </c>
      <c r="P122" s="869">
        <f>IF(P5=3,0,CHOOSE(DASHBOARD!$BG$12,(FORECASTS!P71+O71*(1-P9/12))/FORECASTS!P123,FORECASTS!O122*(1+FORECASTS!P125*P9/12)))</f>
        <v>0</v>
      </c>
      <c r="Q122" s="869">
        <f>IF(Q5=3,0,CHOOSE(DASHBOARD!$BG$12,(FORECASTS!Q71+P71*(1-Q9/12))/FORECASTS!Q123,FORECASTS!P122*(1+FORECASTS!Q125*Q9/12)))</f>
        <v>0</v>
      </c>
      <c r="R122" s="869">
        <f>IF(R5=3,0,CHOOSE(DASHBOARD!$BG$12,(FORECASTS!R71+Q71*(1-R9/12))/FORECASTS!R123,FORECASTS!Q122*(1+FORECASTS!R125*R9/12)))</f>
        <v>0</v>
      </c>
      <c r="S122" s="869">
        <f>IF(S5=3,0,CHOOSE(DASHBOARD!$BG$12,(FORECASTS!S71+R71*(1-S9/12))/FORECASTS!S123,FORECASTS!R122*(1+FORECASTS!S125*S9/12)))</f>
        <v>0</v>
      </c>
      <c r="T122" s="869">
        <f>IF(T5=3,0,CHOOSE(DASHBOARD!$BG$12,(FORECASTS!T71+S71*(1-T9/12))/FORECASTS!T123,FORECASTS!S122*(1+FORECASTS!T125*T9/12)))</f>
        <v>0</v>
      </c>
      <c r="U122" s="869">
        <f>IF(U5=3,0,CHOOSE(DASHBOARD!$BG$12,(FORECASTS!U71+T71*(1-U9/12))/FORECASTS!U123,FORECASTS!T122*(1+FORECASTS!U125*U9/12)))</f>
        <v>0</v>
      </c>
      <c r="V122" s="869">
        <f>IF(V5=3,0,CHOOSE(DASHBOARD!$BG$12,(FORECASTS!V71+U71*(1-V9/12))/FORECASTS!V123,FORECASTS!U122*(1+FORECASTS!V125*V9/12)))</f>
        <v>0</v>
      </c>
      <c r="W122" s="869">
        <f>IF(W5=3,0,CHOOSE(DASHBOARD!$BG$12,(FORECASTS!W71+V71*(1-W9/12))/FORECASTS!W123,FORECASTS!V122*(1+FORECASTS!W125*W9/12)))</f>
        <v>0</v>
      </c>
      <c r="X122" s="869">
        <f>IF(X5=3,0,CHOOSE(DASHBOARD!$BG$12,(FORECASTS!X71+W71*(1-X9/12))/FORECASTS!X123,FORECASTS!W122*(1+FORECASTS!X125*X9/12)))</f>
        <v>0</v>
      </c>
      <c r="Y122" s="869">
        <f>IF(Y5=3,0,CHOOSE(DASHBOARD!$BG$12,(FORECASTS!Y71+X71*(1-Y9/12))/FORECASTS!Y123,FORECASTS!X122*(1+FORECASTS!Y125*Y9/12)))</f>
        <v>0</v>
      </c>
      <c r="Z122" s="869">
        <f>IF(Z5=3,0,CHOOSE(DASHBOARD!$BG$12,(FORECASTS!Z71+Y71*(1-Z9/12))/FORECASTS!Z123,FORECASTS!Y122*(1+FORECASTS!Z125*Z9/12)))</f>
        <v>0</v>
      </c>
      <c r="AA122" s="869">
        <f>IF(AA5=3,0,CHOOSE(DASHBOARD!$BG$12,(FORECASTS!AA71+Z71*(1-AA9/12))/FORECASTS!AA123,FORECASTS!Z122*(1+FORECASTS!AA125*AA9/12)))</f>
        <v>0</v>
      </c>
      <c r="AB122" s="869">
        <f>IF(AB5=3,0,CHOOSE(DASHBOARD!$BG$12,(FORECASTS!AB71+AA71*(1-AB9/12))/FORECASTS!AB123,FORECASTS!AA122*(1+FORECASTS!AB125*AB9/12)))</f>
        <v>0</v>
      </c>
      <c r="AC122" s="869">
        <f>IF(AC5=3,0,CHOOSE(DASHBOARD!$BG$12,(FORECASTS!AC71+AB71*(1-AC9/12))/FORECASTS!AC123,FORECASTS!AB122*(1+FORECASTS!AC125*AC9/12)))</f>
        <v>0</v>
      </c>
      <c r="AD122" s="869">
        <f>IF(AD5=3,0,CHOOSE(DASHBOARD!$BG$12,(FORECASTS!AD71+AC71*(1-AD9/12))/FORECASTS!AD123,FORECASTS!AC122*(1+FORECASTS!AD125*AD9/12)))</f>
        <v>0</v>
      </c>
      <c r="AE122" s="869">
        <f>IF(AE5=3,0,CHOOSE(DASHBOARD!$BG$12,(FORECASTS!AE71+AD71*(1-AE9/12))/FORECASTS!AE123,FORECASTS!AD122*(1+FORECASTS!AE125*AE9/12)))</f>
        <v>0</v>
      </c>
      <c r="AF122" s="869">
        <f>IF(AF5=3,0,CHOOSE(DASHBOARD!$BG$12,(FORECASTS!AF71+AE71*(1-AF9/12))/FORECASTS!AF123,FORECASTS!AE122*(1+FORECASTS!AF125*AF9/12)))</f>
        <v>0</v>
      </c>
      <c r="AG122" s="869">
        <f>IF(AG5=3,0,CHOOSE(DASHBOARD!$BG$12,(FORECASTS!AG71+AF71*(1-AG9/12))/FORECASTS!AG123,FORECASTS!AF122*(1+FORECASTS!AG125*AG9/12)))</f>
        <v>0</v>
      </c>
      <c r="AH122" s="869">
        <f>IF(AH5=3,0,CHOOSE(DASHBOARD!$BG$12,(FORECASTS!AH71+AG71*(1-AH9/12))/FORECASTS!AH123,FORECASTS!AG122*(1+FORECASTS!AH125*AH9/12)))</f>
        <v>0</v>
      </c>
      <c r="AI122" s="256">
        <f>IF(AI5=3,0,CHOOSE(DASHBOARD!$BG$12,(FORECASTS!AI71+AH71*(1-AI9/12))/FORECASTS!AI123,FORECASTS!AH122*(1+FORECASTS!AI125*AI9/12)))</f>
        <v>0</v>
      </c>
      <c r="AJ122" s="1605">
        <v>1</v>
      </c>
    </row>
    <row r="123" spans="1:36" outlineLevel="1" x14ac:dyDescent="0.3">
      <c r="A123" s="289"/>
      <c r="B123" s="778" t="s">
        <v>51</v>
      </c>
      <c r="C123" s="24"/>
      <c r="D123" s="24"/>
      <c r="E123" s="137">
        <f>IFERROR(IF(E5=3,0,CHOOSE(DASHBOARD!$BG$12,DASHBOARD!$AZ$21,(E71*12/E9)/E122)),0)</f>
        <v>0</v>
      </c>
      <c r="F123" s="18">
        <f>IFERROR(IF(F5=3,0,CHOOSE(DASHBOARD!$BG$12,DASHBOARD!$AZ$21,(F71*12/F9)/F122)),0)</f>
        <v>0</v>
      </c>
      <c r="G123" s="18">
        <f>IFERROR(IF(G5=3,0,CHOOSE(DASHBOARD!$BG$12,DASHBOARD!$AZ$21,(G71*12/G9)/G122)),0)</f>
        <v>0</v>
      </c>
      <c r="H123" s="18">
        <f>IFERROR(IF(H5=3,0,CHOOSE(DASHBOARD!$BG$12,DASHBOARD!$AZ$21,(H71*12/H9)/H122)),0)</f>
        <v>0</v>
      </c>
      <c r="I123" s="18">
        <f>IFERROR(IF(I5=3,0,CHOOSE(DASHBOARD!$BG$12,DASHBOARD!$AZ$21,(I71*12/I9)/I122)),0)</f>
        <v>0</v>
      </c>
      <c r="J123" s="18">
        <f>IFERROR(IF(J5=3,0,CHOOSE(DASHBOARD!$BG$12,DASHBOARD!$AZ$21,(J71*12/J9)/J122)),0)</f>
        <v>0</v>
      </c>
      <c r="K123" s="18">
        <f>IFERROR(IF(K5=3,0,CHOOSE(DASHBOARD!$BG$12,DASHBOARD!$AZ$21,(K71*12/K9)/K122)),0)</f>
        <v>0</v>
      </c>
      <c r="L123" s="18">
        <f>IFERROR(IF(L5=3,0,CHOOSE(DASHBOARD!$BG$12,DASHBOARD!$AZ$21,(L71*12/L9)/L122)),0)</f>
        <v>0</v>
      </c>
      <c r="M123" s="18">
        <f>IFERROR(IF(M5=3,0,CHOOSE(DASHBOARD!$BG$12,DASHBOARD!$AZ$21,(M71*12/M9)/M122)),0)</f>
        <v>0</v>
      </c>
      <c r="N123" s="18">
        <f>IFERROR(IF(N5=3,0,CHOOSE(DASHBOARD!$BG$12,DASHBOARD!$AZ$21,(N71*12/N9)/N122)),0)</f>
        <v>0</v>
      </c>
      <c r="O123" s="18">
        <f>IFERROR(IF(O5=3,0,CHOOSE(DASHBOARD!$BG$12,DASHBOARD!$AZ$21,(O71*12/O9)/O122)),0)</f>
        <v>0</v>
      </c>
      <c r="P123" s="18">
        <f>IFERROR(IF(P5=3,0,CHOOSE(DASHBOARD!$BG$12,DASHBOARD!$AZ$21,(P71*12/P9)/P122)),0)</f>
        <v>0</v>
      </c>
      <c r="Q123" s="18">
        <f>IFERROR(IF(Q5=3,0,CHOOSE(DASHBOARD!$BG$12,DASHBOARD!$AZ$21,(Q71*12/Q9)/Q122)),0)</f>
        <v>0</v>
      </c>
      <c r="R123" s="18">
        <f>IFERROR(IF(R5=3,0,CHOOSE(DASHBOARD!$BG$12,DASHBOARD!$AZ$21,(R71*12/R9)/R122)),0)</f>
        <v>0</v>
      </c>
      <c r="S123" s="18">
        <f>IFERROR(IF(S5=3,0,CHOOSE(DASHBOARD!$BG$12,DASHBOARD!$AZ$21,(S71*12/S9)/S122)),0)</f>
        <v>0</v>
      </c>
      <c r="T123" s="18">
        <f>IFERROR(IF(T5=3,0,CHOOSE(DASHBOARD!$BG$12,DASHBOARD!$AZ$21,(T71*12/T9)/T122)),0)</f>
        <v>0</v>
      </c>
      <c r="U123" s="18">
        <f>IFERROR(IF(U5=3,0,CHOOSE(DASHBOARD!$BG$12,DASHBOARD!$AZ$21,(U71*12/U9)/U122)),0)</f>
        <v>0</v>
      </c>
      <c r="V123" s="18">
        <f>IFERROR(IF(V5=3,0,CHOOSE(DASHBOARD!$BG$12,DASHBOARD!$AZ$21,(V71*12/V9)/V122)),0)</f>
        <v>0</v>
      </c>
      <c r="W123" s="18">
        <f>IFERROR(IF(W5=3,0,CHOOSE(DASHBOARD!$BG$12,DASHBOARD!$AZ$21,(W71*12/W9)/W122)),0)</f>
        <v>0</v>
      </c>
      <c r="X123" s="18">
        <f>IFERROR(IF(X5=3,0,CHOOSE(DASHBOARD!$BG$12,DASHBOARD!$AZ$21,(X71*12/X9)/X122)),0)</f>
        <v>0</v>
      </c>
      <c r="Y123" s="18">
        <f>IFERROR(IF(Y5=3,0,CHOOSE(DASHBOARD!$BG$12,DASHBOARD!$AZ$21,(Y71*12/Y9)/Y122)),0)</f>
        <v>0</v>
      </c>
      <c r="Z123" s="18">
        <f>IFERROR(IF(Z5=3,0,CHOOSE(DASHBOARD!$BG$12,DASHBOARD!$AZ$21,(Z71*12/Z9)/Z122)),0)</f>
        <v>0</v>
      </c>
      <c r="AA123" s="18">
        <f>IFERROR(IF(AA5=3,0,CHOOSE(DASHBOARD!$BG$12,DASHBOARD!$AZ$21,(AA71*12/AA9)/AA122)),0)</f>
        <v>0</v>
      </c>
      <c r="AB123" s="18">
        <f>IFERROR(IF(AB5=3,0,CHOOSE(DASHBOARD!$BG$12,DASHBOARD!$AZ$21,(AB71*12/AB9)/AB122)),0)</f>
        <v>0</v>
      </c>
      <c r="AC123" s="18">
        <f>IFERROR(IF(AC5=3,0,CHOOSE(DASHBOARD!$BG$12,DASHBOARD!$AZ$21,(AC71*12/AC9)/AC122)),0)</f>
        <v>0</v>
      </c>
      <c r="AD123" s="18">
        <f>IFERROR(IF(AD5=3,0,CHOOSE(DASHBOARD!$BG$12,DASHBOARD!$AZ$21,(AD71*12/AD9)/AD122)),0)</f>
        <v>0</v>
      </c>
      <c r="AE123" s="18">
        <f>IFERROR(IF(AE5=3,0,CHOOSE(DASHBOARD!$BG$12,DASHBOARD!$AZ$21,(AE71*12/AE9)/AE122)),0)</f>
        <v>0</v>
      </c>
      <c r="AF123" s="18">
        <f>IFERROR(IF(AF5=3,0,CHOOSE(DASHBOARD!$BG$12,DASHBOARD!$AZ$21,(AF71*12/AF9)/AF122)),0)</f>
        <v>0</v>
      </c>
      <c r="AG123" s="18">
        <f>IFERROR(IF(AG5=3,0,CHOOSE(DASHBOARD!$BG$12,DASHBOARD!$AZ$21,(AG71*12/AG9)/AG122)),0)</f>
        <v>0</v>
      </c>
      <c r="AH123" s="18">
        <f>IFERROR(IF(AH5=3,0,CHOOSE(DASHBOARD!$BG$12,DASHBOARD!$AZ$21,(AH71*12/AH9)/AH122)),0)</f>
        <v>0</v>
      </c>
      <c r="AI123" s="243">
        <f>IFERROR(IF(AI5=3,0,CHOOSE(DASHBOARD!$BG$12,DASHBOARD!$AZ$21,(AI71*12/AI9)/AI122)),0)</f>
        <v>0</v>
      </c>
      <c r="AJ123" s="1605">
        <v>1</v>
      </c>
    </row>
    <row r="124" spans="1:36" outlineLevel="1" x14ac:dyDescent="0.3">
      <c r="A124" s="289"/>
      <c r="B124" s="778" t="s">
        <v>301</v>
      </c>
      <c r="C124" s="24"/>
      <c r="D124" s="24"/>
      <c r="E124" s="137">
        <f>IFERROR(IF(E5=3,0,CHOOSE(DASHBOARD!$BG$12,DASHBOARD!$AZ$21,((E71+E74)*12/E9)/E122)),0)</f>
        <v>0</v>
      </c>
      <c r="F124" s="18">
        <f>IFERROR(IF(F5=3,0,CHOOSE(DASHBOARD!$BG$12,DASHBOARD!$AZ$21,((F71+F74)*12/F9)/F122)),0)</f>
        <v>0</v>
      </c>
      <c r="G124" s="18">
        <f>IFERROR(IF(G5=3,0,CHOOSE(DASHBOARD!$BG$12,DASHBOARD!$AZ$21,((G71+G74)*12/G9)/G122)),0)</f>
        <v>0</v>
      </c>
      <c r="H124" s="18">
        <f>IFERROR(IF(H5=3,0,CHOOSE(DASHBOARD!$BG$12,DASHBOARD!$AZ$21,((H71+H74)*12/H9)/H122)),0)</f>
        <v>0</v>
      </c>
      <c r="I124" s="18">
        <f>IFERROR(IF(I5=3,0,CHOOSE(DASHBOARD!$BG$12,DASHBOARD!$AZ$21,((I71+I74)*12/I9)/I122)),0)</f>
        <v>0</v>
      </c>
      <c r="J124" s="18">
        <f>IFERROR(IF(J5=3,0,CHOOSE(DASHBOARD!$BG$12,DASHBOARD!$AZ$21,((J71+J74)*12/J9)/J122)),0)</f>
        <v>0</v>
      </c>
      <c r="K124" s="18">
        <f>IFERROR(IF(K5=3,0,CHOOSE(DASHBOARD!$BG$12,DASHBOARD!$AZ$21,((K71+K74)*12/K9)/K122)),0)</f>
        <v>0</v>
      </c>
      <c r="L124" s="18">
        <f>IFERROR(IF(L5=3,0,CHOOSE(DASHBOARD!$BG$12,DASHBOARD!$AZ$21,((L71+L74)*12/L9)/L122)),0)</f>
        <v>0</v>
      </c>
      <c r="M124" s="18">
        <f>IFERROR(IF(M5=3,0,CHOOSE(DASHBOARD!$BG$12,DASHBOARD!$AZ$21,((M71+M74)*12/M9)/M122)),0)</f>
        <v>0</v>
      </c>
      <c r="N124" s="18">
        <f>IFERROR(IF(N5=3,0,CHOOSE(DASHBOARD!$BG$12,DASHBOARD!$AZ$21,((N71+N74)*12/N9)/N122)),0)</f>
        <v>0</v>
      </c>
      <c r="O124" s="18">
        <f>IFERROR(IF(O5=3,0,CHOOSE(DASHBOARD!$BG$12,DASHBOARD!$AZ$21,((O71+O74)*12/O9)/O122)),0)</f>
        <v>0</v>
      </c>
      <c r="P124" s="18">
        <f>IFERROR(IF(P5=3,0,CHOOSE(DASHBOARD!$BG$12,DASHBOARD!$AZ$21,((P71+P74)*12/P9)/P122)),0)</f>
        <v>0</v>
      </c>
      <c r="Q124" s="18">
        <f>IFERROR(IF(Q5=3,0,CHOOSE(DASHBOARD!$BG$12,DASHBOARD!$AZ$21,((Q71+Q74)*12/Q9)/Q122)),0)</f>
        <v>0</v>
      </c>
      <c r="R124" s="18">
        <f>IFERROR(IF(R5=3,0,CHOOSE(DASHBOARD!$BG$12,DASHBOARD!$AZ$21,((R71+R74)*12/R9)/R122)),0)</f>
        <v>0</v>
      </c>
      <c r="S124" s="18">
        <f>IFERROR(IF(S5=3,0,CHOOSE(DASHBOARD!$BG$12,DASHBOARD!$AZ$21,((S71+S74)*12/S9)/S122)),0)</f>
        <v>0</v>
      </c>
      <c r="T124" s="18">
        <f>IFERROR(IF(T5=3,0,CHOOSE(DASHBOARD!$BG$12,DASHBOARD!$AZ$21,((T71+T74)*12/T9)/T122)),0)</f>
        <v>0</v>
      </c>
      <c r="U124" s="18">
        <f>IFERROR(IF(U5=3,0,CHOOSE(DASHBOARD!$BG$12,DASHBOARD!$AZ$21,((U71+U74)*12/U9)/U122)),0)</f>
        <v>0</v>
      </c>
      <c r="V124" s="18">
        <f>IFERROR(IF(V5=3,0,CHOOSE(DASHBOARD!$BG$12,DASHBOARD!$AZ$21,((V71+V74)*12/V9)/V122)),0)</f>
        <v>0</v>
      </c>
      <c r="W124" s="18">
        <f>IFERROR(IF(W5=3,0,CHOOSE(DASHBOARD!$BG$12,DASHBOARD!$AZ$21,((W71+W74)*12/W9)/W122)),0)</f>
        <v>0</v>
      </c>
      <c r="X124" s="18">
        <f>IFERROR(IF(X5=3,0,CHOOSE(DASHBOARD!$BG$12,DASHBOARD!$AZ$21,((X71+X74)*12/X9)/X122)),0)</f>
        <v>0</v>
      </c>
      <c r="Y124" s="18">
        <f>IFERROR(IF(Y5=3,0,CHOOSE(DASHBOARD!$BG$12,DASHBOARD!$AZ$21,((Y71+Y74)*12/Y9)/Y122)),0)</f>
        <v>0</v>
      </c>
      <c r="Z124" s="18">
        <f>IFERROR(IF(Z5=3,0,CHOOSE(DASHBOARD!$BG$12,DASHBOARD!$AZ$21,((Z71+Z74)*12/Z9)/Z122)),0)</f>
        <v>0</v>
      </c>
      <c r="AA124" s="18">
        <f>IFERROR(IF(AA5=3,0,CHOOSE(DASHBOARD!$BG$12,DASHBOARD!$AZ$21,((AA71+AA74)*12/AA9)/AA122)),0)</f>
        <v>0</v>
      </c>
      <c r="AB124" s="18">
        <f>IFERROR(IF(AB5=3,0,CHOOSE(DASHBOARD!$BG$12,DASHBOARD!$AZ$21,((AB71+AB74)*12/AB9)/AB122)),0)</f>
        <v>0</v>
      </c>
      <c r="AC124" s="18">
        <f>IFERROR(IF(AC5=3,0,CHOOSE(DASHBOARD!$BG$12,DASHBOARD!$AZ$21,((AC71+AC74)*12/AC9)/AC122)),0)</f>
        <v>0</v>
      </c>
      <c r="AD124" s="18">
        <f>IFERROR(IF(AD5=3,0,CHOOSE(DASHBOARD!$BG$12,DASHBOARD!$AZ$21,((AD71+AD74)*12/AD9)/AD122)),0)</f>
        <v>0</v>
      </c>
      <c r="AE124" s="18">
        <f>IFERROR(IF(AE5=3,0,CHOOSE(DASHBOARD!$BG$12,DASHBOARD!$AZ$21,((AE71+AE74)*12/AE9)/AE122)),0)</f>
        <v>0</v>
      </c>
      <c r="AF124" s="18">
        <f>IFERROR(IF(AF5=3,0,CHOOSE(DASHBOARD!$BG$12,DASHBOARD!$AZ$21,((AF71+AF74)*12/AF9)/AF122)),0)</f>
        <v>0</v>
      </c>
      <c r="AG124" s="18">
        <f>IFERROR(IF(AG5=3,0,CHOOSE(DASHBOARD!$BG$12,DASHBOARD!$AZ$21,((AG71+AG74)*12/AG9)/AG122)),0)</f>
        <v>0</v>
      </c>
      <c r="AH124" s="18">
        <f>IFERROR(IF(AH5=3,0,CHOOSE(DASHBOARD!$BG$12,DASHBOARD!$AZ$21,((AH71+AH74)*12/AH9)/AH122)),0)</f>
        <v>0</v>
      </c>
      <c r="AI124" s="243">
        <f>IFERROR(IF(AI5=3,0,CHOOSE(DASHBOARD!$BG$12,DASHBOARD!$AZ$21,((AI71+AI74)*12/AI9)/AI122)),0)</f>
        <v>0</v>
      </c>
      <c r="AJ124" s="1605">
        <v>1</v>
      </c>
    </row>
    <row r="125" spans="1:36" outlineLevel="1" x14ac:dyDescent="0.3">
      <c r="A125" s="289"/>
      <c r="B125" s="778" t="s">
        <v>72</v>
      </c>
      <c r="C125" s="24"/>
      <c r="D125" s="24"/>
      <c r="E125" s="137">
        <f>IF(E5=3,0,CHOOSE(DASHBOARD!$BG$12,ROUND(FORECASTS!E122/FORECASTS!D122-1,4),IF(AND(DASHBOARD!$BG$12=2,DASHBOARD!$AY$14),FORECASTS!E126,DASHBOARD!$AZ$17)))</f>
        <v>0.09</v>
      </c>
      <c r="F125" s="18">
        <f>IF(F5=3,0,CHOOSE(DASHBOARD!$BG$12,ROUND(FORECASTS!F122/FORECASTS!E122-1,4),IF(AND(DASHBOARD!$BG$12=2,DASHBOARD!$AY$14),FORECASTS!F126,DASHBOARD!$AZ$17)))</f>
        <v>0</v>
      </c>
      <c r="G125" s="18">
        <f>IF(G5=3,0,CHOOSE(DASHBOARD!$BG$12,ROUND(FORECASTS!G122/FORECASTS!F122-1,4),IF(AND(DASHBOARD!$BG$12=2,DASHBOARD!$AY$14),FORECASTS!G126,DASHBOARD!$AZ$17)))</f>
        <v>0</v>
      </c>
      <c r="H125" s="18">
        <f>IF(H5=3,0,CHOOSE(DASHBOARD!$BG$12,ROUND(FORECASTS!H122/FORECASTS!G122-1,4),IF(AND(DASHBOARD!$BG$12=2,DASHBOARD!$AY$14),FORECASTS!H126,DASHBOARD!$AZ$17)))</f>
        <v>0</v>
      </c>
      <c r="I125" s="18">
        <f>IF(I5=3,0,CHOOSE(DASHBOARD!$BG$12,ROUND(FORECASTS!I122/FORECASTS!H122-1,4),IF(AND(DASHBOARD!$BG$12=2,DASHBOARD!$AY$14),FORECASTS!I126,DASHBOARD!$AZ$17)))</f>
        <v>0</v>
      </c>
      <c r="J125" s="18">
        <f>IF(J5=3,0,CHOOSE(DASHBOARD!$BG$12,ROUND(FORECASTS!J122/FORECASTS!I122-1,4),IF(AND(DASHBOARD!$BG$12=2,DASHBOARD!$AY$14),FORECASTS!J126,DASHBOARD!$AZ$17)))</f>
        <v>0</v>
      </c>
      <c r="K125" s="18">
        <f>IF(K5=3,0,CHOOSE(DASHBOARD!$BG$12,ROUND(FORECASTS!K122/FORECASTS!J122-1,4),IF(AND(DASHBOARD!$BG$12=2,DASHBOARD!$AY$14),FORECASTS!K126,DASHBOARD!$AZ$17)))</f>
        <v>0</v>
      </c>
      <c r="L125" s="18">
        <f>IF(L5=3,0,CHOOSE(DASHBOARD!$BG$12,ROUND(FORECASTS!L122/FORECASTS!K122-1,4),IF(AND(DASHBOARD!$BG$12=2,DASHBOARD!$AY$14),FORECASTS!L126,DASHBOARD!$AZ$17)))</f>
        <v>0</v>
      </c>
      <c r="M125" s="18">
        <f>IF(M5=3,0,CHOOSE(DASHBOARD!$BG$12,ROUND(FORECASTS!M122/FORECASTS!L122-1,4),IF(AND(DASHBOARD!$BG$12=2,DASHBOARD!$AY$14),FORECASTS!M126,DASHBOARD!$AZ$17)))</f>
        <v>0</v>
      </c>
      <c r="N125" s="18">
        <f>IF(N5=3,0,CHOOSE(DASHBOARD!$BG$12,ROUND(FORECASTS!N122/FORECASTS!M122-1,4),IF(AND(DASHBOARD!$BG$12=2,DASHBOARD!$AY$14),FORECASTS!N126,DASHBOARD!$AZ$17)))</f>
        <v>0</v>
      </c>
      <c r="O125" s="18">
        <f>IF(O5=3,0,CHOOSE(DASHBOARD!$BG$12,ROUND(FORECASTS!O122/FORECASTS!N122-1,4),IF(AND(DASHBOARD!$BG$12=2,DASHBOARD!$AY$14),FORECASTS!O126,DASHBOARD!$AZ$17)))</f>
        <v>0</v>
      </c>
      <c r="P125" s="18">
        <f>IF(P5=3,0,CHOOSE(DASHBOARD!$BG$12,ROUND(FORECASTS!P122/FORECASTS!O122-1,4),IF(AND(DASHBOARD!$BG$12=2,DASHBOARD!$AY$14),FORECASTS!P126,DASHBOARD!$AZ$17)))</f>
        <v>0</v>
      </c>
      <c r="Q125" s="18">
        <f>IF(Q5=3,0,CHOOSE(DASHBOARD!$BG$12,ROUND(FORECASTS!Q122/FORECASTS!P122-1,4),IF(AND(DASHBOARD!$BG$12=2,DASHBOARD!$AY$14),FORECASTS!Q126,DASHBOARD!$AZ$17)))</f>
        <v>0</v>
      </c>
      <c r="R125" s="18">
        <f>IF(R5=3,0,CHOOSE(DASHBOARD!$BG$12,ROUND(FORECASTS!R122/FORECASTS!Q122-1,4),IF(AND(DASHBOARD!$BG$12=2,DASHBOARD!$AY$14),FORECASTS!R126,DASHBOARD!$AZ$17)))</f>
        <v>0</v>
      </c>
      <c r="S125" s="18">
        <f>IF(S5=3,0,CHOOSE(DASHBOARD!$BG$12,ROUND(FORECASTS!S122/FORECASTS!R122-1,4),IF(AND(DASHBOARD!$BG$12=2,DASHBOARD!$AY$14),FORECASTS!S126,DASHBOARD!$AZ$17)))</f>
        <v>0</v>
      </c>
      <c r="T125" s="18">
        <f>IF(T5=3,0,CHOOSE(DASHBOARD!$BG$12,ROUND(FORECASTS!T122/FORECASTS!S122-1,4),IF(AND(DASHBOARD!$BG$12=2,DASHBOARD!$AY$14),FORECASTS!T126,DASHBOARD!$AZ$17)))</f>
        <v>0</v>
      </c>
      <c r="U125" s="18">
        <f>IF(U5=3,0,CHOOSE(DASHBOARD!$BG$12,ROUND(FORECASTS!U122/FORECASTS!T122-1,4),IF(AND(DASHBOARD!$BG$12=2,DASHBOARD!$AY$14),FORECASTS!U126,DASHBOARD!$AZ$17)))</f>
        <v>0</v>
      </c>
      <c r="V125" s="18">
        <f>IF(V5=3,0,CHOOSE(DASHBOARD!$BG$12,ROUND(FORECASTS!V122/FORECASTS!U122-1,4),IF(AND(DASHBOARD!$BG$12=2,DASHBOARD!$AY$14),FORECASTS!V126,DASHBOARD!$AZ$17)))</f>
        <v>0</v>
      </c>
      <c r="W125" s="18">
        <f>IF(W5=3,0,CHOOSE(DASHBOARD!$BG$12,ROUND(FORECASTS!W122/FORECASTS!V122-1,4),IF(AND(DASHBOARD!$BG$12=2,DASHBOARD!$AY$14),FORECASTS!W126,DASHBOARD!$AZ$17)))</f>
        <v>0</v>
      </c>
      <c r="X125" s="18">
        <f>IF(X5=3,0,CHOOSE(DASHBOARD!$BG$12,ROUND(FORECASTS!X122/FORECASTS!W122-1,4),IF(AND(DASHBOARD!$BG$12=2,DASHBOARD!$AY$14),FORECASTS!X126,DASHBOARD!$AZ$17)))</f>
        <v>0</v>
      </c>
      <c r="Y125" s="18">
        <f>IF(Y5=3,0,CHOOSE(DASHBOARD!$BG$12,ROUND(FORECASTS!Y122/FORECASTS!X122-1,4),IF(AND(DASHBOARD!$BG$12=2,DASHBOARD!$AY$14),FORECASTS!Y126,DASHBOARD!$AZ$17)))</f>
        <v>0</v>
      </c>
      <c r="Z125" s="18">
        <f>IF(Z5=3,0,CHOOSE(DASHBOARD!$BG$12,ROUND(FORECASTS!Z122/FORECASTS!Y122-1,4),IF(AND(DASHBOARD!$BG$12=2,DASHBOARD!$AY$14),FORECASTS!Z126,DASHBOARD!$AZ$17)))</f>
        <v>0</v>
      </c>
      <c r="AA125" s="18">
        <f>IF(AA5=3,0,CHOOSE(DASHBOARD!$BG$12,ROUND(FORECASTS!AA122/FORECASTS!Z122-1,4),IF(AND(DASHBOARD!$BG$12=2,DASHBOARD!$AY$14),FORECASTS!AA126,DASHBOARD!$AZ$17)))</f>
        <v>0</v>
      </c>
      <c r="AB125" s="18">
        <f>IF(AB5=3,0,CHOOSE(DASHBOARD!$BG$12,ROUND(FORECASTS!AB122/FORECASTS!AA122-1,4),IF(AND(DASHBOARD!$BG$12=2,DASHBOARD!$AY$14),FORECASTS!AB126,DASHBOARD!$AZ$17)))</f>
        <v>0</v>
      </c>
      <c r="AC125" s="18">
        <f>IF(AC5=3,0,CHOOSE(DASHBOARD!$BG$12,ROUND(FORECASTS!AC122/FORECASTS!AB122-1,4),IF(AND(DASHBOARD!$BG$12=2,DASHBOARD!$AY$14),FORECASTS!AC126,DASHBOARD!$AZ$17)))</f>
        <v>0</v>
      </c>
      <c r="AD125" s="18">
        <f>IF(AD5=3,0,CHOOSE(DASHBOARD!$BG$12,ROUND(FORECASTS!AD122/FORECASTS!AC122-1,4),IF(AND(DASHBOARD!$BG$12=2,DASHBOARD!$AY$14),FORECASTS!AD126,DASHBOARD!$AZ$17)))</f>
        <v>0</v>
      </c>
      <c r="AE125" s="18">
        <f>IF(AE5=3,0,CHOOSE(DASHBOARD!$BG$12,ROUND(FORECASTS!AE122/FORECASTS!AD122-1,4),IF(AND(DASHBOARD!$BG$12=2,DASHBOARD!$AY$14),FORECASTS!AE126,DASHBOARD!$AZ$17)))</f>
        <v>0</v>
      </c>
      <c r="AF125" s="18">
        <f>IF(AF5=3,0,CHOOSE(DASHBOARD!$BG$12,ROUND(FORECASTS!AF122/FORECASTS!AE122-1,4),IF(AND(DASHBOARD!$BG$12=2,DASHBOARD!$AY$14),FORECASTS!AF126,DASHBOARD!$AZ$17)))</f>
        <v>0</v>
      </c>
      <c r="AG125" s="18">
        <f>IF(AG5=3,0,CHOOSE(DASHBOARD!$BG$12,ROUND(FORECASTS!AG122/FORECASTS!AF122-1,4),IF(AND(DASHBOARD!$BG$12=2,DASHBOARD!$AY$14),FORECASTS!AG126,DASHBOARD!$AZ$17)))</f>
        <v>0</v>
      </c>
      <c r="AH125" s="18">
        <f>IF(AH5=3,0,CHOOSE(DASHBOARD!$BG$12,ROUND(FORECASTS!AH122/FORECASTS!AG122-1,4),IF(AND(DASHBOARD!$BG$12=2,DASHBOARD!$AY$14),FORECASTS!AH126,DASHBOARD!$AZ$17)))</f>
        <v>0</v>
      </c>
      <c r="AI125" s="243">
        <f>IF(AI5=3,0,CHOOSE(DASHBOARD!$BG$12,ROUND(FORECASTS!AI122/FORECASTS!AH122-1,4),IF(AND(DASHBOARD!$BG$12=2,DASHBOARD!$AY$14),FORECASTS!AI126,DASHBOARD!$AZ$17)))</f>
        <v>0</v>
      </c>
      <c r="AJ125" s="1605">
        <f>IF(AND(DASHBOARD!BG12=2,DASHBOARD!AY14),0,1)</f>
        <v>1</v>
      </c>
    </row>
    <row r="126" spans="1:36" hidden="1" outlineLevel="1" x14ac:dyDescent="0.3">
      <c r="A126" s="289"/>
      <c r="B126" s="778" t="s">
        <v>528</v>
      </c>
      <c r="C126" s="24"/>
      <c r="D126" s="24"/>
      <c r="E126" s="451">
        <f>DASHBOARD!AZ17</f>
        <v>0.09</v>
      </c>
      <c r="F126" s="379">
        <f>E126</f>
        <v>0.09</v>
      </c>
      <c r="G126" s="379">
        <f t="shared" ref="G126:AI126" si="52">F126</f>
        <v>0.09</v>
      </c>
      <c r="H126" s="379">
        <f t="shared" si="52"/>
        <v>0.09</v>
      </c>
      <c r="I126" s="379">
        <f t="shared" si="52"/>
        <v>0.09</v>
      </c>
      <c r="J126" s="379">
        <f t="shared" si="52"/>
        <v>0.09</v>
      </c>
      <c r="K126" s="379">
        <f t="shared" si="52"/>
        <v>0.09</v>
      </c>
      <c r="L126" s="379">
        <f t="shared" si="52"/>
        <v>0.09</v>
      </c>
      <c r="M126" s="379">
        <f t="shared" si="52"/>
        <v>0.09</v>
      </c>
      <c r="N126" s="379">
        <f t="shared" si="52"/>
        <v>0.09</v>
      </c>
      <c r="O126" s="379">
        <f t="shared" si="52"/>
        <v>0.09</v>
      </c>
      <c r="P126" s="379">
        <f t="shared" si="52"/>
        <v>0.09</v>
      </c>
      <c r="Q126" s="379">
        <f t="shared" si="52"/>
        <v>0.09</v>
      </c>
      <c r="R126" s="379">
        <f t="shared" si="52"/>
        <v>0.09</v>
      </c>
      <c r="S126" s="379">
        <f t="shared" si="52"/>
        <v>0.09</v>
      </c>
      <c r="T126" s="379">
        <f t="shared" si="52"/>
        <v>0.09</v>
      </c>
      <c r="U126" s="379">
        <f t="shared" si="52"/>
        <v>0.09</v>
      </c>
      <c r="V126" s="379">
        <f t="shared" si="52"/>
        <v>0.09</v>
      </c>
      <c r="W126" s="379">
        <f t="shared" si="52"/>
        <v>0.09</v>
      </c>
      <c r="X126" s="379">
        <f t="shared" si="52"/>
        <v>0.09</v>
      </c>
      <c r="Y126" s="379">
        <f t="shared" si="52"/>
        <v>0.09</v>
      </c>
      <c r="Z126" s="379">
        <f t="shared" si="52"/>
        <v>0.09</v>
      </c>
      <c r="AA126" s="379">
        <f t="shared" si="52"/>
        <v>0.09</v>
      </c>
      <c r="AB126" s="379">
        <f t="shared" si="52"/>
        <v>0.09</v>
      </c>
      <c r="AC126" s="379">
        <f t="shared" si="52"/>
        <v>0.09</v>
      </c>
      <c r="AD126" s="379">
        <f t="shared" si="52"/>
        <v>0.09</v>
      </c>
      <c r="AE126" s="379">
        <f t="shared" si="52"/>
        <v>0.09</v>
      </c>
      <c r="AF126" s="379">
        <f t="shared" si="52"/>
        <v>0.09</v>
      </c>
      <c r="AG126" s="379">
        <f t="shared" si="52"/>
        <v>0.09</v>
      </c>
      <c r="AH126" s="379">
        <f t="shared" si="52"/>
        <v>0.09</v>
      </c>
      <c r="AI126" s="394">
        <f t="shared" si="52"/>
        <v>0.09</v>
      </c>
      <c r="AJ126" s="1605">
        <f>IF(AND(DASHBOARD!BG12=2,DASHBOARD!AY14),1,0)</f>
        <v>0</v>
      </c>
    </row>
    <row r="127" spans="1:36" outlineLevel="1" x14ac:dyDescent="0.3">
      <c r="A127" s="289"/>
      <c r="B127" s="870"/>
      <c r="C127" s="24"/>
      <c r="D127" s="24"/>
      <c r="E127" s="138"/>
      <c r="F127" s="866"/>
      <c r="G127" s="866"/>
      <c r="H127" s="866"/>
      <c r="I127" s="866"/>
      <c r="J127" s="866"/>
      <c r="K127" s="866"/>
      <c r="L127" s="866"/>
      <c r="M127" s="866"/>
      <c r="N127" s="866"/>
      <c r="O127" s="866"/>
      <c r="P127" s="866"/>
      <c r="Q127" s="866"/>
      <c r="R127" s="866"/>
      <c r="S127" s="866"/>
      <c r="T127" s="866"/>
      <c r="U127" s="866"/>
      <c r="V127" s="866"/>
      <c r="W127" s="866"/>
      <c r="X127" s="866"/>
      <c r="Y127" s="866"/>
      <c r="Z127" s="866"/>
      <c r="AA127" s="866"/>
      <c r="AB127" s="866"/>
      <c r="AC127" s="866"/>
      <c r="AD127" s="866"/>
      <c r="AE127" s="866"/>
      <c r="AF127" s="866"/>
      <c r="AG127" s="866"/>
      <c r="AH127" s="866"/>
      <c r="AI127" s="248"/>
      <c r="AJ127" s="1605">
        <v>1</v>
      </c>
    </row>
    <row r="128" spans="1:36" outlineLevel="1" x14ac:dyDescent="0.3">
      <c r="A128" s="289"/>
      <c r="B128" s="781" t="s">
        <v>52</v>
      </c>
      <c r="C128" s="867"/>
      <c r="D128" s="868">
        <f>DASHBOARD!AZ88</f>
        <v>118970</v>
      </c>
      <c r="E128" s="257">
        <f>DEBT!D17</f>
        <v>0</v>
      </c>
      <c r="F128" s="871">
        <f>DEBT!E17</f>
        <v>0</v>
      </c>
      <c r="G128" s="871">
        <f>DEBT!F17</f>
        <v>0</v>
      </c>
      <c r="H128" s="871">
        <f>DEBT!G17</f>
        <v>0</v>
      </c>
      <c r="I128" s="871">
        <f>DEBT!H17</f>
        <v>0</v>
      </c>
      <c r="J128" s="871">
        <f>DEBT!I17</f>
        <v>0</v>
      </c>
      <c r="K128" s="871">
        <f>DEBT!J17</f>
        <v>0</v>
      </c>
      <c r="L128" s="871">
        <f>DEBT!K17</f>
        <v>0</v>
      </c>
      <c r="M128" s="871">
        <f>DEBT!L17</f>
        <v>0</v>
      </c>
      <c r="N128" s="871">
        <f>DEBT!M17</f>
        <v>0</v>
      </c>
      <c r="O128" s="871">
        <f>DEBT!N17</f>
        <v>0</v>
      </c>
      <c r="P128" s="871">
        <f>DEBT!O17</f>
        <v>0</v>
      </c>
      <c r="Q128" s="871">
        <f>DEBT!P17</f>
        <v>0</v>
      </c>
      <c r="R128" s="871">
        <f>DEBT!Q17</f>
        <v>0</v>
      </c>
      <c r="S128" s="871">
        <f>DEBT!R17</f>
        <v>0</v>
      </c>
      <c r="T128" s="871">
        <f>DEBT!S17</f>
        <v>0</v>
      </c>
      <c r="U128" s="871">
        <f>DEBT!T17</f>
        <v>0</v>
      </c>
      <c r="V128" s="871">
        <f>DEBT!U17</f>
        <v>0</v>
      </c>
      <c r="W128" s="871">
        <f>DEBT!V17</f>
        <v>0</v>
      </c>
      <c r="X128" s="871">
        <f>DEBT!W17</f>
        <v>0</v>
      </c>
      <c r="Y128" s="871">
        <f>DEBT!X17</f>
        <v>0</v>
      </c>
      <c r="Z128" s="871">
        <f>DEBT!Y17</f>
        <v>0</v>
      </c>
      <c r="AA128" s="871">
        <f>DEBT!Z17</f>
        <v>0</v>
      </c>
      <c r="AB128" s="871">
        <f>DEBT!AA17</f>
        <v>0</v>
      </c>
      <c r="AC128" s="871">
        <f>DEBT!AB17</f>
        <v>0</v>
      </c>
      <c r="AD128" s="871">
        <f>DEBT!AC17</f>
        <v>0</v>
      </c>
      <c r="AE128" s="871">
        <f>DEBT!AD17</f>
        <v>0</v>
      </c>
      <c r="AF128" s="871">
        <f>DEBT!AE17</f>
        <v>0</v>
      </c>
      <c r="AG128" s="871">
        <f>DEBT!AF17</f>
        <v>0</v>
      </c>
      <c r="AH128" s="871">
        <f>DEBT!AG17</f>
        <v>0</v>
      </c>
      <c r="AI128" s="258">
        <f>DEBT!AH17</f>
        <v>0</v>
      </c>
      <c r="AJ128" s="1605">
        <v>1</v>
      </c>
    </row>
    <row r="129" spans="1:37" outlineLevel="1" x14ac:dyDescent="0.3">
      <c r="A129" s="289"/>
      <c r="B129" s="781" t="s">
        <v>53</v>
      </c>
      <c r="C129" s="867"/>
      <c r="D129" s="872"/>
      <c r="E129" s="257">
        <f>E122-E128</f>
        <v>347250.41095890407</v>
      </c>
      <c r="F129" s="871">
        <f t="shared" ref="F129:AH129" si="53">F122-F128</f>
        <v>0</v>
      </c>
      <c r="G129" s="871">
        <f t="shared" si="53"/>
        <v>0</v>
      </c>
      <c r="H129" s="871">
        <f t="shared" si="53"/>
        <v>0</v>
      </c>
      <c r="I129" s="871">
        <f t="shared" si="53"/>
        <v>0</v>
      </c>
      <c r="J129" s="871">
        <f t="shared" si="53"/>
        <v>0</v>
      </c>
      <c r="K129" s="871">
        <f t="shared" si="53"/>
        <v>0</v>
      </c>
      <c r="L129" s="871">
        <f t="shared" si="53"/>
        <v>0</v>
      </c>
      <c r="M129" s="871">
        <f t="shared" si="53"/>
        <v>0</v>
      </c>
      <c r="N129" s="871">
        <f t="shared" si="53"/>
        <v>0</v>
      </c>
      <c r="O129" s="871">
        <f t="shared" si="53"/>
        <v>0</v>
      </c>
      <c r="P129" s="871">
        <f t="shared" si="53"/>
        <v>0</v>
      </c>
      <c r="Q129" s="871">
        <f t="shared" si="53"/>
        <v>0</v>
      </c>
      <c r="R129" s="871">
        <f t="shared" si="53"/>
        <v>0</v>
      </c>
      <c r="S129" s="871">
        <f t="shared" si="53"/>
        <v>0</v>
      </c>
      <c r="T129" s="871">
        <f t="shared" si="53"/>
        <v>0</v>
      </c>
      <c r="U129" s="871">
        <f t="shared" si="53"/>
        <v>0</v>
      </c>
      <c r="V129" s="871">
        <f t="shared" si="53"/>
        <v>0</v>
      </c>
      <c r="W129" s="871">
        <f t="shared" si="53"/>
        <v>0</v>
      </c>
      <c r="X129" s="871">
        <f t="shared" si="53"/>
        <v>0</v>
      </c>
      <c r="Y129" s="871">
        <f t="shared" si="53"/>
        <v>0</v>
      </c>
      <c r="Z129" s="871">
        <f t="shared" si="53"/>
        <v>0</v>
      </c>
      <c r="AA129" s="871">
        <f t="shared" si="53"/>
        <v>0</v>
      </c>
      <c r="AB129" s="871">
        <f t="shared" si="53"/>
        <v>0</v>
      </c>
      <c r="AC129" s="871">
        <f t="shared" si="53"/>
        <v>0</v>
      </c>
      <c r="AD129" s="871">
        <f t="shared" si="53"/>
        <v>0</v>
      </c>
      <c r="AE129" s="871">
        <f t="shared" si="53"/>
        <v>0</v>
      </c>
      <c r="AF129" s="871">
        <f t="shared" si="53"/>
        <v>0</v>
      </c>
      <c r="AG129" s="871">
        <f t="shared" si="53"/>
        <v>0</v>
      </c>
      <c r="AH129" s="871">
        <f t="shared" si="53"/>
        <v>0</v>
      </c>
      <c r="AI129" s="258">
        <f>AI122-AI128</f>
        <v>0</v>
      </c>
      <c r="AJ129" s="1605"/>
    </row>
    <row r="130" spans="1:37" s="291" customFormat="1" ht="14.4" outlineLevel="1" x14ac:dyDescent="0.3">
      <c r="A130" s="289"/>
      <c r="B130" s="778" t="s">
        <v>54</v>
      </c>
      <c r="C130" s="873"/>
      <c r="D130" s="873"/>
      <c r="E130" s="259"/>
      <c r="F130" s="29">
        <f t="shared" ref="F130:AI130" si="54">IF(F5=3,0,F129-E129)</f>
        <v>0</v>
      </c>
      <c r="G130" s="29">
        <f t="shared" si="54"/>
        <v>0</v>
      </c>
      <c r="H130" s="29">
        <f t="shared" si="54"/>
        <v>0</v>
      </c>
      <c r="I130" s="29">
        <f t="shared" si="54"/>
        <v>0</v>
      </c>
      <c r="J130" s="29">
        <f t="shared" si="54"/>
        <v>0</v>
      </c>
      <c r="K130" s="29">
        <f t="shared" si="54"/>
        <v>0</v>
      </c>
      <c r="L130" s="29">
        <f t="shared" si="54"/>
        <v>0</v>
      </c>
      <c r="M130" s="29">
        <f t="shared" si="54"/>
        <v>0</v>
      </c>
      <c r="N130" s="29">
        <f t="shared" si="54"/>
        <v>0</v>
      </c>
      <c r="O130" s="29">
        <f t="shared" si="54"/>
        <v>0</v>
      </c>
      <c r="P130" s="29">
        <f t="shared" si="54"/>
        <v>0</v>
      </c>
      <c r="Q130" s="29">
        <f t="shared" si="54"/>
        <v>0</v>
      </c>
      <c r="R130" s="29">
        <f t="shared" si="54"/>
        <v>0</v>
      </c>
      <c r="S130" s="29">
        <f t="shared" si="54"/>
        <v>0</v>
      </c>
      <c r="T130" s="29">
        <f t="shared" si="54"/>
        <v>0</v>
      </c>
      <c r="U130" s="29">
        <f t="shared" si="54"/>
        <v>0</v>
      </c>
      <c r="V130" s="29">
        <f t="shared" si="54"/>
        <v>0</v>
      </c>
      <c r="W130" s="29">
        <f t="shared" si="54"/>
        <v>0</v>
      </c>
      <c r="X130" s="29">
        <f t="shared" si="54"/>
        <v>0</v>
      </c>
      <c r="Y130" s="29">
        <f t="shared" si="54"/>
        <v>0</v>
      </c>
      <c r="Z130" s="29">
        <f t="shared" si="54"/>
        <v>0</v>
      </c>
      <c r="AA130" s="29">
        <f t="shared" si="54"/>
        <v>0</v>
      </c>
      <c r="AB130" s="29">
        <f t="shared" si="54"/>
        <v>0</v>
      </c>
      <c r="AC130" s="29">
        <f t="shared" si="54"/>
        <v>0</v>
      </c>
      <c r="AD130" s="29">
        <f t="shared" si="54"/>
        <v>0</v>
      </c>
      <c r="AE130" s="29">
        <f t="shared" si="54"/>
        <v>0</v>
      </c>
      <c r="AF130" s="29">
        <f t="shared" si="54"/>
        <v>0</v>
      </c>
      <c r="AG130" s="29">
        <f t="shared" si="54"/>
        <v>0</v>
      </c>
      <c r="AH130" s="29">
        <f t="shared" si="54"/>
        <v>0</v>
      </c>
      <c r="AI130" s="260">
        <f t="shared" si="54"/>
        <v>0</v>
      </c>
      <c r="AJ130" s="1607"/>
    </row>
    <row r="131" spans="1:37" outlineLevel="1" x14ac:dyDescent="0.3">
      <c r="A131" s="289"/>
      <c r="B131" s="706"/>
      <c r="C131" s="24"/>
      <c r="D131" s="24"/>
      <c r="E131" s="139"/>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240"/>
      <c r="AJ131" s="1605"/>
      <c r="AK131" s="920"/>
    </row>
    <row r="132" spans="1:37" outlineLevel="1" x14ac:dyDescent="0.3">
      <c r="A132" s="289"/>
      <c r="B132" s="874" t="s">
        <v>338</v>
      </c>
      <c r="C132" s="1806" t="s">
        <v>1149</v>
      </c>
      <c r="D132" s="140"/>
      <c r="E132" s="141">
        <f>IFERROR(E128/E122,0)</f>
        <v>0</v>
      </c>
      <c r="F132" s="875">
        <f t="shared" ref="F132:AH132" si="55">IFERROR(F128/F122,0)</f>
        <v>0</v>
      </c>
      <c r="G132" s="875">
        <f t="shared" si="55"/>
        <v>0</v>
      </c>
      <c r="H132" s="875">
        <f t="shared" si="55"/>
        <v>0</v>
      </c>
      <c r="I132" s="875">
        <f t="shared" si="55"/>
        <v>0</v>
      </c>
      <c r="J132" s="875">
        <f t="shared" si="55"/>
        <v>0</v>
      </c>
      <c r="K132" s="875">
        <f t="shared" si="55"/>
        <v>0</v>
      </c>
      <c r="L132" s="875">
        <f t="shared" si="55"/>
        <v>0</v>
      </c>
      <c r="M132" s="875">
        <f t="shared" si="55"/>
        <v>0</v>
      </c>
      <c r="N132" s="875">
        <f t="shared" si="55"/>
        <v>0</v>
      </c>
      <c r="O132" s="875">
        <f t="shared" si="55"/>
        <v>0</v>
      </c>
      <c r="P132" s="875">
        <f t="shared" si="55"/>
        <v>0</v>
      </c>
      <c r="Q132" s="875">
        <f t="shared" si="55"/>
        <v>0</v>
      </c>
      <c r="R132" s="875">
        <f t="shared" si="55"/>
        <v>0</v>
      </c>
      <c r="S132" s="875">
        <f t="shared" si="55"/>
        <v>0</v>
      </c>
      <c r="T132" s="875">
        <f t="shared" si="55"/>
        <v>0</v>
      </c>
      <c r="U132" s="875">
        <f t="shared" si="55"/>
        <v>0</v>
      </c>
      <c r="V132" s="875">
        <f t="shared" si="55"/>
        <v>0</v>
      </c>
      <c r="W132" s="875">
        <f t="shared" si="55"/>
        <v>0</v>
      </c>
      <c r="X132" s="875">
        <f t="shared" si="55"/>
        <v>0</v>
      </c>
      <c r="Y132" s="875">
        <f t="shared" si="55"/>
        <v>0</v>
      </c>
      <c r="Z132" s="875">
        <f t="shared" si="55"/>
        <v>0</v>
      </c>
      <c r="AA132" s="875">
        <f t="shared" si="55"/>
        <v>0</v>
      </c>
      <c r="AB132" s="875">
        <f t="shared" si="55"/>
        <v>0</v>
      </c>
      <c r="AC132" s="875">
        <f t="shared" si="55"/>
        <v>0</v>
      </c>
      <c r="AD132" s="875">
        <f t="shared" si="55"/>
        <v>0</v>
      </c>
      <c r="AE132" s="875">
        <f t="shared" si="55"/>
        <v>0</v>
      </c>
      <c r="AF132" s="875">
        <f t="shared" si="55"/>
        <v>0</v>
      </c>
      <c r="AG132" s="875">
        <f t="shared" si="55"/>
        <v>0</v>
      </c>
      <c r="AH132" s="875">
        <f t="shared" si="55"/>
        <v>0</v>
      </c>
      <c r="AI132" s="249">
        <f>IFERROR(AI128/AI122,0)</f>
        <v>0</v>
      </c>
      <c r="AJ132" s="1605"/>
    </row>
    <row r="133" spans="1:37" outlineLevel="1" x14ac:dyDescent="0.3">
      <c r="A133" s="289"/>
      <c r="B133" s="874" t="s">
        <v>339</v>
      </c>
      <c r="C133" s="1806" t="s">
        <v>1149</v>
      </c>
      <c r="D133" s="140"/>
      <c r="E133" s="141">
        <f t="shared" ref="E133:AH133" si="56">IFERROR(E128/purchase_price,0)</f>
        <v>0</v>
      </c>
      <c r="F133" s="875">
        <f t="shared" si="56"/>
        <v>0</v>
      </c>
      <c r="G133" s="875">
        <f t="shared" si="56"/>
        <v>0</v>
      </c>
      <c r="H133" s="875">
        <f t="shared" si="56"/>
        <v>0</v>
      </c>
      <c r="I133" s="875">
        <f t="shared" si="56"/>
        <v>0</v>
      </c>
      <c r="J133" s="875">
        <f t="shared" si="56"/>
        <v>0</v>
      </c>
      <c r="K133" s="875">
        <f t="shared" si="56"/>
        <v>0</v>
      </c>
      <c r="L133" s="875">
        <f t="shared" si="56"/>
        <v>0</v>
      </c>
      <c r="M133" s="875">
        <f t="shared" si="56"/>
        <v>0</v>
      </c>
      <c r="N133" s="875">
        <f t="shared" si="56"/>
        <v>0</v>
      </c>
      <c r="O133" s="875">
        <f t="shared" si="56"/>
        <v>0</v>
      </c>
      <c r="P133" s="875">
        <f t="shared" si="56"/>
        <v>0</v>
      </c>
      <c r="Q133" s="875">
        <f t="shared" si="56"/>
        <v>0</v>
      </c>
      <c r="R133" s="875">
        <f t="shared" si="56"/>
        <v>0</v>
      </c>
      <c r="S133" s="875">
        <f t="shared" si="56"/>
        <v>0</v>
      </c>
      <c r="T133" s="875">
        <f t="shared" si="56"/>
        <v>0</v>
      </c>
      <c r="U133" s="875">
        <f t="shared" si="56"/>
        <v>0</v>
      </c>
      <c r="V133" s="875">
        <f t="shared" si="56"/>
        <v>0</v>
      </c>
      <c r="W133" s="875">
        <f t="shared" si="56"/>
        <v>0</v>
      </c>
      <c r="X133" s="875">
        <f t="shared" si="56"/>
        <v>0</v>
      </c>
      <c r="Y133" s="875">
        <f t="shared" si="56"/>
        <v>0</v>
      </c>
      <c r="Z133" s="875">
        <f t="shared" si="56"/>
        <v>0</v>
      </c>
      <c r="AA133" s="875">
        <f t="shared" si="56"/>
        <v>0</v>
      </c>
      <c r="AB133" s="875">
        <f t="shared" si="56"/>
        <v>0</v>
      </c>
      <c r="AC133" s="875">
        <f t="shared" si="56"/>
        <v>0</v>
      </c>
      <c r="AD133" s="875">
        <f t="shared" si="56"/>
        <v>0</v>
      </c>
      <c r="AE133" s="875">
        <f t="shared" si="56"/>
        <v>0</v>
      </c>
      <c r="AF133" s="875">
        <f t="shared" si="56"/>
        <v>0</v>
      </c>
      <c r="AG133" s="875">
        <f t="shared" si="56"/>
        <v>0</v>
      </c>
      <c r="AH133" s="875">
        <f t="shared" si="56"/>
        <v>0</v>
      </c>
      <c r="AI133" s="249">
        <f>IFERROR(AI128/purchase_price,0)</f>
        <v>0</v>
      </c>
      <c r="AJ133" s="1605"/>
    </row>
    <row r="134" spans="1:37" s="289" customFormat="1" outlineLevel="1" x14ac:dyDescent="0.3">
      <c r="B134" s="874" t="s">
        <v>211</v>
      </c>
      <c r="C134" s="253"/>
      <c r="D134" s="250"/>
      <c r="E134" s="142">
        <f>IFERROR(-(E85-E83-E82)/(E99-DEBT!D16-E94-E95),0)</f>
        <v>0</v>
      </c>
      <c r="F134" s="876">
        <f>IFERROR(-(F85-F83-F82)/(F99-DEBT!E16-F94-F95),0)</f>
        <v>0</v>
      </c>
      <c r="G134" s="876">
        <f>IFERROR(-(G85-G83-G82)/(G99-DEBT!F16-G94-G95),0)</f>
        <v>0</v>
      </c>
      <c r="H134" s="876">
        <f>IFERROR(-(H85-H83-H82)/(H99-DEBT!G16-H94-H95),0)</f>
        <v>0</v>
      </c>
      <c r="I134" s="876">
        <f>IFERROR(-(I85-I83-I82)/(I99-DEBT!H16-I94-I95),0)</f>
        <v>0</v>
      </c>
      <c r="J134" s="876">
        <f>IFERROR(-(J85-J83-J82)/(J99-DEBT!I16-J94-J95),0)</f>
        <v>0</v>
      </c>
      <c r="K134" s="876">
        <f>IFERROR(-(K85-K83-K82)/(K99-DEBT!J16-K94-K95),0)</f>
        <v>0</v>
      </c>
      <c r="L134" s="876">
        <f>IFERROR(-(L85-L83-L82)/(L99-DEBT!K16-L94-L95),0)</f>
        <v>0</v>
      </c>
      <c r="M134" s="876">
        <f>IFERROR(-(M85-M83-M82)/(M99-DEBT!L16-M94-M95),0)</f>
        <v>0</v>
      </c>
      <c r="N134" s="876">
        <f>IFERROR(-(N85-N83-N82)/(N99-DEBT!M16-N94-N95),0)</f>
        <v>0</v>
      </c>
      <c r="O134" s="876">
        <f>IFERROR(-(O85-O83-O82)/(O99-DEBT!N16-O94-O95),0)</f>
        <v>0</v>
      </c>
      <c r="P134" s="876">
        <f>IFERROR(-(P85-P83-P82)/(P99-DEBT!O16-P94-P95),0)</f>
        <v>0</v>
      </c>
      <c r="Q134" s="876">
        <f>IFERROR(-(Q85-Q83-Q82)/(Q99-DEBT!P16-Q94-Q95),0)</f>
        <v>0</v>
      </c>
      <c r="R134" s="876">
        <f>IFERROR(-(R85-R83-R82)/(R99-DEBT!Q16-R94-R95),0)</f>
        <v>0</v>
      </c>
      <c r="S134" s="876">
        <f>IFERROR(-(S85-S83-S82)/(S99-DEBT!R16-S94-S95),0)</f>
        <v>0</v>
      </c>
      <c r="T134" s="876">
        <f>IFERROR(-(T85-T83-T82)/(T99-DEBT!S16-T94-T95),0)</f>
        <v>0</v>
      </c>
      <c r="U134" s="876">
        <f>IFERROR(-(U85-U83-U82)/(U99-DEBT!T16-U94-U95),0)</f>
        <v>0</v>
      </c>
      <c r="V134" s="876">
        <f>IFERROR(-(V85-V83-V82)/(V99-DEBT!U16-V94-V95),0)</f>
        <v>0</v>
      </c>
      <c r="W134" s="876">
        <f>IFERROR(-(W85-W83-W82)/(W99-DEBT!V16-W94-W95),0)</f>
        <v>0</v>
      </c>
      <c r="X134" s="876">
        <f>IFERROR(-(X85-X83-X82)/(X99-DEBT!W16-X94-X95),0)</f>
        <v>0</v>
      </c>
      <c r="Y134" s="876">
        <f>IFERROR(-(Y85-Y83-Y82)/(Y99-DEBT!X16-Y94-Y95),0)</f>
        <v>0</v>
      </c>
      <c r="Z134" s="876">
        <f>IFERROR(-(Z85-Z83-Z82)/(Z99-DEBT!Y16-Z94-Z95),0)</f>
        <v>0</v>
      </c>
      <c r="AA134" s="876">
        <f>IFERROR(-(AA85-AA83-AA82)/(AA99-DEBT!Z16-AA94-AA95),0)</f>
        <v>0</v>
      </c>
      <c r="AB134" s="876">
        <f>IFERROR(-(AB85-AB83-AB82)/(AB99-DEBT!AA16-AB94-AB95),0)</f>
        <v>0</v>
      </c>
      <c r="AC134" s="876">
        <f>IFERROR(-(AC85-AC83-AC82)/(AC99-DEBT!AB16-AC94-AC95),0)</f>
        <v>0</v>
      </c>
      <c r="AD134" s="876">
        <f>IFERROR(-(AD85-AD83-AD82)/(AD99-DEBT!AC16-AD94-AD95),0)</f>
        <v>0</v>
      </c>
      <c r="AE134" s="876">
        <f>IFERROR(-(AE85-AE83-AE82)/(AE99-DEBT!AD16-AE94-AE95),0)</f>
        <v>0</v>
      </c>
      <c r="AF134" s="876">
        <f>IFERROR(-(AF85-AF83-AF82)/(AF99-DEBT!AE16-AF94-AF95),0)</f>
        <v>0</v>
      </c>
      <c r="AG134" s="876">
        <f>IFERROR(-(AG85-AG83-AG82)/(AG99-DEBT!AF16-AG94-AG95),0)</f>
        <v>0</v>
      </c>
      <c r="AH134" s="876">
        <f>IFERROR(-(AH85-AH83-AH82)/(AH99-DEBT!AG16-AH94-AH95),0)</f>
        <v>0</v>
      </c>
      <c r="AI134" s="251">
        <f>IFERROR(-(AI85-AI83-AI82)/(AI99-DEBT!AH16-AI94-AI95),0)</f>
        <v>0</v>
      </c>
      <c r="AJ134" s="1605"/>
    </row>
    <row r="135" spans="1:37" s="289" customFormat="1" outlineLevel="1" x14ac:dyDescent="0.3">
      <c r="B135" s="877" t="s">
        <v>199</v>
      </c>
      <c r="C135" s="878"/>
      <c r="D135" s="878"/>
      <c r="E135" s="879">
        <f>IFERROR((-E99-E68+DEBT!D16+DEBT!D15+E95)/E26,0)</f>
        <v>0</v>
      </c>
      <c r="F135" s="880">
        <f>IFERROR((-F99-F68+DEBT!E16+DEBT!E15+F95)/F26,0)</f>
        <v>0</v>
      </c>
      <c r="G135" s="880">
        <f>IFERROR((-G99-G68+DEBT!F16+DEBT!F15+G95)/G26,0)</f>
        <v>0</v>
      </c>
      <c r="H135" s="880">
        <f>IFERROR((-H99-H68+DEBT!G16+DEBT!G15+H95)/H26,0)</f>
        <v>0</v>
      </c>
      <c r="I135" s="880">
        <f>IFERROR((-I99-I68+DEBT!H16+DEBT!H15+I95)/I26,0)</f>
        <v>0</v>
      </c>
      <c r="J135" s="880">
        <f>IFERROR((-J99-J68+DEBT!I16+DEBT!I15+J95)/J26,0)</f>
        <v>0</v>
      </c>
      <c r="K135" s="880">
        <f>IFERROR((-K99-K68+DEBT!J16+DEBT!J15+K95)/K26,0)</f>
        <v>0</v>
      </c>
      <c r="L135" s="880">
        <f>IFERROR((-L99-L68+DEBT!K16+DEBT!K15+L95)/L26,0)</f>
        <v>0</v>
      </c>
      <c r="M135" s="880">
        <f>IFERROR((-M99-M68+DEBT!L16+DEBT!L15+M95)/M26,0)</f>
        <v>0</v>
      </c>
      <c r="N135" s="880">
        <f>IFERROR((-N99-N68+DEBT!M16+DEBT!M15+N95)/N26,0)</f>
        <v>0</v>
      </c>
      <c r="O135" s="880">
        <f>IFERROR((-O99-O68+DEBT!N16+DEBT!N15+O95)/O26,0)</f>
        <v>0</v>
      </c>
      <c r="P135" s="880">
        <f>IFERROR((-P99-P68+DEBT!O16+DEBT!O15+P95)/P26,0)</f>
        <v>0</v>
      </c>
      <c r="Q135" s="880">
        <f>IFERROR((-Q99-Q68+DEBT!P16+DEBT!P15+Q95)/Q26,0)</f>
        <v>0</v>
      </c>
      <c r="R135" s="880">
        <f>IFERROR((-R99-R68+DEBT!Q16+DEBT!Q15+R95)/R26,0)</f>
        <v>0</v>
      </c>
      <c r="S135" s="880">
        <f>IFERROR((-S99-S68+DEBT!R16+DEBT!R15+S95)/S26,0)</f>
        <v>0</v>
      </c>
      <c r="T135" s="880">
        <f>IFERROR((-T99-T68+DEBT!S16+DEBT!S15+T95)/T26,0)</f>
        <v>0</v>
      </c>
      <c r="U135" s="880">
        <f>IFERROR((-U99-U68+DEBT!T16+DEBT!T15+U95)/U26,0)</f>
        <v>0</v>
      </c>
      <c r="V135" s="880">
        <f>IFERROR((-V99-V68+DEBT!U16+DEBT!U15+V95)/V26,0)</f>
        <v>0</v>
      </c>
      <c r="W135" s="880">
        <f>IFERROR((-W99-W68+DEBT!V16+DEBT!V15+W95)/W26,0)</f>
        <v>0</v>
      </c>
      <c r="X135" s="880">
        <f>IFERROR((-X99-X68+DEBT!W16+DEBT!W15+X95)/X26,0)</f>
        <v>0</v>
      </c>
      <c r="Y135" s="880">
        <f>IFERROR((-Y99-Y68+DEBT!X16+DEBT!X15+Y95)/Y26,0)</f>
        <v>0</v>
      </c>
      <c r="Z135" s="880">
        <f>IFERROR((-Z99-Z68+DEBT!Y16+DEBT!Y15+Z95)/Z26,0)</f>
        <v>0</v>
      </c>
      <c r="AA135" s="880">
        <f>IFERROR((-AA99-AA68+DEBT!Z16+DEBT!Z15+AA95)/AA26,0)</f>
        <v>0</v>
      </c>
      <c r="AB135" s="880">
        <f>IFERROR((-AB99-AB68+DEBT!AA16+DEBT!AA15+AB95)/AB26,0)</f>
        <v>0</v>
      </c>
      <c r="AC135" s="880">
        <f>IFERROR((-AC99-AC68+DEBT!AB16+DEBT!AB15+AC95)/AC26,0)</f>
        <v>0</v>
      </c>
      <c r="AD135" s="880">
        <f>IFERROR((-AD99-AD68+DEBT!AC16+DEBT!AC15+AD95)/AD26,0)</f>
        <v>0</v>
      </c>
      <c r="AE135" s="880">
        <f>IFERROR((-AE99-AE68+DEBT!AD16+DEBT!AD15+AE95)/AE26,0)</f>
        <v>0</v>
      </c>
      <c r="AF135" s="880">
        <f>IFERROR((-AF99-AF68+DEBT!AE16+DEBT!AE15+AF95)/AF26,0)</f>
        <v>0</v>
      </c>
      <c r="AG135" s="880">
        <f>IFERROR((-AG99-AG68+DEBT!AF16+DEBT!AF15+AG95)/AG26,0)</f>
        <v>0</v>
      </c>
      <c r="AH135" s="880">
        <f>IFERROR((-AH99-AH68+DEBT!AG16+DEBT!AG15+AH95)/AH26,0)</f>
        <v>0</v>
      </c>
      <c r="AI135" s="881">
        <f>IFERROR((-AI99-AI68+DEBT!AH16+DEBT!AH15+AI95)/AI26,0)</f>
        <v>0</v>
      </c>
      <c r="AJ135" s="1605"/>
    </row>
    <row r="136" spans="1:37" s="289" customFormat="1" x14ac:dyDescent="0.3">
      <c r="B136" s="294"/>
      <c r="C136" s="294"/>
      <c r="D136" s="294"/>
      <c r="E136" s="925"/>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0"/>
      <c r="AD136" s="300"/>
      <c r="AE136" s="300"/>
      <c r="AF136" s="300"/>
      <c r="AG136" s="300"/>
      <c r="AH136" s="300"/>
      <c r="AI136" s="300"/>
      <c r="AJ136" s="1605"/>
    </row>
    <row r="137" spans="1:37" s="289" customFormat="1" x14ac:dyDescent="0.3">
      <c r="B137" s="294"/>
      <c r="C137" s="294"/>
      <c r="D137" s="294"/>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300"/>
      <c r="AE137" s="300"/>
      <c r="AF137" s="300"/>
      <c r="AG137" s="300"/>
      <c r="AH137" s="300"/>
      <c r="AI137" s="300"/>
      <c r="AJ137" s="1605"/>
    </row>
    <row r="138" spans="1:37" s="289" customFormat="1" x14ac:dyDescent="0.3">
      <c r="B138" s="1747" t="s">
        <v>297</v>
      </c>
      <c r="C138" s="701"/>
      <c r="D138" s="701"/>
      <c r="E138" s="701"/>
      <c r="F138" s="701"/>
      <c r="G138" s="701"/>
      <c r="H138" s="701"/>
      <c r="I138" s="701"/>
      <c r="J138" s="701"/>
      <c r="K138" s="701"/>
      <c r="L138" s="701"/>
      <c r="M138" s="701"/>
      <c r="N138" s="701"/>
      <c r="O138" s="701"/>
      <c r="P138" s="701"/>
      <c r="Q138" s="701"/>
      <c r="R138" s="701"/>
      <c r="S138" s="701"/>
      <c r="T138" s="701"/>
      <c r="U138" s="701"/>
      <c r="V138" s="701"/>
      <c r="W138" s="701"/>
      <c r="X138" s="701"/>
      <c r="Y138" s="701"/>
      <c r="Z138" s="701"/>
      <c r="AA138" s="701"/>
      <c r="AB138" s="701"/>
      <c r="AC138" s="701"/>
      <c r="AD138" s="701"/>
      <c r="AE138" s="701"/>
      <c r="AF138" s="701"/>
      <c r="AG138" s="701"/>
      <c r="AH138" s="701"/>
      <c r="AI138" s="702"/>
      <c r="AJ138" s="1605"/>
    </row>
    <row r="139" spans="1:37" x14ac:dyDescent="0.3">
      <c r="A139" s="289"/>
      <c r="B139" s="865"/>
      <c r="C139" s="135"/>
      <c r="D139" s="306">
        <v>0</v>
      </c>
      <c r="E139" s="130">
        <f>D139+1</f>
        <v>1</v>
      </c>
      <c r="F139" s="126">
        <f>E139+1</f>
        <v>2</v>
      </c>
      <c r="G139" s="126">
        <f>F139+1</f>
        <v>3</v>
      </c>
      <c r="H139" s="126">
        <f t="shared" ref="H139:AI139" si="57">G139+1</f>
        <v>4</v>
      </c>
      <c r="I139" s="126">
        <f t="shared" si="57"/>
        <v>5</v>
      </c>
      <c r="J139" s="126">
        <f t="shared" si="57"/>
        <v>6</v>
      </c>
      <c r="K139" s="126">
        <f t="shared" si="57"/>
        <v>7</v>
      </c>
      <c r="L139" s="126">
        <f t="shared" si="57"/>
        <v>8</v>
      </c>
      <c r="M139" s="126">
        <f t="shared" si="57"/>
        <v>9</v>
      </c>
      <c r="N139" s="126">
        <f t="shared" si="57"/>
        <v>10</v>
      </c>
      <c r="O139" s="126">
        <f t="shared" si="57"/>
        <v>11</v>
      </c>
      <c r="P139" s="126">
        <f t="shared" si="57"/>
        <v>12</v>
      </c>
      <c r="Q139" s="126">
        <f t="shared" si="57"/>
        <v>13</v>
      </c>
      <c r="R139" s="126">
        <f t="shared" si="57"/>
        <v>14</v>
      </c>
      <c r="S139" s="126">
        <f t="shared" si="57"/>
        <v>15</v>
      </c>
      <c r="T139" s="126">
        <f t="shared" si="57"/>
        <v>16</v>
      </c>
      <c r="U139" s="126">
        <f t="shared" si="57"/>
        <v>17</v>
      </c>
      <c r="V139" s="126">
        <f t="shared" si="57"/>
        <v>18</v>
      </c>
      <c r="W139" s="126">
        <f t="shared" si="57"/>
        <v>19</v>
      </c>
      <c r="X139" s="126">
        <f t="shared" si="57"/>
        <v>20</v>
      </c>
      <c r="Y139" s="126">
        <f t="shared" si="57"/>
        <v>21</v>
      </c>
      <c r="Z139" s="126">
        <f t="shared" si="57"/>
        <v>22</v>
      </c>
      <c r="AA139" s="126">
        <f t="shared" si="57"/>
        <v>23</v>
      </c>
      <c r="AB139" s="126">
        <f t="shared" si="57"/>
        <v>24</v>
      </c>
      <c r="AC139" s="126">
        <f t="shared" si="57"/>
        <v>25</v>
      </c>
      <c r="AD139" s="126">
        <f t="shared" si="57"/>
        <v>26</v>
      </c>
      <c r="AE139" s="126">
        <f t="shared" si="57"/>
        <v>27</v>
      </c>
      <c r="AF139" s="126">
        <f t="shared" si="57"/>
        <v>28</v>
      </c>
      <c r="AG139" s="126">
        <f t="shared" si="57"/>
        <v>29</v>
      </c>
      <c r="AH139" s="126">
        <f t="shared" si="57"/>
        <v>30</v>
      </c>
      <c r="AI139" s="840">
        <f t="shared" si="57"/>
        <v>31</v>
      </c>
    </row>
    <row r="140" spans="1:37" s="289" customFormat="1" outlineLevel="1" x14ac:dyDescent="0.3">
      <c r="B140" s="898"/>
      <c r="C140" s="20"/>
      <c r="D140" s="20"/>
      <c r="E140" s="145"/>
      <c r="F140" s="146"/>
      <c r="G140" s="146"/>
      <c r="H140" s="146"/>
      <c r="I140" s="146"/>
      <c r="J140" s="146"/>
      <c r="K140" s="146"/>
      <c r="L140" s="146"/>
      <c r="M140" s="146"/>
      <c r="N140" s="146"/>
      <c r="O140" s="146"/>
      <c r="P140" s="146"/>
      <c r="Q140" s="146"/>
      <c r="R140" s="146"/>
      <c r="S140" s="146"/>
      <c r="T140" s="146"/>
      <c r="U140" s="146"/>
      <c r="V140" s="146"/>
      <c r="W140" s="146"/>
      <c r="X140" s="146"/>
      <c r="Y140" s="146"/>
      <c r="Z140" s="146"/>
      <c r="AA140" s="146"/>
      <c r="AB140" s="146"/>
      <c r="AC140" s="146"/>
      <c r="AD140" s="146"/>
      <c r="AE140" s="146"/>
      <c r="AF140" s="146"/>
      <c r="AG140" s="146"/>
      <c r="AH140" s="146"/>
      <c r="AI140" s="899"/>
      <c r="AJ140" s="1605"/>
    </row>
    <row r="141" spans="1:37" s="289" customFormat="1" outlineLevel="1" x14ac:dyDescent="0.3">
      <c r="B141" s="773" t="s">
        <v>298</v>
      </c>
      <c r="C141" s="919" t="s">
        <v>299</v>
      </c>
      <c r="D141" s="20"/>
      <c r="E141" s="147"/>
      <c r="F141" s="146"/>
      <c r="G141" s="146"/>
      <c r="H141" s="146"/>
      <c r="I141" s="146"/>
      <c r="J141" s="146"/>
      <c r="K141" s="146"/>
      <c r="L141" s="146"/>
      <c r="M141" s="146"/>
      <c r="N141" s="146"/>
      <c r="O141" s="146"/>
      <c r="P141" s="146"/>
      <c r="Q141" s="146"/>
      <c r="R141" s="146"/>
      <c r="S141" s="146"/>
      <c r="T141" s="146"/>
      <c r="U141" s="146"/>
      <c r="V141" s="146"/>
      <c r="W141" s="146"/>
      <c r="X141" s="146"/>
      <c r="Y141" s="146"/>
      <c r="Z141" s="146"/>
      <c r="AA141" s="146"/>
      <c r="AB141" s="146"/>
      <c r="AC141" s="146"/>
      <c r="AD141" s="146"/>
      <c r="AE141" s="146"/>
      <c r="AF141" s="146"/>
      <c r="AG141" s="146"/>
      <c r="AH141" s="146"/>
      <c r="AI141" s="899"/>
      <c r="AJ141" s="1605"/>
    </row>
    <row r="142" spans="1:37" s="289" customFormat="1" outlineLevel="1" x14ac:dyDescent="0.3">
      <c r="B142" s="706" t="s">
        <v>155</v>
      </c>
      <c r="C142" s="1807" t="s">
        <v>1149</v>
      </c>
      <c r="D142" s="20"/>
      <c r="E142" s="148">
        <f>IFERROR(E71/E9*12/DASHBOARD!$I$27,0)</f>
        <v>0</v>
      </c>
      <c r="F142" s="900">
        <f>IFERROR(F71/F9*12/DASHBOARD!$I$27,0)</f>
        <v>0</v>
      </c>
      <c r="G142" s="900">
        <f>IFERROR(G71/G9*12/DASHBOARD!$I$27,0)</f>
        <v>0</v>
      </c>
      <c r="H142" s="900">
        <f>IFERROR(H71/H9*12/DASHBOARD!$I$27,0)</f>
        <v>0</v>
      </c>
      <c r="I142" s="900">
        <f>IFERROR(I71/I9*12/DASHBOARD!$I$27,0)</f>
        <v>0</v>
      </c>
      <c r="J142" s="900">
        <f>IFERROR(J71/J9*12/DASHBOARD!$I$27,0)</f>
        <v>0</v>
      </c>
      <c r="K142" s="900">
        <f>IFERROR(K71/K9*12/DASHBOARD!$I$27,0)</f>
        <v>0</v>
      </c>
      <c r="L142" s="900">
        <f>IFERROR(L71/L9*12/DASHBOARD!$I$27,0)</f>
        <v>0</v>
      </c>
      <c r="M142" s="900">
        <f>IFERROR(M71/M9*12/DASHBOARD!$I$27,0)</f>
        <v>0</v>
      </c>
      <c r="N142" s="900">
        <f>IFERROR(N71/N9*12/DASHBOARD!$I$27,0)</f>
        <v>0</v>
      </c>
      <c r="O142" s="900">
        <f>IFERROR(O71/O9*12/DASHBOARD!$I$27,0)</f>
        <v>0</v>
      </c>
      <c r="P142" s="900">
        <f>IFERROR(P71/P9*12/DASHBOARD!$I$27,0)</f>
        <v>0</v>
      </c>
      <c r="Q142" s="900">
        <f>IFERROR(Q71/Q9*12/DASHBOARD!$I$27,0)</f>
        <v>0</v>
      </c>
      <c r="R142" s="900">
        <f>IFERROR(R71/R9*12/DASHBOARD!$I$27,0)</f>
        <v>0</v>
      </c>
      <c r="S142" s="900">
        <f>IFERROR(S71/S9*12/DASHBOARD!$I$27,0)</f>
        <v>0</v>
      </c>
      <c r="T142" s="900">
        <f>IFERROR(T71/T9*12/DASHBOARD!$I$27,0)</f>
        <v>0</v>
      </c>
      <c r="U142" s="900">
        <f>IFERROR(U71/U9*12/DASHBOARD!$I$27,0)</f>
        <v>0</v>
      </c>
      <c r="V142" s="900">
        <f>IFERROR(V71/V9*12/DASHBOARD!$I$27,0)</f>
        <v>0</v>
      </c>
      <c r="W142" s="900">
        <f>IFERROR(W71/W9*12/DASHBOARD!$I$27,0)</f>
        <v>0</v>
      </c>
      <c r="X142" s="900">
        <f>IFERROR(X71/X9*12/DASHBOARD!$I$27,0)</f>
        <v>0</v>
      </c>
      <c r="Y142" s="900">
        <f>IFERROR(Y71/Y9*12/DASHBOARD!$I$27,0)</f>
        <v>0</v>
      </c>
      <c r="Z142" s="900">
        <f>IFERROR(Z71/Z9*12/DASHBOARD!$I$27,0)</f>
        <v>0</v>
      </c>
      <c r="AA142" s="900">
        <f>IFERROR(AA71/AA9*12/DASHBOARD!$I$27,0)</f>
        <v>0</v>
      </c>
      <c r="AB142" s="900">
        <f>IFERROR(AB71/AB9*12/DASHBOARD!$I$27,0)</f>
        <v>0</v>
      </c>
      <c r="AC142" s="900">
        <f>IFERROR(AC71/AC9*12/DASHBOARD!$I$27,0)</f>
        <v>0</v>
      </c>
      <c r="AD142" s="900">
        <f>IFERROR(AD71/AD9*12/DASHBOARD!$I$27,0)</f>
        <v>0</v>
      </c>
      <c r="AE142" s="900">
        <f>IFERROR(AE71/AE9*12/DASHBOARD!$I$27,0)</f>
        <v>0</v>
      </c>
      <c r="AF142" s="900">
        <f>IFERROR(AF71/AF9*12/DASHBOARD!$I$27,0)</f>
        <v>0</v>
      </c>
      <c r="AG142" s="900">
        <f>IFERROR(AG71/AG9*12/DASHBOARD!$I$27,0)</f>
        <v>0</v>
      </c>
      <c r="AH142" s="900">
        <f>IFERROR(AH71/AH9*12/DASHBOARD!$I$27,0)</f>
        <v>0</v>
      </c>
      <c r="AI142" s="901">
        <f>IFERROR(AI71/AI9*12/DASHBOARD!$I$27,0)</f>
        <v>0</v>
      </c>
      <c r="AJ142" s="1605"/>
    </row>
    <row r="143" spans="1:37" s="289" customFormat="1" outlineLevel="1" x14ac:dyDescent="0.3">
      <c r="B143" s="706" t="s">
        <v>156</v>
      </c>
      <c r="C143" s="1807" t="s">
        <v>1149</v>
      </c>
      <c r="D143" s="20"/>
      <c r="E143" s="148">
        <f>IFERROR((E71+E74)/E9*12/DASHBOARD!$I$27,0)</f>
        <v>0</v>
      </c>
      <c r="F143" s="900">
        <f>IFERROR((F71+F74)/F9*12/DASHBOARD!$I$27,0)</f>
        <v>0</v>
      </c>
      <c r="G143" s="900">
        <f>IFERROR((G71+G74)/G9*12/DASHBOARD!$I$27,0)</f>
        <v>0</v>
      </c>
      <c r="H143" s="900">
        <f>IFERROR((H71+H74)/H9*12/DASHBOARD!$I$27,0)</f>
        <v>0</v>
      </c>
      <c r="I143" s="900">
        <f>IFERROR((I71+I74)/I9*12/DASHBOARD!$I$27,0)</f>
        <v>0</v>
      </c>
      <c r="J143" s="900">
        <f>IFERROR((J71+J74)/J9*12/DASHBOARD!$I$27,0)</f>
        <v>0</v>
      </c>
      <c r="K143" s="900">
        <f>IFERROR((K71+K74)/K9*12/DASHBOARD!$I$27,0)</f>
        <v>0</v>
      </c>
      <c r="L143" s="900">
        <f>IFERROR((L71+L74)/L9*12/DASHBOARD!$I$27,0)</f>
        <v>0</v>
      </c>
      <c r="M143" s="900">
        <f>IFERROR((M71+M74)/M9*12/DASHBOARD!$I$27,0)</f>
        <v>0</v>
      </c>
      <c r="N143" s="900">
        <f>IFERROR((N71+N74)/N9*12/DASHBOARD!$I$27,0)</f>
        <v>0</v>
      </c>
      <c r="O143" s="900">
        <f>IFERROR((O71+O74)/O9*12/DASHBOARD!$I$27,0)</f>
        <v>0</v>
      </c>
      <c r="P143" s="900">
        <f>IFERROR((P71+P74)/P9*12/DASHBOARD!$I$27,0)</f>
        <v>0</v>
      </c>
      <c r="Q143" s="900">
        <f>IFERROR((Q71+Q74)/Q9*12/DASHBOARD!$I$27,0)</f>
        <v>0</v>
      </c>
      <c r="R143" s="900">
        <f>IFERROR((R71+R74)/R9*12/DASHBOARD!$I$27,0)</f>
        <v>0</v>
      </c>
      <c r="S143" s="900">
        <f>IFERROR((S71+S74)/S9*12/DASHBOARD!$I$27,0)</f>
        <v>0</v>
      </c>
      <c r="T143" s="900">
        <f>IFERROR((T71+T74)/T9*12/DASHBOARD!$I$27,0)</f>
        <v>0</v>
      </c>
      <c r="U143" s="900">
        <f>IFERROR((U71+U74)/U9*12/DASHBOARD!$I$27,0)</f>
        <v>0</v>
      </c>
      <c r="V143" s="900">
        <f>IFERROR((V71+V74)/V9*12/DASHBOARD!$I$27,0)</f>
        <v>0</v>
      </c>
      <c r="W143" s="900">
        <f>IFERROR((W71+W74)/W9*12/DASHBOARD!$I$27,0)</f>
        <v>0</v>
      </c>
      <c r="X143" s="900">
        <f>IFERROR((X71+X74)/X9*12/DASHBOARD!$I$27,0)</f>
        <v>0</v>
      </c>
      <c r="Y143" s="900">
        <f>IFERROR((Y71+Y74)/Y9*12/DASHBOARD!$I$27,0)</f>
        <v>0</v>
      </c>
      <c r="Z143" s="900">
        <f>IFERROR((Z71+Z74)/Z9*12/DASHBOARD!$I$27,0)</f>
        <v>0</v>
      </c>
      <c r="AA143" s="900">
        <f>IFERROR((AA71+AA74)/AA9*12/DASHBOARD!$I$27,0)</f>
        <v>0</v>
      </c>
      <c r="AB143" s="900">
        <f>IFERROR((AB71+AB74)/AB9*12/DASHBOARD!$I$27,0)</f>
        <v>0</v>
      </c>
      <c r="AC143" s="900">
        <f>IFERROR((AC71+AC74)/AC9*12/DASHBOARD!$I$27,0)</f>
        <v>0</v>
      </c>
      <c r="AD143" s="900">
        <f>IFERROR((AD71+AD74)/AD9*12/DASHBOARD!$I$27,0)</f>
        <v>0</v>
      </c>
      <c r="AE143" s="900">
        <f>IFERROR((AE71+AE74)/AE9*12/DASHBOARD!$I$27,0)</f>
        <v>0</v>
      </c>
      <c r="AF143" s="900">
        <f>IFERROR((AF71+AF74)/AF9*12/DASHBOARD!$I$27,0)</f>
        <v>0</v>
      </c>
      <c r="AG143" s="900">
        <f>IFERROR((AG71+AG74)/AG9*12/DASHBOARD!$I$27,0)</f>
        <v>0</v>
      </c>
      <c r="AH143" s="900">
        <f>IFERROR((AH71+AH74)/AH9*12/DASHBOARD!$I$27,0)</f>
        <v>0</v>
      </c>
      <c r="AI143" s="901">
        <f>IFERROR((AI71+AI74)/AI9*12/DASHBOARD!$I$27,0)</f>
        <v>0</v>
      </c>
      <c r="AJ143" s="1605"/>
    </row>
    <row r="144" spans="1:37" s="289" customFormat="1" outlineLevel="1" x14ac:dyDescent="0.3">
      <c r="B144" s="706" t="s">
        <v>193</v>
      </c>
      <c r="C144" s="1807" t="s">
        <v>1149</v>
      </c>
      <c r="D144" s="20"/>
      <c r="E144" s="148">
        <f t="shared" ref="E144:AI144" si="58">IFERROR(E71/E9*12/E122,0)</f>
        <v>0</v>
      </c>
      <c r="F144" s="900">
        <f t="shared" si="58"/>
        <v>0</v>
      </c>
      <c r="G144" s="900">
        <f t="shared" si="58"/>
        <v>0</v>
      </c>
      <c r="H144" s="900">
        <f t="shared" si="58"/>
        <v>0</v>
      </c>
      <c r="I144" s="900">
        <f t="shared" si="58"/>
        <v>0</v>
      </c>
      <c r="J144" s="900">
        <f t="shared" si="58"/>
        <v>0</v>
      </c>
      <c r="K144" s="900">
        <f t="shared" si="58"/>
        <v>0</v>
      </c>
      <c r="L144" s="900">
        <f t="shared" si="58"/>
        <v>0</v>
      </c>
      <c r="M144" s="900">
        <f t="shared" si="58"/>
        <v>0</v>
      </c>
      <c r="N144" s="900">
        <f t="shared" si="58"/>
        <v>0</v>
      </c>
      <c r="O144" s="900">
        <f t="shared" si="58"/>
        <v>0</v>
      </c>
      <c r="P144" s="900">
        <f t="shared" si="58"/>
        <v>0</v>
      </c>
      <c r="Q144" s="900">
        <f t="shared" si="58"/>
        <v>0</v>
      </c>
      <c r="R144" s="900">
        <f t="shared" si="58"/>
        <v>0</v>
      </c>
      <c r="S144" s="900">
        <f t="shared" si="58"/>
        <v>0</v>
      </c>
      <c r="T144" s="900">
        <f t="shared" si="58"/>
        <v>0</v>
      </c>
      <c r="U144" s="900">
        <f t="shared" si="58"/>
        <v>0</v>
      </c>
      <c r="V144" s="900">
        <f t="shared" si="58"/>
        <v>0</v>
      </c>
      <c r="W144" s="900">
        <f t="shared" si="58"/>
        <v>0</v>
      </c>
      <c r="X144" s="900">
        <f t="shared" si="58"/>
        <v>0</v>
      </c>
      <c r="Y144" s="900">
        <f t="shared" si="58"/>
        <v>0</v>
      </c>
      <c r="Z144" s="900">
        <f t="shared" si="58"/>
        <v>0</v>
      </c>
      <c r="AA144" s="900">
        <f t="shared" si="58"/>
        <v>0</v>
      </c>
      <c r="AB144" s="900">
        <f t="shared" si="58"/>
        <v>0</v>
      </c>
      <c r="AC144" s="900">
        <f t="shared" si="58"/>
        <v>0</v>
      </c>
      <c r="AD144" s="900">
        <f t="shared" si="58"/>
        <v>0</v>
      </c>
      <c r="AE144" s="900">
        <f t="shared" si="58"/>
        <v>0</v>
      </c>
      <c r="AF144" s="900">
        <f t="shared" si="58"/>
        <v>0</v>
      </c>
      <c r="AG144" s="900">
        <f t="shared" si="58"/>
        <v>0</v>
      </c>
      <c r="AH144" s="900">
        <f t="shared" si="58"/>
        <v>0</v>
      </c>
      <c r="AI144" s="901">
        <f t="shared" si="58"/>
        <v>0</v>
      </c>
      <c r="AJ144" s="1605"/>
    </row>
    <row r="145" spans="1:36" s="289" customFormat="1" outlineLevel="1" x14ac:dyDescent="0.3">
      <c r="B145" s="706" t="s">
        <v>194</v>
      </c>
      <c r="C145" s="1807" t="s">
        <v>1149</v>
      </c>
      <c r="D145" s="20"/>
      <c r="E145" s="148">
        <f t="shared" ref="E145:AI145" si="59">IFERROR((E71+E74)/E9*12/E122,0)</f>
        <v>0</v>
      </c>
      <c r="F145" s="900">
        <f t="shared" si="59"/>
        <v>0</v>
      </c>
      <c r="G145" s="900">
        <f t="shared" si="59"/>
        <v>0</v>
      </c>
      <c r="H145" s="900">
        <f t="shared" si="59"/>
        <v>0</v>
      </c>
      <c r="I145" s="900">
        <f t="shared" si="59"/>
        <v>0</v>
      </c>
      <c r="J145" s="900">
        <f t="shared" si="59"/>
        <v>0</v>
      </c>
      <c r="K145" s="900">
        <f t="shared" si="59"/>
        <v>0</v>
      </c>
      <c r="L145" s="900">
        <f t="shared" si="59"/>
        <v>0</v>
      </c>
      <c r="M145" s="900">
        <f t="shared" si="59"/>
        <v>0</v>
      </c>
      <c r="N145" s="900">
        <f t="shared" si="59"/>
        <v>0</v>
      </c>
      <c r="O145" s="900">
        <f t="shared" si="59"/>
        <v>0</v>
      </c>
      <c r="P145" s="900">
        <f t="shared" si="59"/>
        <v>0</v>
      </c>
      <c r="Q145" s="900">
        <f t="shared" si="59"/>
        <v>0</v>
      </c>
      <c r="R145" s="900">
        <f t="shared" si="59"/>
        <v>0</v>
      </c>
      <c r="S145" s="900">
        <f t="shared" si="59"/>
        <v>0</v>
      </c>
      <c r="T145" s="900">
        <f t="shared" si="59"/>
        <v>0</v>
      </c>
      <c r="U145" s="900">
        <f t="shared" si="59"/>
        <v>0</v>
      </c>
      <c r="V145" s="900">
        <f t="shared" si="59"/>
        <v>0</v>
      </c>
      <c r="W145" s="900">
        <f t="shared" si="59"/>
        <v>0</v>
      </c>
      <c r="X145" s="900">
        <f t="shared" si="59"/>
        <v>0</v>
      </c>
      <c r="Y145" s="900">
        <f t="shared" si="59"/>
        <v>0</v>
      </c>
      <c r="Z145" s="900">
        <f t="shared" si="59"/>
        <v>0</v>
      </c>
      <c r="AA145" s="900">
        <f t="shared" si="59"/>
        <v>0</v>
      </c>
      <c r="AB145" s="900">
        <f t="shared" si="59"/>
        <v>0</v>
      </c>
      <c r="AC145" s="900">
        <f t="shared" si="59"/>
        <v>0</v>
      </c>
      <c r="AD145" s="900">
        <f t="shared" si="59"/>
        <v>0</v>
      </c>
      <c r="AE145" s="900">
        <f t="shared" si="59"/>
        <v>0</v>
      </c>
      <c r="AF145" s="900">
        <f t="shared" si="59"/>
        <v>0</v>
      </c>
      <c r="AG145" s="900">
        <f t="shared" si="59"/>
        <v>0</v>
      </c>
      <c r="AH145" s="900">
        <f t="shared" si="59"/>
        <v>0</v>
      </c>
      <c r="AI145" s="901">
        <f t="shared" si="59"/>
        <v>0</v>
      </c>
      <c r="AJ145" s="1605"/>
    </row>
    <row r="146" spans="1:36" s="289" customFormat="1" outlineLevel="1" x14ac:dyDescent="0.3">
      <c r="B146" s="706"/>
      <c r="C146" s="1788"/>
      <c r="D146" s="20"/>
      <c r="E146" s="147"/>
      <c r="F146" s="146"/>
      <c r="G146" s="146"/>
      <c r="H146" s="146"/>
      <c r="I146" s="146"/>
      <c r="J146" s="146"/>
      <c r="K146" s="146"/>
      <c r="L146" s="146"/>
      <c r="M146" s="146"/>
      <c r="N146" s="146"/>
      <c r="O146" s="146"/>
      <c r="P146" s="146"/>
      <c r="Q146" s="146"/>
      <c r="R146" s="146"/>
      <c r="S146" s="146"/>
      <c r="T146" s="146"/>
      <c r="U146" s="146"/>
      <c r="V146" s="146"/>
      <c r="W146" s="146"/>
      <c r="X146" s="146"/>
      <c r="Y146" s="146"/>
      <c r="Z146" s="146"/>
      <c r="AA146" s="146"/>
      <c r="AB146" s="146"/>
      <c r="AC146" s="146"/>
      <c r="AD146" s="146"/>
      <c r="AE146" s="146"/>
      <c r="AF146" s="146"/>
      <c r="AG146" s="146"/>
      <c r="AH146" s="146"/>
      <c r="AI146" s="899"/>
      <c r="AJ146" s="1605"/>
    </row>
    <row r="147" spans="1:36" s="289" customFormat="1" outlineLevel="1" x14ac:dyDescent="0.3">
      <c r="B147" s="706" t="s">
        <v>1123</v>
      </c>
      <c r="C147" s="1807" t="s">
        <v>1149</v>
      </c>
      <c r="D147" s="20"/>
      <c r="E147" s="147">
        <f t="shared" ref="E147:AI147" si="60">IFERROR(E122/(E19/E9*12),0)</f>
        <v>0</v>
      </c>
      <c r="F147" s="146">
        <f t="shared" si="60"/>
        <v>0</v>
      </c>
      <c r="G147" s="146">
        <f t="shared" si="60"/>
        <v>0</v>
      </c>
      <c r="H147" s="146">
        <f t="shared" si="60"/>
        <v>0</v>
      </c>
      <c r="I147" s="146">
        <f t="shared" si="60"/>
        <v>0</v>
      </c>
      <c r="J147" s="146">
        <f t="shared" si="60"/>
        <v>0</v>
      </c>
      <c r="K147" s="146">
        <f t="shared" si="60"/>
        <v>0</v>
      </c>
      <c r="L147" s="146">
        <f t="shared" si="60"/>
        <v>0</v>
      </c>
      <c r="M147" s="146">
        <f t="shared" si="60"/>
        <v>0</v>
      </c>
      <c r="N147" s="146">
        <f t="shared" si="60"/>
        <v>0</v>
      </c>
      <c r="O147" s="146">
        <f t="shared" si="60"/>
        <v>0</v>
      </c>
      <c r="P147" s="146">
        <f t="shared" si="60"/>
        <v>0</v>
      </c>
      <c r="Q147" s="146">
        <f t="shared" si="60"/>
        <v>0</v>
      </c>
      <c r="R147" s="146">
        <f t="shared" si="60"/>
        <v>0</v>
      </c>
      <c r="S147" s="146">
        <f t="shared" si="60"/>
        <v>0</v>
      </c>
      <c r="T147" s="146">
        <f t="shared" si="60"/>
        <v>0</v>
      </c>
      <c r="U147" s="146">
        <f t="shared" si="60"/>
        <v>0</v>
      </c>
      <c r="V147" s="146">
        <f t="shared" si="60"/>
        <v>0</v>
      </c>
      <c r="W147" s="146">
        <f t="shared" si="60"/>
        <v>0</v>
      </c>
      <c r="X147" s="146">
        <f t="shared" si="60"/>
        <v>0</v>
      </c>
      <c r="Y147" s="146">
        <f t="shared" si="60"/>
        <v>0</v>
      </c>
      <c r="Z147" s="146">
        <f t="shared" si="60"/>
        <v>0</v>
      </c>
      <c r="AA147" s="146">
        <f t="shared" si="60"/>
        <v>0</v>
      </c>
      <c r="AB147" s="146">
        <f t="shared" si="60"/>
        <v>0</v>
      </c>
      <c r="AC147" s="146">
        <f t="shared" si="60"/>
        <v>0</v>
      </c>
      <c r="AD147" s="146">
        <f t="shared" si="60"/>
        <v>0</v>
      </c>
      <c r="AE147" s="146">
        <f t="shared" si="60"/>
        <v>0</v>
      </c>
      <c r="AF147" s="146">
        <f t="shared" si="60"/>
        <v>0</v>
      </c>
      <c r="AG147" s="146">
        <f t="shared" si="60"/>
        <v>0</v>
      </c>
      <c r="AH147" s="146">
        <f t="shared" si="60"/>
        <v>0</v>
      </c>
      <c r="AI147" s="899">
        <f t="shared" si="60"/>
        <v>0</v>
      </c>
      <c r="AJ147" s="1605"/>
    </row>
    <row r="148" spans="1:36" s="289" customFormat="1" outlineLevel="1" x14ac:dyDescent="0.3">
      <c r="B148" s="706"/>
      <c r="C148" s="1788"/>
      <c r="D148" s="20"/>
      <c r="E148" s="147"/>
      <c r="F148" s="146"/>
      <c r="G148" s="146"/>
      <c r="H148" s="146"/>
      <c r="I148" s="146"/>
      <c r="J148" s="146"/>
      <c r="K148" s="146"/>
      <c r="L148" s="146"/>
      <c r="M148" s="146"/>
      <c r="N148" s="146"/>
      <c r="O148" s="146"/>
      <c r="P148" s="146"/>
      <c r="Q148" s="146"/>
      <c r="R148" s="146"/>
      <c r="S148" s="146"/>
      <c r="T148" s="146"/>
      <c r="U148" s="146"/>
      <c r="V148" s="146"/>
      <c r="W148" s="146"/>
      <c r="X148" s="146"/>
      <c r="Y148" s="146"/>
      <c r="Z148" s="146"/>
      <c r="AA148" s="146"/>
      <c r="AB148" s="146"/>
      <c r="AC148" s="146"/>
      <c r="AD148" s="146"/>
      <c r="AE148" s="146"/>
      <c r="AF148" s="146"/>
      <c r="AG148" s="146"/>
      <c r="AH148" s="146"/>
      <c r="AI148" s="899"/>
      <c r="AJ148" s="1605"/>
    </row>
    <row r="149" spans="1:36" s="289" customFormat="1" outlineLevel="1" x14ac:dyDescent="0.3">
      <c r="B149" s="874" t="s">
        <v>157</v>
      </c>
      <c r="C149" s="1806" t="s">
        <v>1149</v>
      </c>
      <c r="D149" s="250"/>
      <c r="E149" s="143">
        <f>IFERROR((E85-E82-E83)/E9*12/DASHBOARD!$AZ$85,0)</f>
        <v>0</v>
      </c>
      <c r="F149" s="144">
        <f>IFERROR((F85-F82-F83)/F9*12/DASHBOARD!$AZ$85,0)</f>
        <v>0</v>
      </c>
      <c r="G149" s="144">
        <f>IFERROR((G85-G82-G83)/G9*12/DASHBOARD!$AZ$85,0)</f>
        <v>0</v>
      </c>
      <c r="H149" s="144">
        <f>IFERROR((H85-H82-H83)/H9*12/DASHBOARD!$AZ$85,0)</f>
        <v>0</v>
      </c>
      <c r="I149" s="144">
        <f>IFERROR((I85-I82-I83)/I9*12/DASHBOARD!$AZ$85,0)</f>
        <v>0</v>
      </c>
      <c r="J149" s="144">
        <f>IFERROR((J85-J82-J83)/J9*12/DASHBOARD!$AZ$85,0)</f>
        <v>0</v>
      </c>
      <c r="K149" s="144">
        <f>IFERROR((K85-K82-K83)/K9*12/DASHBOARD!$AZ$85,0)</f>
        <v>0</v>
      </c>
      <c r="L149" s="144">
        <f>IFERROR((L85-L82-L83)/L9*12/DASHBOARD!$AZ$85,0)</f>
        <v>0</v>
      </c>
      <c r="M149" s="144">
        <f>IFERROR((M85-M82-M83)/M9*12/DASHBOARD!$AZ$85,0)</f>
        <v>0</v>
      </c>
      <c r="N149" s="144">
        <f>IFERROR((N85-N82-N83)/N9*12/DASHBOARD!$AZ$85,0)</f>
        <v>0</v>
      </c>
      <c r="O149" s="144">
        <f>IFERROR((O85-O82-O83)/O9*12/DASHBOARD!$AZ$85,0)</f>
        <v>0</v>
      </c>
      <c r="P149" s="144">
        <f>IFERROR((P85-P82-P83)/P9*12/DASHBOARD!$AZ$85,0)</f>
        <v>0</v>
      </c>
      <c r="Q149" s="144">
        <f>IFERROR((Q85-Q82-Q83)/Q9*12/DASHBOARD!$AZ$85,0)</f>
        <v>0</v>
      </c>
      <c r="R149" s="144">
        <f>IFERROR((R85-R82-R83)/R9*12/DASHBOARD!$AZ$85,0)</f>
        <v>0</v>
      </c>
      <c r="S149" s="144">
        <f>IFERROR((S85-S82-S83)/S9*12/DASHBOARD!$AZ$85,0)</f>
        <v>0</v>
      </c>
      <c r="T149" s="144">
        <f>IFERROR((T85-T82-T83)/T9*12/DASHBOARD!$AZ$85,0)</f>
        <v>0</v>
      </c>
      <c r="U149" s="144">
        <f>IFERROR((U85-U82-U83)/U9*12/DASHBOARD!$AZ$85,0)</f>
        <v>0</v>
      </c>
      <c r="V149" s="144">
        <f>IFERROR((V85-V82-V83)/V9*12/DASHBOARD!$AZ$85,0)</f>
        <v>0</v>
      </c>
      <c r="W149" s="144">
        <f>IFERROR((W85-W82-W83)/W9*12/DASHBOARD!$AZ$85,0)</f>
        <v>0</v>
      </c>
      <c r="X149" s="144">
        <f>IFERROR((X85-X82-X83)/X9*12/DASHBOARD!$AZ$85,0)</f>
        <v>0</v>
      </c>
      <c r="Y149" s="144">
        <f>IFERROR((Y85-Y82-Y83)/Y9*12/DASHBOARD!$AZ$85,0)</f>
        <v>0</v>
      </c>
      <c r="Z149" s="144">
        <f>IFERROR((Z85-Z82-Z83)/Z9*12/DASHBOARD!$AZ$85,0)</f>
        <v>0</v>
      </c>
      <c r="AA149" s="144">
        <f>IFERROR((AA85-AA82-AA83)/AA9*12/DASHBOARD!$AZ$85,0)</f>
        <v>0</v>
      </c>
      <c r="AB149" s="144">
        <f>IFERROR((AB85-AB82-AB83)/AB9*12/DASHBOARD!$AZ$85,0)</f>
        <v>0</v>
      </c>
      <c r="AC149" s="144">
        <f>IFERROR((AC85-AC82-AC83)/AC9*12/DASHBOARD!$AZ$85,0)</f>
        <v>0</v>
      </c>
      <c r="AD149" s="144">
        <f>IFERROR((AD85-AD82-AD83)/AD9*12/DASHBOARD!$AZ$85,0)</f>
        <v>0</v>
      </c>
      <c r="AE149" s="144">
        <f>IFERROR((AE85-AE82-AE83)/AE9*12/DASHBOARD!$AZ$85,0)</f>
        <v>0</v>
      </c>
      <c r="AF149" s="144">
        <f>IFERROR((AF85-AF82-AF83)/AF9*12/DASHBOARD!$AZ$85,0)</f>
        <v>0</v>
      </c>
      <c r="AG149" s="144">
        <f>IFERROR((AG85-AG82-AG83)/AG9*12/DASHBOARD!$AZ$85,0)</f>
        <v>0</v>
      </c>
      <c r="AH149" s="144">
        <f>IFERROR((AH85-AH82-AH83)/AH9*12/DASHBOARD!$AZ$85,0)</f>
        <v>0</v>
      </c>
      <c r="AI149" s="902">
        <f>IFERROR((AI85-AI82-AI83)/AI9*12/DASHBOARD!$AZ$85,0)</f>
        <v>0</v>
      </c>
      <c r="AJ149" s="1605"/>
    </row>
    <row r="150" spans="1:36" s="289" customFormat="1" outlineLevel="1" x14ac:dyDescent="0.3">
      <c r="B150" s="874" t="s">
        <v>158</v>
      </c>
      <c r="C150" s="1806" t="s">
        <v>1149</v>
      </c>
      <c r="D150" s="250"/>
      <c r="E150" s="143">
        <f>IFERROR((E101-E82-E83-DEBT!D16-DEBT!D15-E95)/E9*12/DASHBOARD!$AZ$87,0)</f>
        <v>0</v>
      </c>
      <c r="F150" s="144">
        <f>IFERROR((F101-F82-F83-DEBT!E16-DEBT!E15-F95)/F9*12/DASHBOARD!$AZ$87,0)</f>
        <v>0</v>
      </c>
      <c r="G150" s="144">
        <f>IFERROR((G101-G82-G83-DEBT!F16-DEBT!F15-G95)/G9*12/DASHBOARD!$AZ$87,0)</f>
        <v>0</v>
      </c>
      <c r="H150" s="144">
        <f>IFERROR((H101-H82-H83-DEBT!G16-DEBT!G15-H95)/H9*12/DASHBOARD!$AZ$87,0)</f>
        <v>0</v>
      </c>
      <c r="I150" s="144">
        <f>IFERROR((I101-I82-I83-DEBT!H16-DEBT!H15-I95)/I9*12/DASHBOARD!$AZ$87,0)</f>
        <v>0</v>
      </c>
      <c r="J150" s="144">
        <f>IFERROR((J101-J82-J83-DEBT!I16-DEBT!I15-J95)/J9*12/DASHBOARD!$AZ$87,0)</f>
        <v>0</v>
      </c>
      <c r="K150" s="144">
        <f>IFERROR((K101-K82-K83-DEBT!J16-DEBT!J15-K95)/K9*12/DASHBOARD!$AZ$87,0)</f>
        <v>0</v>
      </c>
      <c r="L150" s="144">
        <f>IFERROR((L101-L82-L83-DEBT!K16-DEBT!K15-L95)/L9*12/DASHBOARD!$AZ$87,0)</f>
        <v>0</v>
      </c>
      <c r="M150" s="144">
        <f>IFERROR((M101-M82-M83-DEBT!L16-DEBT!L15-M95)/M9*12/DASHBOARD!$AZ$87,0)</f>
        <v>0</v>
      </c>
      <c r="N150" s="144">
        <f>IFERROR((N101-N82-N83-DEBT!M16-DEBT!M15-N95)/N9*12/DASHBOARD!$AZ$87,0)</f>
        <v>0</v>
      </c>
      <c r="O150" s="144">
        <f>IFERROR((O101-O82-O83-DEBT!N16-DEBT!N15-O95)/O9*12/DASHBOARD!$AZ$87,0)</f>
        <v>0</v>
      </c>
      <c r="P150" s="144">
        <f>IFERROR((P101-P82-P83-DEBT!O16-DEBT!O15-P95)/P9*12/DASHBOARD!$AZ$87,0)</f>
        <v>0</v>
      </c>
      <c r="Q150" s="144">
        <f>IFERROR((Q101-Q82-Q83-DEBT!P16-DEBT!P15-Q95)/Q9*12/DASHBOARD!$AZ$87,0)</f>
        <v>0</v>
      </c>
      <c r="R150" s="144">
        <f>IFERROR((R101-R82-R83-DEBT!Q16-DEBT!Q15-R95)/R9*12/DASHBOARD!$AZ$87,0)</f>
        <v>0</v>
      </c>
      <c r="S150" s="144">
        <f>IFERROR((S101-S82-S83-DEBT!R16-DEBT!R15-S95)/S9*12/DASHBOARD!$AZ$87,0)</f>
        <v>0</v>
      </c>
      <c r="T150" s="144">
        <f>IFERROR((T101-T82-T83-DEBT!S16-DEBT!S15-T95)/T9*12/DASHBOARD!$AZ$87,0)</f>
        <v>0</v>
      </c>
      <c r="U150" s="144">
        <f>IFERROR((U101-U82-U83-DEBT!T16-DEBT!T15-U95)/U9*12/DASHBOARD!$AZ$87,0)</f>
        <v>0</v>
      </c>
      <c r="V150" s="144">
        <f>IFERROR((V101-V82-V83-DEBT!U16-DEBT!U15-V95)/V9*12/DASHBOARD!$AZ$87,0)</f>
        <v>0</v>
      </c>
      <c r="W150" s="144">
        <f>IFERROR((W101-W82-W83-DEBT!V16-DEBT!V15-W95)/W9*12/DASHBOARD!$AZ$87,0)</f>
        <v>0</v>
      </c>
      <c r="X150" s="144">
        <f>IFERROR((X101-X82-X83-DEBT!W16-DEBT!W15-X95)/X9*12/DASHBOARD!$AZ$87,0)</f>
        <v>0</v>
      </c>
      <c r="Y150" s="144">
        <f>IFERROR((Y101-Y82-Y83-DEBT!X16-DEBT!X15-Y95)/Y9*12/DASHBOARD!$AZ$87,0)</f>
        <v>0</v>
      </c>
      <c r="Z150" s="144">
        <f>IFERROR((Z101-Z82-Z83-DEBT!Y16-DEBT!Y15-Z95)/Z9*12/DASHBOARD!$AZ$87,0)</f>
        <v>0</v>
      </c>
      <c r="AA150" s="144">
        <f>IFERROR((AA101-AA82-AA83-DEBT!Z16-DEBT!Z15-AA95)/AA9*12/DASHBOARD!$AZ$87,0)</f>
        <v>0</v>
      </c>
      <c r="AB150" s="144">
        <f>IFERROR((AB101-AB82-AB83-DEBT!AA16-DEBT!AA15-AB95)/AB9*12/DASHBOARD!$AZ$87,0)</f>
        <v>0</v>
      </c>
      <c r="AC150" s="144">
        <f>IFERROR((AC101-AC82-AC83-DEBT!AB16-DEBT!AB15-AC95)/AC9*12/DASHBOARD!$AZ$87,0)</f>
        <v>0</v>
      </c>
      <c r="AD150" s="144">
        <f>IFERROR((AD101-AD82-AD83-DEBT!AC16-DEBT!AC15-AD95)/AD9*12/DASHBOARD!$AZ$87,0)</f>
        <v>0</v>
      </c>
      <c r="AE150" s="144">
        <f>IFERROR((AE101-AE82-AE83-DEBT!AD16-DEBT!AD15-AE95)/AE9*12/DASHBOARD!$AZ$87,0)</f>
        <v>0</v>
      </c>
      <c r="AF150" s="144">
        <f>IFERROR((AF101-AF82-AF83-DEBT!AE16-DEBT!AE15-AF95)/AF9*12/DASHBOARD!$AZ$87,0)</f>
        <v>0</v>
      </c>
      <c r="AG150" s="144">
        <f>IFERROR((AG101-AG82-AG83-DEBT!AF16-DEBT!AF15-AG95)/AG9*12/DASHBOARD!$AZ$87,0)</f>
        <v>0</v>
      </c>
      <c r="AH150" s="144">
        <f>IFERROR((AH101-AH82-AH83-DEBT!AG16-DEBT!AG15-AH95)/AH9*12/DASHBOARD!$AZ$87,0)</f>
        <v>0</v>
      </c>
      <c r="AI150" s="902">
        <f>IFERROR((AI101-AI82-AI83-DEBT!AH16-DEBT!AH15-AI95)/AI9*12/DASHBOARD!$AZ$87,0)</f>
        <v>0</v>
      </c>
      <c r="AJ150" s="1605"/>
    </row>
    <row r="151" spans="1:36" s="289" customFormat="1" outlineLevel="1" x14ac:dyDescent="0.3">
      <c r="B151" s="706"/>
      <c r="C151" s="20"/>
      <c r="D151" s="20"/>
      <c r="E151" s="147"/>
      <c r="F151" s="146"/>
      <c r="G151" s="146"/>
      <c r="H151" s="146"/>
      <c r="I151" s="146"/>
      <c r="J151" s="146"/>
      <c r="K151" s="146"/>
      <c r="L151" s="146"/>
      <c r="M151" s="146"/>
      <c r="N151" s="146"/>
      <c r="O151" s="146"/>
      <c r="P151" s="146"/>
      <c r="Q151" s="146"/>
      <c r="R151" s="146"/>
      <c r="S151" s="146"/>
      <c r="T151" s="146"/>
      <c r="U151" s="146"/>
      <c r="V151" s="146"/>
      <c r="W151" s="146"/>
      <c r="X151" s="146"/>
      <c r="Y151" s="146"/>
      <c r="Z151" s="146"/>
      <c r="AA151" s="146"/>
      <c r="AB151" s="146"/>
      <c r="AC151" s="146"/>
      <c r="AD151" s="146"/>
      <c r="AE151" s="146"/>
      <c r="AF151" s="146"/>
      <c r="AG151" s="146"/>
      <c r="AH151" s="146"/>
      <c r="AI151" s="899"/>
      <c r="AJ151" s="1605"/>
    </row>
    <row r="152" spans="1:36" s="289" customFormat="1" outlineLevel="1" x14ac:dyDescent="0.3">
      <c r="B152" s="773" t="s">
        <v>300</v>
      </c>
      <c r="C152" s="675"/>
      <c r="D152" s="918"/>
      <c r="E152" s="147"/>
      <c r="F152" s="146"/>
      <c r="G152" s="146"/>
      <c r="H152" s="146"/>
      <c r="I152" s="146"/>
      <c r="J152" s="146"/>
      <c r="K152" s="146"/>
      <c r="L152" s="146"/>
      <c r="M152" s="146"/>
      <c r="N152" s="146"/>
      <c r="O152" s="146"/>
      <c r="P152" s="146"/>
      <c r="Q152" s="146"/>
      <c r="R152" s="146"/>
      <c r="S152" s="146"/>
      <c r="T152" s="146"/>
      <c r="U152" s="146"/>
      <c r="V152" s="146"/>
      <c r="W152" s="146"/>
      <c r="X152" s="146"/>
      <c r="Y152" s="146"/>
      <c r="Z152" s="146"/>
      <c r="AA152" s="146"/>
      <c r="AB152" s="146"/>
      <c r="AC152" s="146"/>
      <c r="AD152" s="146"/>
      <c r="AE152" s="146"/>
      <c r="AF152" s="146"/>
      <c r="AG152" s="146"/>
      <c r="AH152" s="146"/>
      <c r="AI152" s="899"/>
      <c r="AJ152" s="1605"/>
    </row>
    <row r="153" spans="1:36" s="289" customFormat="1" outlineLevel="1" x14ac:dyDescent="0.3">
      <c r="B153" s="706" t="s">
        <v>509</v>
      </c>
      <c r="C153" s="903" t="s">
        <v>160</v>
      </c>
      <c r="D153" s="20"/>
      <c r="E153" s="139">
        <f>IFERROR(E101-E82-E83-DEBT!D16-E94-E95,0)</f>
        <v>0</v>
      </c>
      <c r="F153" s="14">
        <f>IFERROR(F101-F82-F83-DEBT!E16-F94-F95,0)</f>
        <v>0</v>
      </c>
      <c r="G153" s="14">
        <f>IFERROR(G101-G82-G83-DEBT!F16-G94-G95,0)</f>
        <v>0</v>
      </c>
      <c r="H153" s="14">
        <f>IFERROR(H101-H82-H83-DEBT!G16-H94-H95,0)</f>
        <v>0</v>
      </c>
      <c r="I153" s="14">
        <f>IFERROR(I101-I82-I83-DEBT!H16-I94-I95,0)</f>
        <v>0</v>
      </c>
      <c r="J153" s="14">
        <f>IFERROR(J101-J82-J83-DEBT!I16-J94-J95,0)</f>
        <v>0</v>
      </c>
      <c r="K153" s="14">
        <f>IFERROR(K101-K82-K83-DEBT!J16-K94-K95,0)</f>
        <v>0</v>
      </c>
      <c r="L153" s="14">
        <f>IFERROR(L101-L82-L83-DEBT!K16-L94-L95,0)</f>
        <v>0</v>
      </c>
      <c r="M153" s="14">
        <f>IFERROR(M101-M82-M83-DEBT!L16-M94-M95,0)</f>
        <v>0</v>
      </c>
      <c r="N153" s="14">
        <f>IFERROR(N101-N82-N83-DEBT!M16-N94-N95,0)</f>
        <v>0</v>
      </c>
      <c r="O153" s="14">
        <f>IFERROR(O101-O82-O83-DEBT!N16-O94-O95,0)</f>
        <v>0</v>
      </c>
      <c r="P153" s="14">
        <f>IFERROR(P101-P82-P83-DEBT!O16-P94-P95,0)</f>
        <v>0</v>
      </c>
      <c r="Q153" s="14">
        <f>IFERROR(Q101-Q82-Q83-DEBT!P16-Q94-Q95,0)</f>
        <v>0</v>
      </c>
      <c r="R153" s="14">
        <f>IFERROR(R101-R82-R83-DEBT!Q16-R94-R95,0)</f>
        <v>0</v>
      </c>
      <c r="S153" s="14">
        <f>IFERROR(S101-S82-S83-DEBT!R16-S94-S95,0)</f>
        <v>0</v>
      </c>
      <c r="T153" s="14">
        <f>IFERROR(T101-T82-T83-DEBT!S16-T94-T95,0)</f>
        <v>0</v>
      </c>
      <c r="U153" s="14">
        <f>IFERROR(U101-U82-U83-DEBT!T16-U94-U95,0)</f>
        <v>0</v>
      </c>
      <c r="V153" s="14">
        <f>IFERROR(V101-V82-V83-DEBT!U16-V94-V95,0)</f>
        <v>0</v>
      </c>
      <c r="W153" s="14">
        <f>IFERROR(W101-W82-W83-DEBT!V16-W94-W95,0)</f>
        <v>0</v>
      </c>
      <c r="X153" s="14">
        <f>IFERROR(X101-X82-X83-DEBT!W16-X94-X95,0)</f>
        <v>0</v>
      </c>
      <c r="Y153" s="14">
        <f>IFERROR(Y101-Y82-Y83-DEBT!X16-Y94-Y95,0)</f>
        <v>0</v>
      </c>
      <c r="Z153" s="14">
        <f>IFERROR(Z101-Z82-Z83-DEBT!Y16-Z94-Z95,0)</f>
        <v>0</v>
      </c>
      <c r="AA153" s="14">
        <f>IFERROR(AA101-AA82-AA83-DEBT!Z16-AA94-AA95,0)</f>
        <v>0</v>
      </c>
      <c r="AB153" s="14">
        <f>IFERROR(AB101-AB82-AB83-DEBT!AA16-AB94-AB95,0)</f>
        <v>0</v>
      </c>
      <c r="AC153" s="14">
        <f>IFERROR(AC101-AC82-AC83-DEBT!AB16-AC94-AC95,0)</f>
        <v>0</v>
      </c>
      <c r="AD153" s="14">
        <f>IFERROR(AD101-AD82-AD83-DEBT!AC16-AD94-AD95,0)</f>
        <v>0</v>
      </c>
      <c r="AE153" s="14">
        <f>IFERROR(AE101-AE82-AE83-DEBT!AD16-AE94-AE95,0)</f>
        <v>0</v>
      </c>
      <c r="AF153" s="14">
        <f>IFERROR(AF101-AF82-AF83-DEBT!AE16-AF94-AF95,0)</f>
        <v>0</v>
      </c>
      <c r="AG153" s="14">
        <f>IFERROR(AG101-AG82-AG83-DEBT!AF16-AG94-AG95,0)</f>
        <v>0</v>
      </c>
      <c r="AH153" s="14">
        <f>IFERROR(AH101-AH82-AH83-DEBT!AG16-AH94-AH95,0)</f>
        <v>0</v>
      </c>
      <c r="AI153" s="707">
        <f>IFERROR(AI101-AI82-AI83-DEBT!AH16-AI94-AI95,0)</f>
        <v>0</v>
      </c>
      <c r="AJ153" s="1605"/>
    </row>
    <row r="154" spans="1:36" s="289" customFormat="1" outlineLevel="1" x14ac:dyDescent="0.3">
      <c r="B154" s="706" t="s">
        <v>31</v>
      </c>
      <c r="C154" s="903" t="s">
        <v>161</v>
      </c>
      <c r="D154" s="20"/>
      <c r="E154" s="139">
        <f>-E96+DEBT!D16</f>
        <v>0</v>
      </c>
      <c r="F154" s="14">
        <f>-F96+DEBT!E16</f>
        <v>0</v>
      </c>
      <c r="G154" s="14">
        <f>-G96+DEBT!F16</f>
        <v>0</v>
      </c>
      <c r="H154" s="14">
        <f>-H96+DEBT!G16</f>
        <v>0</v>
      </c>
      <c r="I154" s="14">
        <f>-I96+DEBT!H16</f>
        <v>0</v>
      </c>
      <c r="J154" s="14">
        <f>-J96+DEBT!I16</f>
        <v>0</v>
      </c>
      <c r="K154" s="14">
        <f>-K96+DEBT!J16</f>
        <v>0</v>
      </c>
      <c r="L154" s="14">
        <f>-L96+DEBT!K16</f>
        <v>0</v>
      </c>
      <c r="M154" s="14">
        <f>-M96+DEBT!L16</f>
        <v>0</v>
      </c>
      <c r="N154" s="14">
        <f>-N96+DEBT!M16</f>
        <v>0</v>
      </c>
      <c r="O154" s="14">
        <f>-O96+DEBT!N16</f>
        <v>0</v>
      </c>
      <c r="P154" s="14">
        <f>-P96+DEBT!O16</f>
        <v>0</v>
      </c>
      <c r="Q154" s="14">
        <f>-Q96+DEBT!P16</f>
        <v>0</v>
      </c>
      <c r="R154" s="14">
        <f>-R96+DEBT!Q16</f>
        <v>0</v>
      </c>
      <c r="S154" s="14">
        <f>-S96+DEBT!R16</f>
        <v>0</v>
      </c>
      <c r="T154" s="14">
        <f>-T96+DEBT!S16</f>
        <v>0</v>
      </c>
      <c r="U154" s="14">
        <f>-U96+DEBT!T16</f>
        <v>0</v>
      </c>
      <c r="V154" s="14">
        <f>-V96+DEBT!U16</f>
        <v>0</v>
      </c>
      <c r="W154" s="14">
        <f>-W96+DEBT!V16</f>
        <v>0</v>
      </c>
      <c r="X154" s="14">
        <f>-X96+DEBT!W16</f>
        <v>0</v>
      </c>
      <c r="Y154" s="14">
        <f>-Y96+DEBT!X16</f>
        <v>0</v>
      </c>
      <c r="Z154" s="14">
        <f>-Z96+DEBT!Y16</f>
        <v>0</v>
      </c>
      <c r="AA154" s="14">
        <f>-AA96+DEBT!Z16</f>
        <v>0</v>
      </c>
      <c r="AB154" s="14">
        <f>-AB96+DEBT!AA16</f>
        <v>0</v>
      </c>
      <c r="AC154" s="14">
        <f>-AC96+DEBT!AB16</f>
        <v>0</v>
      </c>
      <c r="AD154" s="14">
        <f>-AD96+DEBT!AC16</f>
        <v>0</v>
      </c>
      <c r="AE154" s="14">
        <f>-AE96+DEBT!AD16</f>
        <v>0</v>
      </c>
      <c r="AF154" s="14">
        <f>-AF96+DEBT!AE16</f>
        <v>0</v>
      </c>
      <c r="AG154" s="14">
        <f>-AG96+DEBT!AF16</f>
        <v>0</v>
      </c>
      <c r="AH154" s="14">
        <f>-AH96+DEBT!AG16</f>
        <v>0</v>
      </c>
      <c r="AI154" s="707">
        <f>-AI96+DEBT!AH16</f>
        <v>0</v>
      </c>
      <c r="AJ154" s="1605"/>
    </row>
    <row r="155" spans="1:36" s="289" customFormat="1" outlineLevel="1" x14ac:dyDescent="0.3">
      <c r="B155" s="706" t="s">
        <v>85</v>
      </c>
      <c r="C155" s="903" t="s">
        <v>162</v>
      </c>
      <c r="D155" s="20"/>
      <c r="E155" s="139">
        <f t="shared" ref="E155:AI155" si="61">ROUND(IF(E5=3,0,E122-D122),2)</f>
        <v>17250.41</v>
      </c>
      <c r="F155" s="14">
        <f t="shared" si="61"/>
        <v>0</v>
      </c>
      <c r="G155" s="14">
        <f t="shared" si="61"/>
        <v>0</v>
      </c>
      <c r="H155" s="14">
        <f t="shared" si="61"/>
        <v>0</v>
      </c>
      <c r="I155" s="14">
        <f t="shared" si="61"/>
        <v>0</v>
      </c>
      <c r="J155" s="14">
        <f t="shared" si="61"/>
        <v>0</v>
      </c>
      <c r="K155" s="14">
        <f t="shared" si="61"/>
        <v>0</v>
      </c>
      <c r="L155" s="14">
        <f t="shared" si="61"/>
        <v>0</v>
      </c>
      <c r="M155" s="14">
        <f t="shared" si="61"/>
        <v>0</v>
      </c>
      <c r="N155" s="14">
        <f t="shared" si="61"/>
        <v>0</v>
      </c>
      <c r="O155" s="14">
        <f t="shared" si="61"/>
        <v>0</v>
      </c>
      <c r="P155" s="14">
        <f t="shared" si="61"/>
        <v>0</v>
      </c>
      <c r="Q155" s="14">
        <f t="shared" si="61"/>
        <v>0</v>
      </c>
      <c r="R155" s="14">
        <f t="shared" si="61"/>
        <v>0</v>
      </c>
      <c r="S155" s="14">
        <f t="shared" si="61"/>
        <v>0</v>
      </c>
      <c r="T155" s="14">
        <f t="shared" si="61"/>
        <v>0</v>
      </c>
      <c r="U155" s="14">
        <f t="shared" si="61"/>
        <v>0</v>
      </c>
      <c r="V155" s="14">
        <f t="shared" si="61"/>
        <v>0</v>
      </c>
      <c r="W155" s="14">
        <f t="shared" si="61"/>
        <v>0</v>
      </c>
      <c r="X155" s="14">
        <f t="shared" si="61"/>
        <v>0</v>
      </c>
      <c r="Y155" s="14">
        <f t="shared" si="61"/>
        <v>0</v>
      </c>
      <c r="Z155" s="14">
        <f t="shared" si="61"/>
        <v>0</v>
      </c>
      <c r="AA155" s="14">
        <f t="shared" si="61"/>
        <v>0</v>
      </c>
      <c r="AB155" s="14">
        <f t="shared" si="61"/>
        <v>0</v>
      </c>
      <c r="AC155" s="14">
        <f t="shared" si="61"/>
        <v>0</v>
      </c>
      <c r="AD155" s="14">
        <f t="shared" si="61"/>
        <v>0</v>
      </c>
      <c r="AE155" s="14">
        <f t="shared" si="61"/>
        <v>0</v>
      </c>
      <c r="AF155" s="14">
        <f t="shared" si="61"/>
        <v>0</v>
      </c>
      <c r="AG155" s="14">
        <f t="shared" si="61"/>
        <v>0</v>
      </c>
      <c r="AH155" s="14">
        <f t="shared" si="61"/>
        <v>0</v>
      </c>
      <c r="AI155" s="707">
        <f t="shared" si="61"/>
        <v>0</v>
      </c>
      <c r="AJ155" s="1605"/>
    </row>
    <row r="156" spans="1:36" s="292" customFormat="1" outlineLevel="1" x14ac:dyDescent="0.3">
      <c r="A156" s="289"/>
      <c r="B156" s="904" t="s">
        <v>86</v>
      </c>
      <c r="C156" s="906" t="s">
        <v>163</v>
      </c>
      <c r="D156" s="905"/>
      <c r="E156" s="149">
        <f>SUM(E153:E155)</f>
        <v>17250.41</v>
      </c>
      <c r="F156" s="150">
        <f>SUM(F153:F155)</f>
        <v>0</v>
      </c>
      <c r="G156" s="150">
        <f t="shared" ref="G156:AH156" si="62">SUM(G153:G155)</f>
        <v>0</v>
      </c>
      <c r="H156" s="150">
        <f t="shared" si="62"/>
        <v>0</v>
      </c>
      <c r="I156" s="150">
        <f t="shared" si="62"/>
        <v>0</v>
      </c>
      <c r="J156" s="150">
        <f t="shared" si="62"/>
        <v>0</v>
      </c>
      <c r="K156" s="150">
        <f t="shared" si="62"/>
        <v>0</v>
      </c>
      <c r="L156" s="150">
        <f t="shared" si="62"/>
        <v>0</v>
      </c>
      <c r="M156" s="150">
        <f t="shared" si="62"/>
        <v>0</v>
      </c>
      <c r="N156" s="150">
        <f t="shared" si="62"/>
        <v>0</v>
      </c>
      <c r="O156" s="150">
        <f t="shared" si="62"/>
        <v>0</v>
      </c>
      <c r="P156" s="150">
        <f t="shared" si="62"/>
        <v>0</v>
      </c>
      <c r="Q156" s="150">
        <f t="shared" si="62"/>
        <v>0</v>
      </c>
      <c r="R156" s="150">
        <f t="shared" si="62"/>
        <v>0</v>
      </c>
      <c r="S156" s="150">
        <f t="shared" si="62"/>
        <v>0</v>
      </c>
      <c r="T156" s="150">
        <f t="shared" si="62"/>
        <v>0</v>
      </c>
      <c r="U156" s="150">
        <f t="shared" si="62"/>
        <v>0</v>
      </c>
      <c r="V156" s="150">
        <f t="shared" si="62"/>
        <v>0</v>
      </c>
      <c r="W156" s="150">
        <f t="shared" si="62"/>
        <v>0</v>
      </c>
      <c r="X156" s="150">
        <f t="shared" si="62"/>
        <v>0</v>
      </c>
      <c r="Y156" s="150">
        <f t="shared" si="62"/>
        <v>0</v>
      </c>
      <c r="Z156" s="150">
        <f t="shared" si="62"/>
        <v>0</v>
      </c>
      <c r="AA156" s="150">
        <f t="shared" si="62"/>
        <v>0</v>
      </c>
      <c r="AB156" s="150">
        <f t="shared" si="62"/>
        <v>0</v>
      </c>
      <c r="AC156" s="150">
        <f t="shared" si="62"/>
        <v>0</v>
      </c>
      <c r="AD156" s="150">
        <f t="shared" si="62"/>
        <v>0</v>
      </c>
      <c r="AE156" s="150">
        <f t="shared" si="62"/>
        <v>0</v>
      </c>
      <c r="AF156" s="150">
        <f t="shared" si="62"/>
        <v>0</v>
      </c>
      <c r="AG156" s="150">
        <f t="shared" si="62"/>
        <v>0</v>
      </c>
      <c r="AH156" s="150">
        <f t="shared" si="62"/>
        <v>0</v>
      </c>
      <c r="AI156" s="907">
        <f>SUM(AI153:AI155)</f>
        <v>0</v>
      </c>
      <c r="AJ156" s="1608"/>
    </row>
    <row r="157" spans="1:36" s="292" customFormat="1" outlineLevel="1" x14ac:dyDescent="0.3">
      <c r="A157" s="289"/>
      <c r="B157" s="908" t="s">
        <v>159</v>
      </c>
      <c r="C157" s="909"/>
      <c r="D157" s="909"/>
      <c r="E157" s="151">
        <f>IF(E5=3,0,SUM($D$156:E156))</f>
        <v>17250.41</v>
      </c>
      <c r="F157" s="910">
        <f>IF(F5=3,0,SUM($D$156:F156))</f>
        <v>0</v>
      </c>
      <c r="G157" s="910">
        <f>IF(G5=3,0,SUM($D$156:G156))</f>
        <v>0</v>
      </c>
      <c r="H157" s="910">
        <f>IF(H5=3,0,SUM($D$156:H156))</f>
        <v>0</v>
      </c>
      <c r="I157" s="910">
        <f>IF(I5=3,0,SUM($D$156:I156))</f>
        <v>0</v>
      </c>
      <c r="J157" s="910">
        <f>IF(J5=3,0,SUM($D$156:J156))</f>
        <v>0</v>
      </c>
      <c r="K157" s="910">
        <f>IF(K5=3,0,SUM($D$156:K156))</f>
        <v>0</v>
      </c>
      <c r="L157" s="910">
        <f>IF(L5=3,0,SUM($D$156:L156))</f>
        <v>0</v>
      </c>
      <c r="M157" s="910">
        <f>IF(M5=3,0,SUM($D$156:M156))</f>
        <v>0</v>
      </c>
      <c r="N157" s="910">
        <f>IF(N5=3,0,SUM($D$156:N156))</f>
        <v>0</v>
      </c>
      <c r="O157" s="910">
        <f>IF(O5=3,0,SUM($D$156:O156))</f>
        <v>0</v>
      </c>
      <c r="P157" s="910">
        <f>IF(P5=3,0,SUM($D$156:P156))</f>
        <v>0</v>
      </c>
      <c r="Q157" s="910">
        <f>IF(Q5=3,0,SUM($D$156:Q156))</f>
        <v>0</v>
      </c>
      <c r="R157" s="910">
        <f>IF(R5=3,0,SUM($D$156:R156))</f>
        <v>0</v>
      </c>
      <c r="S157" s="910">
        <f>IF(S5=3,0,SUM($D$156:S156))</f>
        <v>0</v>
      </c>
      <c r="T157" s="910">
        <f>IF(T5=3,0,SUM($D$156:T156))</f>
        <v>0</v>
      </c>
      <c r="U157" s="910">
        <f>IF(U5=3,0,SUM($D$156:U156))</f>
        <v>0</v>
      </c>
      <c r="V157" s="910">
        <f>IF(V5=3,0,SUM($D$156:V156))</f>
        <v>0</v>
      </c>
      <c r="W157" s="910">
        <f>IF(W5=3,0,SUM($D$156:W156))</f>
        <v>0</v>
      </c>
      <c r="X157" s="910">
        <f>IF(X5=3,0,SUM($D$156:X156))</f>
        <v>0</v>
      </c>
      <c r="Y157" s="910">
        <f>IF(Y5=3,0,SUM($D$156:Y156))</f>
        <v>0</v>
      </c>
      <c r="Z157" s="910">
        <f>IF(Z5=3,0,SUM($D$156:Z156))</f>
        <v>0</v>
      </c>
      <c r="AA157" s="910">
        <f>IF(AA5=3,0,SUM($D$156:AA156))</f>
        <v>0</v>
      </c>
      <c r="AB157" s="910">
        <f>IF(AB5=3,0,SUM($D$156:AB156))</f>
        <v>0</v>
      </c>
      <c r="AC157" s="910">
        <f>IF(AC5=3,0,SUM($D$156:AC156))</f>
        <v>0</v>
      </c>
      <c r="AD157" s="910">
        <f>IF(AD5=3,0,SUM($D$156:AD156))</f>
        <v>0</v>
      </c>
      <c r="AE157" s="910">
        <f>IF(AE5=3,0,SUM($D$156:AE156))</f>
        <v>0</v>
      </c>
      <c r="AF157" s="910">
        <f>IF(AF5=3,0,SUM($D$156:AF156))</f>
        <v>0</v>
      </c>
      <c r="AG157" s="910">
        <f>IF(AG5=3,0,SUM($D$156:AG156))</f>
        <v>0</v>
      </c>
      <c r="AH157" s="910">
        <f>IF(AH5=3,0,SUM($D$156:AH156))</f>
        <v>0</v>
      </c>
      <c r="AI157" s="911">
        <f>IF(AI5=3,0,SUM($D$156:AI156))</f>
        <v>0</v>
      </c>
      <c r="AJ157" s="1608"/>
    </row>
    <row r="158" spans="1:36" s="289" customFormat="1" outlineLevel="1" x14ac:dyDescent="0.3">
      <c r="B158" s="912" t="s">
        <v>201</v>
      </c>
      <c r="C158" s="913"/>
      <c r="D158" s="913"/>
      <c r="E158" s="914">
        <f>IFERROR(E157/DASHBOARD!$AZ$87,0)</f>
        <v>2.4470937257636098</v>
      </c>
      <c r="F158" s="915">
        <f>IFERROR(F157/DASHBOARD!$AZ$87,0)</f>
        <v>0</v>
      </c>
      <c r="G158" s="915">
        <f>IFERROR(G157/DASHBOARD!$AZ$87,0)</f>
        <v>0</v>
      </c>
      <c r="H158" s="915">
        <f>IFERROR(H157/DASHBOARD!$AZ$87,0)</f>
        <v>0</v>
      </c>
      <c r="I158" s="915">
        <f>IFERROR(I157/DASHBOARD!$AZ$87,0)</f>
        <v>0</v>
      </c>
      <c r="J158" s="915">
        <f>IFERROR(J157/DASHBOARD!$AZ$87,0)</f>
        <v>0</v>
      </c>
      <c r="K158" s="915">
        <f>IFERROR(K157/DASHBOARD!$AZ$87,0)</f>
        <v>0</v>
      </c>
      <c r="L158" s="915">
        <f>IFERROR(L157/DASHBOARD!$AZ$87,0)</f>
        <v>0</v>
      </c>
      <c r="M158" s="915">
        <f>IFERROR(M157/DASHBOARD!$AZ$87,0)</f>
        <v>0</v>
      </c>
      <c r="N158" s="915">
        <f>IFERROR(N157/DASHBOARD!$AZ$87,0)</f>
        <v>0</v>
      </c>
      <c r="O158" s="915">
        <f>IFERROR(O157/DASHBOARD!$AZ$87,0)</f>
        <v>0</v>
      </c>
      <c r="P158" s="915">
        <f>IFERROR(P157/DASHBOARD!$AZ$87,0)</f>
        <v>0</v>
      </c>
      <c r="Q158" s="915">
        <f>IFERROR(Q157/DASHBOARD!$AZ$87,0)</f>
        <v>0</v>
      </c>
      <c r="R158" s="915">
        <f>IFERROR(R157/DASHBOARD!$AZ$87,0)</f>
        <v>0</v>
      </c>
      <c r="S158" s="915">
        <f>IFERROR(S157/DASHBOARD!$AZ$87,0)</f>
        <v>0</v>
      </c>
      <c r="T158" s="915">
        <f>IFERROR(T157/DASHBOARD!$AZ$87,0)</f>
        <v>0</v>
      </c>
      <c r="U158" s="915">
        <f>IFERROR(U157/DASHBOARD!$AZ$87,0)</f>
        <v>0</v>
      </c>
      <c r="V158" s="915">
        <f>IFERROR(V157/DASHBOARD!$AZ$87,0)</f>
        <v>0</v>
      </c>
      <c r="W158" s="915">
        <f>IFERROR(W157/DASHBOARD!$AZ$87,0)</f>
        <v>0</v>
      </c>
      <c r="X158" s="915">
        <f>IFERROR(X157/DASHBOARD!$AZ$87,0)</f>
        <v>0</v>
      </c>
      <c r="Y158" s="915">
        <f>IFERROR(Y157/DASHBOARD!$AZ$87,0)</f>
        <v>0</v>
      </c>
      <c r="Z158" s="915">
        <f>IFERROR(Z157/DASHBOARD!$AZ$87,0)</f>
        <v>0</v>
      </c>
      <c r="AA158" s="915">
        <f>IFERROR(AA157/DASHBOARD!$AZ$87,0)</f>
        <v>0</v>
      </c>
      <c r="AB158" s="915">
        <f>IFERROR(AB157/DASHBOARD!$AZ$87,0)</f>
        <v>0</v>
      </c>
      <c r="AC158" s="915">
        <f>IFERROR(AC157/DASHBOARD!$AZ$87,0)</f>
        <v>0</v>
      </c>
      <c r="AD158" s="915">
        <f>IFERROR(AD157/DASHBOARD!$AZ$87,0)</f>
        <v>0</v>
      </c>
      <c r="AE158" s="915">
        <f>IFERROR(AE157/DASHBOARD!$AZ$87,0)</f>
        <v>0</v>
      </c>
      <c r="AF158" s="915">
        <f>IFERROR(AF157/DASHBOARD!$AZ$87,0)</f>
        <v>0</v>
      </c>
      <c r="AG158" s="915">
        <f>IFERROR(AG157/DASHBOARD!$AZ$87,0)</f>
        <v>0</v>
      </c>
      <c r="AH158" s="915">
        <f>IFERROR(AH157/DASHBOARD!$AZ$87,0)</f>
        <v>0</v>
      </c>
      <c r="AI158" s="916">
        <f>IFERROR(AI157/DASHBOARD!$AZ$87,0)</f>
        <v>0</v>
      </c>
      <c r="AJ158" s="1605"/>
    </row>
    <row r="159" spans="1:36" s="289" customFormat="1" x14ac:dyDescent="0.3">
      <c r="B159" s="301"/>
      <c r="C159" s="302"/>
      <c r="D159" s="302"/>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c r="AE159" s="303"/>
      <c r="AF159" s="303"/>
      <c r="AG159" s="303"/>
      <c r="AH159" s="303"/>
      <c r="AI159" s="303"/>
      <c r="AJ159" s="1605"/>
    </row>
    <row r="160" spans="1:36" s="289" customFormat="1" x14ac:dyDescent="0.3">
      <c r="B160" s="301"/>
      <c r="C160" s="302"/>
      <c r="D160" s="302"/>
      <c r="E160" s="303"/>
      <c r="F160" s="303"/>
      <c r="G160" s="303"/>
      <c r="H160" s="303"/>
      <c r="I160" s="303"/>
      <c r="J160" s="303"/>
      <c r="K160" s="303"/>
      <c r="L160" s="303"/>
      <c r="M160" s="303"/>
      <c r="N160" s="303"/>
      <c r="O160" s="303"/>
      <c r="P160" s="303"/>
      <c r="Q160" s="303"/>
      <c r="R160" s="303"/>
      <c r="S160" s="303"/>
      <c r="T160" s="303"/>
      <c r="U160" s="303"/>
      <c r="V160" s="303"/>
      <c r="W160" s="303"/>
      <c r="X160" s="303"/>
      <c r="Y160" s="303"/>
      <c r="Z160" s="303"/>
      <c r="AA160" s="303"/>
      <c r="AB160" s="303"/>
      <c r="AC160" s="303"/>
      <c r="AD160" s="303"/>
      <c r="AE160" s="303"/>
      <c r="AF160" s="303"/>
      <c r="AG160" s="303"/>
      <c r="AH160" s="303"/>
      <c r="AI160" s="303"/>
      <c r="AJ160" s="1605"/>
    </row>
    <row r="161" spans="2:39" s="289" customFormat="1" x14ac:dyDescent="0.3">
      <c r="B161" s="1802" t="s">
        <v>334</v>
      </c>
      <c r="C161" s="1599"/>
      <c r="D161" s="1599"/>
      <c r="E161" s="1599"/>
      <c r="F161" s="1599"/>
      <c r="G161" s="1599"/>
      <c r="H161" s="1599"/>
      <c r="I161" s="1599"/>
      <c r="J161" s="1599"/>
      <c r="K161" s="1599"/>
      <c r="L161" s="1599"/>
      <c r="M161" s="1599"/>
      <c r="N161" s="1599"/>
      <c r="O161" s="1599"/>
      <c r="P161" s="1599"/>
      <c r="Q161" s="1599"/>
      <c r="R161" s="1599"/>
      <c r="S161" s="1599"/>
      <c r="T161" s="1599"/>
      <c r="U161" s="1599"/>
      <c r="V161" s="1599"/>
      <c r="W161" s="1599"/>
      <c r="X161" s="1599"/>
      <c r="Y161" s="1599"/>
      <c r="Z161" s="1599"/>
      <c r="AA161" s="1599"/>
      <c r="AB161" s="1599"/>
      <c r="AC161" s="1599"/>
      <c r="AD161" s="1599"/>
      <c r="AE161" s="1599"/>
      <c r="AF161" s="1599"/>
      <c r="AG161" s="1599"/>
      <c r="AH161" s="1599"/>
      <c r="AI161" s="1600"/>
      <c r="AJ161" s="1605"/>
    </row>
    <row r="162" spans="2:39" x14ac:dyDescent="0.3">
      <c r="B162" s="247"/>
      <c r="C162" s="135"/>
      <c r="D162" s="306">
        <v>0</v>
      </c>
      <c r="E162" s="130">
        <f>D162+1</f>
        <v>1</v>
      </c>
      <c r="F162" s="126">
        <f>E162+1</f>
        <v>2</v>
      </c>
      <c r="G162" s="126">
        <f>F162+1</f>
        <v>3</v>
      </c>
      <c r="H162" s="126">
        <f t="shared" ref="H162:AI162" si="63">G162+1</f>
        <v>4</v>
      </c>
      <c r="I162" s="126">
        <f t="shared" si="63"/>
        <v>5</v>
      </c>
      <c r="J162" s="126">
        <f t="shared" si="63"/>
        <v>6</v>
      </c>
      <c r="K162" s="126">
        <f t="shared" si="63"/>
        <v>7</v>
      </c>
      <c r="L162" s="126">
        <f t="shared" si="63"/>
        <v>8</v>
      </c>
      <c r="M162" s="126">
        <f t="shared" si="63"/>
        <v>9</v>
      </c>
      <c r="N162" s="126">
        <f t="shared" si="63"/>
        <v>10</v>
      </c>
      <c r="O162" s="126">
        <f t="shared" si="63"/>
        <v>11</v>
      </c>
      <c r="P162" s="126">
        <f t="shared" si="63"/>
        <v>12</v>
      </c>
      <c r="Q162" s="126">
        <f t="shared" si="63"/>
        <v>13</v>
      </c>
      <c r="R162" s="126">
        <f t="shared" si="63"/>
        <v>14</v>
      </c>
      <c r="S162" s="126">
        <f t="shared" si="63"/>
        <v>15</v>
      </c>
      <c r="T162" s="126">
        <f t="shared" si="63"/>
        <v>16</v>
      </c>
      <c r="U162" s="126">
        <f t="shared" si="63"/>
        <v>17</v>
      </c>
      <c r="V162" s="126">
        <f t="shared" si="63"/>
        <v>18</v>
      </c>
      <c r="W162" s="126">
        <f t="shared" si="63"/>
        <v>19</v>
      </c>
      <c r="X162" s="126">
        <f t="shared" si="63"/>
        <v>20</v>
      </c>
      <c r="Y162" s="126">
        <f t="shared" si="63"/>
        <v>21</v>
      </c>
      <c r="Z162" s="126">
        <f t="shared" si="63"/>
        <v>22</v>
      </c>
      <c r="AA162" s="126">
        <f t="shared" si="63"/>
        <v>23</v>
      </c>
      <c r="AB162" s="126">
        <f t="shared" si="63"/>
        <v>24</v>
      </c>
      <c r="AC162" s="126">
        <f t="shared" si="63"/>
        <v>25</v>
      </c>
      <c r="AD162" s="126">
        <f t="shared" si="63"/>
        <v>26</v>
      </c>
      <c r="AE162" s="126">
        <f t="shared" si="63"/>
        <v>27</v>
      </c>
      <c r="AF162" s="126">
        <f t="shared" si="63"/>
        <v>28</v>
      </c>
      <c r="AG162" s="126">
        <f t="shared" si="63"/>
        <v>29</v>
      </c>
      <c r="AH162" s="126">
        <f t="shared" si="63"/>
        <v>30</v>
      </c>
      <c r="AI162" s="237">
        <f t="shared" si="63"/>
        <v>31</v>
      </c>
    </row>
    <row r="163" spans="2:39" s="289" customFormat="1" outlineLevel="1" x14ac:dyDescent="0.3">
      <c r="B163" s="926"/>
      <c r="C163" s="20"/>
      <c r="D163" s="1601">
        <f>K3</f>
        <v>45870</v>
      </c>
      <c r="E163" s="1601">
        <f t="shared" ref="E163:AI163" si="64">CHOOSE(E5,E8,$M$3,E8)</f>
        <v>45870</v>
      </c>
      <c r="F163" s="1601">
        <f t="shared" si="64"/>
        <v>46387</v>
      </c>
      <c r="G163" s="1601">
        <f t="shared" si="64"/>
        <v>46752</v>
      </c>
      <c r="H163" s="1601">
        <f t="shared" si="64"/>
        <v>47118</v>
      </c>
      <c r="I163" s="1601">
        <f t="shared" si="64"/>
        <v>47483</v>
      </c>
      <c r="J163" s="1601">
        <f t="shared" si="64"/>
        <v>47848</v>
      </c>
      <c r="K163" s="1601">
        <f t="shared" si="64"/>
        <v>48213</v>
      </c>
      <c r="L163" s="1601">
        <f t="shared" si="64"/>
        <v>48579</v>
      </c>
      <c r="M163" s="1601">
        <f t="shared" si="64"/>
        <v>48944</v>
      </c>
      <c r="N163" s="1601">
        <f t="shared" si="64"/>
        <v>49309</v>
      </c>
      <c r="O163" s="1601">
        <f t="shared" si="64"/>
        <v>49674</v>
      </c>
      <c r="P163" s="1601">
        <f t="shared" si="64"/>
        <v>50040</v>
      </c>
      <c r="Q163" s="1601">
        <f t="shared" si="64"/>
        <v>50405</v>
      </c>
      <c r="R163" s="1601">
        <f t="shared" si="64"/>
        <v>50770</v>
      </c>
      <c r="S163" s="1601">
        <f t="shared" si="64"/>
        <v>51135</v>
      </c>
      <c r="T163" s="1601">
        <f t="shared" si="64"/>
        <v>51501</v>
      </c>
      <c r="U163" s="1601">
        <f t="shared" si="64"/>
        <v>51866</v>
      </c>
      <c r="V163" s="1601">
        <f t="shared" si="64"/>
        <v>52231</v>
      </c>
      <c r="W163" s="1601">
        <f t="shared" si="64"/>
        <v>52596</v>
      </c>
      <c r="X163" s="1601">
        <f t="shared" si="64"/>
        <v>52962</v>
      </c>
      <c r="Y163" s="1601">
        <f t="shared" si="64"/>
        <v>53327</v>
      </c>
      <c r="Z163" s="1601">
        <f t="shared" si="64"/>
        <v>53692</v>
      </c>
      <c r="AA163" s="1601">
        <f t="shared" si="64"/>
        <v>54057</v>
      </c>
      <c r="AB163" s="1601">
        <f t="shared" si="64"/>
        <v>54423</v>
      </c>
      <c r="AC163" s="1601">
        <f t="shared" si="64"/>
        <v>54788</v>
      </c>
      <c r="AD163" s="1601">
        <f t="shared" si="64"/>
        <v>55153</v>
      </c>
      <c r="AE163" s="1601">
        <f t="shared" si="64"/>
        <v>55518</v>
      </c>
      <c r="AF163" s="1601">
        <f t="shared" si="64"/>
        <v>55884</v>
      </c>
      <c r="AG163" s="1601">
        <f t="shared" si="64"/>
        <v>56249</v>
      </c>
      <c r="AH163" s="1601">
        <f t="shared" si="64"/>
        <v>56614</v>
      </c>
      <c r="AI163" s="1602">
        <f t="shared" si="64"/>
        <v>56979</v>
      </c>
      <c r="AJ163" s="1605"/>
    </row>
    <row r="164" spans="2:39" s="289" customFormat="1" outlineLevel="1" x14ac:dyDescent="0.3">
      <c r="B164" s="917" t="s">
        <v>103</v>
      </c>
      <c r="C164" s="919" t="s">
        <v>104</v>
      </c>
      <c r="D164" s="20"/>
      <c r="E164" s="147"/>
      <c r="F164" s="146"/>
      <c r="G164" s="146"/>
      <c r="H164" s="146"/>
      <c r="I164" s="146"/>
      <c r="J164" s="146"/>
      <c r="K164" s="146"/>
      <c r="L164" s="146"/>
      <c r="M164" s="146"/>
      <c r="N164" s="146"/>
      <c r="O164" s="146"/>
      <c r="P164" s="146"/>
      <c r="Q164" s="146"/>
      <c r="R164" s="146"/>
      <c r="S164" s="146"/>
      <c r="T164" s="146"/>
      <c r="U164" s="146"/>
      <c r="V164" s="146"/>
      <c r="W164" s="146"/>
      <c r="X164" s="146"/>
      <c r="Y164" s="146"/>
      <c r="Z164" s="146"/>
      <c r="AA164" s="146"/>
      <c r="AB164" s="146"/>
      <c r="AC164" s="146"/>
      <c r="AD164" s="146"/>
      <c r="AE164" s="146"/>
      <c r="AF164" s="146"/>
      <c r="AG164" s="146"/>
      <c r="AH164" s="146"/>
      <c r="AI164" s="252"/>
      <c r="AJ164" s="1605"/>
    </row>
    <row r="165" spans="2:39" s="289" customFormat="1" outlineLevel="1" x14ac:dyDescent="0.3">
      <c r="B165" s="267" t="str">
        <f>IFERROR(XIRR(D165:AI165,$D$163:$AI$163),"n.a")</f>
        <v>n.a</v>
      </c>
      <c r="C165" s="1598" t="str">
        <f ca="1">IFERROR(MIRR(D165:OFFSET(D165,0,AL165),0%,DASHBOARD!$AD$83),"n.a")</f>
        <v>n.a</v>
      </c>
      <c r="D165" s="241">
        <f>$D$101</f>
        <v>-7049.3458498885448</v>
      </c>
      <c r="E165" s="129">
        <f>IFERROR(IF(YEAR(E$8)&lt;=YEAR($AK165),E$71+E$74+E$76+E$77+E$97+E$98,0)+IF(YEAR(E$8)=YEAR($AK165),E$122-D$128-E$122*DASHBOARD!$BD$27)+IF(YEAR(E$8)&lt;YEAR($AK165),DEBT!D$14,0),0)</f>
        <v>0</v>
      </c>
      <c r="F165" s="134">
        <f>IFERROR(IF(YEAR(F$8)&lt;=YEAR($AK165),F$71+F$74+F$76+F$77+F$97+F$98,0)+IF(YEAR(F$8)=YEAR($AK165),F$122-E$128-F$122*DASHBOARD!$BD$27)+IF(YEAR(F$8)&lt;YEAR($AK165),DEBT!E$14,0),0)</f>
        <v>0</v>
      </c>
      <c r="G165" s="134">
        <f>IFERROR(IF(YEAR(G$8)&lt;=YEAR($AK165),G$71+G$74+G$76+G$77+G$97+G$98,0)+IF(YEAR(G$8)=YEAR($AK165),G$122-F$128-G$122*DASHBOARD!$BD$27)+IF(YEAR(G$8)&lt;YEAR($AK165),DEBT!F$14,0),0)</f>
        <v>0</v>
      </c>
      <c r="H165" s="134">
        <f>IFERROR(IF(YEAR(H$8)&lt;=YEAR($AK165),H$71+H$74+H$76+H$77+H$97+H$98,0)+IF(YEAR(H$8)=YEAR($AK165),H$122-G$128-H$122*DASHBOARD!$BD$27)+IF(YEAR(H$8)&lt;YEAR($AK165),DEBT!G$14,0),0)</f>
        <v>0</v>
      </c>
      <c r="I165" s="134">
        <f>IFERROR(IF(YEAR(I$8)&lt;=YEAR($AK165),I$71+I$74+I$76+I$77+I$97+I$98,0)+IF(YEAR(I$8)=YEAR($AK165),I$122-H$128-I$122*DASHBOARD!$BD$27)+IF(YEAR(I$8)&lt;YEAR($AK165),DEBT!H$14,0),0)</f>
        <v>0</v>
      </c>
      <c r="J165" s="134">
        <f>IFERROR(IF(YEAR(J$8)&lt;=YEAR($AK165),J$71+J$74+J$76+J$77+J$97+J$98,0)+IF(YEAR(J$8)=YEAR($AK165),J$122-I$128-J$122*DASHBOARD!$BD$27)+IF(YEAR(J$8)&lt;YEAR($AK165),DEBT!I$14,0),0)</f>
        <v>0</v>
      </c>
      <c r="K165" s="134">
        <f>IFERROR(IF(YEAR(K$8)&lt;=YEAR($AK165),K$71+K$74+K$76+K$77+K$97+K$98,0)+IF(YEAR(K$8)=YEAR($AK165),K$122-J$128-K$122*DASHBOARD!$BD$27)+IF(YEAR(K$8)&lt;YEAR($AK165),DEBT!J$14,0),0)</f>
        <v>0</v>
      </c>
      <c r="L165" s="134">
        <f>IFERROR(IF(YEAR(L$8)&lt;=YEAR($AK165),L$71+L$74+L$76+L$77+L$97+L$98,0)+IF(YEAR(L$8)=YEAR($AK165),L$122-K$128-L$122*DASHBOARD!$BD$27)+IF(YEAR(L$8)&lt;YEAR($AK165),DEBT!K$14,0),0)</f>
        <v>0</v>
      </c>
      <c r="M165" s="134">
        <f>IFERROR(IF(YEAR(M$8)&lt;=YEAR($AK165),M$71+M$74+M$76+M$77+M$97+M$98,0)+IF(YEAR(M$8)=YEAR($AK165),M$122-L$128-M$122*DASHBOARD!$BD$27)+IF(YEAR(M$8)&lt;YEAR($AK165),DEBT!L$14,0),0)</f>
        <v>0</v>
      </c>
      <c r="N165" s="134">
        <f>IFERROR(IF(YEAR(N$8)&lt;=YEAR($AK165),N$71+N$74+N$76+N$77+N$97+N$98,0)+IF(YEAR(N$8)=YEAR($AK165),N$122-M$128-N$122*DASHBOARD!$BD$27)+IF(YEAR(N$8)&lt;YEAR($AK165),DEBT!M$14,0),0)</f>
        <v>0</v>
      </c>
      <c r="O165" s="134">
        <f>IFERROR(IF(YEAR(O$8)&lt;=YEAR($AK165),O$71+O$74+O$76+O$77+O$97+O$98,0)+IF(YEAR(O$8)=YEAR($AK165),O$122-N$128-O$122*DASHBOARD!$BD$27)+IF(YEAR(O$8)&lt;YEAR($AK165),DEBT!N$14,0),0)</f>
        <v>0</v>
      </c>
      <c r="P165" s="134">
        <f>IFERROR(IF(YEAR(P$8)&lt;=YEAR($AK165),P$71+P$74+P$76+P$77+P$97+P$98,0)+IF(YEAR(P$8)=YEAR($AK165),P$122-O$128-P$122*DASHBOARD!$BD$27)+IF(YEAR(P$8)&lt;YEAR($AK165),DEBT!O$14,0),0)</f>
        <v>0</v>
      </c>
      <c r="Q165" s="134">
        <f>IFERROR(IF(YEAR(Q$8)&lt;=YEAR($AK165),Q$71+Q$74+Q$76+Q$77+Q$97+Q$98,0)+IF(YEAR(Q$8)=YEAR($AK165),Q$122-P$128-Q$122*DASHBOARD!$BD$27)+IF(YEAR(Q$8)&lt;YEAR($AK165),DEBT!P$14,0),0)</f>
        <v>0</v>
      </c>
      <c r="R165" s="134">
        <f>IFERROR(IF(YEAR(R$8)&lt;=YEAR($AK165),R$71+R$74+R$76+R$77+R$97+R$98,0)+IF(YEAR(R$8)=YEAR($AK165),R$122-Q$128-R$122*DASHBOARD!$BD$27)+IF(YEAR(R$8)&lt;YEAR($AK165),DEBT!Q$14,0),0)</f>
        <v>0</v>
      </c>
      <c r="S165" s="134">
        <f>IFERROR(IF(YEAR(S$8)&lt;=YEAR($AK165),S$71+S$74+S$76+S$77+S$97+S$98,0)+IF(YEAR(S$8)=YEAR($AK165),S$122-R$128-S$122*DASHBOARD!$BD$27)+IF(YEAR(S$8)&lt;YEAR($AK165),DEBT!R$14,0),0)</f>
        <v>0</v>
      </c>
      <c r="T165" s="134">
        <f>IFERROR(IF(YEAR(T$8)&lt;=YEAR($AK165),T$71+T$74+T$76+T$77+T$97+T$98,0)+IF(YEAR(T$8)=YEAR($AK165),T$122-S$128-T$122*DASHBOARD!$BD$27)+IF(YEAR(T$8)&lt;YEAR($AK165),DEBT!S$14,0),0)</f>
        <v>0</v>
      </c>
      <c r="U165" s="134">
        <f>IFERROR(IF(YEAR(U$8)&lt;=YEAR($AK165),U$71+U$74+U$76+U$77+U$97+U$98,0)+IF(YEAR(U$8)=YEAR($AK165),U$122-T$128-U$122*DASHBOARD!$BD$27)+IF(YEAR(U$8)&lt;YEAR($AK165),DEBT!T$14,0),0)</f>
        <v>0</v>
      </c>
      <c r="V165" s="134">
        <f>IFERROR(IF(YEAR(V$8)&lt;=YEAR($AK165),V$71+V$74+V$76+V$77+V$97+V$98,0)+IF(YEAR(V$8)=YEAR($AK165),V$122-U$128-V$122*DASHBOARD!$BD$27)+IF(YEAR(V$8)&lt;YEAR($AK165),DEBT!U$14,0),0)</f>
        <v>0</v>
      </c>
      <c r="W165" s="134">
        <f>IFERROR(IF(YEAR(W$8)&lt;=YEAR($AK165),W$71+W$74+W$76+W$77+W$97+W$98,0)+IF(YEAR(W$8)=YEAR($AK165),W$122-V$128-W$122*DASHBOARD!$BD$27)+IF(YEAR(W$8)&lt;YEAR($AK165),DEBT!V$14,0),0)</f>
        <v>0</v>
      </c>
      <c r="X165" s="134">
        <f>IFERROR(IF(YEAR(X$8)&lt;=YEAR($AK165),X$71+X$74+X$76+X$77+X$97+X$98,0)+IF(YEAR(X$8)=YEAR($AK165),X$122-W$128-X$122*DASHBOARD!$BD$27)+IF(YEAR(X$8)&lt;YEAR($AK165),DEBT!W$14,0),0)</f>
        <v>0</v>
      </c>
      <c r="Y165" s="134">
        <f>IFERROR(IF(YEAR(Y$8)&lt;=YEAR($AK165),Y$71+Y$74+Y$76+Y$77+Y$97+Y$98,0)+IF(YEAR(Y$8)=YEAR($AK165),Y$122-X$128-Y$122*DASHBOARD!$BD$27)+IF(YEAR(Y$8)&lt;YEAR($AK165),DEBT!X$14,0),0)</f>
        <v>0</v>
      </c>
      <c r="Z165" s="134">
        <f>IFERROR(IF(YEAR(Z$8)&lt;=YEAR($AK165),Z$71+Z$74+Z$76+Z$77+Z$97+Z$98,0)+IF(YEAR(Z$8)=YEAR($AK165),Z$122-Y$128-Z$122*DASHBOARD!$BD$27)+IF(YEAR(Z$8)&lt;YEAR($AK165),DEBT!Y$14,0),0)</f>
        <v>0</v>
      </c>
      <c r="AA165" s="134">
        <f>IFERROR(IF(YEAR(AA$8)&lt;=YEAR($AK165),AA$71+AA$74+AA$76+AA$77+AA$97+AA$98,0)+IF(YEAR(AA$8)=YEAR($AK165),AA$122-Z$128-AA$122*DASHBOARD!$BD$27)+IF(YEAR(AA$8)&lt;YEAR($AK165),DEBT!Z$14,0),0)</f>
        <v>0</v>
      </c>
      <c r="AB165" s="134">
        <f>IFERROR(IF(YEAR(AB$8)&lt;=YEAR($AK165),AB$71+AB$74+AB$76+AB$77+AB$97+AB$98,0)+IF(YEAR(AB$8)=YEAR($AK165),AB$122-AA$128-AB$122*DASHBOARD!$BD$27)+IF(YEAR(AB$8)&lt;YEAR($AK165),DEBT!AA$14,0),0)</f>
        <v>0</v>
      </c>
      <c r="AC165" s="134">
        <f>IFERROR(IF(YEAR(AC$8)&lt;=YEAR($AK165),AC$71+AC$74+AC$76+AC$77+AC$97+AC$98,0)+IF(YEAR(AC$8)=YEAR($AK165),AC$122-AB$128-AC$122*DASHBOARD!$BD$27)+IF(YEAR(AC$8)&lt;YEAR($AK165),DEBT!AB$14,0),0)</f>
        <v>0</v>
      </c>
      <c r="AD165" s="134">
        <f>IFERROR(IF(YEAR(AD$8)&lt;=YEAR($AK165),AD$71+AD$74+AD$76+AD$77+AD$97+AD$98,0)+IF(YEAR(AD$8)=YEAR($AK165),AD$122-AC$128-AD$122*DASHBOARD!$BD$27)+IF(YEAR(AD$8)&lt;YEAR($AK165),DEBT!AC$14,0),0)</f>
        <v>0</v>
      </c>
      <c r="AE165" s="134">
        <f>IFERROR(IF(YEAR(AE$8)&lt;=YEAR($AK165),AE$71+AE$74+AE$76+AE$77+AE$97+AE$98,0)+IF(YEAR(AE$8)=YEAR($AK165),AE$122-AD$128-AE$122*DASHBOARD!$BD$27)+IF(YEAR(AE$8)&lt;YEAR($AK165),DEBT!AD$14,0),0)</f>
        <v>0</v>
      </c>
      <c r="AF165" s="134">
        <f>IFERROR(IF(YEAR(AF$8)&lt;=YEAR($AK165),AF$71+AF$74+AF$76+AF$77+AF$97+AF$98,0)+IF(YEAR(AF$8)=YEAR($AK165),AF$122-AE$128-AF$122*DASHBOARD!$BD$27)+IF(YEAR(AF$8)&lt;YEAR($AK165),DEBT!AE$14,0),0)</f>
        <v>0</v>
      </c>
      <c r="AG165" s="134">
        <f>IFERROR(IF(YEAR(AG$8)&lt;=YEAR($AK165),AG$71+AG$74+AG$76+AG$77+AG$97+AG$98,0)+IF(YEAR(AG$8)=YEAR($AK165),AG$122-AF$128-AG$122*DASHBOARD!$BD$27)+IF(YEAR(AG$8)&lt;YEAR($AK165),DEBT!AF$14,0),0)</f>
        <v>0</v>
      </c>
      <c r="AH165" s="134">
        <f>IFERROR(IF(YEAR(AH$8)&lt;=YEAR($AK165),AH$71+AH$74+AH$76+AH$77+AH$97+AH$98,0)+IF(YEAR(AH$8)=YEAR($AK165),AH$122-AG$128-AH$122*DASHBOARD!$BD$27)+IF(YEAR(AH$8)&lt;YEAR($AK165),DEBT!AG$14,0),0)</f>
        <v>0</v>
      </c>
      <c r="AI165" s="242">
        <f>IFERROR(IF(YEAR(AI$8)&lt;=YEAR($AK165),AI$71+AI$74+AI$76+AI$77+AI$97+AI$98,0)+IF(YEAR(AI$8)=YEAR($AK165),AI$122-AH$128-AI$122*DASHBOARD!$BD$27)+IF(YEAR(AI$8)&lt;YEAR($AK165),DEBT!AH$14,0),0)</f>
        <v>0</v>
      </c>
      <c r="AJ165" s="1605"/>
      <c r="AK165" s="1704">
        <f>EDATE(purchase_date-1,12)</f>
        <v>46234</v>
      </c>
      <c r="AL165" s="450">
        <f>COUNTIF(E165:AI165,"&lt;&gt;"&amp;0)</f>
        <v>0</v>
      </c>
      <c r="AM165" s="450">
        <v>1</v>
      </c>
    </row>
    <row r="166" spans="2:39" s="289" customFormat="1" outlineLevel="1" x14ac:dyDescent="0.3">
      <c r="B166" s="267" t="str">
        <f t="shared" ref="B166:B194" si="65">IFERROR(XIRR(D166:AI166,$D$163:$AI$163),"n.a")</f>
        <v>n.a</v>
      </c>
      <c r="C166" s="1598" t="str">
        <f ca="1">IFERROR(MIRR(D166:OFFSET(D166,0,AL166),0%,DASHBOARD!$AD$83),"n.a")</f>
        <v>n.a</v>
      </c>
      <c r="D166" s="241">
        <f t="shared" ref="D166:D194" si="66">$D$101</f>
        <v>-7049.3458498885448</v>
      </c>
      <c r="E166" s="129">
        <f>IFERROR(IF(YEAR(E$8)&lt;=YEAR($AK166),E$71+E$74+E$76+E$77+E$97+E$98,0)+IF(YEAR(E$8)=YEAR($AK166),E$122-D$128-E$122*DASHBOARD!$BD$27)+IF(YEAR(E$8)&lt;YEAR($AK166),DEBT!D$14,0),0)</f>
        <v>0</v>
      </c>
      <c r="F166" s="134">
        <f>IFERROR(IF(YEAR(F$8)&lt;=YEAR($AK166),F$71+F$74+F$76+F$77+F$97+F$98,0)+IF(YEAR(F$8)=YEAR($AK166),F$122-E$128-F$122*DASHBOARD!$BD$27)+IF(YEAR(F$8)&lt;YEAR($AK166),DEBT!E$14,0),0)</f>
        <v>0</v>
      </c>
      <c r="G166" s="134">
        <f>IFERROR(IF(YEAR(G$8)&lt;=YEAR($AK166),G$71+G$74+G$76+G$77+G$97+G$98,0)+IF(YEAR(G$8)=YEAR($AK166),G$122-F$128-G$122*DASHBOARD!$BD$27)+IF(YEAR(G$8)&lt;YEAR($AK166),DEBT!F$14,0),0)</f>
        <v>0</v>
      </c>
      <c r="H166" s="134">
        <f>IFERROR(IF(YEAR(H$8)&lt;=YEAR($AK166),H$71+H$74+H$76+H$77+H$97+H$98,0)+IF(YEAR(H$8)=YEAR($AK166),H$122-G$128-H$122*DASHBOARD!$BD$27)+IF(YEAR(H$8)&lt;YEAR($AK166),DEBT!G$14,0),0)</f>
        <v>0</v>
      </c>
      <c r="I166" s="134">
        <f>IFERROR(IF(YEAR(I$8)&lt;=YEAR($AK166),I$71+I$74+I$76+I$77+I$97+I$98,0)+IF(YEAR(I$8)=YEAR($AK166),I$122-H$128-I$122*DASHBOARD!$BD$27)+IF(YEAR(I$8)&lt;YEAR($AK166),DEBT!H$14,0),0)</f>
        <v>0</v>
      </c>
      <c r="J166" s="134">
        <f>IFERROR(IF(YEAR(J$8)&lt;=YEAR($AK166),J$71+J$74+J$76+J$77+J$97+J$98,0)+IF(YEAR(J$8)=YEAR($AK166),J$122-I$128-J$122*DASHBOARD!$BD$27)+IF(YEAR(J$8)&lt;YEAR($AK166),DEBT!I$14,0),0)</f>
        <v>0</v>
      </c>
      <c r="K166" s="134">
        <f>IFERROR(IF(YEAR(K$8)&lt;=YEAR($AK166),K$71+K$74+K$76+K$77+K$97+K$98,0)+IF(YEAR(K$8)=YEAR($AK166),K$122-J$128-K$122*DASHBOARD!$BD$27)+IF(YEAR(K$8)&lt;YEAR($AK166),DEBT!J$14,0),0)</f>
        <v>0</v>
      </c>
      <c r="L166" s="134">
        <f>IFERROR(IF(YEAR(L$8)&lt;=YEAR($AK166),L$71+L$74+L$76+L$77+L$97+L$98,0)+IF(YEAR(L$8)=YEAR($AK166),L$122-K$128-L$122*DASHBOARD!$BD$27)+IF(YEAR(L$8)&lt;YEAR($AK166),DEBT!K$14,0),0)</f>
        <v>0</v>
      </c>
      <c r="M166" s="134">
        <f>IFERROR(IF(YEAR(M$8)&lt;=YEAR($AK166),M$71+M$74+M$76+M$77+M$97+M$98,0)+IF(YEAR(M$8)=YEAR($AK166),M$122-L$128-M$122*DASHBOARD!$BD$27)+IF(YEAR(M$8)&lt;YEAR($AK166),DEBT!L$14,0),0)</f>
        <v>0</v>
      </c>
      <c r="N166" s="134">
        <f>IFERROR(IF(YEAR(N$8)&lt;=YEAR($AK166),N$71+N$74+N$76+N$77+N$97+N$98,0)+IF(YEAR(N$8)=YEAR($AK166),N$122-M$128-N$122*DASHBOARD!$BD$27)+IF(YEAR(N$8)&lt;YEAR($AK166),DEBT!M$14,0),0)</f>
        <v>0</v>
      </c>
      <c r="O166" s="134">
        <f>IFERROR(IF(YEAR(O$8)&lt;=YEAR($AK166),O$71+O$74+O$76+O$77+O$97+O$98,0)+IF(YEAR(O$8)=YEAR($AK166),O$122-N$128-O$122*DASHBOARD!$BD$27)+IF(YEAR(O$8)&lt;YEAR($AK166),DEBT!N$14,0),0)</f>
        <v>0</v>
      </c>
      <c r="P166" s="134">
        <f>IFERROR(IF(YEAR(P$8)&lt;=YEAR($AK166),P$71+P$74+P$76+P$77+P$97+P$98,0)+IF(YEAR(P$8)=YEAR($AK166),P$122-O$128-P$122*DASHBOARD!$BD$27)+IF(YEAR(P$8)&lt;YEAR($AK166),DEBT!O$14,0),0)</f>
        <v>0</v>
      </c>
      <c r="Q166" s="134">
        <f>IFERROR(IF(YEAR(Q$8)&lt;=YEAR($AK166),Q$71+Q$74+Q$76+Q$77+Q$97+Q$98,0)+IF(YEAR(Q$8)=YEAR($AK166),Q$122-P$128-Q$122*DASHBOARD!$BD$27)+IF(YEAR(Q$8)&lt;YEAR($AK166),DEBT!P$14,0),0)</f>
        <v>0</v>
      </c>
      <c r="R166" s="134">
        <f>IFERROR(IF(YEAR(R$8)&lt;=YEAR($AK166),R$71+R$74+R$76+R$77+R$97+R$98,0)+IF(YEAR(R$8)=YEAR($AK166),R$122-Q$128-R$122*DASHBOARD!$BD$27)+IF(YEAR(R$8)&lt;YEAR($AK166),DEBT!Q$14,0),0)</f>
        <v>0</v>
      </c>
      <c r="S166" s="134">
        <f>IFERROR(IF(YEAR(S$8)&lt;=YEAR($AK166),S$71+S$74+S$76+S$77+S$97+S$98,0)+IF(YEAR(S$8)=YEAR($AK166),S$122-R$128-S$122*DASHBOARD!$BD$27)+IF(YEAR(S$8)&lt;YEAR($AK166),DEBT!R$14,0),0)</f>
        <v>0</v>
      </c>
      <c r="T166" s="134">
        <f>IFERROR(IF(YEAR(T$8)&lt;=YEAR($AK166),T$71+T$74+T$76+T$77+T$97+T$98,0)+IF(YEAR(T$8)=YEAR($AK166),T$122-S$128-T$122*DASHBOARD!$BD$27)+IF(YEAR(T$8)&lt;YEAR($AK166),DEBT!S$14,0),0)</f>
        <v>0</v>
      </c>
      <c r="U166" s="134">
        <f>IFERROR(IF(YEAR(U$8)&lt;=YEAR($AK166),U$71+U$74+U$76+U$77+U$97+U$98,0)+IF(YEAR(U$8)=YEAR($AK166),U$122-T$128-U$122*DASHBOARD!$BD$27)+IF(YEAR(U$8)&lt;YEAR($AK166),DEBT!T$14,0),0)</f>
        <v>0</v>
      </c>
      <c r="V166" s="134">
        <f>IFERROR(IF(YEAR(V$8)&lt;=YEAR($AK166),V$71+V$74+V$76+V$77+V$97+V$98,0)+IF(YEAR(V$8)=YEAR($AK166),V$122-U$128-V$122*DASHBOARD!$BD$27)+IF(YEAR(V$8)&lt;YEAR($AK166),DEBT!U$14,0),0)</f>
        <v>0</v>
      </c>
      <c r="W166" s="134">
        <f>IFERROR(IF(YEAR(W$8)&lt;=YEAR($AK166),W$71+W$74+W$76+W$77+W$97+W$98,0)+IF(YEAR(W$8)=YEAR($AK166),W$122-V$128-W$122*DASHBOARD!$BD$27)+IF(YEAR(W$8)&lt;YEAR($AK166),DEBT!V$14,0),0)</f>
        <v>0</v>
      </c>
      <c r="X166" s="134">
        <f>IFERROR(IF(YEAR(X$8)&lt;=YEAR($AK166),X$71+X$74+X$76+X$77+X$97+X$98,0)+IF(YEAR(X$8)=YEAR($AK166),X$122-W$128-X$122*DASHBOARD!$BD$27)+IF(YEAR(X$8)&lt;YEAR($AK166),DEBT!W$14,0),0)</f>
        <v>0</v>
      </c>
      <c r="Y166" s="134">
        <f>IFERROR(IF(YEAR(Y$8)&lt;=YEAR($AK166),Y$71+Y$74+Y$76+Y$77+Y$97+Y$98,0)+IF(YEAR(Y$8)=YEAR($AK166),Y$122-X$128-Y$122*DASHBOARD!$BD$27)+IF(YEAR(Y$8)&lt;YEAR($AK166),DEBT!X$14,0),0)</f>
        <v>0</v>
      </c>
      <c r="Z166" s="134">
        <f>IFERROR(IF(YEAR(Z$8)&lt;=YEAR($AK166),Z$71+Z$74+Z$76+Z$77+Z$97+Z$98,0)+IF(YEAR(Z$8)=YEAR($AK166),Z$122-Y$128-Z$122*DASHBOARD!$BD$27)+IF(YEAR(Z$8)&lt;YEAR($AK166),DEBT!Y$14,0),0)</f>
        <v>0</v>
      </c>
      <c r="AA166" s="134">
        <f>IFERROR(IF(YEAR(AA$8)&lt;=YEAR($AK166),AA$71+AA$74+AA$76+AA$77+AA$97+AA$98,0)+IF(YEAR(AA$8)=YEAR($AK166),AA$122-Z$128-AA$122*DASHBOARD!$BD$27)+IF(YEAR(AA$8)&lt;YEAR($AK166),DEBT!Z$14,0),0)</f>
        <v>0</v>
      </c>
      <c r="AB166" s="134">
        <f>IFERROR(IF(YEAR(AB$8)&lt;=YEAR($AK166),AB$71+AB$74+AB$76+AB$77+AB$97+AB$98,0)+IF(YEAR(AB$8)=YEAR($AK166),AB$122-AA$128-AB$122*DASHBOARD!$BD$27)+IF(YEAR(AB$8)&lt;YEAR($AK166),DEBT!AA$14,0),0)</f>
        <v>0</v>
      </c>
      <c r="AC166" s="134">
        <f>IFERROR(IF(YEAR(AC$8)&lt;=YEAR($AK166),AC$71+AC$74+AC$76+AC$77+AC$97+AC$98,0)+IF(YEAR(AC$8)=YEAR($AK166),AC$122-AB$128-AC$122*DASHBOARD!$BD$27)+IF(YEAR(AC$8)&lt;YEAR($AK166),DEBT!AB$14,0),0)</f>
        <v>0</v>
      </c>
      <c r="AD166" s="134">
        <f>IFERROR(IF(YEAR(AD$8)&lt;=YEAR($AK166),AD$71+AD$74+AD$76+AD$77+AD$97+AD$98,0)+IF(YEAR(AD$8)=YEAR($AK166),AD$122-AC$128-AD$122*DASHBOARD!$BD$27)+IF(YEAR(AD$8)&lt;YEAR($AK166),DEBT!AC$14,0),0)</f>
        <v>0</v>
      </c>
      <c r="AE166" s="134">
        <f>IFERROR(IF(YEAR(AE$8)&lt;=YEAR($AK166),AE$71+AE$74+AE$76+AE$77+AE$97+AE$98,0)+IF(YEAR(AE$8)=YEAR($AK166),AE$122-AD$128-AE$122*DASHBOARD!$BD$27)+IF(YEAR(AE$8)&lt;YEAR($AK166),DEBT!AD$14,0),0)</f>
        <v>0</v>
      </c>
      <c r="AF166" s="134">
        <f>IFERROR(IF(YEAR(AF$8)&lt;=YEAR($AK166),AF$71+AF$74+AF$76+AF$77+AF$97+AF$98,0)+IF(YEAR(AF$8)=YEAR($AK166),AF$122-AE$128-AF$122*DASHBOARD!$BD$27)+IF(YEAR(AF$8)&lt;YEAR($AK166),DEBT!AE$14,0),0)</f>
        <v>0</v>
      </c>
      <c r="AG166" s="134">
        <f>IFERROR(IF(YEAR(AG$8)&lt;=YEAR($AK166),AG$71+AG$74+AG$76+AG$77+AG$97+AG$98,0)+IF(YEAR(AG$8)=YEAR($AK166),AG$122-AF$128-AG$122*DASHBOARD!$BD$27)+IF(YEAR(AG$8)&lt;YEAR($AK166),DEBT!AF$14,0),0)</f>
        <v>0</v>
      </c>
      <c r="AH166" s="134">
        <f>IFERROR(IF(YEAR(AH$8)&lt;=YEAR($AK166),AH$71+AH$74+AH$76+AH$77+AH$97+AH$98,0)+IF(YEAR(AH$8)=YEAR($AK166),AH$122-AG$128-AH$122*DASHBOARD!$BD$27)+IF(YEAR(AH$8)&lt;YEAR($AK166),DEBT!AG$14,0),0)</f>
        <v>0</v>
      </c>
      <c r="AI166" s="242">
        <f>IFERROR(IF(YEAR(AI$8)&lt;=YEAR($AK166),AI$71+AI$74+AI$76+AI$77+AI$97+AI$98,0)+IF(YEAR(AI$8)=YEAR($AK166),AI$122-AH$128-AI$122*DASHBOARD!$BD$27)+IF(YEAR(AI$8)&lt;YEAR($AK166),DEBT!AH$14,0),0)</f>
        <v>0</v>
      </c>
      <c r="AJ166" s="1605"/>
      <c r="AK166" s="1704">
        <f>EDATE(AK165,12)</f>
        <v>46599</v>
      </c>
      <c r="AL166" s="450">
        <f t="shared" ref="AL166:AL194" si="67">COUNTIF(E166:AI166,"&lt;&gt;"&amp;0)</f>
        <v>0</v>
      </c>
      <c r="AM166" s="450">
        <f>AM165+1</f>
        <v>2</v>
      </c>
    </row>
    <row r="167" spans="2:39" s="289" customFormat="1" outlineLevel="1" x14ac:dyDescent="0.3">
      <c r="B167" s="267" t="str">
        <f t="shared" si="65"/>
        <v>n.a</v>
      </c>
      <c r="C167" s="1598" t="str">
        <f ca="1">IFERROR(MIRR(D167:OFFSET(D167,0,AL167),0%,DASHBOARD!$AD$83),"n.a")</f>
        <v>n.a</v>
      </c>
      <c r="D167" s="241">
        <f t="shared" si="66"/>
        <v>-7049.3458498885448</v>
      </c>
      <c r="E167" s="129">
        <f>IFERROR(IF(YEAR(E$8)&lt;=YEAR($AK167),E$71+E$74+E$76+E$77+E$97+E$98,0)+IF(YEAR(E$8)=YEAR($AK167),E$122-D$128-E$122*DASHBOARD!$BD$27)+IF(YEAR(E$8)&lt;YEAR($AK167),DEBT!D$14,0),0)</f>
        <v>0</v>
      </c>
      <c r="F167" s="134">
        <f>IFERROR(IF(YEAR(F$8)&lt;=YEAR($AK167),F$71+F$74+F$76+F$77+F$97+F$98,0)+IF(YEAR(F$8)=YEAR($AK167),F$122-E$128-F$122*DASHBOARD!$BD$27)+IF(YEAR(F$8)&lt;YEAR($AK167),DEBT!E$14,0),0)</f>
        <v>0</v>
      </c>
      <c r="G167" s="134">
        <f>IFERROR(IF(YEAR(G$8)&lt;=YEAR($AK167),G$71+G$74+G$76+G$77+G$97+G$98,0)+IF(YEAR(G$8)=YEAR($AK167),G$122-F$128-G$122*DASHBOARD!$BD$27)+IF(YEAR(G$8)&lt;YEAR($AK167),DEBT!F$14,0),0)</f>
        <v>0</v>
      </c>
      <c r="H167" s="134">
        <f>IFERROR(IF(YEAR(H$8)&lt;=YEAR($AK167),H$71+H$74+H$76+H$77+H$97+H$98,0)+IF(YEAR(H$8)=YEAR($AK167),H$122-G$128-H$122*DASHBOARD!$BD$27)+IF(YEAR(H$8)&lt;YEAR($AK167),DEBT!G$14,0),0)</f>
        <v>0</v>
      </c>
      <c r="I167" s="134">
        <f>IFERROR(IF(YEAR(I$8)&lt;=YEAR($AK167),I$71+I$74+I$76+I$77+I$97+I$98,0)+IF(YEAR(I$8)=YEAR($AK167),I$122-H$128-I$122*DASHBOARD!$BD$27)+IF(YEAR(I$8)&lt;YEAR($AK167),DEBT!H$14,0),0)</f>
        <v>0</v>
      </c>
      <c r="J167" s="134">
        <f>IFERROR(IF(YEAR(J$8)&lt;=YEAR($AK167),J$71+J$74+J$76+J$77+J$97+J$98,0)+IF(YEAR(J$8)=YEAR($AK167),J$122-I$128-J$122*DASHBOARD!$BD$27)+IF(YEAR(J$8)&lt;YEAR($AK167),DEBT!I$14,0),0)</f>
        <v>0</v>
      </c>
      <c r="K167" s="134">
        <f>IFERROR(IF(YEAR(K$8)&lt;=YEAR($AK167),K$71+K$74+K$76+K$77+K$97+K$98,0)+IF(YEAR(K$8)=YEAR($AK167),K$122-J$128-K$122*DASHBOARD!$BD$27)+IF(YEAR(K$8)&lt;YEAR($AK167),DEBT!J$14,0),0)</f>
        <v>0</v>
      </c>
      <c r="L167" s="134">
        <f>IFERROR(IF(YEAR(L$8)&lt;=YEAR($AK167),L$71+L$74+L$76+L$77+L$97+L$98,0)+IF(YEAR(L$8)=YEAR($AK167),L$122-K$128-L$122*DASHBOARD!$BD$27)+IF(YEAR(L$8)&lt;YEAR($AK167),DEBT!K$14,0),0)</f>
        <v>0</v>
      </c>
      <c r="M167" s="134">
        <f>IFERROR(IF(YEAR(M$8)&lt;=YEAR($AK167),M$71+M$74+M$76+M$77+M$97+M$98,0)+IF(YEAR(M$8)=YEAR($AK167),M$122-L$128-M$122*DASHBOARD!$BD$27)+IF(YEAR(M$8)&lt;YEAR($AK167),DEBT!L$14,0),0)</f>
        <v>0</v>
      </c>
      <c r="N167" s="134">
        <f>IFERROR(IF(YEAR(N$8)&lt;=YEAR($AK167),N$71+N$74+N$76+N$77+N$97+N$98,0)+IF(YEAR(N$8)=YEAR($AK167),N$122-M$128-N$122*DASHBOARD!$BD$27)+IF(YEAR(N$8)&lt;YEAR($AK167),DEBT!M$14,0),0)</f>
        <v>0</v>
      </c>
      <c r="O167" s="134">
        <f>IFERROR(IF(YEAR(O$8)&lt;=YEAR($AK167),O$71+O$74+O$76+O$77+O$97+O$98,0)+IF(YEAR(O$8)=YEAR($AK167),O$122-N$128-O$122*DASHBOARD!$BD$27)+IF(YEAR(O$8)&lt;YEAR($AK167),DEBT!N$14,0),0)</f>
        <v>0</v>
      </c>
      <c r="P167" s="134">
        <f>IFERROR(IF(YEAR(P$8)&lt;=YEAR($AK167),P$71+P$74+P$76+P$77+P$97+P$98,0)+IF(YEAR(P$8)=YEAR($AK167),P$122-O$128-P$122*DASHBOARD!$BD$27)+IF(YEAR(P$8)&lt;YEAR($AK167),DEBT!O$14,0),0)</f>
        <v>0</v>
      </c>
      <c r="Q167" s="134">
        <f>IFERROR(IF(YEAR(Q$8)&lt;=YEAR($AK167),Q$71+Q$74+Q$76+Q$77+Q$97+Q$98,0)+IF(YEAR(Q$8)=YEAR($AK167),Q$122-P$128-Q$122*DASHBOARD!$BD$27)+IF(YEAR(Q$8)&lt;YEAR($AK167),DEBT!P$14,0),0)</f>
        <v>0</v>
      </c>
      <c r="R167" s="134">
        <f>IFERROR(IF(YEAR(R$8)&lt;=YEAR($AK167),R$71+R$74+R$76+R$77+R$97+R$98,0)+IF(YEAR(R$8)=YEAR($AK167),R$122-Q$128-R$122*DASHBOARD!$BD$27)+IF(YEAR(R$8)&lt;YEAR($AK167),DEBT!Q$14,0),0)</f>
        <v>0</v>
      </c>
      <c r="S167" s="134">
        <f>IFERROR(IF(YEAR(S$8)&lt;=YEAR($AK167),S$71+S$74+S$76+S$77+S$97+S$98,0)+IF(YEAR(S$8)=YEAR($AK167),S$122-R$128-S$122*DASHBOARD!$BD$27)+IF(YEAR(S$8)&lt;YEAR($AK167),DEBT!R$14,0),0)</f>
        <v>0</v>
      </c>
      <c r="T167" s="134">
        <f>IFERROR(IF(YEAR(T$8)&lt;=YEAR($AK167),T$71+T$74+T$76+T$77+T$97+T$98,0)+IF(YEAR(T$8)=YEAR($AK167),T$122-S$128-T$122*DASHBOARD!$BD$27)+IF(YEAR(T$8)&lt;YEAR($AK167),DEBT!S$14,0),0)</f>
        <v>0</v>
      </c>
      <c r="U167" s="134">
        <f>IFERROR(IF(YEAR(U$8)&lt;=YEAR($AK167),U$71+U$74+U$76+U$77+U$97+U$98,0)+IF(YEAR(U$8)=YEAR($AK167),U$122-T$128-U$122*DASHBOARD!$BD$27)+IF(YEAR(U$8)&lt;YEAR($AK167),DEBT!T$14,0),0)</f>
        <v>0</v>
      </c>
      <c r="V167" s="134">
        <f>IFERROR(IF(YEAR(V$8)&lt;=YEAR($AK167),V$71+V$74+V$76+V$77+V$97+V$98,0)+IF(YEAR(V$8)=YEAR($AK167),V$122-U$128-V$122*DASHBOARD!$BD$27)+IF(YEAR(V$8)&lt;YEAR($AK167),DEBT!U$14,0),0)</f>
        <v>0</v>
      </c>
      <c r="W167" s="134">
        <f>IFERROR(IF(YEAR(W$8)&lt;=YEAR($AK167),W$71+W$74+W$76+W$77+W$97+W$98,0)+IF(YEAR(W$8)=YEAR($AK167),W$122-V$128-W$122*DASHBOARD!$BD$27)+IF(YEAR(W$8)&lt;YEAR($AK167),DEBT!V$14,0),0)</f>
        <v>0</v>
      </c>
      <c r="X167" s="134">
        <f>IFERROR(IF(YEAR(X$8)&lt;=YEAR($AK167),X$71+X$74+X$76+X$77+X$97+X$98,0)+IF(YEAR(X$8)=YEAR($AK167),X$122-W$128-X$122*DASHBOARD!$BD$27)+IF(YEAR(X$8)&lt;YEAR($AK167),DEBT!W$14,0),0)</f>
        <v>0</v>
      </c>
      <c r="Y167" s="134">
        <f>IFERROR(IF(YEAR(Y$8)&lt;=YEAR($AK167),Y$71+Y$74+Y$76+Y$77+Y$97+Y$98,0)+IF(YEAR(Y$8)=YEAR($AK167),Y$122-X$128-Y$122*DASHBOARD!$BD$27)+IF(YEAR(Y$8)&lt;YEAR($AK167),DEBT!X$14,0),0)</f>
        <v>0</v>
      </c>
      <c r="Z167" s="134">
        <f>IFERROR(IF(YEAR(Z$8)&lt;=YEAR($AK167),Z$71+Z$74+Z$76+Z$77+Z$97+Z$98,0)+IF(YEAR(Z$8)=YEAR($AK167),Z$122-Y$128-Z$122*DASHBOARD!$BD$27)+IF(YEAR(Z$8)&lt;YEAR($AK167),DEBT!Y$14,0),0)</f>
        <v>0</v>
      </c>
      <c r="AA167" s="134">
        <f>IFERROR(IF(YEAR(AA$8)&lt;=YEAR($AK167),AA$71+AA$74+AA$76+AA$77+AA$97+AA$98,0)+IF(YEAR(AA$8)=YEAR($AK167),AA$122-Z$128-AA$122*DASHBOARD!$BD$27)+IF(YEAR(AA$8)&lt;YEAR($AK167),DEBT!Z$14,0),0)</f>
        <v>0</v>
      </c>
      <c r="AB167" s="134">
        <f>IFERROR(IF(YEAR(AB$8)&lt;=YEAR($AK167),AB$71+AB$74+AB$76+AB$77+AB$97+AB$98,0)+IF(YEAR(AB$8)=YEAR($AK167),AB$122-AA$128-AB$122*DASHBOARD!$BD$27)+IF(YEAR(AB$8)&lt;YEAR($AK167),DEBT!AA$14,0),0)</f>
        <v>0</v>
      </c>
      <c r="AC167" s="134">
        <f>IFERROR(IF(YEAR(AC$8)&lt;=YEAR($AK167),AC$71+AC$74+AC$76+AC$77+AC$97+AC$98,0)+IF(YEAR(AC$8)=YEAR($AK167),AC$122-AB$128-AC$122*DASHBOARD!$BD$27)+IF(YEAR(AC$8)&lt;YEAR($AK167),DEBT!AB$14,0),0)</f>
        <v>0</v>
      </c>
      <c r="AD167" s="134">
        <f>IFERROR(IF(YEAR(AD$8)&lt;=YEAR($AK167),AD$71+AD$74+AD$76+AD$77+AD$97+AD$98,0)+IF(YEAR(AD$8)=YEAR($AK167),AD$122-AC$128-AD$122*DASHBOARD!$BD$27)+IF(YEAR(AD$8)&lt;YEAR($AK167),DEBT!AC$14,0),0)</f>
        <v>0</v>
      </c>
      <c r="AE167" s="134">
        <f>IFERROR(IF(YEAR(AE$8)&lt;=YEAR($AK167),AE$71+AE$74+AE$76+AE$77+AE$97+AE$98,0)+IF(YEAR(AE$8)=YEAR($AK167),AE$122-AD$128-AE$122*DASHBOARD!$BD$27)+IF(YEAR(AE$8)&lt;YEAR($AK167),DEBT!AD$14,0),0)</f>
        <v>0</v>
      </c>
      <c r="AF167" s="134">
        <f>IFERROR(IF(YEAR(AF$8)&lt;=YEAR($AK167),AF$71+AF$74+AF$76+AF$77+AF$97+AF$98,0)+IF(YEAR(AF$8)=YEAR($AK167),AF$122-AE$128-AF$122*DASHBOARD!$BD$27)+IF(YEAR(AF$8)&lt;YEAR($AK167),DEBT!AE$14,0),0)</f>
        <v>0</v>
      </c>
      <c r="AG167" s="134">
        <f>IFERROR(IF(YEAR(AG$8)&lt;=YEAR($AK167),AG$71+AG$74+AG$76+AG$77+AG$97+AG$98,0)+IF(YEAR(AG$8)=YEAR($AK167),AG$122-AF$128-AG$122*DASHBOARD!$BD$27)+IF(YEAR(AG$8)&lt;YEAR($AK167),DEBT!AF$14,0),0)</f>
        <v>0</v>
      </c>
      <c r="AH167" s="134">
        <f>IFERROR(IF(YEAR(AH$8)&lt;=YEAR($AK167),AH$71+AH$74+AH$76+AH$77+AH$97+AH$98,0)+IF(YEAR(AH$8)=YEAR($AK167),AH$122-AG$128-AH$122*DASHBOARD!$BD$27)+IF(YEAR(AH$8)&lt;YEAR($AK167),DEBT!AG$14,0),0)</f>
        <v>0</v>
      </c>
      <c r="AI167" s="242">
        <f>IFERROR(IF(YEAR(AI$8)&lt;=YEAR($AK167),AI$71+AI$74+AI$76+AI$77+AI$97+AI$98,0)+IF(YEAR(AI$8)=YEAR($AK167),AI$122-AH$128-AI$122*DASHBOARD!$BD$27)+IF(YEAR(AI$8)&lt;YEAR($AK167),DEBT!AH$14,0),0)</f>
        <v>0</v>
      </c>
      <c r="AJ167" s="1605"/>
      <c r="AK167" s="1704">
        <f t="shared" ref="AK167:AK194" si="68">EDATE(AK166,12)</f>
        <v>46965</v>
      </c>
      <c r="AL167" s="450">
        <f t="shared" si="67"/>
        <v>0</v>
      </c>
      <c r="AM167" s="450">
        <f t="shared" ref="AM167:AM194" si="69">AM166+1</f>
        <v>3</v>
      </c>
    </row>
    <row r="168" spans="2:39" s="289" customFormat="1" outlineLevel="1" x14ac:dyDescent="0.3">
      <c r="B168" s="267" t="str">
        <f t="shared" si="65"/>
        <v>n.a</v>
      </c>
      <c r="C168" s="1598" t="str">
        <f ca="1">IFERROR(MIRR(D168:OFFSET(D168,0,AL168),0%,DASHBOARD!$AD$83),"n.a")</f>
        <v>n.a</v>
      </c>
      <c r="D168" s="241">
        <f t="shared" si="66"/>
        <v>-7049.3458498885448</v>
      </c>
      <c r="E168" s="129">
        <f>IFERROR(IF(YEAR(E$8)&lt;=YEAR($AK168),E$71+E$74+E$76+E$77+E$97+E$98,0)+IF(YEAR(E$8)=YEAR($AK168),E$122-D$128-E$122*DASHBOARD!$BD$27)+IF(YEAR(E$8)&lt;YEAR($AK168),DEBT!D$14,0),0)</f>
        <v>0</v>
      </c>
      <c r="F168" s="134">
        <f>IFERROR(IF(YEAR(F$8)&lt;=YEAR($AK168),F$71+F$74+F$76+F$77+F$97+F$98,0)+IF(YEAR(F$8)=YEAR($AK168),F$122-E$128-F$122*DASHBOARD!$BD$27)+IF(YEAR(F$8)&lt;YEAR($AK168),DEBT!E$14,0),0)</f>
        <v>0</v>
      </c>
      <c r="G168" s="134">
        <f>IFERROR(IF(YEAR(G$8)&lt;=YEAR($AK168),G$71+G$74+G$76+G$77+G$97+G$98,0)+IF(YEAR(G$8)=YEAR($AK168),G$122-F$128-G$122*DASHBOARD!$BD$27)+IF(YEAR(G$8)&lt;YEAR($AK168),DEBT!F$14,0),0)</f>
        <v>0</v>
      </c>
      <c r="H168" s="134">
        <f>IFERROR(IF(YEAR(H$8)&lt;=YEAR($AK168),H$71+H$74+H$76+H$77+H$97+H$98,0)+IF(YEAR(H$8)=YEAR($AK168),H$122-G$128-H$122*DASHBOARD!$BD$27)+IF(YEAR(H$8)&lt;YEAR($AK168),DEBT!G$14,0),0)</f>
        <v>0</v>
      </c>
      <c r="I168" s="134">
        <f>IFERROR(IF(YEAR(I$8)&lt;=YEAR($AK168),I$71+I$74+I$76+I$77+I$97+I$98,0)+IF(YEAR(I$8)=YEAR($AK168),I$122-H$128-I$122*DASHBOARD!$BD$27)+IF(YEAR(I$8)&lt;YEAR($AK168),DEBT!H$14,0),0)</f>
        <v>0</v>
      </c>
      <c r="J168" s="134">
        <f>IFERROR(IF(YEAR(J$8)&lt;=YEAR($AK168),J$71+J$74+J$76+J$77+J$97+J$98,0)+IF(YEAR(J$8)=YEAR($AK168),J$122-I$128-J$122*DASHBOARD!$BD$27)+IF(YEAR(J$8)&lt;YEAR($AK168),DEBT!I$14,0),0)</f>
        <v>0</v>
      </c>
      <c r="K168" s="134">
        <f>IFERROR(IF(YEAR(K$8)&lt;=YEAR($AK168),K$71+K$74+K$76+K$77+K$97+K$98,0)+IF(YEAR(K$8)=YEAR($AK168),K$122-J$128-K$122*DASHBOARD!$BD$27)+IF(YEAR(K$8)&lt;YEAR($AK168),DEBT!J$14,0),0)</f>
        <v>0</v>
      </c>
      <c r="L168" s="134">
        <f>IFERROR(IF(YEAR(L$8)&lt;=YEAR($AK168),L$71+L$74+L$76+L$77+L$97+L$98,0)+IF(YEAR(L$8)=YEAR($AK168),L$122-K$128-L$122*DASHBOARD!$BD$27)+IF(YEAR(L$8)&lt;YEAR($AK168),DEBT!K$14,0),0)</f>
        <v>0</v>
      </c>
      <c r="M168" s="134">
        <f>IFERROR(IF(YEAR(M$8)&lt;=YEAR($AK168),M$71+M$74+M$76+M$77+M$97+M$98,0)+IF(YEAR(M$8)=YEAR($AK168),M$122-L$128-M$122*DASHBOARD!$BD$27)+IF(YEAR(M$8)&lt;YEAR($AK168),DEBT!L$14,0),0)</f>
        <v>0</v>
      </c>
      <c r="N168" s="134">
        <f>IFERROR(IF(YEAR(N$8)&lt;=YEAR($AK168),N$71+N$74+N$76+N$77+N$97+N$98,0)+IF(YEAR(N$8)=YEAR($AK168),N$122-M$128-N$122*DASHBOARD!$BD$27)+IF(YEAR(N$8)&lt;YEAR($AK168),DEBT!M$14,0),0)</f>
        <v>0</v>
      </c>
      <c r="O168" s="134">
        <f>IFERROR(IF(YEAR(O$8)&lt;=YEAR($AK168),O$71+O$74+O$76+O$77+O$97+O$98,0)+IF(YEAR(O$8)=YEAR($AK168),O$122-N$128-O$122*DASHBOARD!$BD$27)+IF(YEAR(O$8)&lt;YEAR($AK168),DEBT!N$14,0),0)</f>
        <v>0</v>
      </c>
      <c r="P168" s="134">
        <f>IFERROR(IF(YEAR(P$8)&lt;=YEAR($AK168),P$71+P$74+P$76+P$77+P$97+P$98,0)+IF(YEAR(P$8)=YEAR($AK168),P$122-O$128-P$122*DASHBOARD!$BD$27)+IF(YEAR(P$8)&lt;YEAR($AK168),DEBT!O$14,0),0)</f>
        <v>0</v>
      </c>
      <c r="Q168" s="134">
        <f>IFERROR(IF(YEAR(Q$8)&lt;=YEAR($AK168),Q$71+Q$74+Q$76+Q$77+Q$97+Q$98,0)+IF(YEAR(Q$8)=YEAR($AK168),Q$122-P$128-Q$122*DASHBOARD!$BD$27)+IF(YEAR(Q$8)&lt;YEAR($AK168),DEBT!P$14,0),0)</f>
        <v>0</v>
      </c>
      <c r="R168" s="134">
        <f>IFERROR(IF(YEAR(R$8)&lt;=YEAR($AK168),R$71+R$74+R$76+R$77+R$97+R$98,0)+IF(YEAR(R$8)=YEAR($AK168),R$122-Q$128-R$122*DASHBOARD!$BD$27)+IF(YEAR(R$8)&lt;YEAR($AK168),DEBT!Q$14,0),0)</f>
        <v>0</v>
      </c>
      <c r="S168" s="134">
        <f>IFERROR(IF(YEAR(S$8)&lt;=YEAR($AK168),S$71+S$74+S$76+S$77+S$97+S$98,0)+IF(YEAR(S$8)=YEAR($AK168),S$122-R$128-S$122*DASHBOARD!$BD$27)+IF(YEAR(S$8)&lt;YEAR($AK168),DEBT!R$14,0),0)</f>
        <v>0</v>
      </c>
      <c r="T168" s="134">
        <f>IFERROR(IF(YEAR(T$8)&lt;=YEAR($AK168),T$71+T$74+T$76+T$77+T$97+T$98,0)+IF(YEAR(T$8)=YEAR($AK168),T$122-S$128-T$122*DASHBOARD!$BD$27)+IF(YEAR(T$8)&lt;YEAR($AK168),DEBT!S$14,0),0)</f>
        <v>0</v>
      </c>
      <c r="U168" s="134">
        <f>IFERROR(IF(YEAR(U$8)&lt;=YEAR($AK168),U$71+U$74+U$76+U$77+U$97+U$98,0)+IF(YEAR(U$8)=YEAR($AK168),U$122-T$128-U$122*DASHBOARD!$BD$27)+IF(YEAR(U$8)&lt;YEAR($AK168),DEBT!T$14,0),0)</f>
        <v>0</v>
      </c>
      <c r="V168" s="134">
        <f>IFERROR(IF(YEAR(V$8)&lt;=YEAR($AK168),V$71+V$74+V$76+V$77+V$97+V$98,0)+IF(YEAR(V$8)=YEAR($AK168),V$122-U$128-V$122*DASHBOARD!$BD$27)+IF(YEAR(V$8)&lt;YEAR($AK168),DEBT!U$14,0),0)</f>
        <v>0</v>
      </c>
      <c r="W168" s="134">
        <f>IFERROR(IF(YEAR(W$8)&lt;=YEAR($AK168),W$71+W$74+W$76+W$77+W$97+W$98,0)+IF(YEAR(W$8)=YEAR($AK168),W$122-V$128-W$122*DASHBOARD!$BD$27)+IF(YEAR(W$8)&lt;YEAR($AK168),DEBT!V$14,0),0)</f>
        <v>0</v>
      </c>
      <c r="X168" s="134">
        <f>IFERROR(IF(YEAR(X$8)&lt;=YEAR($AK168),X$71+X$74+X$76+X$77+X$97+X$98,0)+IF(YEAR(X$8)=YEAR($AK168),X$122-W$128-X$122*DASHBOARD!$BD$27)+IF(YEAR(X$8)&lt;YEAR($AK168),DEBT!W$14,0),0)</f>
        <v>0</v>
      </c>
      <c r="Y168" s="134">
        <f>IFERROR(IF(YEAR(Y$8)&lt;=YEAR($AK168),Y$71+Y$74+Y$76+Y$77+Y$97+Y$98,0)+IF(YEAR(Y$8)=YEAR($AK168),Y$122-X$128-Y$122*DASHBOARD!$BD$27)+IF(YEAR(Y$8)&lt;YEAR($AK168),DEBT!X$14,0),0)</f>
        <v>0</v>
      </c>
      <c r="Z168" s="134">
        <f>IFERROR(IF(YEAR(Z$8)&lt;=YEAR($AK168),Z$71+Z$74+Z$76+Z$77+Z$97+Z$98,0)+IF(YEAR(Z$8)=YEAR($AK168),Z$122-Y$128-Z$122*DASHBOARD!$BD$27)+IF(YEAR(Z$8)&lt;YEAR($AK168),DEBT!Y$14,0),0)</f>
        <v>0</v>
      </c>
      <c r="AA168" s="134">
        <f>IFERROR(IF(YEAR(AA$8)&lt;=YEAR($AK168),AA$71+AA$74+AA$76+AA$77+AA$97+AA$98,0)+IF(YEAR(AA$8)=YEAR($AK168),AA$122-Z$128-AA$122*DASHBOARD!$BD$27)+IF(YEAR(AA$8)&lt;YEAR($AK168),DEBT!Z$14,0),0)</f>
        <v>0</v>
      </c>
      <c r="AB168" s="134">
        <f>IFERROR(IF(YEAR(AB$8)&lt;=YEAR($AK168),AB$71+AB$74+AB$76+AB$77+AB$97+AB$98,0)+IF(YEAR(AB$8)=YEAR($AK168),AB$122-AA$128-AB$122*DASHBOARD!$BD$27)+IF(YEAR(AB$8)&lt;YEAR($AK168),DEBT!AA$14,0),0)</f>
        <v>0</v>
      </c>
      <c r="AC168" s="134">
        <f>IFERROR(IF(YEAR(AC$8)&lt;=YEAR($AK168),AC$71+AC$74+AC$76+AC$77+AC$97+AC$98,0)+IF(YEAR(AC$8)=YEAR($AK168),AC$122-AB$128-AC$122*DASHBOARD!$BD$27)+IF(YEAR(AC$8)&lt;YEAR($AK168),DEBT!AB$14,0),0)</f>
        <v>0</v>
      </c>
      <c r="AD168" s="134">
        <f>IFERROR(IF(YEAR(AD$8)&lt;=YEAR($AK168),AD$71+AD$74+AD$76+AD$77+AD$97+AD$98,0)+IF(YEAR(AD$8)=YEAR($AK168),AD$122-AC$128-AD$122*DASHBOARD!$BD$27)+IF(YEAR(AD$8)&lt;YEAR($AK168),DEBT!AC$14,0),0)</f>
        <v>0</v>
      </c>
      <c r="AE168" s="134">
        <f>IFERROR(IF(YEAR(AE$8)&lt;=YEAR($AK168),AE$71+AE$74+AE$76+AE$77+AE$97+AE$98,0)+IF(YEAR(AE$8)=YEAR($AK168),AE$122-AD$128-AE$122*DASHBOARD!$BD$27)+IF(YEAR(AE$8)&lt;YEAR($AK168),DEBT!AD$14,0),0)</f>
        <v>0</v>
      </c>
      <c r="AF168" s="134">
        <f>IFERROR(IF(YEAR(AF$8)&lt;=YEAR($AK168),AF$71+AF$74+AF$76+AF$77+AF$97+AF$98,0)+IF(YEAR(AF$8)=YEAR($AK168),AF$122-AE$128-AF$122*DASHBOARD!$BD$27)+IF(YEAR(AF$8)&lt;YEAR($AK168),DEBT!AE$14,0),0)</f>
        <v>0</v>
      </c>
      <c r="AG168" s="134">
        <f>IFERROR(IF(YEAR(AG$8)&lt;=YEAR($AK168),AG$71+AG$74+AG$76+AG$77+AG$97+AG$98,0)+IF(YEAR(AG$8)=YEAR($AK168),AG$122-AF$128-AG$122*DASHBOARD!$BD$27)+IF(YEAR(AG$8)&lt;YEAR($AK168),DEBT!AF$14,0),0)</f>
        <v>0</v>
      </c>
      <c r="AH168" s="134">
        <f>IFERROR(IF(YEAR(AH$8)&lt;=YEAR($AK168),AH$71+AH$74+AH$76+AH$77+AH$97+AH$98,0)+IF(YEAR(AH$8)=YEAR($AK168),AH$122-AG$128-AH$122*DASHBOARD!$BD$27)+IF(YEAR(AH$8)&lt;YEAR($AK168),DEBT!AG$14,0),0)</f>
        <v>0</v>
      </c>
      <c r="AI168" s="242">
        <f>IFERROR(IF(YEAR(AI$8)&lt;=YEAR($AK168),AI$71+AI$74+AI$76+AI$77+AI$97+AI$98,0)+IF(YEAR(AI$8)=YEAR($AK168),AI$122-AH$128-AI$122*DASHBOARD!$BD$27)+IF(YEAR(AI$8)&lt;YEAR($AK168),DEBT!AH$14,0),0)</f>
        <v>0</v>
      </c>
      <c r="AJ168" s="1605"/>
      <c r="AK168" s="1704">
        <f t="shared" si="68"/>
        <v>47330</v>
      </c>
      <c r="AL168" s="450">
        <f t="shared" si="67"/>
        <v>0</v>
      </c>
      <c r="AM168" s="450">
        <f t="shared" si="69"/>
        <v>4</v>
      </c>
    </row>
    <row r="169" spans="2:39" s="289" customFormat="1" outlineLevel="1" x14ac:dyDescent="0.3">
      <c r="B169" s="267" t="str">
        <f t="shared" si="65"/>
        <v>n.a</v>
      </c>
      <c r="C169" s="1598" t="str">
        <f ca="1">IFERROR(MIRR(D169:OFFSET(D169,0,AL169),0%,DASHBOARD!$AD$83),"n.a")</f>
        <v>n.a</v>
      </c>
      <c r="D169" s="241">
        <f t="shared" si="66"/>
        <v>-7049.3458498885448</v>
      </c>
      <c r="E169" s="129">
        <f>IFERROR(IF(YEAR(E$8)&lt;=YEAR($AK169),E$71+E$74+E$76+E$77+E$97+E$98,0)+IF(YEAR(E$8)=YEAR($AK169),E$122-D$128-E$122*DASHBOARD!$BD$27)+IF(YEAR(E$8)&lt;YEAR($AK169),DEBT!D$14,0),0)</f>
        <v>0</v>
      </c>
      <c r="F169" s="134">
        <f>IFERROR(IF(YEAR(F$8)&lt;=YEAR($AK169),F$71+F$74+F$76+F$77+F$97+F$98,0)+IF(YEAR(F$8)=YEAR($AK169),F$122-E$128-F$122*DASHBOARD!$BD$27)+IF(YEAR(F$8)&lt;YEAR($AK169),DEBT!E$14,0),0)</f>
        <v>0</v>
      </c>
      <c r="G169" s="134">
        <f>IFERROR(IF(YEAR(G$8)&lt;=YEAR($AK169),G$71+G$74+G$76+G$77+G$97+G$98,0)+IF(YEAR(G$8)=YEAR($AK169),G$122-F$128-G$122*DASHBOARD!$BD$27)+IF(YEAR(G$8)&lt;YEAR($AK169),DEBT!F$14,0),0)</f>
        <v>0</v>
      </c>
      <c r="H169" s="134">
        <f>IFERROR(IF(YEAR(H$8)&lt;=YEAR($AK169),H$71+H$74+H$76+H$77+H$97+H$98,0)+IF(YEAR(H$8)=YEAR($AK169),H$122-G$128-H$122*DASHBOARD!$BD$27)+IF(YEAR(H$8)&lt;YEAR($AK169),DEBT!G$14,0),0)</f>
        <v>0</v>
      </c>
      <c r="I169" s="134">
        <f>IFERROR(IF(YEAR(I$8)&lt;=YEAR($AK169),I$71+I$74+I$76+I$77+I$97+I$98,0)+IF(YEAR(I$8)=YEAR($AK169),I$122-H$128-I$122*DASHBOARD!$BD$27)+IF(YEAR(I$8)&lt;YEAR($AK169),DEBT!H$14,0),0)</f>
        <v>0</v>
      </c>
      <c r="J169" s="134">
        <f>IFERROR(IF(YEAR(J$8)&lt;=YEAR($AK169),J$71+J$74+J$76+J$77+J$97+J$98,0)+IF(YEAR(J$8)=YEAR($AK169),J$122-I$128-J$122*DASHBOARD!$BD$27)+IF(YEAR(J$8)&lt;YEAR($AK169),DEBT!I$14,0),0)</f>
        <v>0</v>
      </c>
      <c r="K169" s="134">
        <f>IFERROR(IF(YEAR(K$8)&lt;=YEAR($AK169),K$71+K$74+K$76+K$77+K$97+K$98,0)+IF(YEAR(K$8)=YEAR($AK169),K$122-J$128-K$122*DASHBOARD!$BD$27)+IF(YEAR(K$8)&lt;YEAR($AK169),DEBT!J$14,0),0)</f>
        <v>0</v>
      </c>
      <c r="L169" s="134">
        <f>IFERROR(IF(YEAR(L$8)&lt;=YEAR($AK169),L$71+L$74+L$76+L$77+L$97+L$98,0)+IF(YEAR(L$8)=YEAR($AK169),L$122-K$128-L$122*DASHBOARD!$BD$27)+IF(YEAR(L$8)&lt;YEAR($AK169),DEBT!K$14,0),0)</f>
        <v>0</v>
      </c>
      <c r="M169" s="134">
        <f>IFERROR(IF(YEAR(M$8)&lt;=YEAR($AK169),M$71+M$74+M$76+M$77+M$97+M$98,0)+IF(YEAR(M$8)=YEAR($AK169),M$122-L$128-M$122*DASHBOARD!$BD$27)+IF(YEAR(M$8)&lt;YEAR($AK169),DEBT!L$14,0),0)</f>
        <v>0</v>
      </c>
      <c r="N169" s="134">
        <f>IFERROR(IF(YEAR(N$8)&lt;=YEAR($AK169),N$71+N$74+N$76+N$77+N$97+N$98,0)+IF(YEAR(N$8)=YEAR($AK169),N$122-M$128-N$122*DASHBOARD!$BD$27)+IF(YEAR(N$8)&lt;YEAR($AK169),DEBT!M$14,0),0)</f>
        <v>0</v>
      </c>
      <c r="O169" s="134">
        <f>IFERROR(IF(YEAR(O$8)&lt;=YEAR($AK169),O$71+O$74+O$76+O$77+O$97+O$98,0)+IF(YEAR(O$8)=YEAR($AK169),O$122-N$128-O$122*DASHBOARD!$BD$27)+IF(YEAR(O$8)&lt;YEAR($AK169),DEBT!N$14,0),0)</f>
        <v>0</v>
      </c>
      <c r="P169" s="134">
        <f>IFERROR(IF(YEAR(P$8)&lt;=YEAR($AK169),P$71+P$74+P$76+P$77+P$97+P$98,0)+IF(YEAR(P$8)=YEAR($AK169),P$122-O$128-P$122*DASHBOARD!$BD$27)+IF(YEAR(P$8)&lt;YEAR($AK169),DEBT!O$14,0),0)</f>
        <v>0</v>
      </c>
      <c r="Q169" s="134">
        <f>IFERROR(IF(YEAR(Q$8)&lt;=YEAR($AK169),Q$71+Q$74+Q$76+Q$77+Q$97+Q$98,0)+IF(YEAR(Q$8)=YEAR($AK169),Q$122-P$128-Q$122*DASHBOARD!$BD$27)+IF(YEAR(Q$8)&lt;YEAR($AK169),DEBT!P$14,0),0)</f>
        <v>0</v>
      </c>
      <c r="R169" s="134">
        <f>IFERROR(IF(YEAR(R$8)&lt;=YEAR($AK169),R$71+R$74+R$76+R$77+R$97+R$98,0)+IF(YEAR(R$8)=YEAR($AK169),R$122-Q$128-R$122*DASHBOARD!$BD$27)+IF(YEAR(R$8)&lt;YEAR($AK169),DEBT!Q$14,0),0)</f>
        <v>0</v>
      </c>
      <c r="S169" s="134">
        <f>IFERROR(IF(YEAR(S$8)&lt;=YEAR($AK169),S$71+S$74+S$76+S$77+S$97+S$98,0)+IF(YEAR(S$8)=YEAR($AK169),S$122-R$128-S$122*DASHBOARD!$BD$27)+IF(YEAR(S$8)&lt;YEAR($AK169),DEBT!R$14,0),0)</f>
        <v>0</v>
      </c>
      <c r="T169" s="134">
        <f>IFERROR(IF(YEAR(T$8)&lt;=YEAR($AK169),T$71+T$74+T$76+T$77+T$97+T$98,0)+IF(YEAR(T$8)=YEAR($AK169),T$122-S$128-T$122*DASHBOARD!$BD$27)+IF(YEAR(T$8)&lt;YEAR($AK169),DEBT!S$14,0),0)</f>
        <v>0</v>
      </c>
      <c r="U169" s="134">
        <f>IFERROR(IF(YEAR(U$8)&lt;=YEAR($AK169),U$71+U$74+U$76+U$77+U$97+U$98,0)+IF(YEAR(U$8)=YEAR($AK169),U$122-T$128-U$122*DASHBOARD!$BD$27)+IF(YEAR(U$8)&lt;YEAR($AK169),DEBT!T$14,0),0)</f>
        <v>0</v>
      </c>
      <c r="V169" s="134">
        <f>IFERROR(IF(YEAR(V$8)&lt;=YEAR($AK169),V$71+V$74+V$76+V$77+V$97+V$98,0)+IF(YEAR(V$8)=YEAR($AK169),V$122-U$128-V$122*DASHBOARD!$BD$27)+IF(YEAR(V$8)&lt;YEAR($AK169),DEBT!U$14,0),0)</f>
        <v>0</v>
      </c>
      <c r="W169" s="134">
        <f>IFERROR(IF(YEAR(W$8)&lt;=YEAR($AK169),W$71+W$74+W$76+W$77+W$97+W$98,0)+IF(YEAR(W$8)=YEAR($AK169),W$122-V$128-W$122*DASHBOARD!$BD$27)+IF(YEAR(W$8)&lt;YEAR($AK169),DEBT!V$14,0),0)</f>
        <v>0</v>
      </c>
      <c r="X169" s="134">
        <f>IFERROR(IF(YEAR(X$8)&lt;=YEAR($AK169),X$71+X$74+X$76+X$77+X$97+X$98,0)+IF(YEAR(X$8)=YEAR($AK169),X$122-W$128-X$122*DASHBOARD!$BD$27)+IF(YEAR(X$8)&lt;YEAR($AK169),DEBT!W$14,0),0)</f>
        <v>0</v>
      </c>
      <c r="Y169" s="134">
        <f>IFERROR(IF(YEAR(Y$8)&lt;=YEAR($AK169),Y$71+Y$74+Y$76+Y$77+Y$97+Y$98,0)+IF(YEAR(Y$8)=YEAR($AK169),Y$122-X$128-Y$122*DASHBOARD!$BD$27)+IF(YEAR(Y$8)&lt;YEAR($AK169),DEBT!X$14,0),0)</f>
        <v>0</v>
      </c>
      <c r="Z169" s="134">
        <f>IFERROR(IF(YEAR(Z$8)&lt;=YEAR($AK169),Z$71+Z$74+Z$76+Z$77+Z$97+Z$98,0)+IF(YEAR(Z$8)=YEAR($AK169),Z$122-Y$128-Z$122*DASHBOARD!$BD$27)+IF(YEAR(Z$8)&lt;YEAR($AK169),DEBT!Y$14,0),0)</f>
        <v>0</v>
      </c>
      <c r="AA169" s="134">
        <f>IFERROR(IF(YEAR(AA$8)&lt;=YEAR($AK169),AA$71+AA$74+AA$76+AA$77+AA$97+AA$98,0)+IF(YEAR(AA$8)=YEAR($AK169),AA$122-Z$128-AA$122*DASHBOARD!$BD$27)+IF(YEAR(AA$8)&lt;YEAR($AK169),DEBT!Z$14,0),0)</f>
        <v>0</v>
      </c>
      <c r="AB169" s="134">
        <f>IFERROR(IF(YEAR(AB$8)&lt;=YEAR($AK169),AB$71+AB$74+AB$76+AB$77+AB$97+AB$98,0)+IF(YEAR(AB$8)=YEAR($AK169),AB$122-AA$128-AB$122*DASHBOARD!$BD$27)+IF(YEAR(AB$8)&lt;YEAR($AK169),DEBT!AA$14,0),0)</f>
        <v>0</v>
      </c>
      <c r="AC169" s="134">
        <f>IFERROR(IF(YEAR(AC$8)&lt;=YEAR($AK169),AC$71+AC$74+AC$76+AC$77+AC$97+AC$98,0)+IF(YEAR(AC$8)=YEAR($AK169),AC$122-AB$128-AC$122*DASHBOARD!$BD$27)+IF(YEAR(AC$8)&lt;YEAR($AK169),DEBT!AB$14,0),0)</f>
        <v>0</v>
      </c>
      <c r="AD169" s="134">
        <f>IFERROR(IF(YEAR(AD$8)&lt;=YEAR($AK169),AD$71+AD$74+AD$76+AD$77+AD$97+AD$98,0)+IF(YEAR(AD$8)=YEAR($AK169),AD$122-AC$128-AD$122*DASHBOARD!$BD$27)+IF(YEAR(AD$8)&lt;YEAR($AK169),DEBT!AC$14,0),0)</f>
        <v>0</v>
      </c>
      <c r="AE169" s="134">
        <f>IFERROR(IF(YEAR(AE$8)&lt;=YEAR($AK169),AE$71+AE$74+AE$76+AE$77+AE$97+AE$98,0)+IF(YEAR(AE$8)=YEAR($AK169),AE$122-AD$128-AE$122*DASHBOARD!$BD$27)+IF(YEAR(AE$8)&lt;YEAR($AK169),DEBT!AD$14,0),0)</f>
        <v>0</v>
      </c>
      <c r="AF169" s="134">
        <f>IFERROR(IF(YEAR(AF$8)&lt;=YEAR($AK169),AF$71+AF$74+AF$76+AF$77+AF$97+AF$98,0)+IF(YEAR(AF$8)=YEAR($AK169),AF$122-AE$128-AF$122*DASHBOARD!$BD$27)+IF(YEAR(AF$8)&lt;YEAR($AK169),DEBT!AE$14,0),0)</f>
        <v>0</v>
      </c>
      <c r="AG169" s="134">
        <f>IFERROR(IF(YEAR(AG$8)&lt;=YEAR($AK169),AG$71+AG$74+AG$76+AG$77+AG$97+AG$98,0)+IF(YEAR(AG$8)=YEAR($AK169),AG$122-AF$128-AG$122*DASHBOARD!$BD$27)+IF(YEAR(AG$8)&lt;YEAR($AK169),DEBT!AF$14,0),0)</f>
        <v>0</v>
      </c>
      <c r="AH169" s="134">
        <f>IFERROR(IF(YEAR(AH$8)&lt;=YEAR($AK169),AH$71+AH$74+AH$76+AH$77+AH$97+AH$98,0)+IF(YEAR(AH$8)=YEAR($AK169),AH$122-AG$128-AH$122*DASHBOARD!$BD$27)+IF(YEAR(AH$8)&lt;YEAR($AK169),DEBT!AG$14,0),0)</f>
        <v>0</v>
      </c>
      <c r="AI169" s="242">
        <f>IFERROR(IF(YEAR(AI$8)&lt;=YEAR($AK169),AI$71+AI$74+AI$76+AI$77+AI$97+AI$98,0)+IF(YEAR(AI$8)=YEAR($AK169),AI$122-AH$128-AI$122*DASHBOARD!$BD$27)+IF(YEAR(AI$8)&lt;YEAR($AK169),DEBT!AH$14,0),0)</f>
        <v>0</v>
      </c>
      <c r="AJ169" s="1605"/>
      <c r="AK169" s="1704">
        <f t="shared" si="68"/>
        <v>47695</v>
      </c>
      <c r="AL169" s="450">
        <f t="shared" si="67"/>
        <v>0</v>
      </c>
      <c r="AM169" s="450">
        <f t="shared" si="69"/>
        <v>5</v>
      </c>
    </row>
    <row r="170" spans="2:39" s="289" customFormat="1" outlineLevel="1" x14ac:dyDescent="0.3">
      <c r="B170" s="267" t="str">
        <f t="shared" si="65"/>
        <v>n.a</v>
      </c>
      <c r="C170" s="1598" t="str">
        <f ca="1">IFERROR(MIRR(D170:OFFSET(D170,0,AL170),0%,DASHBOARD!$AD$83),"n.a")</f>
        <v>n.a</v>
      </c>
      <c r="D170" s="241">
        <f t="shared" si="66"/>
        <v>-7049.3458498885448</v>
      </c>
      <c r="E170" s="129">
        <f>IFERROR(IF(YEAR(E$8)&lt;=YEAR($AK170),E$71+E$74+E$76+E$77+E$97+E$98,0)+IF(YEAR(E$8)=YEAR($AK170),E$122-D$128-E$122*DASHBOARD!$BD$27)+IF(YEAR(E$8)&lt;YEAR($AK170),DEBT!D$14,0),0)</f>
        <v>0</v>
      </c>
      <c r="F170" s="134">
        <f>IFERROR(IF(YEAR(F$8)&lt;=YEAR($AK170),F$71+F$74+F$76+F$77+F$97+F$98,0)+IF(YEAR(F$8)=YEAR($AK170),F$122-E$128-F$122*DASHBOARD!$BD$27)+IF(YEAR(F$8)&lt;YEAR($AK170),DEBT!E$14,0),0)</f>
        <v>0</v>
      </c>
      <c r="G170" s="134">
        <f>IFERROR(IF(YEAR(G$8)&lt;=YEAR($AK170),G$71+G$74+G$76+G$77+G$97+G$98,0)+IF(YEAR(G$8)=YEAR($AK170),G$122-F$128-G$122*DASHBOARD!$BD$27)+IF(YEAR(G$8)&lt;YEAR($AK170),DEBT!F$14,0),0)</f>
        <v>0</v>
      </c>
      <c r="H170" s="134">
        <f>IFERROR(IF(YEAR(H$8)&lt;=YEAR($AK170),H$71+H$74+H$76+H$77+H$97+H$98,0)+IF(YEAR(H$8)=YEAR($AK170),H$122-G$128-H$122*DASHBOARD!$BD$27)+IF(YEAR(H$8)&lt;YEAR($AK170),DEBT!G$14,0),0)</f>
        <v>0</v>
      </c>
      <c r="I170" s="134">
        <f>IFERROR(IF(YEAR(I$8)&lt;=YEAR($AK170),I$71+I$74+I$76+I$77+I$97+I$98,0)+IF(YEAR(I$8)=YEAR($AK170),I$122-H$128-I$122*DASHBOARD!$BD$27)+IF(YEAR(I$8)&lt;YEAR($AK170),DEBT!H$14,0),0)</f>
        <v>0</v>
      </c>
      <c r="J170" s="134">
        <f>IFERROR(IF(YEAR(J$8)&lt;=YEAR($AK170),J$71+J$74+J$76+J$77+J$97+J$98,0)+IF(YEAR(J$8)=YEAR($AK170),J$122-I$128-J$122*DASHBOARD!$BD$27)+IF(YEAR(J$8)&lt;YEAR($AK170),DEBT!I$14,0),0)</f>
        <v>0</v>
      </c>
      <c r="K170" s="134">
        <f>IFERROR(IF(YEAR(K$8)&lt;=YEAR($AK170),K$71+K$74+K$76+K$77+K$97+K$98,0)+IF(YEAR(K$8)=YEAR($AK170),K$122-J$128-K$122*DASHBOARD!$BD$27)+IF(YEAR(K$8)&lt;YEAR($AK170),DEBT!J$14,0),0)</f>
        <v>0</v>
      </c>
      <c r="L170" s="134">
        <f>IFERROR(IF(YEAR(L$8)&lt;=YEAR($AK170),L$71+L$74+L$76+L$77+L$97+L$98,0)+IF(YEAR(L$8)=YEAR($AK170),L$122-K$128-L$122*DASHBOARD!$BD$27)+IF(YEAR(L$8)&lt;YEAR($AK170),DEBT!K$14,0),0)</f>
        <v>0</v>
      </c>
      <c r="M170" s="134">
        <f>IFERROR(IF(YEAR(M$8)&lt;=YEAR($AK170),M$71+M$74+M$76+M$77+M$97+M$98,0)+IF(YEAR(M$8)=YEAR($AK170),M$122-L$128-M$122*DASHBOARD!$BD$27)+IF(YEAR(M$8)&lt;YEAR($AK170),DEBT!L$14,0),0)</f>
        <v>0</v>
      </c>
      <c r="N170" s="134">
        <f>IFERROR(IF(YEAR(N$8)&lt;=YEAR($AK170),N$71+N$74+N$76+N$77+N$97+N$98,0)+IF(YEAR(N$8)=YEAR($AK170),N$122-M$128-N$122*DASHBOARD!$BD$27)+IF(YEAR(N$8)&lt;YEAR($AK170),DEBT!M$14,0),0)</f>
        <v>0</v>
      </c>
      <c r="O170" s="134">
        <f>IFERROR(IF(YEAR(O$8)&lt;=YEAR($AK170),O$71+O$74+O$76+O$77+O$97+O$98,0)+IF(YEAR(O$8)=YEAR($AK170),O$122-N$128-O$122*DASHBOARD!$BD$27)+IF(YEAR(O$8)&lt;YEAR($AK170),DEBT!N$14,0),0)</f>
        <v>0</v>
      </c>
      <c r="P170" s="134">
        <f>IFERROR(IF(YEAR(P$8)&lt;=YEAR($AK170),P$71+P$74+P$76+P$77+P$97+P$98,0)+IF(YEAR(P$8)=YEAR($AK170),P$122-O$128-P$122*DASHBOARD!$BD$27)+IF(YEAR(P$8)&lt;YEAR($AK170),DEBT!O$14,0),0)</f>
        <v>0</v>
      </c>
      <c r="Q170" s="134">
        <f>IFERROR(IF(YEAR(Q$8)&lt;=YEAR($AK170),Q$71+Q$74+Q$76+Q$77+Q$97+Q$98,0)+IF(YEAR(Q$8)=YEAR($AK170),Q$122-P$128-Q$122*DASHBOARD!$BD$27)+IF(YEAR(Q$8)&lt;YEAR($AK170),DEBT!P$14,0),0)</f>
        <v>0</v>
      </c>
      <c r="R170" s="134">
        <f>IFERROR(IF(YEAR(R$8)&lt;=YEAR($AK170),R$71+R$74+R$76+R$77+R$97+R$98,0)+IF(YEAR(R$8)=YEAR($AK170),R$122-Q$128-R$122*DASHBOARD!$BD$27)+IF(YEAR(R$8)&lt;YEAR($AK170),DEBT!Q$14,0),0)</f>
        <v>0</v>
      </c>
      <c r="S170" s="134">
        <f>IFERROR(IF(YEAR(S$8)&lt;=YEAR($AK170),S$71+S$74+S$76+S$77+S$97+S$98,0)+IF(YEAR(S$8)=YEAR($AK170),S$122-R$128-S$122*DASHBOARD!$BD$27)+IF(YEAR(S$8)&lt;YEAR($AK170),DEBT!R$14,0),0)</f>
        <v>0</v>
      </c>
      <c r="T170" s="134">
        <f>IFERROR(IF(YEAR(T$8)&lt;=YEAR($AK170),T$71+T$74+T$76+T$77+T$97+T$98,0)+IF(YEAR(T$8)=YEAR($AK170),T$122-S$128-T$122*DASHBOARD!$BD$27)+IF(YEAR(T$8)&lt;YEAR($AK170),DEBT!S$14,0),0)</f>
        <v>0</v>
      </c>
      <c r="U170" s="134">
        <f>IFERROR(IF(YEAR(U$8)&lt;=YEAR($AK170),U$71+U$74+U$76+U$77+U$97+U$98,0)+IF(YEAR(U$8)=YEAR($AK170),U$122-T$128-U$122*DASHBOARD!$BD$27)+IF(YEAR(U$8)&lt;YEAR($AK170),DEBT!T$14,0),0)</f>
        <v>0</v>
      </c>
      <c r="V170" s="134">
        <f>IFERROR(IF(YEAR(V$8)&lt;=YEAR($AK170),V$71+V$74+V$76+V$77+V$97+V$98,0)+IF(YEAR(V$8)=YEAR($AK170),V$122-U$128-V$122*DASHBOARD!$BD$27)+IF(YEAR(V$8)&lt;YEAR($AK170),DEBT!U$14,0),0)</f>
        <v>0</v>
      </c>
      <c r="W170" s="134">
        <f>IFERROR(IF(YEAR(W$8)&lt;=YEAR($AK170),W$71+W$74+W$76+W$77+W$97+W$98,0)+IF(YEAR(W$8)=YEAR($AK170),W$122-V$128-W$122*DASHBOARD!$BD$27)+IF(YEAR(W$8)&lt;YEAR($AK170),DEBT!V$14,0),0)</f>
        <v>0</v>
      </c>
      <c r="X170" s="134">
        <f>IFERROR(IF(YEAR(X$8)&lt;=YEAR($AK170),X$71+X$74+X$76+X$77+X$97+X$98,0)+IF(YEAR(X$8)=YEAR($AK170),X$122-W$128-X$122*DASHBOARD!$BD$27)+IF(YEAR(X$8)&lt;YEAR($AK170),DEBT!W$14,0),0)</f>
        <v>0</v>
      </c>
      <c r="Y170" s="134">
        <f>IFERROR(IF(YEAR(Y$8)&lt;=YEAR($AK170),Y$71+Y$74+Y$76+Y$77+Y$97+Y$98,0)+IF(YEAR(Y$8)=YEAR($AK170),Y$122-X$128-Y$122*DASHBOARD!$BD$27)+IF(YEAR(Y$8)&lt;YEAR($AK170),DEBT!X$14,0),0)</f>
        <v>0</v>
      </c>
      <c r="Z170" s="134">
        <f>IFERROR(IF(YEAR(Z$8)&lt;=YEAR($AK170),Z$71+Z$74+Z$76+Z$77+Z$97+Z$98,0)+IF(YEAR(Z$8)=YEAR($AK170),Z$122-Y$128-Z$122*DASHBOARD!$BD$27)+IF(YEAR(Z$8)&lt;YEAR($AK170),DEBT!Y$14,0),0)</f>
        <v>0</v>
      </c>
      <c r="AA170" s="134">
        <f>IFERROR(IF(YEAR(AA$8)&lt;=YEAR($AK170),AA$71+AA$74+AA$76+AA$77+AA$97+AA$98,0)+IF(YEAR(AA$8)=YEAR($AK170),AA$122-Z$128-AA$122*DASHBOARD!$BD$27)+IF(YEAR(AA$8)&lt;YEAR($AK170),DEBT!Z$14,0),0)</f>
        <v>0</v>
      </c>
      <c r="AB170" s="134">
        <f>IFERROR(IF(YEAR(AB$8)&lt;=YEAR($AK170),AB$71+AB$74+AB$76+AB$77+AB$97+AB$98,0)+IF(YEAR(AB$8)=YEAR($AK170),AB$122-AA$128-AB$122*DASHBOARD!$BD$27)+IF(YEAR(AB$8)&lt;YEAR($AK170),DEBT!AA$14,0),0)</f>
        <v>0</v>
      </c>
      <c r="AC170" s="134">
        <f>IFERROR(IF(YEAR(AC$8)&lt;=YEAR($AK170),AC$71+AC$74+AC$76+AC$77+AC$97+AC$98,0)+IF(YEAR(AC$8)=YEAR($AK170),AC$122-AB$128-AC$122*DASHBOARD!$BD$27)+IF(YEAR(AC$8)&lt;YEAR($AK170),DEBT!AB$14,0),0)</f>
        <v>0</v>
      </c>
      <c r="AD170" s="134">
        <f>IFERROR(IF(YEAR(AD$8)&lt;=YEAR($AK170),AD$71+AD$74+AD$76+AD$77+AD$97+AD$98,0)+IF(YEAR(AD$8)=YEAR($AK170),AD$122-AC$128-AD$122*DASHBOARD!$BD$27)+IF(YEAR(AD$8)&lt;YEAR($AK170),DEBT!AC$14,0),0)</f>
        <v>0</v>
      </c>
      <c r="AE170" s="134">
        <f>IFERROR(IF(YEAR(AE$8)&lt;=YEAR($AK170),AE$71+AE$74+AE$76+AE$77+AE$97+AE$98,0)+IF(YEAR(AE$8)=YEAR($AK170),AE$122-AD$128-AE$122*DASHBOARD!$BD$27)+IF(YEAR(AE$8)&lt;YEAR($AK170),DEBT!AD$14,0),0)</f>
        <v>0</v>
      </c>
      <c r="AF170" s="134">
        <f>IFERROR(IF(YEAR(AF$8)&lt;=YEAR($AK170),AF$71+AF$74+AF$76+AF$77+AF$97+AF$98,0)+IF(YEAR(AF$8)=YEAR($AK170),AF$122-AE$128-AF$122*DASHBOARD!$BD$27)+IF(YEAR(AF$8)&lt;YEAR($AK170),DEBT!AE$14,0),0)</f>
        <v>0</v>
      </c>
      <c r="AG170" s="134">
        <f>IFERROR(IF(YEAR(AG$8)&lt;=YEAR($AK170),AG$71+AG$74+AG$76+AG$77+AG$97+AG$98,0)+IF(YEAR(AG$8)=YEAR($AK170),AG$122-AF$128-AG$122*DASHBOARD!$BD$27)+IF(YEAR(AG$8)&lt;YEAR($AK170),DEBT!AF$14,0),0)</f>
        <v>0</v>
      </c>
      <c r="AH170" s="134">
        <f>IFERROR(IF(YEAR(AH$8)&lt;=YEAR($AK170),AH$71+AH$74+AH$76+AH$77+AH$97+AH$98,0)+IF(YEAR(AH$8)=YEAR($AK170),AH$122-AG$128-AH$122*DASHBOARD!$BD$27)+IF(YEAR(AH$8)&lt;YEAR($AK170),DEBT!AG$14,0),0)</f>
        <v>0</v>
      </c>
      <c r="AI170" s="242">
        <f>IFERROR(IF(YEAR(AI$8)&lt;=YEAR($AK170),AI$71+AI$74+AI$76+AI$77+AI$97+AI$98,0)+IF(YEAR(AI$8)=YEAR($AK170),AI$122-AH$128-AI$122*DASHBOARD!$BD$27)+IF(YEAR(AI$8)&lt;YEAR($AK170),DEBT!AH$14,0),0)</f>
        <v>0</v>
      </c>
      <c r="AJ170" s="1605"/>
      <c r="AK170" s="1704">
        <f t="shared" si="68"/>
        <v>48060</v>
      </c>
      <c r="AL170" s="450">
        <f t="shared" si="67"/>
        <v>0</v>
      </c>
      <c r="AM170" s="450">
        <f t="shared" si="69"/>
        <v>6</v>
      </c>
    </row>
    <row r="171" spans="2:39" s="289" customFormat="1" outlineLevel="1" x14ac:dyDescent="0.3">
      <c r="B171" s="267" t="str">
        <f t="shared" si="65"/>
        <v>n.a</v>
      </c>
      <c r="C171" s="1598" t="str">
        <f ca="1">IFERROR(MIRR(D171:OFFSET(D171,0,AL171),0%,DASHBOARD!$AD$83),"n.a")</f>
        <v>n.a</v>
      </c>
      <c r="D171" s="241">
        <f t="shared" si="66"/>
        <v>-7049.3458498885448</v>
      </c>
      <c r="E171" s="129">
        <f>IFERROR(IF(YEAR(E$8)&lt;=YEAR($AK171),E$71+E$74+E$76+E$77+E$97+E$98,0)+IF(YEAR(E$8)=YEAR($AK171),E$122-D$128-E$122*DASHBOARD!$BD$27)+IF(YEAR(E$8)&lt;YEAR($AK171),DEBT!D$14,0),0)</f>
        <v>0</v>
      </c>
      <c r="F171" s="134">
        <f>IFERROR(IF(YEAR(F$8)&lt;=YEAR($AK171),F$71+F$74+F$76+F$77+F$97+F$98,0)+IF(YEAR(F$8)=YEAR($AK171),F$122-E$128-F$122*DASHBOARD!$BD$27)+IF(YEAR(F$8)&lt;YEAR($AK171),DEBT!E$14,0),0)</f>
        <v>0</v>
      </c>
      <c r="G171" s="134">
        <f>IFERROR(IF(YEAR(G$8)&lt;=YEAR($AK171),G$71+G$74+G$76+G$77+G$97+G$98,0)+IF(YEAR(G$8)=YEAR($AK171),G$122-F$128-G$122*DASHBOARD!$BD$27)+IF(YEAR(G$8)&lt;YEAR($AK171),DEBT!F$14,0),0)</f>
        <v>0</v>
      </c>
      <c r="H171" s="134">
        <f>IFERROR(IF(YEAR(H$8)&lt;=YEAR($AK171),H$71+H$74+H$76+H$77+H$97+H$98,0)+IF(YEAR(H$8)=YEAR($AK171),H$122-G$128-H$122*DASHBOARD!$BD$27)+IF(YEAR(H$8)&lt;YEAR($AK171),DEBT!G$14,0),0)</f>
        <v>0</v>
      </c>
      <c r="I171" s="134">
        <f>IFERROR(IF(YEAR(I$8)&lt;=YEAR($AK171),I$71+I$74+I$76+I$77+I$97+I$98,0)+IF(YEAR(I$8)=YEAR($AK171),I$122-H$128-I$122*DASHBOARD!$BD$27)+IF(YEAR(I$8)&lt;YEAR($AK171),DEBT!H$14,0),0)</f>
        <v>0</v>
      </c>
      <c r="J171" s="134">
        <f>IFERROR(IF(YEAR(J$8)&lt;=YEAR($AK171),J$71+J$74+J$76+J$77+J$97+J$98,0)+IF(YEAR(J$8)=YEAR($AK171),J$122-I$128-J$122*DASHBOARD!$BD$27)+IF(YEAR(J$8)&lt;YEAR($AK171),DEBT!I$14,0),0)</f>
        <v>0</v>
      </c>
      <c r="K171" s="134">
        <f>IFERROR(IF(YEAR(K$8)&lt;=YEAR($AK171),K$71+K$74+K$76+K$77+K$97+K$98,0)+IF(YEAR(K$8)=YEAR($AK171),K$122-J$128-K$122*DASHBOARD!$BD$27)+IF(YEAR(K$8)&lt;YEAR($AK171),DEBT!J$14,0),0)</f>
        <v>0</v>
      </c>
      <c r="L171" s="134">
        <f>IFERROR(IF(YEAR(L$8)&lt;=YEAR($AK171),L$71+L$74+L$76+L$77+L$97+L$98,0)+IF(YEAR(L$8)=YEAR($AK171),L$122-K$128-L$122*DASHBOARD!$BD$27)+IF(YEAR(L$8)&lt;YEAR($AK171),DEBT!K$14,0),0)</f>
        <v>0</v>
      </c>
      <c r="M171" s="134">
        <f>IFERROR(IF(YEAR(M$8)&lt;=YEAR($AK171),M$71+M$74+M$76+M$77+M$97+M$98,0)+IF(YEAR(M$8)=YEAR($AK171),M$122-L$128-M$122*DASHBOARD!$BD$27)+IF(YEAR(M$8)&lt;YEAR($AK171),DEBT!L$14,0),0)</f>
        <v>0</v>
      </c>
      <c r="N171" s="134">
        <f>IFERROR(IF(YEAR(N$8)&lt;=YEAR($AK171),N$71+N$74+N$76+N$77+N$97+N$98,0)+IF(YEAR(N$8)=YEAR($AK171),N$122-M$128-N$122*DASHBOARD!$BD$27)+IF(YEAR(N$8)&lt;YEAR($AK171),DEBT!M$14,0),0)</f>
        <v>0</v>
      </c>
      <c r="O171" s="134">
        <f>IFERROR(IF(YEAR(O$8)&lt;=YEAR($AK171),O$71+O$74+O$76+O$77+O$97+O$98,0)+IF(YEAR(O$8)=YEAR($AK171),O$122-N$128-O$122*DASHBOARD!$BD$27)+IF(YEAR(O$8)&lt;YEAR($AK171),DEBT!N$14,0),0)</f>
        <v>0</v>
      </c>
      <c r="P171" s="134">
        <f>IFERROR(IF(YEAR(P$8)&lt;=YEAR($AK171),P$71+P$74+P$76+P$77+P$97+P$98,0)+IF(YEAR(P$8)=YEAR($AK171),P$122-O$128-P$122*DASHBOARD!$BD$27)+IF(YEAR(P$8)&lt;YEAR($AK171),DEBT!O$14,0),0)</f>
        <v>0</v>
      </c>
      <c r="Q171" s="134">
        <f>IFERROR(IF(YEAR(Q$8)&lt;=YEAR($AK171),Q$71+Q$74+Q$76+Q$77+Q$97+Q$98,0)+IF(YEAR(Q$8)=YEAR($AK171),Q$122-P$128-Q$122*DASHBOARD!$BD$27)+IF(YEAR(Q$8)&lt;YEAR($AK171),DEBT!P$14,0),0)</f>
        <v>0</v>
      </c>
      <c r="R171" s="134">
        <f>IFERROR(IF(YEAR(R$8)&lt;=YEAR($AK171),R$71+R$74+R$76+R$77+R$97+R$98,0)+IF(YEAR(R$8)=YEAR($AK171),R$122-Q$128-R$122*DASHBOARD!$BD$27)+IF(YEAR(R$8)&lt;YEAR($AK171),DEBT!Q$14,0),0)</f>
        <v>0</v>
      </c>
      <c r="S171" s="134">
        <f>IFERROR(IF(YEAR(S$8)&lt;=YEAR($AK171),S$71+S$74+S$76+S$77+S$97+S$98,0)+IF(YEAR(S$8)=YEAR($AK171),S$122-R$128-S$122*DASHBOARD!$BD$27)+IF(YEAR(S$8)&lt;YEAR($AK171),DEBT!R$14,0),0)</f>
        <v>0</v>
      </c>
      <c r="T171" s="134">
        <f>IFERROR(IF(YEAR(T$8)&lt;=YEAR($AK171),T$71+T$74+T$76+T$77+T$97+T$98,0)+IF(YEAR(T$8)=YEAR($AK171),T$122-S$128-T$122*DASHBOARD!$BD$27)+IF(YEAR(T$8)&lt;YEAR($AK171),DEBT!S$14,0),0)</f>
        <v>0</v>
      </c>
      <c r="U171" s="134">
        <f>IFERROR(IF(YEAR(U$8)&lt;=YEAR($AK171),U$71+U$74+U$76+U$77+U$97+U$98,0)+IF(YEAR(U$8)=YEAR($AK171),U$122-T$128-U$122*DASHBOARD!$BD$27)+IF(YEAR(U$8)&lt;YEAR($AK171),DEBT!T$14,0),0)</f>
        <v>0</v>
      </c>
      <c r="V171" s="134">
        <f>IFERROR(IF(YEAR(V$8)&lt;=YEAR($AK171),V$71+V$74+V$76+V$77+V$97+V$98,0)+IF(YEAR(V$8)=YEAR($AK171),V$122-U$128-V$122*DASHBOARD!$BD$27)+IF(YEAR(V$8)&lt;YEAR($AK171),DEBT!U$14,0),0)</f>
        <v>0</v>
      </c>
      <c r="W171" s="134">
        <f>IFERROR(IF(YEAR(W$8)&lt;=YEAR($AK171),W$71+W$74+W$76+W$77+W$97+W$98,0)+IF(YEAR(W$8)=YEAR($AK171),W$122-V$128-W$122*DASHBOARD!$BD$27)+IF(YEAR(W$8)&lt;YEAR($AK171),DEBT!V$14,0),0)</f>
        <v>0</v>
      </c>
      <c r="X171" s="134">
        <f>IFERROR(IF(YEAR(X$8)&lt;=YEAR($AK171),X$71+X$74+X$76+X$77+X$97+X$98,0)+IF(YEAR(X$8)=YEAR($AK171),X$122-W$128-X$122*DASHBOARD!$BD$27)+IF(YEAR(X$8)&lt;YEAR($AK171),DEBT!W$14,0),0)</f>
        <v>0</v>
      </c>
      <c r="Y171" s="134">
        <f>IFERROR(IF(YEAR(Y$8)&lt;=YEAR($AK171),Y$71+Y$74+Y$76+Y$77+Y$97+Y$98,0)+IF(YEAR(Y$8)=YEAR($AK171),Y$122-X$128-Y$122*DASHBOARD!$BD$27)+IF(YEAR(Y$8)&lt;YEAR($AK171),DEBT!X$14,0),0)</f>
        <v>0</v>
      </c>
      <c r="Z171" s="134">
        <f>IFERROR(IF(YEAR(Z$8)&lt;=YEAR($AK171),Z$71+Z$74+Z$76+Z$77+Z$97+Z$98,0)+IF(YEAR(Z$8)=YEAR($AK171),Z$122-Y$128-Z$122*DASHBOARD!$BD$27)+IF(YEAR(Z$8)&lt;YEAR($AK171),DEBT!Y$14,0),0)</f>
        <v>0</v>
      </c>
      <c r="AA171" s="134">
        <f>IFERROR(IF(YEAR(AA$8)&lt;=YEAR($AK171),AA$71+AA$74+AA$76+AA$77+AA$97+AA$98,0)+IF(YEAR(AA$8)=YEAR($AK171),AA$122-Z$128-AA$122*DASHBOARD!$BD$27)+IF(YEAR(AA$8)&lt;YEAR($AK171),DEBT!Z$14,0),0)</f>
        <v>0</v>
      </c>
      <c r="AB171" s="134">
        <f>IFERROR(IF(YEAR(AB$8)&lt;=YEAR($AK171),AB$71+AB$74+AB$76+AB$77+AB$97+AB$98,0)+IF(YEAR(AB$8)=YEAR($AK171),AB$122-AA$128-AB$122*DASHBOARD!$BD$27)+IF(YEAR(AB$8)&lt;YEAR($AK171),DEBT!AA$14,0),0)</f>
        <v>0</v>
      </c>
      <c r="AC171" s="134">
        <f>IFERROR(IF(YEAR(AC$8)&lt;=YEAR($AK171),AC$71+AC$74+AC$76+AC$77+AC$97+AC$98,0)+IF(YEAR(AC$8)=YEAR($AK171),AC$122-AB$128-AC$122*DASHBOARD!$BD$27)+IF(YEAR(AC$8)&lt;YEAR($AK171),DEBT!AB$14,0),0)</f>
        <v>0</v>
      </c>
      <c r="AD171" s="134">
        <f>IFERROR(IF(YEAR(AD$8)&lt;=YEAR($AK171),AD$71+AD$74+AD$76+AD$77+AD$97+AD$98,0)+IF(YEAR(AD$8)=YEAR($AK171),AD$122-AC$128-AD$122*DASHBOARD!$BD$27)+IF(YEAR(AD$8)&lt;YEAR($AK171),DEBT!AC$14,0),0)</f>
        <v>0</v>
      </c>
      <c r="AE171" s="134">
        <f>IFERROR(IF(YEAR(AE$8)&lt;=YEAR($AK171),AE$71+AE$74+AE$76+AE$77+AE$97+AE$98,0)+IF(YEAR(AE$8)=YEAR($AK171),AE$122-AD$128-AE$122*DASHBOARD!$BD$27)+IF(YEAR(AE$8)&lt;YEAR($AK171),DEBT!AD$14,0),0)</f>
        <v>0</v>
      </c>
      <c r="AF171" s="134">
        <f>IFERROR(IF(YEAR(AF$8)&lt;=YEAR($AK171),AF$71+AF$74+AF$76+AF$77+AF$97+AF$98,0)+IF(YEAR(AF$8)=YEAR($AK171),AF$122-AE$128-AF$122*DASHBOARD!$BD$27)+IF(YEAR(AF$8)&lt;YEAR($AK171),DEBT!AE$14,0),0)</f>
        <v>0</v>
      </c>
      <c r="AG171" s="134">
        <f>IFERROR(IF(YEAR(AG$8)&lt;=YEAR($AK171),AG$71+AG$74+AG$76+AG$77+AG$97+AG$98,0)+IF(YEAR(AG$8)=YEAR($AK171),AG$122-AF$128-AG$122*DASHBOARD!$BD$27)+IF(YEAR(AG$8)&lt;YEAR($AK171),DEBT!AF$14,0),0)</f>
        <v>0</v>
      </c>
      <c r="AH171" s="134">
        <f>IFERROR(IF(YEAR(AH$8)&lt;=YEAR($AK171),AH$71+AH$74+AH$76+AH$77+AH$97+AH$98,0)+IF(YEAR(AH$8)=YEAR($AK171),AH$122-AG$128-AH$122*DASHBOARD!$BD$27)+IF(YEAR(AH$8)&lt;YEAR($AK171),DEBT!AG$14,0),0)</f>
        <v>0</v>
      </c>
      <c r="AI171" s="242">
        <f>IFERROR(IF(YEAR(AI$8)&lt;=YEAR($AK171),AI$71+AI$74+AI$76+AI$77+AI$97+AI$98,0)+IF(YEAR(AI$8)=YEAR($AK171),AI$122-AH$128-AI$122*DASHBOARD!$BD$27)+IF(YEAR(AI$8)&lt;YEAR($AK171),DEBT!AH$14,0),0)</f>
        <v>0</v>
      </c>
      <c r="AJ171" s="1605"/>
      <c r="AK171" s="1704">
        <f t="shared" si="68"/>
        <v>48426</v>
      </c>
      <c r="AL171" s="450">
        <f t="shared" si="67"/>
        <v>0</v>
      </c>
      <c r="AM171" s="450">
        <f t="shared" si="69"/>
        <v>7</v>
      </c>
    </row>
    <row r="172" spans="2:39" s="289" customFormat="1" outlineLevel="1" x14ac:dyDescent="0.3">
      <c r="B172" s="267" t="str">
        <f t="shared" si="65"/>
        <v>n.a</v>
      </c>
      <c r="C172" s="1598" t="str">
        <f ca="1">IFERROR(MIRR(D172:OFFSET(D172,0,AL172),0%,DASHBOARD!$AD$83),"n.a")</f>
        <v>n.a</v>
      </c>
      <c r="D172" s="241">
        <f t="shared" si="66"/>
        <v>-7049.3458498885448</v>
      </c>
      <c r="E172" s="129">
        <f>IFERROR(IF(YEAR(E$8)&lt;=YEAR($AK172),E$71+E$74+E$76+E$77+E$97+E$98,0)+IF(YEAR(E$8)=YEAR($AK172),E$122-D$128-E$122*DASHBOARD!$BD$27)+IF(YEAR(E$8)&lt;YEAR($AK172),DEBT!D$14,0),0)</f>
        <v>0</v>
      </c>
      <c r="F172" s="134">
        <f>IFERROR(IF(YEAR(F$8)&lt;=YEAR($AK172),F$71+F$74+F$76+F$77+F$97+F$98,0)+IF(YEAR(F$8)=YEAR($AK172),F$122-E$128-F$122*DASHBOARD!$BD$27)+IF(YEAR(F$8)&lt;YEAR($AK172),DEBT!E$14,0),0)</f>
        <v>0</v>
      </c>
      <c r="G172" s="134">
        <f>IFERROR(IF(YEAR(G$8)&lt;=YEAR($AK172),G$71+G$74+G$76+G$77+G$97+G$98,0)+IF(YEAR(G$8)=YEAR($AK172),G$122-F$128-G$122*DASHBOARD!$BD$27)+IF(YEAR(G$8)&lt;YEAR($AK172),DEBT!F$14,0),0)</f>
        <v>0</v>
      </c>
      <c r="H172" s="134">
        <f>IFERROR(IF(YEAR(H$8)&lt;=YEAR($AK172),H$71+H$74+H$76+H$77+H$97+H$98,0)+IF(YEAR(H$8)=YEAR($AK172),H$122-G$128-H$122*DASHBOARD!$BD$27)+IF(YEAR(H$8)&lt;YEAR($AK172),DEBT!G$14,0),0)</f>
        <v>0</v>
      </c>
      <c r="I172" s="134">
        <f>IFERROR(IF(YEAR(I$8)&lt;=YEAR($AK172),I$71+I$74+I$76+I$77+I$97+I$98,0)+IF(YEAR(I$8)=YEAR($AK172),I$122-H$128-I$122*DASHBOARD!$BD$27)+IF(YEAR(I$8)&lt;YEAR($AK172),DEBT!H$14,0),0)</f>
        <v>0</v>
      </c>
      <c r="J172" s="134">
        <f>IFERROR(IF(YEAR(J$8)&lt;=YEAR($AK172),J$71+J$74+J$76+J$77+J$97+J$98,0)+IF(YEAR(J$8)=YEAR($AK172),J$122-I$128-J$122*DASHBOARD!$BD$27)+IF(YEAR(J$8)&lt;YEAR($AK172),DEBT!I$14,0),0)</f>
        <v>0</v>
      </c>
      <c r="K172" s="134">
        <f>IFERROR(IF(YEAR(K$8)&lt;=YEAR($AK172),K$71+K$74+K$76+K$77+K$97+K$98,0)+IF(YEAR(K$8)=YEAR($AK172),K$122-J$128-K$122*DASHBOARD!$BD$27)+IF(YEAR(K$8)&lt;YEAR($AK172),DEBT!J$14,0),0)</f>
        <v>0</v>
      </c>
      <c r="L172" s="134">
        <f>IFERROR(IF(YEAR(L$8)&lt;=YEAR($AK172),L$71+L$74+L$76+L$77+L$97+L$98,0)+IF(YEAR(L$8)=YEAR($AK172),L$122-K$128-L$122*DASHBOARD!$BD$27)+IF(YEAR(L$8)&lt;YEAR($AK172),DEBT!K$14,0),0)</f>
        <v>0</v>
      </c>
      <c r="M172" s="134">
        <f>IFERROR(IF(YEAR(M$8)&lt;=YEAR($AK172),M$71+M$74+M$76+M$77+M$97+M$98,0)+IF(YEAR(M$8)=YEAR($AK172),M$122-L$128-M$122*DASHBOARD!$BD$27)+IF(YEAR(M$8)&lt;YEAR($AK172),DEBT!L$14,0),0)</f>
        <v>0</v>
      </c>
      <c r="N172" s="134">
        <f>IFERROR(IF(YEAR(N$8)&lt;=YEAR($AK172),N$71+N$74+N$76+N$77+N$97+N$98,0)+IF(YEAR(N$8)=YEAR($AK172),N$122-M$128-N$122*DASHBOARD!$BD$27)+IF(YEAR(N$8)&lt;YEAR($AK172),DEBT!M$14,0),0)</f>
        <v>0</v>
      </c>
      <c r="O172" s="134">
        <f>IFERROR(IF(YEAR(O$8)&lt;=YEAR($AK172),O$71+O$74+O$76+O$77+O$97+O$98,0)+IF(YEAR(O$8)=YEAR($AK172),O$122-N$128-O$122*DASHBOARD!$BD$27)+IF(YEAR(O$8)&lt;YEAR($AK172),DEBT!N$14,0),0)</f>
        <v>0</v>
      </c>
      <c r="P172" s="134">
        <f>IFERROR(IF(YEAR(P$8)&lt;=YEAR($AK172),P$71+P$74+P$76+P$77+P$97+P$98,0)+IF(YEAR(P$8)=YEAR($AK172),P$122-O$128-P$122*DASHBOARD!$BD$27)+IF(YEAR(P$8)&lt;YEAR($AK172),DEBT!O$14,0),0)</f>
        <v>0</v>
      </c>
      <c r="Q172" s="134">
        <f>IFERROR(IF(YEAR(Q$8)&lt;=YEAR($AK172),Q$71+Q$74+Q$76+Q$77+Q$97+Q$98,0)+IF(YEAR(Q$8)=YEAR($AK172),Q$122-P$128-Q$122*DASHBOARD!$BD$27)+IF(YEAR(Q$8)&lt;YEAR($AK172),DEBT!P$14,0),0)</f>
        <v>0</v>
      </c>
      <c r="R172" s="134">
        <f>IFERROR(IF(YEAR(R$8)&lt;=YEAR($AK172),R$71+R$74+R$76+R$77+R$97+R$98,0)+IF(YEAR(R$8)=YEAR($AK172),R$122-Q$128-R$122*DASHBOARD!$BD$27)+IF(YEAR(R$8)&lt;YEAR($AK172),DEBT!Q$14,0),0)</f>
        <v>0</v>
      </c>
      <c r="S172" s="134">
        <f>IFERROR(IF(YEAR(S$8)&lt;=YEAR($AK172),S$71+S$74+S$76+S$77+S$97+S$98,0)+IF(YEAR(S$8)=YEAR($AK172),S$122-R$128-S$122*DASHBOARD!$BD$27)+IF(YEAR(S$8)&lt;YEAR($AK172),DEBT!R$14,0),0)</f>
        <v>0</v>
      </c>
      <c r="T172" s="134">
        <f>IFERROR(IF(YEAR(T$8)&lt;=YEAR($AK172),T$71+T$74+T$76+T$77+T$97+T$98,0)+IF(YEAR(T$8)=YEAR($AK172),T$122-S$128-T$122*DASHBOARD!$BD$27)+IF(YEAR(T$8)&lt;YEAR($AK172),DEBT!S$14,0),0)</f>
        <v>0</v>
      </c>
      <c r="U172" s="134">
        <f>IFERROR(IF(YEAR(U$8)&lt;=YEAR($AK172),U$71+U$74+U$76+U$77+U$97+U$98,0)+IF(YEAR(U$8)=YEAR($AK172),U$122-T$128-U$122*DASHBOARD!$BD$27)+IF(YEAR(U$8)&lt;YEAR($AK172),DEBT!T$14,0),0)</f>
        <v>0</v>
      </c>
      <c r="V172" s="134">
        <f>IFERROR(IF(YEAR(V$8)&lt;=YEAR($AK172),V$71+V$74+V$76+V$77+V$97+V$98,0)+IF(YEAR(V$8)=YEAR($AK172),V$122-U$128-V$122*DASHBOARD!$BD$27)+IF(YEAR(V$8)&lt;YEAR($AK172),DEBT!U$14,0),0)</f>
        <v>0</v>
      </c>
      <c r="W172" s="134">
        <f>IFERROR(IF(YEAR(W$8)&lt;=YEAR($AK172),W$71+W$74+W$76+W$77+W$97+W$98,0)+IF(YEAR(W$8)=YEAR($AK172),W$122-V$128-W$122*DASHBOARD!$BD$27)+IF(YEAR(W$8)&lt;YEAR($AK172),DEBT!V$14,0),0)</f>
        <v>0</v>
      </c>
      <c r="X172" s="134">
        <f>IFERROR(IF(YEAR(X$8)&lt;=YEAR($AK172),X$71+X$74+X$76+X$77+X$97+X$98,0)+IF(YEAR(X$8)=YEAR($AK172),X$122-W$128-X$122*DASHBOARD!$BD$27)+IF(YEAR(X$8)&lt;YEAR($AK172),DEBT!W$14,0),0)</f>
        <v>0</v>
      </c>
      <c r="Y172" s="134">
        <f>IFERROR(IF(YEAR(Y$8)&lt;=YEAR($AK172),Y$71+Y$74+Y$76+Y$77+Y$97+Y$98,0)+IF(YEAR(Y$8)=YEAR($AK172),Y$122-X$128-Y$122*DASHBOARD!$BD$27)+IF(YEAR(Y$8)&lt;YEAR($AK172),DEBT!X$14,0),0)</f>
        <v>0</v>
      </c>
      <c r="Z172" s="134">
        <f>IFERROR(IF(YEAR(Z$8)&lt;=YEAR($AK172),Z$71+Z$74+Z$76+Z$77+Z$97+Z$98,0)+IF(YEAR(Z$8)=YEAR($AK172),Z$122-Y$128-Z$122*DASHBOARD!$BD$27)+IF(YEAR(Z$8)&lt;YEAR($AK172),DEBT!Y$14,0),0)</f>
        <v>0</v>
      </c>
      <c r="AA172" s="134">
        <f>IFERROR(IF(YEAR(AA$8)&lt;=YEAR($AK172),AA$71+AA$74+AA$76+AA$77+AA$97+AA$98,0)+IF(YEAR(AA$8)=YEAR($AK172),AA$122-Z$128-AA$122*DASHBOARD!$BD$27)+IF(YEAR(AA$8)&lt;YEAR($AK172),DEBT!Z$14,0),0)</f>
        <v>0</v>
      </c>
      <c r="AB172" s="134">
        <f>IFERROR(IF(YEAR(AB$8)&lt;=YEAR($AK172),AB$71+AB$74+AB$76+AB$77+AB$97+AB$98,0)+IF(YEAR(AB$8)=YEAR($AK172),AB$122-AA$128-AB$122*DASHBOARD!$BD$27)+IF(YEAR(AB$8)&lt;YEAR($AK172),DEBT!AA$14,0),0)</f>
        <v>0</v>
      </c>
      <c r="AC172" s="134">
        <f>IFERROR(IF(YEAR(AC$8)&lt;=YEAR($AK172),AC$71+AC$74+AC$76+AC$77+AC$97+AC$98,0)+IF(YEAR(AC$8)=YEAR($AK172),AC$122-AB$128-AC$122*DASHBOARD!$BD$27)+IF(YEAR(AC$8)&lt;YEAR($AK172),DEBT!AB$14,0),0)</f>
        <v>0</v>
      </c>
      <c r="AD172" s="134">
        <f>IFERROR(IF(YEAR(AD$8)&lt;=YEAR($AK172),AD$71+AD$74+AD$76+AD$77+AD$97+AD$98,0)+IF(YEAR(AD$8)=YEAR($AK172),AD$122-AC$128-AD$122*DASHBOARD!$BD$27)+IF(YEAR(AD$8)&lt;YEAR($AK172),DEBT!AC$14,0),0)</f>
        <v>0</v>
      </c>
      <c r="AE172" s="134">
        <f>IFERROR(IF(YEAR(AE$8)&lt;=YEAR($AK172),AE$71+AE$74+AE$76+AE$77+AE$97+AE$98,0)+IF(YEAR(AE$8)=YEAR($AK172),AE$122-AD$128-AE$122*DASHBOARD!$BD$27)+IF(YEAR(AE$8)&lt;YEAR($AK172),DEBT!AD$14,0),0)</f>
        <v>0</v>
      </c>
      <c r="AF172" s="134">
        <f>IFERROR(IF(YEAR(AF$8)&lt;=YEAR($AK172),AF$71+AF$74+AF$76+AF$77+AF$97+AF$98,0)+IF(YEAR(AF$8)=YEAR($AK172),AF$122-AE$128-AF$122*DASHBOARD!$BD$27)+IF(YEAR(AF$8)&lt;YEAR($AK172),DEBT!AE$14,0),0)</f>
        <v>0</v>
      </c>
      <c r="AG172" s="134">
        <f>IFERROR(IF(YEAR(AG$8)&lt;=YEAR($AK172),AG$71+AG$74+AG$76+AG$77+AG$97+AG$98,0)+IF(YEAR(AG$8)=YEAR($AK172),AG$122-AF$128-AG$122*DASHBOARD!$BD$27)+IF(YEAR(AG$8)&lt;YEAR($AK172),DEBT!AF$14,0),0)</f>
        <v>0</v>
      </c>
      <c r="AH172" s="134">
        <f>IFERROR(IF(YEAR(AH$8)&lt;=YEAR($AK172),AH$71+AH$74+AH$76+AH$77+AH$97+AH$98,0)+IF(YEAR(AH$8)=YEAR($AK172),AH$122-AG$128-AH$122*DASHBOARD!$BD$27)+IF(YEAR(AH$8)&lt;YEAR($AK172),DEBT!AG$14,0),0)</f>
        <v>0</v>
      </c>
      <c r="AI172" s="242">
        <f>IFERROR(IF(YEAR(AI$8)&lt;=YEAR($AK172),AI$71+AI$74+AI$76+AI$77+AI$97+AI$98,0)+IF(YEAR(AI$8)=YEAR($AK172),AI$122-AH$128-AI$122*DASHBOARD!$BD$27)+IF(YEAR(AI$8)&lt;YEAR($AK172),DEBT!AH$14,0),0)</f>
        <v>0</v>
      </c>
      <c r="AJ172" s="1605"/>
      <c r="AK172" s="1704">
        <f t="shared" si="68"/>
        <v>48791</v>
      </c>
      <c r="AL172" s="450">
        <f t="shared" si="67"/>
        <v>0</v>
      </c>
      <c r="AM172" s="450">
        <f t="shared" si="69"/>
        <v>8</v>
      </c>
    </row>
    <row r="173" spans="2:39" s="289" customFormat="1" outlineLevel="1" x14ac:dyDescent="0.3">
      <c r="B173" s="267" t="str">
        <f t="shared" si="65"/>
        <v>n.a</v>
      </c>
      <c r="C173" s="1598" t="str">
        <f ca="1">IFERROR(MIRR(D173:OFFSET(D173,0,AL173),0%,DASHBOARD!$AD$83),"n.a")</f>
        <v>n.a</v>
      </c>
      <c r="D173" s="241">
        <f t="shared" si="66"/>
        <v>-7049.3458498885448</v>
      </c>
      <c r="E173" s="129">
        <f>IFERROR(IF(YEAR(E$8)&lt;=YEAR($AK173),E$71+E$74+E$76+E$77+E$97+E$98,0)+IF(YEAR(E$8)=YEAR($AK173),E$122-D$128-E$122*DASHBOARD!$BD$27)+IF(YEAR(E$8)&lt;YEAR($AK173),DEBT!D$14,0),0)</f>
        <v>0</v>
      </c>
      <c r="F173" s="134">
        <f>IFERROR(IF(YEAR(F$8)&lt;=YEAR($AK173),F$71+F$74+F$76+F$77+F$97+F$98,0)+IF(YEAR(F$8)=YEAR($AK173),F$122-E$128-F$122*DASHBOARD!$BD$27)+IF(YEAR(F$8)&lt;YEAR($AK173),DEBT!E$14,0),0)</f>
        <v>0</v>
      </c>
      <c r="G173" s="134">
        <f>IFERROR(IF(YEAR(G$8)&lt;=YEAR($AK173),G$71+G$74+G$76+G$77+G$97+G$98,0)+IF(YEAR(G$8)=YEAR($AK173),G$122-F$128-G$122*DASHBOARD!$BD$27)+IF(YEAR(G$8)&lt;YEAR($AK173),DEBT!F$14,0),0)</f>
        <v>0</v>
      </c>
      <c r="H173" s="134">
        <f>IFERROR(IF(YEAR(H$8)&lt;=YEAR($AK173),H$71+H$74+H$76+H$77+H$97+H$98,0)+IF(YEAR(H$8)=YEAR($AK173),H$122-G$128-H$122*DASHBOARD!$BD$27)+IF(YEAR(H$8)&lt;YEAR($AK173),DEBT!G$14,0),0)</f>
        <v>0</v>
      </c>
      <c r="I173" s="134">
        <f>IFERROR(IF(YEAR(I$8)&lt;=YEAR($AK173),I$71+I$74+I$76+I$77+I$97+I$98,0)+IF(YEAR(I$8)=YEAR($AK173),I$122-H$128-I$122*DASHBOARD!$BD$27)+IF(YEAR(I$8)&lt;YEAR($AK173),DEBT!H$14,0),0)</f>
        <v>0</v>
      </c>
      <c r="J173" s="134">
        <f>IFERROR(IF(YEAR(J$8)&lt;=YEAR($AK173),J$71+J$74+J$76+J$77+J$97+J$98,0)+IF(YEAR(J$8)=YEAR($AK173),J$122-I$128-J$122*DASHBOARD!$BD$27)+IF(YEAR(J$8)&lt;YEAR($AK173),DEBT!I$14,0),0)</f>
        <v>0</v>
      </c>
      <c r="K173" s="134">
        <f>IFERROR(IF(YEAR(K$8)&lt;=YEAR($AK173),K$71+K$74+K$76+K$77+K$97+K$98,0)+IF(YEAR(K$8)=YEAR($AK173),K$122-J$128-K$122*DASHBOARD!$BD$27)+IF(YEAR(K$8)&lt;YEAR($AK173),DEBT!J$14,0),0)</f>
        <v>0</v>
      </c>
      <c r="L173" s="134">
        <f>IFERROR(IF(YEAR(L$8)&lt;=YEAR($AK173),L$71+L$74+L$76+L$77+L$97+L$98,0)+IF(YEAR(L$8)=YEAR($AK173),L$122-K$128-L$122*DASHBOARD!$BD$27)+IF(YEAR(L$8)&lt;YEAR($AK173),DEBT!K$14,0),0)</f>
        <v>0</v>
      </c>
      <c r="M173" s="134">
        <f>IFERROR(IF(YEAR(M$8)&lt;=YEAR($AK173),M$71+M$74+M$76+M$77+M$97+M$98,0)+IF(YEAR(M$8)=YEAR($AK173),M$122-L$128-M$122*DASHBOARD!$BD$27)+IF(YEAR(M$8)&lt;YEAR($AK173),DEBT!L$14,0),0)</f>
        <v>0</v>
      </c>
      <c r="N173" s="134">
        <f>IFERROR(IF(YEAR(N$8)&lt;=YEAR($AK173),N$71+N$74+N$76+N$77+N$97+N$98,0)+IF(YEAR(N$8)=YEAR($AK173),N$122-M$128-N$122*DASHBOARD!$BD$27)+IF(YEAR(N$8)&lt;YEAR($AK173),DEBT!M$14,0),0)</f>
        <v>0</v>
      </c>
      <c r="O173" s="134">
        <f>IFERROR(IF(YEAR(O$8)&lt;=YEAR($AK173),O$71+O$74+O$76+O$77+O$97+O$98,0)+IF(YEAR(O$8)=YEAR($AK173),O$122-N$128-O$122*DASHBOARD!$BD$27)+IF(YEAR(O$8)&lt;YEAR($AK173),DEBT!N$14,0),0)</f>
        <v>0</v>
      </c>
      <c r="P173" s="134">
        <f>IFERROR(IF(YEAR(P$8)&lt;=YEAR($AK173),P$71+P$74+P$76+P$77+P$97+P$98,0)+IF(YEAR(P$8)=YEAR($AK173),P$122-O$128-P$122*DASHBOARD!$BD$27)+IF(YEAR(P$8)&lt;YEAR($AK173),DEBT!O$14,0),0)</f>
        <v>0</v>
      </c>
      <c r="Q173" s="134">
        <f>IFERROR(IF(YEAR(Q$8)&lt;=YEAR($AK173),Q$71+Q$74+Q$76+Q$77+Q$97+Q$98,0)+IF(YEAR(Q$8)=YEAR($AK173),Q$122-P$128-Q$122*DASHBOARD!$BD$27)+IF(YEAR(Q$8)&lt;YEAR($AK173),DEBT!P$14,0),0)</f>
        <v>0</v>
      </c>
      <c r="R173" s="134">
        <f>IFERROR(IF(YEAR(R$8)&lt;=YEAR($AK173),R$71+R$74+R$76+R$77+R$97+R$98,0)+IF(YEAR(R$8)=YEAR($AK173),R$122-Q$128-R$122*DASHBOARD!$BD$27)+IF(YEAR(R$8)&lt;YEAR($AK173),DEBT!Q$14,0),0)</f>
        <v>0</v>
      </c>
      <c r="S173" s="134">
        <f>IFERROR(IF(YEAR(S$8)&lt;=YEAR($AK173),S$71+S$74+S$76+S$77+S$97+S$98,0)+IF(YEAR(S$8)=YEAR($AK173),S$122-R$128-S$122*DASHBOARD!$BD$27)+IF(YEAR(S$8)&lt;YEAR($AK173),DEBT!R$14,0),0)</f>
        <v>0</v>
      </c>
      <c r="T173" s="134">
        <f>IFERROR(IF(YEAR(T$8)&lt;=YEAR($AK173),T$71+T$74+T$76+T$77+T$97+T$98,0)+IF(YEAR(T$8)=YEAR($AK173),T$122-S$128-T$122*DASHBOARD!$BD$27)+IF(YEAR(T$8)&lt;YEAR($AK173),DEBT!S$14,0),0)</f>
        <v>0</v>
      </c>
      <c r="U173" s="134">
        <f>IFERROR(IF(YEAR(U$8)&lt;=YEAR($AK173),U$71+U$74+U$76+U$77+U$97+U$98,0)+IF(YEAR(U$8)=YEAR($AK173),U$122-T$128-U$122*DASHBOARD!$BD$27)+IF(YEAR(U$8)&lt;YEAR($AK173),DEBT!T$14,0),0)</f>
        <v>0</v>
      </c>
      <c r="V173" s="134">
        <f>IFERROR(IF(YEAR(V$8)&lt;=YEAR($AK173),V$71+V$74+V$76+V$77+V$97+V$98,0)+IF(YEAR(V$8)=YEAR($AK173),V$122-U$128-V$122*DASHBOARD!$BD$27)+IF(YEAR(V$8)&lt;YEAR($AK173),DEBT!U$14,0),0)</f>
        <v>0</v>
      </c>
      <c r="W173" s="134">
        <f>IFERROR(IF(YEAR(W$8)&lt;=YEAR($AK173),W$71+W$74+W$76+W$77+W$97+W$98,0)+IF(YEAR(W$8)=YEAR($AK173),W$122-V$128-W$122*DASHBOARD!$BD$27)+IF(YEAR(W$8)&lt;YEAR($AK173),DEBT!V$14,0),0)</f>
        <v>0</v>
      </c>
      <c r="X173" s="134">
        <f>IFERROR(IF(YEAR(X$8)&lt;=YEAR($AK173),X$71+X$74+X$76+X$77+X$97+X$98,0)+IF(YEAR(X$8)=YEAR($AK173),X$122-W$128-X$122*DASHBOARD!$BD$27)+IF(YEAR(X$8)&lt;YEAR($AK173),DEBT!W$14,0),0)</f>
        <v>0</v>
      </c>
      <c r="Y173" s="134">
        <f>IFERROR(IF(YEAR(Y$8)&lt;=YEAR($AK173),Y$71+Y$74+Y$76+Y$77+Y$97+Y$98,0)+IF(YEAR(Y$8)=YEAR($AK173),Y$122-X$128-Y$122*DASHBOARD!$BD$27)+IF(YEAR(Y$8)&lt;YEAR($AK173),DEBT!X$14,0),0)</f>
        <v>0</v>
      </c>
      <c r="Z173" s="134">
        <f>IFERROR(IF(YEAR(Z$8)&lt;=YEAR($AK173),Z$71+Z$74+Z$76+Z$77+Z$97+Z$98,0)+IF(YEAR(Z$8)=YEAR($AK173),Z$122-Y$128-Z$122*DASHBOARD!$BD$27)+IF(YEAR(Z$8)&lt;YEAR($AK173),DEBT!Y$14,0),0)</f>
        <v>0</v>
      </c>
      <c r="AA173" s="134">
        <f>IFERROR(IF(YEAR(AA$8)&lt;=YEAR($AK173),AA$71+AA$74+AA$76+AA$77+AA$97+AA$98,0)+IF(YEAR(AA$8)=YEAR($AK173),AA$122-Z$128-AA$122*DASHBOARD!$BD$27)+IF(YEAR(AA$8)&lt;YEAR($AK173),DEBT!Z$14,0),0)</f>
        <v>0</v>
      </c>
      <c r="AB173" s="134">
        <f>IFERROR(IF(YEAR(AB$8)&lt;=YEAR($AK173),AB$71+AB$74+AB$76+AB$77+AB$97+AB$98,0)+IF(YEAR(AB$8)=YEAR($AK173),AB$122-AA$128-AB$122*DASHBOARD!$BD$27)+IF(YEAR(AB$8)&lt;YEAR($AK173),DEBT!AA$14,0),0)</f>
        <v>0</v>
      </c>
      <c r="AC173" s="134">
        <f>IFERROR(IF(YEAR(AC$8)&lt;=YEAR($AK173),AC$71+AC$74+AC$76+AC$77+AC$97+AC$98,0)+IF(YEAR(AC$8)=YEAR($AK173),AC$122-AB$128-AC$122*DASHBOARD!$BD$27)+IF(YEAR(AC$8)&lt;YEAR($AK173),DEBT!AB$14,0),0)</f>
        <v>0</v>
      </c>
      <c r="AD173" s="134">
        <f>IFERROR(IF(YEAR(AD$8)&lt;=YEAR($AK173),AD$71+AD$74+AD$76+AD$77+AD$97+AD$98,0)+IF(YEAR(AD$8)=YEAR($AK173),AD$122-AC$128-AD$122*DASHBOARD!$BD$27)+IF(YEAR(AD$8)&lt;YEAR($AK173),DEBT!AC$14,0),0)</f>
        <v>0</v>
      </c>
      <c r="AE173" s="134">
        <f>IFERROR(IF(YEAR(AE$8)&lt;=YEAR($AK173),AE$71+AE$74+AE$76+AE$77+AE$97+AE$98,0)+IF(YEAR(AE$8)=YEAR($AK173),AE$122-AD$128-AE$122*DASHBOARD!$BD$27)+IF(YEAR(AE$8)&lt;YEAR($AK173),DEBT!AD$14,0),0)</f>
        <v>0</v>
      </c>
      <c r="AF173" s="134">
        <f>IFERROR(IF(YEAR(AF$8)&lt;=YEAR($AK173),AF$71+AF$74+AF$76+AF$77+AF$97+AF$98,0)+IF(YEAR(AF$8)=YEAR($AK173),AF$122-AE$128-AF$122*DASHBOARD!$BD$27)+IF(YEAR(AF$8)&lt;YEAR($AK173),DEBT!AE$14,0),0)</f>
        <v>0</v>
      </c>
      <c r="AG173" s="134">
        <f>IFERROR(IF(YEAR(AG$8)&lt;=YEAR($AK173),AG$71+AG$74+AG$76+AG$77+AG$97+AG$98,0)+IF(YEAR(AG$8)=YEAR($AK173),AG$122-AF$128-AG$122*DASHBOARD!$BD$27)+IF(YEAR(AG$8)&lt;YEAR($AK173),DEBT!AF$14,0),0)</f>
        <v>0</v>
      </c>
      <c r="AH173" s="134">
        <f>IFERROR(IF(YEAR(AH$8)&lt;=YEAR($AK173),AH$71+AH$74+AH$76+AH$77+AH$97+AH$98,0)+IF(YEAR(AH$8)=YEAR($AK173),AH$122-AG$128-AH$122*DASHBOARD!$BD$27)+IF(YEAR(AH$8)&lt;YEAR($AK173),DEBT!AG$14,0),0)</f>
        <v>0</v>
      </c>
      <c r="AI173" s="242">
        <f>IFERROR(IF(YEAR(AI$8)&lt;=YEAR($AK173),AI$71+AI$74+AI$76+AI$77+AI$97+AI$98,0)+IF(YEAR(AI$8)=YEAR($AK173),AI$122-AH$128-AI$122*DASHBOARD!$BD$27)+IF(YEAR(AI$8)&lt;YEAR($AK173),DEBT!AH$14,0),0)</f>
        <v>0</v>
      </c>
      <c r="AJ173" s="1605"/>
      <c r="AK173" s="1704">
        <f t="shared" si="68"/>
        <v>49156</v>
      </c>
      <c r="AL173" s="450">
        <f t="shared" si="67"/>
        <v>0</v>
      </c>
      <c r="AM173" s="450">
        <f t="shared" si="69"/>
        <v>9</v>
      </c>
    </row>
    <row r="174" spans="2:39" s="289" customFormat="1" outlineLevel="1" x14ac:dyDescent="0.3">
      <c r="B174" s="267" t="str">
        <f t="shared" si="65"/>
        <v>n.a</v>
      </c>
      <c r="C174" s="1598" t="str">
        <f ca="1">IFERROR(MIRR(D174:OFFSET(D174,0,AL174),0%,DASHBOARD!$AD$83),"n.a")</f>
        <v>n.a</v>
      </c>
      <c r="D174" s="241">
        <f t="shared" si="66"/>
        <v>-7049.3458498885448</v>
      </c>
      <c r="E174" s="129">
        <f>IFERROR(IF(YEAR(E$8)&lt;=YEAR($AK174),E$71+E$74+E$76+E$77+E$97+E$98,0)+IF(YEAR(E$8)=YEAR($AK174),E$122-D$128-E$122*DASHBOARD!$BD$27)+IF(YEAR(E$8)&lt;YEAR($AK174),DEBT!D$14,0),0)</f>
        <v>0</v>
      </c>
      <c r="F174" s="134">
        <f>IFERROR(IF(YEAR(F$8)&lt;=YEAR($AK174),F$71+F$74+F$76+F$77+F$97+F$98,0)+IF(YEAR(F$8)=YEAR($AK174),F$122-E$128-F$122*DASHBOARD!$BD$27)+IF(YEAR(F$8)&lt;YEAR($AK174),DEBT!E$14,0),0)</f>
        <v>0</v>
      </c>
      <c r="G174" s="134">
        <f>IFERROR(IF(YEAR(G$8)&lt;=YEAR($AK174),G$71+G$74+G$76+G$77+G$97+G$98,0)+IF(YEAR(G$8)=YEAR($AK174),G$122-F$128-G$122*DASHBOARD!$BD$27)+IF(YEAR(G$8)&lt;YEAR($AK174),DEBT!F$14,0),0)</f>
        <v>0</v>
      </c>
      <c r="H174" s="134">
        <f>IFERROR(IF(YEAR(H$8)&lt;=YEAR($AK174),H$71+H$74+H$76+H$77+H$97+H$98,0)+IF(YEAR(H$8)=YEAR($AK174),H$122-G$128-H$122*DASHBOARD!$BD$27)+IF(YEAR(H$8)&lt;YEAR($AK174),DEBT!G$14,0),0)</f>
        <v>0</v>
      </c>
      <c r="I174" s="134">
        <f>IFERROR(IF(YEAR(I$8)&lt;=YEAR($AK174),I$71+I$74+I$76+I$77+I$97+I$98,0)+IF(YEAR(I$8)=YEAR($AK174),I$122-H$128-I$122*DASHBOARD!$BD$27)+IF(YEAR(I$8)&lt;YEAR($AK174),DEBT!H$14,0),0)</f>
        <v>0</v>
      </c>
      <c r="J174" s="134">
        <f>IFERROR(IF(YEAR(J$8)&lt;=YEAR($AK174),J$71+J$74+J$76+J$77+J$97+J$98,0)+IF(YEAR(J$8)=YEAR($AK174),J$122-I$128-J$122*DASHBOARD!$BD$27)+IF(YEAR(J$8)&lt;YEAR($AK174),DEBT!I$14,0),0)</f>
        <v>0</v>
      </c>
      <c r="K174" s="134">
        <f>IFERROR(IF(YEAR(K$8)&lt;=YEAR($AK174),K$71+K$74+K$76+K$77+K$97+K$98,0)+IF(YEAR(K$8)=YEAR($AK174),K$122-J$128-K$122*DASHBOARD!$BD$27)+IF(YEAR(K$8)&lt;YEAR($AK174),DEBT!J$14,0),0)</f>
        <v>0</v>
      </c>
      <c r="L174" s="134">
        <f>IFERROR(IF(YEAR(L$8)&lt;=YEAR($AK174),L$71+L$74+L$76+L$77+L$97+L$98,0)+IF(YEAR(L$8)=YEAR($AK174),L$122-K$128-L$122*DASHBOARD!$BD$27)+IF(YEAR(L$8)&lt;YEAR($AK174),DEBT!K$14,0),0)</f>
        <v>0</v>
      </c>
      <c r="M174" s="134">
        <f>IFERROR(IF(YEAR(M$8)&lt;=YEAR($AK174),M$71+M$74+M$76+M$77+M$97+M$98,0)+IF(YEAR(M$8)=YEAR($AK174),M$122-L$128-M$122*DASHBOARD!$BD$27)+IF(YEAR(M$8)&lt;YEAR($AK174),DEBT!L$14,0),0)</f>
        <v>0</v>
      </c>
      <c r="N174" s="134">
        <f>IFERROR(IF(YEAR(N$8)&lt;=YEAR($AK174),N$71+N$74+N$76+N$77+N$97+N$98,0)+IF(YEAR(N$8)=YEAR($AK174),N$122-M$128-N$122*DASHBOARD!$BD$27)+IF(YEAR(N$8)&lt;YEAR($AK174),DEBT!M$14,0),0)</f>
        <v>0</v>
      </c>
      <c r="O174" s="134">
        <f>IFERROR(IF(YEAR(O$8)&lt;=YEAR($AK174),O$71+O$74+O$76+O$77+O$97+O$98,0)+IF(YEAR(O$8)=YEAR($AK174),O$122-N$128-O$122*DASHBOARD!$BD$27)+IF(YEAR(O$8)&lt;YEAR($AK174),DEBT!N$14,0),0)</f>
        <v>0</v>
      </c>
      <c r="P174" s="134">
        <f>IFERROR(IF(YEAR(P$8)&lt;=YEAR($AK174),P$71+P$74+P$76+P$77+P$97+P$98,0)+IF(YEAR(P$8)=YEAR($AK174),P$122-O$128-P$122*DASHBOARD!$BD$27)+IF(YEAR(P$8)&lt;YEAR($AK174),DEBT!O$14,0),0)</f>
        <v>0</v>
      </c>
      <c r="Q174" s="134">
        <f>IFERROR(IF(YEAR(Q$8)&lt;=YEAR($AK174),Q$71+Q$74+Q$76+Q$77+Q$97+Q$98,0)+IF(YEAR(Q$8)=YEAR($AK174),Q$122-P$128-Q$122*DASHBOARD!$BD$27)+IF(YEAR(Q$8)&lt;YEAR($AK174),DEBT!P$14,0),0)</f>
        <v>0</v>
      </c>
      <c r="R174" s="134">
        <f>IFERROR(IF(YEAR(R$8)&lt;=YEAR($AK174),R$71+R$74+R$76+R$77+R$97+R$98,0)+IF(YEAR(R$8)=YEAR($AK174),R$122-Q$128-R$122*DASHBOARD!$BD$27)+IF(YEAR(R$8)&lt;YEAR($AK174),DEBT!Q$14,0),0)</f>
        <v>0</v>
      </c>
      <c r="S174" s="134">
        <f>IFERROR(IF(YEAR(S$8)&lt;=YEAR($AK174),S$71+S$74+S$76+S$77+S$97+S$98,0)+IF(YEAR(S$8)=YEAR($AK174),S$122-R$128-S$122*DASHBOARD!$BD$27)+IF(YEAR(S$8)&lt;YEAR($AK174),DEBT!R$14,0),0)</f>
        <v>0</v>
      </c>
      <c r="T174" s="134">
        <f>IFERROR(IF(YEAR(T$8)&lt;=YEAR($AK174),T$71+T$74+T$76+T$77+T$97+T$98,0)+IF(YEAR(T$8)=YEAR($AK174),T$122-S$128-T$122*DASHBOARD!$BD$27)+IF(YEAR(T$8)&lt;YEAR($AK174),DEBT!S$14,0),0)</f>
        <v>0</v>
      </c>
      <c r="U174" s="134">
        <f>IFERROR(IF(YEAR(U$8)&lt;=YEAR($AK174),U$71+U$74+U$76+U$77+U$97+U$98,0)+IF(YEAR(U$8)=YEAR($AK174),U$122-T$128-U$122*DASHBOARD!$BD$27)+IF(YEAR(U$8)&lt;YEAR($AK174),DEBT!T$14,0),0)</f>
        <v>0</v>
      </c>
      <c r="V174" s="134">
        <f>IFERROR(IF(YEAR(V$8)&lt;=YEAR($AK174),V$71+V$74+V$76+V$77+V$97+V$98,0)+IF(YEAR(V$8)=YEAR($AK174),V$122-U$128-V$122*DASHBOARD!$BD$27)+IF(YEAR(V$8)&lt;YEAR($AK174),DEBT!U$14,0),0)</f>
        <v>0</v>
      </c>
      <c r="W174" s="134">
        <f>IFERROR(IF(YEAR(W$8)&lt;=YEAR($AK174),W$71+W$74+W$76+W$77+W$97+W$98,0)+IF(YEAR(W$8)=YEAR($AK174),W$122-V$128-W$122*DASHBOARD!$BD$27)+IF(YEAR(W$8)&lt;YEAR($AK174),DEBT!V$14,0),0)</f>
        <v>0</v>
      </c>
      <c r="X174" s="134">
        <f>IFERROR(IF(YEAR(X$8)&lt;=YEAR($AK174),X$71+X$74+X$76+X$77+X$97+X$98,0)+IF(YEAR(X$8)=YEAR($AK174),X$122-W$128-X$122*DASHBOARD!$BD$27)+IF(YEAR(X$8)&lt;YEAR($AK174),DEBT!W$14,0),0)</f>
        <v>0</v>
      </c>
      <c r="Y174" s="134">
        <f>IFERROR(IF(YEAR(Y$8)&lt;=YEAR($AK174),Y$71+Y$74+Y$76+Y$77+Y$97+Y$98,0)+IF(YEAR(Y$8)=YEAR($AK174),Y$122-X$128-Y$122*DASHBOARD!$BD$27)+IF(YEAR(Y$8)&lt;YEAR($AK174),DEBT!X$14,0),0)</f>
        <v>0</v>
      </c>
      <c r="Z174" s="134">
        <f>IFERROR(IF(YEAR(Z$8)&lt;=YEAR($AK174),Z$71+Z$74+Z$76+Z$77+Z$97+Z$98,0)+IF(YEAR(Z$8)=YEAR($AK174),Z$122-Y$128-Z$122*DASHBOARD!$BD$27)+IF(YEAR(Z$8)&lt;YEAR($AK174),DEBT!Y$14,0),0)</f>
        <v>0</v>
      </c>
      <c r="AA174" s="134">
        <f>IFERROR(IF(YEAR(AA$8)&lt;=YEAR($AK174),AA$71+AA$74+AA$76+AA$77+AA$97+AA$98,0)+IF(YEAR(AA$8)=YEAR($AK174),AA$122-Z$128-AA$122*DASHBOARD!$BD$27)+IF(YEAR(AA$8)&lt;YEAR($AK174),DEBT!Z$14,0),0)</f>
        <v>0</v>
      </c>
      <c r="AB174" s="134">
        <f>IFERROR(IF(YEAR(AB$8)&lt;=YEAR($AK174),AB$71+AB$74+AB$76+AB$77+AB$97+AB$98,0)+IF(YEAR(AB$8)=YEAR($AK174),AB$122-AA$128-AB$122*DASHBOARD!$BD$27)+IF(YEAR(AB$8)&lt;YEAR($AK174),DEBT!AA$14,0),0)</f>
        <v>0</v>
      </c>
      <c r="AC174" s="134">
        <f>IFERROR(IF(YEAR(AC$8)&lt;=YEAR($AK174),AC$71+AC$74+AC$76+AC$77+AC$97+AC$98,0)+IF(YEAR(AC$8)=YEAR($AK174),AC$122-AB$128-AC$122*DASHBOARD!$BD$27)+IF(YEAR(AC$8)&lt;YEAR($AK174),DEBT!AB$14,0),0)</f>
        <v>0</v>
      </c>
      <c r="AD174" s="134">
        <f>IFERROR(IF(YEAR(AD$8)&lt;=YEAR($AK174),AD$71+AD$74+AD$76+AD$77+AD$97+AD$98,0)+IF(YEAR(AD$8)=YEAR($AK174),AD$122-AC$128-AD$122*DASHBOARD!$BD$27)+IF(YEAR(AD$8)&lt;YEAR($AK174),DEBT!AC$14,0),0)</f>
        <v>0</v>
      </c>
      <c r="AE174" s="134">
        <f>IFERROR(IF(YEAR(AE$8)&lt;=YEAR($AK174),AE$71+AE$74+AE$76+AE$77+AE$97+AE$98,0)+IF(YEAR(AE$8)=YEAR($AK174),AE$122-AD$128-AE$122*DASHBOARD!$BD$27)+IF(YEAR(AE$8)&lt;YEAR($AK174),DEBT!AD$14,0),0)</f>
        <v>0</v>
      </c>
      <c r="AF174" s="134">
        <f>IFERROR(IF(YEAR(AF$8)&lt;=YEAR($AK174),AF$71+AF$74+AF$76+AF$77+AF$97+AF$98,0)+IF(YEAR(AF$8)=YEAR($AK174),AF$122-AE$128-AF$122*DASHBOARD!$BD$27)+IF(YEAR(AF$8)&lt;YEAR($AK174),DEBT!AE$14,0),0)</f>
        <v>0</v>
      </c>
      <c r="AG174" s="134">
        <f>IFERROR(IF(YEAR(AG$8)&lt;=YEAR($AK174),AG$71+AG$74+AG$76+AG$77+AG$97+AG$98,0)+IF(YEAR(AG$8)=YEAR($AK174),AG$122-AF$128-AG$122*DASHBOARD!$BD$27)+IF(YEAR(AG$8)&lt;YEAR($AK174),DEBT!AF$14,0),0)</f>
        <v>0</v>
      </c>
      <c r="AH174" s="134">
        <f>IFERROR(IF(YEAR(AH$8)&lt;=YEAR($AK174),AH$71+AH$74+AH$76+AH$77+AH$97+AH$98,0)+IF(YEAR(AH$8)=YEAR($AK174),AH$122-AG$128-AH$122*DASHBOARD!$BD$27)+IF(YEAR(AH$8)&lt;YEAR($AK174),DEBT!AG$14,0),0)</f>
        <v>0</v>
      </c>
      <c r="AI174" s="242">
        <f>IFERROR(IF(YEAR(AI$8)&lt;=YEAR($AK174),AI$71+AI$74+AI$76+AI$77+AI$97+AI$98,0)+IF(YEAR(AI$8)=YEAR($AK174),AI$122-AH$128-AI$122*DASHBOARD!$BD$27)+IF(YEAR(AI$8)&lt;YEAR($AK174),DEBT!AH$14,0),0)</f>
        <v>0</v>
      </c>
      <c r="AJ174" s="1605"/>
      <c r="AK174" s="1704">
        <f t="shared" si="68"/>
        <v>49521</v>
      </c>
      <c r="AL174" s="450">
        <f t="shared" si="67"/>
        <v>0</v>
      </c>
      <c r="AM174" s="450">
        <f t="shared" si="69"/>
        <v>10</v>
      </c>
    </row>
    <row r="175" spans="2:39" s="289" customFormat="1" outlineLevel="1" x14ac:dyDescent="0.3">
      <c r="B175" s="267" t="str">
        <f t="shared" si="65"/>
        <v>n.a</v>
      </c>
      <c r="C175" s="1598" t="str">
        <f ca="1">IFERROR(MIRR(D175:OFFSET(D175,0,AL175),0%,DASHBOARD!$AD$83),"n.a")</f>
        <v>n.a</v>
      </c>
      <c r="D175" s="241">
        <f t="shared" si="66"/>
        <v>-7049.3458498885448</v>
      </c>
      <c r="E175" s="129">
        <f>IFERROR(IF(YEAR(E$8)&lt;=YEAR($AK175),E$71+E$74+E$76+E$77+E$97+E$98,0)+IF(YEAR(E$8)=YEAR($AK175),E$122-D$128-E$122*DASHBOARD!$BD$27)+IF(YEAR(E$8)&lt;YEAR($AK175),DEBT!D$14,0),0)</f>
        <v>0</v>
      </c>
      <c r="F175" s="134">
        <f>IFERROR(IF(YEAR(F$8)&lt;=YEAR($AK175),F$71+F$74+F$76+F$77+F$97+F$98,0)+IF(YEAR(F$8)=YEAR($AK175),F$122-E$128-F$122*DASHBOARD!$BD$27)+IF(YEAR(F$8)&lt;YEAR($AK175),DEBT!E$14,0),0)</f>
        <v>0</v>
      </c>
      <c r="G175" s="134">
        <f>IFERROR(IF(YEAR(G$8)&lt;=YEAR($AK175),G$71+G$74+G$76+G$77+G$97+G$98,0)+IF(YEAR(G$8)=YEAR($AK175),G$122-F$128-G$122*DASHBOARD!$BD$27)+IF(YEAR(G$8)&lt;YEAR($AK175),DEBT!F$14,0),0)</f>
        <v>0</v>
      </c>
      <c r="H175" s="134">
        <f>IFERROR(IF(YEAR(H$8)&lt;=YEAR($AK175),H$71+H$74+H$76+H$77+H$97+H$98,0)+IF(YEAR(H$8)=YEAR($AK175),H$122-G$128-H$122*DASHBOARD!$BD$27)+IF(YEAR(H$8)&lt;YEAR($AK175),DEBT!G$14,0),0)</f>
        <v>0</v>
      </c>
      <c r="I175" s="134">
        <f>IFERROR(IF(YEAR(I$8)&lt;=YEAR($AK175),I$71+I$74+I$76+I$77+I$97+I$98,0)+IF(YEAR(I$8)=YEAR($AK175),I$122-H$128-I$122*DASHBOARD!$BD$27)+IF(YEAR(I$8)&lt;YEAR($AK175),DEBT!H$14,0),0)</f>
        <v>0</v>
      </c>
      <c r="J175" s="134">
        <f>IFERROR(IF(YEAR(J$8)&lt;=YEAR($AK175),J$71+J$74+J$76+J$77+J$97+J$98,0)+IF(YEAR(J$8)=YEAR($AK175),J$122-I$128-J$122*DASHBOARD!$BD$27)+IF(YEAR(J$8)&lt;YEAR($AK175),DEBT!I$14,0),0)</f>
        <v>0</v>
      </c>
      <c r="K175" s="134">
        <f>IFERROR(IF(YEAR(K$8)&lt;=YEAR($AK175),K$71+K$74+K$76+K$77+K$97+K$98,0)+IF(YEAR(K$8)=YEAR($AK175),K$122-J$128-K$122*DASHBOARD!$BD$27)+IF(YEAR(K$8)&lt;YEAR($AK175),DEBT!J$14,0),0)</f>
        <v>0</v>
      </c>
      <c r="L175" s="134">
        <f>IFERROR(IF(YEAR(L$8)&lt;=YEAR($AK175),L$71+L$74+L$76+L$77+L$97+L$98,0)+IF(YEAR(L$8)=YEAR($AK175),L$122-K$128-L$122*DASHBOARD!$BD$27)+IF(YEAR(L$8)&lt;YEAR($AK175),DEBT!K$14,0),0)</f>
        <v>0</v>
      </c>
      <c r="M175" s="134">
        <f>IFERROR(IF(YEAR(M$8)&lt;=YEAR($AK175),M$71+M$74+M$76+M$77+M$97+M$98,0)+IF(YEAR(M$8)=YEAR($AK175),M$122-L$128-M$122*DASHBOARD!$BD$27)+IF(YEAR(M$8)&lt;YEAR($AK175),DEBT!L$14,0),0)</f>
        <v>0</v>
      </c>
      <c r="N175" s="134">
        <f>IFERROR(IF(YEAR(N$8)&lt;=YEAR($AK175),N$71+N$74+N$76+N$77+N$97+N$98,0)+IF(YEAR(N$8)=YEAR($AK175),N$122-M$128-N$122*DASHBOARD!$BD$27)+IF(YEAR(N$8)&lt;YEAR($AK175),DEBT!M$14,0),0)</f>
        <v>0</v>
      </c>
      <c r="O175" s="134">
        <f>IFERROR(IF(YEAR(O$8)&lt;=YEAR($AK175),O$71+O$74+O$76+O$77+O$97+O$98,0)+IF(YEAR(O$8)=YEAR($AK175),O$122-N$128-O$122*DASHBOARD!$BD$27)+IF(YEAR(O$8)&lt;YEAR($AK175),DEBT!N$14,0),0)</f>
        <v>0</v>
      </c>
      <c r="P175" s="134">
        <f>IFERROR(IF(YEAR(P$8)&lt;=YEAR($AK175),P$71+P$74+P$76+P$77+P$97+P$98,0)+IF(YEAR(P$8)=YEAR($AK175),P$122-O$128-P$122*DASHBOARD!$BD$27)+IF(YEAR(P$8)&lt;YEAR($AK175),DEBT!O$14,0),0)</f>
        <v>0</v>
      </c>
      <c r="Q175" s="134">
        <f>IFERROR(IF(YEAR(Q$8)&lt;=YEAR($AK175),Q$71+Q$74+Q$76+Q$77+Q$97+Q$98,0)+IF(YEAR(Q$8)=YEAR($AK175),Q$122-P$128-Q$122*DASHBOARD!$BD$27)+IF(YEAR(Q$8)&lt;YEAR($AK175),DEBT!P$14,0),0)</f>
        <v>0</v>
      </c>
      <c r="R175" s="134">
        <f>IFERROR(IF(YEAR(R$8)&lt;=YEAR($AK175),R$71+R$74+R$76+R$77+R$97+R$98,0)+IF(YEAR(R$8)=YEAR($AK175),R$122-Q$128-R$122*DASHBOARD!$BD$27)+IF(YEAR(R$8)&lt;YEAR($AK175),DEBT!Q$14,0),0)</f>
        <v>0</v>
      </c>
      <c r="S175" s="134">
        <f>IFERROR(IF(YEAR(S$8)&lt;=YEAR($AK175),S$71+S$74+S$76+S$77+S$97+S$98,0)+IF(YEAR(S$8)=YEAR($AK175),S$122-R$128-S$122*DASHBOARD!$BD$27)+IF(YEAR(S$8)&lt;YEAR($AK175),DEBT!R$14,0),0)</f>
        <v>0</v>
      </c>
      <c r="T175" s="134">
        <f>IFERROR(IF(YEAR(T$8)&lt;=YEAR($AK175),T$71+T$74+T$76+T$77+T$97+T$98,0)+IF(YEAR(T$8)=YEAR($AK175),T$122-S$128-T$122*DASHBOARD!$BD$27)+IF(YEAR(T$8)&lt;YEAR($AK175),DEBT!S$14,0),0)</f>
        <v>0</v>
      </c>
      <c r="U175" s="134">
        <f>IFERROR(IF(YEAR(U$8)&lt;=YEAR($AK175),U$71+U$74+U$76+U$77+U$97+U$98,0)+IF(YEAR(U$8)=YEAR($AK175),U$122-T$128-U$122*DASHBOARD!$BD$27)+IF(YEAR(U$8)&lt;YEAR($AK175),DEBT!T$14,0),0)</f>
        <v>0</v>
      </c>
      <c r="V175" s="134">
        <f>IFERROR(IF(YEAR(V$8)&lt;=YEAR($AK175),V$71+V$74+V$76+V$77+V$97+V$98,0)+IF(YEAR(V$8)=YEAR($AK175),V$122-U$128-V$122*DASHBOARD!$BD$27)+IF(YEAR(V$8)&lt;YEAR($AK175),DEBT!U$14,0),0)</f>
        <v>0</v>
      </c>
      <c r="W175" s="134">
        <f>IFERROR(IF(YEAR(W$8)&lt;=YEAR($AK175),W$71+W$74+W$76+W$77+W$97+W$98,0)+IF(YEAR(W$8)=YEAR($AK175),W$122-V$128-W$122*DASHBOARD!$BD$27)+IF(YEAR(W$8)&lt;YEAR($AK175),DEBT!V$14,0),0)</f>
        <v>0</v>
      </c>
      <c r="X175" s="134">
        <f>IFERROR(IF(YEAR(X$8)&lt;=YEAR($AK175),X$71+X$74+X$76+X$77+X$97+X$98,0)+IF(YEAR(X$8)=YEAR($AK175),X$122-W$128-X$122*DASHBOARD!$BD$27)+IF(YEAR(X$8)&lt;YEAR($AK175),DEBT!W$14,0),0)</f>
        <v>0</v>
      </c>
      <c r="Y175" s="134">
        <f>IFERROR(IF(YEAR(Y$8)&lt;=YEAR($AK175),Y$71+Y$74+Y$76+Y$77+Y$97+Y$98,0)+IF(YEAR(Y$8)=YEAR($AK175),Y$122-X$128-Y$122*DASHBOARD!$BD$27)+IF(YEAR(Y$8)&lt;YEAR($AK175),DEBT!X$14,0),0)</f>
        <v>0</v>
      </c>
      <c r="Z175" s="134">
        <f>IFERROR(IF(YEAR(Z$8)&lt;=YEAR($AK175),Z$71+Z$74+Z$76+Z$77+Z$97+Z$98,0)+IF(YEAR(Z$8)=YEAR($AK175),Z$122-Y$128-Z$122*DASHBOARD!$BD$27)+IF(YEAR(Z$8)&lt;YEAR($AK175),DEBT!Y$14,0),0)</f>
        <v>0</v>
      </c>
      <c r="AA175" s="134">
        <f>IFERROR(IF(YEAR(AA$8)&lt;=YEAR($AK175),AA$71+AA$74+AA$76+AA$77+AA$97+AA$98,0)+IF(YEAR(AA$8)=YEAR($AK175),AA$122-Z$128-AA$122*DASHBOARD!$BD$27)+IF(YEAR(AA$8)&lt;YEAR($AK175),DEBT!Z$14,0),0)</f>
        <v>0</v>
      </c>
      <c r="AB175" s="134">
        <f>IFERROR(IF(YEAR(AB$8)&lt;=YEAR($AK175),AB$71+AB$74+AB$76+AB$77+AB$97+AB$98,0)+IF(YEAR(AB$8)=YEAR($AK175),AB$122-AA$128-AB$122*DASHBOARD!$BD$27)+IF(YEAR(AB$8)&lt;YEAR($AK175),DEBT!AA$14,0),0)</f>
        <v>0</v>
      </c>
      <c r="AC175" s="134">
        <f>IFERROR(IF(YEAR(AC$8)&lt;=YEAR($AK175),AC$71+AC$74+AC$76+AC$77+AC$97+AC$98,0)+IF(YEAR(AC$8)=YEAR($AK175),AC$122-AB$128-AC$122*DASHBOARD!$BD$27)+IF(YEAR(AC$8)&lt;YEAR($AK175),DEBT!AB$14,0),0)</f>
        <v>0</v>
      </c>
      <c r="AD175" s="134">
        <f>IFERROR(IF(YEAR(AD$8)&lt;=YEAR($AK175),AD$71+AD$74+AD$76+AD$77+AD$97+AD$98,0)+IF(YEAR(AD$8)=YEAR($AK175),AD$122-AC$128-AD$122*DASHBOARD!$BD$27)+IF(YEAR(AD$8)&lt;YEAR($AK175),DEBT!AC$14,0),0)</f>
        <v>0</v>
      </c>
      <c r="AE175" s="134">
        <f>IFERROR(IF(YEAR(AE$8)&lt;=YEAR($AK175),AE$71+AE$74+AE$76+AE$77+AE$97+AE$98,0)+IF(YEAR(AE$8)=YEAR($AK175),AE$122-AD$128-AE$122*DASHBOARD!$BD$27)+IF(YEAR(AE$8)&lt;YEAR($AK175),DEBT!AD$14,0),0)</f>
        <v>0</v>
      </c>
      <c r="AF175" s="134">
        <f>IFERROR(IF(YEAR(AF$8)&lt;=YEAR($AK175),AF$71+AF$74+AF$76+AF$77+AF$97+AF$98,0)+IF(YEAR(AF$8)=YEAR($AK175),AF$122-AE$128-AF$122*DASHBOARD!$BD$27)+IF(YEAR(AF$8)&lt;YEAR($AK175),DEBT!AE$14,0),0)</f>
        <v>0</v>
      </c>
      <c r="AG175" s="134">
        <f>IFERROR(IF(YEAR(AG$8)&lt;=YEAR($AK175),AG$71+AG$74+AG$76+AG$77+AG$97+AG$98,0)+IF(YEAR(AG$8)=YEAR($AK175),AG$122-AF$128-AG$122*DASHBOARD!$BD$27)+IF(YEAR(AG$8)&lt;YEAR($AK175),DEBT!AF$14,0),0)</f>
        <v>0</v>
      </c>
      <c r="AH175" s="134">
        <f>IFERROR(IF(YEAR(AH$8)&lt;=YEAR($AK175),AH$71+AH$74+AH$76+AH$77+AH$97+AH$98,0)+IF(YEAR(AH$8)=YEAR($AK175),AH$122-AG$128-AH$122*DASHBOARD!$BD$27)+IF(YEAR(AH$8)&lt;YEAR($AK175),DEBT!AG$14,0),0)</f>
        <v>0</v>
      </c>
      <c r="AI175" s="242">
        <f>IFERROR(IF(YEAR(AI$8)&lt;=YEAR($AK175),AI$71+AI$74+AI$76+AI$77+AI$97+AI$98,0)+IF(YEAR(AI$8)=YEAR($AK175),AI$122-AH$128-AI$122*DASHBOARD!$BD$27)+IF(YEAR(AI$8)&lt;YEAR($AK175),DEBT!AH$14,0),0)</f>
        <v>0</v>
      </c>
      <c r="AJ175" s="1605"/>
      <c r="AK175" s="1704">
        <f t="shared" si="68"/>
        <v>49887</v>
      </c>
      <c r="AL175" s="450">
        <f t="shared" si="67"/>
        <v>0</v>
      </c>
      <c r="AM175" s="450">
        <f t="shared" si="69"/>
        <v>11</v>
      </c>
    </row>
    <row r="176" spans="2:39" s="289" customFormat="1" outlineLevel="1" x14ac:dyDescent="0.3">
      <c r="B176" s="267" t="str">
        <f t="shared" si="65"/>
        <v>n.a</v>
      </c>
      <c r="C176" s="1598" t="str">
        <f ca="1">IFERROR(MIRR(D176:OFFSET(D176,0,AL176),0%,DASHBOARD!$AD$83),"n.a")</f>
        <v>n.a</v>
      </c>
      <c r="D176" s="241">
        <f t="shared" si="66"/>
        <v>-7049.3458498885448</v>
      </c>
      <c r="E176" s="129">
        <f>IFERROR(IF(YEAR(E$8)&lt;=YEAR($AK176),E$71+E$74+E$76+E$77+E$97+E$98,0)+IF(YEAR(E$8)=YEAR($AK176),E$122-D$128-E$122*DASHBOARD!$BD$27)+IF(YEAR(E$8)&lt;YEAR($AK176),DEBT!D$14,0),0)</f>
        <v>0</v>
      </c>
      <c r="F176" s="134">
        <f>IFERROR(IF(YEAR(F$8)&lt;=YEAR($AK176),F$71+F$74+F$76+F$77+F$97+F$98,0)+IF(YEAR(F$8)=YEAR($AK176),F$122-E$128-F$122*DASHBOARD!$BD$27)+IF(YEAR(F$8)&lt;YEAR($AK176),DEBT!E$14,0),0)</f>
        <v>0</v>
      </c>
      <c r="G176" s="134">
        <f>IFERROR(IF(YEAR(G$8)&lt;=YEAR($AK176),G$71+G$74+G$76+G$77+G$97+G$98,0)+IF(YEAR(G$8)=YEAR($AK176),G$122-F$128-G$122*DASHBOARD!$BD$27)+IF(YEAR(G$8)&lt;YEAR($AK176),DEBT!F$14,0),0)</f>
        <v>0</v>
      </c>
      <c r="H176" s="134">
        <f>IFERROR(IF(YEAR(H$8)&lt;=YEAR($AK176),H$71+H$74+H$76+H$77+H$97+H$98,0)+IF(YEAR(H$8)=YEAR($AK176),H$122-G$128-H$122*DASHBOARD!$BD$27)+IF(YEAR(H$8)&lt;YEAR($AK176),DEBT!G$14,0),0)</f>
        <v>0</v>
      </c>
      <c r="I176" s="134">
        <f>IFERROR(IF(YEAR(I$8)&lt;=YEAR($AK176),I$71+I$74+I$76+I$77+I$97+I$98,0)+IF(YEAR(I$8)=YEAR($AK176),I$122-H$128-I$122*DASHBOARD!$BD$27)+IF(YEAR(I$8)&lt;YEAR($AK176),DEBT!H$14,0),0)</f>
        <v>0</v>
      </c>
      <c r="J176" s="134">
        <f>IFERROR(IF(YEAR(J$8)&lt;=YEAR($AK176),J$71+J$74+J$76+J$77+J$97+J$98,0)+IF(YEAR(J$8)=YEAR($AK176),J$122-I$128-J$122*DASHBOARD!$BD$27)+IF(YEAR(J$8)&lt;YEAR($AK176),DEBT!I$14,0),0)</f>
        <v>0</v>
      </c>
      <c r="K176" s="134">
        <f>IFERROR(IF(YEAR(K$8)&lt;=YEAR($AK176),K$71+K$74+K$76+K$77+K$97+K$98,0)+IF(YEAR(K$8)=YEAR($AK176),K$122-J$128-K$122*DASHBOARD!$BD$27)+IF(YEAR(K$8)&lt;YEAR($AK176),DEBT!J$14,0),0)</f>
        <v>0</v>
      </c>
      <c r="L176" s="134">
        <f>IFERROR(IF(YEAR(L$8)&lt;=YEAR($AK176),L$71+L$74+L$76+L$77+L$97+L$98,0)+IF(YEAR(L$8)=YEAR($AK176),L$122-K$128-L$122*DASHBOARD!$BD$27)+IF(YEAR(L$8)&lt;YEAR($AK176),DEBT!K$14,0),0)</f>
        <v>0</v>
      </c>
      <c r="M176" s="134">
        <f>IFERROR(IF(YEAR(M$8)&lt;=YEAR($AK176),M$71+M$74+M$76+M$77+M$97+M$98,0)+IF(YEAR(M$8)=YEAR($AK176),M$122-L$128-M$122*DASHBOARD!$BD$27)+IF(YEAR(M$8)&lt;YEAR($AK176),DEBT!L$14,0),0)</f>
        <v>0</v>
      </c>
      <c r="N176" s="134">
        <f>IFERROR(IF(YEAR(N$8)&lt;=YEAR($AK176),N$71+N$74+N$76+N$77+N$97+N$98,0)+IF(YEAR(N$8)=YEAR($AK176),N$122-M$128-N$122*DASHBOARD!$BD$27)+IF(YEAR(N$8)&lt;YEAR($AK176),DEBT!M$14,0),0)</f>
        <v>0</v>
      </c>
      <c r="O176" s="134">
        <f>IFERROR(IF(YEAR(O$8)&lt;=YEAR($AK176),O$71+O$74+O$76+O$77+O$97+O$98,0)+IF(YEAR(O$8)=YEAR($AK176),O$122-N$128-O$122*DASHBOARD!$BD$27)+IF(YEAR(O$8)&lt;YEAR($AK176),DEBT!N$14,0),0)</f>
        <v>0</v>
      </c>
      <c r="P176" s="134">
        <f>IFERROR(IF(YEAR(P$8)&lt;=YEAR($AK176),P$71+P$74+P$76+P$77+P$97+P$98,0)+IF(YEAR(P$8)=YEAR($AK176),P$122-O$128-P$122*DASHBOARD!$BD$27)+IF(YEAR(P$8)&lt;YEAR($AK176),DEBT!O$14,0),0)</f>
        <v>0</v>
      </c>
      <c r="Q176" s="134">
        <f>IFERROR(IF(YEAR(Q$8)&lt;=YEAR($AK176),Q$71+Q$74+Q$76+Q$77+Q$97+Q$98,0)+IF(YEAR(Q$8)=YEAR($AK176),Q$122-P$128-Q$122*DASHBOARD!$BD$27)+IF(YEAR(Q$8)&lt;YEAR($AK176),DEBT!P$14,0),0)</f>
        <v>0</v>
      </c>
      <c r="R176" s="134">
        <f>IFERROR(IF(YEAR(R$8)&lt;=YEAR($AK176),R$71+R$74+R$76+R$77+R$97+R$98,0)+IF(YEAR(R$8)=YEAR($AK176),R$122-Q$128-R$122*DASHBOARD!$BD$27)+IF(YEAR(R$8)&lt;YEAR($AK176),DEBT!Q$14,0),0)</f>
        <v>0</v>
      </c>
      <c r="S176" s="134">
        <f>IFERROR(IF(YEAR(S$8)&lt;=YEAR($AK176),S$71+S$74+S$76+S$77+S$97+S$98,0)+IF(YEAR(S$8)=YEAR($AK176),S$122-R$128-S$122*DASHBOARD!$BD$27)+IF(YEAR(S$8)&lt;YEAR($AK176),DEBT!R$14,0),0)</f>
        <v>0</v>
      </c>
      <c r="T176" s="134">
        <f>IFERROR(IF(YEAR(T$8)&lt;=YEAR($AK176),T$71+T$74+T$76+T$77+T$97+T$98,0)+IF(YEAR(T$8)=YEAR($AK176),T$122-S$128-T$122*DASHBOARD!$BD$27)+IF(YEAR(T$8)&lt;YEAR($AK176),DEBT!S$14,0),0)</f>
        <v>0</v>
      </c>
      <c r="U176" s="134">
        <f>IFERROR(IF(YEAR(U$8)&lt;=YEAR($AK176),U$71+U$74+U$76+U$77+U$97+U$98,0)+IF(YEAR(U$8)=YEAR($AK176),U$122-T$128-U$122*DASHBOARD!$BD$27)+IF(YEAR(U$8)&lt;YEAR($AK176),DEBT!T$14,0),0)</f>
        <v>0</v>
      </c>
      <c r="V176" s="134">
        <f>IFERROR(IF(YEAR(V$8)&lt;=YEAR($AK176),V$71+V$74+V$76+V$77+V$97+V$98,0)+IF(YEAR(V$8)=YEAR($AK176),V$122-U$128-V$122*DASHBOARD!$BD$27)+IF(YEAR(V$8)&lt;YEAR($AK176),DEBT!U$14,0),0)</f>
        <v>0</v>
      </c>
      <c r="W176" s="134">
        <f>IFERROR(IF(YEAR(W$8)&lt;=YEAR($AK176),W$71+W$74+W$76+W$77+W$97+W$98,0)+IF(YEAR(W$8)=YEAR($AK176),W$122-V$128-W$122*DASHBOARD!$BD$27)+IF(YEAR(W$8)&lt;YEAR($AK176),DEBT!V$14,0),0)</f>
        <v>0</v>
      </c>
      <c r="X176" s="134">
        <f>IFERROR(IF(YEAR(X$8)&lt;=YEAR($AK176),X$71+X$74+X$76+X$77+X$97+X$98,0)+IF(YEAR(X$8)=YEAR($AK176),X$122-W$128-X$122*DASHBOARD!$BD$27)+IF(YEAR(X$8)&lt;YEAR($AK176),DEBT!W$14,0),0)</f>
        <v>0</v>
      </c>
      <c r="Y176" s="134">
        <f>IFERROR(IF(YEAR(Y$8)&lt;=YEAR($AK176),Y$71+Y$74+Y$76+Y$77+Y$97+Y$98,0)+IF(YEAR(Y$8)=YEAR($AK176),Y$122-X$128-Y$122*DASHBOARD!$BD$27)+IF(YEAR(Y$8)&lt;YEAR($AK176),DEBT!X$14,0),0)</f>
        <v>0</v>
      </c>
      <c r="Z176" s="134">
        <f>IFERROR(IF(YEAR(Z$8)&lt;=YEAR($AK176),Z$71+Z$74+Z$76+Z$77+Z$97+Z$98,0)+IF(YEAR(Z$8)=YEAR($AK176),Z$122-Y$128-Z$122*DASHBOARD!$BD$27)+IF(YEAR(Z$8)&lt;YEAR($AK176),DEBT!Y$14,0),0)</f>
        <v>0</v>
      </c>
      <c r="AA176" s="134">
        <f>IFERROR(IF(YEAR(AA$8)&lt;=YEAR($AK176),AA$71+AA$74+AA$76+AA$77+AA$97+AA$98,0)+IF(YEAR(AA$8)=YEAR($AK176),AA$122-Z$128-AA$122*DASHBOARD!$BD$27)+IF(YEAR(AA$8)&lt;YEAR($AK176),DEBT!Z$14,0),0)</f>
        <v>0</v>
      </c>
      <c r="AB176" s="134">
        <f>IFERROR(IF(YEAR(AB$8)&lt;=YEAR($AK176),AB$71+AB$74+AB$76+AB$77+AB$97+AB$98,0)+IF(YEAR(AB$8)=YEAR($AK176),AB$122-AA$128-AB$122*DASHBOARD!$BD$27)+IF(YEAR(AB$8)&lt;YEAR($AK176),DEBT!AA$14,0),0)</f>
        <v>0</v>
      </c>
      <c r="AC176" s="134">
        <f>IFERROR(IF(YEAR(AC$8)&lt;=YEAR($AK176),AC$71+AC$74+AC$76+AC$77+AC$97+AC$98,0)+IF(YEAR(AC$8)=YEAR($AK176),AC$122-AB$128-AC$122*DASHBOARD!$BD$27)+IF(YEAR(AC$8)&lt;YEAR($AK176),DEBT!AB$14,0),0)</f>
        <v>0</v>
      </c>
      <c r="AD176" s="134">
        <f>IFERROR(IF(YEAR(AD$8)&lt;=YEAR($AK176),AD$71+AD$74+AD$76+AD$77+AD$97+AD$98,0)+IF(YEAR(AD$8)=YEAR($AK176),AD$122-AC$128-AD$122*DASHBOARD!$BD$27)+IF(YEAR(AD$8)&lt;YEAR($AK176),DEBT!AC$14,0),0)</f>
        <v>0</v>
      </c>
      <c r="AE176" s="134">
        <f>IFERROR(IF(YEAR(AE$8)&lt;=YEAR($AK176),AE$71+AE$74+AE$76+AE$77+AE$97+AE$98,0)+IF(YEAR(AE$8)=YEAR($AK176),AE$122-AD$128-AE$122*DASHBOARD!$BD$27)+IF(YEAR(AE$8)&lt;YEAR($AK176),DEBT!AD$14,0),0)</f>
        <v>0</v>
      </c>
      <c r="AF176" s="134">
        <f>IFERROR(IF(YEAR(AF$8)&lt;=YEAR($AK176),AF$71+AF$74+AF$76+AF$77+AF$97+AF$98,0)+IF(YEAR(AF$8)=YEAR($AK176),AF$122-AE$128-AF$122*DASHBOARD!$BD$27)+IF(YEAR(AF$8)&lt;YEAR($AK176),DEBT!AE$14,0),0)</f>
        <v>0</v>
      </c>
      <c r="AG176" s="134">
        <f>IFERROR(IF(YEAR(AG$8)&lt;=YEAR($AK176),AG$71+AG$74+AG$76+AG$77+AG$97+AG$98,0)+IF(YEAR(AG$8)=YEAR($AK176),AG$122-AF$128-AG$122*DASHBOARD!$BD$27)+IF(YEAR(AG$8)&lt;YEAR($AK176),DEBT!AF$14,0),0)</f>
        <v>0</v>
      </c>
      <c r="AH176" s="134">
        <f>IFERROR(IF(YEAR(AH$8)&lt;=YEAR($AK176),AH$71+AH$74+AH$76+AH$77+AH$97+AH$98,0)+IF(YEAR(AH$8)=YEAR($AK176),AH$122-AG$128-AH$122*DASHBOARD!$BD$27)+IF(YEAR(AH$8)&lt;YEAR($AK176),DEBT!AG$14,0),0)</f>
        <v>0</v>
      </c>
      <c r="AI176" s="242">
        <f>IFERROR(IF(YEAR(AI$8)&lt;=YEAR($AK176),AI$71+AI$74+AI$76+AI$77+AI$97+AI$98,0)+IF(YEAR(AI$8)=YEAR($AK176),AI$122-AH$128-AI$122*DASHBOARD!$BD$27)+IF(YEAR(AI$8)&lt;YEAR($AK176),DEBT!AH$14,0),0)</f>
        <v>0</v>
      </c>
      <c r="AJ176" s="1605"/>
      <c r="AK176" s="1704">
        <f t="shared" si="68"/>
        <v>50252</v>
      </c>
      <c r="AL176" s="450">
        <f t="shared" si="67"/>
        <v>0</v>
      </c>
      <c r="AM176" s="450">
        <f t="shared" si="69"/>
        <v>12</v>
      </c>
    </row>
    <row r="177" spans="2:39" s="289" customFormat="1" outlineLevel="1" x14ac:dyDescent="0.3">
      <c r="B177" s="267" t="str">
        <f t="shared" si="65"/>
        <v>n.a</v>
      </c>
      <c r="C177" s="1598" t="str">
        <f ca="1">IFERROR(MIRR(D177:OFFSET(D177,0,AL177),0%,DASHBOARD!$AD$83),"n.a")</f>
        <v>n.a</v>
      </c>
      <c r="D177" s="241">
        <f t="shared" si="66"/>
        <v>-7049.3458498885448</v>
      </c>
      <c r="E177" s="129">
        <f>IFERROR(IF(YEAR(E$8)&lt;=YEAR($AK177),E$71+E$74+E$76+E$77+E$97+E$98,0)+IF(YEAR(E$8)=YEAR($AK177),E$122-D$128-E$122*DASHBOARD!$BD$27)+IF(YEAR(E$8)&lt;YEAR($AK177),DEBT!D$14,0),0)</f>
        <v>0</v>
      </c>
      <c r="F177" s="134">
        <f>IFERROR(IF(YEAR(F$8)&lt;=YEAR($AK177),F$71+F$74+F$76+F$77+F$97+F$98,0)+IF(YEAR(F$8)=YEAR($AK177),F$122-E$128-F$122*DASHBOARD!$BD$27)+IF(YEAR(F$8)&lt;YEAR($AK177),DEBT!E$14,0),0)</f>
        <v>0</v>
      </c>
      <c r="G177" s="134">
        <f>IFERROR(IF(YEAR(G$8)&lt;=YEAR($AK177),G$71+G$74+G$76+G$77+G$97+G$98,0)+IF(YEAR(G$8)=YEAR($AK177),G$122-F$128-G$122*DASHBOARD!$BD$27)+IF(YEAR(G$8)&lt;YEAR($AK177),DEBT!F$14,0),0)</f>
        <v>0</v>
      </c>
      <c r="H177" s="134">
        <f>IFERROR(IF(YEAR(H$8)&lt;=YEAR($AK177),H$71+H$74+H$76+H$77+H$97+H$98,0)+IF(YEAR(H$8)=YEAR($AK177),H$122-G$128-H$122*DASHBOARD!$BD$27)+IF(YEAR(H$8)&lt;YEAR($AK177),DEBT!G$14,0),0)</f>
        <v>0</v>
      </c>
      <c r="I177" s="134">
        <f>IFERROR(IF(YEAR(I$8)&lt;=YEAR($AK177),I$71+I$74+I$76+I$77+I$97+I$98,0)+IF(YEAR(I$8)=YEAR($AK177),I$122-H$128-I$122*DASHBOARD!$BD$27)+IF(YEAR(I$8)&lt;YEAR($AK177),DEBT!H$14,0),0)</f>
        <v>0</v>
      </c>
      <c r="J177" s="134">
        <f>IFERROR(IF(YEAR(J$8)&lt;=YEAR($AK177),J$71+J$74+J$76+J$77+J$97+J$98,0)+IF(YEAR(J$8)=YEAR($AK177),J$122-I$128-J$122*DASHBOARD!$BD$27)+IF(YEAR(J$8)&lt;YEAR($AK177),DEBT!I$14,0),0)</f>
        <v>0</v>
      </c>
      <c r="K177" s="134">
        <f>IFERROR(IF(YEAR(K$8)&lt;=YEAR($AK177),K$71+K$74+K$76+K$77+K$97+K$98,0)+IF(YEAR(K$8)=YEAR($AK177),K$122-J$128-K$122*DASHBOARD!$BD$27)+IF(YEAR(K$8)&lt;YEAR($AK177),DEBT!J$14,0),0)</f>
        <v>0</v>
      </c>
      <c r="L177" s="134">
        <f>IFERROR(IF(YEAR(L$8)&lt;=YEAR($AK177),L$71+L$74+L$76+L$77+L$97+L$98,0)+IF(YEAR(L$8)=YEAR($AK177),L$122-K$128-L$122*DASHBOARD!$BD$27)+IF(YEAR(L$8)&lt;YEAR($AK177),DEBT!K$14,0),0)</f>
        <v>0</v>
      </c>
      <c r="M177" s="134">
        <f>IFERROR(IF(YEAR(M$8)&lt;=YEAR($AK177),M$71+M$74+M$76+M$77+M$97+M$98,0)+IF(YEAR(M$8)=YEAR($AK177),M$122-L$128-M$122*DASHBOARD!$BD$27)+IF(YEAR(M$8)&lt;YEAR($AK177),DEBT!L$14,0),0)</f>
        <v>0</v>
      </c>
      <c r="N177" s="134">
        <f>IFERROR(IF(YEAR(N$8)&lt;=YEAR($AK177),N$71+N$74+N$76+N$77+N$97+N$98,0)+IF(YEAR(N$8)=YEAR($AK177),N$122-M$128-N$122*DASHBOARD!$BD$27)+IF(YEAR(N$8)&lt;YEAR($AK177),DEBT!M$14,0),0)</f>
        <v>0</v>
      </c>
      <c r="O177" s="134">
        <f>IFERROR(IF(YEAR(O$8)&lt;=YEAR($AK177),O$71+O$74+O$76+O$77+O$97+O$98,0)+IF(YEAR(O$8)=YEAR($AK177),O$122-N$128-O$122*DASHBOARD!$BD$27)+IF(YEAR(O$8)&lt;YEAR($AK177),DEBT!N$14,0),0)</f>
        <v>0</v>
      </c>
      <c r="P177" s="134">
        <f>IFERROR(IF(YEAR(P$8)&lt;=YEAR($AK177),P$71+P$74+P$76+P$77+P$97+P$98,0)+IF(YEAR(P$8)=YEAR($AK177),P$122-O$128-P$122*DASHBOARD!$BD$27)+IF(YEAR(P$8)&lt;YEAR($AK177),DEBT!O$14,0),0)</f>
        <v>0</v>
      </c>
      <c r="Q177" s="134">
        <f>IFERROR(IF(YEAR(Q$8)&lt;=YEAR($AK177),Q$71+Q$74+Q$76+Q$77+Q$97+Q$98,0)+IF(YEAR(Q$8)=YEAR($AK177),Q$122-P$128-Q$122*DASHBOARD!$BD$27)+IF(YEAR(Q$8)&lt;YEAR($AK177),DEBT!P$14,0),0)</f>
        <v>0</v>
      </c>
      <c r="R177" s="134">
        <f>IFERROR(IF(YEAR(R$8)&lt;=YEAR($AK177),R$71+R$74+R$76+R$77+R$97+R$98,0)+IF(YEAR(R$8)=YEAR($AK177),R$122-Q$128-R$122*DASHBOARD!$BD$27)+IF(YEAR(R$8)&lt;YEAR($AK177),DEBT!Q$14,0),0)</f>
        <v>0</v>
      </c>
      <c r="S177" s="134">
        <f>IFERROR(IF(YEAR(S$8)&lt;=YEAR($AK177),S$71+S$74+S$76+S$77+S$97+S$98,0)+IF(YEAR(S$8)=YEAR($AK177),S$122-R$128-S$122*DASHBOARD!$BD$27)+IF(YEAR(S$8)&lt;YEAR($AK177),DEBT!R$14,0),0)</f>
        <v>0</v>
      </c>
      <c r="T177" s="134">
        <f>IFERROR(IF(YEAR(T$8)&lt;=YEAR($AK177),T$71+T$74+T$76+T$77+T$97+T$98,0)+IF(YEAR(T$8)=YEAR($AK177),T$122-S$128-T$122*DASHBOARD!$BD$27)+IF(YEAR(T$8)&lt;YEAR($AK177),DEBT!S$14,0),0)</f>
        <v>0</v>
      </c>
      <c r="U177" s="134">
        <f>IFERROR(IF(YEAR(U$8)&lt;=YEAR($AK177),U$71+U$74+U$76+U$77+U$97+U$98,0)+IF(YEAR(U$8)=YEAR($AK177),U$122-T$128-U$122*DASHBOARD!$BD$27)+IF(YEAR(U$8)&lt;YEAR($AK177),DEBT!T$14,0),0)</f>
        <v>0</v>
      </c>
      <c r="V177" s="134">
        <f>IFERROR(IF(YEAR(V$8)&lt;=YEAR($AK177),V$71+V$74+V$76+V$77+V$97+V$98,0)+IF(YEAR(V$8)=YEAR($AK177),V$122-U$128-V$122*DASHBOARD!$BD$27)+IF(YEAR(V$8)&lt;YEAR($AK177),DEBT!U$14,0),0)</f>
        <v>0</v>
      </c>
      <c r="W177" s="134">
        <f>IFERROR(IF(YEAR(W$8)&lt;=YEAR($AK177),W$71+W$74+W$76+W$77+W$97+W$98,0)+IF(YEAR(W$8)=YEAR($AK177),W$122-V$128-W$122*DASHBOARD!$BD$27)+IF(YEAR(W$8)&lt;YEAR($AK177),DEBT!V$14,0),0)</f>
        <v>0</v>
      </c>
      <c r="X177" s="134">
        <f>IFERROR(IF(YEAR(X$8)&lt;=YEAR($AK177),X$71+X$74+X$76+X$77+X$97+X$98,0)+IF(YEAR(X$8)=YEAR($AK177),X$122-W$128-X$122*DASHBOARD!$BD$27)+IF(YEAR(X$8)&lt;YEAR($AK177),DEBT!W$14,0),0)</f>
        <v>0</v>
      </c>
      <c r="Y177" s="134">
        <f>IFERROR(IF(YEAR(Y$8)&lt;=YEAR($AK177),Y$71+Y$74+Y$76+Y$77+Y$97+Y$98,0)+IF(YEAR(Y$8)=YEAR($AK177),Y$122-X$128-Y$122*DASHBOARD!$BD$27)+IF(YEAR(Y$8)&lt;YEAR($AK177),DEBT!X$14,0),0)</f>
        <v>0</v>
      </c>
      <c r="Z177" s="134">
        <f>IFERROR(IF(YEAR(Z$8)&lt;=YEAR($AK177),Z$71+Z$74+Z$76+Z$77+Z$97+Z$98,0)+IF(YEAR(Z$8)=YEAR($AK177),Z$122-Y$128-Z$122*DASHBOARD!$BD$27)+IF(YEAR(Z$8)&lt;YEAR($AK177),DEBT!Y$14,0),0)</f>
        <v>0</v>
      </c>
      <c r="AA177" s="134">
        <f>IFERROR(IF(YEAR(AA$8)&lt;=YEAR($AK177),AA$71+AA$74+AA$76+AA$77+AA$97+AA$98,0)+IF(YEAR(AA$8)=YEAR($AK177),AA$122-Z$128-AA$122*DASHBOARD!$BD$27)+IF(YEAR(AA$8)&lt;YEAR($AK177),DEBT!Z$14,0),0)</f>
        <v>0</v>
      </c>
      <c r="AB177" s="134">
        <f>IFERROR(IF(YEAR(AB$8)&lt;=YEAR($AK177),AB$71+AB$74+AB$76+AB$77+AB$97+AB$98,0)+IF(YEAR(AB$8)=YEAR($AK177),AB$122-AA$128-AB$122*DASHBOARD!$BD$27)+IF(YEAR(AB$8)&lt;YEAR($AK177),DEBT!AA$14,0),0)</f>
        <v>0</v>
      </c>
      <c r="AC177" s="134">
        <f>IFERROR(IF(YEAR(AC$8)&lt;=YEAR($AK177),AC$71+AC$74+AC$76+AC$77+AC$97+AC$98,0)+IF(YEAR(AC$8)=YEAR($AK177),AC$122-AB$128-AC$122*DASHBOARD!$BD$27)+IF(YEAR(AC$8)&lt;YEAR($AK177),DEBT!AB$14,0),0)</f>
        <v>0</v>
      </c>
      <c r="AD177" s="134">
        <f>IFERROR(IF(YEAR(AD$8)&lt;=YEAR($AK177),AD$71+AD$74+AD$76+AD$77+AD$97+AD$98,0)+IF(YEAR(AD$8)=YEAR($AK177),AD$122-AC$128-AD$122*DASHBOARD!$BD$27)+IF(YEAR(AD$8)&lt;YEAR($AK177),DEBT!AC$14,0),0)</f>
        <v>0</v>
      </c>
      <c r="AE177" s="134">
        <f>IFERROR(IF(YEAR(AE$8)&lt;=YEAR($AK177),AE$71+AE$74+AE$76+AE$77+AE$97+AE$98,0)+IF(YEAR(AE$8)=YEAR($AK177),AE$122-AD$128-AE$122*DASHBOARD!$BD$27)+IF(YEAR(AE$8)&lt;YEAR($AK177),DEBT!AD$14,0),0)</f>
        <v>0</v>
      </c>
      <c r="AF177" s="134">
        <f>IFERROR(IF(YEAR(AF$8)&lt;=YEAR($AK177),AF$71+AF$74+AF$76+AF$77+AF$97+AF$98,0)+IF(YEAR(AF$8)=YEAR($AK177),AF$122-AE$128-AF$122*DASHBOARD!$BD$27)+IF(YEAR(AF$8)&lt;YEAR($AK177),DEBT!AE$14,0),0)</f>
        <v>0</v>
      </c>
      <c r="AG177" s="134">
        <f>IFERROR(IF(YEAR(AG$8)&lt;=YEAR($AK177),AG$71+AG$74+AG$76+AG$77+AG$97+AG$98,0)+IF(YEAR(AG$8)=YEAR($AK177),AG$122-AF$128-AG$122*DASHBOARD!$BD$27)+IF(YEAR(AG$8)&lt;YEAR($AK177),DEBT!AF$14,0),0)</f>
        <v>0</v>
      </c>
      <c r="AH177" s="134">
        <f>IFERROR(IF(YEAR(AH$8)&lt;=YEAR($AK177),AH$71+AH$74+AH$76+AH$77+AH$97+AH$98,0)+IF(YEAR(AH$8)=YEAR($AK177),AH$122-AG$128-AH$122*DASHBOARD!$BD$27)+IF(YEAR(AH$8)&lt;YEAR($AK177),DEBT!AG$14,0),0)</f>
        <v>0</v>
      </c>
      <c r="AI177" s="242">
        <f>IFERROR(IF(YEAR(AI$8)&lt;=YEAR($AK177),AI$71+AI$74+AI$76+AI$77+AI$97+AI$98,0)+IF(YEAR(AI$8)=YEAR($AK177),AI$122-AH$128-AI$122*DASHBOARD!$BD$27)+IF(YEAR(AI$8)&lt;YEAR($AK177),DEBT!AH$14,0),0)</f>
        <v>0</v>
      </c>
      <c r="AJ177" s="1605"/>
      <c r="AK177" s="1704">
        <f t="shared" si="68"/>
        <v>50617</v>
      </c>
      <c r="AL177" s="450">
        <f t="shared" si="67"/>
        <v>0</v>
      </c>
      <c r="AM177" s="450">
        <f t="shared" si="69"/>
        <v>13</v>
      </c>
    </row>
    <row r="178" spans="2:39" s="289" customFormat="1" outlineLevel="1" x14ac:dyDescent="0.3">
      <c r="B178" s="267" t="str">
        <f t="shared" si="65"/>
        <v>n.a</v>
      </c>
      <c r="C178" s="1598" t="str">
        <f ca="1">IFERROR(MIRR(D178:OFFSET(D178,0,AL178),0%,DASHBOARD!$AD$83),"n.a")</f>
        <v>n.a</v>
      </c>
      <c r="D178" s="241">
        <f t="shared" si="66"/>
        <v>-7049.3458498885448</v>
      </c>
      <c r="E178" s="129">
        <f>IFERROR(IF(YEAR(E$8)&lt;=YEAR($AK178),E$71+E$74+E$76+E$77+E$97+E$98,0)+IF(YEAR(E$8)=YEAR($AK178),E$122-D$128-E$122*DASHBOARD!$BD$27)+IF(YEAR(E$8)&lt;YEAR($AK178),DEBT!D$14,0),0)</f>
        <v>0</v>
      </c>
      <c r="F178" s="134">
        <f>IFERROR(IF(YEAR(F$8)&lt;=YEAR($AK178),F$71+F$74+F$76+F$77+F$97+F$98,0)+IF(YEAR(F$8)=YEAR($AK178),F$122-E$128-F$122*DASHBOARD!$BD$27)+IF(YEAR(F$8)&lt;YEAR($AK178),DEBT!E$14,0),0)</f>
        <v>0</v>
      </c>
      <c r="G178" s="134">
        <f>IFERROR(IF(YEAR(G$8)&lt;=YEAR($AK178),G$71+G$74+G$76+G$77+G$97+G$98,0)+IF(YEAR(G$8)=YEAR($AK178),G$122-F$128-G$122*DASHBOARD!$BD$27)+IF(YEAR(G$8)&lt;YEAR($AK178),DEBT!F$14,0),0)</f>
        <v>0</v>
      </c>
      <c r="H178" s="134">
        <f>IFERROR(IF(YEAR(H$8)&lt;=YEAR($AK178),H$71+H$74+H$76+H$77+H$97+H$98,0)+IF(YEAR(H$8)=YEAR($AK178),H$122-G$128-H$122*DASHBOARD!$BD$27)+IF(YEAR(H$8)&lt;YEAR($AK178),DEBT!G$14,0),0)</f>
        <v>0</v>
      </c>
      <c r="I178" s="134">
        <f>IFERROR(IF(YEAR(I$8)&lt;=YEAR($AK178),I$71+I$74+I$76+I$77+I$97+I$98,0)+IF(YEAR(I$8)=YEAR($AK178),I$122-H$128-I$122*DASHBOARD!$BD$27)+IF(YEAR(I$8)&lt;YEAR($AK178),DEBT!H$14,0),0)</f>
        <v>0</v>
      </c>
      <c r="J178" s="134">
        <f>IFERROR(IF(YEAR(J$8)&lt;=YEAR($AK178),J$71+J$74+J$76+J$77+J$97+J$98,0)+IF(YEAR(J$8)=YEAR($AK178),J$122-I$128-J$122*DASHBOARD!$BD$27)+IF(YEAR(J$8)&lt;YEAR($AK178),DEBT!I$14,0),0)</f>
        <v>0</v>
      </c>
      <c r="K178" s="134">
        <f>IFERROR(IF(YEAR(K$8)&lt;=YEAR($AK178),K$71+K$74+K$76+K$77+K$97+K$98,0)+IF(YEAR(K$8)=YEAR($AK178),K$122-J$128-K$122*DASHBOARD!$BD$27)+IF(YEAR(K$8)&lt;YEAR($AK178),DEBT!J$14,0),0)</f>
        <v>0</v>
      </c>
      <c r="L178" s="134">
        <f>IFERROR(IF(YEAR(L$8)&lt;=YEAR($AK178),L$71+L$74+L$76+L$77+L$97+L$98,0)+IF(YEAR(L$8)=YEAR($AK178),L$122-K$128-L$122*DASHBOARD!$BD$27)+IF(YEAR(L$8)&lt;YEAR($AK178),DEBT!K$14,0),0)</f>
        <v>0</v>
      </c>
      <c r="M178" s="134">
        <f>IFERROR(IF(YEAR(M$8)&lt;=YEAR($AK178),M$71+M$74+M$76+M$77+M$97+M$98,0)+IF(YEAR(M$8)=YEAR($AK178),M$122-L$128-M$122*DASHBOARD!$BD$27)+IF(YEAR(M$8)&lt;YEAR($AK178),DEBT!L$14,0),0)</f>
        <v>0</v>
      </c>
      <c r="N178" s="134">
        <f>IFERROR(IF(YEAR(N$8)&lt;=YEAR($AK178),N$71+N$74+N$76+N$77+N$97+N$98,0)+IF(YEAR(N$8)=YEAR($AK178),N$122-M$128-N$122*DASHBOARD!$BD$27)+IF(YEAR(N$8)&lt;YEAR($AK178),DEBT!M$14,0),0)</f>
        <v>0</v>
      </c>
      <c r="O178" s="134">
        <f>IFERROR(IF(YEAR(O$8)&lt;=YEAR($AK178),O$71+O$74+O$76+O$77+O$97+O$98,0)+IF(YEAR(O$8)=YEAR($AK178),O$122-N$128-O$122*DASHBOARD!$BD$27)+IF(YEAR(O$8)&lt;YEAR($AK178),DEBT!N$14,0),0)</f>
        <v>0</v>
      </c>
      <c r="P178" s="134">
        <f>IFERROR(IF(YEAR(P$8)&lt;=YEAR($AK178),P$71+P$74+P$76+P$77+P$97+P$98,0)+IF(YEAR(P$8)=YEAR($AK178),P$122-O$128-P$122*DASHBOARD!$BD$27)+IF(YEAR(P$8)&lt;YEAR($AK178),DEBT!O$14,0),0)</f>
        <v>0</v>
      </c>
      <c r="Q178" s="134">
        <f>IFERROR(IF(YEAR(Q$8)&lt;=YEAR($AK178),Q$71+Q$74+Q$76+Q$77+Q$97+Q$98,0)+IF(YEAR(Q$8)=YEAR($AK178),Q$122-P$128-Q$122*DASHBOARD!$BD$27)+IF(YEAR(Q$8)&lt;YEAR($AK178),DEBT!P$14,0),0)</f>
        <v>0</v>
      </c>
      <c r="R178" s="134">
        <f>IFERROR(IF(YEAR(R$8)&lt;=YEAR($AK178),R$71+R$74+R$76+R$77+R$97+R$98,0)+IF(YEAR(R$8)=YEAR($AK178),R$122-Q$128-R$122*DASHBOARD!$BD$27)+IF(YEAR(R$8)&lt;YEAR($AK178),DEBT!Q$14,0),0)</f>
        <v>0</v>
      </c>
      <c r="S178" s="134">
        <f>IFERROR(IF(YEAR(S$8)&lt;=YEAR($AK178),S$71+S$74+S$76+S$77+S$97+S$98,0)+IF(YEAR(S$8)=YEAR($AK178),S$122-R$128-S$122*DASHBOARD!$BD$27)+IF(YEAR(S$8)&lt;YEAR($AK178),DEBT!R$14,0),0)</f>
        <v>0</v>
      </c>
      <c r="T178" s="134">
        <f>IFERROR(IF(YEAR(T$8)&lt;=YEAR($AK178),T$71+T$74+T$76+T$77+T$97+T$98,0)+IF(YEAR(T$8)=YEAR($AK178),T$122-S$128-T$122*DASHBOARD!$BD$27)+IF(YEAR(T$8)&lt;YEAR($AK178),DEBT!S$14,0),0)</f>
        <v>0</v>
      </c>
      <c r="U178" s="134">
        <f>IFERROR(IF(YEAR(U$8)&lt;=YEAR($AK178),U$71+U$74+U$76+U$77+U$97+U$98,0)+IF(YEAR(U$8)=YEAR($AK178),U$122-T$128-U$122*DASHBOARD!$BD$27)+IF(YEAR(U$8)&lt;YEAR($AK178),DEBT!T$14,0),0)</f>
        <v>0</v>
      </c>
      <c r="V178" s="134">
        <f>IFERROR(IF(YEAR(V$8)&lt;=YEAR($AK178),V$71+V$74+V$76+V$77+V$97+V$98,0)+IF(YEAR(V$8)=YEAR($AK178),V$122-U$128-V$122*DASHBOARD!$BD$27)+IF(YEAR(V$8)&lt;YEAR($AK178),DEBT!U$14,0),0)</f>
        <v>0</v>
      </c>
      <c r="W178" s="134">
        <f>IFERROR(IF(YEAR(W$8)&lt;=YEAR($AK178),W$71+W$74+W$76+W$77+W$97+W$98,0)+IF(YEAR(W$8)=YEAR($AK178),W$122-V$128-W$122*DASHBOARD!$BD$27)+IF(YEAR(W$8)&lt;YEAR($AK178),DEBT!V$14,0),0)</f>
        <v>0</v>
      </c>
      <c r="X178" s="134">
        <f>IFERROR(IF(YEAR(X$8)&lt;=YEAR($AK178),X$71+X$74+X$76+X$77+X$97+X$98,0)+IF(YEAR(X$8)=YEAR($AK178),X$122-W$128-X$122*DASHBOARD!$BD$27)+IF(YEAR(X$8)&lt;YEAR($AK178),DEBT!W$14,0),0)</f>
        <v>0</v>
      </c>
      <c r="Y178" s="134">
        <f>IFERROR(IF(YEAR(Y$8)&lt;=YEAR($AK178),Y$71+Y$74+Y$76+Y$77+Y$97+Y$98,0)+IF(YEAR(Y$8)=YEAR($AK178),Y$122-X$128-Y$122*DASHBOARD!$BD$27)+IF(YEAR(Y$8)&lt;YEAR($AK178),DEBT!X$14,0),0)</f>
        <v>0</v>
      </c>
      <c r="Z178" s="134">
        <f>IFERROR(IF(YEAR(Z$8)&lt;=YEAR($AK178),Z$71+Z$74+Z$76+Z$77+Z$97+Z$98,0)+IF(YEAR(Z$8)=YEAR($AK178),Z$122-Y$128-Z$122*DASHBOARD!$BD$27)+IF(YEAR(Z$8)&lt;YEAR($AK178),DEBT!Y$14,0),0)</f>
        <v>0</v>
      </c>
      <c r="AA178" s="134">
        <f>IFERROR(IF(YEAR(AA$8)&lt;=YEAR($AK178),AA$71+AA$74+AA$76+AA$77+AA$97+AA$98,0)+IF(YEAR(AA$8)=YEAR($AK178),AA$122-Z$128-AA$122*DASHBOARD!$BD$27)+IF(YEAR(AA$8)&lt;YEAR($AK178),DEBT!Z$14,0),0)</f>
        <v>0</v>
      </c>
      <c r="AB178" s="134">
        <f>IFERROR(IF(YEAR(AB$8)&lt;=YEAR($AK178),AB$71+AB$74+AB$76+AB$77+AB$97+AB$98,0)+IF(YEAR(AB$8)=YEAR($AK178),AB$122-AA$128-AB$122*DASHBOARD!$BD$27)+IF(YEAR(AB$8)&lt;YEAR($AK178),DEBT!AA$14,0),0)</f>
        <v>0</v>
      </c>
      <c r="AC178" s="134">
        <f>IFERROR(IF(YEAR(AC$8)&lt;=YEAR($AK178),AC$71+AC$74+AC$76+AC$77+AC$97+AC$98,0)+IF(YEAR(AC$8)=YEAR($AK178),AC$122-AB$128-AC$122*DASHBOARD!$BD$27)+IF(YEAR(AC$8)&lt;YEAR($AK178),DEBT!AB$14,0),0)</f>
        <v>0</v>
      </c>
      <c r="AD178" s="134">
        <f>IFERROR(IF(YEAR(AD$8)&lt;=YEAR($AK178),AD$71+AD$74+AD$76+AD$77+AD$97+AD$98,0)+IF(YEAR(AD$8)=YEAR($AK178),AD$122-AC$128-AD$122*DASHBOARD!$BD$27)+IF(YEAR(AD$8)&lt;YEAR($AK178),DEBT!AC$14,0),0)</f>
        <v>0</v>
      </c>
      <c r="AE178" s="134">
        <f>IFERROR(IF(YEAR(AE$8)&lt;=YEAR($AK178),AE$71+AE$74+AE$76+AE$77+AE$97+AE$98,0)+IF(YEAR(AE$8)=YEAR($AK178),AE$122-AD$128-AE$122*DASHBOARD!$BD$27)+IF(YEAR(AE$8)&lt;YEAR($AK178),DEBT!AD$14,0),0)</f>
        <v>0</v>
      </c>
      <c r="AF178" s="134">
        <f>IFERROR(IF(YEAR(AF$8)&lt;=YEAR($AK178),AF$71+AF$74+AF$76+AF$77+AF$97+AF$98,0)+IF(YEAR(AF$8)=YEAR($AK178),AF$122-AE$128-AF$122*DASHBOARD!$BD$27)+IF(YEAR(AF$8)&lt;YEAR($AK178),DEBT!AE$14,0),0)</f>
        <v>0</v>
      </c>
      <c r="AG178" s="134">
        <f>IFERROR(IF(YEAR(AG$8)&lt;=YEAR($AK178),AG$71+AG$74+AG$76+AG$77+AG$97+AG$98,0)+IF(YEAR(AG$8)=YEAR($AK178),AG$122-AF$128-AG$122*DASHBOARD!$BD$27)+IF(YEAR(AG$8)&lt;YEAR($AK178),DEBT!AF$14,0),0)</f>
        <v>0</v>
      </c>
      <c r="AH178" s="134">
        <f>IFERROR(IF(YEAR(AH$8)&lt;=YEAR($AK178),AH$71+AH$74+AH$76+AH$77+AH$97+AH$98,0)+IF(YEAR(AH$8)=YEAR($AK178),AH$122-AG$128-AH$122*DASHBOARD!$BD$27)+IF(YEAR(AH$8)&lt;YEAR($AK178),DEBT!AG$14,0),0)</f>
        <v>0</v>
      </c>
      <c r="AI178" s="242">
        <f>IFERROR(IF(YEAR(AI$8)&lt;=YEAR($AK178),AI$71+AI$74+AI$76+AI$77+AI$97+AI$98,0)+IF(YEAR(AI$8)=YEAR($AK178),AI$122-AH$128-AI$122*DASHBOARD!$BD$27)+IF(YEAR(AI$8)&lt;YEAR($AK178),DEBT!AH$14,0),0)</f>
        <v>0</v>
      </c>
      <c r="AJ178" s="1605"/>
      <c r="AK178" s="1704">
        <f t="shared" si="68"/>
        <v>50982</v>
      </c>
      <c r="AL178" s="450">
        <f t="shared" si="67"/>
        <v>0</v>
      </c>
      <c r="AM178" s="450">
        <f t="shared" si="69"/>
        <v>14</v>
      </c>
    </row>
    <row r="179" spans="2:39" s="289" customFormat="1" outlineLevel="1" x14ac:dyDescent="0.3">
      <c r="B179" s="267" t="str">
        <f t="shared" si="65"/>
        <v>n.a</v>
      </c>
      <c r="C179" s="1598" t="str">
        <f ca="1">IFERROR(MIRR(D179:OFFSET(D179,0,AL179),0%,DASHBOARD!$AD$83),"n.a")</f>
        <v>n.a</v>
      </c>
      <c r="D179" s="241">
        <f t="shared" si="66"/>
        <v>-7049.3458498885448</v>
      </c>
      <c r="E179" s="129">
        <f>IFERROR(IF(YEAR(E$8)&lt;=YEAR($AK179),E$71+E$74+E$76+E$77+E$97+E$98,0)+IF(YEAR(E$8)=YEAR($AK179),E$122-D$128-E$122*DASHBOARD!$BD$27)+IF(YEAR(E$8)&lt;YEAR($AK179),DEBT!D$14,0),0)</f>
        <v>0</v>
      </c>
      <c r="F179" s="134">
        <f>IFERROR(IF(YEAR(F$8)&lt;=YEAR($AK179),F$71+F$74+F$76+F$77+F$97+F$98,0)+IF(YEAR(F$8)=YEAR($AK179),F$122-E$128-F$122*DASHBOARD!$BD$27)+IF(YEAR(F$8)&lt;YEAR($AK179),DEBT!E$14,0),0)</f>
        <v>0</v>
      </c>
      <c r="G179" s="134">
        <f>IFERROR(IF(YEAR(G$8)&lt;=YEAR($AK179),G$71+G$74+G$76+G$77+G$97+G$98,0)+IF(YEAR(G$8)=YEAR($AK179),G$122-F$128-G$122*DASHBOARD!$BD$27)+IF(YEAR(G$8)&lt;YEAR($AK179),DEBT!F$14,0),0)</f>
        <v>0</v>
      </c>
      <c r="H179" s="134">
        <f>IFERROR(IF(YEAR(H$8)&lt;=YEAR($AK179),H$71+H$74+H$76+H$77+H$97+H$98,0)+IF(YEAR(H$8)=YEAR($AK179),H$122-G$128-H$122*DASHBOARD!$BD$27)+IF(YEAR(H$8)&lt;YEAR($AK179),DEBT!G$14,0),0)</f>
        <v>0</v>
      </c>
      <c r="I179" s="134">
        <f>IFERROR(IF(YEAR(I$8)&lt;=YEAR($AK179),I$71+I$74+I$76+I$77+I$97+I$98,0)+IF(YEAR(I$8)=YEAR($AK179),I$122-H$128-I$122*DASHBOARD!$BD$27)+IF(YEAR(I$8)&lt;YEAR($AK179),DEBT!H$14,0),0)</f>
        <v>0</v>
      </c>
      <c r="J179" s="134">
        <f>IFERROR(IF(YEAR(J$8)&lt;=YEAR($AK179),J$71+J$74+J$76+J$77+J$97+J$98,0)+IF(YEAR(J$8)=YEAR($AK179),J$122-I$128-J$122*DASHBOARD!$BD$27)+IF(YEAR(J$8)&lt;YEAR($AK179),DEBT!I$14,0),0)</f>
        <v>0</v>
      </c>
      <c r="K179" s="134">
        <f>IFERROR(IF(YEAR(K$8)&lt;=YEAR($AK179),K$71+K$74+K$76+K$77+K$97+K$98,0)+IF(YEAR(K$8)=YEAR($AK179),K$122-J$128-K$122*DASHBOARD!$BD$27)+IF(YEAR(K$8)&lt;YEAR($AK179),DEBT!J$14,0),0)</f>
        <v>0</v>
      </c>
      <c r="L179" s="134">
        <f>IFERROR(IF(YEAR(L$8)&lt;=YEAR($AK179),L$71+L$74+L$76+L$77+L$97+L$98,0)+IF(YEAR(L$8)=YEAR($AK179),L$122-K$128-L$122*DASHBOARD!$BD$27)+IF(YEAR(L$8)&lt;YEAR($AK179),DEBT!K$14,0),0)</f>
        <v>0</v>
      </c>
      <c r="M179" s="134">
        <f>IFERROR(IF(YEAR(M$8)&lt;=YEAR($AK179),M$71+M$74+M$76+M$77+M$97+M$98,0)+IF(YEAR(M$8)=YEAR($AK179),M$122-L$128-M$122*DASHBOARD!$BD$27)+IF(YEAR(M$8)&lt;YEAR($AK179),DEBT!L$14,0),0)</f>
        <v>0</v>
      </c>
      <c r="N179" s="134">
        <f>IFERROR(IF(YEAR(N$8)&lt;=YEAR($AK179),N$71+N$74+N$76+N$77+N$97+N$98,0)+IF(YEAR(N$8)=YEAR($AK179),N$122-M$128-N$122*DASHBOARD!$BD$27)+IF(YEAR(N$8)&lt;YEAR($AK179),DEBT!M$14,0),0)</f>
        <v>0</v>
      </c>
      <c r="O179" s="134">
        <f>IFERROR(IF(YEAR(O$8)&lt;=YEAR($AK179),O$71+O$74+O$76+O$77+O$97+O$98,0)+IF(YEAR(O$8)=YEAR($AK179),O$122-N$128-O$122*DASHBOARD!$BD$27)+IF(YEAR(O$8)&lt;YEAR($AK179),DEBT!N$14,0),0)</f>
        <v>0</v>
      </c>
      <c r="P179" s="134">
        <f>IFERROR(IF(YEAR(P$8)&lt;=YEAR($AK179),P$71+P$74+P$76+P$77+P$97+P$98,0)+IF(YEAR(P$8)=YEAR($AK179),P$122-O$128-P$122*DASHBOARD!$BD$27)+IF(YEAR(P$8)&lt;YEAR($AK179),DEBT!O$14,0),0)</f>
        <v>0</v>
      </c>
      <c r="Q179" s="134">
        <f>IFERROR(IF(YEAR(Q$8)&lt;=YEAR($AK179),Q$71+Q$74+Q$76+Q$77+Q$97+Q$98,0)+IF(YEAR(Q$8)=YEAR($AK179),Q$122-P$128-Q$122*DASHBOARD!$BD$27)+IF(YEAR(Q$8)&lt;YEAR($AK179),DEBT!P$14,0),0)</f>
        <v>0</v>
      </c>
      <c r="R179" s="134">
        <f>IFERROR(IF(YEAR(R$8)&lt;=YEAR($AK179),R$71+R$74+R$76+R$77+R$97+R$98,0)+IF(YEAR(R$8)=YEAR($AK179),R$122-Q$128-R$122*DASHBOARD!$BD$27)+IF(YEAR(R$8)&lt;YEAR($AK179),DEBT!Q$14,0),0)</f>
        <v>0</v>
      </c>
      <c r="S179" s="134">
        <f>IFERROR(IF(YEAR(S$8)&lt;=YEAR($AK179),S$71+S$74+S$76+S$77+S$97+S$98,0)+IF(YEAR(S$8)=YEAR($AK179),S$122-R$128-S$122*DASHBOARD!$BD$27)+IF(YEAR(S$8)&lt;YEAR($AK179),DEBT!R$14,0),0)</f>
        <v>0</v>
      </c>
      <c r="T179" s="134">
        <f>IFERROR(IF(YEAR(T$8)&lt;=YEAR($AK179),T$71+T$74+T$76+T$77+T$97+T$98,0)+IF(YEAR(T$8)=YEAR($AK179),T$122-S$128-T$122*DASHBOARD!$BD$27)+IF(YEAR(T$8)&lt;YEAR($AK179),DEBT!S$14,0),0)</f>
        <v>0</v>
      </c>
      <c r="U179" s="134">
        <f>IFERROR(IF(YEAR(U$8)&lt;=YEAR($AK179),U$71+U$74+U$76+U$77+U$97+U$98,0)+IF(YEAR(U$8)=YEAR($AK179),U$122-T$128-U$122*DASHBOARD!$BD$27)+IF(YEAR(U$8)&lt;YEAR($AK179),DEBT!T$14,0),0)</f>
        <v>0</v>
      </c>
      <c r="V179" s="134">
        <f>IFERROR(IF(YEAR(V$8)&lt;=YEAR($AK179),V$71+V$74+V$76+V$77+V$97+V$98,0)+IF(YEAR(V$8)=YEAR($AK179),V$122-U$128-V$122*DASHBOARD!$BD$27)+IF(YEAR(V$8)&lt;YEAR($AK179),DEBT!U$14,0),0)</f>
        <v>0</v>
      </c>
      <c r="W179" s="134">
        <f>IFERROR(IF(YEAR(W$8)&lt;=YEAR($AK179),W$71+W$74+W$76+W$77+W$97+W$98,0)+IF(YEAR(W$8)=YEAR($AK179),W$122-V$128-W$122*DASHBOARD!$BD$27)+IF(YEAR(W$8)&lt;YEAR($AK179),DEBT!V$14,0),0)</f>
        <v>0</v>
      </c>
      <c r="X179" s="134">
        <f>IFERROR(IF(YEAR(X$8)&lt;=YEAR($AK179),X$71+X$74+X$76+X$77+X$97+X$98,0)+IF(YEAR(X$8)=YEAR($AK179),X$122-W$128-X$122*DASHBOARD!$BD$27)+IF(YEAR(X$8)&lt;YEAR($AK179),DEBT!W$14,0),0)</f>
        <v>0</v>
      </c>
      <c r="Y179" s="134">
        <f>IFERROR(IF(YEAR(Y$8)&lt;=YEAR($AK179),Y$71+Y$74+Y$76+Y$77+Y$97+Y$98,0)+IF(YEAR(Y$8)=YEAR($AK179),Y$122-X$128-Y$122*DASHBOARD!$BD$27)+IF(YEAR(Y$8)&lt;YEAR($AK179),DEBT!X$14,0),0)</f>
        <v>0</v>
      </c>
      <c r="Z179" s="134">
        <f>IFERROR(IF(YEAR(Z$8)&lt;=YEAR($AK179),Z$71+Z$74+Z$76+Z$77+Z$97+Z$98,0)+IF(YEAR(Z$8)=YEAR($AK179),Z$122-Y$128-Z$122*DASHBOARD!$BD$27)+IF(YEAR(Z$8)&lt;YEAR($AK179),DEBT!Y$14,0),0)</f>
        <v>0</v>
      </c>
      <c r="AA179" s="134">
        <f>IFERROR(IF(YEAR(AA$8)&lt;=YEAR($AK179),AA$71+AA$74+AA$76+AA$77+AA$97+AA$98,0)+IF(YEAR(AA$8)=YEAR($AK179),AA$122-Z$128-AA$122*DASHBOARD!$BD$27)+IF(YEAR(AA$8)&lt;YEAR($AK179),DEBT!Z$14,0),0)</f>
        <v>0</v>
      </c>
      <c r="AB179" s="134">
        <f>IFERROR(IF(YEAR(AB$8)&lt;=YEAR($AK179),AB$71+AB$74+AB$76+AB$77+AB$97+AB$98,0)+IF(YEAR(AB$8)=YEAR($AK179),AB$122-AA$128-AB$122*DASHBOARD!$BD$27)+IF(YEAR(AB$8)&lt;YEAR($AK179),DEBT!AA$14,0),0)</f>
        <v>0</v>
      </c>
      <c r="AC179" s="134">
        <f>IFERROR(IF(YEAR(AC$8)&lt;=YEAR($AK179),AC$71+AC$74+AC$76+AC$77+AC$97+AC$98,0)+IF(YEAR(AC$8)=YEAR($AK179),AC$122-AB$128-AC$122*DASHBOARD!$BD$27)+IF(YEAR(AC$8)&lt;YEAR($AK179),DEBT!AB$14,0),0)</f>
        <v>0</v>
      </c>
      <c r="AD179" s="134">
        <f>IFERROR(IF(YEAR(AD$8)&lt;=YEAR($AK179),AD$71+AD$74+AD$76+AD$77+AD$97+AD$98,0)+IF(YEAR(AD$8)=YEAR($AK179),AD$122-AC$128-AD$122*DASHBOARD!$BD$27)+IF(YEAR(AD$8)&lt;YEAR($AK179),DEBT!AC$14,0),0)</f>
        <v>0</v>
      </c>
      <c r="AE179" s="134">
        <f>IFERROR(IF(YEAR(AE$8)&lt;=YEAR($AK179),AE$71+AE$74+AE$76+AE$77+AE$97+AE$98,0)+IF(YEAR(AE$8)=YEAR($AK179),AE$122-AD$128-AE$122*DASHBOARD!$BD$27)+IF(YEAR(AE$8)&lt;YEAR($AK179),DEBT!AD$14,0),0)</f>
        <v>0</v>
      </c>
      <c r="AF179" s="134">
        <f>IFERROR(IF(YEAR(AF$8)&lt;=YEAR($AK179),AF$71+AF$74+AF$76+AF$77+AF$97+AF$98,0)+IF(YEAR(AF$8)=YEAR($AK179),AF$122-AE$128-AF$122*DASHBOARD!$BD$27)+IF(YEAR(AF$8)&lt;YEAR($AK179),DEBT!AE$14,0),0)</f>
        <v>0</v>
      </c>
      <c r="AG179" s="134">
        <f>IFERROR(IF(YEAR(AG$8)&lt;=YEAR($AK179),AG$71+AG$74+AG$76+AG$77+AG$97+AG$98,0)+IF(YEAR(AG$8)=YEAR($AK179),AG$122-AF$128-AG$122*DASHBOARD!$BD$27)+IF(YEAR(AG$8)&lt;YEAR($AK179),DEBT!AF$14,0),0)</f>
        <v>0</v>
      </c>
      <c r="AH179" s="134">
        <f>IFERROR(IF(YEAR(AH$8)&lt;=YEAR($AK179),AH$71+AH$74+AH$76+AH$77+AH$97+AH$98,0)+IF(YEAR(AH$8)=YEAR($AK179),AH$122-AG$128-AH$122*DASHBOARD!$BD$27)+IF(YEAR(AH$8)&lt;YEAR($AK179),DEBT!AG$14,0),0)</f>
        <v>0</v>
      </c>
      <c r="AI179" s="242">
        <f>IFERROR(IF(YEAR(AI$8)&lt;=YEAR($AK179),AI$71+AI$74+AI$76+AI$77+AI$97+AI$98,0)+IF(YEAR(AI$8)=YEAR($AK179),AI$122-AH$128-AI$122*DASHBOARD!$BD$27)+IF(YEAR(AI$8)&lt;YEAR($AK179),DEBT!AH$14,0),0)</f>
        <v>0</v>
      </c>
      <c r="AJ179" s="1605"/>
      <c r="AK179" s="1704">
        <f t="shared" si="68"/>
        <v>51348</v>
      </c>
      <c r="AL179" s="450">
        <f t="shared" si="67"/>
        <v>0</v>
      </c>
      <c r="AM179" s="450">
        <f t="shared" si="69"/>
        <v>15</v>
      </c>
    </row>
    <row r="180" spans="2:39" s="289" customFormat="1" outlineLevel="1" x14ac:dyDescent="0.3">
      <c r="B180" s="267" t="str">
        <f t="shared" si="65"/>
        <v>n.a</v>
      </c>
      <c r="C180" s="1598" t="str">
        <f ca="1">IFERROR(MIRR(D180:OFFSET(D180,0,AL180),0%,DASHBOARD!$AD$83),"n.a")</f>
        <v>n.a</v>
      </c>
      <c r="D180" s="241">
        <f t="shared" si="66"/>
        <v>-7049.3458498885448</v>
      </c>
      <c r="E180" s="129">
        <f>IFERROR(IF(YEAR(E$8)&lt;=YEAR($AK180),E$71+E$74+E$76+E$77+E$97+E$98,0)+IF(YEAR(E$8)=YEAR($AK180),E$122-D$128-E$122*DASHBOARD!$BD$27)+IF(YEAR(E$8)&lt;YEAR($AK180),DEBT!D$14,0),0)</f>
        <v>0</v>
      </c>
      <c r="F180" s="134">
        <f>IFERROR(IF(YEAR(F$8)&lt;=YEAR($AK180),F$71+F$74+F$76+F$77+F$97+F$98,0)+IF(YEAR(F$8)=YEAR($AK180),F$122-E$128-F$122*DASHBOARD!$BD$27)+IF(YEAR(F$8)&lt;YEAR($AK180),DEBT!E$14,0),0)</f>
        <v>0</v>
      </c>
      <c r="G180" s="134">
        <f>IFERROR(IF(YEAR(G$8)&lt;=YEAR($AK180),G$71+G$74+G$76+G$77+G$97+G$98,0)+IF(YEAR(G$8)=YEAR($AK180),G$122-F$128-G$122*DASHBOARD!$BD$27)+IF(YEAR(G$8)&lt;YEAR($AK180),DEBT!F$14,0),0)</f>
        <v>0</v>
      </c>
      <c r="H180" s="134">
        <f>IFERROR(IF(YEAR(H$8)&lt;=YEAR($AK180),H$71+H$74+H$76+H$77+H$97+H$98,0)+IF(YEAR(H$8)=YEAR($AK180),H$122-G$128-H$122*DASHBOARD!$BD$27)+IF(YEAR(H$8)&lt;YEAR($AK180),DEBT!G$14,0),0)</f>
        <v>0</v>
      </c>
      <c r="I180" s="134">
        <f>IFERROR(IF(YEAR(I$8)&lt;=YEAR($AK180),I$71+I$74+I$76+I$77+I$97+I$98,0)+IF(YEAR(I$8)=YEAR($AK180),I$122-H$128-I$122*DASHBOARD!$BD$27)+IF(YEAR(I$8)&lt;YEAR($AK180),DEBT!H$14,0),0)</f>
        <v>0</v>
      </c>
      <c r="J180" s="134">
        <f>IFERROR(IF(YEAR(J$8)&lt;=YEAR($AK180),J$71+J$74+J$76+J$77+J$97+J$98,0)+IF(YEAR(J$8)=YEAR($AK180),J$122-I$128-J$122*DASHBOARD!$BD$27)+IF(YEAR(J$8)&lt;YEAR($AK180),DEBT!I$14,0),0)</f>
        <v>0</v>
      </c>
      <c r="K180" s="134">
        <f>IFERROR(IF(YEAR(K$8)&lt;=YEAR($AK180),K$71+K$74+K$76+K$77+K$97+K$98,0)+IF(YEAR(K$8)=YEAR($AK180),K$122-J$128-K$122*DASHBOARD!$BD$27)+IF(YEAR(K$8)&lt;YEAR($AK180),DEBT!J$14,0),0)</f>
        <v>0</v>
      </c>
      <c r="L180" s="134">
        <f>IFERROR(IF(YEAR(L$8)&lt;=YEAR($AK180),L$71+L$74+L$76+L$77+L$97+L$98,0)+IF(YEAR(L$8)=YEAR($AK180),L$122-K$128-L$122*DASHBOARD!$BD$27)+IF(YEAR(L$8)&lt;YEAR($AK180),DEBT!K$14,0),0)</f>
        <v>0</v>
      </c>
      <c r="M180" s="134">
        <f>IFERROR(IF(YEAR(M$8)&lt;=YEAR($AK180),M$71+M$74+M$76+M$77+M$97+M$98,0)+IF(YEAR(M$8)=YEAR($AK180),M$122-L$128-M$122*DASHBOARD!$BD$27)+IF(YEAR(M$8)&lt;YEAR($AK180),DEBT!L$14,0),0)</f>
        <v>0</v>
      </c>
      <c r="N180" s="134">
        <f>IFERROR(IF(YEAR(N$8)&lt;=YEAR($AK180),N$71+N$74+N$76+N$77+N$97+N$98,0)+IF(YEAR(N$8)=YEAR($AK180),N$122-M$128-N$122*DASHBOARD!$BD$27)+IF(YEAR(N$8)&lt;YEAR($AK180),DEBT!M$14,0),0)</f>
        <v>0</v>
      </c>
      <c r="O180" s="134">
        <f>IFERROR(IF(YEAR(O$8)&lt;=YEAR($AK180),O$71+O$74+O$76+O$77+O$97+O$98,0)+IF(YEAR(O$8)=YEAR($AK180),O$122-N$128-O$122*DASHBOARD!$BD$27)+IF(YEAR(O$8)&lt;YEAR($AK180),DEBT!N$14,0),0)</f>
        <v>0</v>
      </c>
      <c r="P180" s="134">
        <f>IFERROR(IF(YEAR(P$8)&lt;=YEAR($AK180),P$71+P$74+P$76+P$77+P$97+P$98,0)+IF(YEAR(P$8)=YEAR($AK180),P$122-O$128-P$122*DASHBOARD!$BD$27)+IF(YEAR(P$8)&lt;YEAR($AK180),DEBT!O$14,0),0)</f>
        <v>0</v>
      </c>
      <c r="Q180" s="134">
        <f>IFERROR(IF(YEAR(Q$8)&lt;=YEAR($AK180),Q$71+Q$74+Q$76+Q$77+Q$97+Q$98,0)+IF(YEAR(Q$8)=YEAR($AK180),Q$122-P$128-Q$122*DASHBOARD!$BD$27)+IF(YEAR(Q$8)&lt;YEAR($AK180),DEBT!P$14,0),0)</f>
        <v>0</v>
      </c>
      <c r="R180" s="134">
        <f>IFERROR(IF(YEAR(R$8)&lt;=YEAR($AK180),R$71+R$74+R$76+R$77+R$97+R$98,0)+IF(YEAR(R$8)=YEAR($AK180),R$122-Q$128-R$122*DASHBOARD!$BD$27)+IF(YEAR(R$8)&lt;YEAR($AK180),DEBT!Q$14,0),0)</f>
        <v>0</v>
      </c>
      <c r="S180" s="134">
        <f>IFERROR(IF(YEAR(S$8)&lt;=YEAR($AK180),S$71+S$74+S$76+S$77+S$97+S$98,0)+IF(YEAR(S$8)=YEAR($AK180),S$122-R$128-S$122*DASHBOARD!$BD$27)+IF(YEAR(S$8)&lt;YEAR($AK180),DEBT!R$14,0),0)</f>
        <v>0</v>
      </c>
      <c r="T180" s="134">
        <f>IFERROR(IF(YEAR(T$8)&lt;=YEAR($AK180),T$71+T$74+T$76+T$77+T$97+T$98,0)+IF(YEAR(T$8)=YEAR($AK180),T$122-S$128-T$122*DASHBOARD!$BD$27)+IF(YEAR(T$8)&lt;YEAR($AK180),DEBT!S$14,0),0)</f>
        <v>0</v>
      </c>
      <c r="U180" s="134">
        <f>IFERROR(IF(YEAR(U$8)&lt;=YEAR($AK180),U$71+U$74+U$76+U$77+U$97+U$98,0)+IF(YEAR(U$8)=YEAR($AK180),U$122-T$128-U$122*DASHBOARD!$BD$27)+IF(YEAR(U$8)&lt;YEAR($AK180),DEBT!T$14,0),0)</f>
        <v>0</v>
      </c>
      <c r="V180" s="134">
        <f>IFERROR(IF(YEAR(V$8)&lt;=YEAR($AK180),V$71+V$74+V$76+V$77+V$97+V$98,0)+IF(YEAR(V$8)=YEAR($AK180),V$122-U$128-V$122*DASHBOARD!$BD$27)+IF(YEAR(V$8)&lt;YEAR($AK180),DEBT!U$14,0),0)</f>
        <v>0</v>
      </c>
      <c r="W180" s="134">
        <f>IFERROR(IF(YEAR(W$8)&lt;=YEAR($AK180),W$71+W$74+W$76+W$77+W$97+W$98,0)+IF(YEAR(W$8)=YEAR($AK180),W$122-V$128-W$122*DASHBOARD!$BD$27)+IF(YEAR(W$8)&lt;YEAR($AK180),DEBT!V$14,0),0)</f>
        <v>0</v>
      </c>
      <c r="X180" s="134">
        <f>IFERROR(IF(YEAR(X$8)&lt;=YEAR($AK180),X$71+X$74+X$76+X$77+X$97+X$98,0)+IF(YEAR(X$8)=YEAR($AK180),X$122-W$128-X$122*DASHBOARD!$BD$27)+IF(YEAR(X$8)&lt;YEAR($AK180),DEBT!W$14,0),0)</f>
        <v>0</v>
      </c>
      <c r="Y180" s="134">
        <f>IFERROR(IF(YEAR(Y$8)&lt;=YEAR($AK180),Y$71+Y$74+Y$76+Y$77+Y$97+Y$98,0)+IF(YEAR(Y$8)=YEAR($AK180),Y$122-X$128-Y$122*DASHBOARD!$BD$27)+IF(YEAR(Y$8)&lt;YEAR($AK180),DEBT!X$14,0),0)</f>
        <v>0</v>
      </c>
      <c r="Z180" s="134">
        <f>IFERROR(IF(YEAR(Z$8)&lt;=YEAR($AK180),Z$71+Z$74+Z$76+Z$77+Z$97+Z$98,0)+IF(YEAR(Z$8)=YEAR($AK180),Z$122-Y$128-Z$122*DASHBOARD!$BD$27)+IF(YEAR(Z$8)&lt;YEAR($AK180),DEBT!Y$14,0),0)</f>
        <v>0</v>
      </c>
      <c r="AA180" s="134">
        <f>IFERROR(IF(YEAR(AA$8)&lt;=YEAR($AK180),AA$71+AA$74+AA$76+AA$77+AA$97+AA$98,0)+IF(YEAR(AA$8)=YEAR($AK180),AA$122-Z$128-AA$122*DASHBOARD!$BD$27)+IF(YEAR(AA$8)&lt;YEAR($AK180),DEBT!Z$14,0),0)</f>
        <v>0</v>
      </c>
      <c r="AB180" s="134">
        <f>IFERROR(IF(YEAR(AB$8)&lt;=YEAR($AK180),AB$71+AB$74+AB$76+AB$77+AB$97+AB$98,0)+IF(YEAR(AB$8)=YEAR($AK180),AB$122-AA$128-AB$122*DASHBOARD!$BD$27)+IF(YEAR(AB$8)&lt;YEAR($AK180),DEBT!AA$14,0),0)</f>
        <v>0</v>
      </c>
      <c r="AC180" s="134">
        <f>IFERROR(IF(YEAR(AC$8)&lt;=YEAR($AK180),AC$71+AC$74+AC$76+AC$77+AC$97+AC$98,0)+IF(YEAR(AC$8)=YEAR($AK180),AC$122-AB$128-AC$122*DASHBOARD!$BD$27)+IF(YEAR(AC$8)&lt;YEAR($AK180),DEBT!AB$14,0),0)</f>
        <v>0</v>
      </c>
      <c r="AD180" s="134">
        <f>IFERROR(IF(YEAR(AD$8)&lt;=YEAR($AK180),AD$71+AD$74+AD$76+AD$77+AD$97+AD$98,0)+IF(YEAR(AD$8)=YEAR($AK180),AD$122-AC$128-AD$122*DASHBOARD!$BD$27)+IF(YEAR(AD$8)&lt;YEAR($AK180),DEBT!AC$14,0),0)</f>
        <v>0</v>
      </c>
      <c r="AE180" s="134">
        <f>IFERROR(IF(YEAR(AE$8)&lt;=YEAR($AK180),AE$71+AE$74+AE$76+AE$77+AE$97+AE$98,0)+IF(YEAR(AE$8)=YEAR($AK180),AE$122-AD$128-AE$122*DASHBOARD!$BD$27)+IF(YEAR(AE$8)&lt;YEAR($AK180),DEBT!AD$14,0),0)</f>
        <v>0</v>
      </c>
      <c r="AF180" s="134">
        <f>IFERROR(IF(YEAR(AF$8)&lt;=YEAR($AK180),AF$71+AF$74+AF$76+AF$77+AF$97+AF$98,0)+IF(YEAR(AF$8)=YEAR($AK180),AF$122-AE$128-AF$122*DASHBOARD!$BD$27)+IF(YEAR(AF$8)&lt;YEAR($AK180),DEBT!AE$14,0),0)</f>
        <v>0</v>
      </c>
      <c r="AG180" s="134">
        <f>IFERROR(IF(YEAR(AG$8)&lt;=YEAR($AK180),AG$71+AG$74+AG$76+AG$77+AG$97+AG$98,0)+IF(YEAR(AG$8)=YEAR($AK180),AG$122-AF$128-AG$122*DASHBOARD!$BD$27)+IF(YEAR(AG$8)&lt;YEAR($AK180),DEBT!AF$14,0),0)</f>
        <v>0</v>
      </c>
      <c r="AH180" s="134">
        <f>IFERROR(IF(YEAR(AH$8)&lt;=YEAR($AK180),AH$71+AH$74+AH$76+AH$77+AH$97+AH$98,0)+IF(YEAR(AH$8)=YEAR($AK180),AH$122-AG$128-AH$122*DASHBOARD!$BD$27)+IF(YEAR(AH$8)&lt;YEAR($AK180),DEBT!AG$14,0),0)</f>
        <v>0</v>
      </c>
      <c r="AI180" s="242">
        <f>IFERROR(IF(YEAR(AI$8)&lt;=YEAR($AK180),AI$71+AI$74+AI$76+AI$77+AI$97+AI$98,0)+IF(YEAR(AI$8)=YEAR($AK180),AI$122-AH$128-AI$122*DASHBOARD!$BD$27)+IF(YEAR(AI$8)&lt;YEAR($AK180),DEBT!AH$14,0),0)</f>
        <v>0</v>
      </c>
      <c r="AJ180" s="1605"/>
      <c r="AK180" s="1704">
        <f t="shared" si="68"/>
        <v>51713</v>
      </c>
      <c r="AL180" s="450">
        <f t="shared" si="67"/>
        <v>0</v>
      </c>
      <c r="AM180" s="450">
        <f t="shared" si="69"/>
        <v>16</v>
      </c>
    </row>
    <row r="181" spans="2:39" s="289" customFormat="1" outlineLevel="1" x14ac:dyDescent="0.3">
      <c r="B181" s="267" t="str">
        <f t="shared" si="65"/>
        <v>n.a</v>
      </c>
      <c r="C181" s="1598" t="str">
        <f ca="1">IFERROR(MIRR(D181:OFFSET(D181,0,AL181),0%,DASHBOARD!$AD$83),"n.a")</f>
        <v>n.a</v>
      </c>
      <c r="D181" s="241">
        <f t="shared" si="66"/>
        <v>-7049.3458498885448</v>
      </c>
      <c r="E181" s="129">
        <f>IFERROR(IF(YEAR(E$8)&lt;=YEAR($AK181),E$71+E$74+E$76+E$77+E$97+E$98,0)+IF(YEAR(E$8)=YEAR($AK181),E$122-D$128-E$122*DASHBOARD!$BD$27)+IF(YEAR(E$8)&lt;YEAR($AK181),DEBT!D$14,0),0)</f>
        <v>0</v>
      </c>
      <c r="F181" s="134">
        <f>IFERROR(IF(YEAR(F$8)&lt;=YEAR($AK181),F$71+F$74+F$76+F$77+F$97+F$98,0)+IF(YEAR(F$8)=YEAR($AK181),F$122-E$128-F$122*DASHBOARD!$BD$27)+IF(YEAR(F$8)&lt;YEAR($AK181),DEBT!E$14,0),0)</f>
        <v>0</v>
      </c>
      <c r="G181" s="134">
        <f>IFERROR(IF(YEAR(G$8)&lt;=YEAR($AK181),G$71+G$74+G$76+G$77+G$97+G$98,0)+IF(YEAR(G$8)=YEAR($AK181),G$122-F$128-G$122*DASHBOARD!$BD$27)+IF(YEAR(G$8)&lt;YEAR($AK181),DEBT!F$14,0),0)</f>
        <v>0</v>
      </c>
      <c r="H181" s="134">
        <f>IFERROR(IF(YEAR(H$8)&lt;=YEAR($AK181),H$71+H$74+H$76+H$77+H$97+H$98,0)+IF(YEAR(H$8)=YEAR($AK181),H$122-G$128-H$122*DASHBOARD!$BD$27)+IF(YEAR(H$8)&lt;YEAR($AK181),DEBT!G$14,0),0)</f>
        <v>0</v>
      </c>
      <c r="I181" s="134">
        <f>IFERROR(IF(YEAR(I$8)&lt;=YEAR($AK181),I$71+I$74+I$76+I$77+I$97+I$98,0)+IF(YEAR(I$8)=YEAR($AK181),I$122-H$128-I$122*DASHBOARD!$BD$27)+IF(YEAR(I$8)&lt;YEAR($AK181),DEBT!H$14,0),0)</f>
        <v>0</v>
      </c>
      <c r="J181" s="134">
        <f>IFERROR(IF(YEAR(J$8)&lt;=YEAR($AK181),J$71+J$74+J$76+J$77+J$97+J$98,0)+IF(YEAR(J$8)=YEAR($AK181),J$122-I$128-J$122*DASHBOARD!$BD$27)+IF(YEAR(J$8)&lt;YEAR($AK181),DEBT!I$14,0),0)</f>
        <v>0</v>
      </c>
      <c r="K181" s="134">
        <f>IFERROR(IF(YEAR(K$8)&lt;=YEAR($AK181),K$71+K$74+K$76+K$77+K$97+K$98,0)+IF(YEAR(K$8)=YEAR($AK181),K$122-J$128-K$122*DASHBOARD!$BD$27)+IF(YEAR(K$8)&lt;YEAR($AK181),DEBT!J$14,0),0)</f>
        <v>0</v>
      </c>
      <c r="L181" s="134">
        <f>IFERROR(IF(YEAR(L$8)&lt;=YEAR($AK181),L$71+L$74+L$76+L$77+L$97+L$98,0)+IF(YEAR(L$8)=YEAR($AK181),L$122-K$128-L$122*DASHBOARD!$BD$27)+IF(YEAR(L$8)&lt;YEAR($AK181),DEBT!K$14,0),0)</f>
        <v>0</v>
      </c>
      <c r="M181" s="134">
        <f>IFERROR(IF(YEAR(M$8)&lt;=YEAR($AK181),M$71+M$74+M$76+M$77+M$97+M$98,0)+IF(YEAR(M$8)=YEAR($AK181),M$122-L$128-M$122*DASHBOARD!$BD$27)+IF(YEAR(M$8)&lt;YEAR($AK181),DEBT!L$14,0),0)</f>
        <v>0</v>
      </c>
      <c r="N181" s="134">
        <f>IFERROR(IF(YEAR(N$8)&lt;=YEAR($AK181),N$71+N$74+N$76+N$77+N$97+N$98,0)+IF(YEAR(N$8)=YEAR($AK181),N$122-M$128-N$122*DASHBOARD!$BD$27)+IF(YEAR(N$8)&lt;YEAR($AK181),DEBT!M$14,0),0)</f>
        <v>0</v>
      </c>
      <c r="O181" s="134">
        <f>IFERROR(IF(YEAR(O$8)&lt;=YEAR($AK181),O$71+O$74+O$76+O$77+O$97+O$98,0)+IF(YEAR(O$8)=YEAR($AK181),O$122-N$128-O$122*DASHBOARD!$BD$27)+IF(YEAR(O$8)&lt;YEAR($AK181),DEBT!N$14,0),0)</f>
        <v>0</v>
      </c>
      <c r="P181" s="134">
        <f>IFERROR(IF(YEAR(P$8)&lt;=YEAR($AK181),P$71+P$74+P$76+P$77+P$97+P$98,0)+IF(YEAR(P$8)=YEAR($AK181),P$122-O$128-P$122*DASHBOARD!$BD$27)+IF(YEAR(P$8)&lt;YEAR($AK181),DEBT!O$14,0),0)</f>
        <v>0</v>
      </c>
      <c r="Q181" s="134">
        <f>IFERROR(IF(YEAR(Q$8)&lt;=YEAR($AK181),Q$71+Q$74+Q$76+Q$77+Q$97+Q$98,0)+IF(YEAR(Q$8)=YEAR($AK181),Q$122-P$128-Q$122*DASHBOARD!$BD$27)+IF(YEAR(Q$8)&lt;YEAR($AK181),DEBT!P$14,0),0)</f>
        <v>0</v>
      </c>
      <c r="R181" s="134">
        <f>IFERROR(IF(YEAR(R$8)&lt;=YEAR($AK181),R$71+R$74+R$76+R$77+R$97+R$98,0)+IF(YEAR(R$8)=YEAR($AK181),R$122-Q$128-R$122*DASHBOARD!$BD$27)+IF(YEAR(R$8)&lt;YEAR($AK181),DEBT!Q$14,0),0)</f>
        <v>0</v>
      </c>
      <c r="S181" s="134">
        <f>IFERROR(IF(YEAR(S$8)&lt;=YEAR($AK181),S$71+S$74+S$76+S$77+S$97+S$98,0)+IF(YEAR(S$8)=YEAR($AK181),S$122-R$128-S$122*DASHBOARD!$BD$27)+IF(YEAR(S$8)&lt;YEAR($AK181),DEBT!R$14,0),0)</f>
        <v>0</v>
      </c>
      <c r="T181" s="134">
        <f>IFERROR(IF(YEAR(T$8)&lt;=YEAR($AK181),T$71+T$74+T$76+T$77+T$97+T$98,0)+IF(YEAR(T$8)=YEAR($AK181),T$122-S$128-T$122*DASHBOARD!$BD$27)+IF(YEAR(T$8)&lt;YEAR($AK181),DEBT!S$14,0),0)</f>
        <v>0</v>
      </c>
      <c r="U181" s="134">
        <f>IFERROR(IF(YEAR(U$8)&lt;=YEAR($AK181),U$71+U$74+U$76+U$77+U$97+U$98,0)+IF(YEAR(U$8)=YEAR($AK181),U$122-T$128-U$122*DASHBOARD!$BD$27)+IF(YEAR(U$8)&lt;YEAR($AK181),DEBT!T$14,0),0)</f>
        <v>0</v>
      </c>
      <c r="V181" s="134">
        <f>IFERROR(IF(YEAR(V$8)&lt;=YEAR($AK181),V$71+V$74+V$76+V$77+V$97+V$98,0)+IF(YEAR(V$8)=YEAR($AK181),V$122-U$128-V$122*DASHBOARD!$BD$27)+IF(YEAR(V$8)&lt;YEAR($AK181),DEBT!U$14,0),0)</f>
        <v>0</v>
      </c>
      <c r="W181" s="134">
        <f>IFERROR(IF(YEAR(W$8)&lt;=YEAR($AK181),W$71+W$74+W$76+W$77+W$97+W$98,0)+IF(YEAR(W$8)=YEAR($AK181),W$122-V$128-W$122*DASHBOARD!$BD$27)+IF(YEAR(W$8)&lt;YEAR($AK181),DEBT!V$14,0),0)</f>
        <v>0</v>
      </c>
      <c r="X181" s="134">
        <f>IFERROR(IF(YEAR(X$8)&lt;=YEAR($AK181),X$71+X$74+X$76+X$77+X$97+X$98,0)+IF(YEAR(X$8)=YEAR($AK181),X$122-W$128-X$122*DASHBOARD!$BD$27)+IF(YEAR(X$8)&lt;YEAR($AK181),DEBT!W$14,0),0)</f>
        <v>0</v>
      </c>
      <c r="Y181" s="134">
        <f>IFERROR(IF(YEAR(Y$8)&lt;=YEAR($AK181),Y$71+Y$74+Y$76+Y$77+Y$97+Y$98,0)+IF(YEAR(Y$8)=YEAR($AK181),Y$122-X$128-Y$122*DASHBOARD!$BD$27)+IF(YEAR(Y$8)&lt;YEAR($AK181),DEBT!X$14,0),0)</f>
        <v>0</v>
      </c>
      <c r="Z181" s="134">
        <f>IFERROR(IF(YEAR(Z$8)&lt;=YEAR($AK181),Z$71+Z$74+Z$76+Z$77+Z$97+Z$98,0)+IF(YEAR(Z$8)=YEAR($AK181),Z$122-Y$128-Z$122*DASHBOARD!$BD$27)+IF(YEAR(Z$8)&lt;YEAR($AK181),DEBT!Y$14,0),0)</f>
        <v>0</v>
      </c>
      <c r="AA181" s="134">
        <f>IFERROR(IF(YEAR(AA$8)&lt;=YEAR($AK181),AA$71+AA$74+AA$76+AA$77+AA$97+AA$98,0)+IF(YEAR(AA$8)=YEAR($AK181),AA$122-Z$128-AA$122*DASHBOARD!$BD$27)+IF(YEAR(AA$8)&lt;YEAR($AK181),DEBT!Z$14,0),0)</f>
        <v>0</v>
      </c>
      <c r="AB181" s="134">
        <f>IFERROR(IF(YEAR(AB$8)&lt;=YEAR($AK181),AB$71+AB$74+AB$76+AB$77+AB$97+AB$98,0)+IF(YEAR(AB$8)=YEAR($AK181),AB$122-AA$128-AB$122*DASHBOARD!$BD$27)+IF(YEAR(AB$8)&lt;YEAR($AK181),DEBT!AA$14,0),0)</f>
        <v>0</v>
      </c>
      <c r="AC181" s="134">
        <f>IFERROR(IF(YEAR(AC$8)&lt;=YEAR($AK181),AC$71+AC$74+AC$76+AC$77+AC$97+AC$98,0)+IF(YEAR(AC$8)=YEAR($AK181),AC$122-AB$128-AC$122*DASHBOARD!$BD$27)+IF(YEAR(AC$8)&lt;YEAR($AK181),DEBT!AB$14,0),0)</f>
        <v>0</v>
      </c>
      <c r="AD181" s="134">
        <f>IFERROR(IF(YEAR(AD$8)&lt;=YEAR($AK181),AD$71+AD$74+AD$76+AD$77+AD$97+AD$98,0)+IF(YEAR(AD$8)=YEAR($AK181),AD$122-AC$128-AD$122*DASHBOARD!$BD$27)+IF(YEAR(AD$8)&lt;YEAR($AK181),DEBT!AC$14,0),0)</f>
        <v>0</v>
      </c>
      <c r="AE181" s="134">
        <f>IFERROR(IF(YEAR(AE$8)&lt;=YEAR($AK181),AE$71+AE$74+AE$76+AE$77+AE$97+AE$98,0)+IF(YEAR(AE$8)=YEAR($AK181),AE$122-AD$128-AE$122*DASHBOARD!$BD$27)+IF(YEAR(AE$8)&lt;YEAR($AK181),DEBT!AD$14,0),0)</f>
        <v>0</v>
      </c>
      <c r="AF181" s="134">
        <f>IFERROR(IF(YEAR(AF$8)&lt;=YEAR($AK181),AF$71+AF$74+AF$76+AF$77+AF$97+AF$98,0)+IF(YEAR(AF$8)=YEAR($AK181),AF$122-AE$128-AF$122*DASHBOARD!$BD$27)+IF(YEAR(AF$8)&lt;YEAR($AK181),DEBT!AE$14,0),0)</f>
        <v>0</v>
      </c>
      <c r="AG181" s="134">
        <f>IFERROR(IF(YEAR(AG$8)&lt;=YEAR($AK181),AG$71+AG$74+AG$76+AG$77+AG$97+AG$98,0)+IF(YEAR(AG$8)=YEAR($AK181),AG$122-AF$128-AG$122*DASHBOARD!$BD$27)+IF(YEAR(AG$8)&lt;YEAR($AK181),DEBT!AF$14,0),0)</f>
        <v>0</v>
      </c>
      <c r="AH181" s="134">
        <f>IFERROR(IF(YEAR(AH$8)&lt;=YEAR($AK181),AH$71+AH$74+AH$76+AH$77+AH$97+AH$98,0)+IF(YEAR(AH$8)=YEAR($AK181),AH$122-AG$128-AH$122*DASHBOARD!$BD$27)+IF(YEAR(AH$8)&lt;YEAR($AK181),DEBT!AG$14,0),0)</f>
        <v>0</v>
      </c>
      <c r="AI181" s="242">
        <f>IFERROR(IF(YEAR(AI$8)&lt;=YEAR($AK181),AI$71+AI$74+AI$76+AI$77+AI$97+AI$98,0)+IF(YEAR(AI$8)=YEAR($AK181),AI$122-AH$128-AI$122*DASHBOARD!$BD$27)+IF(YEAR(AI$8)&lt;YEAR($AK181),DEBT!AH$14,0),0)</f>
        <v>0</v>
      </c>
      <c r="AJ181" s="1605"/>
      <c r="AK181" s="1704">
        <f t="shared" si="68"/>
        <v>52078</v>
      </c>
      <c r="AL181" s="450">
        <f t="shared" si="67"/>
        <v>0</v>
      </c>
      <c r="AM181" s="450">
        <f t="shared" si="69"/>
        <v>17</v>
      </c>
    </row>
    <row r="182" spans="2:39" s="289" customFormat="1" outlineLevel="1" x14ac:dyDescent="0.3">
      <c r="B182" s="267" t="str">
        <f t="shared" si="65"/>
        <v>n.a</v>
      </c>
      <c r="C182" s="1598" t="str">
        <f ca="1">IFERROR(MIRR(D182:OFFSET(D182,0,AL182),0%,DASHBOARD!$AD$83),"n.a")</f>
        <v>n.a</v>
      </c>
      <c r="D182" s="241">
        <f t="shared" si="66"/>
        <v>-7049.3458498885448</v>
      </c>
      <c r="E182" s="129">
        <f>IFERROR(IF(YEAR(E$8)&lt;=YEAR($AK182),E$71+E$74+E$76+E$77+E$97+E$98,0)+IF(YEAR(E$8)=YEAR($AK182),E$122-D$128-E$122*DASHBOARD!$BD$27)+IF(YEAR(E$8)&lt;YEAR($AK182),DEBT!D$14,0),0)</f>
        <v>0</v>
      </c>
      <c r="F182" s="134">
        <f>IFERROR(IF(YEAR(F$8)&lt;=YEAR($AK182),F$71+F$74+F$76+F$77+F$97+F$98,0)+IF(YEAR(F$8)=YEAR($AK182),F$122-E$128-F$122*DASHBOARD!$BD$27)+IF(YEAR(F$8)&lt;YEAR($AK182),DEBT!E$14,0),0)</f>
        <v>0</v>
      </c>
      <c r="G182" s="134">
        <f>IFERROR(IF(YEAR(G$8)&lt;=YEAR($AK182),G$71+G$74+G$76+G$77+G$97+G$98,0)+IF(YEAR(G$8)=YEAR($AK182),G$122-F$128-G$122*DASHBOARD!$BD$27)+IF(YEAR(G$8)&lt;YEAR($AK182),DEBT!F$14,0),0)</f>
        <v>0</v>
      </c>
      <c r="H182" s="134">
        <f>IFERROR(IF(YEAR(H$8)&lt;=YEAR($AK182),H$71+H$74+H$76+H$77+H$97+H$98,0)+IF(YEAR(H$8)=YEAR($AK182),H$122-G$128-H$122*DASHBOARD!$BD$27)+IF(YEAR(H$8)&lt;YEAR($AK182),DEBT!G$14,0),0)</f>
        <v>0</v>
      </c>
      <c r="I182" s="134">
        <f>IFERROR(IF(YEAR(I$8)&lt;=YEAR($AK182),I$71+I$74+I$76+I$77+I$97+I$98,0)+IF(YEAR(I$8)=YEAR($AK182),I$122-H$128-I$122*DASHBOARD!$BD$27)+IF(YEAR(I$8)&lt;YEAR($AK182),DEBT!H$14,0),0)</f>
        <v>0</v>
      </c>
      <c r="J182" s="134">
        <f>IFERROR(IF(YEAR(J$8)&lt;=YEAR($AK182),J$71+J$74+J$76+J$77+J$97+J$98,0)+IF(YEAR(J$8)=YEAR($AK182),J$122-I$128-J$122*DASHBOARD!$BD$27)+IF(YEAR(J$8)&lt;YEAR($AK182),DEBT!I$14,0),0)</f>
        <v>0</v>
      </c>
      <c r="K182" s="134">
        <f>IFERROR(IF(YEAR(K$8)&lt;=YEAR($AK182),K$71+K$74+K$76+K$77+K$97+K$98,0)+IF(YEAR(K$8)=YEAR($AK182),K$122-J$128-K$122*DASHBOARD!$BD$27)+IF(YEAR(K$8)&lt;YEAR($AK182),DEBT!J$14,0),0)</f>
        <v>0</v>
      </c>
      <c r="L182" s="134">
        <f>IFERROR(IF(YEAR(L$8)&lt;=YEAR($AK182),L$71+L$74+L$76+L$77+L$97+L$98,0)+IF(YEAR(L$8)=YEAR($AK182),L$122-K$128-L$122*DASHBOARD!$BD$27)+IF(YEAR(L$8)&lt;YEAR($AK182),DEBT!K$14,0),0)</f>
        <v>0</v>
      </c>
      <c r="M182" s="134">
        <f>IFERROR(IF(YEAR(M$8)&lt;=YEAR($AK182),M$71+M$74+M$76+M$77+M$97+M$98,0)+IF(YEAR(M$8)=YEAR($AK182),M$122-L$128-M$122*DASHBOARD!$BD$27)+IF(YEAR(M$8)&lt;YEAR($AK182),DEBT!L$14,0),0)</f>
        <v>0</v>
      </c>
      <c r="N182" s="134">
        <f>IFERROR(IF(YEAR(N$8)&lt;=YEAR($AK182),N$71+N$74+N$76+N$77+N$97+N$98,0)+IF(YEAR(N$8)=YEAR($AK182),N$122-M$128-N$122*DASHBOARD!$BD$27)+IF(YEAR(N$8)&lt;YEAR($AK182),DEBT!M$14,0),0)</f>
        <v>0</v>
      </c>
      <c r="O182" s="134">
        <f>IFERROR(IF(YEAR(O$8)&lt;=YEAR($AK182),O$71+O$74+O$76+O$77+O$97+O$98,0)+IF(YEAR(O$8)=YEAR($AK182),O$122-N$128-O$122*DASHBOARD!$BD$27)+IF(YEAR(O$8)&lt;YEAR($AK182),DEBT!N$14,0),0)</f>
        <v>0</v>
      </c>
      <c r="P182" s="134">
        <f>IFERROR(IF(YEAR(P$8)&lt;=YEAR($AK182),P$71+P$74+P$76+P$77+P$97+P$98,0)+IF(YEAR(P$8)=YEAR($AK182),P$122-O$128-P$122*DASHBOARD!$BD$27)+IF(YEAR(P$8)&lt;YEAR($AK182),DEBT!O$14,0),0)</f>
        <v>0</v>
      </c>
      <c r="Q182" s="134">
        <f>IFERROR(IF(YEAR(Q$8)&lt;=YEAR($AK182),Q$71+Q$74+Q$76+Q$77+Q$97+Q$98,0)+IF(YEAR(Q$8)=YEAR($AK182),Q$122-P$128-Q$122*DASHBOARD!$BD$27)+IF(YEAR(Q$8)&lt;YEAR($AK182),DEBT!P$14,0),0)</f>
        <v>0</v>
      </c>
      <c r="R182" s="134">
        <f>IFERROR(IF(YEAR(R$8)&lt;=YEAR($AK182),R$71+R$74+R$76+R$77+R$97+R$98,0)+IF(YEAR(R$8)=YEAR($AK182),R$122-Q$128-R$122*DASHBOARD!$BD$27)+IF(YEAR(R$8)&lt;YEAR($AK182),DEBT!Q$14,0),0)</f>
        <v>0</v>
      </c>
      <c r="S182" s="134">
        <f>IFERROR(IF(YEAR(S$8)&lt;=YEAR($AK182),S$71+S$74+S$76+S$77+S$97+S$98,0)+IF(YEAR(S$8)=YEAR($AK182),S$122-R$128-S$122*DASHBOARD!$BD$27)+IF(YEAR(S$8)&lt;YEAR($AK182),DEBT!R$14,0),0)</f>
        <v>0</v>
      </c>
      <c r="T182" s="134">
        <f>IFERROR(IF(YEAR(T$8)&lt;=YEAR($AK182),T$71+T$74+T$76+T$77+T$97+T$98,0)+IF(YEAR(T$8)=YEAR($AK182),T$122-S$128-T$122*DASHBOARD!$BD$27)+IF(YEAR(T$8)&lt;YEAR($AK182),DEBT!S$14,0),0)</f>
        <v>0</v>
      </c>
      <c r="U182" s="134">
        <f>IFERROR(IF(YEAR(U$8)&lt;=YEAR($AK182),U$71+U$74+U$76+U$77+U$97+U$98,0)+IF(YEAR(U$8)=YEAR($AK182),U$122-T$128-U$122*DASHBOARD!$BD$27)+IF(YEAR(U$8)&lt;YEAR($AK182),DEBT!T$14,0),0)</f>
        <v>0</v>
      </c>
      <c r="V182" s="134">
        <f>IFERROR(IF(YEAR(V$8)&lt;=YEAR($AK182),V$71+V$74+V$76+V$77+V$97+V$98,0)+IF(YEAR(V$8)=YEAR($AK182),V$122-U$128-V$122*DASHBOARD!$BD$27)+IF(YEAR(V$8)&lt;YEAR($AK182),DEBT!U$14,0),0)</f>
        <v>0</v>
      </c>
      <c r="W182" s="134">
        <f>IFERROR(IF(YEAR(W$8)&lt;=YEAR($AK182),W$71+W$74+W$76+W$77+W$97+W$98,0)+IF(YEAR(W$8)=YEAR($AK182),W$122-V$128-W$122*DASHBOARD!$BD$27)+IF(YEAR(W$8)&lt;YEAR($AK182),DEBT!V$14,0),0)</f>
        <v>0</v>
      </c>
      <c r="X182" s="134">
        <f>IFERROR(IF(YEAR(X$8)&lt;=YEAR($AK182),X$71+X$74+X$76+X$77+X$97+X$98,0)+IF(YEAR(X$8)=YEAR($AK182),X$122-W$128-X$122*DASHBOARD!$BD$27)+IF(YEAR(X$8)&lt;YEAR($AK182),DEBT!W$14,0),0)</f>
        <v>0</v>
      </c>
      <c r="Y182" s="134">
        <f>IFERROR(IF(YEAR(Y$8)&lt;=YEAR($AK182),Y$71+Y$74+Y$76+Y$77+Y$97+Y$98,0)+IF(YEAR(Y$8)=YEAR($AK182),Y$122-X$128-Y$122*DASHBOARD!$BD$27)+IF(YEAR(Y$8)&lt;YEAR($AK182),DEBT!X$14,0),0)</f>
        <v>0</v>
      </c>
      <c r="Z182" s="134">
        <f>IFERROR(IF(YEAR(Z$8)&lt;=YEAR($AK182),Z$71+Z$74+Z$76+Z$77+Z$97+Z$98,0)+IF(YEAR(Z$8)=YEAR($AK182),Z$122-Y$128-Z$122*DASHBOARD!$BD$27)+IF(YEAR(Z$8)&lt;YEAR($AK182),DEBT!Y$14,0),0)</f>
        <v>0</v>
      </c>
      <c r="AA182" s="134">
        <f>IFERROR(IF(YEAR(AA$8)&lt;=YEAR($AK182),AA$71+AA$74+AA$76+AA$77+AA$97+AA$98,0)+IF(YEAR(AA$8)=YEAR($AK182),AA$122-Z$128-AA$122*DASHBOARD!$BD$27)+IF(YEAR(AA$8)&lt;YEAR($AK182),DEBT!Z$14,0),0)</f>
        <v>0</v>
      </c>
      <c r="AB182" s="134">
        <f>IFERROR(IF(YEAR(AB$8)&lt;=YEAR($AK182),AB$71+AB$74+AB$76+AB$77+AB$97+AB$98,0)+IF(YEAR(AB$8)=YEAR($AK182),AB$122-AA$128-AB$122*DASHBOARD!$BD$27)+IF(YEAR(AB$8)&lt;YEAR($AK182),DEBT!AA$14,0),0)</f>
        <v>0</v>
      </c>
      <c r="AC182" s="134">
        <f>IFERROR(IF(YEAR(AC$8)&lt;=YEAR($AK182),AC$71+AC$74+AC$76+AC$77+AC$97+AC$98,0)+IF(YEAR(AC$8)=YEAR($AK182),AC$122-AB$128-AC$122*DASHBOARD!$BD$27)+IF(YEAR(AC$8)&lt;YEAR($AK182),DEBT!AB$14,0),0)</f>
        <v>0</v>
      </c>
      <c r="AD182" s="134">
        <f>IFERROR(IF(YEAR(AD$8)&lt;=YEAR($AK182),AD$71+AD$74+AD$76+AD$77+AD$97+AD$98,0)+IF(YEAR(AD$8)=YEAR($AK182),AD$122-AC$128-AD$122*DASHBOARD!$BD$27)+IF(YEAR(AD$8)&lt;YEAR($AK182),DEBT!AC$14,0),0)</f>
        <v>0</v>
      </c>
      <c r="AE182" s="134">
        <f>IFERROR(IF(YEAR(AE$8)&lt;=YEAR($AK182),AE$71+AE$74+AE$76+AE$77+AE$97+AE$98,0)+IF(YEAR(AE$8)=YEAR($AK182),AE$122-AD$128-AE$122*DASHBOARD!$BD$27)+IF(YEAR(AE$8)&lt;YEAR($AK182),DEBT!AD$14,0),0)</f>
        <v>0</v>
      </c>
      <c r="AF182" s="134">
        <f>IFERROR(IF(YEAR(AF$8)&lt;=YEAR($AK182),AF$71+AF$74+AF$76+AF$77+AF$97+AF$98,0)+IF(YEAR(AF$8)=YEAR($AK182),AF$122-AE$128-AF$122*DASHBOARD!$BD$27)+IF(YEAR(AF$8)&lt;YEAR($AK182),DEBT!AE$14,0),0)</f>
        <v>0</v>
      </c>
      <c r="AG182" s="134">
        <f>IFERROR(IF(YEAR(AG$8)&lt;=YEAR($AK182),AG$71+AG$74+AG$76+AG$77+AG$97+AG$98,0)+IF(YEAR(AG$8)=YEAR($AK182),AG$122-AF$128-AG$122*DASHBOARD!$BD$27)+IF(YEAR(AG$8)&lt;YEAR($AK182),DEBT!AF$14,0),0)</f>
        <v>0</v>
      </c>
      <c r="AH182" s="134">
        <f>IFERROR(IF(YEAR(AH$8)&lt;=YEAR($AK182),AH$71+AH$74+AH$76+AH$77+AH$97+AH$98,0)+IF(YEAR(AH$8)=YEAR($AK182),AH$122-AG$128-AH$122*DASHBOARD!$BD$27)+IF(YEAR(AH$8)&lt;YEAR($AK182),DEBT!AG$14,0),0)</f>
        <v>0</v>
      </c>
      <c r="AI182" s="242">
        <f>IFERROR(IF(YEAR(AI$8)&lt;=YEAR($AK182),AI$71+AI$74+AI$76+AI$77+AI$97+AI$98,0)+IF(YEAR(AI$8)=YEAR($AK182),AI$122-AH$128-AI$122*DASHBOARD!$BD$27)+IF(YEAR(AI$8)&lt;YEAR($AK182),DEBT!AH$14,0),0)</f>
        <v>0</v>
      </c>
      <c r="AJ182" s="1605"/>
      <c r="AK182" s="1704">
        <f t="shared" si="68"/>
        <v>52443</v>
      </c>
      <c r="AL182" s="450">
        <f t="shared" si="67"/>
        <v>0</v>
      </c>
      <c r="AM182" s="450">
        <f t="shared" si="69"/>
        <v>18</v>
      </c>
    </row>
    <row r="183" spans="2:39" s="289" customFormat="1" outlineLevel="1" x14ac:dyDescent="0.3">
      <c r="B183" s="267" t="str">
        <f t="shared" si="65"/>
        <v>n.a</v>
      </c>
      <c r="C183" s="1598" t="str">
        <f ca="1">IFERROR(MIRR(D183:OFFSET(D183,0,AL183),0%,DASHBOARD!$AD$83),"n.a")</f>
        <v>n.a</v>
      </c>
      <c r="D183" s="241">
        <f t="shared" si="66"/>
        <v>-7049.3458498885448</v>
      </c>
      <c r="E183" s="129">
        <f>IFERROR(IF(YEAR(E$8)&lt;=YEAR($AK183),E$71+E$74+E$76+E$77+E$97+E$98,0)+IF(YEAR(E$8)=YEAR($AK183),E$122-D$128-E$122*DASHBOARD!$BD$27)+IF(YEAR(E$8)&lt;YEAR($AK183),DEBT!D$14,0),0)</f>
        <v>0</v>
      </c>
      <c r="F183" s="134">
        <f>IFERROR(IF(YEAR(F$8)&lt;=YEAR($AK183),F$71+F$74+F$76+F$77+F$97+F$98,0)+IF(YEAR(F$8)=YEAR($AK183),F$122-E$128-F$122*DASHBOARD!$BD$27)+IF(YEAR(F$8)&lt;YEAR($AK183),DEBT!E$14,0),0)</f>
        <v>0</v>
      </c>
      <c r="G183" s="134">
        <f>IFERROR(IF(YEAR(G$8)&lt;=YEAR($AK183),G$71+G$74+G$76+G$77+G$97+G$98,0)+IF(YEAR(G$8)=YEAR($AK183),G$122-F$128-G$122*DASHBOARD!$BD$27)+IF(YEAR(G$8)&lt;YEAR($AK183),DEBT!F$14,0),0)</f>
        <v>0</v>
      </c>
      <c r="H183" s="134">
        <f>IFERROR(IF(YEAR(H$8)&lt;=YEAR($AK183),H$71+H$74+H$76+H$77+H$97+H$98,0)+IF(YEAR(H$8)=YEAR($AK183),H$122-G$128-H$122*DASHBOARD!$BD$27)+IF(YEAR(H$8)&lt;YEAR($AK183),DEBT!G$14,0),0)</f>
        <v>0</v>
      </c>
      <c r="I183" s="134">
        <f>IFERROR(IF(YEAR(I$8)&lt;=YEAR($AK183),I$71+I$74+I$76+I$77+I$97+I$98,0)+IF(YEAR(I$8)=YEAR($AK183),I$122-H$128-I$122*DASHBOARD!$BD$27)+IF(YEAR(I$8)&lt;YEAR($AK183),DEBT!H$14,0),0)</f>
        <v>0</v>
      </c>
      <c r="J183" s="134">
        <f>IFERROR(IF(YEAR(J$8)&lt;=YEAR($AK183),J$71+J$74+J$76+J$77+J$97+J$98,0)+IF(YEAR(J$8)=YEAR($AK183),J$122-I$128-J$122*DASHBOARD!$BD$27)+IF(YEAR(J$8)&lt;YEAR($AK183),DEBT!I$14,0),0)</f>
        <v>0</v>
      </c>
      <c r="K183" s="134">
        <f>IFERROR(IF(YEAR(K$8)&lt;=YEAR($AK183),K$71+K$74+K$76+K$77+K$97+K$98,0)+IF(YEAR(K$8)=YEAR($AK183),K$122-J$128-K$122*DASHBOARD!$BD$27)+IF(YEAR(K$8)&lt;YEAR($AK183),DEBT!J$14,0),0)</f>
        <v>0</v>
      </c>
      <c r="L183" s="134">
        <f>IFERROR(IF(YEAR(L$8)&lt;=YEAR($AK183),L$71+L$74+L$76+L$77+L$97+L$98,0)+IF(YEAR(L$8)=YEAR($AK183),L$122-K$128-L$122*DASHBOARD!$BD$27)+IF(YEAR(L$8)&lt;YEAR($AK183),DEBT!K$14,0),0)</f>
        <v>0</v>
      </c>
      <c r="M183" s="134">
        <f>IFERROR(IF(YEAR(M$8)&lt;=YEAR($AK183),M$71+M$74+M$76+M$77+M$97+M$98,0)+IF(YEAR(M$8)=YEAR($AK183),M$122-L$128-M$122*DASHBOARD!$BD$27)+IF(YEAR(M$8)&lt;YEAR($AK183),DEBT!L$14,0),0)</f>
        <v>0</v>
      </c>
      <c r="N183" s="134">
        <f>IFERROR(IF(YEAR(N$8)&lt;=YEAR($AK183),N$71+N$74+N$76+N$77+N$97+N$98,0)+IF(YEAR(N$8)=YEAR($AK183),N$122-M$128-N$122*DASHBOARD!$BD$27)+IF(YEAR(N$8)&lt;YEAR($AK183),DEBT!M$14,0),0)</f>
        <v>0</v>
      </c>
      <c r="O183" s="134">
        <f>IFERROR(IF(YEAR(O$8)&lt;=YEAR($AK183),O$71+O$74+O$76+O$77+O$97+O$98,0)+IF(YEAR(O$8)=YEAR($AK183),O$122-N$128-O$122*DASHBOARD!$BD$27)+IF(YEAR(O$8)&lt;YEAR($AK183),DEBT!N$14,0),0)</f>
        <v>0</v>
      </c>
      <c r="P183" s="134">
        <f>IFERROR(IF(YEAR(P$8)&lt;=YEAR($AK183),P$71+P$74+P$76+P$77+P$97+P$98,0)+IF(YEAR(P$8)=YEAR($AK183),P$122-O$128-P$122*DASHBOARD!$BD$27)+IF(YEAR(P$8)&lt;YEAR($AK183),DEBT!O$14,0),0)</f>
        <v>0</v>
      </c>
      <c r="Q183" s="134">
        <f>IFERROR(IF(YEAR(Q$8)&lt;=YEAR($AK183),Q$71+Q$74+Q$76+Q$77+Q$97+Q$98,0)+IF(YEAR(Q$8)=YEAR($AK183),Q$122-P$128-Q$122*DASHBOARD!$BD$27)+IF(YEAR(Q$8)&lt;YEAR($AK183),DEBT!P$14,0),0)</f>
        <v>0</v>
      </c>
      <c r="R183" s="134">
        <f>IFERROR(IF(YEAR(R$8)&lt;=YEAR($AK183),R$71+R$74+R$76+R$77+R$97+R$98,0)+IF(YEAR(R$8)=YEAR($AK183),R$122-Q$128-R$122*DASHBOARD!$BD$27)+IF(YEAR(R$8)&lt;YEAR($AK183),DEBT!Q$14,0),0)</f>
        <v>0</v>
      </c>
      <c r="S183" s="134">
        <f>IFERROR(IF(YEAR(S$8)&lt;=YEAR($AK183),S$71+S$74+S$76+S$77+S$97+S$98,0)+IF(YEAR(S$8)=YEAR($AK183),S$122-R$128-S$122*DASHBOARD!$BD$27)+IF(YEAR(S$8)&lt;YEAR($AK183),DEBT!R$14,0),0)</f>
        <v>0</v>
      </c>
      <c r="T183" s="134">
        <f>IFERROR(IF(YEAR(T$8)&lt;=YEAR($AK183),T$71+T$74+T$76+T$77+T$97+T$98,0)+IF(YEAR(T$8)=YEAR($AK183),T$122-S$128-T$122*DASHBOARD!$BD$27)+IF(YEAR(T$8)&lt;YEAR($AK183),DEBT!S$14,0),0)</f>
        <v>0</v>
      </c>
      <c r="U183" s="134">
        <f>IFERROR(IF(YEAR(U$8)&lt;=YEAR($AK183),U$71+U$74+U$76+U$77+U$97+U$98,0)+IF(YEAR(U$8)=YEAR($AK183),U$122-T$128-U$122*DASHBOARD!$BD$27)+IF(YEAR(U$8)&lt;YEAR($AK183),DEBT!T$14,0),0)</f>
        <v>0</v>
      </c>
      <c r="V183" s="134">
        <f>IFERROR(IF(YEAR(V$8)&lt;=YEAR($AK183),V$71+V$74+V$76+V$77+V$97+V$98,0)+IF(YEAR(V$8)=YEAR($AK183),V$122-U$128-V$122*DASHBOARD!$BD$27)+IF(YEAR(V$8)&lt;YEAR($AK183),DEBT!U$14,0),0)</f>
        <v>0</v>
      </c>
      <c r="W183" s="134">
        <f>IFERROR(IF(YEAR(W$8)&lt;=YEAR($AK183),W$71+W$74+W$76+W$77+W$97+W$98,0)+IF(YEAR(W$8)=YEAR($AK183),W$122-V$128-W$122*DASHBOARD!$BD$27)+IF(YEAR(W$8)&lt;YEAR($AK183),DEBT!V$14,0),0)</f>
        <v>0</v>
      </c>
      <c r="X183" s="134">
        <f>IFERROR(IF(YEAR(X$8)&lt;=YEAR($AK183),X$71+X$74+X$76+X$77+X$97+X$98,0)+IF(YEAR(X$8)=YEAR($AK183),X$122-W$128-X$122*DASHBOARD!$BD$27)+IF(YEAR(X$8)&lt;YEAR($AK183),DEBT!W$14,0),0)</f>
        <v>0</v>
      </c>
      <c r="Y183" s="134">
        <f>IFERROR(IF(YEAR(Y$8)&lt;=YEAR($AK183),Y$71+Y$74+Y$76+Y$77+Y$97+Y$98,0)+IF(YEAR(Y$8)=YEAR($AK183),Y$122-X$128-Y$122*DASHBOARD!$BD$27)+IF(YEAR(Y$8)&lt;YEAR($AK183),DEBT!X$14,0),0)</f>
        <v>0</v>
      </c>
      <c r="Z183" s="134">
        <f>IFERROR(IF(YEAR(Z$8)&lt;=YEAR($AK183),Z$71+Z$74+Z$76+Z$77+Z$97+Z$98,0)+IF(YEAR(Z$8)=YEAR($AK183),Z$122-Y$128-Z$122*DASHBOARD!$BD$27)+IF(YEAR(Z$8)&lt;YEAR($AK183),DEBT!Y$14,0),0)</f>
        <v>0</v>
      </c>
      <c r="AA183" s="134">
        <f>IFERROR(IF(YEAR(AA$8)&lt;=YEAR($AK183),AA$71+AA$74+AA$76+AA$77+AA$97+AA$98,0)+IF(YEAR(AA$8)=YEAR($AK183),AA$122-Z$128-AA$122*DASHBOARD!$BD$27)+IF(YEAR(AA$8)&lt;YEAR($AK183),DEBT!Z$14,0),0)</f>
        <v>0</v>
      </c>
      <c r="AB183" s="134">
        <f>IFERROR(IF(YEAR(AB$8)&lt;=YEAR($AK183),AB$71+AB$74+AB$76+AB$77+AB$97+AB$98,0)+IF(YEAR(AB$8)=YEAR($AK183),AB$122-AA$128-AB$122*DASHBOARD!$BD$27)+IF(YEAR(AB$8)&lt;YEAR($AK183),DEBT!AA$14,0),0)</f>
        <v>0</v>
      </c>
      <c r="AC183" s="134">
        <f>IFERROR(IF(YEAR(AC$8)&lt;=YEAR($AK183),AC$71+AC$74+AC$76+AC$77+AC$97+AC$98,0)+IF(YEAR(AC$8)=YEAR($AK183),AC$122-AB$128-AC$122*DASHBOARD!$BD$27)+IF(YEAR(AC$8)&lt;YEAR($AK183),DEBT!AB$14,0),0)</f>
        <v>0</v>
      </c>
      <c r="AD183" s="134">
        <f>IFERROR(IF(YEAR(AD$8)&lt;=YEAR($AK183),AD$71+AD$74+AD$76+AD$77+AD$97+AD$98,0)+IF(YEAR(AD$8)=YEAR($AK183),AD$122-AC$128-AD$122*DASHBOARD!$BD$27)+IF(YEAR(AD$8)&lt;YEAR($AK183),DEBT!AC$14,0),0)</f>
        <v>0</v>
      </c>
      <c r="AE183" s="134">
        <f>IFERROR(IF(YEAR(AE$8)&lt;=YEAR($AK183),AE$71+AE$74+AE$76+AE$77+AE$97+AE$98,0)+IF(YEAR(AE$8)=YEAR($AK183),AE$122-AD$128-AE$122*DASHBOARD!$BD$27)+IF(YEAR(AE$8)&lt;YEAR($AK183),DEBT!AD$14,0),0)</f>
        <v>0</v>
      </c>
      <c r="AF183" s="134">
        <f>IFERROR(IF(YEAR(AF$8)&lt;=YEAR($AK183),AF$71+AF$74+AF$76+AF$77+AF$97+AF$98,0)+IF(YEAR(AF$8)=YEAR($AK183),AF$122-AE$128-AF$122*DASHBOARD!$BD$27)+IF(YEAR(AF$8)&lt;YEAR($AK183),DEBT!AE$14,0),0)</f>
        <v>0</v>
      </c>
      <c r="AG183" s="134">
        <f>IFERROR(IF(YEAR(AG$8)&lt;=YEAR($AK183),AG$71+AG$74+AG$76+AG$77+AG$97+AG$98,0)+IF(YEAR(AG$8)=YEAR($AK183),AG$122-AF$128-AG$122*DASHBOARD!$BD$27)+IF(YEAR(AG$8)&lt;YEAR($AK183),DEBT!AF$14,0),0)</f>
        <v>0</v>
      </c>
      <c r="AH183" s="134">
        <f>IFERROR(IF(YEAR(AH$8)&lt;=YEAR($AK183),AH$71+AH$74+AH$76+AH$77+AH$97+AH$98,0)+IF(YEAR(AH$8)=YEAR($AK183),AH$122-AG$128-AH$122*DASHBOARD!$BD$27)+IF(YEAR(AH$8)&lt;YEAR($AK183),DEBT!AG$14,0),0)</f>
        <v>0</v>
      </c>
      <c r="AI183" s="242">
        <f>IFERROR(IF(YEAR(AI$8)&lt;=YEAR($AK183),AI$71+AI$74+AI$76+AI$77+AI$97+AI$98,0)+IF(YEAR(AI$8)=YEAR($AK183),AI$122-AH$128-AI$122*DASHBOARD!$BD$27)+IF(YEAR(AI$8)&lt;YEAR($AK183),DEBT!AH$14,0),0)</f>
        <v>0</v>
      </c>
      <c r="AJ183" s="1605"/>
      <c r="AK183" s="1704">
        <f t="shared" si="68"/>
        <v>52809</v>
      </c>
      <c r="AL183" s="450">
        <f t="shared" si="67"/>
        <v>0</v>
      </c>
      <c r="AM183" s="450">
        <f t="shared" si="69"/>
        <v>19</v>
      </c>
    </row>
    <row r="184" spans="2:39" s="289" customFormat="1" outlineLevel="1" x14ac:dyDescent="0.3">
      <c r="B184" s="267" t="str">
        <f t="shared" si="65"/>
        <v>n.a</v>
      </c>
      <c r="C184" s="1598" t="str">
        <f ca="1">IFERROR(MIRR(D184:OFFSET(D184,0,AL184),0%,DASHBOARD!$AD$83),"n.a")</f>
        <v>n.a</v>
      </c>
      <c r="D184" s="241">
        <f t="shared" si="66"/>
        <v>-7049.3458498885448</v>
      </c>
      <c r="E184" s="129">
        <f>IFERROR(IF(YEAR(E$8)&lt;=YEAR($AK184),E$71+E$74+E$76+E$77+E$97+E$98,0)+IF(YEAR(E$8)=YEAR($AK184),E$122-D$128-E$122*DASHBOARD!$BD$27)+IF(YEAR(E$8)&lt;YEAR($AK184),DEBT!D$14,0),0)</f>
        <v>0</v>
      </c>
      <c r="F184" s="134">
        <f>IFERROR(IF(YEAR(F$8)&lt;=YEAR($AK184),F$71+F$74+F$76+F$77+F$97+F$98,0)+IF(YEAR(F$8)=YEAR($AK184),F$122-E$128-F$122*DASHBOARD!$BD$27)+IF(YEAR(F$8)&lt;YEAR($AK184),DEBT!E$14,0),0)</f>
        <v>0</v>
      </c>
      <c r="G184" s="134">
        <f>IFERROR(IF(YEAR(G$8)&lt;=YEAR($AK184),G$71+G$74+G$76+G$77+G$97+G$98,0)+IF(YEAR(G$8)=YEAR($AK184),G$122-F$128-G$122*DASHBOARD!$BD$27)+IF(YEAR(G$8)&lt;YEAR($AK184),DEBT!F$14,0),0)</f>
        <v>0</v>
      </c>
      <c r="H184" s="134">
        <f>IFERROR(IF(YEAR(H$8)&lt;=YEAR($AK184),H$71+H$74+H$76+H$77+H$97+H$98,0)+IF(YEAR(H$8)=YEAR($AK184),H$122-G$128-H$122*DASHBOARD!$BD$27)+IF(YEAR(H$8)&lt;YEAR($AK184),DEBT!G$14,0),0)</f>
        <v>0</v>
      </c>
      <c r="I184" s="134">
        <f>IFERROR(IF(YEAR(I$8)&lt;=YEAR($AK184),I$71+I$74+I$76+I$77+I$97+I$98,0)+IF(YEAR(I$8)=YEAR($AK184),I$122-H$128-I$122*DASHBOARD!$BD$27)+IF(YEAR(I$8)&lt;YEAR($AK184),DEBT!H$14,0),0)</f>
        <v>0</v>
      </c>
      <c r="J184" s="134">
        <f>IFERROR(IF(YEAR(J$8)&lt;=YEAR($AK184),J$71+J$74+J$76+J$77+J$97+J$98,0)+IF(YEAR(J$8)=YEAR($AK184),J$122-I$128-J$122*DASHBOARD!$BD$27)+IF(YEAR(J$8)&lt;YEAR($AK184),DEBT!I$14,0),0)</f>
        <v>0</v>
      </c>
      <c r="K184" s="134">
        <f>IFERROR(IF(YEAR(K$8)&lt;=YEAR($AK184),K$71+K$74+K$76+K$77+K$97+K$98,0)+IF(YEAR(K$8)=YEAR($AK184),K$122-J$128-K$122*DASHBOARD!$BD$27)+IF(YEAR(K$8)&lt;YEAR($AK184),DEBT!J$14,0),0)</f>
        <v>0</v>
      </c>
      <c r="L184" s="134">
        <f>IFERROR(IF(YEAR(L$8)&lt;=YEAR($AK184),L$71+L$74+L$76+L$77+L$97+L$98,0)+IF(YEAR(L$8)=YEAR($AK184),L$122-K$128-L$122*DASHBOARD!$BD$27)+IF(YEAR(L$8)&lt;YEAR($AK184),DEBT!K$14,0),0)</f>
        <v>0</v>
      </c>
      <c r="M184" s="134">
        <f>IFERROR(IF(YEAR(M$8)&lt;=YEAR($AK184),M$71+M$74+M$76+M$77+M$97+M$98,0)+IF(YEAR(M$8)=YEAR($AK184),M$122-L$128-M$122*DASHBOARD!$BD$27)+IF(YEAR(M$8)&lt;YEAR($AK184),DEBT!L$14,0),0)</f>
        <v>0</v>
      </c>
      <c r="N184" s="134">
        <f>IFERROR(IF(YEAR(N$8)&lt;=YEAR($AK184),N$71+N$74+N$76+N$77+N$97+N$98,0)+IF(YEAR(N$8)=YEAR($AK184),N$122-M$128-N$122*DASHBOARD!$BD$27)+IF(YEAR(N$8)&lt;YEAR($AK184),DEBT!M$14,0),0)</f>
        <v>0</v>
      </c>
      <c r="O184" s="134">
        <f>IFERROR(IF(YEAR(O$8)&lt;=YEAR($AK184),O$71+O$74+O$76+O$77+O$97+O$98,0)+IF(YEAR(O$8)=YEAR($AK184),O$122-N$128-O$122*DASHBOARD!$BD$27)+IF(YEAR(O$8)&lt;YEAR($AK184),DEBT!N$14,0),0)</f>
        <v>0</v>
      </c>
      <c r="P184" s="134">
        <f>IFERROR(IF(YEAR(P$8)&lt;=YEAR($AK184),P$71+P$74+P$76+P$77+P$97+P$98,0)+IF(YEAR(P$8)=YEAR($AK184),P$122-O$128-P$122*DASHBOARD!$BD$27)+IF(YEAR(P$8)&lt;YEAR($AK184),DEBT!O$14,0),0)</f>
        <v>0</v>
      </c>
      <c r="Q184" s="134">
        <f>IFERROR(IF(YEAR(Q$8)&lt;=YEAR($AK184),Q$71+Q$74+Q$76+Q$77+Q$97+Q$98,0)+IF(YEAR(Q$8)=YEAR($AK184),Q$122-P$128-Q$122*DASHBOARD!$BD$27)+IF(YEAR(Q$8)&lt;YEAR($AK184),DEBT!P$14,0),0)</f>
        <v>0</v>
      </c>
      <c r="R184" s="134">
        <f>IFERROR(IF(YEAR(R$8)&lt;=YEAR($AK184),R$71+R$74+R$76+R$77+R$97+R$98,0)+IF(YEAR(R$8)=YEAR($AK184),R$122-Q$128-R$122*DASHBOARD!$BD$27)+IF(YEAR(R$8)&lt;YEAR($AK184),DEBT!Q$14,0),0)</f>
        <v>0</v>
      </c>
      <c r="S184" s="134">
        <f>IFERROR(IF(YEAR(S$8)&lt;=YEAR($AK184),S$71+S$74+S$76+S$77+S$97+S$98,0)+IF(YEAR(S$8)=YEAR($AK184),S$122-R$128-S$122*DASHBOARD!$BD$27)+IF(YEAR(S$8)&lt;YEAR($AK184),DEBT!R$14,0),0)</f>
        <v>0</v>
      </c>
      <c r="T184" s="134">
        <f>IFERROR(IF(YEAR(T$8)&lt;=YEAR($AK184),T$71+T$74+T$76+T$77+T$97+T$98,0)+IF(YEAR(T$8)=YEAR($AK184),T$122-S$128-T$122*DASHBOARD!$BD$27)+IF(YEAR(T$8)&lt;YEAR($AK184),DEBT!S$14,0),0)</f>
        <v>0</v>
      </c>
      <c r="U184" s="134">
        <f>IFERROR(IF(YEAR(U$8)&lt;=YEAR($AK184),U$71+U$74+U$76+U$77+U$97+U$98,0)+IF(YEAR(U$8)=YEAR($AK184),U$122-T$128-U$122*DASHBOARD!$BD$27)+IF(YEAR(U$8)&lt;YEAR($AK184),DEBT!T$14,0),0)</f>
        <v>0</v>
      </c>
      <c r="V184" s="134">
        <f>IFERROR(IF(YEAR(V$8)&lt;=YEAR($AK184),V$71+V$74+V$76+V$77+V$97+V$98,0)+IF(YEAR(V$8)=YEAR($AK184),V$122-U$128-V$122*DASHBOARD!$BD$27)+IF(YEAR(V$8)&lt;YEAR($AK184),DEBT!U$14,0),0)</f>
        <v>0</v>
      </c>
      <c r="W184" s="134">
        <f>IFERROR(IF(YEAR(W$8)&lt;=YEAR($AK184),W$71+W$74+W$76+W$77+W$97+W$98,0)+IF(YEAR(W$8)=YEAR($AK184),W$122-V$128-W$122*DASHBOARD!$BD$27)+IF(YEAR(W$8)&lt;YEAR($AK184),DEBT!V$14,0),0)</f>
        <v>0</v>
      </c>
      <c r="X184" s="134">
        <f>IFERROR(IF(YEAR(X$8)&lt;=YEAR($AK184),X$71+X$74+X$76+X$77+X$97+X$98,0)+IF(YEAR(X$8)=YEAR($AK184),X$122-W$128-X$122*DASHBOARD!$BD$27)+IF(YEAR(X$8)&lt;YEAR($AK184),DEBT!W$14,0),0)</f>
        <v>0</v>
      </c>
      <c r="Y184" s="134">
        <f>IFERROR(IF(YEAR(Y$8)&lt;=YEAR($AK184),Y$71+Y$74+Y$76+Y$77+Y$97+Y$98,0)+IF(YEAR(Y$8)=YEAR($AK184),Y$122-X$128-Y$122*DASHBOARD!$BD$27)+IF(YEAR(Y$8)&lt;YEAR($AK184),DEBT!X$14,0),0)</f>
        <v>0</v>
      </c>
      <c r="Z184" s="134">
        <f>IFERROR(IF(YEAR(Z$8)&lt;=YEAR($AK184),Z$71+Z$74+Z$76+Z$77+Z$97+Z$98,0)+IF(YEAR(Z$8)=YEAR($AK184),Z$122-Y$128-Z$122*DASHBOARD!$BD$27)+IF(YEAR(Z$8)&lt;YEAR($AK184),DEBT!Y$14,0),0)</f>
        <v>0</v>
      </c>
      <c r="AA184" s="134">
        <f>IFERROR(IF(YEAR(AA$8)&lt;=YEAR($AK184),AA$71+AA$74+AA$76+AA$77+AA$97+AA$98,0)+IF(YEAR(AA$8)=YEAR($AK184),AA$122-Z$128-AA$122*DASHBOARD!$BD$27)+IF(YEAR(AA$8)&lt;YEAR($AK184),DEBT!Z$14,0),0)</f>
        <v>0</v>
      </c>
      <c r="AB184" s="134">
        <f>IFERROR(IF(YEAR(AB$8)&lt;=YEAR($AK184),AB$71+AB$74+AB$76+AB$77+AB$97+AB$98,0)+IF(YEAR(AB$8)=YEAR($AK184),AB$122-AA$128-AB$122*DASHBOARD!$BD$27)+IF(YEAR(AB$8)&lt;YEAR($AK184),DEBT!AA$14,0),0)</f>
        <v>0</v>
      </c>
      <c r="AC184" s="134">
        <f>IFERROR(IF(YEAR(AC$8)&lt;=YEAR($AK184),AC$71+AC$74+AC$76+AC$77+AC$97+AC$98,0)+IF(YEAR(AC$8)=YEAR($AK184),AC$122-AB$128-AC$122*DASHBOARD!$BD$27)+IF(YEAR(AC$8)&lt;YEAR($AK184),DEBT!AB$14,0),0)</f>
        <v>0</v>
      </c>
      <c r="AD184" s="134">
        <f>IFERROR(IF(YEAR(AD$8)&lt;=YEAR($AK184),AD$71+AD$74+AD$76+AD$77+AD$97+AD$98,0)+IF(YEAR(AD$8)=YEAR($AK184),AD$122-AC$128-AD$122*DASHBOARD!$BD$27)+IF(YEAR(AD$8)&lt;YEAR($AK184),DEBT!AC$14,0),0)</f>
        <v>0</v>
      </c>
      <c r="AE184" s="134">
        <f>IFERROR(IF(YEAR(AE$8)&lt;=YEAR($AK184),AE$71+AE$74+AE$76+AE$77+AE$97+AE$98,0)+IF(YEAR(AE$8)=YEAR($AK184),AE$122-AD$128-AE$122*DASHBOARD!$BD$27)+IF(YEAR(AE$8)&lt;YEAR($AK184),DEBT!AD$14,0),0)</f>
        <v>0</v>
      </c>
      <c r="AF184" s="134">
        <f>IFERROR(IF(YEAR(AF$8)&lt;=YEAR($AK184),AF$71+AF$74+AF$76+AF$77+AF$97+AF$98,0)+IF(YEAR(AF$8)=YEAR($AK184),AF$122-AE$128-AF$122*DASHBOARD!$BD$27)+IF(YEAR(AF$8)&lt;YEAR($AK184),DEBT!AE$14,0),0)</f>
        <v>0</v>
      </c>
      <c r="AG184" s="134">
        <f>IFERROR(IF(YEAR(AG$8)&lt;=YEAR($AK184),AG$71+AG$74+AG$76+AG$77+AG$97+AG$98,0)+IF(YEAR(AG$8)=YEAR($AK184),AG$122-AF$128-AG$122*DASHBOARD!$BD$27)+IF(YEAR(AG$8)&lt;YEAR($AK184),DEBT!AF$14,0),0)</f>
        <v>0</v>
      </c>
      <c r="AH184" s="134">
        <f>IFERROR(IF(YEAR(AH$8)&lt;=YEAR($AK184),AH$71+AH$74+AH$76+AH$77+AH$97+AH$98,0)+IF(YEAR(AH$8)=YEAR($AK184),AH$122-AG$128-AH$122*DASHBOARD!$BD$27)+IF(YEAR(AH$8)&lt;YEAR($AK184),DEBT!AG$14,0),0)</f>
        <v>0</v>
      </c>
      <c r="AI184" s="242">
        <f>IFERROR(IF(YEAR(AI$8)&lt;=YEAR($AK184),AI$71+AI$74+AI$76+AI$77+AI$97+AI$98,0)+IF(YEAR(AI$8)=YEAR($AK184),AI$122-AH$128-AI$122*DASHBOARD!$BD$27)+IF(YEAR(AI$8)&lt;YEAR($AK184),DEBT!AH$14,0),0)</f>
        <v>0</v>
      </c>
      <c r="AJ184" s="1605"/>
      <c r="AK184" s="1704">
        <f t="shared" si="68"/>
        <v>53174</v>
      </c>
      <c r="AL184" s="450">
        <f t="shared" si="67"/>
        <v>0</v>
      </c>
      <c r="AM184" s="450">
        <f t="shared" si="69"/>
        <v>20</v>
      </c>
    </row>
    <row r="185" spans="2:39" s="289" customFormat="1" outlineLevel="1" x14ac:dyDescent="0.3">
      <c r="B185" s="267" t="str">
        <f t="shared" si="65"/>
        <v>n.a</v>
      </c>
      <c r="C185" s="1598" t="str">
        <f ca="1">IFERROR(MIRR(D185:OFFSET(D185,0,AL185),0%,DASHBOARD!$AD$83),"n.a")</f>
        <v>n.a</v>
      </c>
      <c r="D185" s="241">
        <f t="shared" si="66"/>
        <v>-7049.3458498885448</v>
      </c>
      <c r="E185" s="129">
        <f>IFERROR(IF(YEAR(E$8)&lt;=YEAR($AK185),E$71+E$74+E$76+E$77+E$97+E$98,0)+IF(YEAR(E$8)=YEAR($AK185),E$122-D$128-E$122*DASHBOARD!$BD$27)+IF(YEAR(E$8)&lt;YEAR($AK185),DEBT!D$14,0),0)</f>
        <v>0</v>
      </c>
      <c r="F185" s="134">
        <f>IFERROR(IF(YEAR(F$8)&lt;=YEAR($AK185),F$71+F$74+F$76+F$77+F$97+F$98,0)+IF(YEAR(F$8)=YEAR($AK185),F$122-E$128-F$122*DASHBOARD!$BD$27)+IF(YEAR(F$8)&lt;YEAR($AK185),DEBT!E$14,0),0)</f>
        <v>0</v>
      </c>
      <c r="G185" s="134">
        <f>IFERROR(IF(YEAR(G$8)&lt;=YEAR($AK185),G$71+G$74+G$76+G$77+G$97+G$98,0)+IF(YEAR(G$8)=YEAR($AK185),G$122-F$128-G$122*DASHBOARD!$BD$27)+IF(YEAR(G$8)&lt;YEAR($AK185),DEBT!F$14,0),0)</f>
        <v>0</v>
      </c>
      <c r="H185" s="134">
        <f>IFERROR(IF(YEAR(H$8)&lt;=YEAR($AK185),H$71+H$74+H$76+H$77+H$97+H$98,0)+IF(YEAR(H$8)=YEAR($AK185),H$122-G$128-H$122*DASHBOARD!$BD$27)+IF(YEAR(H$8)&lt;YEAR($AK185),DEBT!G$14,0),0)</f>
        <v>0</v>
      </c>
      <c r="I185" s="134">
        <f>IFERROR(IF(YEAR(I$8)&lt;=YEAR($AK185),I$71+I$74+I$76+I$77+I$97+I$98,0)+IF(YEAR(I$8)=YEAR($AK185),I$122-H$128-I$122*DASHBOARD!$BD$27)+IF(YEAR(I$8)&lt;YEAR($AK185),DEBT!H$14,0),0)</f>
        <v>0</v>
      </c>
      <c r="J185" s="134">
        <f>IFERROR(IF(YEAR(J$8)&lt;=YEAR($AK185),J$71+J$74+J$76+J$77+J$97+J$98,0)+IF(YEAR(J$8)=YEAR($AK185),J$122-I$128-J$122*DASHBOARD!$BD$27)+IF(YEAR(J$8)&lt;YEAR($AK185),DEBT!I$14,0),0)</f>
        <v>0</v>
      </c>
      <c r="K185" s="134">
        <f>IFERROR(IF(YEAR(K$8)&lt;=YEAR($AK185),K$71+K$74+K$76+K$77+K$97+K$98,0)+IF(YEAR(K$8)=YEAR($AK185),K$122-J$128-K$122*DASHBOARD!$BD$27)+IF(YEAR(K$8)&lt;YEAR($AK185),DEBT!J$14,0),0)</f>
        <v>0</v>
      </c>
      <c r="L185" s="134">
        <f>IFERROR(IF(YEAR(L$8)&lt;=YEAR($AK185),L$71+L$74+L$76+L$77+L$97+L$98,0)+IF(YEAR(L$8)=YEAR($AK185),L$122-K$128-L$122*DASHBOARD!$BD$27)+IF(YEAR(L$8)&lt;YEAR($AK185),DEBT!K$14,0),0)</f>
        <v>0</v>
      </c>
      <c r="M185" s="134">
        <f>IFERROR(IF(YEAR(M$8)&lt;=YEAR($AK185),M$71+M$74+M$76+M$77+M$97+M$98,0)+IF(YEAR(M$8)=YEAR($AK185),M$122-L$128-M$122*DASHBOARD!$BD$27)+IF(YEAR(M$8)&lt;YEAR($AK185),DEBT!L$14,0),0)</f>
        <v>0</v>
      </c>
      <c r="N185" s="134">
        <f>IFERROR(IF(YEAR(N$8)&lt;=YEAR($AK185),N$71+N$74+N$76+N$77+N$97+N$98,0)+IF(YEAR(N$8)=YEAR($AK185),N$122-M$128-N$122*DASHBOARD!$BD$27)+IF(YEAR(N$8)&lt;YEAR($AK185),DEBT!M$14,0),0)</f>
        <v>0</v>
      </c>
      <c r="O185" s="134">
        <f>IFERROR(IF(YEAR(O$8)&lt;=YEAR($AK185),O$71+O$74+O$76+O$77+O$97+O$98,0)+IF(YEAR(O$8)=YEAR($AK185),O$122-N$128-O$122*DASHBOARD!$BD$27)+IF(YEAR(O$8)&lt;YEAR($AK185),DEBT!N$14,0),0)</f>
        <v>0</v>
      </c>
      <c r="P185" s="134">
        <f>IFERROR(IF(YEAR(P$8)&lt;=YEAR($AK185),P$71+P$74+P$76+P$77+P$97+P$98,0)+IF(YEAR(P$8)=YEAR($AK185),P$122-O$128-P$122*DASHBOARD!$BD$27)+IF(YEAR(P$8)&lt;YEAR($AK185),DEBT!O$14,0),0)</f>
        <v>0</v>
      </c>
      <c r="Q185" s="134">
        <f>IFERROR(IF(YEAR(Q$8)&lt;=YEAR($AK185),Q$71+Q$74+Q$76+Q$77+Q$97+Q$98,0)+IF(YEAR(Q$8)=YEAR($AK185),Q$122-P$128-Q$122*DASHBOARD!$BD$27)+IF(YEAR(Q$8)&lt;YEAR($AK185),DEBT!P$14,0),0)</f>
        <v>0</v>
      </c>
      <c r="R185" s="134">
        <f>IFERROR(IF(YEAR(R$8)&lt;=YEAR($AK185),R$71+R$74+R$76+R$77+R$97+R$98,0)+IF(YEAR(R$8)=YEAR($AK185),R$122-Q$128-R$122*DASHBOARD!$BD$27)+IF(YEAR(R$8)&lt;YEAR($AK185),DEBT!Q$14,0),0)</f>
        <v>0</v>
      </c>
      <c r="S185" s="134">
        <f>IFERROR(IF(YEAR(S$8)&lt;=YEAR($AK185),S$71+S$74+S$76+S$77+S$97+S$98,0)+IF(YEAR(S$8)=YEAR($AK185),S$122-R$128-S$122*DASHBOARD!$BD$27)+IF(YEAR(S$8)&lt;YEAR($AK185),DEBT!R$14,0),0)</f>
        <v>0</v>
      </c>
      <c r="T185" s="134">
        <f>IFERROR(IF(YEAR(T$8)&lt;=YEAR($AK185),T$71+T$74+T$76+T$77+T$97+T$98,0)+IF(YEAR(T$8)=YEAR($AK185),T$122-S$128-T$122*DASHBOARD!$BD$27)+IF(YEAR(T$8)&lt;YEAR($AK185),DEBT!S$14,0),0)</f>
        <v>0</v>
      </c>
      <c r="U185" s="134">
        <f>IFERROR(IF(YEAR(U$8)&lt;=YEAR($AK185),U$71+U$74+U$76+U$77+U$97+U$98,0)+IF(YEAR(U$8)=YEAR($AK185),U$122-T$128-U$122*DASHBOARD!$BD$27)+IF(YEAR(U$8)&lt;YEAR($AK185),DEBT!T$14,0),0)</f>
        <v>0</v>
      </c>
      <c r="V185" s="134">
        <f>IFERROR(IF(YEAR(V$8)&lt;=YEAR($AK185),V$71+V$74+V$76+V$77+V$97+V$98,0)+IF(YEAR(V$8)=YEAR($AK185),V$122-U$128-V$122*DASHBOARD!$BD$27)+IF(YEAR(V$8)&lt;YEAR($AK185),DEBT!U$14,0),0)</f>
        <v>0</v>
      </c>
      <c r="W185" s="134">
        <f>IFERROR(IF(YEAR(W$8)&lt;=YEAR($AK185),W$71+W$74+W$76+W$77+W$97+W$98,0)+IF(YEAR(W$8)=YEAR($AK185),W$122-V$128-W$122*DASHBOARD!$BD$27)+IF(YEAR(W$8)&lt;YEAR($AK185),DEBT!V$14,0),0)</f>
        <v>0</v>
      </c>
      <c r="X185" s="134">
        <f>IFERROR(IF(YEAR(X$8)&lt;=YEAR($AK185),X$71+X$74+X$76+X$77+X$97+X$98,0)+IF(YEAR(X$8)=YEAR($AK185),X$122-W$128-X$122*DASHBOARD!$BD$27)+IF(YEAR(X$8)&lt;YEAR($AK185),DEBT!W$14,0),0)</f>
        <v>0</v>
      </c>
      <c r="Y185" s="134">
        <f>IFERROR(IF(YEAR(Y$8)&lt;=YEAR($AK185),Y$71+Y$74+Y$76+Y$77+Y$97+Y$98,0)+IF(YEAR(Y$8)=YEAR($AK185),Y$122-X$128-Y$122*DASHBOARD!$BD$27)+IF(YEAR(Y$8)&lt;YEAR($AK185),DEBT!X$14,0),0)</f>
        <v>0</v>
      </c>
      <c r="Z185" s="134">
        <f>IFERROR(IF(YEAR(Z$8)&lt;=YEAR($AK185),Z$71+Z$74+Z$76+Z$77+Z$97+Z$98,0)+IF(YEAR(Z$8)=YEAR($AK185),Z$122-Y$128-Z$122*DASHBOARD!$BD$27)+IF(YEAR(Z$8)&lt;YEAR($AK185),DEBT!Y$14,0),0)</f>
        <v>0</v>
      </c>
      <c r="AA185" s="134">
        <f>IFERROR(IF(YEAR(AA$8)&lt;=YEAR($AK185),AA$71+AA$74+AA$76+AA$77+AA$97+AA$98,0)+IF(YEAR(AA$8)=YEAR($AK185),AA$122-Z$128-AA$122*DASHBOARD!$BD$27)+IF(YEAR(AA$8)&lt;YEAR($AK185),DEBT!Z$14,0),0)</f>
        <v>0</v>
      </c>
      <c r="AB185" s="134">
        <f>IFERROR(IF(YEAR(AB$8)&lt;=YEAR($AK185),AB$71+AB$74+AB$76+AB$77+AB$97+AB$98,0)+IF(YEAR(AB$8)=YEAR($AK185),AB$122-AA$128-AB$122*DASHBOARD!$BD$27)+IF(YEAR(AB$8)&lt;YEAR($AK185),DEBT!AA$14,0),0)</f>
        <v>0</v>
      </c>
      <c r="AC185" s="134">
        <f>IFERROR(IF(YEAR(AC$8)&lt;=YEAR($AK185),AC$71+AC$74+AC$76+AC$77+AC$97+AC$98,0)+IF(YEAR(AC$8)=YEAR($AK185),AC$122-AB$128-AC$122*DASHBOARD!$BD$27)+IF(YEAR(AC$8)&lt;YEAR($AK185),DEBT!AB$14,0),0)</f>
        <v>0</v>
      </c>
      <c r="AD185" s="134">
        <f>IFERROR(IF(YEAR(AD$8)&lt;=YEAR($AK185),AD$71+AD$74+AD$76+AD$77+AD$97+AD$98,0)+IF(YEAR(AD$8)=YEAR($AK185),AD$122-AC$128-AD$122*DASHBOARD!$BD$27)+IF(YEAR(AD$8)&lt;YEAR($AK185),DEBT!AC$14,0),0)</f>
        <v>0</v>
      </c>
      <c r="AE185" s="134">
        <f>IFERROR(IF(YEAR(AE$8)&lt;=YEAR($AK185),AE$71+AE$74+AE$76+AE$77+AE$97+AE$98,0)+IF(YEAR(AE$8)=YEAR($AK185),AE$122-AD$128-AE$122*DASHBOARD!$BD$27)+IF(YEAR(AE$8)&lt;YEAR($AK185),DEBT!AD$14,0),0)</f>
        <v>0</v>
      </c>
      <c r="AF185" s="134">
        <f>IFERROR(IF(YEAR(AF$8)&lt;=YEAR($AK185),AF$71+AF$74+AF$76+AF$77+AF$97+AF$98,0)+IF(YEAR(AF$8)=YEAR($AK185),AF$122-AE$128-AF$122*DASHBOARD!$BD$27)+IF(YEAR(AF$8)&lt;YEAR($AK185),DEBT!AE$14,0),0)</f>
        <v>0</v>
      </c>
      <c r="AG185" s="134">
        <f>IFERROR(IF(YEAR(AG$8)&lt;=YEAR($AK185),AG$71+AG$74+AG$76+AG$77+AG$97+AG$98,0)+IF(YEAR(AG$8)=YEAR($AK185),AG$122-AF$128-AG$122*DASHBOARD!$BD$27)+IF(YEAR(AG$8)&lt;YEAR($AK185),DEBT!AF$14,0),0)</f>
        <v>0</v>
      </c>
      <c r="AH185" s="134">
        <f>IFERROR(IF(YEAR(AH$8)&lt;=YEAR($AK185),AH$71+AH$74+AH$76+AH$77+AH$97+AH$98,0)+IF(YEAR(AH$8)=YEAR($AK185),AH$122-AG$128-AH$122*DASHBOARD!$BD$27)+IF(YEAR(AH$8)&lt;YEAR($AK185),DEBT!AG$14,0),0)</f>
        <v>0</v>
      </c>
      <c r="AI185" s="242">
        <f>IFERROR(IF(YEAR(AI$8)&lt;=YEAR($AK185),AI$71+AI$74+AI$76+AI$77+AI$97+AI$98,0)+IF(YEAR(AI$8)=YEAR($AK185),AI$122-AH$128-AI$122*DASHBOARD!$BD$27)+IF(YEAR(AI$8)&lt;YEAR($AK185),DEBT!AH$14,0),0)</f>
        <v>0</v>
      </c>
      <c r="AJ185" s="1605"/>
      <c r="AK185" s="1704">
        <f t="shared" si="68"/>
        <v>53539</v>
      </c>
      <c r="AL185" s="450">
        <f t="shared" si="67"/>
        <v>0</v>
      </c>
      <c r="AM185" s="450">
        <f t="shared" si="69"/>
        <v>21</v>
      </c>
    </row>
    <row r="186" spans="2:39" s="289" customFormat="1" outlineLevel="1" x14ac:dyDescent="0.3">
      <c r="B186" s="267" t="str">
        <f t="shared" si="65"/>
        <v>n.a</v>
      </c>
      <c r="C186" s="1598" t="str">
        <f ca="1">IFERROR(MIRR(D186:OFFSET(D186,0,AL186),0%,DASHBOARD!$AD$83),"n.a")</f>
        <v>n.a</v>
      </c>
      <c r="D186" s="241">
        <f t="shared" si="66"/>
        <v>-7049.3458498885448</v>
      </c>
      <c r="E186" s="129">
        <f>IFERROR(IF(YEAR(E$8)&lt;=YEAR($AK186),E$71+E$74+E$76+E$77+E$97+E$98,0)+IF(YEAR(E$8)=YEAR($AK186),E$122-D$128-E$122*DASHBOARD!$BD$27)+IF(YEAR(E$8)&lt;YEAR($AK186),DEBT!D$14,0),0)</f>
        <v>0</v>
      </c>
      <c r="F186" s="134">
        <f>IFERROR(IF(YEAR(F$8)&lt;=YEAR($AK186),F$71+F$74+F$76+F$77+F$97+F$98,0)+IF(YEAR(F$8)=YEAR($AK186),F$122-E$128-F$122*DASHBOARD!$BD$27)+IF(YEAR(F$8)&lt;YEAR($AK186),DEBT!E$14,0),0)</f>
        <v>0</v>
      </c>
      <c r="G186" s="134">
        <f>IFERROR(IF(YEAR(G$8)&lt;=YEAR($AK186),G$71+G$74+G$76+G$77+G$97+G$98,0)+IF(YEAR(G$8)=YEAR($AK186),G$122-F$128-G$122*DASHBOARD!$BD$27)+IF(YEAR(G$8)&lt;YEAR($AK186),DEBT!F$14,0),0)</f>
        <v>0</v>
      </c>
      <c r="H186" s="134">
        <f>IFERROR(IF(YEAR(H$8)&lt;=YEAR($AK186),H$71+H$74+H$76+H$77+H$97+H$98,0)+IF(YEAR(H$8)=YEAR($AK186),H$122-G$128-H$122*DASHBOARD!$BD$27)+IF(YEAR(H$8)&lt;YEAR($AK186),DEBT!G$14,0),0)</f>
        <v>0</v>
      </c>
      <c r="I186" s="134">
        <f>IFERROR(IF(YEAR(I$8)&lt;=YEAR($AK186),I$71+I$74+I$76+I$77+I$97+I$98,0)+IF(YEAR(I$8)=YEAR($AK186),I$122-H$128-I$122*DASHBOARD!$BD$27)+IF(YEAR(I$8)&lt;YEAR($AK186),DEBT!H$14,0),0)</f>
        <v>0</v>
      </c>
      <c r="J186" s="134">
        <f>IFERROR(IF(YEAR(J$8)&lt;=YEAR($AK186),J$71+J$74+J$76+J$77+J$97+J$98,0)+IF(YEAR(J$8)=YEAR($AK186),J$122-I$128-J$122*DASHBOARD!$BD$27)+IF(YEAR(J$8)&lt;YEAR($AK186),DEBT!I$14,0),0)</f>
        <v>0</v>
      </c>
      <c r="K186" s="134">
        <f>IFERROR(IF(YEAR(K$8)&lt;=YEAR($AK186),K$71+K$74+K$76+K$77+K$97+K$98,0)+IF(YEAR(K$8)=YEAR($AK186),K$122-J$128-K$122*DASHBOARD!$BD$27)+IF(YEAR(K$8)&lt;YEAR($AK186),DEBT!J$14,0),0)</f>
        <v>0</v>
      </c>
      <c r="L186" s="134">
        <f>IFERROR(IF(YEAR(L$8)&lt;=YEAR($AK186),L$71+L$74+L$76+L$77+L$97+L$98,0)+IF(YEAR(L$8)=YEAR($AK186),L$122-K$128-L$122*DASHBOARD!$BD$27)+IF(YEAR(L$8)&lt;YEAR($AK186),DEBT!K$14,0),0)</f>
        <v>0</v>
      </c>
      <c r="M186" s="134">
        <f>IFERROR(IF(YEAR(M$8)&lt;=YEAR($AK186),M$71+M$74+M$76+M$77+M$97+M$98,0)+IF(YEAR(M$8)=YEAR($AK186),M$122-L$128-M$122*DASHBOARD!$BD$27)+IF(YEAR(M$8)&lt;YEAR($AK186),DEBT!L$14,0),0)</f>
        <v>0</v>
      </c>
      <c r="N186" s="134">
        <f>IFERROR(IF(YEAR(N$8)&lt;=YEAR($AK186),N$71+N$74+N$76+N$77+N$97+N$98,0)+IF(YEAR(N$8)=YEAR($AK186),N$122-M$128-N$122*DASHBOARD!$BD$27)+IF(YEAR(N$8)&lt;YEAR($AK186),DEBT!M$14,0),0)</f>
        <v>0</v>
      </c>
      <c r="O186" s="134">
        <f>IFERROR(IF(YEAR(O$8)&lt;=YEAR($AK186),O$71+O$74+O$76+O$77+O$97+O$98,0)+IF(YEAR(O$8)=YEAR($AK186),O$122-N$128-O$122*DASHBOARD!$BD$27)+IF(YEAR(O$8)&lt;YEAR($AK186),DEBT!N$14,0),0)</f>
        <v>0</v>
      </c>
      <c r="P186" s="134">
        <f>IFERROR(IF(YEAR(P$8)&lt;=YEAR($AK186),P$71+P$74+P$76+P$77+P$97+P$98,0)+IF(YEAR(P$8)=YEAR($AK186),P$122-O$128-P$122*DASHBOARD!$BD$27)+IF(YEAR(P$8)&lt;YEAR($AK186),DEBT!O$14,0),0)</f>
        <v>0</v>
      </c>
      <c r="Q186" s="134">
        <f>IFERROR(IF(YEAR(Q$8)&lt;=YEAR($AK186),Q$71+Q$74+Q$76+Q$77+Q$97+Q$98,0)+IF(YEAR(Q$8)=YEAR($AK186),Q$122-P$128-Q$122*DASHBOARD!$BD$27)+IF(YEAR(Q$8)&lt;YEAR($AK186),DEBT!P$14,0),0)</f>
        <v>0</v>
      </c>
      <c r="R186" s="134">
        <f>IFERROR(IF(YEAR(R$8)&lt;=YEAR($AK186),R$71+R$74+R$76+R$77+R$97+R$98,0)+IF(YEAR(R$8)=YEAR($AK186),R$122-Q$128-R$122*DASHBOARD!$BD$27)+IF(YEAR(R$8)&lt;YEAR($AK186),DEBT!Q$14,0),0)</f>
        <v>0</v>
      </c>
      <c r="S186" s="134">
        <f>IFERROR(IF(YEAR(S$8)&lt;=YEAR($AK186),S$71+S$74+S$76+S$77+S$97+S$98,0)+IF(YEAR(S$8)=YEAR($AK186),S$122-R$128-S$122*DASHBOARD!$BD$27)+IF(YEAR(S$8)&lt;YEAR($AK186),DEBT!R$14,0),0)</f>
        <v>0</v>
      </c>
      <c r="T186" s="134">
        <f>IFERROR(IF(YEAR(T$8)&lt;=YEAR($AK186),T$71+T$74+T$76+T$77+T$97+T$98,0)+IF(YEAR(T$8)=YEAR($AK186),T$122-S$128-T$122*DASHBOARD!$BD$27)+IF(YEAR(T$8)&lt;YEAR($AK186),DEBT!S$14,0),0)</f>
        <v>0</v>
      </c>
      <c r="U186" s="134">
        <f>IFERROR(IF(YEAR(U$8)&lt;=YEAR($AK186),U$71+U$74+U$76+U$77+U$97+U$98,0)+IF(YEAR(U$8)=YEAR($AK186),U$122-T$128-U$122*DASHBOARD!$BD$27)+IF(YEAR(U$8)&lt;YEAR($AK186),DEBT!T$14,0),0)</f>
        <v>0</v>
      </c>
      <c r="V186" s="134">
        <f>IFERROR(IF(YEAR(V$8)&lt;=YEAR($AK186),V$71+V$74+V$76+V$77+V$97+V$98,0)+IF(YEAR(V$8)=YEAR($AK186),V$122-U$128-V$122*DASHBOARD!$BD$27)+IF(YEAR(V$8)&lt;YEAR($AK186),DEBT!U$14,0),0)</f>
        <v>0</v>
      </c>
      <c r="W186" s="134">
        <f>IFERROR(IF(YEAR(W$8)&lt;=YEAR($AK186),W$71+W$74+W$76+W$77+W$97+W$98,0)+IF(YEAR(W$8)=YEAR($AK186),W$122-V$128-W$122*DASHBOARD!$BD$27)+IF(YEAR(W$8)&lt;YEAR($AK186),DEBT!V$14,0),0)</f>
        <v>0</v>
      </c>
      <c r="X186" s="134">
        <f>IFERROR(IF(YEAR(X$8)&lt;=YEAR($AK186),X$71+X$74+X$76+X$77+X$97+X$98,0)+IF(YEAR(X$8)=YEAR($AK186),X$122-W$128-X$122*DASHBOARD!$BD$27)+IF(YEAR(X$8)&lt;YEAR($AK186),DEBT!W$14,0),0)</f>
        <v>0</v>
      </c>
      <c r="Y186" s="134">
        <f>IFERROR(IF(YEAR(Y$8)&lt;=YEAR($AK186),Y$71+Y$74+Y$76+Y$77+Y$97+Y$98,0)+IF(YEAR(Y$8)=YEAR($AK186),Y$122-X$128-Y$122*DASHBOARD!$BD$27)+IF(YEAR(Y$8)&lt;YEAR($AK186),DEBT!X$14,0),0)</f>
        <v>0</v>
      </c>
      <c r="Z186" s="134">
        <f>IFERROR(IF(YEAR(Z$8)&lt;=YEAR($AK186),Z$71+Z$74+Z$76+Z$77+Z$97+Z$98,0)+IF(YEAR(Z$8)=YEAR($AK186),Z$122-Y$128-Z$122*DASHBOARD!$BD$27)+IF(YEAR(Z$8)&lt;YEAR($AK186),DEBT!Y$14,0),0)</f>
        <v>0</v>
      </c>
      <c r="AA186" s="134">
        <f>IFERROR(IF(YEAR(AA$8)&lt;=YEAR($AK186),AA$71+AA$74+AA$76+AA$77+AA$97+AA$98,0)+IF(YEAR(AA$8)=YEAR($AK186),AA$122-Z$128-AA$122*DASHBOARD!$BD$27)+IF(YEAR(AA$8)&lt;YEAR($AK186),DEBT!Z$14,0),0)</f>
        <v>0</v>
      </c>
      <c r="AB186" s="134">
        <f>IFERROR(IF(YEAR(AB$8)&lt;=YEAR($AK186),AB$71+AB$74+AB$76+AB$77+AB$97+AB$98,0)+IF(YEAR(AB$8)=YEAR($AK186),AB$122-AA$128-AB$122*DASHBOARD!$BD$27)+IF(YEAR(AB$8)&lt;YEAR($AK186),DEBT!AA$14,0),0)</f>
        <v>0</v>
      </c>
      <c r="AC186" s="134">
        <f>IFERROR(IF(YEAR(AC$8)&lt;=YEAR($AK186),AC$71+AC$74+AC$76+AC$77+AC$97+AC$98,0)+IF(YEAR(AC$8)=YEAR($AK186),AC$122-AB$128-AC$122*DASHBOARD!$BD$27)+IF(YEAR(AC$8)&lt;YEAR($AK186),DEBT!AB$14,0),0)</f>
        <v>0</v>
      </c>
      <c r="AD186" s="134">
        <f>IFERROR(IF(YEAR(AD$8)&lt;=YEAR($AK186),AD$71+AD$74+AD$76+AD$77+AD$97+AD$98,0)+IF(YEAR(AD$8)=YEAR($AK186),AD$122-AC$128-AD$122*DASHBOARD!$BD$27)+IF(YEAR(AD$8)&lt;YEAR($AK186),DEBT!AC$14,0),0)</f>
        <v>0</v>
      </c>
      <c r="AE186" s="134">
        <f>IFERROR(IF(YEAR(AE$8)&lt;=YEAR($AK186),AE$71+AE$74+AE$76+AE$77+AE$97+AE$98,0)+IF(YEAR(AE$8)=YEAR($AK186),AE$122-AD$128-AE$122*DASHBOARD!$BD$27)+IF(YEAR(AE$8)&lt;YEAR($AK186),DEBT!AD$14,0),0)</f>
        <v>0</v>
      </c>
      <c r="AF186" s="134">
        <f>IFERROR(IF(YEAR(AF$8)&lt;=YEAR($AK186),AF$71+AF$74+AF$76+AF$77+AF$97+AF$98,0)+IF(YEAR(AF$8)=YEAR($AK186),AF$122-AE$128-AF$122*DASHBOARD!$BD$27)+IF(YEAR(AF$8)&lt;YEAR($AK186),DEBT!AE$14,0),0)</f>
        <v>0</v>
      </c>
      <c r="AG186" s="134">
        <f>IFERROR(IF(YEAR(AG$8)&lt;=YEAR($AK186),AG$71+AG$74+AG$76+AG$77+AG$97+AG$98,0)+IF(YEAR(AG$8)=YEAR($AK186),AG$122-AF$128-AG$122*DASHBOARD!$BD$27)+IF(YEAR(AG$8)&lt;YEAR($AK186),DEBT!AF$14,0),0)</f>
        <v>0</v>
      </c>
      <c r="AH186" s="134">
        <f>IFERROR(IF(YEAR(AH$8)&lt;=YEAR($AK186),AH$71+AH$74+AH$76+AH$77+AH$97+AH$98,0)+IF(YEAR(AH$8)=YEAR($AK186),AH$122-AG$128-AH$122*DASHBOARD!$BD$27)+IF(YEAR(AH$8)&lt;YEAR($AK186),DEBT!AG$14,0),0)</f>
        <v>0</v>
      </c>
      <c r="AI186" s="242">
        <f>IFERROR(IF(YEAR(AI$8)&lt;=YEAR($AK186),AI$71+AI$74+AI$76+AI$77+AI$97+AI$98,0)+IF(YEAR(AI$8)=YEAR($AK186),AI$122-AH$128-AI$122*DASHBOARD!$BD$27)+IF(YEAR(AI$8)&lt;YEAR($AK186),DEBT!AH$14,0),0)</f>
        <v>0</v>
      </c>
      <c r="AJ186" s="1605"/>
      <c r="AK186" s="1704">
        <f t="shared" si="68"/>
        <v>53904</v>
      </c>
      <c r="AL186" s="450">
        <f t="shared" si="67"/>
        <v>0</v>
      </c>
      <c r="AM186" s="450">
        <f t="shared" si="69"/>
        <v>22</v>
      </c>
    </row>
    <row r="187" spans="2:39" s="289" customFormat="1" outlineLevel="1" x14ac:dyDescent="0.3">
      <c r="B187" s="267" t="str">
        <f t="shared" si="65"/>
        <v>n.a</v>
      </c>
      <c r="C187" s="1598" t="str">
        <f ca="1">IFERROR(MIRR(D187:OFFSET(D187,0,AL187),0%,DASHBOARD!$AD$83),"n.a")</f>
        <v>n.a</v>
      </c>
      <c r="D187" s="241">
        <f t="shared" si="66"/>
        <v>-7049.3458498885448</v>
      </c>
      <c r="E187" s="129">
        <f>IFERROR(IF(YEAR(E$8)&lt;=YEAR($AK187),E$71+E$74+E$76+E$77+E$97+E$98,0)+IF(YEAR(E$8)=YEAR($AK187),E$122-D$128-E$122*DASHBOARD!$BD$27)+IF(YEAR(E$8)&lt;YEAR($AK187),DEBT!D$14,0),0)</f>
        <v>0</v>
      </c>
      <c r="F187" s="134">
        <f>IFERROR(IF(YEAR(F$8)&lt;=YEAR($AK187),F$71+F$74+F$76+F$77+F$97+F$98,0)+IF(YEAR(F$8)=YEAR($AK187),F$122-E$128-F$122*DASHBOARD!$BD$27)+IF(YEAR(F$8)&lt;YEAR($AK187),DEBT!E$14,0),0)</f>
        <v>0</v>
      </c>
      <c r="G187" s="134">
        <f>IFERROR(IF(YEAR(G$8)&lt;=YEAR($AK187),G$71+G$74+G$76+G$77+G$97+G$98,0)+IF(YEAR(G$8)=YEAR($AK187),G$122-F$128-G$122*DASHBOARD!$BD$27)+IF(YEAR(G$8)&lt;YEAR($AK187),DEBT!F$14,0),0)</f>
        <v>0</v>
      </c>
      <c r="H187" s="134">
        <f>IFERROR(IF(YEAR(H$8)&lt;=YEAR($AK187),H$71+H$74+H$76+H$77+H$97+H$98,0)+IF(YEAR(H$8)=YEAR($AK187),H$122-G$128-H$122*DASHBOARD!$BD$27)+IF(YEAR(H$8)&lt;YEAR($AK187),DEBT!G$14,0),0)</f>
        <v>0</v>
      </c>
      <c r="I187" s="134">
        <f>IFERROR(IF(YEAR(I$8)&lt;=YEAR($AK187),I$71+I$74+I$76+I$77+I$97+I$98,0)+IF(YEAR(I$8)=YEAR($AK187),I$122-H$128-I$122*DASHBOARD!$BD$27)+IF(YEAR(I$8)&lt;YEAR($AK187),DEBT!H$14,0),0)</f>
        <v>0</v>
      </c>
      <c r="J187" s="134">
        <f>IFERROR(IF(YEAR(J$8)&lt;=YEAR($AK187),J$71+J$74+J$76+J$77+J$97+J$98,0)+IF(YEAR(J$8)=YEAR($AK187),J$122-I$128-J$122*DASHBOARD!$BD$27)+IF(YEAR(J$8)&lt;YEAR($AK187),DEBT!I$14,0),0)</f>
        <v>0</v>
      </c>
      <c r="K187" s="134">
        <f>IFERROR(IF(YEAR(K$8)&lt;=YEAR($AK187),K$71+K$74+K$76+K$77+K$97+K$98,0)+IF(YEAR(K$8)=YEAR($AK187),K$122-J$128-K$122*DASHBOARD!$BD$27)+IF(YEAR(K$8)&lt;YEAR($AK187),DEBT!J$14,0),0)</f>
        <v>0</v>
      </c>
      <c r="L187" s="134">
        <f>IFERROR(IF(YEAR(L$8)&lt;=YEAR($AK187),L$71+L$74+L$76+L$77+L$97+L$98,0)+IF(YEAR(L$8)=YEAR($AK187),L$122-K$128-L$122*DASHBOARD!$BD$27)+IF(YEAR(L$8)&lt;YEAR($AK187),DEBT!K$14,0),0)</f>
        <v>0</v>
      </c>
      <c r="M187" s="134">
        <f>IFERROR(IF(YEAR(M$8)&lt;=YEAR($AK187),M$71+M$74+M$76+M$77+M$97+M$98,0)+IF(YEAR(M$8)=YEAR($AK187),M$122-L$128-M$122*DASHBOARD!$BD$27)+IF(YEAR(M$8)&lt;YEAR($AK187),DEBT!L$14,0),0)</f>
        <v>0</v>
      </c>
      <c r="N187" s="134">
        <f>IFERROR(IF(YEAR(N$8)&lt;=YEAR($AK187),N$71+N$74+N$76+N$77+N$97+N$98,0)+IF(YEAR(N$8)=YEAR($AK187),N$122-M$128-N$122*DASHBOARD!$BD$27)+IF(YEAR(N$8)&lt;YEAR($AK187),DEBT!M$14,0),0)</f>
        <v>0</v>
      </c>
      <c r="O187" s="134">
        <f>IFERROR(IF(YEAR(O$8)&lt;=YEAR($AK187),O$71+O$74+O$76+O$77+O$97+O$98,0)+IF(YEAR(O$8)=YEAR($AK187),O$122-N$128-O$122*DASHBOARD!$BD$27)+IF(YEAR(O$8)&lt;YEAR($AK187),DEBT!N$14,0),0)</f>
        <v>0</v>
      </c>
      <c r="P187" s="134">
        <f>IFERROR(IF(YEAR(P$8)&lt;=YEAR($AK187),P$71+P$74+P$76+P$77+P$97+P$98,0)+IF(YEAR(P$8)=YEAR($AK187),P$122-O$128-P$122*DASHBOARD!$BD$27)+IF(YEAR(P$8)&lt;YEAR($AK187),DEBT!O$14,0),0)</f>
        <v>0</v>
      </c>
      <c r="Q187" s="134">
        <f>IFERROR(IF(YEAR(Q$8)&lt;=YEAR($AK187),Q$71+Q$74+Q$76+Q$77+Q$97+Q$98,0)+IF(YEAR(Q$8)=YEAR($AK187),Q$122-P$128-Q$122*DASHBOARD!$BD$27)+IF(YEAR(Q$8)&lt;YEAR($AK187),DEBT!P$14,0),0)</f>
        <v>0</v>
      </c>
      <c r="R187" s="134">
        <f>IFERROR(IF(YEAR(R$8)&lt;=YEAR($AK187),R$71+R$74+R$76+R$77+R$97+R$98,0)+IF(YEAR(R$8)=YEAR($AK187),R$122-Q$128-R$122*DASHBOARD!$BD$27)+IF(YEAR(R$8)&lt;YEAR($AK187),DEBT!Q$14,0),0)</f>
        <v>0</v>
      </c>
      <c r="S187" s="134">
        <f>IFERROR(IF(YEAR(S$8)&lt;=YEAR($AK187),S$71+S$74+S$76+S$77+S$97+S$98,0)+IF(YEAR(S$8)=YEAR($AK187),S$122-R$128-S$122*DASHBOARD!$BD$27)+IF(YEAR(S$8)&lt;YEAR($AK187),DEBT!R$14,0),0)</f>
        <v>0</v>
      </c>
      <c r="T187" s="134">
        <f>IFERROR(IF(YEAR(T$8)&lt;=YEAR($AK187),T$71+T$74+T$76+T$77+T$97+T$98,0)+IF(YEAR(T$8)=YEAR($AK187),T$122-S$128-T$122*DASHBOARD!$BD$27)+IF(YEAR(T$8)&lt;YEAR($AK187),DEBT!S$14,0),0)</f>
        <v>0</v>
      </c>
      <c r="U187" s="134">
        <f>IFERROR(IF(YEAR(U$8)&lt;=YEAR($AK187),U$71+U$74+U$76+U$77+U$97+U$98,0)+IF(YEAR(U$8)=YEAR($AK187),U$122-T$128-U$122*DASHBOARD!$BD$27)+IF(YEAR(U$8)&lt;YEAR($AK187),DEBT!T$14,0),0)</f>
        <v>0</v>
      </c>
      <c r="V187" s="134">
        <f>IFERROR(IF(YEAR(V$8)&lt;=YEAR($AK187),V$71+V$74+V$76+V$77+V$97+V$98,0)+IF(YEAR(V$8)=YEAR($AK187),V$122-U$128-V$122*DASHBOARD!$BD$27)+IF(YEAR(V$8)&lt;YEAR($AK187),DEBT!U$14,0),0)</f>
        <v>0</v>
      </c>
      <c r="W187" s="134">
        <f>IFERROR(IF(YEAR(W$8)&lt;=YEAR($AK187),W$71+W$74+W$76+W$77+W$97+W$98,0)+IF(YEAR(W$8)=YEAR($AK187),W$122-V$128-W$122*DASHBOARD!$BD$27)+IF(YEAR(W$8)&lt;YEAR($AK187),DEBT!V$14,0),0)</f>
        <v>0</v>
      </c>
      <c r="X187" s="134">
        <f>IFERROR(IF(YEAR(X$8)&lt;=YEAR($AK187),X$71+X$74+X$76+X$77+X$97+X$98,0)+IF(YEAR(X$8)=YEAR($AK187),X$122-W$128-X$122*DASHBOARD!$BD$27)+IF(YEAR(X$8)&lt;YEAR($AK187),DEBT!W$14,0),0)</f>
        <v>0</v>
      </c>
      <c r="Y187" s="134">
        <f>IFERROR(IF(YEAR(Y$8)&lt;=YEAR($AK187),Y$71+Y$74+Y$76+Y$77+Y$97+Y$98,0)+IF(YEAR(Y$8)=YEAR($AK187),Y$122-X$128-Y$122*DASHBOARD!$BD$27)+IF(YEAR(Y$8)&lt;YEAR($AK187),DEBT!X$14,0),0)</f>
        <v>0</v>
      </c>
      <c r="Z187" s="134">
        <f>IFERROR(IF(YEAR(Z$8)&lt;=YEAR($AK187),Z$71+Z$74+Z$76+Z$77+Z$97+Z$98,0)+IF(YEAR(Z$8)=YEAR($AK187),Z$122-Y$128-Z$122*DASHBOARD!$BD$27)+IF(YEAR(Z$8)&lt;YEAR($AK187),DEBT!Y$14,0),0)</f>
        <v>0</v>
      </c>
      <c r="AA187" s="134">
        <f>IFERROR(IF(YEAR(AA$8)&lt;=YEAR($AK187),AA$71+AA$74+AA$76+AA$77+AA$97+AA$98,0)+IF(YEAR(AA$8)=YEAR($AK187),AA$122-Z$128-AA$122*DASHBOARD!$BD$27)+IF(YEAR(AA$8)&lt;YEAR($AK187),DEBT!Z$14,0),0)</f>
        <v>0</v>
      </c>
      <c r="AB187" s="134">
        <f>IFERROR(IF(YEAR(AB$8)&lt;=YEAR($AK187),AB$71+AB$74+AB$76+AB$77+AB$97+AB$98,0)+IF(YEAR(AB$8)=YEAR($AK187),AB$122-AA$128-AB$122*DASHBOARD!$BD$27)+IF(YEAR(AB$8)&lt;YEAR($AK187),DEBT!AA$14,0),0)</f>
        <v>0</v>
      </c>
      <c r="AC187" s="134">
        <f>IFERROR(IF(YEAR(AC$8)&lt;=YEAR($AK187),AC$71+AC$74+AC$76+AC$77+AC$97+AC$98,0)+IF(YEAR(AC$8)=YEAR($AK187),AC$122-AB$128-AC$122*DASHBOARD!$BD$27)+IF(YEAR(AC$8)&lt;YEAR($AK187),DEBT!AB$14,0),0)</f>
        <v>0</v>
      </c>
      <c r="AD187" s="134">
        <f>IFERROR(IF(YEAR(AD$8)&lt;=YEAR($AK187),AD$71+AD$74+AD$76+AD$77+AD$97+AD$98,0)+IF(YEAR(AD$8)=YEAR($AK187),AD$122-AC$128-AD$122*DASHBOARD!$BD$27)+IF(YEAR(AD$8)&lt;YEAR($AK187),DEBT!AC$14,0),0)</f>
        <v>0</v>
      </c>
      <c r="AE187" s="134">
        <f>IFERROR(IF(YEAR(AE$8)&lt;=YEAR($AK187),AE$71+AE$74+AE$76+AE$77+AE$97+AE$98,0)+IF(YEAR(AE$8)=YEAR($AK187),AE$122-AD$128-AE$122*DASHBOARD!$BD$27)+IF(YEAR(AE$8)&lt;YEAR($AK187),DEBT!AD$14,0),0)</f>
        <v>0</v>
      </c>
      <c r="AF187" s="134">
        <f>IFERROR(IF(YEAR(AF$8)&lt;=YEAR($AK187),AF$71+AF$74+AF$76+AF$77+AF$97+AF$98,0)+IF(YEAR(AF$8)=YEAR($AK187),AF$122-AE$128-AF$122*DASHBOARD!$BD$27)+IF(YEAR(AF$8)&lt;YEAR($AK187),DEBT!AE$14,0),0)</f>
        <v>0</v>
      </c>
      <c r="AG187" s="134">
        <f>IFERROR(IF(YEAR(AG$8)&lt;=YEAR($AK187),AG$71+AG$74+AG$76+AG$77+AG$97+AG$98,0)+IF(YEAR(AG$8)=YEAR($AK187),AG$122-AF$128-AG$122*DASHBOARD!$BD$27)+IF(YEAR(AG$8)&lt;YEAR($AK187),DEBT!AF$14,0),0)</f>
        <v>0</v>
      </c>
      <c r="AH187" s="134">
        <f>IFERROR(IF(YEAR(AH$8)&lt;=YEAR($AK187),AH$71+AH$74+AH$76+AH$77+AH$97+AH$98,0)+IF(YEAR(AH$8)=YEAR($AK187),AH$122-AG$128-AH$122*DASHBOARD!$BD$27)+IF(YEAR(AH$8)&lt;YEAR($AK187),DEBT!AG$14,0),0)</f>
        <v>0</v>
      </c>
      <c r="AI187" s="242">
        <f>IFERROR(IF(YEAR(AI$8)&lt;=YEAR($AK187),AI$71+AI$74+AI$76+AI$77+AI$97+AI$98,0)+IF(YEAR(AI$8)=YEAR($AK187),AI$122-AH$128-AI$122*DASHBOARD!$BD$27)+IF(YEAR(AI$8)&lt;YEAR($AK187),DEBT!AH$14,0),0)</f>
        <v>0</v>
      </c>
      <c r="AJ187" s="1605"/>
      <c r="AK187" s="1704">
        <f t="shared" si="68"/>
        <v>54270</v>
      </c>
      <c r="AL187" s="450">
        <f t="shared" si="67"/>
        <v>0</v>
      </c>
      <c r="AM187" s="450">
        <f t="shared" si="69"/>
        <v>23</v>
      </c>
    </row>
    <row r="188" spans="2:39" s="289" customFormat="1" outlineLevel="1" x14ac:dyDescent="0.3">
      <c r="B188" s="267" t="str">
        <f t="shared" si="65"/>
        <v>n.a</v>
      </c>
      <c r="C188" s="1598" t="str">
        <f ca="1">IFERROR(MIRR(D188:OFFSET(D188,0,AL188),0%,DASHBOARD!$AD$83),"n.a")</f>
        <v>n.a</v>
      </c>
      <c r="D188" s="241">
        <f t="shared" si="66"/>
        <v>-7049.3458498885448</v>
      </c>
      <c r="E188" s="129">
        <f>IFERROR(IF(YEAR(E$8)&lt;=YEAR($AK188),E$71+E$74+E$76+E$77+E$97+E$98,0)+IF(YEAR(E$8)=YEAR($AK188),E$122-D$128-E$122*DASHBOARD!$BD$27)+IF(YEAR(E$8)&lt;YEAR($AK188),DEBT!D$14,0),0)</f>
        <v>0</v>
      </c>
      <c r="F188" s="134">
        <f>IFERROR(IF(YEAR(F$8)&lt;=YEAR($AK188),F$71+F$74+F$76+F$77+F$97+F$98,0)+IF(YEAR(F$8)=YEAR($AK188),F$122-E$128-F$122*DASHBOARD!$BD$27)+IF(YEAR(F$8)&lt;YEAR($AK188),DEBT!E$14,0),0)</f>
        <v>0</v>
      </c>
      <c r="G188" s="134">
        <f>IFERROR(IF(YEAR(G$8)&lt;=YEAR($AK188),G$71+G$74+G$76+G$77+G$97+G$98,0)+IF(YEAR(G$8)=YEAR($AK188),G$122-F$128-G$122*DASHBOARD!$BD$27)+IF(YEAR(G$8)&lt;YEAR($AK188),DEBT!F$14,0),0)</f>
        <v>0</v>
      </c>
      <c r="H188" s="134">
        <f>IFERROR(IF(YEAR(H$8)&lt;=YEAR($AK188),H$71+H$74+H$76+H$77+H$97+H$98,0)+IF(YEAR(H$8)=YEAR($AK188),H$122-G$128-H$122*DASHBOARD!$BD$27)+IF(YEAR(H$8)&lt;YEAR($AK188),DEBT!G$14,0),0)</f>
        <v>0</v>
      </c>
      <c r="I188" s="134">
        <f>IFERROR(IF(YEAR(I$8)&lt;=YEAR($AK188),I$71+I$74+I$76+I$77+I$97+I$98,0)+IF(YEAR(I$8)=YEAR($AK188),I$122-H$128-I$122*DASHBOARD!$BD$27)+IF(YEAR(I$8)&lt;YEAR($AK188),DEBT!H$14,0),0)</f>
        <v>0</v>
      </c>
      <c r="J188" s="134">
        <f>IFERROR(IF(YEAR(J$8)&lt;=YEAR($AK188),J$71+J$74+J$76+J$77+J$97+J$98,0)+IF(YEAR(J$8)=YEAR($AK188),J$122-I$128-J$122*DASHBOARD!$BD$27)+IF(YEAR(J$8)&lt;YEAR($AK188),DEBT!I$14,0),0)</f>
        <v>0</v>
      </c>
      <c r="K188" s="134">
        <f>IFERROR(IF(YEAR(K$8)&lt;=YEAR($AK188),K$71+K$74+K$76+K$77+K$97+K$98,0)+IF(YEAR(K$8)=YEAR($AK188),K$122-J$128-K$122*DASHBOARD!$BD$27)+IF(YEAR(K$8)&lt;YEAR($AK188),DEBT!J$14,0),0)</f>
        <v>0</v>
      </c>
      <c r="L188" s="134">
        <f>IFERROR(IF(YEAR(L$8)&lt;=YEAR($AK188),L$71+L$74+L$76+L$77+L$97+L$98,0)+IF(YEAR(L$8)=YEAR($AK188),L$122-K$128-L$122*DASHBOARD!$BD$27)+IF(YEAR(L$8)&lt;YEAR($AK188),DEBT!K$14,0),0)</f>
        <v>0</v>
      </c>
      <c r="M188" s="134">
        <f>IFERROR(IF(YEAR(M$8)&lt;=YEAR($AK188),M$71+M$74+M$76+M$77+M$97+M$98,0)+IF(YEAR(M$8)=YEAR($AK188),M$122-L$128-M$122*DASHBOARD!$BD$27)+IF(YEAR(M$8)&lt;YEAR($AK188),DEBT!L$14,0),0)</f>
        <v>0</v>
      </c>
      <c r="N188" s="134">
        <f>IFERROR(IF(YEAR(N$8)&lt;=YEAR($AK188),N$71+N$74+N$76+N$77+N$97+N$98,0)+IF(YEAR(N$8)=YEAR($AK188),N$122-M$128-N$122*DASHBOARD!$BD$27)+IF(YEAR(N$8)&lt;YEAR($AK188),DEBT!M$14,0),0)</f>
        <v>0</v>
      </c>
      <c r="O188" s="134">
        <f>IFERROR(IF(YEAR(O$8)&lt;=YEAR($AK188),O$71+O$74+O$76+O$77+O$97+O$98,0)+IF(YEAR(O$8)=YEAR($AK188),O$122-N$128-O$122*DASHBOARD!$BD$27)+IF(YEAR(O$8)&lt;YEAR($AK188),DEBT!N$14,0),0)</f>
        <v>0</v>
      </c>
      <c r="P188" s="134">
        <f>IFERROR(IF(YEAR(P$8)&lt;=YEAR($AK188),P$71+P$74+P$76+P$77+P$97+P$98,0)+IF(YEAR(P$8)=YEAR($AK188),P$122-O$128-P$122*DASHBOARD!$BD$27)+IF(YEAR(P$8)&lt;YEAR($AK188),DEBT!O$14,0),0)</f>
        <v>0</v>
      </c>
      <c r="Q188" s="134">
        <f>IFERROR(IF(YEAR(Q$8)&lt;=YEAR($AK188),Q$71+Q$74+Q$76+Q$77+Q$97+Q$98,0)+IF(YEAR(Q$8)=YEAR($AK188),Q$122-P$128-Q$122*DASHBOARD!$BD$27)+IF(YEAR(Q$8)&lt;YEAR($AK188),DEBT!P$14,0),0)</f>
        <v>0</v>
      </c>
      <c r="R188" s="134">
        <f>IFERROR(IF(YEAR(R$8)&lt;=YEAR($AK188),R$71+R$74+R$76+R$77+R$97+R$98,0)+IF(YEAR(R$8)=YEAR($AK188),R$122-Q$128-R$122*DASHBOARD!$BD$27)+IF(YEAR(R$8)&lt;YEAR($AK188),DEBT!Q$14,0),0)</f>
        <v>0</v>
      </c>
      <c r="S188" s="134">
        <f>IFERROR(IF(YEAR(S$8)&lt;=YEAR($AK188),S$71+S$74+S$76+S$77+S$97+S$98,0)+IF(YEAR(S$8)=YEAR($AK188),S$122-R$128-S$122*DASHBOARD!$BD$27)+IF(YEAR(S$8)&lt;YEAR($AK188),DEBT!R$14,0),0)</f>
        <v>0</v>
      </c>
      <c r="T188" s="134">
        <f>IFERROR(IF(YEAR(T$8)&lt;=YEAR($AK188),T$71+T$74+T$76+T$77+T$97+T$98,0)+IF(YEAR(T$8)=YEAR($AK188),T$122-S$128-T$122*DASHBOARD!$BD$27)+IF(YEAR(T$8)&lt;YEAR($AK188),DEBT!S$14,0),0)</f>
        <v>0</v>
      </c>
      <c r="U188" s="134">
        <f>IFERROR(IF(YEAR(U$8)&lt;=YEAR($AK188),U$71+U$74+U$76+U$77+U$97+U$98,0)+IF(YEAR(U$8)=YEAR($AK188),U$122-T$128-U$122*DASHBOARD!$BD$27)+IF(YEAR(U$8)&lt;YEAR($AK188),DEBT!T$14,0),0)</f>
        <v>0</v>
      </c>
      <c r="V188" s="134">
        <f>IFERROR(IF(YEAR(V$8)&lt;=YEAR($AK188),V$71+V$74+V$76+V$77+V$97+V$98,0)+IF(YEAR(V$8)=YEAR($AK188),V$122-U$128-V$122*DASHBOARD!$BD$27)+IF(YEAR(V$8)&lt;YEAR($AK188),DEBT!U$14,0),0)</f>
        <v>0</v>
      </c>
      <c r="W188" s="134">
        <f>IFERROR(IF(YEAR(W$8)&lt;=YEAR($AK188),W$71+W$74+W$76+W$77+W$97+W$98,0)+IF(YEAR(W$8)=YEAR($AK188),W$122-V$128-W$122*DASHBOARD!$BD$27)+IF(YEAR(W$8)&lt;YEAR($AK188),DEBT!V$14,0),0)</f>
        <v>0</v>
      </c>
      <c r="X188" s="134">
        <f>IFERROR(IF(YEAR(X$8)&lt;=YEAR($AK188),X$71+X$74+X$76+X$77+X$97+X$98,0)+IF(YEAR(X$8)=YEAR($AK188),X$122-W$128-X$122*DASHBOARD!$BD$27)+IF(YEAR(X$8)&lt;YEAR($AK188),DEBT!W$14,0),0)</f>
        <v>0</v>
      </c>
      <c r="Y188" s="134">
        <f>IFERROR(IF(YEAR(Y$8)&lt;=YEAR($AK188),Y$71+Y$74+Y$76+Y$77+Y$97+Y$98,0)+IF(YEAR(Y$8)=YEAR($AK188),Y$122-X$128-Y$122*DASHBOARD!$BD$27)+IF(YEAR(Y$8)&lt;YEAR($AK188),DEBT!X$14,0),0)</f>
        <v>0</v>
      </c>
      <c r="Z188" s="134">
        <f>IFERROR(IF(YEAR(Z$8)&lt;=YEAR($AK188),Z$71+Z$74+Z$76+Z$77+Z$97+Z$98,0)+IF(YEAR(Z$8)=YEAR($AK188),Z$122-Y$128-Z$122*DASHBOARD!$BD$27)+IF(YEAR(Z$8)&lt;YEAR($AK188),DEBT!Y$14,0),0)</f>
        <v>0</v>
      </c>
      <c r="AA188" s="134">
        <f>IFERROR(IF(YEAR(AA$8)&lt;=YEAR($AK188),AA$71+AA$74+AA$76+AA$77+AA$97+AA$98,0)+IF(YEAR(AA$8)=YEAR($AK188),AA$122-Z$128-AA$122*DASHBOARD!$BD$27)+IF(YEAR(AA$8)&lt;YEAR($AK188),DEBT!Z$14,0),0)</f>
        <v>0</v>
      </c>
      <c r="AB188" s="134">
        <f>IFERROR(IF(YEAR(AB$8)&lt;=YEAR($AK188),AB$71+AB$74+AB$76+AB$77+AB$97+AB$98,0)+IF(YEAR(AB$8)=YEAR($AK188),AB$122-AA$128-AB$122*DASHBOARD!$BD$27)+IF(YEAR(AB$8)&lt;YEAR($AK188),DEBT!AA$14,0),0)</f>
        <v>0</v>
      </c>
      <c r="AC188" s="134">
        <f>IFERROR(IF(YEAR(AC$8)&lt;=YEAR($AK188),AC$71+AC$74+AC$76+AC$77+AC$97+AC$98,0)+IF(YEAR(AC$8)=YEAR($AK188),AC$122-AB$128-AC$122*DASHBOARD!$BD$27)+IF(YEAR(AC$8)&lt;YEAR($AK188),DEBT!AB$14,0),0)</f>
        <v>0</v>
      </c>
      <c r="AD188" s="134">
        <f>IFERROR(IF(YEAR(AD$8)&lt;=YEAR($AK188),AD$71+AD$74+AD$76+AD$77+AD$97+AD$98,0)+IF(YEAR(AD$8)=YEAR($AK188),AD$122-AC$128-AD$122*DASHBOARD!$BD$27)+IF(YEAR(AD$8)&lt;YEAR($AK188),DEBT!AC$14,0),0)</f>
        <v>0</v>
      </c>
      <c r="AE188" s="134">
        <f>IFERROR(IF(YEAR(AE$8)&lt;=YEAR($AK188),AE$71+AE$74+AE$76+AE$77+AE$97+AE$98,0)+IF(YEAR(AE$8)=YEAR($AK188),AE$122-AD$128-AE$122*DASHBOARD!$BD$27)+IF(YEAR(AE$8)&lt;YEAR($AK188),DEBT!AD$14,0),0)</f>
        <v>0</v>
      </c>
      <c r="AF188" s="134">
        <f>IFERROR(IF(YEAR(AF$8)&lt;=YEAR($AK188),AF$71+AF$74+AF$76+AF$77+AF$97+AF$98,0)+IF(YEAR(AF$8)=YEAR($AK188),AF$122-AE$128-AF$122*DASHBOARD!$BD$27)+IF(YEAR(AF$8)&lt;YEAR($AK188),DEBT!AE$14,0),0)</f>
        <v>0</v>
      </c>
      <c r="AG188" s="134">
        <f>IFERROR(IF(YEAR(AG$8)&lt;=YEAR($AK188),AG$71+AG$74+AG$76+AG$77+AG$97+AG$98,0)+IF(YEAR(AG$8)=YEAR($AK188),AG$122-AF$128-AG$122*DASHBOARD!$BD$27)+IF(YEAR(AG$8)&lt;YEAR($AK188),DEBT!AF$14,0),0)</f>
        <v>0</v>
      </c>
      <c r="AH188" s="134">
        <f>IFERROR(IF(YEAR(AH$8)&lt;=YEAR($AK188),AH$71+AH$74+AH$76+AH$77+AH$97+AH$98,0)+IF(YEAR(AH$8)=YEAR($AK188),AH$122-AG$128-AH$122*DASHBOARD!$BD$27)+IF(YEAR(AH$8)&lt;YEAR($AK188),DEBT!AG$14,0),0)</f>
        <v>0</v>
      </c>
      <c r="AI188" s="242">
        <f>IFERROR(IF(YEAR(AI$8)&lt;=YEAR($AK188),AI$71+AI$74+AI$76+AI$77+AI$97+AI$98,0)+IF(YEAR(AI$8)=YEAR($AK188),AI$122-AH$128-AI$122*DASHBOARD!$BD$27)+IF(YEAR(AI$8)&lt;YEAR($AK188),DEBT!AH$14,0),0)</f>
        <v>0</v>
      </c>
      <c r="AJ188" s="1605"/>
      <c r="AK188" s="1704">
        <f t="shared" si="68"/>
        <v>54635</v>
      </c>
      <c r="AL188" s="450">
        <f t="shared" si="67"/>
        <v>0</v>
      </c>
      <c r="AM188" s="450">
        <f t="shared" si="69"/>
        <v>24</v>
      </c>
    </row>
    <row r="189" spans="2:39" s="289" customFormat="1" outlineLevel="1" x14ac:dyDescent="0.3">
      <c r="B189" s="267" t="str">
        <f t="shared" si="65"/>
        <v>n.a</v>
      </c>
      <c r="C189" s="1598" t="str">
        <f ca="1">IFERROR(MIRR(D189:OFFSET(D189,0,AL189),0%,DASHBOARD!$AD$83),"n.a")</f>
        <v>n.a</v>
      </c>
      <c r="D189" s="241">
        <f t="shared" si="66"/>
        <v>-7049.3458498885448</v>
      </c>
      <c r="E189" s="129">
        <f>IFERROR(IF(YEAR(E$8)&lt;=YEAR($AK189),E$71+E$74+E$76+E$77+E$97+E$98,0)+IF(YEAR(E$8)=YEAR($AK189),E$122-D$128-E$122*DASHBOARD!$BD$27)+IF(YEAR(E$8)&lt;YEAR($AK189),DEBT!D$14,0),0)</f>
        <v>0</v>
      </c>
      <c r="F189" s="134">
        <f>IFERROR(IF(YEAR(F$8)&lt;=YEAR($AK189),F$71+F$74+F$76+F$77+F$97+F$98,0)+IF(YEAR(F$8)=YEAR($AK189),F$122-E$128-F$122*DASHBOARD!$BD$27)+IF(YEAR(F$8)&lt;YEAR($AK189),DEBT!E$14,0),0)</f>
        <v>0</v>
      </c>
      <c r="G189" s="134">
        <f>IFERROR(IF(YEAR(G$8)&lt;=YEAR($AK189),G$71+G$74+G$76+G$77+G$97+G$98,0)+IF(YEAR(G$8)=YEAR($AK189),G$122-F$128-G$122*DASHBOARD!$BD$27)+IF(YEAR(G$8)&lt;YEAR($AK189),DEBT!F$14,0),0)</f>
        <v>0</v>
      </c>
      <c r="H189" s="134">
        <f>IFERROR(IF(YEAR(H$8)&lt;=YEAR($AK189),H$71+H$74+H$76+H$77+H$97+H$98,0)+IF(YEAR(H$8)=YEAR($AK189),H$122-G$128-H$122*DASHBOARD!$BD$27)+IF(YEAR(H$8)&lt;YEAR($AK189),DEBT!G$14,0),0)</f>
        <v>0</v>
      </c>
      <c r="I189" s="134">
        <f>IFERROR(IF(YEAR(I$8)&lt;=YEAR($AK189),I$71+I$74+I$76+I$77+I$97+I$98,0)+IF(YEAR(I$8)=YEAR($AK189),I$122-H$128-I$122*DASHBOARD!$BD$27)+IF(YEAR(I$8)&lt;YEAR($AK189),DEBT!H$14,0),0)</f>
        <v>0</v>
      </c>
      <c r="J189" s="134">
        <f>IFERROR(IF(YEAR(J$8)&lt;=YEAR($AK189),J$71+J$74+J$76+J$77+J$97+J$98,0)+IF(YEAR(J$8)=YEAR($AK189),J$122-I$128-J$122*DASHBOARD!$BD$27)+IF(YEAR(J$8)&lt;YEAR($AK189),DEBT!I$14,0),0)</f>
        <v>0</v>
      </c>
      <c r="K189" s="134">
        <f>IFERROR(IF(YEAR(K$8)&lt;=YEAR($AK189),K$71+K$74+K$76+K$77+K$97+K$98,0)+IF(YEAR(K$8)=YEAR($AK189),K$122-J$128-K$122*DASHBOARD!$BD$27)+IF(YEAR(K$8)&lt;YEAR($AK189),DEBT!J$14,0),0)</f>
        <v>0</v>
      </c>
      <c r="L189" s="134">
        <f>IFERROR(IF(YEAR(L$8)&lt;=YEAR($AK189),L$71+L$74+L$76+L$77+L$97+L$98,0)+IF(YEAR(L$8)=YEAR($AK189),L$122-K$128-L$122*DASHBOARD!$BD$27)+IF(YEAR(L$8)&lt;YEAR($AK189),DEBT!K$14,0),0)</f>
        <v>0</v>
      </c>
      <c r="M189" s="134">
        <f>IFERROR(IF(YEAR(M$8)&lt;=YEAR($AK189),M$71+M$74+M$76+M$77+M$97+M$98,0)+IF(YEAR(M$8)=YEAR($AK189),M$122-L$128-M$122*DASHBOARD!$BD$27)+IF(YEAR(M$8)&lt;YEAR($AK189),DEBT!L$14,0),0)</f>
        <v>0</v>
      </c>
      <c r="N189" s="134">
        <f>IFERROR(IF(YEAR(N$8)&lt;=YEAR($AK189),N$71+N$74+N$76+N$77+N$97+N$98,0)+IF(YEAR(N$8)=YEAR($AK189),N$122-M$128-N$122*DASHBOARD!$BD$27)+IF(YEAR(N$8)&lt;YEAR($AK189),DEBT!M$14,0),0)</f>
        <v>0</v>
      </c>
      <c r="O189" s="134">
        <f>IFERROR(IF(YEAR(O$8)&lt;=YEAR($AK189),O$71+O$74+O$76+O$77+O$97+O$98,0)+IF(YEAR(O$8)=YEAR($AK189),O$122-N$128-O$122*DASHBOARD!$BD$27)+IF(YEAR(O$8)&lt;YEAR($AK189),DEBT!N$14,0),0)</f>
        <v>0</v>
      </c>
      <c r="P189" s="134">
        <f>IFERROR(IF(YEAR(P$8)&lt;=YEAR($AK189),P$71+P$74+P$76+P$77+P$97+P$98,0)+IF(YEAR(P$8)=YEAR($AK189),P$122-O$128-P$122*DASHBOARD!$BD$27)+IF(YEAR(P$8)&lt;YEAR($AK189),DEBT!O$14,0),0)</f>
        <v>0</v>
      </c>
      <c r="Q189" s="134">
        <f>IFERROR(IF(YEAR(Q$8)&lt;=YEAR($AK189),Q$71+Q$74+Q$76+Q$77+Q$97+Q$98,0)+IF(YEAR(Q$8)=YEAR($AK189),Q$122-P$128-Q$122*DASHBOARD!$BD$27)+IF(YEAR(Q$8)&lt;YEAR($AK189),DEBT!P$14,0),0)</f>
        <v>0</v>
      </c>
      <c r="R189" s="134">
        <f>IFERROR(IF(YEAR(R$8)&lt;=YEAR($AK189),R$71+R$74+R$76+R$77+R$97+R$98,0)+IF(YEAR(R$8)=YEAR($AK189),R$122-Q$128-R$122*DASHBOARD!$BD$27)+IF(YEAR(R$8)&lt;YEAR($AK189),DEBT!Q$14,0),0)</f>
        <v>0</v>
      </c>
      <c r="S189" s="134">
        <f>IFERROR(IF(YEAR(S$8)&lt;=YEAR($AK189),S$71+S$74+S$76+S$77+S$97+S$98,0)+IF(YEAR(S$8)=YEAR($AK189),S$122-R$128-S$122*DASHBOARD!$BD$27)+IF(YEAR(S$8)&lt;YEAR($AK189),DEBT!R$14,0),0)</f>
        <v>0</v>
      </c>
      <c r="T189" s="134">
        <f>IFERROR(IF(YEAR(T$8)&lt;=YEAR($AK189),T$71+T$74+T$76+T$77+T$97+T$98,0)+IF(YEAR(T$8)=YEAR($AK189),T$122-S$128-T$122*DASHBOARD!$BD$27)+IF(YEAR(T$8)&lt;YEAR($AK189),DEBT!S$14,0),0)</f>
        <v>0</v>
      </c>
      <c r="U189" s="134">
        <f>IFERROR(IF(YEAR(U$8)&lt;=YEAR($AK189),U$71+U$74+U$76+U$77+U$97+U$98,0)+IF(YEAR(U$8)=YEAR($AK189),U$122-T$128-U$122*DASHBOARD!$BD$27)+IF(YEAR(U$8)&lt;YEAR($AK189),DEBT!T$14,0),0)</f>
        <v>0</v>
      </c>
      <c r="V189" s="134">
        <f>IFERROR(IF(YEAR(V$8)&lt;=YEAR($AK189),V$71+V$74+V$76+V$77+V$97+V$98,0)+IF(YEAR(V$8)=YEAR($AK189),V$122-U$128-V$122*DASHBOARD!$BD$27)+IF(YEAR(V$8)&lt;YEAR($AK189),DEBT!U$14,0),0)</f>
        <v>0</v>
      </c>
      <c r="W189" s="134">
        <f>IFERROR(IF(YEAR(W$8)&lt;=YEAR($AK189),W$71+W$74+W$76+W$77+W$97+W$98,0)+IF(YEAR(W$8)=YEAR($AK189),W$122-V$128-W$122*DASHBOARD!$BD$27)+IF(YEAR(W$8)&lt;YEAR($AK189),DEBT!V$14,0),0)</f>
        <v>0</v>
      </c>
      <c r="X189" s="134">
        <f>IFERROR(IF(YEAR(X$8)&lt;=YEAR($AK189),X$71+X$74+X$76+X$77+X$97+X$98,0)+IF(YEAR(X$8)=YEAR($AK189),X$122-W$128-X$122*DASHBOARD!$BD$27)+IF(YEAR(X$8)&lt;YEAR($AK189),DEBT!W$14,0),0)</f>
        <v>0</v>
      </c>
      <c r="Y189" s="134">
        <f>IFERROR(IF(YEAR(Y$8)&lt;=YEAR($AK189),Y$71+Y$74+Y$76+Y$77+Y$97+Y$98,0)+IF(YEAR(Y$8)=YEAR($AK189),Y$122-X$128-Y$122*DASHBOARD!$BD$27)+IF(YEAR(Y$8)&lt;YEAR($AK189),DEBT!X$14,0),0)</f>
        <v>0</v>
      </c>
      <c r="Z189" s="134">
        <f>IFERROR(IF(YEAR(Z$8)&lt;=YEAR($AK189),Z$71+Z$74+Z$76+Z$77+Z$97+Z$98,0)+IF(YEAR(Z$8)=YEAR($AK189),Z$122-Y$128-Z$122*DASHBOARD!$BD$27)+IF(YEAR(Z$8)&lt;YEAR($AK189),DEBT!Y$14,0),0)</f>
        <v>0</v>
      </c>
      <c r="AA189" s="134">
        <f>IFERROR(IF(YEAR(AA$8)&lt;=YEAR($AK189),AA$71+AA$74+AA$76+AA$77+AA$97+AA$98,0)+IF(YEAR(AA$8)=YEAR($AK189),AA$122-Z$128-AA$122*DASHBOARD!$BD$27)+IF(YEAR(AA$8)&lt;YEAR($AK189),DEBT!Z$14,0),0)</f>
        <v>0</v>
      </c>
      <c r="AB189" s="134">
        <f>IFERROR(IF(YEAR(AB$8)&lt;=YEAR($AK189),AB$71+AB$74+AB$76+AB$77+AB$97+AB$98,0)+IF(YEAR(AB$8)=YEAR($AK189),AB$122-AA$128-AB$122*DASHBOARD!$BD$27)+IF(YEAR(AB$8)&lt;YEAR($AK189),DEBT!AA$14,0),0)</f>
        <v>0</v>
      </c>
      <c r="AC189" s="134">
        <f>IFERROR(IF(YEAR(AC$8)&lt;=YEAR($AK189),AC$71+AC$74+AC$76+AC$77+AC$97+AC$98,0)+IF(YEAR(AC$8)=YEAR($AK189),AC$122-AB$128-AC$122*DASHBOARD!$BD$27)+IF(YEAR(AC$8)&lt;YEAR($AK189),DEBT!AB$14,0),0)</f>
        <v>0</v>
      </c>
      <c r="AD189" s="134">
        <f>IFERROR(IF(YEAR(AD$8)&lt;=YEAR($AK189),AD$71+AD$74+AD$76+AD$77+AD$97+AD$98,0)+IF(YEAR(AD$8)=YEAR($AK189),AD$122-AC$128-AD$122*DASHBOARD!$BD$27)+IF(YEAR(AD$8)&lt;YEAR($AK189),DEBT!AC$14,0),0)</f>
        <v>0</v>
      </c>
      <c r="AE189" s="134">
        <f>IFERROR(IF(YEAR(AE$8)&lt;=YEAR($AK189),AE$71+AE$74+AE$76+AE$77+AE$97+AE$98,0)+IF(YEAR(AE$8)=YEAR($AK189),AE$122-AD$128-AE$122*DASHBOARD!$BD$27)+IF(YEAR(AE$8)&lt;YEAR($AK189),DEBT!AD$14,0),0)</f>
        <v>0</v>
      </c>
      <c r="AF189" s="134">
        <f>IFERROR(IF(YEAR(AF$8)&lt;=YEAR($AK189),AF$71+AF$74+AF$76+AF$77+AF$97+AF$98,0)+IF(YEAR(AF$8)=YEAR($AK189),AF$122-AE$128-AF$122*DASHBOARD!$BD$27)+IF(YEAR(AF$8)&lt;YEAR($AK189),DEBT!AE$14,0),0)</f>
        <v>0</v>
      </c>
      <c r="AG189" s="134">
        <f>IFERROR(IF(YEAR(AG$8)&lt;=YEAR($AK189),AG$71+AG$74+AG$76+AG$77+AG$97+AG$98,0)+IF(YEAR(AG$8)=YEAR($AK189),AG$122-AF$128-AG$122*DASHBOARD!$BD$27)+IF(YEAR(AG$8)&lt;YEAR($AK189),DEBT!AF$14,0),0)</f>
        <v>0</v>
      </c>
      <c r="AH189" s="134">
        <f>IFERROR(IF(YEAR(AH$8)&lt;=YEAR($AK189),AH$71+AH$74+AH$76+AH$77+AH$97+AH$98,0)+IF(YEAR(AH$8)=YEAR($AK189),AH$122-AG$128-AH$122*DASHBOARD!$BD$27)+IF(YEAR(AH$8)&lt;YEAR($AK189),DEBT!AG$14,0),0)</f>
        <v>0</v>
      </c>
      <c r="AI189" s="242">
        <f>IFERROR(IF(YEAR(AI$8)&lt;=YEAR($AK189),AI$71+AI$74+AI$76+AI$77+AI$97+AI$98,0)+IF(YEAR(AI$8)=YEAR($AK189),AI$122-AH$128-AI$122*DASHBOARD!$BD$27)+IF(YEAR(AI$8)&lt;YEAR($AK189),DEBT!AH$14,0),0)</f>
        <v>0</v>
      </c>
      <c r="AJ189" s="1605"/>
      <c r="AK189" s="1704">
        <f t="shared" si="68"/>
        <v>55000</v>
      </c>
      <c r="AL189" s="450">
        <f t="shared" si="67"/>
        <v>0</v>
      </c>
      <c r="AM189" s="450">
        <f t="shared" si="69"/>
        <v>25</v>
      </c>
    </row>
    <row r="190" spans="2:39" s="289" customFormat="1" outlineLevel="1" x14ac:dyDescent="0.3">
      <c r="B190" s="267" t="str">
        <f t="shared" si="65"/>
        <v>n.a</v>
      </c>
      <c r="C190" s="1598" t="str">
        <f ca="1">IFERROR(MIRR(D190:OFFSET(D190,0,AL190),0%,DASHBOARD!$AD$83),"n.a")</f>
        <v>n.a</v>
      </c>
      <c r="D190" s="241">
        <f t="shared" si="66"/>
        <v>-7049.3458498885448</v>
      </c>
      <c r="E190" s="129">
        <f>IFERROR(IF(YEAR(E$8)&lt;=YEAR($AK190),E$71+E$74+E$76+E$77+E$97+E$98,0)+IF(YEAR(E$8)=YEAR($AK190),E$122-D$128-E$122*DASHBOARD!$BD$27)+IF(YEAR(E$8)&lt;YEAR($AK190),DEBT!D$14,0),0)</f>
        <v>0</v>
      </c>
      <c r="F190" s="134">
        <f>IFERROR(IF(YEAR(F$8)&lt;=YEAR($AK190),F$71+F$74+F$76+F$77+F$97+F$98,0)+IF(YEAR(F$8)=YEAR($AK190),F$122-E$128-F$122*DASHBOARD!$BD$27)+IF(YEAR(F$8)&lt;YEAR($AK190),DEBT!E$14,0),0)</f>
        <v>0</v>
      </c>
      <c r="G190" s="134">
        <f>IFERROR(IF(YEAR(G$8)&lt;=YEAR($AK190),G$71+G$74+G$76+G$77+G$97+G$98,0)+IF(YEAR(G$8)=YEAR($AK190),G$122-F$128-G$122*DASHBOARD!$BD$27)+IF(YEAR(G$8)&lt;YEAR($AK190),DEBT!F$14,0),0)</f>
        <v>0</v>
      </c>
      <c r="H190" s="134">
        <f>IFERROR(IF(YEAR(H$8)&lt;=YEAR($AK190),H$71+H$74+H$76+H$77+H$97+H$98,0)+IF(YEAR(H$8)=YEAR($AK190),H$122-G$128-H$122*DASHBOARD!$BD$27)+IF(YEAR(H$8)&lt;YEAR($AK190),DEBT!G$14,0),0)</f>
        <v>0</v>
      </c>
      <c r="I190" s="134">
        <f>IFERROR(IF(YEAR(I$8)&lt;=YEAR($AK190),I$71+I$74+I$76+I$77+I$97+I$98,0)+IF(YEAR(I$8)=YEAR($AK190),I$122-H$128-I$122*DASHBOARD!$BD$27)+IF(YEAR(I$8)&lt;YEAR($AK190),DEBT!H$14,0),0)</f>
        <v>0</v>
      </c>
      <c r="J190" s="134">
        <f>IFERROR(IF(YEAR(J$8)&lt;=YEAR($AK190),J$71+J$74+J$76+J$77+J$97+J$98,0)+IF(YEAR(J$8)=YEAR($AK190),J$122-I$128-J$122*DASHBOARD!$BD$27)+IF(YEAR(J$8)&lt;YEAR($AK190),DEBT!I$14,0),0)</f>
        <v>0</v>
      </c>
      <c r="K190" s="134">
        <f>IFERROR(IF(YEAR(K$8)&lt;=YEAR($AK190),K$71+K$74+K$76+K$77+K$97+K$98,0)+IF(YEAR(K$8)=YEAR($AK190),K$122-J$128-K$122*DASHBOARD!$BD$27)+IF(YEAR(K$8)&lt;YEAR($AK190),DEBT!J$14,0),0)</f>
        <v>0</v>
      </c>
      <c r="L190" s="134">
        <f>IFERROR(IF(YEAR(L$8)&lt;=YEAR($AK190),L$71+L$74+L$76+L$77+L$97+L$98,0)+IF(YEAR(L$8)=YEAR($AK190),L$122-K$128-L$122*DASHBOARD!$BD$27)+IF(YEAR(L$8)&lt;YEAR($AK190),DEBT!K$14,0),0)</f>
        <v>0</v>
      </c>
      <c r="M190" s="134">
        <f>IFERROR(IF(YEAR(M$8)&lt;=YEAR($AK190),M$71+M$74+M$76+M$77+M$97+M$98,0)+IF(YEAR(M$8)=YEAR($AK190),M$122-L$128-M$122*DASHBOARD!$BD$27)+IF(YEAR(M$8)&lt;YEAR($AK190),DEBT!L$14,0),0)</f>
        <v>0</v>
      </c>
      <c r="N190" s="134">
        <f>IFERROR(IF(YEAR(N$8)&lt;=YEAR($AK190),N$71+N$74+N$76+N$77+N$97+N$98,0)+IF(YEAR(N$8)=YEAR($AK190),N$122-M$128-N$122*DASHBOARD!$BD$27)+IF(YEAR(N$8)&lt;YEAR($AK190),DEBT!M$14,0),0)</f>
        <v>0</v>
      </c>
      <c r="O190" s="134">
        <f>IFERROR(IF(YEAR(O$8)&lt;=YEAR($AK190),O$71+O$74+O$76+O$77+O$97+O$98,0)+IF(YEAR(O$8)=YEAR($AK190),O$122-N$128-O$122*DASHBOARD!$BD$27)+IF(YEAR(O$8)&lt;YEAR($AK190),DEBT!N$14,0),0)</f>
        <v>0</v>
      </c>
      <c r="P190" s="134">
        <f>IFERROR(IF(YEAR(P$8)&lt;=YEAR($AK190),P$71+P$74+P$76+P$77+P$97+P$98,0)+IF(YEAR(P$8)=YEAR($AK190),P$122-O$128-P$122*DASHBOARD!$BD$27)+IF(YEAR(P$8)&lt;YEAR($AK190),DEBT!O$14,0),0)</f>
        <v>0</v>
      </c>
      <c r="Q190" s="134">
        <f>IFERROR(IF(YEAR(Q$8)&lt;=YEAR($AK190),Q$71+Q$74+Q$76+Q$77+Q$97+Q$98,0)+IF(YEAR(Q$8)=YEAR($AK190),Q$122-P$128-Q$122*DASHBOARD!$BD$27)+IF(YEAR(Q$8)&lt;YEAR($AK190),DEBT!P$14,0),0)</f>
        <v>0</v>
      </c>
      <c r="R190" s="134">
        <f>IFERROR(IF(YEAR(R$8)&lt;=YEAR($AK190),R$71+R$74+R$76+R$77+R$97+R$98,0)+IF(YEAR(R$8)=YEAR($AK190),R$122-Q$128-R$122*DASHBOARD!$BD$27)+IF(YEAR(R$8)&lt;YEAR($AK190),DEBT!Q$14,0),0)</f>
        <v>0</v>
      </c>
      <c r="S190" s="134">
        <f>IFERROR(IF(YEAR(S$8)&lt;=YEAR($AK190),S$71+S$74+S$76+S$77+S$97+S$98,0)+IF(YEAR(S$8)=YEAR($AK190),S$122-R$128-S$122*DASHBOARD!$BD$27)+IF(YEAR(S$8)&lt;YEAR($AK190),DEBT!R$14,0),0)</f>
        <v>0</v>
      </c>
      <c r="T190" s="134">
        <f>IFERROR(IF(YEAR(T$8)&lt;=YEAR($AK190),T$71+T$74+T$76+T$77+T$97+T$98,0)+IF(YEAR(T$8)=YEAR($AK190),T$122-S$128-T$122*DASHBOARD!$BD$27)+IF(YEAR(T$8)&lt;YEAR($AK190),DEBT!S$14,0),0)</f>
        <v>0</v>
      </c>
      <c r="U190" s="134">
        <f>IFERROR(IF(YEAR(U$8)&lt;=YEAR($AK190),U$71+U$74+U$76+U$77+U$97+U$98,0)+IF(YEAR(U$8)=YEAR($AK190),U$122-T$128-U$122*DASHBOARD!$BD$27)+IF(YEAR(U$8)&lt;YEAR($AK190),DEBT!T$14,0),0)</f>
        <v>0</v>
      </c>
      <c r="V190" s="134">
        <f>IFERROR(IF(YEAR(V$8)&lt;=YEAR($AK190),V$71+V$74+V$76+V$77+V$97+V$98,0)+IF(YEAR(V$8)=YEAR($AK190),V$122-U$128-V$122*DASHBOARD!$BD$27)+IF(YEAR(V$8)&lt;YEAR($AK190),DEBT!U$14,0),0)</f>
        <v>0</v>
      </c>
      <c r="W190" s="134">
        <f>IFERROR(IF(YEAR(W$8)&lt;=YEAR($AK190),W$71+W$74+W$76+W$77+W$97+W$98,0)+IF(YEAR(W$8)=YEAR($AK190),W$122-V$128-W$122*DASHBOARD!$BD$27)+IF(YEAR(W$8)&lt;YEAR($AK190),DEBT!V$14,0),0)</f>
        <v>0</v>
      </c>
      <c r="X190" s="134">
        <f>IFERROR(IF(YEAR(X$8)&lt;=YEAR($AK190),X$71+X$74+X$76+X$77+X$97+X$98,0)+IF(YEAR(X$8)=YEAR($AK190),X$122-W$128-X$122*DASHBOARD!$BD$27)+IF(YEAR(X$8)&lt;YEAR($AK190),DEBT!W$14,0),0)</f>
        <v>0</v>
      </c>
      <c r="Y190" s="134">
        <f>IFERROR(IF(YEAR(Y$8)&lt;=YEAR($AK190),Y$71+Y$74+Y$76+Y$77+Y$97+Y$98,0)+IF(YEAR(Y$8)=YEAR($AK190),Y$122-X$128-Y$122*DASHBOARD!$BD$27)+IF(YEAR(Y$8)&lt;YEAR($AK190),DEBT!X$14,0),0)</f>
        <v>0</v>
      </c>
      <c r="Z190" s="134">
        <f>IFERROR(IF(YEAR(Z$8)&lt;=YEAR($AK190),Z$71+Z$74+Z$76+Z$77+Z$97+Z$98,0)+IF(YEAR(Z$8)=YEAR($AK190),Z$122-Y$128-Z$122*DASHBOARD!$BD$27)+IF(YEAR(Z$8)&lt;YEAR($AK190),DEBT!Y$14,0),0)</f>
        <v>0</v>
      </c>
      <c r="AA190" s="134">
        <f>IFERROR(IF(YEAR(AA$8)&lt;=YEAR($AK190),AA$71+AA$74+AA$76+AA$77+AA$97+AA$98,0)+IF(YEAR(AA$8)=YEAR($AK190),AA$122-Z$128-AA$122*DASHBOARD!$BD$27)+IF(YEAR(AA$8)&lt;YEAR($AK190),DEBT!Z$14,0),0)</f>
        <v>0</v>
      </c>
      <c r="AB190" s="134">
        <f>IFERROR(IF(YEAR(AB$8)&lt;=YEAR($AK190),AB$71+AB$74+AB$76+AB$77+AB$97+AB$98,0)+IF(YEAR(AB$8)=YEAR($AK190),AB$122-AA$128-AB$122*DASHBOARD!$BD$27)+IF(YEAR(AB$8)&lt;YEAR($AK190),DEBT!AA$14,0),0)</f>
        <v>0</v>
      </c>
      <c r="AC190" s="134">
        <f>IFERROR(IF(YEAR(AC$8)&lt;=YEAR($AK190),AC$71+AC$74+AC$76+AC$77+AC$97+AC$98,0)+IF(YEAR(AC$8)=YEAR($AK190),AC$122-AB$128-AC$122*DASHBOARD!$BD$27)+IF(YEAR(AC$8)&lt;YEAR($AK190),DEBT!AB$14,0),0)</f>
        <v>0</v>
      </c>
      <c r="AD190" s="134">
        <f>IFERROR(IF(YEAR(AD$8)&lt;=YEAR($AK190),AD$71+AD$74+AD$76+AD$77+AD$97+AD$98,0)+IF(YEAR(AD$8)=YEAR($AK190),AD$122-AC$128-AD$122*DASHBOARD!$BD$27)+IF(YEAR(AD$8)&lt;YEAR($AK190),DEBT!AC$14,0),0)</f>
        <v>0</v>
      </c>
      <c r="AE190" s="134">
        <f>IFERROR(IF(YEAR(AE$8)&lt;=YEAR($AK190),AE$71+AE$74+AE$76+AE$77+AE$97+AE$98,0)+IF(YEAR(AE$8)=YEAR($AK190),AE$122-AD$128-AE$122*DASHBOARD!$BD$27)+IF(YEAR(AE$8)&lt;YEAR($AK190),DEBT!AD$14,0),0)</f>
        <v>0</v>
      </c>
      <c r="AF190" s="134">
        <f>IFERROR(IF(YEAR(AF$8)&lt;=YEAR($AK190),AF$71+AF$74+AF$76+AF$77+AF$97+AF$98,0)+IF(YEAR(AF$8)=YEAR($AK190),AF$122-AE$128-AF$122*DASHBOARD!$BD$27)+IF(YEAR(AF$8)&lt;YEAR($AK190),DEBT!AE$14,0),0)</f>
        <v>0</v>
      </c>
      <c r="AG190" s="134">
        <f>IFERROR(IF(YEAR(AG$8)&lt;=YEAR($AK190),AG$71+AG$74+AG$76+AG$77+AG$97+AG$98,0)+IF(YEAR(AG$8)=YEAR($AK190),AG$122-AF$128-AG$122*DASHBOARD!$BD$27)+IF(YEAR(AG$8)&lt;YEAR($AK190),DEBT!AF$14,0),0)</f>
        <v>0</v>
      </c>
      <c r="AH190" s="134">
        <f>IFERROR(IF(YEAR(AH$8)&lt;=YEAR($AK190),AH$71+AH$74+AH$76+AH$77+AH$97+AH$98,0)+IF(YEAR(AH$8)=YEAR($AK190),AH$122-AG$128-AH$122*DASHBOARD!$BD$27)+IF(YEAR(AH$8)&lt;YEAR($AK190),DEBT!AG$14,0),0)</f>
        <v>0</v>
      </c>
      <c r="AI190" s="242">
        <f>IFERROR(IF(YEAR(AI$8)&lt;=YEAR($AK190),AI$71+AI$74+AI$76+AI$77+AI$97+AI$98,0)+IF(YEAR(AI$8)=YEAR($AK190),AI$122-AH$128-AI$122*DASHBOARD!$BD$27)+IF(YEAR(AI$8)&lt;YEAR($AK190),DEBT!AH$14,0),0)</f>
        <v>0</v>
      </c>
      <c r="AJ190" s="1605"/>
      <c r="AK190" s="1704">
        <f t="shared" si="68"/>
        <v>55365</v>
      </c>
      <c r="AL190" s="450">
        <f t="shared" si="67"/>
        <v>0</v>
      </c>
      <c r="AM190" s="450">
        <f t="shared" si="69"/>
        <v>26</v>
      </c>
    </row>
    <row r="191" spans="2:39" s="289" customFormat="1" outlineLevel="1" x14ac:dyDescent="0.3">
      <c r="B191" s="267" t="str">
        <f t="shared" si="65"/>
        <v>n.a</v>
      </c>
      <c r="C191" s="1598" t="str">
        <f ca="1">IFERROR(MIRR(D191:OFFSET(D191,0,AL191),0%,DASHBOARD!$AD$83),"n.a")</f>
        <v>n.a</v>
      </c>
      <c r="D191" s="241">
        <f t="shared" si="66"/>
        <v>-7049.3458498885448</v>
      </c>
      <c r="E191" s="129">
        <f>IFERROR(IF(YEAR(E$8)&lt;=YEAR($AK191),E$71+E$74+E$76+E$77+E$97+E$98,0)+IF(YEAR(E$8)=YEAR($AK191),E$122-D$128-E$122*DASHBOARD!$BD$27)+IF(YEAR(E$8)&lt;YEAR($AK191),DEBT!D$14,0),0)</f>
        <v>0</v>
      </c>
      <c r="F191" s="134">
        <f>IFERROR(IF(YEAR(F$8)&lt;=YEAR($AK191),F$71+F$74+F$76+F$77+F$97+F$98,0)+IF(YEAR(F$8)=YEAR($AK191),F$122-E$128-F$122*DASHBOARD!$BD$27)+IF(YEAR(F$8)&lt;YEAR($AK191),DEBT!E$14,0),0)</f>
        <v>0</v>
      </c>
      <c r="G191" s="134">
        <f>IFERROR(IF(YEAR(G$8)&lt;=YEAR($AK191),G$71+G$74+G$76+G$77+G$97+G$98,0)+IF(YEAR(G$8)=YEAR($AK191),G$122-F$128-G$122*DASHBOARD!$BD$27)+IF(YEAR(G$8)&lt;YEAR($AK191),DEBT!F$14,0),0)</f>
        <v>0</v>
      </c>
      <c r="H191" s="134">
        <f>IFERROR(IF(YEAR(H$8)&lt;=YEAR($AK191),H$71+H$74+H$76+H$77+H$97+H$98,0)+IF(YEAR(H$8)=YEAR($AK191),H$122-G$128-H$122*DASHBOARD!$BD$27)+IF(YEAR(H$8)&lt;YEAR($AK191),DEBT!G$14,0),0)</f>
        <v>0</v>
      </c>
      <c r="I191" s="134">
        <f>IFERROR(IF(YEAR(I$8)&lt;=YEAR($AK191),I$71+I$74+I$76+I$77+I$97+I$98,0)+IF(YEAR(I$8)=YEAR($AK191),I$122-H$128-I$122*DASHBOARD!$BD$27)+IF(YEAR(I$8)&lt;YEAR($AK191),DEBT!H$14,0),0)</f>
        <v>0</v>
      </c>
      <c r="J191" s="134">
        <f>IFERROR(IF(YEAR(J$8)&lt;=YEAR($AK191),J$71+J$74+J$76+J$77+J$97+J$98,0)+IF(YEAR(J$8)=YEAR($AK191),J$122-I$128-J$122*DASHBOARD!$BD$27)+IF(YEAR(J$8)&lt;YEAR($AK191),DEBT!I$14,0),0)</f>
        <v>0</v>
      </c>
      <c r="K191" s="134">
        <f>IFERROR(IF(YEAR(K$8)&lt;=YEAR($AK191),K$71+K$74+K$76+K$77+K$97+K$98,0)+IF(YEAR(K$8)=YEAR($AK191),K$122-J$128-K$122*DASHBOARD!$BD$27)+IF(YEAR(K$8)&lt;YEAR($AK191),DEBT!J$14,0),0)</f>
        <v>0</v>
      </c>
      <c r="L191" s="134">
        <f>IFERROR(IF(YEAR(L$8)&lt;=YEAR($AK191),L$71+L$74+L$76+L$77+L$97+L$98,0)+IF(YEAR(L$8)=YEAR($AK191),L$122-K$128-L$122*DASHBOARD!$BD$27)+IF(YEAR(L$8)&lt;YEAR($AK191),DEBT!K$14,0),0)</f>
        <v>0</v>
      </c>
      <c r="M191" s="134">
        <f>IFERROR(IF(YEAR(M$8)&lt;=YEAR($AK191),M$71+M$74+M$76+M$77+M$97+M$98,0)+IF(YEAR(M$8)=YEAR($AK191),M$122-L$128-M$122*DASHBOARD!$BD$27)+IF(YEAR(M$8)&lt;YEAR($AK191),DEBT!L$14,0),0)</f>
        <v>0</v>
      </c>
      <c r="N191" s="134">
        <f>IFERROR(IF(YEAR(N$8)&lt;=YEAR($AK191),N$71+N$74+N$76+N$77+N$97+N$98,0)+IF(YEAR(N$8)=YEAR($AK191),N$122-M$128-N$122*DASHBOARD!$BD$27)+IF(YEAR(N$8)&lt;YEAR($AK191),DEBT!M$14,0),0)</f>
        <v>0</v>
      </c>
      <c r="O191" s="134">
        <f>IFERROR(IF(YEAR(O$8)&lt;=YEAR($AK191),O$71+O$74+O$76+O$77+O$97+O$98,0)+IF(YEAR(O$8)=YEAR($AK191),O$122-N$128-O$122*DASHBOARD!$BD$27)+IF(YEAR(O$8)&lt;YEAR($AK191),DEBT!N$14,0),0)</f>
        <v>0</v>
      </c>
      <c r="P191" s="134">
        <f>IFERROR(IF(YEAR(P$8)&lt;=YEAR($AK191),P$71+P$74+P$76+P$77+P$97+P$98,0)+IF(YEAR(P$8)=YEAR($AK191),P$122-O$128-P$122*DASHBOARD!$BD$27)+IF(YEAR(P$8)&lt;YEAR($AK191),DEBT!O$14,0),0)</f>
        <v>0</v>
      </c>
      <c r="Q191" s="134">
        <f>IFERROR(IF(YEAR(Q$8)&lt;=YEAR($AK191),Q$71+Q$74+Q$76+Q$77+Q$97+Q$98,0)+IF(YEAR(Q$8)=YEAR($AK191),Q$122-P$128-Q$122*DASHBOARD!$BD$27)+IF(YEAR(Q$8)&lt;YEAR($AK191),DEBT!P$14,0),0)</f>
        <v>0</v>
      </c>
      <c r="R191" s="134">
        <f>IFERROR(IF(YEAR(R$8)&lt;=YEAR($AK191),R$71+R$74+R$76+R$77+R$97+R$98,0)+IF(YEAR(R$8)=YEAR($AK191),R$122-Q$128-R$122*DASHBOARD!$BD$27)+IF(YEAR(R$8)&lt;YEAR($AK191),DEBT!Q$14,0),0)</f>
        <v>0</v>
      </c>
      <c r="S191" s="134">
        <f>IFERROR(IF(YEAR(S$8)&lt;=YEAR($AK191),S$71+S$74+S$76+S$77+S$97+S$98,0)+IF(YEAR(S$8)=YEAR($AK191),S$122-R$128-S$122*DASHBOARD!$BD$27)+IF(YEAR(S$8)&lt;YEAR($AK191),DEBT!R$14,0),0)</f>
        <v>0</v>
      </c>
      <c r="T191" s="134">
        <f>IFERROR(IF(YEAR(T$8)&lt;=YEAR($AK191),T$71+T$74+T$76+T$77+T$97+T$98,0)+IF(YEAR(T$8)=YEAR($AK191),T$122-S$128-T$122*DASHBOARD!$BD$27)+IF(YEAR(T$8)&lt;YEAR($AK191),DEBT!S$14,0),0)</f>
        <v>0</v>
      </c>
      <c r="U191" s="134">
        <f>IFERROR(IF(YEAR(U$8)&lt;=YEAR($AK191),U$71+U$74+U$76+U$77+U$97+U$98,0)+IF(YEAR(U$8)=YEAR($AK191),U$122-T$128-U$122*DASHBOARD!$BD$27)+IF(YEAR(U$8)&lt;YEAR($AK191),DEBT!T$14,0),0)</f>
        <v>0</v>
      </c>
      <c r="V191" s="134">
        <f>IFERROR(IF(YEAR(V$8)&lt;=YEAR($AK191),V$71+V$74+V$76+V$77+V$97+V$98,0)+IF(YEAR(V$8)=YEAR($AK191),V$122-U$128-V$122*DASHBOARD!$BD$27)+IF(YEAR(V$8)&lt;YEAR($AK191),DEBT!U$14,0),0)</f>
        <v>0</v>
      </c>
      <c r="W191" s="134">
        <f>IFERROR(IF(YEAR(W$8)&lt;=YEAR($AK191),W$71+W$74+W$76+W$77+W$97+W$98,0)+IF(YEAR(W$8)=YEAR($AK191),W$122-V$128-W$122*DASHBOARD!$BD$27)+IF(YEAR(W$8)&lt;YEAR($AK191),DEBT!V$14,0),0)</f>
        <v>0</v>
      </c>
      <c r="X191" s="134">
        <f>IFERROR(IF(YEAR(X$8)&lt;=YEAR($AK191),X$71+X$74+X$76+X$77+X$97+X$98,0)+IF(YEAR(X$8)=YEAR($AK191),X$122-W$128-X$122*DASHBOARD!$BD$27)+IF(YEAR(X$8)&lt;YEAR($AK191),DEBT!W$14,0),0)</f>
        <v>0</v>
      </c>
      <c r="Y191" s="134">
        <f>IFERROR(IF(YEAR(Y$8)&lt;=YEAR($AK191),Y$71+Y$74+Y$76+Y$77+Y$97+Y$98,0)+IF(YEAR(Y$8)=YEAR($AK191),Y$122-X$128-Y$122*DASHBOARD!$BD$27)+IF(YEAR(Y$8)&lt;YEAR($AK191),DEBT!X$14,0),0)</f>
        <v>0</v>
      </c>
      <c r="Z191" s="134">
        <f>IFERROR(IF(YEAR(Z$8)&lt;=YEAR($AK191),Z$71+Z$74+Z$76+Z$77+Z$97+Z$98,0)+IF(YEAR(Z$8)=YEAR($AK191),Z$122-Y$128-Z$122*DASHBOARD!$BD$27)+IF(YEAR(Z$8)&lt;YEAR($AK191),DEBT!Y$14,0),0)</f>
        <v>0</v>
      </c>
      <c r="AA191" s="134">
        <f>IFERROR(IF(YEAR(AA$8)&lt;=YEAR($AK191),AA$71+AA$74+AA$76+AA$77+AA$97+AA$98,0)+IF(YEAR(AA$8)=YEAR($AK191),AA$122-Z$128-AA$122*DASHBOARD!$BD$27)+IF(YEAR(AA$8)&lt;YEAR($AK191),DEBT!Z$14,0),0)</f>
        <v>0</v>
      </c>
      <c r="AB191" s="134">
        <f>IFERROR(IF(YEAR(AB$8)&lt;=YEAR($AK191),AB$71+AB$74+AB$76+AB$77+AB$97+AB$98,0)+IF(YEAR(AB$8)=YEAR($AK191),AB$122-AA$128-AB$122*DASHBOARD!$BD$27)+IF(YEAR(AB$8)&lt;YEAR($AK191),DEBT!AA$14,0),0)</f>
        <v>0</v>
      </c>
      <c r="AC191" s="134">
        <f>IFERROR(IF(YEAR(AC$8)&lt;=YEAR($AK191),AC$71+AC$74+AC$76+AC$77+AC$97+AC$98,0)+IF(YEAR(AC$8)=YEAR($AK191),AC$122-AB$128-AC$122*DASHBOARD!$BD$27)+IF(YEAR(AC$8)&lt;YEAR($AK191),DEBT!AB$14,0),0)</f>
        <v>0</v>
      </c>
      <c r="AD191" s="134">
        <f>IFERROR(IF(YEAR(AD$8)&lt;=YEAR($AK191),AD$71+AD$74+AD$76+AD$77+AD$97+AD$98,0)+IF(YEAR(AD$8)=YEAR($AK191),AD$122-AC$128-AD$122*DASHBOARD!$BD$27)+IF(YEAR(AD$8)&lt;YEAR($AK191),DEBT!AC$14,0),0)</f>
        <v>0</v>
      </c>
      <c r="AE191" s="134">
        <f>IFERROR(IF(YEAR(AE$8)&lt;=YEAR($AK191),AE$71+AE$74+AE$76+AE$77+AE$97+AE$98,0)+IF(YEAR(AE$8)=YEAR($AK191),AE$122-AD$128-AE$122*DASHBOARD!$BD$27)+IF(YEAR(AE$8)&lt;YEAR($AK191),DEBT!AD$14,0),0)</f>
        <v>0</v>
      </c>
      <c r="AF191" s="134">
        <f>IFERROR(IF(YEAR(AF$8)&lt;=YEAR($AK191),AF$71+AF$74+AF$76+AF$77+AF$97+AF$98,0)+IF(YEAR(AF$8)=YEAR($AK191),AF$122-AE$128-AF$122*DASHBOARD!$BD$27)+IF(YEAR(AF$8)&lt;YEAR($AK191),DEBT!AE$14,0),0)</f>
        <v>0</v>
      </c>
      <c r="AG191" s="134">
        <f>IFERROR(IF(YEAR(AG$8)&lt;=YEAR($AK191),AG$71+AG$74+AG$76+AG$77+AG$97+AG$98,0)+IF(YEAR(AG$8)=YEAR($AK191),AG$122-AF$128-AG$122*DASHBOARD!$BD$27)+IF(YEAR(AG$8)&lt;YEAR($AK191),DEBT!AF$14,0),0)</f>
        <v>0</v>
      </c>
      <c r="AH191" s="134">
        <f>IFERROR(IF(YEAR(AH$8)&lt;=YEAR($AK191),AH$71+AH$74+AH$76+AH$77+AH$97+AH$98,0)+IF(YEAR(AH$8)=YEAR($AK191),AH$122-AG$128-AH$122*DASHBOARD!$BD$27)+IF(YEAR(AH$8)&lt;YEAR($AK191),DEBT!AG$14,0),0)</f>
        <v>0</v>
      </c>
      <c r="AI191" s="242">
        <f>IFERROR(IF(YEAR(AI$8)&lt;=YEAR($AK191),AI$71+AI$74+AI$76+AI$77+AI$97+AI$98,0)+IF(YEAR(AI$8)=YEAR($AK191),AI$122-AH$128-AI$122*DASHBOARD!$BD$27)+IF(YEAR(AI$8)&lt;YEAR($AK191),DEBT!AH$14,0),0)</f>
        <v>0</v>
      </c>
      <c r="AJ191" s="1605"/>
      <c r="AK191" s="1704">
        <f t="shared" si="68"/>
        <v>55731</v>
      </c>
      <c r="AL191" s="450">
        <f t="shared" si="67"/>
        <v>0</v>
      </c>
      <c r="AM191" s="450">
        <f t="shared" si="69"/>
        <v>27</v>
      </c>
    </row>
    <row r="192" spans="2:39" s="289" customFormat="1" outlineLevel="1" x14ac:dyDescent="0.3">
      <c r="B192" s="267" t="str">
        <f t="shared" si="65"/>
        <v>n.a</v>
      </c>
      <c r="C192" s="1598" t="str">
        <f ca="1">IFERROR(MIRR(D192:OFFSET(D192,0,AL192),0%,DASHBOARD!$AD$83),"n.a")</f>
        <v>n.a</v>
      </c>
      <c r="D192" s="241">
        <f t="shared" si="66"/>
        <v>-7049.3458498885448</v>
      </c>
      <c r="E192" s="129">
        <f>IFERROR(IF(YEAR(E$8)&lt;=YEAR($AK192),E$71+E$74+E$76+E$77+E$97+E$98,0)+IF(YEAR(E$8)=YEAR($AK192),E$122-D$128-E$122*DASHBOARD!$BD$27)+IF(YEAR(E$8)&lt;YEAR($AK192),DEBT!D$14,0),0)</f>
        <v>0</v>
      </c>
      <c r="F192" s="134">
        <f>IFERROR(IF(YEAR(F$8)&lt;=YEAR($AK192),F$71+F$74+F$76+F$77+F$97+F$98,0)+IF(YEAR(F$8)=YEAR($AK192),F$122-E$128-F$122*DASHBOARD!$BD$27)+IF(YEAR(F$8)&lt;YEAR($AK192),DEBT!E$14,0),0)</f>
        <v>0</v>
      </c>
      <c r="G192" s="134">
        <f>IFERROR(IF(YEAR(G$8)&lt;=YEAR($AK192),G$71+G$74+G$76+G$77+G$97+G$98,0)+IF(YEAR(G$8)=YEAR($AK192),G$122-F$128-G$122*DASHBOARD!$BD$27)+IF(YEAR(G$8)&lt;YEAR($AK192),DEBT!F$14,0),0)</f>
        <v>0</v>
      </c>
      <c r="H192" s="134">
        <f>IFERROR(IF(YEAR(H$8)&lt;=YEAR($AK192),H$71+H$74+H$76+H$77+H$97+H$98,0)+IF(YEAR(H$8)=YEAR($AK192),H$122-G$128-H$122*DASHBOARD!$BD$27)+IF(YEAR(H$8)&lt;YEAR($AK192),DEBT!G$14,0),0)</f>
        <v>0</v>
      </c>
      <c r="I192" s="134">
        <f>IFERROR(IF(YEAR(I$8)&lt;=YEAR($AK192),I$71+I$74+I$76+I$77+I$97+I$98,0)+IF(YEAR(I$8)=YEAR($AK192),I$122-H$128-I$122*DASHBOARD!$BD$27)+IF(YEAR(I$8)&lt;YEAR($AK192),DEBT!H$14,0),0)</f>
        <v>0</v>
      </c>
      <c r="J192" s="134">
        <f>IFERROR(IF(YEAR(J$8)&lt;=YEAR($AK192),J$71+J$74+J$76+J$77+J$97+J$98,0)+IF(YEAR(J$8)=YEAR($AK192),J$122-I$128-J$122*DASHBOARD!$BD$27)+IF(YEAR(J$8)&lt;YEAR($AK192),DEBT!I$14,0),0)</f>
        <v>0</v>
      </c>
      <c r="K192" s="134">
        <f>IFERROR(IF(YEAR(K$8)&lt;=YEAR($AK192),K$71+K$74+K$76+K$77+K$97+K$98,0)+IF(YEAR(K$8)=YEAR($AK192),K$122-J$128-K$122*DASHBOARD!$BD$27)+IF(YEAR(K$8)&lt;YEAR($AK192),DEBT!J$14,0),0)</f>
        <v>0</v>
      </c>
      <c r="L192" s="134">
        <f>IFERROR(IF(YEAR(L$8)&lt;=YEAR($AK192),L$71+L$74+L$76+L$77+L$97+L$98,0)+IF(YEAR(L$8)=YEAR($AK192),L$122-K$128-L$122*DASHBOARD!$BD$27)+IF(YEAR(L$8)&lt;YEAR($AK192),DEBT!K$14,0),0)</f>
        <v>0</v>
      </c>
      <c r="M192" s="134">
        <f>IFERROR(IF(YEAR(M$8)&lt;=YEAR($AK192),M$71+M$74+M$76+M$77+M$97+M$98,0)+IF(YEAR(M$8)=YEAR($AK192),M$122-L$128-M$122*DASHBOARD!$BD$27)+IF(YEAR(M$8)&lt;YEAR($AK192),DEBT!L$14,0),0)</f>
        <v>0</v>
      </c>
      <c r="N192" s="134">
        <f>IFERROR(IF(YEAR(N$8)&lt;=YEAR($AK192),N$71+N$74+N$76+N$77+N$97+N$98,0)+IF(YEAR(N$8)=YEAR($AK192),N$122-M$128-N$122*DASHBOARD!$BD$27)+IF(YEAR(N$8)&lt;YEAR($AK192),DEBT!M$14,0),0)</f>
        <v>0</v>
      </c>
      <c r="O192" s="134">
        <f>IFERROR(IF(YEAR(O$8)&lt;=YEAR($AK192),O$71+O$74+O$76+O$77+O$97+O$98,0)+IF(YEAR(O$8)=YEAR($AK192),O$122-N$128-O$122*DASHBOARD!$BD$27)+IF(YEAR(O$8)&lt;YEAR($AK192),DEBT!N$14,0),0)</f>
        <v>0</v>
      </c>
      <c r="P192" s="134">
        <f>IFERROR(IF(YEAR(P$8)&lt;=YEAR($AK192),P$71+P$74+P$76+P$77+P$97+P$98,0)+IF(YEAR(P$8)=YEAR($AK192),P$122-O$128-P$122*DASHBOARD!$BD$27)+IF(YEAR(P$8)&lt;YEAR($AK192),DEBT!O$14,0),0)</f>
        <v>0</v>
      </c>
      <c r="Q192" s="134">
        <f>IFERROR(IF(YEAR(Q$8)&lt;=YEAR($AK192),Q$71+Q$74+Q$76+Q$77+Q$97+Q$98,0)+IF(YEAR(Q$8)=YEAR($AK192),Q$122-P$128-Q$122*DASHBOARD!$BD$27)+IF(YEAR(Q$8)&lt;YEAR($AK192),DEBT!P$14,0),0)</f>
        <v>0</v>
      </c>
      <c r="R192" s="134">
        <f>IFERROR(IF(YEAR(R$8)&lt;=YEAR($AK192),R$71+R$74+R$76+R$77+R$97+R$98,0)+IF(YEAR(R$8)=YEAR($AK192),R$122-Q$128-R$122*DASHBOARD!$BD$27)+IF(YEAR(R$8)&lt;YEAR($AK192),DEBT!Q$14,0),0)</f>
        <v>0</v>
      </c>
      <c r="S192" s="134">
        <f>IFERROR(IF(YEAR(S$8)&lt;=YEAR($AK192),S$71+S$74+S$76+S$77+S$97+S$98,0)+IF(YEAR(S$8)=YEAR($AK192),S$122-R$128-S$122*DASHBOARD!$BD$27)+IF(YEAR(S$8)&lt;YEAR($AK192),DEBT!R$14,0),0)</f>
        <v>0</v>
      </c>
      <c r="T192" s="134">
        <f>IFERROR(IF(YEAR(T$8)&lt;=YEAR($AK192),T$71+T$74+T$76+T$77+T$97+T$98,0)+IF(YEAR(T$8)=YEAR($AK192),T$122-S$128-T$122*DASHBOARD!$BD$27)+IF(YEAR(T$8)&lt;YEAR($AK192),DEBT!S$14,0),0)</f>
        <v>0</v>
      </c>
      <c r="U192" s="134">
        <f>IFERROR(IF(YEAR(U$8)&lt;=YEAR($AK192),U$71+U$74+U$76+U$77+U$97+U$98,0)+IF(YEAR(U$8)=YEAR($AK192),U$122-T$128-U$122*DASHBOARD!$BD$27)+IF(YEAR(U$8)&lt;YEAR($AK192),DEBT!T$14,0),0)</f>
        <v>0</v>
      </c>
      <c r="V192" s="134">
        <f>IFERROR(IF(YEAR(V$8)&lt;=YEAR($AK192),V$71+V$74+V$76+V$77+V$97+V$98,0)+IF(YEAR(V$8)=YEAR($AK192),V$122-U$128-V$122*DASHBOARD!$BD$27)+IF(YEAR(V$8)&lt;YEAR($AK192),DEBT!U$14,0),0)</f>
        <v>0</v>
      </c>
      <c r="W192" s="134">
        <f>IFERROR(IF(YEAR(W$8)&lt;=YEAR($AK192),W$71+W$74+W$76+W$77+W$97+W$98,0)+IF(YEAR(W$8)=YEAR($AK192),W$122-V$128-W$122*DASHBOARD!$BD$27)+IF(YEAR(W$8)&lt;YEAR($AK192),DEBT!V$14,0),0)</f>
        <v>0</v>
      </c>
      <c r="X192" s="134">
        <f>IFERROR(IF(YEAR(X$8)&lt;=YEAR($AK192),X$71+X$74+X$76+X$77+X$97+X$98,0)+IF(YEAR(X$8)=YEAR($AK192),X$122-W$128-X$122*DASHBOARD!$BD$27)+IF(YEAR(X$8)&lt;YEAR($AK192),DEBT!W$14,0),0)</f>
        <v>0</v>
      </c>
      <c r="Y192" s="134">
        <f>IFERROR(IF(YEAR(Y$8)&lt;=YEAR($AK192),Y$71+Y$74+Y$76+Y$77+Y$97+Y$98,0)+IF(YEAR(Y$8)=YEAR($AK192),Y$122-X$128-Y$122*DASHBOARD!$BD$27)+IF(YEAR(Y$8)&lt;YEAR($AK192),DEBT!X$14,0),0)</f>
        <v>0</v>
      </c>
      <c r="Z192" s="134">
        <f>IFERROR(IF(YEAR(Z$8)&lt;=YEAR($AK192),Z$71+Z$74+Z$76+Z$77+Z$97+Z$98,0)+IF(YEAR(Z$8)=YEAR($AK192),Z$122-Y$128-Z$122*DASHBOARD!$BD$27)+IF(YEAR(Z$8)&lt;YEAR($AK192),DEBT!Y$14,0),0)</f>
        <v>0</v>
      </c>
      <c r="AA192" s="134">
        <f>IFERROR(IF(YEAR(AA$8)&lt;=YEAR($AK192),AA$71+AA$74+AA$76+AA$77+AA$97+AA$98,0)+IF(YEAR(AA$8)=YEAR($AK192),AA$122-Z$128-AA$122*DASHBOARD!$BD$27)+IF(YEAR(AA$8)&lt;YEAR($AK192),DEBT!Z$14,0),0)</f>
        <v>0</v>
      </c>
      <c r="AB192" s="134">
        <f>IFERROR(IF(YEAR(AB$8)&lt;=YEAR($AK192),AB$71+AB$74+AB$76+AB$77+AB$97+AB$98,0)+IF(YEAR(AB$8)=YEAR($AK192),AB$122-AA$128-AB$122*DASHBOARD!$BD$27)+IF(YEAR(AB$8)&lt;YEAR($AK192),DEBT!AA$14,0),0)</f>
        <v>0</v>
      </c>
      <c r="AC192" s="134">
        <f>IFERROR(IF(YEAR(AC$8)&lt;=YEAR($AK192),AC$71+AC$74+AC$76+AC$77+AC$97+AC$98,0)+IF(YEAR(AC$8)=YEAR($AK192),AC$122-AB$128-AC$122*DASHBOARD!$BD$27)+IF(YEAR(AC$8)&lt;YEAR($AK192),DEBT!AB$14,0),0)</f>
        <v>0</v>
      </c>
      <c r="AD192" s="134">
        <f>IFERROR(IF(YEAR(AD$8)&lt;=YEAR($AK192),AD$71+AD$74+AD$76+AD$77+AD$97+AD$98,0)+IF(YEAR(AD$8)=YEAR($AK192),AD$122-AC$128-AD$122*DASHBOARD!$BD$27)+IF(YEAR(AD$8)&lt;YEAR($AK192),DEBT!AC$14,0),0)</f>
        <v>0</v>
      </c>
      <c r="AE192" s="134">
        <f>IFERROR(IF(YEAR(AE$8)&lt;=YEAR($AK192),AE$71+AE$74+AE$76+AE$77+AE$97+AE$98,0)+IF(YEAR(AE$8)=YEAR($AK192),AE$122-AD$128-AE$122*DASHBOARD!$BD$27)+IF(YEAR(AE$8)&lt;YEAR($AK192),DEBT!AD$14,0),0)</f>
        <v>0</v>
      </c>
      <c r="AF192" s="134">
        <f>IFERROR(IF(YEAR(AF$8)&lt;=YEAR($AK192),AF$71+AF$74+AF$76+AF$77+AF$97+AF$98,0)+IF(YEAR(AF$8)=YEAR($AK192),AF$122-AE$128-AF$122*DASHBOARD!$BD$27)+IF(YEAR(AF$8)&lt;YEAR($AK192),DEBT!AE$14,0),0)</f>
        <v>0</v>
      </c>
      <c r="AG192" s="134">
        <f>IFERROR(IF(YEAR(AG$8)&lt;=YEAR($AK192),AG$71+AG$74+AG$76+AG$77+AG$97+AG$98,0)+IF(YEAR(AG$8)=YEAR($AK192),AG$122-AF$128-AG$122*DASHBOARD!$BD$27)+IF(YEAR(AG$8)&lt;YEAR($AK192),DEBT!AF$14,0),0)</f>
        <v>0</v>
      </c>
      <c r="AH192" s="134">
        <f>IFERROR(IF(YEAR(AH$8)&lt;=YEAR($AK192),AH$71+AH$74+AH$76+AH$77+AH$97+AH$98,0)+IF(YEAR(AH$8)=YEAR($AK192),AH$122-AG$128-AH$122*DASHBOARD!$BD$27)+IF(YEAR(AH$8)&lt;YEAR($AK192),DEBT!AG$14,0),0)</f>
        <v>0</v>
      </c>
      <c r="AI192" s="242">
        <f>IFERROR(IF(YEAR(AI$8)&lt;=YEAR($AK192),AI$71+AI$74+AI$76+AI$77+AI$97+AI$98,0)+IF(YEAR(AI$8)=YEAR($AK192),AI$122-AH$128-AI$122*DASHBOARD!$BD$27)+IF(YEAR(AI$8)&lt;YEAR($AK192),DEBT!AH$14,0),0)</f>
        <v>0</v>
      </c>
      <c r="AJ192" s="1605"/>
      <c r="AK192" s="1704">
        <f t="shared" si="68"/>
        <v>56096</v>
      </c>
      <c r="AL192" s="450">
        <f t="shared" si="67"/>
        <v>0</v>
      </c>
      <c r="AM192" s="450">
        <f t="shared" si="69"/>
        <v>28</v>
      </c>
    </row>
    <row r="193" spans="1:39" s="289" customFormat="1" outlineLevel="1" x14ac:dyDescent="0.3">
      <c r="B193" s="267" t="str">
        <f t="shared" si="65"/>
        <v>n.a</v>
      </c>
      <c r="C193" s="1598" t="str">
        <f ca="1">IFERROR(MIRR(D193:OFFSET(D193,0,AL193),0%,DASHBOARD!$AD$83),"n.a")</f>
        <v>n.a</v>
      </c>
      <c r="D193" s="241">
        <f t="shared" si="66"/>
        <v>-7049.3458498885448</v>
      </c>
      <c r="E193" s="129">
        <f>IFERROR(IF(YEAR(E$8)&lt;=YEAR($AK193),E$71+E$74+E$76+E$77+E$97+E$98,0)+IF(YEAR(E$8)=YEAR($AK193),E$122-D$128-E$122*DASHBOARD!$BD$27)+IF(YEAR(E$8)&lt;YEAR($AK193),DEBT!D$14,0),0)</f>
        <v>0</v>
      </c>
      <c r="F193" s="134">
        <f>IFERROR(IF(YEAR(F$8)&lt;=YEAR($AK193),F$71+F$74+F$76+F$77+F$97+F$98,0)+IF(YEAR(F$8)=YEAR($AK193),F$122-E$128-F$122*DASHBOARD!$BD$27)+IF(YEAR(F$8)&lt;YEAR($AK193),DEBT!E$14,0),0)</f>
        <v>0</v>
      </c>
      <c r="G193" s="134">
        <f>IFERROR(IF(YEAR(G$8)&lt;=YEAR($AK193),G$71+G$74+G$76+G$77+G$97+G$98,0)+IF(YEAR(G$8)=YEAR($AK193),G$122-F$128-G$122*DASHBOARD!$BD$27)+IF(YEAR(G$8)&lt;YEAR($AK193),DEBT!F$14,0),0)</f>
        <v>0</v>
      </c>
      <c r="H193" s="134">
        <f>IFERROR(IF(YEAR(H$8)&lt;=YEAR($AK193),H$71+H$74+H$76+H$77+H$97+H$98,0)+IF(YEAR(H$8)=YEAR($AK193),H$122-G$128-H$122*DASHBOARD!$BD$27)+IF(YEAR(H$8)&lt;YEAR($AK193),DEBT!G$14,0),0)</f>
        <v>0</v>
      </c>
      <c r="I193" s="134">
        <f>IFERROR(IF(YEAR(I$8)&lt;=YEAR($AK193),I$71+I$74+I$76+I$77+I$97+I$98,0)+IF(YEAR(I$8)=YEAR($AK193),I$122-H$128-I$122*DASHBOARD!$BD$27)+IF(YEAR(I$8)&lt;YEAR($AK193),DEBT!H$14,0),0)</f>
        <v>0</v>
      </c>
      <c r="J193" s="134">
        <f>IFERROR(IF(YEAR(J$8)&lt;=YEAR($AK193),J$71+J$74+J$76+J$77+J$97+J$98,0)+IF(YEAR(J$8)=YEAR($AK193),J$122-I$128-J$122*DASHBOARD!$BD$27)+IF(YEAR(J$8)&lt;YEAR($AK193),DEBT!I$14,0),0)</f>
        <v>0</v>
      </c>
      <c r="K193" s="134">
        <f>IFERROR(IF(YEAR(K$8)&lt;=YEAR($AK193),K$71+K$74+K$76+K$77+K$97+K$98,0)+IF(YEAR(K$8)=YEAR($AK193),K$122-J$128-K$122*DASHBOARD!$BD$27)+IF(YEAR(K$8)&lt;YEAR($AK193),DEBT!J$14,0),0)</f>
        <v>0</v>
      </c>
      <c r="L193" s="134">
        <f>IFERROR(IF(YEAR(L$8)&lt;=YEAR($AK193),L$71+L$74+L$76+L$77+L$97+L$98,0)+IF(YEAR(L$8)=YEAR($AK193),L$122-K$128-L$122*DASHBOARD!$BD$27)+IF(YEAR(L$8)&lt;YEAR($AK193),DEBT!K$14,0),0)</f>
        <v>0</v>
      </c>
      <c r="M193" s="134">
        <f>IFERROR(IF(YEAR(M$8)&lt;=YEAR($AK193),M$71+M$74+M$76+M$77+M$97+M$98,0)+IF(YEAR(M$8)=YEAR($AK193),M$122-L$128-M$122*DASHBOARD!$BD$27)+IF(YEAR(M$8)&lt;YEAR($AK193),DEBT!L$14,0),0)</f>
        <v>0</v>
      </c>
      <c r="N193" s="134">
        <f>IFERROR(IF(YEAR(N$8)&lt;=YEAR($AK193),N$71+N$74+N$76+N$77+N$97+N$98,0)+IF(YEAR(N$8)=YEAR($AK193),N$122-M$128-N$122*DASHBOARD!$BD$27)+IF(YEAR(N$8)&lt;YEAR($AK193),DEBT!M$14,0),0)</f>
        <v>0</v>
      </c>
      <c r="O193" s="134">
        <f>IFERROR(IF(YEAR(O$8)&lt;=YEAR($AK193),O$71+O$74+O$76+O$77+O$97+O$98,0)+IF(YEAR(O$8)=YEAR($AK193),O$122-N$128-O$122*DASHBOARD!$BD$27)+IF(YEAR(O$8)&lt;YEAR($AK193),DEBT!N$14,0),0)</f>
        <v>0</v>
      </c>
      <c r="P193" s="134">
        <f>IFERROR(IF(YEAR(P$8)&lt;=YEAR($AK193),P$71+P$74+P$76+P$77+P$97+P$98,0)+IF(YEAR(P$8)=YEAR($AK193),P$122-O$128-P$122*DASHBOARD!$BD$27)+IF(YEAR(P$8)&lt;YEAR($AK193),DEBT!O$14,0),0)</f>
        <v>0</v>
      </c>
      <c r="Q193" s="134">
        <f>IFERROR(IF(YEAR(Q$8)&lt;=YEAR($AK193),Q$71+Q$74+Q$76+Q$77+Q$97+Q$98,0)+IF(YEAR(Q$8)=YEAR($AK193),Q$122-P$128-Q$122*DASHBOARD!$BD$27)+IF(YEAR(Q$8)&lt;YEAR($AK193),DEBT!P$14,0),0)</f>
        <v>0</v>
      </c>
      <c r="R193" s="134">
        <f>IFERROR(IF(YEAR(R$8)&lt;=YEAR($AK193),R$71+R$74+R$76+R$77+R$97+R$98,0)+IF(YEAR(R$8)=YEAR($AK193),R$122-Q$128-R$122*DASHBOARD!$BD$27)+IF(YEAR(R$8)&lt;YEAR($AK193),DEBT!Q$14,0),0)</f>
        <v>0</v>
      </c>
      <c r="S193" s="134">
        <f>IFERROR(IF(YEAR(S$8)&lt;=YEAR($AK193),S$71+S$74+S$76+S$77+S$97+S$98,0)+IF(YEAR(S$8)=YEAR($AK193),S$122-R$128-S$122*DASHBOARD!$BD$27)+IF(YEAR(S$8)&lt;YEAR($AK193),DEBT!R$14,0),0)</f>
        <v>0</v>
      </c>
      <c r="T193" s="134">
        <f>IFERROR(IF(YEAR(T$8)&lt;=YEAR($AK193),T$71+T$74+T$76+T$77+T$97+T$98,0)+IF(YEAR(T$8)=YEAR($AK193),T$122-S$128-T$122*DASHBOARD!$BD$27)+IF(YEAR(T$8)&lt;YEAR($AK193),DEBT!S$14,0),0)</f>
        <v>0</v>
      </c>
      <c r="U193" s="134">
        <f>IFERROR(IF(YEAR(U$8)&lt;=YEAR($AK193),U$71+U$74+U$76+U$77+U$97+U$98,0)+IF(YEAR(U$8)=YEAR($AK193),U$122-T$128-U$122*DASHBOARD!$BD$27)+IF(YEAR(U$8)&lt;YEAR($AK193),DEBT!T$14,0),0)</f>
        <v>0</v>
      </c>
      <c r="V193" s="134">
        <f>IFERROR(IF(YEAR(V$8)&lt;=YEAR($AK193),V$71+V$74+V$76+V$77+V$97+V$98,0)+IF(YEAR(V$8)=YEAR($AK193),V$122-U$128-V$122*DASHBOARD!$BD$27)+IF(YEAR(V$8)&lt;YEAR($AK193),DEBT!U$14,0),0)</f>
        <v>0</v>
      </c>
      <c r="W193" s="134">
        <f>IFERROR(IF(YEAR(W$8)&lt;=YEAR($AK193),W$71+W$74+W$76+W$77+W$97+W$98,0)+IF(YEAR(W$8)=YEAR($AK193),W$122-V$128-W$122*DASHBOARD!$BD$27)+IF(YEAR(W$8)&lt;YEAR($AK193),DEBT!V$14,0),0)</f>
        <v>0</v>
      </c>
      <c r="X193" s="134">
        <f>IFERROR(IF(YEAR(X$8)&lt;=YEAR($AK193),X$71+X$74+X$76+X$77+X$97+X$98,0)+IF(YEAR(X$8)=YEAR($AK193),X$122-W$128-X$122*DASHBOARD!$BD$27)+IF(YEAR(X$8)&lt;YEAR($AK193),DEBT!W$14,0),0)</f>
        <v>0</v>
      </c>
      <c r="Y193" s="134">
        <f>IFERROR(IF(YEAR(Y$8)&lt;=YEAR($AK193),Y$71+Y$74+Y$76+Y$77+Y$97+Y$98,0)+IF(YEAR(Y$8)=YEAR($AK193),Y$122-X$128-Y$122*DASHBOARD!$BD$27)+IF(YEAR(Y$8)&lt;YEAR($AK193),DEBT!X$14,0),0)</f>
        <v>0</v>
      </c>
      <c r="Z193" s="134">
        <f>IFERROR(IF(YEAR(Z$8)&lt;=YEAR($AK193),Z$71+Z$74+Z$76+Z$77+Z$97+Z$98,0)+IF(YEAR(Z$8)=YEAR($AK193),Z$122-Y$128-Z$122*DASHBOARD!$BD$27)+IF(YEAR(Z$8)&lt;YEAR($AK193),DEBT!Y$14,0),0)</f>
        <v>0</v>
      </c>
      <c r="AA193" s="134">
        <f>IFERROR(IF(YEAR(AA$8)&lt;=YEAR($AK193),AA$71+AA$74+AA$76+AA$77+AA$97+AA$98,0)+IF(YEAR(AA$8)=YEAR($AK193),AA$122-Z$128-AA$122*DASHBOARD!$BD$27)+IF(YEAR(AA$8)&lt;YEAR($AK193),DEBT!Z$14,0),0)</f>
        <v>0</v>
      </c>
      <c r="AB193" s="134">
        <f>IFERROR(IF(YEAR(AB$8)&lt;=YEAR($AK193),AB$71+AB$74+AB$76+AB$77+AB$97+AB$98,0)+IF(YEAR(AB$8)=YEAR($AK193),AB$122-AA$128-AB$122*DASHBOARD!$BD$27)+IF(YEAR(AB$8)&lt;YEAR($AK193),DEBT!AA$14,0),0)</f>
        <v>0</v>
      </c>
      <c r="AC193" s="134">
        <f>IFERROR(IF(YEAR(AC$8)&lt;=YEAR($AK193),AC$71+AC$74+AC$76+AC$77+AC$97+AC$98,0)+IF(YEAR(AC$8)=YEAR($AK193),AC$122-AB$128-AC$122*DASHBOARD!$BD$27)+IF(YEAR(AC$8)&lt;YEAR($AK193),DEBT!AB$14,0),0)</f>
        <v>0</v>
      </c>
      <c r="AD193" s="134">
        <f>IFERROR(IF(YEAR(AD$8)&lt;=YEAR($AK193),AD$71+AD$74+AD$76+AD$77+AD$97+AD$98,0)+IF(YEAR(AD$8)=YEAR($AK193),AD$122-AC$128-AD$122*DASHBOARD!$BD$27)+IF(YEAR(AD$8)&lt;YEAR($AK193),DEBT!AC$14,0),0)</f>
        <v>0</v>
      </c>
      <c r="AE193" s="134">
        <f>IFERROR(IF(YEAR(AE$8)&lt;=YEAR($AK193),AE$71+AE$74+AE$76+AE$77+AE$97+AE$98,0)+IF(YEAR(AE$8)=YEAR($AK193),AE$122-AD$128-AE$122*DASHBOARD!$BD$27)+IF(YEAR(AE$8)&lt;YEAR($AK193),DEBT!AD$14,0),0)</f>
        <v>0</v>
      </c>
      <c r="AF193" s="134">
        <f>IFERROR(IF(YEAR(AF$8)&lt;=YEAR($AK193),AF$71+AF$74+AF$76+AF$77+AF$97+AF$98,0)+IF(YEAR(AF$8)=YEAR($AK193),AF$122-AE$128-AF$122*DASHBOARD!$BD$27)+IF(YEAR(AF$8)&lt;YEAR($AK193),DEBT!AE$14,0),0)</f>
        <v>0</v>
      </c>
      <c r="AG193" s="134">
        <f>IFERROR(IF(YEAR(AG$8)&lt;=YEAR($AK193),AG$71+AG$74+AG$76+AG$77+AG$97+AG$98,0)+IF(YEAR(AG$8)=YEAR($AK193),AG$122-AF$128-AG$122*DASHBOARD!$BD$27)+IF(YEAR(AG$8)&lt;YEAR($AK193),DEBT!AF$14,0),0)</f>
        <v>0</v>
      </c>
      <c r="AH193" s="134">
        <f>IFERROR(IF(YEAR(AH$8)&lt;=YEAR($AK193),AH$71+AH$74+AH$76+AH$77+AH$97+AH$98,0)+IF(YEAR(AH$8)=YEAR($AK193),AH$122-AG$128-AH$122*DASHBOARD!$BD$27)+IF(YEAR(AH$8)&lt;YEAR($AK193),DEBT!AG$14,0),0)</f>
        <v>0</v>
      </c>
      <c r="AI193" s="242">
        <f>IFERROR(IF(YEAR(AI$8)&lt;=YEAR($AK193),AI$71+AI$74+AI$76+AI$77+AI$97+AI$98,0)+IF(YEAR(AI$8)=YEAR($AK193),AI$122-AH$128-AI$122*DASHBOARD!$BD$27)+IF(YEAR(AI$8)&lt;YEAR($AK193),DEBT!AH$14,0),0)</f>
        <v>0</v>
      </c>
      <c r="AJ193" s="1605"/>
      <c r="AK193" s="1704">
        <f t="shared" si="68"/>
        <v>56461</v>
      </c>
      <c r="AL193" s="450">
        <f t="shared" si="67"/>
        <v>0</v>
      </c>
      <c r="AM193" s="450">
        <f t="shared" si="69"/>
        <v>29</v>
      </c>
    </row>
    <row r="194" spans="1:39" s="289" customFormat="1" outlineLevel="1" x14ac:dyDescent="0.3">
      <c r="B194" s="267" t="str">
        <f t="shared" si="65"/>
        <v>n.a</v>
      </c>
      <c r="C194" s="1598" t="str">
        <f ca="1">IFERROR(MIRR(D194:OFFSET(D194,0,AL194),0%,DASHBOARD!$AD$83),"n.a")</f>
        <v>n.a</v>
      </c>
      <c r="D194" s="241">
        <f t="shared" si="66"/>
        <v>-7049.3458498885448</v>
      </c>
      <c r="E194" s="129">
        <f>IFERROR(IF(YEAR(E$8)&lt;=YEAR($AK194),E$71+E$74+E$76+E$77+E$97+E$98,0)+IF(YEAR(E$8)=YEAR($AK194),E$122-D$128-E$122*DASHBOARD!$BD$27)+IF(YEAR(E$8)&lt;YEAR($AK194),DEBT!D$14,0),0)</f>
        <v>0</v>
      </c>
      <c r="F194" s="134">
        <f>IFERROR(IF(YEAR(F$8)&lt;=YEAR($AK194),F$71+F$74+F$76+F$77+F$97+F$98,0)+IF(YEAR(F$8)=YEAR($AK194),F$122-E$128-F$122*DASHBOARD!$BD$27)+IF(YEAR(F$8)&lt;YEAR($AK194),DEBT!E$14,0),0)</f>
        <v>0</v>
      </c>
      <c r="G194" s="134">
        <f>IFERROR(IF(YEAR(G$8)&lt;=YEAR($AK194),G$71+G$74+G$76+G$77+G$97+G$98,0)+IF(YEAR(G$8)=YEAR($AK194),G$122-F$128-G$122*DASHBOARD!$BD$27)+IF(YEAR(G$8)&lt;YEAR($AK194),DEBT!F$14,0),0)</f>
        <v>0</v>
      </c>
      <c r="H194" s="134">
        <f>IFERROR(IF(YEAR(H$8)&lt;=YEAR($AK194),H$71+H$74+H$76+H$77+H$97+H$98,0)+IF(YEAR(H$8)=YEAR($AK194),H$122-G$128-H$122*DASHBOARD!$BD$27)+IF(YEAR(H$8)&lt;YEAR($AK194),DEBT!G$14,0),0)</f>
        <v>0</v>
      </c>
      <c r="I194" s="134">
        <f>IFERROR(IF(YEAR(I$8)&lt;=YEAR($AK194),I$71+I$74+I$76+I$77+I$97+I$98,0)+IF(YEAR(I$8)=YEAR($AK194),I$122-H$128-I$122*DASHBOARD!$BD$27)+IF(YEAR(I$8)&lt;YEAR($AK194),DEBT!H$14,0),0)</f>
        <v>0</v>
      </c>
      <c r="J194" s="134">
        <f>IFERROR(IF(YEAR(J$8)&lt;=YEAR($AK194),J$71+J$74+J$76+J$77+J$97+J$98,0)+IF(YEAR(J$8)=YEAR($AK194),J$122-I$128-J$122*DASHBOARD!$BD$27)+IF(YEAR(J$8)&lt;YEAR($AK194),DEBT!I$14,0),0)</f>
        <v>0</v>
      </c>
      <c r="K194" s="134">
        <f>IFERROR(IF(YEAR(K$8)&lt;=YEAR($AK194),K$71+K$74+K$76+K$77+K$97+K$98,0)+IF(YEAR(K$8)=YEAR($AK194),K$122-J$128-K$122*DASHBOARD!$BD$27)+IF(YEAR(K$8)&lt;YEAR($AK194),DEBT!J$14,0),0)</f>
        <v>0</v>
      </c>
      <c r="L194" s="134">
        <f>IFERROR(IF(YEAR(L$8)&lt;=YEAR($AK194),L$71+L$74+L$76+L$77+L$97+L$98,0)+IF(YEAR(L$8)=YEAR($AK194),L$122-K$128-L$122*DASHBOARD!$BD$27)+IF(YEAR(L$8)&lt;YEAR($AK194),DEBT!K$14,0),0)</f>
        <v>0</v>
      </c>
      <c r="M194" s="134">
        <f>IFERROR(IF(YEAR(M$8)&lt;=YEAR($AK194),M$71+M$74+M$76+M$77+M$97+M$98,0)+IF(YEAR(M$8)=YEAR($AK194),M$122-L$128-M$122*DASHBOARD!$BD$27)+IF(YEAR(M$8)&lt;YEAR($AK194),DEBT!L$14,0),0)</f>
        <v>0</v>
      </c>
      <c r="N194" s="134">
        <f>IFERROR(IF(YEAR(N$8)&lt;=YEAR($AK194),N$71+N$74+N$76+N$77+N$97+N$98,0)+IF(YEAR(N$8)=YEAR($AK194),N$122-M$128-N$122*DASHBOARD!$BD$27)+IF(YEAR(N$8)&lt;YEAR($AK194),DEBT!M$14,0),0)</f>
        <v>0</v>
      </c>
      <c r="O194" s="134">
        <f>IFERROR(IF(YEAR(O$8)&lt;=YEAR($AK194),O$71+O$74+O$76+O$77+O$97+O$98,0)+IF(YEAR(O$8)=YEAR($AK194),O$122-N$128-O$122*DASHBOARD!$BD$27)+IF(YEAR(O$8)&lt;YEAR($AK194),DEBT!N$14,0),0)</f>
        <v>0</v>
      </c>
      <c r="P194" s="134">
        <f>IFERROR(IF(YEAR(P$8)&lt;=YEAR($AK194),P$71+P$74+P$76+P$77+P$97+P$98,0)+IF(YEAR(P$8)=YEAR($AK194),P$122-O$128-P$122*DASHBOARD!$BD$27)+IF(YEAR(P$8)&lt;YEAR($AK194),DEBT!O$14,0),0)</f>
        <v>0</v>
      </c>
      <c r="Q194" s="134">
        <f>IFERROR(IF(YEAR(Q$8)&lt;=YEAR($AK194),Q$71+Q$74+Q$76+Q$77+Q$97+Q$98,0)+IF(YEAR(Q$8)=YEAR($AK194),Q$122-P$128-Q$122*DASHBOARD!$BD$27)+IF(YEAR(Q$8)&lt;YEAR($AK194),DEBT!P$14,0),0)</f>
        <v>0</v>
      </c>
      <c r="R194" s="134">
        <f>IFERROR(IF(YEAR(R$8)&lt;=YEAR($AK194),R$71+R$74+R$76+R$77+R$97+R$98,0)+IF(YEAR(R$8)=YEAR($AK194),R$122-Q$128-R$122*DASHBOARD!$BD$27)+IF(YEAR(R$8)&lt;YEAR($AK194),DEBT!Q$14,0),0)</f>
        <v>0</v>
      </c>
      <c r="S194" s="134">
        <f>IFERROR(IF(YEAR(S$8)&lt;=YEAR($AK194),S$71+S$74+S$76+S$77+S$97+S$98,0)+IF(YEAR(S$8)=YEAR($AK194),S$122-R$128-S$122*DASHBOARD!$BD$27)+IF(YEAR(S$8)&lt;YEAR($AK194),DEBT!R$14,0),0)</f>
        <v>0</v>
      </c>
      <c r="T194" s="134">
        <f>IFERROR(IF(YEAR(T$8)&lt;=YEAR($AK194),T$71+T$74+T$76+T$77+T$97+T$98,0)+IF(YEAR(T$8)=YEAR($AK194),T$122-S$128-T$122*DASHBOARD!$BD$27)+IF(YEAR(T$8)&lt;YEAR($AK194),DEBT!S$14,0),0)</f>
        <v>0</v>
      </c>
      <c r="U194" s="134">
        <f>IFERROR(IF(YEAR(U$8)&lt;=YEAR($AK194),U$71+U$74+U$76+U$77+U$97+U$98,0)+IF(YEAR(U$8)=YEAR($AK194),U$122-T$128-U$122*DASHBOARD!$BD$27)+IF(YEAR(U$8)&lt;YEAR($AK194),DEBT!T$14,0),0)</f>
        <v>0</v>
      </c>
      <c r="V194" s="134">
        <f>IFERROR(IF(YEAR(V$8)&lt;=YEAR($AK194),V$71+V$74+V$76+V$77+V$97+V$98,0)+IF(YEAR(V$8)=YEAR($AK194),V$122-U$128-V$122*DASHBOARD!$BD$27)+IF(YEAR(V$8)&lt;YEAR($AK194),DEBT!U$14,0),0)</f>
        <v>0</v>
      </c>
      <c r="W194" s="134">
        <f>IFERROR(IF(YEAR(W$8)&lt;=YEAR($AK194),W$71+W$74+W$76+W$77+W$97+W$98,0)+IF(YEAR(W$8)=YEAR($AK194),W$122-V$128-W$122*DASHBOARD!$BD$27)+IF(YEAR(W$8)&lt;YEAR($AK194),DEBT!V$14,0),0)</f>
        <v>0</v>
      </c>
      <c r="X194" s="134">
        <f>IFERROR(IF(YEAR(X$8)&lt;=YEAR($AK194),X$71+X$74+X$76+X$77+X$97+X$98,0)+IF(YEAR(X$8)=YEAR($AK194),X$122-W$128-X$122*DASHBOARD!$BD$27)+IF(YEAR(X$8)&lt;YEAR($AK194),DEBT!W$14,0),0)</f>
        <v>0</v>
      </c>
      <c r="Y194" s="134">
        <f>IFERROR(IF(YEAR(Y$8)&lt;=YEAR($AK194),Y$71+Y$74+Y$76+Y$77+Y$97+Y$98,0)+IF(YEAR(Y$8)=YEAR($AK194),Y$122-X$128-Y$122*DASHBOARD!$BD$27)+IF(YEAR(Y$8)&lt;YEAR($AK194),DEBT!X$14,0),0)</f>
        <v>0</v>
      </c>
      <c r="Z194" s="134">
        <f>IFERROR(IF(YEAR(Z$8)&lt;=YEAR($AK194),Z$71+Z$74+Z$76+Z$77+Z$97+Z$98,0)+IF(YEAR(Z$8)=YEAR($AK194),Z$122-Y$128-Z$122*DASHBOARD!$BD$27)+IF(YEAR(Z$8)&lt;YEAR($AK194),DEBT!Y$14,0),0)</f>
        <v>0</v>
      </c>
      <c r="AA194" s="134">
        <f>IFERROR(IF(YEAR(AA$8)&lt;=YEAR($AK194),AA$71+AA$74+AA$76+AA$77+AA$97+AA$98,0)+IF(YEAR(AA$8)=YEAR($AK194),AA$122-Z$128-AA$122*DASHBOARD!$BD$27)+IF(YEAR(AA$8)&lt;YEAR($AK194),DEBT!Z$14,0),0)</f>
        <v>0</v>
      </c>
      <c r="AB194" s="134">
        <f>IFERROR(IF(YEAR(AB$8)&lt;=YEAR($AK194),AB$71+AB$74+AB$76+AB$77+AB$97+AB$98,0)+IF(YEAR(AB$8)=YEAR($AK194),AB$122-AA$128-AB$122*DASHBOARD!$BD$27)+IF(YEAR(AB$8)&lt;YEAR($AK194),DEBT!AA$14,0),0)</f>
        <v>0</v>
      </c>
      <c r="AC194" s="134">
        <f>IFERROR(IF(YEAR(AC$8)&lt;=YEAR($AK194),AC$71+AC$74+AC$76+AC$77+AC$97+AC$98,0)+IF(YEAR(AC$8)=YEAR($AK194),AC$122-AB$128-AC$122*DASHBOARD!$BD$27)+IF(YEAR(AC$8)&lt;YEAR($AK194),DEBT!AB$14,0),0)</f>
        <v>0</v>
      </c>
      <c r="AD194" s="134">
        <f>IFERROR(IF(YEAR(AD$8)&lt;=YEAR($AK194),AD$71+AD$74+AD$76+AD$77+AD$97+AD$98,0)+IF(YEAR(AD$8)=YEAR($AK194),AD$122-AC$128-AD$122*DASHBOARD!$BD$27)+IF(YEAR(AD$8)&lt;YEAR($AK194),DEBT!AC$14,0),0)</f>
        <v>0</v>
      </c>
      <c r="AE194" s="134">
        <f>IFERROR(IF(YEAR(AE$8)&lt;=YEAR($AK194),AE$71+AE$74+AE$76+AE$77+AE$97+AE$98,0)+IF(YEAR(AE$8)=YEAR($AK194),AE$122-AD$128-AE$122*DASHBOARD!$BD$27)+IF(YEAR(AE$8)&lt;YEAR($AK194),DEBT!AD$14,0),0)</f>
        <v>0</v>
      </c>
      <c r="AF194" s="134">
        <f>IFERROR(IF(YEAR(AF$8)&lt;=YEAR($AK194),AF$71+AF$74+AF$76+AF$77+AF$97+AF$98,0)+IF(YEAR(AF$8)=YEAR($AK194),AF$122-AE$128-AF$122*DASHBOARD!$BD$27)+IF(YEAR(AF$8)&lt;YEAR($AK194),DEBT!AE$14,0),0)</f>
        <v>0</v>
      </c>
      <c r="AG194" s="134">
        <f>IFERROR(IF(YEAR(AG$8)&lt;=YEAR($AK194),AG$71+AG$74+AG$76+AG$77+AG$97+AG$98,0)+IF(YEAR(AG$8)=YEAR($AK194),AG$122-AF$128-AG$122*DASHBOARD!$BD$27)+IF(YEAR(AG$8)&lt;YEAR($AK194),DEBT!AF$14,0),0)</f>
        <v>0</v>
      </c>
      <c r="AH194" s="134">
        <f>IFERROR(IF(YEAR(AH$8)&lt;=YEAR($AK194),AH$71+AH$74+AH$76+AH$77+AH$97+AH$98,0)+IF(YEAR(AH$8)=YEAR($AK194),AH$122-AG$128-AH$122*DASHBOARD!$BD$27)+IF(YEAR(AH$8)&lt;YEAR($AK194),DEBT!AG$14,0),0)</f>
        <v>0</v>
      </c>
      <c r="AI194" s="242">
        <f>IFERROR(IF(YEAR(AI$8)&lt;=YEAR($AK194),AI$71+AI$74+AI$76+AI$77+AI$97+AI$98,0)+IF(YEAR(AI$8)=YEAR($AK194),AI$122-AH$128-AI$122*DASHBOARD!$BD$27)+IF(YEAR(AI$8)&lt;YEAR($AK194),DEBT!AH$14,0),0)</f>
        <v>0</v>
      </c>
      <c r="AJ194" s="1605"/>
      <c r="AK194" s="1704">
        <f t="shared" si="68"/>
        <v>56826</v>
      </c>
      <c r="AL194" s="450">
        <f t="shared" si="67"/>
        <v>0</v>
      </c>
      <c r="AM194" s="450">
        <f t="shared" si="69"/>
        <v>30</v>
      </c>
    </row>
    <row r="195" spans="1:39" s="292" customFormat="1" outlineLevel="1" x14ac:dyDescent="0.3">
      <c r="B195" s="941" t="s">
        <v>335</v>
      </c>
      <c r="C195" s="940" t="str">
        <f>IFERROR(INDEX(AK165:AK194,MATCH(MAX(B165:B194),B165:B194,0)),"n.a")</f>
        <v>n.a</v>
      </c>
      <c r="D195" s="940"/>
      <c r="E195" s="264"/>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65"/>
      <c r="AE195" s="265"/>
      <c r="AF195" s="265"/>
      <c r="AG195" s="265"/>
      <c r="AH195" s="265"/>
      <c r="AI195" s="266"/>
      <c r="AJ195" s="1608"/>
      <c r="AK195" s="924"/>
    </row>
    <row r="196" spans="1:39" s="289" customFormat="1" x14ac:dyDescent="0.3">
      <c r="B196" s="301"/>
      <c r="C196" s="304"/>
      <c r="D196" s="302"/>
      <c r="E196" s="303"/>
      <c r="F196" s="303"/>
      <c r="G196" s="303"/>
      <c r="H196" s="303"/>
      <c r="I196" s="303"/>
      <c r="J196" s="303"/>
      <c r="K196" s="303"/>
      <c r="L196" s="303"/>
      <c r="M196" s="303"/>
      <c r="N196" s="303"/>
      <c r="O196" s="303"/>
      <c r="P196" s="303"/>
      <c r="Q196" s="303"/>
      <c r="R196" s="303"/>
      <c r="S196" s="303"/>
      <c r="T196" s="303"/>
      <c r="U196" s="303"/>
      <c r="V196" s="303"/>
      <c r="W196" s="303"/>
      <c r="X196" s="303"/>
      <c r="Y196" s="303"/>
      <c r="Z196" s="303"/>
      <c r="AA196" s="303"/>
      <c r="AB196" s="303"/>
      <c r="AC196" s="303"/>
      <c r="AD196" s="303"/>
      <c r="AE196" s="303"/>
      <c r="AF196" s="303"/>
      <c r="AG196" s="303"/>
      <c r="AH196" s="303"/>
      <c r="AI196" s="303"/>
      <c r="AJ196" s="1605"/>
    </row>
    <row r="197" spans="1:39" s="293" customFormat="1" x14ac:dyDescent="0.3">
      <c r="B197" s="298"/>
      <c r="C197" s="298"/>
      <c r="D197" s="298"/>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c r="AE197" s="305"/>
      <c r="AF197" s="305"/>
      <c r="AG197" s="305"/>
      <c r="AH197" s="305"/>
      <c r="AI197" s="305"/>
      <c r="AJ197" s="1605"/>
    </row>
    <row r="198" spans="1:39" s="544" customFormat="1" ht="12" x14ac:dyDescent="0.3">
      <c r="A198" s="785" t="str">
        <f>DISCLAIMER!$A$35</f>
        <v>© 2025 by WinsWithMike.com or Michael Forsberg Nampa, Idaho. All rights reserved</v>
      </c>
      <c r="B198" s="786"/>
      <c r="C198" s="786"/>
      <c r="D198" s="786"/>
      <c r="E198" s="787"/>
      <c r="F198" s="787"/>
      <c r="G198" s="787"/>
      <c r="H198" s="787"/>
      <c r="I198" s="787"/>
      <c r="J198" s="787"/>
      <c r="K198" s="788"/>
      <c r="L198" s="788"/>
      <c r="M198" s="788"/>
      <c r="N198" s="788"/>
      <c r="O198" s="788"/>
      <c r="P198" s="788"/>
      <c r="Q198" s="788"/>
      <c r="R198" s="788"/>
      <c r="S198" s="788"/>
      <c r="T198" s="788"/>
      <c r="U198" s="788"/>
      <c r="V198" s="788"/>
      <c r="W198" s="788"/>
      <c r="X198" s="788"/>
      <c r="Y198" s="788"/>
      <c r="Z198" s="789"/>
      <c r="AA198" s="789"/>
      <c r="AB198" s="789"/>
      <c r="AC198" s="788"/>
      <c r="AD198" s="788"/>
      <c r="AE198" s="788"/>
      <c r="AF198" s="788"/>
      <c r="AG198" s="788"/>
      <c r="AH198" s="788"/>
      <c r="AI198" s="788"/>
      <c r="AJ198" s="1605"/>
    </row>
  </sheetData>
  <sheetProtection sheet="1" objects="1" scenarios="1" selectLockedCells="1"/>
  <autoFilter ref="B12:AJ126" xr:uid="{E6A06205-0D47-41CB-8CCA-3E1CEB4BC258}">
    <filterColumn colId="34">
      <customFilters>
        <customFilter operator="greaterThan" val="0"/>
      </customFilters>
    </filterColumn>
  </autoFilter>
  <phoneticPr fontId="2" type="noConversion"/>
  <conditionalFormatting sqref="B165:B194">
    <cfRule type="expression" dxfId="253" priority="36">
      <formula>B165=MAX($B$165:$B$194)</formula>
    </cfRule>
  </conditionalFormatting>
  <conditionalFormatting sqref="C165:C194">
    <cfRule type="expression" dxfId="252" priority="2061">
      <formula>C165=MAX($C$165:$C$194)</formula>
    </cfRule>
  </conditionalFormatting>
  <conditionalFormatting sqref="E66:AI67">
    <cfRule type="expression" dxfId="251" priority="274">
      <formula>E$5=3</formula>
    </cfRule>
  </conditionalFormatting>
  <conditionalFormatting sqref="E76:AI77">
    <cfRule type="expression" dxfId="250" priority="31">
      <formula>E$5=3</formula>
    </cfRule>
  </conditionalFormatting>
  <dataValidations disablePrompts="1" xWindow="282" yWindow="678" count="16">
    <dataValidation allowBlank="1" showInputMessage="1" showErrorMessage="1" promptTitle="Net Operating Income" prompt="= Gross Rental Income - Operating Expenses_x000a__x000a_It represents a property's operating cash flow before capital expenditures and financing expenses" sqref="D71" xr:uid="{ACAA0805-9E07-4BB1-9732-DC1162E11832}"/>
    <dataValidation allowBlank="1" showInputMessage="1" showErrorMessage="1" promptTitle="Net Rental Income" prompt="= Rental Income + Other Income + Additional Guest Fee - Host Service Fee" sqref="D26" xr:uid="{9F4837DE-EF4B-47C4-B0B6-A5AEC0452CB9}"/>
    <dataValidation allowBlank="1" showInputMessage="1" showErrorMessage="1" promptTitle="Custom Operating Expense" prompt="Enter non-recurring and custom operating expenses. Note that these expenses will impact your Net Operating Income (NOI) and all NOI-related financial ratios" sqref="B66:B67" xr:uid="{0E04825F-0DE1-4279-BB26-A1112CBA94C6}"/>
    <dataValidation allowBlank="1" showInputMessage="1" showErrorMessage="1" promptTitle="Custom Non Operating Expense" prompt="Enter non-recurring and custom  non-operating expenses. Note that these expenses will NOT impact your Net Operating Income (NOI) nor your NOI-related financial ratios" sqref="B76:B77" xr:uid="{C7EDDEF9-5D11-4EB5-A291-3566E45DE4A2}"/>
    <dataValidation allowBlank="1" showInputMessage="1" showErrorMessage="1" promptTitle="Recurring Levered Cash Flow" prompt="= cumulative recurring cash flow generated by the property over the years. It excludes cash generated through refinancing and proceeds from property sale" sqref="D102" xr:uid="{8AF3E6C8-A55D-4999-9DB5-970D9C618F64}"/>
    <dataValidation allowBlank="1" showInputMessage="1" showErrorMessage="1" promptTitle="Total Levered Cash Flow" prompt="= all cumulative levered cash flow (including refinancing and property sale proceeds)" sqref="D103" xr:uid="{9A3C4F38-52AE-424D-9EC2-C17C16B52209}"/>
    <dataValidation allowBlank="1" showErrorMessage="1" sqref="D116" xr:uid="{84EEF01A-C920-4820-86A7-D738FE86474B}"/>
    <dataValidation allowBlank="1" showInputMessage="1" showErrorMessage="1" promptTitle="Loan to Current Value" prompt="Debt Balance / Property Value" sqref="C132" xr:uid="{21B121B8-418A-43EA-9945-F71F6CB04781}"/>
    <dataValidation allowBlank="1" showInputMessage="1" showErrorMessage="1" promptTitle="Loan to Initial Value" prompt="Debt Balance / Purchase Price" sqref="C133" xr:uid="{AFDB49CB-CC4C-41E7-9CBD-318D87D29EF7}"/>
    <dataValidation allowBlank="1" showInputMessage="1" showErrorMessage="1" promptTitle="Purchase Cap Rate" prompt="NOI / ARV" sqref="C142" xr:uid="{4DD65A2E-6719-4DFC-B8EF-7DF896467C86}"/>
    <dataValidation allowBlank="1" showInputMessage="1" showErrorMessage="1" promptTitle="Adjusted Purchase Cap Rate" prompt="(NOI - CAPEX) / ARV" sqref="C143" xr:uid="{1EBAADF3-AA52-4A75-8124-00961D4BC106}"/>
    <dataValidation allowBlank="1" showInputMessage="1" showErrorMessage="1" promptTitle="Resale Cap Rate" prompt="NOI / Property Value" sqref="C144" xr:uid="{5C10E0AD-A05C-44DA-A71D-0FE811D6F632}"/>
    <dataValidation allowBlank="1" showInputMessage="1" showErrorMessage="1" promptTitle="Adjusted Resale Cap Rate" prompt="(NOI - Capex) / Property Value" sqref="C145" xr:uid="{ADC4C799-4A63-4448-95A9-29CF0A226AB8}"/>
    <dataValidation allowBlank="1" showInputMessage="1" showErrorMessage="1" promptTitle="Gross Rent Multipler" prompt="Property Value / Gross Scheduled Income" sqref="C147" xr:uid="{14C86DD8-7D55-48C4-A739-64A679FB6337}"/>
    <dataValidation allowBlank="1" showInputMessage="1" showErrorMessage="1" promptTitle="Cash on Cash Return (Unlevered)" prompt="Unlevered Cash Flow / Total Project Cost" sqref="C149" xr:uid="{40DB1192-682A-4DA8-ABFB-E54B96A16EE9}"/>
    <dataValidation allowBlank="1" showInputMessage="1" showErrorMessage="1" promptTitle="Cash on Cash Return (Levered)" prompt="Levered Cash Flow / Cash Needed" sqref="C150" xr:uid="{60E96F5F-29FA-4A57-B347-51623DC0018B}"/>
  </dataValidations>
  <hyperlinks>
    <hyperlink ref="C3" location="F_Operating" display="Operating" xr:uid="{D3865153-2B97-4CAE-B155-32174D612850}"/>
    <hyperlink ref="D3" location="F_Financing" display="Financing" xr:uid="{DFD9F291-7D24-4FD0-9D75-F645031D8BD0}"/>
    <hyperlink ref="E3" location="F_Client" display="Client View" xr:uid="{CCEC37ED-53D0-426B-83C2-C061EBE5AE0D}"/>
    <hyperlink ref="F3" location="F_Property" display="Property" xr:uid="{58755FDF-F0D3-46FD-86DB-5F2A8F522651}"/>
    <hyperlink ref="G3" location="F_Return" display="Return" xr:uid="{CD1E8C66-7CF9-4D49-B989-C8F19298D206}"/>
    <hyperlink ref="H3" location="F_Sale" display="Sale" xr:uid="{6F89051E-2FF7-45BF-B479-5B439F47DA8D}"/>
  </hyperlinks>
  <pageMargins left="0.25" right="0.25" top="0.75" bottom="0.75" header="0.3" footer="0.3"/>
  <pageSetup scale="39" orientation="landscape" r:id="rId1"/>
  <ignoredErrors>
    <ignoredError sqref="C153:C155" numberStoredAsText="1"/>
  </ignoredErrors>
  <drawing r:id="rId2"/>
  <extLst>
    <ext xmlns:x14="http://schemas.microsoft.com/office/spreadsheetml/2009/9/main" uri="{78C0D931-6437-407d-A8EE-F0AAD7539E65}">
      <x14:conditionalFormattings>
        <x14:conditionalFormatting xmlns:xm="http://schemas.microsoft.com/office/excel/2006/main">
          <x14:cfRule type="expression" priority="2109" id="{FCDE337C-9F85-4E02-A8E6-9152DBF6ADA5}">
            <xm:f>DASHBOARD!$L$140&lt;&gt;0</xm:f>
            <x14:dxf>
              <font>
                <b val="0"/>
                <i val="0"/>
                <color theme="0" tint="-0.24994659260841701"/>
              </font>
              <fill>
                <patternFill>
                  <bgColor theme="0" tint="-4.9989318521683403E-2"/>
                </patternFill>
              </fill>
            </x14:dxf>
          </x14:cfRule>
          <xm:sqref>B66:AI67 B30:AI30 B32:AI32 B34:AI34 B36:AI36 B38:AI38 B40:AI40 B42:AI42 B44:AI44 B46:AI46 B48:AI48 B50:AI50 B52:AI52 B54:AI54 B56:AI56 B58:AI58 B60:AI60 B62:AI62 B64:AI64 B74:AI74</xm:sqref>
        </x14:conditionalFormatting>
        <x14:conditionalFormatting xmlns:xm="http://schemas.microsoft.com/office/excel/2006/main">
          <x14:cfRule type="expression" priority="2163" id="{5B826271-E41F-42C5-8557-93C599827448}">
            <xm:f>$AM165&gt;DASHBOARD!$D$28</xm:f>
            <x14:dxf>
              <font>
                <b val="0"/>
                <i/>
                <color theme="0" tint="-0.24994659260841701"/>
              </font>
              <fill>
                <patternFill>
                  <bgColor theme="0" tint="-4.9989318521683403E-2"/>
                </patternFill>
              </fill>
            </x14:dxf>
          </x14:cfRule>
          <xm:sqref>B165:AI194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3DFEA-481C-4F2A-9115-F55DC474C7E4}">
  <sheetPr codeName="Sheet4">
    <tabColor rgb="FF5168B3"/>
    <pageSetUpPr fitToPage="1"/>
  </sheetPr>
  <dimension ref="A1:AW47"/>
  <sheetViews>
    <sheetView showGridLines="0" showRowColHeaders="0" zoomScaleNormal="100" zoomScaleSheetLayoutView="85" workbookViewId="0">
      <pane ySplit="4" topLeftCell="A5" activePane="bottomLeft" state="frozen"/>
      <selection pane="bottomLeft" activeCell="A5" sqref="A5"/>
    </sheetView>
  </sheetViews>
  <sheetFormatPr defaultColWidth="9.109375" defaultRowHeight="13.8" x14ac:dyDescent="0.25"/>
  <cols>
    <col min="1" max="1" width="2.88671875" style="274" customWidth="1"/>
    <col min="2" max="2" width="26.109375" style="274" customWidth="1"/>
    <col min="3" max="3" width="10.5546875" style="274" customWidth="1"/>
    <col min="4" max="34" width="9.109375" style="274" customWidth="1"/>
    <col min="35" max="35" width="3.88671875" style="274" customWidth="1"/>
    <col min="36" max="40" width="9.109375" style="274" customWidth="1"/>
    <col min="41" max="16384" width="9.109375" style="274"/>
  </cols>
  <sheetData>
    <row r="1" spans="1:49" s="1244" customFormat="1" ht="30" customHeight="1" x14ac:dyDescent="0.25">
      <c r="A1" s="1685" t="s">
        <v>759</v>
      </c>
    </row>
    <row r="2" spans="1:49" s="673" customFormat="1" ht="18.75" customHeight="1" x14ac:dyDescent="0.25">
      <c r="A2" s="1685"/>
      <c r="B2" s="1244"/>
      <c r="C2" s="1244"/>
      <c r="D2" s="1244"/>
      <c r="E2" s="1244"/>
      <c r="F2" s="1244"/>
      <c r="G2" s="1244"/>
      <c r="H2" s="1244"/>
      <c r="I2" s="1244"/>
      <c r="J2" s="1244"/>
      <c r="K2" s="1244"/>
      <c r="L2" s="1244"/>
      <c r="M2" s="1244"/>
      <c r="N2" s="1244"/>
      <c r="O2" s="1244"/>
      <c r="P2" s="1244"/>
      <c r="Q2" s="1244"/>
      <c r="R2" s="1244"/>
      <c r="S2" s="1244"/>
      <c r="T2" s="1244"/>
      <c r="U2" s="1244"/>
      <c r="V2" s="1244"/>
      <c r="W2" s="1244"/>
      <c r="X2" s="1244"/>
      <c r="Y2" s="1244"/>
      <c r="Z2" s="1244"/>
      <c r="AA2" s="1244"/>
      <c r="AB2" s="1244"/>
      <c r="AC2" s="1244"/>
      <c r="AD2" s="1244"/>
      <c r="AE2" s="1244"/>
      <c r="AF2" s="1244"/>
      <c r="AG2" s="1244"/>
      <c r="AH2" s="1244"/>
      <c r="AI2" s="1244"/>
      <c r="AJ2" s="1244"/>
      <c r="AK2" s="1244"/>
      <c r="AL2" s="1244"/>
      <c r="AM2" s="1244"/>
      <c r="AN2" s="1244"/>
      <c r="AO2" s="1244"/>
      <c r="AP2" s="1244"/>
      <c r="AQ2" s="1244"/>
      <c r="AR2" s="1244"/>
      <c r="AS2" s="1244"/>
      <c r="AT2" s="1244"/>
      <c r="AU2" s="1244"/>
      <c r="AV2" s="1244"/>
      <c r="AW2" s="1244"/>
    </row>
    <row r="3" spans="1:49" ht="15" customHeight="1" x14ac:dyDescent="0.25">
      <c r="A3" s="1685"/>
      <c r="B3" s="1244"/>
      <c r="C3" s="1244"/>
      <c r="D3" s="1244"/>
      <c r="E3" s="1244"/>
      <c r="F3" s="1244"/>
      <c r="G3" s="1244"/>
      <c r="H3" s="1244"/>
      <c r="I3" s="1244"/>
      <c r="J3" s="1244"/>
      <c r="K3" s="1244"/>
      <c r="L3" s="1244"/>
      <c r="M3" s="1244"/>
      <c r="N3" s="1244"/>
      <c r="O3" s="1244"/>
      <c r="P3" s="1244"/>
      <c r="Q3" s="1244"/>
      <c r="R3" s="1244"/>
      <c r="S3" s="1244"/>
      <c r="T3" s="1244"/>
      <c r="U3" s="1244"/>
      <c r="V3" s="1244"/>
      <c r="W3" s="1244"/>
      <c r="X3" s="1244"/>
      <c r="Y3" s="1244"/>
      <c r="Z3" s="1244"/>
      <c r="AA3" s="1244"/>
      <c r="AB3" s="1244"/>
      <c r="AC3" s="1244"/>
      <c r="AD3" s="1244"/>
      <c r="AE3" s="1244"/>
      <c r="AF3" s="1244"/>
      <c r="AG3" s="1244"/>
      <c r="AH3" s="1244"/>
      <c r="AI3" s="1244"/>
      <c r="AJ3" s="1244"/>
      <c r="AK3" s="1244"/>
      <c r="AL3" s="1244"/>
      <c r="AM3" s="1244"/>
      <c r="AN3" s="1244"/>
      <c r="AO3" s="1244"/>
      <c r="AP3" s="1244"/>
      <c r="AQ3" s="1244"/>
      <c r="AR3" s="1244"/>
      <c r="AS3" s="1244"/>
      <c r="AT3" s="1244"/>
      <c r="AU3" s="1244"/>
      <c r="AV3" s="1244"/>
      <c r="AW3" s="1244"/>
    </row>
    <row r="4" spans="1:49" s="1667" customFormat="1" ht="15" customHeight="1" x14ac:dyDescent="0.25">
      <c r="A4" s="673"/>
      <c r="B4" s="673"/>
      <c r="C4" s="538" t="s">
        <v>761</v>
      </c>
      <c r="D4" s="2582">
        <f>DASHBOARD!AE25</f>
        <v>45870</v>
      </c>
      <c r="E4" s="2582"/>
      <c r="F4" s="538" t="s">
        <v>762</v>
      </c>
      <c r="G4" s="2582">
        <f>DASHBOARD!AE29</f>
        <v>45870</v>
      </c>
      <c r="H4" s="2582"/>
      <c r="I4" s="1748"/>
      <c r="J4" s="1748"/>
      <c r="K4" s="1748"/>
      <c r="L4" s="673"/>
      <c r="M4" s="673"/>
      <c r="N4" s="673"/>
      <c r="O4" s="673"/>
      <c r="P4" s="673"/>
      <c r="Q4" s="673"/>
      <c r="R4" s="673"/>
      <c r="S4" s="673"/>
      <c r="T4" s="673"/>
      <c r="U4" s="673"/>
      <c r="V4" s="673"/>
      <c r="W4" s="673"/>
      <c r="X4" s="673"/>
      <c r="Y4" s="673"/>
      <c r="Z4" s="673"/>
      <c r="AA4" s="673"/>
      <c r="AB4" s="673"/>
      <c r="AC4" s="673"/>
      <c r="AD4" s="673"/>
      <c r="AE4" s="673"/>
      <c r="AF4" s="673"/>
      <c r="AG4" s="673"/>
      <c r="AH4" s="673"/>
      <c r="AI4" s="673"/>
      <c r="AJ4" s="673"/>
      <c r="AK4" s="673"/>
      <c r="AL4" s="673"/>
      <c r="AM4" s="673"/>
      <c r="AN4" s="673"/>
      <c r="AO4" s="673"/>
      <c r="AP4" s="673"/>
      <c r="AQ4" s="673"/>
      <c r="AR4" s="673"/>
      <c r="AS4" s="673"/>
      <c r="AT4" s="673"/>
      <c r="AU4" s="673"/>
      <c r="AV4" s="673"/>
      <c r="AW4" s="673"/>
    </row>
    <row r="5" spans="1:49" s="283" customFormat="1" ht="15" customHeight="1" x14ac:dyDescent="0.25">
      <c r="A5" s="1860"/>
      <c r="B5" s="274"/>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row>
    <row r="6" spans="1:49" s="313" customFormat="1" ht="15" customHeight="1" x14ac:dyDescent="0.25">
      <c r="A6" s="1667"/>
      <c r="B6" s="1667"/>
      <c r="C6" s="1667"/>
      <c r="D6" s="1668">
        <f>FORECASTS!E5</f>
        <v>2</v>
      </c>
      <c r="E6" s="1668">
        <f>FORECASTS!F5</f>
        <v>3</v>
      </c>
      <c r="F6" s="1668">
        <f>FORECASTS!G5</f>
        <v>3</v>
      </c>
      <c r="G6" s="1668">
        <f>FORECASTS!H5</f>
        <v>3</v>
      </c>
      <c r="H6" s="1668">
        <f>FORECASTS!I5</f>
        <v>3</v>
      </c>
      <c r="I6" s="1668">
        <f>FORECASTS!J5</f>
        <v>3</v>
      </c>
      <c r="J6" s="1668">
        <f>FORECASTS!K5</f>
        <v>3</v>
      </c>
      <c r="K6" s="1668">
        <f>FORECASTS!L5</f>
        <v>3</v>
      </c>
      <c r="L6" s="1668">
        <f>FORECASTS!M5</f>
        <v>3</v>
      </c>
      <c r="M6" s="1668">
        <f>FORECASTS!N5</f>
        <v>3</v>
      </c>
      <c r="N6" s="1668">
        <f>FORECASTS!O5</f>
        <v>3</v>
      </c>
      <c r="O6" s="1668">
        <f>FORECASTS!P5</f>
        <v>3</v>
      </c>
      <c r="P6" s="1668">
        <f>FORECASTS!Q5</f>
        <v>3</v>
      </c>
      <c r="Q6" s="1668">
        <f>FORECASTS!R5</f>
        <v>3</v>
      </c>
      <c r="R6" s="1668">
        <f>FORECASTS!S5</f>
        <v>3</v>
      </c>
      <c r="S6" s="1668">
        <f>FORECASTS!T5</f>
        <v>3</v>
      </c>
      <c r="T6" s="1668">
        <f>FORECASTS!U5</f>
        <v>3</v>
      </c>
      <c r="U6" s="1668">
        <f>FORECASTS!V5</f>
        <v>3</v>
      </c>
      <c r="V6" s="1668">
        <f>FORECASTS!W5</f>
        <v>3</v>
      </c>
      <c r="W6" s="1668">
        <f>FORECASTS!X5</f>
        <v>3</v>
      </c>
      <c r="X6" s="1668">
        <f>FORECASTS!Y5</f>
        <v>3</v>
      </c>
      <c r="Y6" s="1668">
        <f>FORECASTS!Z5</f>
        <v>3</v>
      </c>
      <c r="Z6" s="1668">
        <f>FORECASTS!AA5</f>
        <v>3</v>
      </c>
      <c r="AA6" s="1668">
        <f>FORECASTS!AB5</f>
        <v>3</v>
      </c>
      <c r="AB6" s="1668">
        <f>FORECASTS!AC5</f>
        <v>3</v>
      </c>
      <c r="AC6" s="1668">
        <f>FORECASTS!AD5</f>
        <v>3</v>
      </c>
      <c r="AD6" s="1668">
        <f>FORECASTS!AE5</f>
        <v>3</v>
      </c>
      <c r="AE6" s="1668">
        <f>FORECASTS!AF5</f>
        <v>3</v>
      </c>
      <c r="AF6" s="1668">
        <f>FORECASTS!AG5</f>
        <v>3</v>
      </c>
      <c r="AG6" s="1668">
        <f>FORECASTS!AH5</f>
        <v>3</v>
      </c>
      <c r="AH6" s="1668">
        <f>FORECASTS!AI5</f>
        <v>3</v>
      </c>
      <c r="AI6" s="1667"/>
      <c r="AJ6" s="1667"/>
      <c r="AK6" s="1667"/>
      <c r="AL6" s="1667"/>
      <c r="AM6" s="1667"/>
      <c r="AN6" s="1667"/>
      <c r="AO6" s="1667"/>
      <c r="AP6" s="1667"/>
      <c r="AQ6" s="1667"/>
      <c r="AR6" s="1667"/>
      <c r="AS6" s="1667"/>
      <c r="AT6" s="1667"/>
      <c r="AU6" s="1667"/>
      <c r="AV6" s="1667"/>
      <c r="AW6" s="1667"/>
    </row>
    <row r="7" spans="1:49" s="289" customFormat="1" ht="15" customHeight="1" x14ac:dyDescent="0.3">
      <c r="A7" s="283"/>
      <c r="B7" s="1749" t="s">
        <v>304</v>
      </c>
      <c r="C7" s="722"/>
      <c r="D7" s="722"/>
      <c r="E7" s="722"/>
      <c r="F7" s="722"/>
      <c r="G7" s="722"/>
      <c r="H7" s="722"/>
      <c r="I7" s="722"/>
      <c r="J7" s="722"/>
      <c r="K7" s="722"/>
      <c r="L7" s="722"/>
      <c r="M7" s="722"/>
      <c r="N7" s="722"/>
      <c r="O7" s="722"/>
      <c r="P7" s="722"/>
      <c r="Q7" s="722"/>
      <c r="R7" s="722"/>
      <c r="S7" s="722"/>
      <c r="T7" s="722"/>
      <c r="U7" s="722"/>
      <c r="V7" s="722"/>
      <c r="W7" s="722"/>
      <c r="X7" s="722"/>
      <c r="Y7" s="722"/>
      <c r="Z7" s="722"/>
      <c r="AA7" s="722"/>
      <c r="AB7" s="722"/>
      <c r="AC7" s="722"/>
      <c r="AD7" s="722"/>
      <c r="AE7" s="722"/>
      <c r="AF7" s="722"/>
      <c r="AG7" s="722"/>
      <c r="AH7" s="723"/>
      <c r="AI7" s="283"/>
      <c r="AJ7" s="283"/>
      <c r="AK7" s="283"/>
      <c r="AL7" s="283"/>
      <c r="AM7" s="283"/>
      <c r="AN7" s="283"/>
      <c r="AO7" s="283"/>
      <c r="AP7" s="283"/>
      <c r="AQ7" s="283"/>
      <c r="AR7" s="283"/>
      <c r="AS7" s="283"/>
      <c r="AT7" s="283"/>
      <c r="AU7" s="283"/>
      <c r="AV7" s="283"/>
      <c r="AW7" s="283"/>
    </row>
    <row r="8" spans="1:49" s="289" customFormat="1" ht="15" customHeight="1" x14ac:dyDescent="0.25">
      <c r="A8" s="313"/>
      <c r="B8" s="724"/>
      <c r="C8" s="725"/>
      <c r="D8" s="725">
        <v>1</v>
      </c>
      <c r="E8" s="725">
        <f t="shared" ref="E8:AH8" si="0">D8+1</f>
        <v>2</v>
      </c>
      <c r="F8" s="725">
        <f t="shared" si="0"/>
        <v>3</v>
      </c>
      <c r="G8" s="725">
        <f t="shared" si="0"/>
        <v>4</v>
      </c>
      <c r="H8" s="725">
        <f t="shared" si="0"/>
        <v>5</v>
      </c>
      <c r="I8" s="725">
        <f t="shared" si="0"/>
        <v>6</v>
      </c>
      <c r="J8" s="725">
        <f t="shared" si="0"/>
        <v>7</v>
      </c>
      <c r="K8" s="725">
        <f t="shared" si="0"/>
        <v>8</v>
      </c>
      <c r="L8" s="725">
        <f t="shared" si="0"/>
        <v>9</v>
      </c>
      <c r="M8" s="725">
        <f t="shared" si="0"/>
        <v>10</v>
      </c>
      <c r="N8" s="725">
        <f t="shared" si="0"/>
        <v>11</v>
      </c>
      <c r="O8" s="725">
        <f t="shared" si="0"/>
        <v>12</v>
      </c>
      <c r="P8" s="725">
        <f t="shared" si="0"/>
        <v>13</v>
      </c>
      <c r="Q8" s="725">
        <f t="shared" si="0"/>
        <v>14</v>
      </c>
      <c r="R8" s="725">
        <f t="shared" si="0"/>
        <v>15</v>
      </c>
      <c r="S8" s="725">
        <f t="shared" si="0"/>
        <v>16</v>
      </c>
      <c r="T8" s="725">
        <f t="shared" si="0"/>
        <v>17</v>
      </c>
      <c r="U8" s="725">
        <f t="shared" si="0"/>
        <v>18</v>
      </c>
      <c r="V8" s="725">
        <f t="shared" si="0"/>
        <v>19</v>
      </c>
      <c r="W8" s="725">
        <f t="shared" si="0"/>
        <v>20</v>
      </c>
      <c r="X8" s="725">
        <f t="shared" si="0"/>
        <v>21</v>
      </c>
      <c r="Y8" s="725">
        <f t="shared" si="0"/>
        <v>22</v>
      </c>
      <c r="Z8" s="725">
        <f t="shared" si="0"/>
        <v>23</v>
      </c>
      <c r="AA8" s="725">
        <f t="shared" si="0"/>
        <v>24</v>
      </c>
      <c r="AB8" s="725">
        <f t="shared" si="0"/>
        <v>25</v>
      </c>
      <c r="AC8" s="725">
        <f t="shared" si="0"/>
        <v>26</v>
      </c>
      <c r="AD8" s="725">
        <f t="shared" si="0"/>
        <v>27</v>
      </c>
      <c r="AE8" s="725">
        <f t="shared" si="0"/>
        <v>28</v>
      </c>
      <c r="AF8" s="725">
        <f t="shared" si="0"/>
        <v>29</v>
      </c>
      <c r="AG8" s="725">
        <f t="shared" si="0"/>
        <v>30</v>
      </c>
      <c r="AH8" s="726">
        <f t="shared" si="0"/>
        <v>31</v>
      </c>
      <c r="AI8" s="313"/>
      <c r="AJ8" s="313"/>
      <c r="AK8" s="313"/>
      <c r="AL8" s="313"/>
      <c r="AM8" s="313"/>
      <c r="AN8" s="313"/>
      <c r="AO8" s="313"/>
      <c r="AP8" s="313"/>
      <c r="AQ8" s="313"/>
      <c r="AR8" s="313"/>
      <c r="AS8" s="313"/>
      <c r="AT8" s="313"/>
      <c r="AU8" s="313"/>
      <c r="AV8" s="313"/>
      <c r="AW8" s="313"/>
    </row>
    <row r="9" spans="1:49" s="314" customFormat="1" x14ac:dyDescent="0.3">
      <c r="A9" s="289"/>
      <c r="B9" s="768"/>
      <c r="C9" s="238" t="s">
        <v>749</v>
      </c>
      <c r="D9" s="818">
        <f>FORECASTS!E8</f>
        <v>46022</v>
      </c>
      <c r="E9" s="6">
        <f>FORECASTS!F8</f>
        <v>46387</v>
      </c>
      <c r="F9" s="6">
        <f>FORECASTS!G8</f>
        <v>46752</v>
      </c>
      <c r="G9" s="6">
        <f>FORECASTS!H8</f>
        <v>47118</v>
      </c>
      <c r="H9" s="6">
        <f>FORECASTS!I8</f>
        <v>47483</v>
      </c>
      <c r="I9" s="6">
        <f>FORECASTS!J8</f>
        <v>47848</v>
      </c>
      <c r="J9" s="6">
        <f>FORECASTS!K8</f>
        <v>48213</v>
      </c>
      <c r="K9" s="6">
        <f>FORECASTS!L8</f>
        <v>48579</v>
      </c>
      <c r="L9" s="6">
        <f>FORECASTS!M8</f>
        <v>48944</v>
      </c>
      <c r="M9" s="6">
        <f>FORECASTS!N8</f>
        <v>49309</v>
      </c>
      <c r="N9" s="6">
        <f>FORECASTS!O8</f>
        <v>49674</v>
      </c>
      <c r="O9" s="6">
        <f>FORECASTS!P8</f>
        <v>50040</v>
      </c>
      <c r="P9" s="6">
        <f>FORECASTS!Q8</f>
        <v>50405</v>
      </c>
      <c r="Q9" s="6">
        <f>FORECASTS!R8</f>
        <v>50770</v>
      </c>
      <c r="R9" s="6">
        <f>FORECASTS!S8</f>
        <v>51135</v>
      </c>
      <c r="S9" s="6">
        <f>FORECASTS!T8</f>
        <v>51501</v>
      </c>
      <c r="T9" s="6">
        <f>FORECASTS!U8</f>
        <v>51866</v>
      </c>
      <c r="U9" s="6">
        <f>FORECASTS!V8</f>
        <v>52231</v>
      </c>
      <c r="V9" s="6">
        <f>FORECASTS!W8</f>
        <v>52596</v>
      </c>
      <c r="W9" s="6">
        <f>FORECASTS!X8</f>
        <v>52962</v>
      </c>
      <c r="X9" s="6">
        <f>FORECASTS!Y8</f>
        <v>53327</v>
      </c>
      <c r="Y9" s="6">
        <f>FORECASTS!Z8</f>
        <v>53692</v>
      </c>
      <c r="Z9" s="6">
        <f>FORECASTS!AA8</f>
        <v>54057</v>
      </c>
      <c r="AA9" s="6">
        <f>FORECASTS!AB8</f>
        <v>54423</v>
      </c>
      <c r="AB9" s="6">
        <f>FORECASTS!AC8</f>
        <v>54788</v>
      </c>
      <c r="AC9" s="6">
        <f>FORECASTS!AD8</f>
        <v>55153</v>
      </c>
      <c r="AD9" s="6">
        <f>FORECASTS!AE8</f>
        <v>55518</v>
      </c>
      <c r="AE9" s="6">
        <f>FORECASTS!AF8</f>
        <v>55884</v>
      </c>
      <c r="AF9" s="6">
        <f>FORECASTS!AG8</f>
        <v>56249</v>
      </c>
      <c r="AG9" s="6">
        <f>FORECASTS!AH8</f>
        <v>56614</v>
      </c>
      <c r="AH9" s="791">
        <f>FORECASTS!AI8</f>
        <v>56979</v>
      </c>
      <c r="AI9" s="294"/>
      <c r="AJ9" s="294"/>
      <c r="AK9" s="294"/>
      <c r="AL9" s="289"/>
      <c r="AM9" s="289"/>
      <c r="AN9" s="289"/>
      <c r="AO9" s="289"/>
      <c r="AP9" s="289"/>
      <c r="AQ9" s="289"/>
      <c r="AR9" s="289"/>
      <c r="AS9" s="289"/>
      <c r="AT9" s="289"/>
      <c r="AU9" s="289"/>
      <c r="AV9" s="289"/>
      <c r="AW9" s="289"/>
    </row>
    <row r="10" spans="1:49" s="314" customFormat="1" ht="15" customHeight="1" x14ac:dyDescent="0.3">
      <c r="A10" s="289"/>
      <c r="B10" s="768"/>
      <c r="C10" s="238" t="s">
        <v>750</v>
      </c>
      <c r="D10" s="819">
        <f>FORECASTS!E9</f>
        <v>6.9698630136986308</v>
      </c>
      <c r="E10" s="792">
        <f>FORECASTS!F9</f>
        <v>0</v>
      </c>
      <c r="F10" s="792">
        <f>FORECASTS!G9</f>
        <v>0</v>
      </c>
      <c r="G10" s="792">
        <f>FORECASTS!H9</f>
        <v>0</v>
      </c>
      <c r="H10" s="792">
        <f>FORECASTS!I9</f>
        <v>0</v>
      </c>
      <c r="I10" s="792">
        <f>FORECASTS!J9</f>
        <v>0</v>
      </c>
      <c r="J10" s="792">
        <f>FORECASTS!K9</f>
        <v>0</v>
      </c>
      <c r="K10" s="792">
        <f>FORECASTS!L9</f>
        <v>0</v>
      </c>
      <c r="L10" s="792">
        <f>FORECASTS!M9</f>
        <v>0</v>
      </c>
      <c r="M10" s="792">
        <f>FORECASTS!N9</f>
        <v>0</v>
      </c>
      <c r="N10" s="792">
        <f>FORECASTS!O9</f>
        <v>0</v>
      </c>
      <c r="O10" s="792">
        <f>FORECASTS!P9</f>
        <v>0</v>
      </c>
      <c r="P10" s="792">
        <f>FORECASTS!Q9</f>
        <v>0</v>
      </c>
      <c r="Q10" s="792">
        <f>FORECASTS!R9</f>
        <v>0</v>
      </c>
      <c r="R10" s="792">
        <f>FORECASTS!S9</f>
        <v>0</v>
      </c>
      <c r="S10" s="792">
        <f>FORECASTS!T9</f>
        <v>0</v>
      </c>
      <c r="T10" s="792">
        <f>FORECASTS!U9</f>
        <v>0</v>
      </c>
      <c r="U10" s="792">
        <f>FORECASTS!V9</f>
        <v>0</v>
      </c>
      <c r="V10" s="792">
        <f>FORECASTS!W9</f>
        <v>0</v>
      </c>
      <c r="W10" s="792">
        <f>FORECASTS!X9</f>
        <v>0</v>
      </c>
      <c r="X10" s="792">
        <f>FORECASTS!Y9</f>
        <v>0</v>
      </c>
      <c r="Y10" s="792">
        <f>FORECASTS!Z9</f>
        <v>0</v>
      </c>
      <c r="Z10" s="792">
        <f>FORECASTS!AA9</f>
        <v>0</v>
      </c>
      <c r="AA10" s="792">
        <f>FORECASTS!AB9</f>
        <v>0</v>
      </c>
      <c r="AB10" s="792">
        <f>FORECASTS!AC9</f>
        <v>0</v>
      </c>
      <c r="AC10" s="792">
        <f>FORECASTS!AD9</f>
        <v>0</v>
      </c>
      <c r="AD10" s="792">
        <f>FORECASTS!AE9</f>
        <v>0</v>
      </c>
      <c r="AE10" s="792">
        <f>FORECASTS!AF9</f>
        <v>0</v>
      </c>
      <c r="AF10" s="792">
        <f>FORECASTS!AG9</f>
        <v>0</v>
      </c>
      <c r="AG10" s="792">
        <f>FORECASTS!AH9</f>
        <v>0</v>
      </c>
      <c r="AH10" s="793">
        <f>FORECASTS!AI9</f>
        <v>0</v>
      </c>
      <c r="AI10" s="294"/>
      <c r="AJ10" s="294"/>
      <c r="AK10" s="294"/>
      <c r="AL10" s="289"/>
      <c r="AM10" s="289"/>
      <c r="AN10" s="289"/>
      <c r="AO10" s="289"/>
      <c r="AP10" s="289"/>
      <c r="AQ10" s="289"/>
      <c r="AR10" s="289"/>
      <c r="AS10" s="289"/>
      <c r="AT10" s="289"/>
      <c r="AU10" s="289"/>
      <c r="AV10" s="289"/>
      <c r="AW10" s="289"/>
    </row>
    <row r="11" spans="1:49" s="289" customFormat="1" ht="15" customHeight="1" x14ac:dyDescent="0.3">
      <c r="A11" s="314"/>
      <c r="B11" s="703"/>
      <c r="C11" s="700"/>
      <c r="D11" s="820"/>
      <c r="E11" s="794"/>
      <c r="F11" s="794"/>
      <c r="G11" s="794"/>
      <c r="H11" s="794"/>
      <c r="I11" s="794"/>
      <c r="J11" s="794"/>
      <c r="K11" s="794"/>
      <c r="L11" s="794"/>
      <c r="M11" s="794"/>
      <c r="N11" s="794"/>
      <c r="O11" s="794"/>
      <c r="P11" s="794"/>
      <c r="Q11" s="794"/>
      <c r="R11" s="794"/>
      <c r="S11" s="794"/>
      <c r="T11" s="794"/>
      <c r="U11" s="794"/>
      <c r="V11" s="794"/>
      <c r="W11" s="794"/>
      <c r="X11" s="794"/>
      <c r="Y11" s="794"/>
      <c r="Z11" s="794"/>
      <c r="AA11" s="794"/>
      <c r="AB11" s="794"/>
      <c r="AC11" s="794"/>
      <c r="AD11" s="794"/>
      <c r="AE11" s="794"/>
      <c r="AF11" s="794"/>
      <c r="AG11" s="794"/>
      <c r="AH11" s="704"/>
      <c r="AI11" s="318"/>
      <c r="AJ11" s="318"/>
      <c r="AK11" s="318"/>
      <c r="AL11" s="314"/>
      <c r="AM11" s="314"/>
      <c r="AN11" s="314"/>
      <c r="AO11" s="314"/>
      <c r="AP11" s="314"/>
      <c r="AQ11" s="314"/>
      <c r="AR11" s="314"/>
      <c r="AS11" s="314"/>
      <c r="AT11" s="314"/>
      <c r="AU11" s="314"/>
      <c r="AV11" s="314"/>
      <c r="AW11" s="314"/>
    </row>
    <row r="12" spans="1:49" s="289" customFormat="1" ht="15" customHeight="1" x14ac:dyDescent="0.3">
      <c r="A12" s="314"/>
      <c r="B12" s="727" t="s">
        <v>293</v>
      </c>
      <c r="C12" s="836" t="s">
        <v>20</v>
      </c>
      <c r="D12" s="821">
        <v>1</v>
      </c>
      <c r="E12" s="341">
        <f>D12+1</f>
        <v>2</v>
      </c>
      <c r="F12" s="341">
        <f t="shared" ref="F12:AH12" si="1">E12+1</f>
        <v>3</v>
      </c>
      <c r="G12" s="341">
        <f t="shared" si="1"/>
        <v>4</v>
      </c>
      <c r="H12" s="341">
        <f t="shared" si="1"/>
        <v>5</v>
      </c>
      <c r="I12" s="341">
        <f t="shared" si="1"/>
        <v>6</v>
      </c>
      <c r="J12" s="341">
        <f t="shared" si="1"/>
        <v>7</v>
      </c>
      <c r="K12" s="341">
        <f t="shared" si="1"/>
        <v>8</v>
      </c>
      <c r="L12" s="341">
        <f t="shared" si="1"/>
        <v>9</v>
      </c>
      <c r="M12" s="341">
        <f t="shared" si="1"/>
        <v>10</v>
      </c>
      <c r="N12" s="341">
        <f t="shared" si="1"/>
        <v>11</v>
      </c>
      <c r="O12" s="341">
        <f t="shared" si="1"/>
        <v>12</v>
      </c>
      <c r="P12" s="341">
        <f t="shared" si="1"/>
        <v>13</v>
      </c>
      <c r="Q12" s="341">
        <f t="shared" si="1"/>
        <v>14</v>
      </c>
      <c r="R12" s="341">
        <f t="shared" si="1"/>
        <v>15</v>
      </c>
      <c r="S12" s="341">
        <f t="shared" si="1"/>
        <v>16</v>
      </c>
      <c r="T12" s="341">
        <f t="shared" si="1"/>
        <v>17</v>
      </c>
      <c r="U12" s="341">
        <f t="shared" si="1"/>
        <v>18</v>
      </c>
      <c r="V12" s="341">
        <f t="shared" si="1"/>
        <v>19</v>
      </c>
      <c r="W12" s="341">
        <f t="shared" si="1"/>
        <v>20</v>
      </c>
      <c r="X12" s="341">
        <f t="shared" si="1"/>
        <v>21</v>
      </c>
      <c r="Y12" s="341">
        <f t="shared" si="1"/>
        <v>22</v>
      </c>
      <c r="Z12" s="341">
        <f t="shared" si="1"/>
        <v>23</v>
      </c>
      <c r="AA12" s="341">
        <f t="shared" si="1"/>
        <v>24</v>
      </c>
      <c r="AB12" s="341">
        <f t="shared" si="1"/>
        <v>25</v>
      </c>
      <c r="AC12" s="341">
        <f t="shared" si="1"/>
        <v>26</v>
      </c>
      <c r="AD12" s="341">
        <f t="shared" si="1"/>
        <v>27</v>
      </c>
      <c r="AE12" s="341">
        <f t="shared" si="1"/>
        <v>28</v>
      </c>
      <c r="AF12" s="341">
        <f t="shared" si="1"/>
        <v>29</v>
      </c>
      <c r="AG12" s="341">
        <f t="shared" si="1"/>
        <v>30</v>
      </c>
      <c r="AH12" s="705">
        <f t="shared" si="1"/>
        <v>31</v>
      </c>
      <c r="AI12" s="318"/>
      <c r="AJ12" s="318"/>
      <c r="AK12" s="318"/>
      <c r="AL12" s="314"/>
      <c r="AM12" s="314"/>
      <c r="AN12" s="314"/>
      <c r="AO12" s="314"/>
      <c r="AP12" s="314"/>
      <c r="AQ12" s="314"/>
      <c r="AR12" s="314"/>
      <c r="AS12" s="314"/>
      <c r="AT12" s="314"/>
      <c r="AU12" s="314"/>
      <c r="AV12" s="314"/>
      <c r="AW12" s="314"/>
    </row>
    <row r="13" spans="1:49" s="289" customFormat="1" ht="15" customHeight="1" x14ac:dyDescent="0.3">
      <c r="A13" s="314"/>
      <c r="B13" s="706" t="s">
        <v>89</v>
      </c>
      <c r="C13" s="86"/>
      <c r="D13" s="822">
        <f>DASHBOARD!AZ88</f>
        <v>118970</v>
      </c>
      <c r="E13" s="14">
        <f>D17</f>
        <v>0</v>
      </c>
      <c r="F13" s="14">
        <f t="shared" ref="F13:AH13" si="2">E17</f>
        <v>0</v>
      </c>
      <c r="G13" s="14">
        <f t="shared" si="2"/>
        <v>0</v>
      </c>
      <c r="H13" s="14">
        <f t="shared" si="2"/>
        <v>0</v>
      </c>
      <c r="I13" s="14">
        <f t="shared" si="2"/>
        <v>0</v>
      </c>
      <c r="J13" s="14">
        <f t="shared" si="2"/>
        <v>0</v>
      </c>
      <c r="K13" s="14">
        <f t="shared" si="2"/>
        <v>0</v>
      </c>
      <c r="L13" s="14">
        <f t="shared" si="2"/>
        <v>0</v>
      </c>
      <c r="M13" s="14">
        <f t="shared" si="2"/>
        <v>0</v>
      </c>
      <c r="N13" s="14">
        <f t="shared" si="2"/>
        <v>0</v>
      </c>
      <c r="O13" s="14">
        <f t="shared" si="2"/>
        <v>0</v>
      </c>
      <c r="P13" s="14">
        <f t="shared" si="2"/>
        <v>0</v>
      </c>
      <c r="Q13" s="14">
        <f t="shared" si="2"/>
        <v>0</v>
      </c>
      <c r="R13" s="14">
        <f t="shared" si="2"/>
        <v>0</v>
      </c>
      <c r="S13" s="14">
        <f t="shared" si="2"/>
        <v>0</v>
      </c>
      <c r="T13" s="14">
        <f t="shared" si="2"/>
        <v>0</v>
      </c>
      <c r="U13" s="14">
        <f t="shared" si="2"/>
        <v>0</v>
      </c>
      <c r="V13" s="14">
        <f t="shared" si="2"/>
        <v>0</v>
      </c>
      <c r="W13" s="14">
        <f t="shared" si="2"/>
        <v>0</v>
      </c>
      <c r="X13" s="14">
        <f t="shared" si="2"/>
        <v>0</v>
      </c>
      <c r="Y13" s="14">
        <f t="shared" si="2"/>
        <v>0</v>
      </c>
      <c r="Z13" s="14">
        <f t="shared" si="2"/>
        <v>0</v>
      </c>
      <c r="AA13" s="14">
        <f t="shared" si="2"/>
        <v>0</v>
      </c>
      <c r="AB13" s="14">
        <f t="shared" si="2"/>
        <v>0</v>
      </c>
      <c r="AC13" s="14">
        <f t="shared" si="2"/>
        <v>0</v>
      </c>
      <c r="AD13" s="14">
        <f t="shared" si="2"/>
        <v>0</v>
      </c>
      <c r="AE13" s="14">
        <f t="shared" si="2"/>
        <v>0</v>
      </c>
      <c r="AF13" s="14">
        <f t="shared" si="2"/>
        <v>0</v>
      </c>
      <c r="AG13" s="14">
        <f t="shared" si="2"/>
        <v>0</v>
      </c>
      <c r="AH13" s="707">
        <f t="shared" si="2"/>
        <v>0</v>
      </c>
      <c r="AI13" s="295"/>
      <c r="AJ13" s="294"/>
      <c r="AK13" s="294"/>
    </row>
    <row r="14" spans="1:49" s="289" customFormat="1" ht="15" customHeight="1" x14ac:dyDescent="0.3">
      <c r="A14" s="314"/>
      <c r="B14" s="706" t="s">
        <v>88</v>
      </c>
      <c r="C14" s="241">
        <f>IFERROR(SUM(D14:AH14),0)</f>
        <v>0</v>
      </c>
      <c r="D14" s="823">
        <f>D21-D20</f>
        <v>0</v>
      </c>
      <c r="E14" s="134">
        <f>E21-E20</f>
        <v>0</v>
      </c>
      <c r="F14" s="134">
        <f>F21-F20</f>
        <v>0</v>
      </c>
      <c r="G14" s="134">
        <f t="shared" ref="G14:AF14" si="3">G21-G20</f>
        <v>0</v>
      </c>
      <c r="H14" s="134">
        <f t="shared" si="3"/>
        <v>0</v>
      </c>
      <c r="I14" s="134">
        <f t="shared" si="3"/>
        <v>0</v>
      </c>
      <c r="J14" s="134">
        <f t="shared" si="3"/>
        <v>0</v>
      </c>
      <c r="K14" s="134">
        <f t="shared" si="3"/>
        <v>0</v>
      </c>
      <c r="L14" s="134">
        <f t="shared" si="3"/>
        <v>0</v>
      </c>
      <c r="M14" s="134">
        <f t="shared" si="3"/>
        <v>0</v>
      </c>
      <c r="N14" s="134">
        <f t="shared" si="3"/>
        <v>0</v>
      </c>
      <c r="O14" s="134">
        <f t="shared" si="3"/>
        <v>0</v>
      </c>
      <c r="P14" s="134">
        <f t="shared" si="3"/>
        <v>0</v>
      </c>
      <c r="Q14" s="134">
        <f t="shared" si="3"/>
        <v>0</v>
      </c>
      <c r="R14" s="134">
        <f t="shared" si="3"/>
        <v>0</v>
      </c>
      <c r="S14" s="134">
        <f t="shared" si="3"/>
        <v>0</v>
      </c>
      <c r="T14" s="134">
        <f t="shared" si="3"/>
        <v>0</v>
      </c>
      <c r="U14" s="134">
        <f t="shared" si="3"/>
        <v>0</v>
      </c>
      <c r="V14" s="134">
        <f t="shared" si="3"/>
        <v>0</v>
      </c>
      <c r="W14" s="134">
        <f t="shared" si="3"/>
        <v>0</v>
      </c>
      <c r="X14" s="134">
        <f t="shared" si="3"/>
        <v>0</v>
      </c>
      <c r="Y14" s="134">
        <f t="shared" si="3"/>
        <v>0</v>
      </c>
      <c r="Z14" s="134">
        <f t="shared" si="3"/>
        <v>0</v>
      </c>
      <c r="AA14" s="134">
        <f t="shared" si="3"/>
        <v>0</v>
      </c>
      <c r="AB14" s="134">
        <f>AB21-AB20</f>
        <v>0</v>
      </c>
      <c r="AC14" s="134">
        <f>AC21-AC20</f>
        <v>0</v>
      </c>
      <c r="AD14" s="134">
        <f t="shared" si="3"/>
        <v>0</v>
      </c>
      <c r="AE14" s="134">
        <f t="shared" si="3"/>
        <v>0</v>
      </c>
      <c r="AF14" s="134">
        <f t="shared" si="3"/>
        <v>0</v>
      </c>
      <c r="AG14" s="134">
        <f>AG21-AG20</f>
        <v>0</v>
      </c>
      <c r="AH14" s="708">
        <f>AH21-AH20</f>
        <v>0</v>
      </c>
      <c r="AI14" s="294"/>
      <c r="AJ14" s="294"/>
      <c r="AK14" s="294"/>
    </row>
    <row r="15" spans="1:49" s="290" customFormat="1" ht="15" customHeight="1" x14ac:dyDescent="0.3">
      <c r="A15" s="314"/>
      <c r="B15" s="706" t="s">
        <v>503</v>
      </c>
      <c r="C15" s="241">
        <f>IFERROR(SUM(D15:AH15),0)</f>
        <v>0</v>
      </c>
      <c r="D15" s="823">
        <f>IF(refi_year&gt;=holding,0,IF(D8=refi_year+1,Refi_Amount-DASHBOARD!$AZ$98)*active_refi)</f>
        <v>0</v>
      </c>
      <c r="E15" s="134">
        <f>IF(refi_year&gt;=holding,0,IF(E8=refi_year+1,Refi_Amount-DASHBOARD!$AZ$98)*active_refi)</f>
        <v>0</v>
      </c>
      <c r="F15" s="134">
        <f>IF(refi_year&gt;=holding,0,IF(F8=refi_year+1,Refi_Amount-DASHBOARD!$AZ$98)*active_refi)</f>
        <v>0</v>
      </c>
      <c r="G15" s="134">
        <f>IF(refi_year&gt;=holding,0,IF(G8=refi_year+1,Refi_Amount-DASHBOARD!$AZ$98)*active_refi)</f>
        <v>0</v>
      </c>
      <c r="H15" s="134">
        <f>IF(refi_year&gt;=holding,0,IF(H8=refi_year+1,Refi_Amount-DASHBOARD!$AZ$98)*active_refi)</f>
        <v>0</v>
      </c>
      <c r="I15" s="134">
        <f>IF(refi_year&gt;=holding,0,IF(I8=refi_year+1,Refi_Amount-DASHBOARD!$AZ$98)*active_refi)</f>
        <v>0</v>
      </c>
      <c r="J15" s="134">
        <f>IF(refi_year&gt;=holding,0,IF(J8=refi_year+1,Refi_Amount-DASHBOARD!$AZ$98)*active_refi)</f>
        <v>0</v>
      </c>
      <c r="K15" s="134">
        <f>IF(refi_year&gt;=holding,0,IF(K8=refi_year+1,Refi_Amount-DASHBOARD!$AZ$98)*active_refi)</f>
        <v>0</v>
      </c>
      <c r="L15" s="134">
        <f>IF(refi_year&gt;=holding,0,IF(L8=refi_year+1,Refi_Amount-DASHBOARD!$AZ$98)*active_refi)</f>
        <v>0</v>
      </c>
      <c r="M15" s="134">
        <f>IF(refi_year&gt;=holding,0,IF(M8=refi_year+1,Refi_Amount-DASHBOARD!$AZ$98)*active_refi)</f>
        <v>0</v>
      </c>
      <c r="N15" s="134">
        <f>IF(refi_year&gt;=holding,0,IF(N8=refi_year+1,Refi_Amount-DASHBOARD!$AZ$98)*active_refi)</f>
        <v>0</v>
      </c>
      <c r="O15" s="134">
        <f>IF(refi_year&gt;=holding,0,IF(O8=refi_year+1,Refi_Amount-DASHBOARD!$AZ$98)*active_refi)</f>
        <v>0</v>
      </c>
      <c r="P15" s="134">
        <f>IF(refi_year&gt;=holding,0,IF(P8=refi_year+1,Refi_Amount-DASHBOARD!$AZ$98)*active_refi)</f>
        <v>0</v>
      </c>
      <c r="Q15" s="134">
        <f>IF(refi_year&gt;=holding,0,IF(Q8=refi_year+1,Refi_Amount-DASHBOARD!$AZ$98)*active_refi)</f>
        <v>0</v>
      </c>
      <c r="R15" s="134">
        <f>IF(refi_year&gt;=holding,0,IF(R8=refi_year+1,Refi_Amount-DASHBOARD!$AZ$98)*active_refi)</f>
        <v>0</v>
      </c>
      <c r="S15" s="134">
        <f>IF(refi_year&gt;=holding,0,IF(S8=refi_year+1,Refi_Amount-DASHBOARD!$AZ$98)*active_refi)</f>
        <v>0</v>
      </c>
      <c r="T15" s="134">
        <f>IF(refi_year&gt;=holding,0,IF(T8=refi_year+1,Refi_Amount-DASHBOARD!$AZ$98)*active_refi)</f>
        <v>0</v>
      </c>
      <c r="U15" s="134">
        <f>IF(refi_year&gt;=holding,0,IF(U8=refi_year+1,Refi_Amount-DASHBOARD!$AZ$98)*active_refi)</f>
        <v>0</v>
      </c>
      <c r="V15" s="134">
        <f>IF(refi_year&gt;=holding,0,IF(V8=refi_year+1,Refi_Amount-DASHBOARD!$AZ$98)*active_refi)</f>
        <v>0</v>
      </c>
      <c r="W15" s="134">
        <f>IF(refi_year&gt;=holding,0,IF(W8=refi_year+1,Refi_Amount-DASHBOARD!$AZ$98)*active_refi)</f>
        <v>0</v>
      </c>
      <c r="X15" s="134">
        <f>IF(refi_year&gt;=holding,0,IF(X8=refi_year+1,Refi_Amount-DASHBOARD!$AZ$98)*active_refi)</f>
        <v>0</v>
      </c>
      <c r="Y15" s="134">
        <f>IF(refi_year&gt;=holding,0,IF(Y8=refi_year+1,Refi_Amount-DASHBOARD!$AZ$98)*active_refi)</f>
        <v>0</v>
      </c>
      <c r="Z15" s="134">
        <f>IF(refi_year&gt;=holding,0,IF(Z8=refi_year+1,Refi_Amount-DASHBOARD!$AZ$98)*active_refi)</f>
        <v>0</v>
      </c>
      <c r="AA15" s="134">
        <f>IF(refi_year&gt;=holding,0,IF(AA8=refi_year+1,Refi_Amount-DASHBOARD!$AZ$98)*active_refi)</f>
        <v>0</v>
      </c>
      <c r="AB15" s="134">
        <f>IF(refi_year&gt;=holding,0,IF(AB8=refi_year+1,Refi_Amount-DASHBOARD!$AZ$98)*active_refi)</f>
        <v>0</v>
      </c>
      <c r="AC15" s="134">
        <f>IF(refi_year&gt;=holding,0,IF(AC8=refi_year+1,Refi_Amount-DASHBOARD!$AZ$98)*active_refi)</f>
        <v>0</v>
      </c>
      <c r="AD15" s="134">
        <f>IF(refi_year&gt;=holding,0,IF(AD8=refi_year+1,Refi_Amount-DASHBOARD!$AZ$98)*active_refi)</f>
        <v>0</v>
      </c>
      <c r="AE15" s="134">
        <f>IF(refi_year&gt;=holding,0,IF(AE8=refi_year+1,Refi_Amount-DASHBOARD!$AZ$98)*active_refi)</f>
        <v>0</v>
      </c>
      <c r="AF15" s="134">
        <f>IF(refi_year&gt;=holding,0,IF(AF8=refi_year+1,Refi_Amount-DASHBOARD!$AZ$98)*active_refi)</f>
        <v>0</v>
      </c>
      <c r="AG15" s="134">
        <f>IF(refi_year&gt;=holding,0,IF(AG8=refi_year+1,Refi_Amount-DASHBOARD!$AZ$98)*active_refi)</f>
        <v>0</v>
      </c>
      <c r="AH15" s="708">
        <f>IF(refi_year&gt;=holding,0,IF(AH8=refi_year+1,Refi_Amount-DASHBOARD!$AZ$98)*active_refi)</f>
        <v>0</v>
      </c>
      <c r="AI15" s="294"/>
      <c r="AJ15" s="294"/>
      <c r="AK15" s="294"/>
      <c r="AL15" s="289"/>
      <c r="AM15" s="289"/>
      <c r="AN15" s="289"/>
      <c r="AO15" s="289"/>
      <c r="AP15" s="289"/>
      <c r="AQ15" s="289"/>
      <c r="AR15" s="289"/>
      <c r="AS15" s="289"/>
      <c r="AT15" s="289"/>
      <c r="AU15" s="289"/>
      <c r="AV15" s="289"/>
      <c r="AW15" s="289"/>
    </row>
    <row r="16" spans="1:49" s="315" customFormat="1" ht="15" customHeight="1" x14ac:dyDescent="0.3">
      <c r="A16" s="314"/>
      <c r="B16" s="706" t="s">
        <v>1132</v>
      </c>
      <c r="C16" s="241">
        <f>IFERROR(SUM(D16:AH16),0)</f>
        <v>-118970</v>
      </c>
      <c r="D16" s="824">
        <f>-IF(D6=2,D13+D14+D15,0)</f>
        <v>-118970</v>
      </c>
      <c r="E16" s="17">
        <f t="shared" ref="E16:AH16" si="4">-IF(E6=2,E13+E14+E15,0)</f>
        <v>0</v>
      </c>
      <c r="F16" s="17">
        <f t="shared" si="4"/>
        <v>0</v>
      </c>
      <c r="G16" s="17">
        <f t="shared" si="4"/>
        <v>0</v>
      </c>
      <c r="H16" s="17">
        <f t="shared" si="4"/>
        <v>0</v>
      </c>
      <c r="I16" s="17">
        <f t="shared" si="4"/>
        <v>0</v>
      </c>
      <c r="J16" s="17">
        <f t="shared" si="4"/>
        <v>0</v>
      </c>
      <c r="K16" s="17">
        <f t="shared" si="4"/>
        <v>0</v>
      </c>
      <c r="L16" s="17">
        <f t="shared" si="4"/>
        <v>0</v>
      </c>
      <c r="M16" s="17">
        <f t="shared" si="4"/>
        <v>0</v>
      </c>
      <c r="N16" s="17">
        <f t="shared" si="4"/>
        <v>0</v>
      </c>
      <c r="O16" s="17">
        <f t="shared" si="4"/>
        <v>0</v>
      </c>
      <c r="P16" s="17">
        <f t="shared" si="4"/>
        <v>0</v>
      </c>
      <c r="Q16" s="17">
        <f t="shared" si="4"/>
        <v>0</v>
      </c>
      <c r="R16" s="17">
        <f t="shared" si="4"/>
        <v>0</v>
      </c>
      <c r="S16" s="17">
        <f t="shared" si="4"/>
        <v>0</v>
      </c>
      <c r="T16" s="17">
        <f t="shared" si="4"/>
        <v>0</v>
      </c>
      <c r="U16" s="17">
        <f t="shared" si="4"/>
        <v>0</v>
      </c>
      <c r="V16" s="17">
        <f t="shared" si="4"/>
        <v>0</v>
      </c>
      <c r="W16" s="17">
        <f t="shared" si="4"/>
        <v>0</v>
      </c>
      <c r="X16" s="17">
        <f t="shared" si="4"/>
        <v>0</v>
      </c>
      <c r="Y16" s="17">
        <f t="shared" si="4"/>
        <v>0</v>
      </c>
      <c r="Z16" s="17">
        <f t="shared" si="4"/>
        <v>0</v>
      </c>
      <c r="AA16" s="17">
        <f t="shared" si="4"/>
        <v>0</v>
      </c>
      <c r="AB16" s="17">
        <f t="shared" si="4"/>
        <v>0</v>
      </c>
      <c r="AC16" s="17">
        <f t="shared" si="4"/>
        <v>0</v>
      </c>
      <c r="AD16" s="17">
        <f t="shared" si="4"/>
        <v>0</v>
      </c>
      <c r="AE16" s="17">
        <f t="shared" si="4"/>
        <v>0</v>
      </c>
      <c r="AF16" s="17">
        <f t="shared" si="4"/>
        <v>0</v>
      </c>
      <c r="AG16" s="17">
        <f t="shared" si="4"/>
        <v>0</v>
      </c>
      <c r="AH16" s="709">
        <f t="shared" si="4"/>
        <v>0</v>
      </c>
      <c r="AI16" s="294"/>
      <c r="AJ16" s="294"/>
      <c r="AK16" s="294"/>
      <c r="AL16" s="289"/>
      <c r="AM16" s="289"/>
      <c r="AN16" s="289"/>
      <c r="AO16" s="289"/>
      <c r="AP16" s="289"/>
      <c r="AQ16" s="289"/>
      <c r="AR16" s="289"/>
      <c r="AS16" s="289"/>
      <c r="AT16" s="289"/>
      <c r="AU16" s="289"/>
      <c r="AV16" s="289"/>
      <c r="AW16" s="289"/>
    </row>
    <row r="17" spans="1:49" s="289" customFormat="1" ht="15" customHeight="1" x14ac:dyDescent="0.3">
      <c r="A17" s="314"/>
      <c r="B17" s="710" t="s">
        <v>138</v>
      </c>
      <c r="C17" s="239"/>
      <c r="D17" s="825">
        <f>IF(ROUND(SUM(D13:D16),6)=0,ROUND(SUM(D13:D16),6),SUM(D13:D16))</f>
        <v>0</v>
      </c>
      <c r="E17" s="323">
        <f t="shared" ref="E17:AG17" si="5">IF(ROUND(SUM(E13:E16),6)=0,ROUND(SUM(E13:E16),6),SUM(E13:E16))</f>
        <v>0</v>
      </c>
      <c r="F17" s="323">
        <f t="shared" si="5"/>
        <v>0</v>
      </c>
      <c r="G17" s="323">
        <f t="shared" si="5"/>
        <v>0</v>
      </c>
      <c r="H17" s="323">
        <f t="shared" si="5"/>
        <v>0</v>
      </c>
      <c r="I17" s="323">
        <f t="shared" si="5"/>
        <v>0</v>
      </c>
      <c r="J17" s="323">
        <f t="shared" si="5"/>
        <v>0</v>
      </c>
      <c r="K17" s="323">
        <f t="shared" si="5"/>
        <v>0</v>
      </c>
      <c r="L17" s="323">
        <f t="shared" si="5"/>
        <v>0</v>
      </c>
      <c r="M17" s="323">
        <f t="shared" si="5"/>
        <v>0</v>
      </c>
      <c r="N17" s="323">
        <f t="shared" si="5"/>
        <v>0</v>
      </c>
      <c r="O17" s="323">
        <f t="shared" si="5"/>
        <v>0</v>
      </c>
      <c r="P17" s="323">
        <f t="shared" si="5"/>
        <v>0</v>
      </c>
      <c r="Q17" s="323">
        <f t="shared" si="5"/>
        <v>0</v>
      </c>
      <c r="R17" s="323">
        <f t="shared" si="5"/>
        <v>0</v>
      </c>
      <c r="S17" s="323">
        <f t="shared" si="5"/>
        <v>0</v>
      </c>
      <c r="T17" s="323">
        <f t="shared" si="5"/>
        <v>0</v>
      </c>
      <c r="U17" s="323">
        <f t="shared" si="5"/>
        <v>0</v>
      </c>
      <c r="V17" s="323">
        <f t="shared" si="5"/>
        <v>0</v>
      </c>
      <c r="W17" s="323">
        <f t="shared" si="5"/>
        <v>0</v>
      </c>
      <c r="X17" s="323">
        <f t="shared" si="5"/>
        <v>0</v>
      </c>
      <c r="Y17" s="323">
        <f t="shared" si="5"/>
        <v>0</v>
      </c>
      <c r="Z17" s="323">
        <f t="shared" si="5"/>
        <v>0</v>
      </c>
      <c r="AA17" s="323">
        <f t="shared" si="5"/>
        <v>0</v>
      </c>
      <c r="AB17" s="323">
        <f>IF(ROUND(SUM(AB13:AB16),6)=0,ROUND(SUM(AB13:AB16),6),SUM(AB13:AB16))</f>
        <v>0</v>
      </c>
      <c r="AC17" s="323">
        <f t="shared" si="5"/>
        <v>0</v>
      </c>
      <c r="AD17" s="323">
        <f t="shared" si="5"/>
        <v>0</v>
      </c>
      <c r="AE17" s="323">
        <f t="shared" si="5"/>
        <v>0</v>
      </c>
      <c r="AF17" s="323">
        <f t="shared" si="5"/>
        <v>0</v>
      </c>
      <c r="AG17" s="323">
        <f t="shared" si="5"/>
        <v>0</v>
      </c>
      <c r="AH17" s="711">
        <f>IF(ROUND(SUM(AH13:AH16),6)=0,ROUND(SUM(AH13:AH16),6),SUM(AH13:AH16))</f>
        <v>0</v>
      </c>
      <c r="AI17" s="296"/>
      <c r="AJ17" s="296"/>
      <c r="AK17" s="296"/>
      <c r="AL17" s="290"/>
      <c r="AM17" s="290"/>
      <c r="AN17" s="290"/>
      <c r="AO17" s="290"/>
      <c r="AP17" s="290"/>
      <c r="AQ17" s="290"/>
      <c r="AR17" s="290"/>
      <c r="AS17" s="290"/>
      <c r="AT17" s="290"/>
      <c r="AU17" s="290"/>
      <c r="AV17" s="290"/>
      <c r="AW17" s="290"/>
    </row>
    <row r="18" spans="1:49" s="289" customFormat="1" ht="15" customHeight="1" x14ac:dyDescent="0.3">
      <c r="A18" s="314"/>
      <c r="B18" s="712" t="s">
        <v>1133</v>
      </c>
      <c r="C18" s="833"/>
      <c r="D18" s="826">
        <f>IFERROR(IF(SUM($D$15:D15)=0,D17/$D$13,D17/Refi_Amount),0)</f>
        <v>0</v>
      </c>
      <c r="E18" s="795">
        <f>IFERROR(IF(SUM($D$15:E15)=0,E17/$D$13,E17/Refi_Amount),0)</f>
        <v>0</v>
      </c>
      <c r="F18" s="795">
        <f>IFERROR(IF(SUM($D$15:F15)=0,F17/$D$13,F17/Refi_Amount),0)</f>
        <v>0</v>
      </c>
      <c r="G18" s="795">
        <f>IFERROR(IF(SUM($D$15:G15)=0,G17/$D$13,G17/Refi_Amount),0)</f>
        <v>0</v>
      </c>
      <c r="H18" s="795">
        <f>IFERROR(IF(SUM($D$15:H15)=0,H17/$D$13,H17/Refi_Amount),0)</f>
        <v>0</v>
      </c>
      <c r="I18" s="795">
        <f>IFERROR(IF(SUM($D$15:I15)=0,I17/$D$13,I17/Refi_Amount),0)</f>
        <v>0</v>
      </c>
      <c r="J18" s="795">
        <f>IFERROR(IF(SUM($D$15:J15)=0,J17/$D$13,J17/Refi_Amount),0)</f>
        <v>0</v>
      </c>
      <c r="K18" s="795">
        <f>IFERROR(IF(SUM($D$15:K15)=0,K17/$D$13,K17/Refi_Amount),0)</f>
        <v>0</v>
      </c>
      <c r="L18" s="795">
        <f>IFERROR(IF(SUM($D$15:L15)=0,L17/$D$13,L17/Refi_Amount),0)</f>
        <v>0</v>
      </c>
      <c r="M18" s="795">
        <f>IFERROR(IF(SUM($D$15:M15)=0,M17/$D$13,M17/Refi_Amount),0)</f>
        <v>0</v>
      </c>
      <c r="N18" s="795">
        <f>IFERROR(IF(SUM($D$15:N15)=0,N17/$D$13,N17/Refi_Amount),0)</f>
        <v>0</v>
      </c>
      <c r="O18" s="795">
        <f>IFERROR(IF(SUM($D$15:O15)=0,O17/$D$13,O17/Refi_Amount),0)</f>
        <v>0</v>
      </c>
      <c r="P18" s="795">
        <f>IFERROR(IF(SUM($D$15:P15)=0,P17/$D$13,P17/Refi_Amount),0)</f>
        <v>0</v>
      </c>
      <c r="Q18" s="795">
        <f>IFERROR(IF(SUM($D$15:Q15)=0,Q17/$D$13,Q17/Refi_Amount),0)</f>
        <v>0</v>
      </c>
      <c r="R18" s="795">
        <f>IFERROR(IF(SUM($D$15:R15)=0,R17/$D$13,R17/Refi_Amount),0)</f>
        <v>0</v>
      </c>
      <c r="S18" s="795">
        <f>IFERROR(IF(SUM($D$15:S15)=0,S17/$D$13,S17/Refi_Amount),0)</f>
        <v>0</v>
      </c>
      <c r="T18" s="795">
        <f>IFERROR(IF(SUM($D$15:T15)=0,T17/$D$13,T17/Refi_Amount),0)</f>
        <v>0</v>
      </c>
      <c r="U18" s="795">
        <f>IFERROR(IF(SUM($D$15:U15)=0,U17/$D$13,U17/Refi_Amount),0)</f>
        <v>0</v>
      </c>
      <c r="V18" s="795">
        <f>IFERROR(IF(SUM($D$15:V15)=0,V17/$D$13,V17/Refi_Amount),0)</f>
        <v>0</v>
      </c>
      <c r="W18" s="795">
        <f>IFERROR(IF(SUM($D$15:W15)=0,W17/$D$13,W17/Refi_Amount),0)</f>
        <v>0</v>
      </c>
      <c r="X18" s="795">
        <f>IFERROR(IF(SUM($D$15:X15)=0,X17/$D$13,X17/Refi_Amount),0)</f>
        <v>0</v>
      </c>
      <c r="Y18" s="795">
        <f>IFERROR(IF(SUM($D$15:Y15)=0,Y17/$D$13,Y17/Refi_Amount),0)</f>
        <v>0</v>
      </c>
      <c r="Z18" s="795">
        <f>IFERROR(IF(SUM($D$15:Z15)=0,Z17/$D$13,Z17/Refi_Amount),0)</f>
        <v>0</v>
      </c>
      <c r="AA18" s="795">
        <f>IFERROR(IF(SUM($D$15:AA15)=0,AA17/$D$13,AA17/Refi_Amount),0)</f>
        <v>0</v>
      </c>
      <c r="AB18" s="795">
        <f>IFERROR(IF(SUM($D$15:AB15)=0,AB17/$D$13,AB17/Refi_Amount),0)</f>
        <v>0</v>
      </c>
      <c r="AC18" s="795">
        <f>IFERROR(IF(SUM($D$15:AC15)=0,AC17/$D$13,AC17/Refi_Amount),0)</f>
        <v>0</v>
      </c>
      <c r="AD18" s="795">
        <f>IFERROR(IF(SUM($D$15:AD15)=0,AD17/$D$13,AD17/Refi_Amount),0)</f>
        <v>0</v>
      </c>
      <c r="AE18" s="795">
        <f>IFERROR(IF(SUM($D$15:AE15)=0,AE17/$D$13,AE17/Refi_Amount),0)</f>
        <v>0</v>
      </c>
      <c r="AF18" s="795">
        <f>IFERROR(IF(SUM($D$15:AF15)=0,AF17/$D$13,AF17/Refi_Amount),0)</f>
        <v>0</v>
      </c>
      <c r="AG18" s="795">
        <f>IFERROR(IF(SUM($D$15:AG15)=0,AG17/$D$13,AG17/Refi_Amount),0)</f>
        <v>0</v>
      </c>
      <c r="AH18" s="713">
        <f>IFERROR(IF(SUM($D$15:AH15)=0,AH17/$D$13,AH17/Refi_Amount),0)</f>
        <v>0</v>
      </c>
      <c r="AI18" s="319"/>
      <c r="AJ18" s="319"/>
      <c r="AK18" s="319"/>
      <c r="AL18" s="315"/>
      <c r="AM18" s="315"/>
      <c r="AN18" s="315"/>
      <c r="AO18" s="315"/>
      <c r="AP18" s="315"/>
      <c r="AQ18" s="315"/>
      <c r="AR18" s="315"/>
      <c r="AS18" s="315"/>
      <c r="AT18" s="315"/>
      <c r="AU18" s="315"/>
      <c r="AV18" s="315"/>
      <c r="AW18" s="315"/>
    </row>
    <row r="19" spans="1:49" s="290" customFormat="1" ht="15" customHeight="1" x14ac:dyDescent="0.3">
      <c r="A19" s="314"/>
      <c r="B19" s="706"/>
      <c r="C19" s="84"/>
      <c r="D19" s="827"/>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244"/>
      <c r="AG19" s="244"/>
      <c r="AH19" s="714"/>
      <c r="AI19" s="294"/>
      <c r="AJ19" s="294"/>
      <c r="AK19" s="294"/>
      <c r="AL19" s="289"/>
      <c r="AM19" s="289"/>
      <c r="AN19" s="289"/>
      <c r="AO19" s="289"/>
      <c r="AP19" s="289"/>
      <c r="AQ19" s="289"/>
      <c r="AR19" s="289"/>
      <c r="AS19" s="289"/>
      <c r="AT19" s="289"/>
      <c r="AU19" s="289"/>
      <c r="AV19" s="289"/>
      <c r="AW19" s="289"/>
    </row>
    <row r="20" spans="1:49" s="289" customFormat="1" ht="15" customHeight="1" x14ac:dyDescent="0.3">
      <c r="A20" s="314"/>
      <c r="B20" s="706" t="s">
        <v>32</v>
      </c>
      <c r="C20" s="241">
        <f>IFERROR(SUM(D20:AH20),0)</f>
        <v>0</v>
      </c>
      <c r="D20" s="828">
        <f>IFERROR(CHOOSE(D6,-SUMIF(MORTGAGE!$T$25:$T$384,YEAR(DEBT!D9),MORTGAGE!$J$25:$J$384),-SUMIFS(MORTGAGE!$J$25:$J$384,MORTGAGE!$T$25:$T$384,YEAR(DEBT!D9),MORTGAGE!$C$25:$C$384,"&lt;="&amp;sale_date),0),0)</f>
        <v>0</v>
      </c>
      <c r="E20" s="17">
        <f>IFERROR(CHOOSE(E6,-SUMIF(MORTGAGE!$T$25:$T$384,YEAR(DEBT!E9),MORTGAGE!$J$25:$J$384),-SUMIFS(MORTGAGE!$J$25:$J$384,MORTGAGE!$T$25:$T$384,YEAR(DEBT!E9),MORTGAGE!$C$25:$C$384,"&lt;="&amp;sale_date),0),0)</f>
        <v>0</v>
      </c>
      <c r="F20" s="17">
        <f>IFERROR(CHOOSE(F6,-SUMIF(MORTGAGE!$T$25:$T$384,YEAR(DEBT!F9),MORTGAGE!$J$25:$J$384),-SUMIFS(MORTGAGE!$J$25:$J$384,MORTGAGE!$T$25:$T$384,YEAR(DEBT!F9),MORTGAGE!$C$25:$C$384,"&lt;="&amp;sale_date),0),0)</f>
        <v>0</v>
      </c>
      <c r="G20" s="17">
        <f>IFERROR(CHOOSE(G6,-SUMIF(MORTGAGE!$T$25:$T$384,YEAR(DEBT!G9),MORTGAGE!$J$25:$J$384),-SUMIFS(MORTGAGE!$J$25:$J$384,MORTGAGE!$T$25:$T$384,YEAR(DEBT!G9),MORTGAGE!$C$25:$C$384,"&lt;="&amp;sale_date),0),0)</f>
        <v>0</v>
      </c>
      <c r="H20" s="17">
        <f>IFERROR(CHOOSE(H6,-SUMIF(MORTGAGE!$T$25:$T$384,YEAR(DEBT!H9),MORTGAGE!$J$25:$J$384),-SUMIFS(MORTGAGE!$J$25:$J$384,MORTGAGE!$T$25:$T$384,YEAR(DEBT!H9),MORTGAGE!$C$25:$C$384,"&lt;="&amp;sale_date),0),0)</f>
        <v>0</v>
      </c>
      <c r="I20" s="17">
        <f>IFERROR(CHOOSE(I6,-SUMIF(MORTGAGE!$T$25:$T$384,YEAR(DEBT!I9),MORTGAGE!$J$25:$J$384),-SUMIFS(MORTGAGE!$J$25:$J$384,MORTGAGE!$T$25:$T$384,YEAR(DEBT!I9),MORTGAGE!$C$25:$C$384,"&lt;="&amp;sale_date),0),0)</f>
        <v>0</v>
      </c>
      <c r="J20" s="17">
        <f>IFERROR(CHOOSE(J6,-SUMIF(MORTGAGE!$T$25:$T$384,YEAR(DEBT!J9),MORTGAGE!$J$25:$J$384),-SUMIFS(MORTGAGE!$J$25:$J$384,MORTGAGE!$T$25:$T$384,YEAR(DEBT!J9),MORTGAGE!$C$25:$C$384,"&lt;="&amp;sale_date),0),0)</f>
        <v>0</v>
      </c>
      <c r="K20" s="17">
        <f>IFERROR(CHOOSE(K6,-SUMIF(MORTGAGE!$T$25:$T$384,YEAR(DEBT!K9),MORTGAGE!$J$25:$J$384),-SUMIFS(MORTGAGE!$J$25:$J$384,MORTGAGE!$T$25:$T$384,YEAR(DEBT!K9),MORTGAGE!$C$25:$C$384,"&lt;="&amp;sale_date),0),0)</f>
        <v>0</v>
      </c>
      <c r="L20" s="17">
        <f>IFERROR(CHOOSE(L6,-SUMIF(MORTGAGE!$T$25:$T$384,YEAR(DEBT!L9),MORTGAGE!$J$25:$J$384),-SUMIFS(MORTGAGE!$J$25:$J$384,MORTGAGE!$T$25:$T$384,YEAR(DEBT!L9),MORTGAGE!$C$25:$C$384,"&lt;="&amp;sale_date),0),0)</f>
        <v>0</v>
      </c>
      <c r="M20" s="17">
        <f>IFERROR(CHOOSE(M6,-SUMIF(MORTGAGE!$T$25:$T$384,YEAR(DEBT!M9),MORTGAGE!$J$25:$J$384),-SUMIFS(MORTGAGE!$J$25:$J$384,MORTGAGE!$T$25:$T$384,YEAR(DEBT!M9),MORTGAGE!$C$25:$C$384,"&lt;="&amp;sale_date),0),0)</f>
        <v>0</v>
      </c>
      <c r="N20" s="17">
        <f>IFERROR(CHOOSE(N6,-SUMIF(MORTGAGE!$T$25:$T$384,YEAR(DEBT!N9),MORTGAGE!$J$25:$J$384),-SUMIFS(MORTGAGE!$J$25:$J$384,MORTGAGE!$T$25:$T$384,YEAR(DEBT!N9),MORTGAGE!$C$25:$C$384,"&lt;="&amp;sale_date),0),0)</f>
        <v>0</v>
      </c>
      <c r="O20" s="17">
        <f>IFERROR(CHOOSE(O6,-SUMIF(MORTGAGE!$T$25:$T$384,YEAR(DEBT!O9),MORTGAGE!$J$25:$J$384),-SUMIFS(MORTGAGE!$J$25:$J$384,MORTGAGE!$T$25:$T$384,YEAR(DEBT!O9),MORTGAGE!$C$25:$C$384,"&lt;="&amp;sale_date),0),0)</f>
        <v>0</v>
      </c>
      <c r="P20" s="17">
        <f>IFERROR(CHOOSE(P6,-SUMIF(MORTGAGE!$T$25:$T$384,YEAR(DEBT!P9),MORTGAGE!$J$25:$J$384),-SUMIFS(MORTGAGE!$J$25:$J$384,MORTGAGE!$T$25:$T$384,YEAR(DEBT!P9),MORTGAGE!$C$25:$C$384,"&lt;="&amp;sale_date),0),0)</f>
        <v>0</v>
      </c>
      <c r="Q20" s="17">
        <f>IFERROR(CHOOSE(Q6,-SUMIF(MORTGAGE!$T$25:$T$384,YEAR(DEBT!Q9),MORTGAGE!$J$25:$J$384),-SUMIFS(MORTGAGE!$J$25:$J$384,MORTGAGE!$T$25:$T$384,YEAR(DEBT!Q9),MORTGAGE!$C$25:$C$384,"&lt;="&amp;sale_date),0),0)</f>
        <v>0</v>
      </c>
      <c r="R20" s="17">
        <f>IFERROR(CHOOSE(R6,-SUMIF(MORTGAGE!$T$25:$T$384,YEAR(DEBT!R9),MORTGAGE!$J$25:$J$384),-SUMIFS(MORTGAGE!$J$25:$J$384,MORTGAGE!$T$25:$T$384,YEAR(DEBT!R9),MORTGAGE!$C$25:$C$384,"&lt;="&amp;sale_date),0),0)</f>
        <v>0</v>
      </c>
      <c r="S20" s="17">
        <f>IFERROR(CHOOSE(S6,-SUMIF(MORTGAGE!$T$25:$T$384,YEAR(DEBT!S9),MORTGAGE!$J$25:$J$384),-SUMIFS(MORTGAGE!$J$25:$J$384,MORTGAGE!$T$25:$T$384,YEAR(DEBT!S9),MORTGAGE!$C$25:$C$384,"&lt;="&amp;sale_date),0),0)</f>
        <v>0</v>
      </c>
      <c r="T20" s="17">
        <f>IFERROR(CHOOSE(T6,-SUMIF(MORTGAGE!$T$25:$T$384,YEAR(DEBT!T9),MORTGAGE!$J$25:$J$384),-SUMIFS(MORTGAGE!$J$25:$J$384,MORTGAGE!$T$25:$T$384,YEAR(DEBT!T9),MORTGAGE!$C$25:$C$384,"&lt;="&amp;sale_date),0),0)</f>
        <v>0</v>
      </c>
      <c r="U20" s="17">
        <f>IFERROR(CHOOSE(U6,-SUMIF(MORTGAGE!$T$25:$T$384,YEAR(DEBT!U9),MORTGAGE!$J$25:$J$384),-SUMIFS(MORTGAGE!$J$25:$J$384,MORTGAGE!$T$25:$T$384,YEAR(DEBT!U9),MORTGAGE!$C$25:$C$384,"&lt;="&amp;sale_date),0),0)</f>
        <v>0</v>
      </c>
      <c r="V20" s="17">
        <f>IFERROR(CHOOSE(V6,-SUMIF(MORTGAGE!$T$25:$T$384,YEAR(DEBT!V9),MORTGAGE!$J$25:$J$384),-SUMIFS(MORTGAGE!$J$25:$J$384,MORTGAGE!$T$25:$T$384,YEAR(DEBT!V9),MORTGAGE!$C$25:$C$384,"&lt;="&amp;sale_date),0),0)</f>
        <v>0</v>
      </c>
      <c r="W20" s="17">
        <f>IFERROR(CHOOSE(W6,-SUMIF(MORTGAGE!$T$25:$T$384,YEAR(DEBT!W9),MORTGAGE!$J$25:$J$384),-SUMIFS(MORTGAGE!$J$25:$J$384,MORTGAGE!$T$25:$T$384,YEAR(DEBT!W9),MORTGAGE!$C$25:$C$384,"&lt;="&amp;sale_date),0),0)</f>
        <v>0</v>
      </c>
      <c r="X20" s="17">
        <f>IFERROR(CHOOSE(X6,-SUMIF(MORTGAGE!$T$25:$T$384,YEAR(DEBT!X9),MORTGAGE!$J$25:$J$384),-SUMIFS(MORTGAGE!$J$25:$J$384,MORTGAGE!$T$25:$T$384,YEAR(DEBT!X9),MORTGAGE!$C$25:$C$384,"&lt;="&amp;sale_date),0),0)</f>
        <v>0</v>
      </c>
      <c r="Y20" s="17">
        <f>IFERROR(CHOOSE(Y6,-SUMIF(MORTGAGE!$T$25:$T$384,YEAR(DEBT!Y9),MORTGAGE!$J$25:$J$384),-SUMIFS(MORTGAGE!$J$25:$J$384,MORTGAGE!$T$25:$T$384,YEAR(DEBT!Y9),MORTGAGE!$C$25:$C$384,"&lt;="&amp;sale_date),0),0)</f>
        <v>0</v>
      </c>
      <c r="Z20" s="17">
        <f>IFERROR(CHOOSE(Z6,-SUMIF(MORTGAGE!$T$25:$T$384,YEAR(DEBT!Z9),MORTGAGE!$J$25:$J$384),-SUMIFS(MORTGAGE!$J$25:$J$384,MORTGAGE!$T$25:$T$384,YEAR(DEBT!Z9),MORTGAGE!$C$25:$C$384,"&lt;="&amp;sale_date),0),0)</f>
        <v>0</v>
      </c>
      <c r="AA20" s="17">
        <f>IFERROR(CHOOSE(AA6,-SUMIF(MORTGAGE!$T$25:$T$384,YEAR(DEBT!AA9),MORTGAGE!$J$25:$J$384),-SUMIFS(MORTGAGE!$J$25:$J$384,MORTGAGE!$T$25:$T$384,YEAR(DEBT!AA9),MORTGAGE!$C$25:$C$384,"&lt;="&amp;sale_date),0),0)</f>
        <v>0</v>
      </c>
      <c r="AB20" s="17">
        <f>IFERROR(CHOOSE(AB6,-SUMIF(MORTGAGE!$T$25:$T$384,YEAR(DEBT!AB9),MORTGAGE!$J$25:$J$384),-SUMIFS(MORTGAGE!$J$25:$J$384,MORTGAGE!$T$25:$T$384,YEAR(DEBT!AB9),MORTGAGE!$C$25:$C$384,"&lt;="&amp;sale_date),0),0)</f>
        <v>0</v>
      </c>
      <c r="AC20" s="17">
        <f>IFERROR(CHOOSE(AC6,-SUMIF(MORTGAGE!$T$25:$T$384,YEAR(DEBT!AC9),MORTGAGE!$J$25:$J$384),-SUMIFS(MORTGAGE!$J$25:$J$384,MORTGAGE!$T$25:$T$384,YEAR(DEBT!AC9),MORTGAGE!$C$25:$C$384,"&lt;="&amp;sale_date),0),0)</f>
        <v>0</v>
      </c>
      <c r="AD20" s="17">
        <f>IFERROR(CHOOSE(AD6,-SUMIF(MORTGAGE!$T$25:$T$384,YEAR(DEBT!AD9),MORTGAGE!$J$25:$J$384),-SUMIFS(MORTGAGE!$J$25:$J$384,MORTGAGE!$T$25:$T$384,YEAR(DEBT!AD9),MORTGAGE!$C$25:$C$384,"&lt;="&amp;sale_date),0),0)</f>
        <v>0</v>
      </c>
      <c r="AE20" s="17">
        <f>IFERROR(CHOOSE(AE6,-SUMIF(MORTGAGE!$T$25:$T$384,YEAR(DEBT!AE9),MORTGAGE!$J$25:$J$384),-SUMIFS(MORTGAGE!$J$25:$J$384,MORTGAGE!$T$25:$T$384,YEAR(DEBT!AE9),MORTGAGE!$C$25:$C$384,"&lt;="&amp;sale_date),0),0)</f>
        <v>0</v>
      </c>
      <c r="AF20" s="17">
        <f>IFERROR(CHOOSE(AF6,-SUMIF(MORTGAGE!$T$25:$T$384,YEAR(DEBT!AF9),MORTGAGE!$J$25:$J$384),-SUMIFS(MORTGAGE!$J$25:$J$384,MORTGAGE!$T$25:$T$384,YEAR(DEBT!AF9),MORTGAGE!$C$25:$C$384,"&lt;="&amp;sale_date),0),0)</f>
        <v>0</v>
      </c>
      <c r="AG20" s="17">
        <f>IFERROR(CHOOSE(AG6,-SUMIF(MORTGAGE!$T$25:$T$384,YEAR(DEBT!AG9),MORTGAGE!$J$25:$J$384),-SUMIFS(MORTGAGE!$J$25:$J$384,MORTGAGE!$T$25:$T$384,YEAR(DEBT!AG9),MORTGAGE!$C$25:$C$384,"&lt;="&amp;sale_date),0),0)</f>
        <v>0</v>
      </c>
      <c r="AH20" s="709">
        <f>IFERROR(CHOOSE(AH6,-SUMIF(MORTGAGE!$T$25:$T$384,YEAR(DEBT!AH9),MORTGAGE!$J$25:$J$384),-SUMIFS(MORTGAGE!$J$25:$J$384,MORTGAGE!$T$25:$T$384,YEAR(DEBT!AH9),MORTGAGE!$C$25:$C$384,"&lt;="&amp;sale_date),0),0)</f>
        <v>0</v>
      </c>
      <c r="AI20" s="294"/>
      <c r="AJ20" s="294"/>
      <c r="AK20" s="294"/>
    </row>
    <row r="21" spans="1:49" s="289" customFormat="1" ht="14.4" x14ac:dyDescent="0.3">
      <c r="A21" s="314"/>
      <c r="B21" s="710" t="s">
        <v>33</v>
      </c>
      <c r="C21" s="239">
        <f>IFERROR(SUM(D21:AH21),0)</f>
        <v>0</v>
      </c>
      <c r="D21" s="829">
        <f>IF(D6=3,0,-SUMIFS(MORTGAGE!$H$25:$H$384,MORTGAGE!$T$25:$T$384,YEAR(DEBT!D9),MORTGAGE!$C$25:$C$384,"&lt;="&amp;sale_date)-D23)</f>
        <v>0</v>
      </c>
      <c r="E21" s="324">
        <f>IF(E6=3,0,-SUMIFS(MORTGAGE!$H$25:$H$384,MORTGAGE!$T$25:$T$384,YEAR(DEBT!E9),MORTGAGE!$C$25:$C$384,"&lt;="&amp;sale_date)-E23)</f>
        <v>0</v>
      </c>
      <c r="F21" s="324">
        <f>IF(F6=3,0,-SUMIFS(MORTGAGE!$H$25:$H$384,MORTGAGE!$T$25:$T$384,YEAR(DEBT!F9),MORTGAGE!$C$25:$C$384,"&lt;="&amp;sale_date)-F23)</f>
        <v>0</v>
      </c>
      <c r="G21" s="324">
        <f>IF(G6=3,0,-SUMIFS(MORTGAGE!$H$25:$H$384,MORTGAGE!$T$25:$T$384,YEAR(DEBT!G9),MORTGAGE!$C$25:$C$384,"&lt;="&amp;sale_date)-G23)</f>
        <v>0</v>
      </c>
      <c r="H21" s="324">
        <f>IF(H6=3,0,-SUMIFS(MORTGAGE!$H$25:$H$384,MORTGAGE!$T$25:$T$384,YEAR(DEBT!H9),MORTGAGE!$C$25:$C$384,"&lt;="&amp;sale_date)-H23)</f>
        <v>0</v>
      </c>
      <c r="I21" s="324">
        <f>IF(I6=3,0,-SUMIFS(MORTGAGE!$H$25:$H$384,MORTGAGE!$T$25:$T$384,YEAR(DEBT!I9),MORTGAGE!$C$25:$C$384,"&lt;="&amp;sale_date)-I23)</f>
        <v>0</v>
      </c>
      <c r="J21" s="324">
        <f>IF(J6=3,0,-SUMIFS(MORTGAGE!$H$25:$H$384,MORTGAGE!$T$25:$T$384,YEAR(DEBT!J9),MORTGAGE!$C$25:$C$384,"&lt;="&amp;sale_date)-J23)</f>
        <v>0</v>
      </c>
      <c r="K21" s="324">
        <f>IF(K6=3,0,-SUMIFS(MORTGAGE!$H$25:$H$384,MORTGAGE!$T$25:$T$384,YEAR(DEBT!K9),MORTGAGE!$C$25:$C$384,"&lt;="&amp;sale_date)-K23)</f>
        <v>0</v>
      </c>
      <c r="L21" s="324">
        <f>IF(L6=3,0,-SUMIFS(MORTGAGE!$H$25:$H$384,MORTGAGE!$T$25:$T$384,YEAR(DEBT!L9),MORTGAGE!$C$25:$C$384,"&lt;="&amp;sale_date)-L23)</f>
        <v>0</v>
      </c>
      <c r="M21" s="324">
        <f>IF(M6=3,0,-SUMIFS(MORTGAGE!$H$25:$H$384,MORTGAGE!$T$25:$T$384,YEAR(DEBT!M9),MORTGAGE!$C$25:$C$384,"&lt;="&amp;sale_date)-M23)</f>
        <v>0</v>
      </c>
      <c r="N21" s="324">
        <f>IF(N6=3,0,-SUMIFS(MORTGAGE!$H$25:$H$384,MORTGAGE!$T$25:$T$384,YEAR(DEBT!N9),MORTGAGE!$C$25:$C$384,"&lt;="&amp;sale_date)-N23)</f>
        <v>0</v>
      </c>
      <c r="O21" s="324">
        <f>IF(O6=3,0,-SUMIFS(MORTGAGE!$H$25:$H$384,MORTGAGE!$T$25:$T$384,YEAR(DEBT!O9),MORTGAGE!$C$25:$C$384,"&lt;="&amp;sale_date)-O23)</f>
        <v>0</v>
      </c>
      <c r="P21" s="324">
        <f>IF(P6=3,0,-SUMIFS(MORTGAGE!$H$25:$H$384,MORTGAGE!$T$25:$T$384,YEAR(DEBT!P9),MORTGAGE!$C$25:$C$384,"&lt;="&amp;sale_date)-P23)</f>
        <v>0</v>
      </c>
      <c r="Q21" s="324">
        <f>IF(Q6=3,0,-SUMIFS(MORTGAGE!$H$25:$H$384,MORTGAGE!$T$25:$T$384,YEAR(DEBT!Q9),MORTGAGE!$C$25:$C$384,"&lt;="&amp;sale_date)-Q23)</f>
        <v>0</v>
      </c>
      <c r="R21" s="324">
        <f>IF(R6=3,0,-SUMIFS(MORTGAGE!$H$25:$H$384,MORTGAGE!$T$25:$T$384,YEAR(DEBT!R9),MORTGAGE!$C$25:$C$384,"&lt;="&amp;sale_date)-R23)</f>
        <v>0</v>
      </c>
      <c r="S21" s="324">
        <f>IF(S6=3,0,-SUMIFS(MORTGAGE!$H$25:$H$384,MORTGAGE!$T$25:$T$384,YEAR(DEBT!S9),MORTGAGE!$C$25:$C$384,"&lt;="&amp;sale_date)-S23)</f>
        <v>0</v>
      </c>
      <c r="T21" s="324">
        <f>IF(T6=3,0,-SUMIFS(MORTGAGE!$H$25:$H$384,MORTGAGE!$T$25:$T$384,YEAR(DEBT!T9),MORTGAGE!$C$25:$C$384,"&lt;="&amp;sale_date)-T23)</f>
        <v>0</v>
      </c>
      <c r="U21" s="324">
        <f>IF(U6=3,0,-SUMIFS(MORTGAGE!$H$25:$H$384,MORTGAGE!$T$25:$T$384,YEAR(DEBT!U9),MORTGAGE!$C$25:$C$384,"&lt;="&amp;sale_date)-U23)</f>
        <v>0</v>
      </c>
      <c r="V21" s="324">
        <f>IF(V6=3,0,-SUMIFS(MORTGAGE!$H$25:$H$384,MORTGAGE!$T$25:$T$384,YEAR(DEBT!V9),MORTGAGE!$C$25:$C$384,"&lt;="&amp;sale_date)-V23)</f>
        <v>0</v>
      </c>
      <c r="W21" s="324">
        <f>IF(W6=3,0,-SUMIFS(MORTGAGE!$H$25:$H$384,MORTGAGE!$T$25:$T$384,YEAR(DEBT!W9),MORTGAGE!$C$25:$C$384,"&lt;="&amp;sale_date)-W23)</f>
        <v>0</v>
      </c>
      <c r="X21" s="324">
        <f>IF(X6=3,0,-SUMIFS(MORTGAGE!$H$25:$H$384,MORTGAGE!$T$25:$T$384,YEAR(DEBT!X9),MORTGAGE!$C$25:$C$384,"&lt;="&amp;sale_date)-X23)</f>
        <v>0</v>
      </c>
      <c r="Y21" s="324">
        <f>IF(Y6=3,0,-SUMIFS(MORTGAGE!$H$25:$H$384,MORTGAGE!$T$25:$T$384,YEAR(DEBT!Y9),MORTGAGE!$C$25:$C$384,"&lt;="&amp;sale_date)-Y23)</f>
        <v>0</v>
      </c>
      <c r="Z21" s="324">
        <f>IF(Z6=3,0,-SUMIFS(MORTGAGE!$H$25:$H$384,MORTGAGE!$T$25:$T$384,YEAR(DEBT!Z9),MORTGAGE!$C$25:$C$384,"&lt;="&amp;sale_date)-Z23)</f>
        <v>0</v>
      </c>
      <c r="AA21" s="324">
        <f>IF(AA6=3,0,-SUMIFS(MORTGAGE!$H$25:$H$384,MORTGAGE!$T$25:$T$384,YEAR(DEBT!AA9),MORTGAGE!$C$25:$C$384,"&lt;="&amp;sale_date)-AA23)</f>
        <v>0</v>
      </c>
      <c r="AB21" s="324">
        <f>IF(AB6=3,0,-SUMIFS(MORTGAGE!$H$25:$H$384,MORTGAGE!$T$25:$T$384,YEAR(DEBT!AB9),MORTGAGE!$C$25:$C$384,"&lt;="&amp;sale_date)-AB23)</f>
        <v>0</v>
      </c>
      <c r="AC21" s="324">
        <f>IF(AC6=3,0,-SUMIFS(MORTGAGE!$H$25:$H$384,MORTGAGE!$T$25:$T$384,YEAR(DEBT!AC9),MORTGAGE!$C$25:$C$384,"&lt;="&amp;sale_date)-AC23)</f>
        <v>0</v>
      </c>
      <c r="AD21" s="324">
        <f>IF(AD6=3,0,-SUMIFS(MORTGAGE!$H$25:$H$384,MORTGAGE!$T$25:$T$384,YEAR(DEBT!AD9),MORTGAGE!$C$25:$C$384,"&lt;="&amp;sale_date)-AD23)</f>
        <v>0</v>
      </c>
      <c r="AE21" s="324">
        <f>IF(AE6=3,0,-SUMIFS(MORTGAGE!$H$25:$H$384,MORTGAGE!$T$25:$T$384,YEAR(DEBT!AE9),MORTGAGE!$C$25:$C$384,"&lt;="&amp;sale_date)-AE23)</f>
        <v>0</v>
      </c>
      <c r="AF21" s="324">
        <f>IF(AF6=3,0,-SUMIFS(MORTGAGE!$H$25:$H$384,MORTGAGE!$T$25:$T$384,YEAR(DEBT!AF9),MORTGAGE!$C$25:$C$384,"&lt;="&amp;sale_date)-AF23)</f>
        <v>0</v>
      </c>
      <c r="AG21" s="324">
        <f>IF(AG6=3,0,-SUMIFS(MORTGAGE!$H$25:$H$384,MORTGAGE!$T$25:$T$384,YEAR(DEBT!AG9),MORTGAGE!$C$25:$C$384,"&lt;="&amp;sale_date)-AG23)</f>
        <v>0</v>
      </c>
      <c r="AH21" s="715">
        <f>IF(AH6=3,0,-SUMIFS(MORTGAGE!$H$25:$H$384,MORTGAGE!$T$25:$T$384,YEAR(DEBT!AH9),MORTGAGE!$C$25:$C$384,"&lt;="&amp;sale_date)-AH23)</f>
        <v>0</v>
      </c>
      <c r="AI21" s="296"/>
      <c r="AJ21" s="296"/>
      <c r="AK21" s="296"/>
      <c r="AL21" s="290"/>
      <c r="AM21" s="290"/>
      <c r="AN21" s="290"/>
      <c r="AO21" s="290"/>
      <c r="AP21" s="290"/>
      <c r="AQ21" s="290"/>
      <c r="AR21" s="290"/>
      <c r="AS21" s="290"/>
      <c r="AT21" s="290"/>
      <c r="AU21" s="290"/>
      <c r="AV21" s="290"/>
      <c r="AW21" s="290"/>
    </row>
    <row r="22" spans="1:49" s="289" customFormat="1" x14ac:dyDescent="0.3">
      <c r="A22" s="314"/>
      <c r="B22" s="706"/>
      <c r="C22" s="84"/>
      <c r="D22" s="827"/>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244"/>
      <c r="AG22" s="244"/>
      <c r="AH22" s="714"/>
      <c r="AI22" s="294"/>
      <c r="AJ22" s="294"/>
      <c r="AK22" s="294"/>
    </row>
    <row r="23" spans="1:49" s="289" customFormat="1" x14ac:dyDescent="0.3">
      <c r="A23" s="314"/>
      <c r="B23" s="706" t="s">
        <v>29</v>
      </c>
      <c r="C23" s="85">
        <f>IFERROR(SUM(D23:AH23),0)</f>
        <v>0</v>
      </c>
      <c r="D23" s="830">
        <f>IFERROR(IF(D6=3,0,-SUMIFS(MORTGAGE!$K$25:$K$384,MORTGAGE!$T$25:$T$384,YEAR(DEBT!D9),MORTGAGE!$C$25:$C$384,"&lt;="&amp;sale_date)),0)</f>
        <v>0</v>
      </c>
      <c r="E23" s="16">
        <f>IFERROR(IF(E6=3,0,-SUMIFS(MORTGAGE!$K$25:$K$384,MORTGAGE!$T$25:$T$384,YEAR(DEBT!E9),MORTGAGE!$C$25:$C$384,"&lt;="&amp;sale_date)),0)</f>
        <v>0</v>
      </c>
      <c r="F23" s="16">
        <f>IFERROR(IF(F6=3,0,-SUMIFS(MORTGAGE!$K$25:$K$384,MORTGAGE!$T$25:$T$384,YEAR(DEBT!F9),MORTGAGE!$C$25:$C$384,"&lt;="&amp;sale_date)),0)</f>
        <v>0</v>
      </c>
      <c r="G23" s="16">
        <f>IFERROR(IF(G6=3,0,-SUMIFS(MORTGAGE!$K$25:$K$384,MORTGAGE!$T$25:$T$384,YEAR(DEBT!G9),MORTGAGE!$C$25:$C$384,"&lt;="&amp;sale_date)),0)</f>
        <v>0</v>
      </c>
      <c r="H23" s="16">
        <f>IFERROR(IF(H6=3,0,-SUMIFS(MORTGAGE!$K$25:$K$384,MORTGAGE!$T$25:$T$384,YEAR(DEBT!H9),MORTGAGE!$C$25:$C$384,"&lt;="&amp;sale_date)),0)</f>
        <v>0</v>
      </c>
      <c r="I23" s="16">
        <f>IFERROR(IF(I6=3,0,-SUMIFS(MORTGAGE!$K$25:$K$384,MORTGAGE!$T$25:$T$384,YEAR(DEBT!I9),MORTGAGE!$C$25:$C$384,"&lt;="&amp;sale_date)),0)</f>
        <v>0</v>
      </c>
      <c r="J23" s="16">
        <f>IFERROR(IF(J6=3,0,-SUMIFS(MORTGAGE!$K$25:$K$384,MORTGAGE!$T$25:$T$384,YEAR(DEBT!J9),MORTGAGE!$C$25:$C$384,"&lt;="&amp;sale_date)),0)</f>
        <v>0</v>
      </c>
      <c r="K23" s="16">
        <f>IFERROR(IF(K6=3,0,-SUMIFS(MORTGAGE!$K$25:$K$384,MORTGAGE!$T$25:$T$384,YEAR(DEBT!K9),MORTGAGE!$C$25:$C$384,"&lt;="&amp;sale_date)),0)</f>
        <v>0</v>
      </c>
      <c r="L23" s="16">
        <f>IFERROR(IF(L6=3,0,-SUMIFS(MORTGAGE!$K$25:$K$384,MORTGAGE!$T$25:$T$384,YEAR(DEBT!L9),MORTGAGE!$C$25:$C$384,"&lt;="&amp;sale_date)),0)</f>
        <v>0</v>
      </c>
      <c r="M23" s="16">
        <f>IFERROR(IF(M6=3,0,-SUMIFS(MORTGAGE!$K$25:$K$384,MORTGAGE!$T$25:$T$384,YEAR(DEBT!M9),MORTGAGE!$C$25:$C$384,"&lt;="&amp;sale_date)),0)</f>
        <v>0</v>
      </c>
      <c r="N23" s="16">
        <f>IFERROR(IF(N6=3,0,-SUMIFS(MORTGAGE!$K$25:$K$384,MORTGAGE!$T$25:$T$384,YEAR(DEBT!N9),MORTGAGE!$C$25:$C$384,"&lt;="&amp;sale_date)),0)</f>
        <v>0</v>
      </c>
      <c r="O23" s="16">
        <f>IFERROR(IF(O6=3,0,-SUMIFS(MORTGAGE!$K$25:$K$384,MORTGAGE!$T$25:$T$384,YEAR(DEBT!O9),MORTGAGE!$C$25:$C$384,"&lt;="&amp;sale_date)),0)</f>
        <v>0</v>
      </c>
      <c r="P23" s="16">
        <f>IFERROR(IF(P6=3,0,-SUMIFS(MORTGAGE!$K$25:$K$384,MORTGAGE!$T$25:$T$384,YEAR(DEBT!P9),MORTGAGE!$C$25:$C$384,"&lt;="&amp;sale_date)),0)</f>
        <v>0</v>
      </c>
      <c r="Q23" s="16">
        <f>IFERROR(IF(Q6=3,0,-SUMIFS(MORTGAGE!$K$25:$K$384,MORTGAGE!$T$25:$T$384,YEAR(DEBT!Q9),MORTGAGE!$C$25:$C$384,"&lt;="&amp;sale_date)),0)</f>
        <v>0</v>
      </c>
      <c r="R23" s="16">
        <f>IFERROR(IF(R6=3,0,-SUMIFS(MORTGAGE!$K$25:$K$384,MORTGAGE!$T$25:$T$384,YEAR(DEBT!R9),MORTGAGE!$C$25:$C$384,"&lt;="&amp;sale_date)),0)</f>
        <v>0</v>
      </c>
      <c r="S23" s="16">
        <f>IFERROR(IF(S6=3,0,-SUMIFS(MORTGAGE!$K$25:$K$384,MORTGAGE!$T$25:$T$384,YEAR(DEBT!S9),MORTGAGE!$C$25:$C$384,"&lt;="&amp;sale_date)),0)</f>
        <v>0</v>
      </c>
      <c r="T23" s="16">
        <f>IFERROR(IF(T6=3,0,-SUMIFS(MORTGAGE!$K$25:$K$384,MORTGAGE!$T$25:$T$384,YEAR(DEBT!T9),MORTGAGE!$C$25:$C$384,"&lt;="&amp;sale_date)),0)</f>
        <v>0</v>
      </c>
      <c r="U23" s="16">
        <f>IFERROR(IF(U6=3,0,-SUMIFS(MORTGAGE!$K$25:$K$384,MORTGAGE!$T$25:$T$384,YEAR(DEBT!U9),MORTGAGE!$C$25:$C$384,"&lt;="&amp;sale_date)),0)</f>
        <v>0</v>
      </c>
      <c r="V23" s="16">
        <f>IFERROR(IF(V6=3,0,-SUMIFS(MORTGAGE!$K$25:$K$384,MORTGAGE!$T$25:$T$384,YEAR(DEBT!V9),MORTGAGE!$C$25:$C$384,"&lt;="&amp;sale_date)),0)</f>
        <v>0</v>
      </c>
      <c r="W23" s="16">
        <f>IFERROR(IF(W6=3,0,-SUMIFS(MORTGAGE!$K$25:$K$384,MORTGAGE!$T$25:$T$384,YEAR(DEBT!W9),MORTGAGE!$C$25:$C$384,"&lt;="&amp;sale_date)),0)</f>
        <v>0</v>
      </c>
      <c r="X23" s="16">
        <f>IFERROR(IF(X6=3,0,-SUMIFS(MORTGAGE!$K$25:$K$384,MORTGAGE!$T$25:$T$384,YEAR(DEBT!X9),MORTGAGE!$C$25:$C$384,"&lt;="&amp;sale_date)),0)</f>
        <v>0</v>
      </c>
      <c r="Y23" s="16">
        <f>IFERROR(IF(Y6=3,0,-SUMIFS(MORTGAGE!$K$25:$K$384,MORTGAGE!$T$25:$T$384,YEAR(DEBT!Y9),MORTGAGE!$C$25:$C$384,"&lt;="&amp;sale_date)),0)</f>
        <v>0</v>
      </c>
      <c r="Z23" s="16">
        <f>IFERROR(IF(Z6=3,0,-SUMIFS(MORTGAGE!$K$25:$K$384,MORTGAGE!$T$25:$T$384,YEAR(DEBT!Z9),MORTGAGE!$C$25:$C$384,"&lt;="&amp;sale_date)),0)</f>
        <v>0</v>
      </c>
      <c r="AA23" s="16">
        <f>IFERROR(IF(AA6=3,0,-SUMIFS(MORTGAGE!$K$25:$K$384,MORTGAGE!$T$25:$T$384,YEAR(DEBT!AA9),MORTGAGE!$C$25:$C$384,"&lt;="&amp;sale_date)),0)</f>
        <v>0</v>
      </c>
      <c r="AB23" s="16">
        <f>IFERROR(IF(AB6=3,0,-SUMIFS(MORTGAGE!$K$25:$K$384,MORTGAGE!$T$25:$T$384,YEAR(DEBT!AB9),MORTGAGE!$C$25:$C$384,"&lt;="&amp;sale_date)),0)</f>
        <v>0</v>
      </c>
      <c r="AC23" s="16">
        <f>IFERROR(IF(AC6=3,0,-SUMIFS(MORTGAGE!$K$25:$K$384,MORTGAGE!$T$25:$T$384,YEAR(DEBT!AC9),MORTGAGE!$C$25:$C$384,"&lt;="&amp;sale_date)),0)</f>
        <v>0</v>
      </c>
      <c r="AD23" s="16">
        <f>IFERROR(IF(AD6=3,0,-SUMIFS(MORTGAGE!$K$25:$K$384,MORTGAGE!$T$25:$T$384,YEAR(DEBT!AD9),MORTGAGE!$C$25:$C$384,"&lt;="&amp;sale_date)),0)</f>
        <v>0</v>
      </c>
      <c r="AE23" s="16">
        <f>IFERROR(IF(AE6=3,0,-SUMIFS(MORTGAGE!$K$25:$K$384,MORTGAGE!$T$25:$T$384,YEAR(DEBT!AE9),MORTGAGE!$C$25:$C$384,"&lt;="&amp;sale_date)),0)</f>
        <v>0</v>
      </c>
      <c r="AF23" s="16">
        <f>IFERROR(IF(AF6=3,0,-SUMIFS(MORTGAGE!$K$25:$K$384,MORTGAGE!$T$25:$T$384,YEAR(DEBT!AF9),MORTGAGE!$C$25:$C$384,"&lt;="&amp;sale_date)),0)</f>
        <v>0</v>
      </c>
      <c r="AG23" s="16">
        <f>IFERROR(IF(AG6=3,0,-SUMIFS(MORTGAGE!$K$25:$K$384,MORTGAGE!$T$25:$T$384,YEAR(DEBT!AG9),MORTGAGE!$C$25:$C$384,"&lt;="&amp;sale_date)),0)</f>
        <v>0</v>
      </c>
      <c r="AH23" s="716">
        <f>IFERROR(IF(AH6=3,0,-SUMIFS(MORTGAGE!$K$25:$K$384,MORTGAGE!$T$25:$T$384,YEAR(DEBT!AH9),MORTGAGE!$C$25:$C$384,"&lt;="&amp;sale_date)),0)</f>
        <v>0</v>
      </c>
      <c r="AI23" s="294"/>
      <c r="AJ23" s="294"/>
      <c r="AK23" s="294"/>
    </row>
    <row r="24" spans="1:49" s="289" customFormat="1" x14ac:dyDescent="0.3">
      <c r="A24" s="314"/>
      <c r="B24" s="706"/>
      <c r="C24" s="84"/>
      <c r="D24" s="827"/>
      <c r="E24" s="15"/>
      <c r="F24" s="15"/>
      <c r="G24" s="15"/>
      <c r="H24" s="15"/>
      <c r="I24" s="15"/>
      <c r="J24" s="15"/>
      <c r="K24" s="15"/>
      <c r="L24" s="15"/>
      <c r="M24" s="15"/>
      <c r="N24" s="15"/>
      <c r="O24" s="15"/>
      <c r="P24" s="15"/>
      <c r="Q24" s="15"/>
      <c r="R24" s="15"/>
      <c r="S24" s="15"/>
      <c r="T24" s="15"/>
      <c r="U24" s="15"/>
      <c r="V24" s="15"/>
      <c r="W24" s="15"/>
      <c r="X24" s="15"/>
      <c r="Y24" s="15"/>
      <c r="Z24" s="15"/>
      <c r="AA24" s="244"/>
      <c r="AB24" s="244"/>
      <c r="AC24" s="244"/>
      <c r="AD24" s="244"/>
      <c r="AE24" s="244"/>
      <c r="AF24" s="244"/>
      <c r="AG24" s="244"/>
      <c r="AH24" s="714"/>
      <c r="AI24" s="294"/>
      <c r="AJ24" s="294"/>
      <c r="AK24" s="294"/>
    </row>
    <row r="25" spans="1:49" x14ac:dyDescent="0.25">
      <c r="A25" s="314"/>
      <c r="B25" s="717" t="s">
        <v>34</v>
      </c>
      <c r="C25" s="834">
        <f>IFERROR(SUM(D25:AH25),0)</f>
        <v>0</v>
      </c>
      <c r="D25" s="831">
        <f>D21+D23</f>
        <v>0</v>
      </c>
      <c r="E25" s="796">
        <f t="shared" ref="E25:AG25" si="6">E21+E23</f>
        <v>0</v>
      </c>
      <c r="F25" s="796">
        <f t="shared" si="6"/>
        <v>0</v>
      </c>
      <c r="G25" s="796">
        <f t="shared" si="6"/>
        <v>0</v>
      </c>
      <c r="H25" s="796">
        <f t="shared" si="6"/>
        <v>0</v>
      </c>
      <c r="I25" s="796">
        <f t="shared" si="6"/>
        <v>0</v>
      </c>
      <c r="J25" s="796">
        <f t="shared" si="6"/>
        <v>0</v>
      </c>
      <c r="K25" s="796">
        <f t="shared" si="6"/>
        <v>0</v>
      </c>
      <c r="L25" s="796">
        <f t="shared" si="6"/>
        <v>0</v>
      </c>
      <c r="M25" s="796">
        <f t="shared" si="6"/>
        <v>0</v>
      </c>
      <c r="N25" s="796">
        <f t="shared" si="6"/>
        <v>0</v>
      </c>
      <c r="O25" s="796">
        <f t="shared" si="6"/>
        <v>0</v>
      </c>
      <c r="P25" s="796">
        <f t="shared" si="6"/>
        <v>0</v>
      </c>
      <c r="Q25" s="796">
        <f t="shared" si="6"/>
        <v>0</v>
      </c>
      <c r="R25" s="796">
        <f t="shared" si="6"/>
        <v>0</v>
      </c>
      <c r="S25" s="796">
        <f t="shared" si="6"/>
        <v>0</v>
      </c>
      <c r="T25" s="796">
        <f t="shared" si="6"/>
        <v>0</v>
      </c>
      <c r="U25" s="796">
        <f t="shared" si="6"/>
        <v>0</v>
      </c>
      <c r="V25" s="796">
        <f t="shared" si="6"/>
        <v>0</v>
      </c>
      <c r="W25" s="796">
        <f t="shared" si="6"/>
        <v>0</v>
      </c>
      <c r="X25" s="796">
        <f t="shared" si="6"/>
        <v>0</v>
      </c>
      <c r="Y25" s="796">
        <f t="shared" si="6"/>
        <v>0</v>
      </c>
      <c r="Z25" s="796">
        <f t="shared" si="6"/>
        <v>0</v>
      </c>
      <c r="AA25" s="796">
        <f t="shared" si="6"/>
        <v>0</v>
      </c>
      <c r="AB25" s="796">
        <f t="shared" si="6"/>
        <v>0</v>
      </c>
      <c r="AC25" s="796">
        <f t="shared" si="6"/>
        <v>0</v>
      </c>
      <c r="AD25" s="796">
        <f t="shared" si="6"/>
        <v>0</v>
      </c>
      <c r="AE25" s="796">
        <f t="shared" si="6"/>
        <v>0</v>
      </c>
      <c r="AF25" s="796">
        <f t="shared" si="6"/>
        <v>0</v>
      </c>
      <c r="AG25" s="796">
        <f t="shared" si="6"/>
        <v>0</v>
      </c>
      <c r="AH25" s="718">
        <f>AH21+AH23</f>
        <v>0</v>
      </c>
      <c r="AI25" s="294"/>
      <c r="AJ25" s="294"/>
      <c r="AK25" s="294"/>
      <c r="AL25" s="289"/>
      <c r="AM25" s="289"/>
      <c r="AN25" s="289"/>
      <c r="AO25" s="289"/>
      <c r="AP25" s="289"/>
      <c r="AQ25" s="289"/>
      <c r="AR25" s="289"/>
      <c r="AS25" s="289"/>
      <c r="AT25" s="289"/>
      <c r="AU25" s="289"/>
      <c r="AV25" s="289"/>
      <c r="AW25" s="289"/>
    </row>
    <row r="26" spans="1:49" x14ac:dyDescent="0.25">
      <c r="A26" s="314"/>
      <c r="B26" s="719" t="s">
        <v>760</v>
      </c>
      <c r="C26" s="835">
        <f>IFERROR(SUM(D26:AH26),0)</f>
        <v>0</v>
      </c>
      <c r="D26" s="832">
        <f>D23+D20</f>
        <v>0</v>
      </c>
      <c r="E26" s="720">
        <f t="shared" ref="E26:AG26" si="7">E23+E20</f>
        <v>0</v>
      </c>
      <c r="F26" s="720">
        <f t="shared" si="7"/>
        <v>0</v>
      </c>
      <c r="G26" s="720">
        <f t="shared" si="7"/>
        <v>0</v>
      </c>
      <c r="H26" s="720">
        <f t="shared" si="7"/>
        <v>0</v>
      </c>
      <c r="I26" s="720">
        <f t="shared" si="7"/>
        <v>0</v>
      </c>
      <c r="J26" s="720">
        <f t="shared" si="7"/>
        <v>0</v>
      </c>
      <c r="K26" s="720">
        <f t="shared" si="7"/>
        <v>0</v>
      </c>
      <c r="L26" s="720">
        <f t="shared" si="7"/>
        <v>0</v>
      </c>
      <c r="M26" s="720">
        <f t="shared" si="7"/>
        <v>0</v>
      </c>
      <c r="N26" s="720">
        <f t="shared" si="7"/>
        <v>0</v>
      </c>
      <c r="O26" s="720">
        <f t="shared" si="7"/>
        <v>0</v>
      </c>
      <c r="P26" s="720">
        <f t="shared" si="7"/>
        <v>0</v>
      </c>
      <c r="Q26" s="720">
        <f t="shared" si="7"/>
        <v>0</v>
      </c>
      <c r="R26" s="720">
        <f t="shared" si="7"/>
        <v>0</v>
      </c>
      <c r="S26" s="720">
        <f t="shared" si="7"/>
        <v>0</v>
      </c>
      <c r="T26" s="720">
        <f t="shared" si="7"/>
        <v>0</v>
      </c>
      <c r="U26" s="720">
        <f t="shared" si="7"/>
        <v>0</v>
      </c>
      <c r="V26" s="720">
        <f t="shared" si="7"/>
        <v>0</v>
      </c>
      <c r="W26" s="720">
        <f t="shared" si="7"/>
        <v>0</v>
      </c>
      <c r="X26" s="720">
        <f t="shared" si="7"/>
        <v>0</v>
      </c>
      <c r="Y26" s="720">
        <f t="shared" si="7"/>
        <v>0</v>
      </c>
      <c r="Z26" s="720">
        <f t="shared" si="7"/>
        <v>0</v>
      </c>
      <c r="AA26" s="720">
        <f t="shared" si="7"/>
        <v>0</v>
      </c>
      <c r="AB26" s="720">
        <f t="shared" si="7"/>
        <v>0</v>
      </c>
      <c r="AC26" s="720">
        <f t="shared" si="7"/>
        <v>0</v>
      </c>
      <c r="AD26" s="720">
        <f t="shared" si="7"/>
        <v>0</v>
      </c>
      <c r="AE26" s="720">
        <f t="shared" si="7"/>
        <v>0</v>
      </c>
      <c r="AF26" s="720">
        <f t="shared" si="7"/>
        <v>0</v>
      </c>
      <c r="AG26" s="720">
        <f t="shared" si="7"/>
        <v>0</v>
      </c>
      <c r="AH26" s="721">
        <f>AH23+AH20</f>
        <v>0</v>
      </c>
      <c r="AI26" s="297"/>
      <c r="AJ26" s="294"/>
      <c r="AK26" s="294"/>
      <c r="AL26" s="289"/>
      <c r="AM26" s="289"/>
      <c r="AN26" s="289"/>
      <c r="AO26" s="289"/>
      <c r="AP26" s="289"/>
      <c r="AQ26" s="289"/>
      <c r="AR26" s="289"/>
      <c r="AS26" s="289"/>
      <c r="AT26" s="289"/>
      <c r="AU26" s="289"/>
      <c r="AV26" s="289"/>
      <c r="AW26" s="289"/>
    </row>
    <row r="27" spans="1:49" x14ac:dyDescent="0.25">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76"/>
      <c r="AG27" s="276"/>
      <c r="AH27" s="276"/>
      <c r="AI27" s="276"/>
      <c r="AJ27" s="276"/>
      <c r="AK27" s="276"/>
    </row>
    <row r="28" spans="1:49" x14ac:dyDescent="0.25">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row>
    <row r="29" spans="1:49" s="316" customFormat="1" x14ac:dyDescent="0.25">
      <c r="A29" s="274"/>
      <c r="B29" s="799" t="s">
        <v>305</v>
      </c>
      <c r="C29" s="800"/>
      <c r="D29" s="800"/>
      <c r="E29" s="800"/>
      <c r="F29" s="800"/>
      <c r="G29" s="800"/>
      <c r="H29" s="800"/>
      <c r="I29" s="800"/>
      <c r="J29" s="800"/>
      <c r="K29" s="800"/>
      <c r="L29" s="801" t="s">
        <v>52</v>
      </c>
      <c r="M29" s="800"/>
      <c r="N29" s="800"/>
      <c r="O29" s="800"/>
      <c r="P29" s="800"/>
      <c r="Q29" s="800"/>
      <c r="R29" s="800"/>
      <c r="S29" s="800"/>
      <c r="T29" s="800"/>
      <c r="U29" s="800"/>
      <c r="V29" s="800"/>
      <c r="W29" s="800"/>
      <c r="X29" s="800"/>
      <c r="Y29" s="802"/>
      <c r="Z29" s="329"/>
      <c r="AA29" s="329"/>
      <c r="AB29" s="696"/>
      <c r="AC29" s="696"/>
      <c r="AD29" s="696"/>
      <c r="AE29" s="696"/>
      <c r="AF29" s="696"/>
      <c r="AG29" s="696"/>
      <c r="AH29" s="696"/>
      <c r="AI29" s="696"/>
      <c r="AJ29" s="696"/>
      <c r="AK29" s="276"/>
      <c r="AL29" s="274"/>
      <c r="AM29" s="274"/>
      <c r="AN29" s="274"/>
      <c r="AO29" s="274"/>
      <c r="AP29" s="274"/>
      <c r="AQ29" s="274"/>
      <c r="AR29" s="274"/>
      <c r="AS29" s="274"/>
      <c r="AT29" s="274"/>
      <c r="AU29" s="274"/>
      <c r="AV29" s="274"/>
      <c r="AW29" s="274"/>
    </row>
    <row r="30" spans="1:49" s="316" customFormat="1" x14ac:dyDescent="0.25">
      <c r="A30" s="274"/>
      <c r="B30" s="803"/>
      <c r="C30" s="8"/>
      <c r="D30" s="8"/>
      <c r="E30" s="8"/>
      <c r="F30" s="8"/>
      <c r="G30" s="8"/>
      <c r="H30" s="8"/>
      <c r="I30" s="8"/>
      <c r="J30" s="8"/>
      <c r="K30" s="8"/>
      <c r="L30" s="8"/>
      <c r="M30" s="8"/>
      <c r="N30" s="8"/>
      <c r="O30" s="8"/>
      <c r="P30" s="8"/>
      <c r="Q30" s="8"/>
      <c r="R30" s="8"/>
      <c r="S30" s="8"/>
      <c r="T30" s="8"/>
      <c r="U30" s="8"/>
      <c r="V30" s="8"/>
      <c r="W30" s="8"/>
      <c r="X30" s="8"/>
      <c r="Y30" s="804"/>
      <c r="Z30" s="329"/>
      <c r="AA30" s="329"/>
      <c r="AB30" s="696"/>
      <c r="AC30" s="696"/>
      <c r="AD30" s="696"/>
      <c r="AE30" s="696"/>
      <c r="AF30" s="696"/>
      <c r="AG30" s="696"/>
      <c r="AH30" s="696"/>
      <c r="AI30" s="696"/>
      <c r="AJ30" s="696"/>
      <c r="AK30" s="276"/>
      <c r="AL30" s="274"/>
      <c r="AM30" s="274"/>
      <c r="AN30" s="274"/>
      <c r="AO30" s="274"/>
      <c r="AP30" s="274"/>
      <c r="AQ30" s="274"/>
      <c r="AR30" s="274"/>
      <c r="AS30" s="274"/>
      <c r="AT30" s="274"/>
      <c r="AU30" s="274"/>
      <c r="AV30" s="274"/>
      <c r="AW30" s="274"/>
    </row>
    <row r="31" spans="1:49" s="316" customFormat="1" x14ac:dyDescent="0.25">
      <c r="B31" s="805"/>
      <c r="C31" s="797"/>
      <c r="D31" s="8"/>
      <c r="E31" s="8"/>
      <c r="F31" s="8"/>
      <c r="G31" s="8"/>
      <c r="H31" s="8"/>
      <c r="I31" s="8"/>
      <c r="J31" s="8"/>
      <c r="K31" s="8"/>
      <c r="L31" s="8"/>
      <c r="M31" s="8"/>
      <c r="N31" s="8"/>
      <c r="O31" s="8"/>
      <c r="P31" s="8"/>
      <c r="Q31" s="8"/>
      <c r="R31" s="8"/>
      <c r="S31" s="8"/>
      <c r="T31" s="8"/>
      <c r="U31" s="8"/>
      <c r="V31" s="8"/>
      <c r="W31" s="8"/>
      <c r="X31" s="8"/>
      <c r="Y31" s="804"/>
      <c r="Z31" s="329"/>
      <c r="AA31" s="329"/>
      <c r="AH31" s="697"/>
      <c r="AI31" s="696"/>
      <c r="AJ31" s="696"/>
      <c r="AK31" s="320"/>
    </row>
    <row r="32" spans="1:49" s="275" customFormat="1" x14ac:dyDescent="0.25">
      <c r="A32" s="316"/>
      <c r="B32" s="805"/>
      <c r="C32" s="797"/>
      <c r="D32" s="8"/>
      <c r="E32" s="8"/>
      <c r="F32" s="8"/>
      <c r="G32" s="8"/>
      <c r="H32" s="8"/>
      <c r="I32" s="8"/>
      <c r="J32" s="8"/>
      <c r="K32" s="8"/>
      <c r="L32" s="8"/>
      <c r="M32" s="8"/>
      <c r="N32" s="8"/>
      <c r="O32" s="8"/>
      <c r="P32" s="8"/>
      <c r="Q32" s="8"/>
      <c r="R32" s="8"/>
      <c r="S32" s="8"/>
      <c r="T32" s="8"/>
      <c r="U32" s="8"/>
      <c r="V32" s="8"/>
      <c r="W32" s="8"/>
      <c r="X32" s="8"/>
      <c r="Y32" s="804"/>
      <c r="Z32" s="329"/>
      <c r="AA32" s="329"/>
      <c r="AB32" s="316"/>
      <c r="AC32" s="316"/>
      <c r="AD32" s="316"/>
      <c r="AE32" s="316"/>
      <c r="AF32" s="316"/>
      <c r="AG32" s="316"/>
      <c r="AH32" s="697"/>
      <c r="AI32" s="696"/>
      <c r="AJ32" s="696"/>
      <c r="AK32" s="320"/>
      <c r="AL32" s="316"/>
      <c r="AM32" s="316"/>
      <c r="AN32" s="316"/>
      <c r="AO32" s="316"/>
      <c r="AP32" s="316"/>
      <c r="AQ32" s="316"/>
      <c r="AR32" s="316"/>
      <c r="AS32" s="316"/>
      <c r="AT32" s="316"/>
      <c r="AU32" s="316"/>
      <c r="AV32" s="316"/>
      <c r="AW32" s="316"/>
    </row>
    <row r="33" spans="1:49" s="275" customFormat="1" x14ac:dyDescent="0.25">
      <c r="A33" s="316"/>
      <c r="B33" s="805"/>
      <c r="C33" s="797"/>
      <c r="D33" s="8"/>
      <c r="E33" s="8"/>
      <c r="F33" s="8"/>
      <c r="G33" s="8"/>
      <c r="H33" s="8"/>
      <c r="I33" s="8"/>
      <c r="J33" s="8"/>
      <c r="K33" s="8"/>
      <c r="L33" s="8"/>
      <c r="M33" s="8"/>
      <c r="N33" s="8"/>
      <c r="O33" s="8"/>
      <c r="P33" s="8"/>
      <c r="Q33" s="8"/>
      <c r="R33" s="8"/>
      <c r="S33" s="8"/>
      <c r="T33" s="8"/>
      <c r="U33" s="8"/>
      <c r="V33" s="8"/>
      <c r="W33" s="8"/>
      <c r="X33" s="8"/>
      <c r="Y33" s="804"/>
      <c r="Z33" s="329"/>
      <c r="AA33" s="329"/>
      <c r="AB33" s="316"/>
      <c r="AC33" s="316"/>
      <c r="AD33" s="316"/>
      <c r="AE33" s="316"/>
      <c r="AF33" s="316"/>
      <c r="AG33" s="316"/>
      <c r="AH33" s="698"/>
      <c r="AI33" s="696"/>
      <c r="AJ33" s="696"/>
      <c r="AK33" s="320"/>
      <c r="AL33" s="316"/>
      <c r="AM33" s="316"/>
      <c r="AN33" s="316"/>
      <c r="AO33" s="316"/>
      <c r="AP33" s="316"/>
      <c r="AQ33" s="316"/>
      <c r="AR33" s="316"/>
      <c r="AS33" s="316"/>
      <c r="AT33" s="316"/>
      <c r="AU33" s="316"/>
      <c r="AV33" s="316"/>
      <c r="AW33" s="316"/>
    </row>
    <row r="34" spans="1:49" x14ac:dyDescent="0.25">
      <c r="A34" s="275"/>
      <c r="B34" s="1670"/>
      <c r="C34" s="153"/>
      <c r="D34" s="153" t="s">
        <v>31</v>
      </c>
      <c r="E34" s="1671" t="str">
        <f t="shared" ref="E34:AI34" si="8">IFERROR(D14/(D14+D20),"")</f>
        <v/>
      </c>
      <c r="F34" s="1671" t="str">
        <f t="shared" si="8"/>
        <v/>
      </c>
      <c r="G34" s="1671" t="str">
        <f t="shared" si="8"/>
        <v/>
      </c>
      <c r="H34" s="1671" t="str">
        <f t="shared" si="8"/>
        <v/>
      </c>
      <c r="I34" s="1671" t="str">
        <f t="shared" si="8"/>
        <v/>
      </c>
      <c r="J34" s="1671" t="str">
        <f t="shared" si="8"/>
        <v/>
      </c>
      <c r="K34" s="1671" t="str">
        <f t="shared" si="8"/>
        <v/>
      </c>
      <c r="L34" s="1671" t="str">
        <f t="shared" si="8"/>
        <v/>
      </c>
      <c r="M34" s="1671" t="str">
        <f t="shared" si="8"/>
        <v/>
      </c>
      <c r="N34" s="1671" t="str">
        <f t="shared" si="8"/>
        <v/>
      </c>
      <c r="O34" s="1671" t="str">
        <f t="shared" si="8"/>
        <v/>
      </c>
      <c r="P34" s="1671" t="str">
        <f t="shared" si="8"/>
        <v/>
      </c>
      <c r="Q34" s="1671" t="str">
        <f t="shared" si="8"/>
        <v/>
      </c>
      <c r="R34" s="1671" t="str">
        <f t="shared" si="8"/>
        <v/>
      </c>
      <c r="S34" s="1671" t="str">
        <f t="shared" si="8"/>
        <v/>
      </c>
      <c r="T34" s="1671" t="str">
        <f t="shared" si="8"/>
        <v/>
      </c>
      <c r="U34" s="1671" t="str">
        <f t="shared" si="8"/>
        <v/>
      </c>
      <c r="V34" s="1671" t="str">
        <f t="shared" si="8"/>
        <v/>
      </c>
      <c r="W34" s="1671" t="str">
        <f t="shared" si="8"/>
        <v/>
      </c>
      <c r="X34" s="1671" t="str">
        <f t="shared" si="8"/>
        <v/>
      </c>
      <c r="Y34" s="1672" t="str">
        <f t="shared" si="8"/>
        <v/>
      </c>
      <c r="Z34" s="816" t="str">
        <f t="shared" si="8"/>
        <v/>
      </c>
      <c r="AA34" s="816" t="str">
        <f t="shared" si="8"/>
        <v/>
      </c>
      <c r="AB34" s="817" t="str">
        <f t="shared" si="8"/>
        <v/>
      </c>
      <c r="AC34" s="817" t="str">
        <f t="shared" si="8"/>
        <v/>
      </c>
      <c r="AD34" s="817" t="str">
        <f t="shared" si="8"/>
        <v/>
      </c>
      <c r="AE34" s="817" t="str">
        <f t="shared" si="8"/>
        <v/>
      </c>
      <c r="AF34" s="817" t="str">
        <f t="shared" si="8"/>
        <v/>
      </c>
      <c r="AG34" s="1669" t="str">
        <f t="shared" si="8"/>
        <v/>
      </c>
      <c r="AH34" s="1669" t="str">
        <f t="shared" si="8"/>
        <v/>
      </c>
      <c r="AI34" s="1669" t="str">
        <f t="shared" si="8"/>
        <v/>
      </c>
      <c r="AJ34" s="696"/>
      <c r="AK34" s="696"/>
      <c r="AL34" s="275"/>
      <c r="AM34" s="275"/>
      <c r="AN34" s="275"/>
      <c r="AO34" s="275"/>
      <c r="AP34" s="275"/>
      <c r="AQ34" s="275"/>
      <c r="AR34" s="275"/>
      <c r="AS34" s="275"/>
      <c r="AT34" s="275"/>
      <c r="AU34" s="275"/>
      <c r="AV34" s="275"/>
      <c r="AW34" s="275"/>
    </row>
    <row r="35" spans="1:49" x14ac:dyDescent="0.25">
      <c r="A35" s="275"/>
      <c r="B35" s="1670"/>
      <c r="C35" s="1673"/>
      <c r="D35" s="153" t="s">
        <v>32</v>
      </c>
      <c r="E35" s="1671" t="str">
        <f t="shared" ref="E35:AI35" si="9">IFERROR(D20/(D14+D20),"")</f>
        <v/>
      </c>
      <c r="F35" s="1671" t="str">
        <f t="shared" si="9"/>
        <v/>
      </c>
      <c r="G35" s="1671" t="str">
        <f t="shared" si="9"/>
        <v/>
      </c>
      <c r="H35" s="1671" t="str">
        <f t="shared" si="9"/>
        <v/>
      </c>
      <c r="I35" s="1671" t="str">
        <f t="shared" si="9"/>
        <v/>
      </c>
      <c r="J35" s="1671" t="str">
        <f t="shared" si="9"/>
        <v/>
      </c>
      <c r="K35" s="1671" t="str">
        <f t="shared" si="9"/>
        <v/>
      </c>
      <c r="L35" s="1671" t="str">
        <f t="shared" si="9"/>
        <v/>
      </c>
      <c r="M35" s="1671" t="str">
        <f t="shared" si="9"/>
        <v/>
      </c>
      <c r="N35" s="1671" t="str">
        <f t="shared" si="9"/>
        <v/>
      </c>
      <c r="O35" s="1671" t="str">
        <f t="shared" si="9"/>
        <v/>
      </c>
      <c r="P35" s="1671" t="str">
        <f t="shared" si="9"/>
        <v/>
      </c>
      <c r="Q35" s="1671" t="str">
        <f t="shared" si="9"/>
        <v/>
      </c>
      <c r="R35" s="1671" t="str">
        <f t="shared" si="9"/>
        <v/>
      </c>
      <c r="S35" s="1671" t="str">
        <f t="shared" si="9"/>
        <v/>
      </c>
      <c r="T35" s="1671" t="str">
        <f t="shared" si="9"/>
        <v/>
      </c>
      <c r="U35" s="1671" t="str">
        <f t="shared" si="9"/>
        <v/>
      </c>
      <c r="V35" s="1671" t="str">
        <f t="shared" si="9"/>
        <v/>
      </c>
      <c r="W35" s="1671" t="str">
        <f t="shared" si="9"/>
        <v/>
      </c>
      <c r="X35" s="1671" t="str">
        <f t="shared" si="9"/>
        <v/>
      </c>
      <c r="Y35" s="1672" t="str">
        <f t="shared" si="9"/>
        <v/>
      </c>
      <c r="Z35" s="816" t="str">
        <f t="shared" si="9"/>
        <v/>
      </c>
      <c r="AA35" s="816" t="str">
        <f t="shared" si="9"/>
        <v/>
      </c>
      <c r="AB35" s="817" t="str">
        <f t="shared" si="9"/>
        <v/>
      </c>
      <c r="AC35" s="817" t="str">
        <f t="shared" si="9"/>
        <v/>
      </c>
      <c r="AD35" s="817" t="str">
        <f t="shared" si="9"/>
        <v/>
      </c>
      <c r="AE35" s="817" t="str">
        <f t="shared" si="9"/>
        <v/>
      </c>
      <c r="AF35" s="817" t="str">
        <f t="shared" si="9"/>
        <v/>
      </c>
      <c r="AG35" s="1669" t="str">
        <f t="shared" si="9"/>
        <v/>
      </c>
      <c r="AH35" s="1669" t="str">
        <f t="shared" si="9"/>
        <v/>
      </c>
      <c r="AI35" s="1669" t="str">
        <f t="shared" si="9"/>
        <v/>
      </c>
      <c r="AJ35" s="696"/>
      <c r="AK35" s="696"/>
      <c r="AL35" s="275"/>
      <c r="AM35" s="275"/>
      <c r="AN35" s="275"/>
      <c r="AO35" s="275"/>
      <c r="AP35" s="275"/>
      <c r="AQ35" s="275"/>
      <c r="AR35" s="275"/>
      <c r="AS35" s="275"/>
      <c r="AT35" s="275"/>
      <c r="AU35" s="275"/>
      <c r="AV35" s="275"/>
      <c r="AW35" s="275"/>
    </row>
    <row r="36" spans="1:49" x14ac:dyDescent="0.25">
      <c r="B36" s="1670"/>
      <c r="C36" s="1673"/>
      <c r="D36" s="153" t="s">
        <v>20</v>
      </c>
      <c r="E36" s="153">
        <f>SUM(E34:E35)</f>
        <v>0</v>
      </c>
      <c r="F36" s="153">
        <f t="shared" ref="F36:Z36" si="10">SUM(F34:F35)</f>
        <v>0</v>
      </c>
      <c r="G36" s="153">
        <f t="shared" si="10"/>
        <v>0</v>
      </c>
      <c r="H36" s="153">
        <f t="shared" si="10"/>
        <v>0</v>
      </c>
      <c r="I36" s="153">
        <f t="shared" si="10"/>
        <v>0</v>
      </c>
      <c r="J36" s="153">
        <f t="shared" si="10"/>
        <v>0</v>
      </c>
      <c r="K36" s="153">
        <f t="shared" si="10"/>
        <v>0</v>
      </c>
      <c r="L36" s="153">
        <f t="shared" si="10"/>
        <v>0</v>
      </c>
      <c r="M36" s="153">
        <f t="shared" si="10"/>
        <v>0</v>
      </c>
      <c r="N36" s="153">
        <f t="shared" si="10"/>
        <v>0</v>
      </c>
      <c r="O36" s="153">
        <f t="shared" si="10"/>
        <v>0</v>
      </c>
      <c r="P36" s="153">
        <f t="shared" si="10"/>
        <v>0</v>
      </c>
      <c r="Q36" s="153">
        <f t="shared" si="10"/>
        <v>0</v>
      </c>
      <c r="R36" s="153">
        <f t="shared" si="10"/>
        <v>0</v>
      </c>
      <c r="S36" s="153">
        <f t="shared" si="10"/>
        <v>0</v>
      </c>
      <c r="T36" s="153">
        <f t="shared" si="10"/>
        <v>0</v>
      </c>
      <c r="U36" s="153">
        <f t="shared" si="10"/>
        <v>0</v>
      </c>
      <c r="V36" s="153">
        <f t="shared" si="10"/>
        <v>0</v>
      </c>
      <c r="W36" s="153">
        <f t="shared" si="10"/>
        <v>0</v>
      </c>
      <c r="X36" s="153">
        <f t="shared" si="10"/>
        <v>0</v>
      </c>
      <c r="Y36" s="815">
        <f t="shared" si="10"/>
        <v>0</v>
      </c>
      <c r="Z36" s="816">
        <f t="shared" si="10"/>
        <v>0</v>
      </c>
      <c r="AA36" s="816">
        <f t="shared" ref="AA36:AH36" si="11">SUM(AA34:AA35)</f>
        <v>0</v>
      </c>
      <c r="AB36" s="817">
        <f t="shared" si="11"/>
        <v>0</v>
      </c>
      <c r="AC36" s="817">
        <f t="shared" si="11"/>
        <v>0</v>
      </c>
      <c r="AD36" s="817">
        <f t="shared" si="11"/>
        <v>0</v>
      </c>
      <c r="AE36" s="817">
        <f t="shared" si="11"/>
        <v>0</v>
      </c>
      <c r="AF36" s="817">
        <f t="shared" si="11"/>
        <v>0</v>
      </c>
      <c r="AG36" s="814">
        <f t="shared" si="11"/>
        <v>0</v>
      </c>
      <c r="AH36" s="814">
        <f t="shared" si="11"/>
        <v>0</v>
      </c>
      <c r="AI36" s="696"/>
      <c r="AJ36" s="696"/>
      <c r="AK36" s="276"/>
    </row>
    <row r="37" spans="1:49" x14ac:dyDescent="0.25">
      <c r="B37" s="806"/>
      <c r="C37" s="798"/>
      <c r="D37" s="8"/>
      <c r="E37" s="8"/>
      <c r="F37" s="8"/>
      <c r="G37" s="8"/>
      <c r="H37" s="8"/>
      <c r="I37" s="8"/>
      <c r="J37" s="8"/>
      <c r="K37" s="8"/>
      <c r="L37" s="8"/>
      <c r="M37" s="8"/>
      <c r="N37" s="8"/>
      <c r="O37" s="8"/>
      <c r="P37" s="8"/>
      <c r="Q37" s="8"/>
      <c r="R37" s="8"/>
      <c r="S37" s="8"/>
      <c r="T37" s="8"/>
      <c r="U37" s="8"/>
      <c r="V37" s="8"/>
      <c r="W37" s="8"/>
      <c r="X37" s="8"/>
      <c r="Y37" s="804"/>
      <c r="Z37" s="329"/>
      <c r="AA37" s="329"/>
      <c r="AB37" s="696"/>
      <c r="AC37" s="696"/>
      <c r="AD37" s="696"/>
      <c r="AE37" s="696"/>
      <c r="AF37" s="696"/>
      <c r="AG37" s="696"/>
      <c r="AH37" s="696"/>
      <c r="AI37" s="696"/>
      <c r="AJ37" s="696"/>
      <c r="AK37" s="276"/>
    </row>
    <row r="38" spans="1:49" x14ac:dyDescent="0.25">
      <c r="B38" s="806"/>
      <c r="C38" s="798"/>
      <c r="D38" s="8"/>
      <c r="E38" s="8"/>
      <c r="F38" s="8"/>
      <c r="G38" s="8"/>
      <c r="H38" s="8"/>
      <c r="I38" s="8"/>
      <c r="J38" s="8"/>
      <c r="K38" s="8"/>
      <c r="L38" s="8"/>
      <c r="M38" s="8"/>
      <c r="N38" s="8"/>
      <c r="O38" s="8"/>
      <c r="P38" s="8"/>
      <c r="Q38" s="8"/>
      <c r="R38" s="8"/>
      <c r="S38" s="8"/>
      <c r="T38" s="8"/>
      <c r="U38" s="8"/>
      <c r="V38" s="8"/>
      <c r="W38" s="8"/>
      <c r="X38" s="8"/>
      <c r="Y38" s="804"/>
      <c r="Z38" s="329"/>
      <c r="AA38" s="329"/>
      <c r="AB38" s="696"/>
      <c r="AC38" s="696"/>
      <c r="AD38" s="696"/>
      <c r="AE38" s="696"/>
      <c r="AF38" s="696"/>
      <c r="AG38" s="696"/>
      <c r="AH38" s="696"/>
      <c r="AI38" s="696"/>
      <c r="AJ38" s="696"/>
      <c r="AK38" s="276"/>
    </row>
    <row r="39" spans="1:49" x14ac:dyDescent="0.25">
      <c r="B39" s="806"/>
      <c r="C39" s="798"/>
      <c r="D39" s="8"/>
      <c r="E39" s="8"/>
      <c r="F39" s="8"/>
      <c r="G39" s="8"/>
      <c r="H39" s="8"/>
      <c r="I39" s="8"/>
      <c r="J39" s="8"/>
      <c r="K39" s="8"/>
      <c r="L39" s="8"/>
      <c r="M39" s="8"/>
      <c r="N39" s="8"/>
      <c r="O39" s="8"/>
      <c r="P39" s="8"/>
      <c r="Q39" s="8"/>
      <c r="R39" s="8"/>
      <c r="S39" s="8"/>
      <c r="T39" s="8"/>
      <c r="U39" s="8"/>
      <c r="V39" s="8"/>
      <c r="W39" s="8"/>
      <c r="X39" s="8"/>
      <c r="Y39" s="804"/>
      <c r="Z39" s="329"/>
      <c r="AA39" s="329"/>
      <c r="AB39" s="276"/>
      <c r="AC39" s="276"/>
      <c r="AD39" s="276"/>
      <c r="AE39" s="276"/>
      <c r="AF39" s="276"/>
      <c r="AG39" s="276"/>
      <c r="AH39" s="276"/>
      <c r="AI39" s="276"/>
      <c r="AJ39" s="276"/>
      <c r="AK39" s="276"/>
    </row>
    <row r="40" spans="1:49" x14ac:dyDescent="0.25">
      <c r="B40" s="806"/>
      <c r="C40" s="798"/>
      <c r="D40" s="8"/>
      <c r="E40" s="8"/>
      <c r="F40" s="8"/>
      <c r="G40" s="8"/>
      <c r="H40" s="8"/>
      <c r="I40" s="8"/>
      <c r="J40" s="8"/>
      <c r="K40" s="8"/>
      <c r="L40" s="8"/>
      <c r="M40" s="8"/>
      <c r="N40" s="8"/>
      <c r="O40" s="8"/>
      <c r="P40" s="8"/>
      <c r="Q40" s="8"/>
      <c r="R40" s="8"/>
      <c r="S40" s="8"/>
      <c r="T40" s="8"/>
      <c r="U40" s="8"/>
      <c r="V40" s="8"/>
      <c r="W40" s="8"/>
      <c r="X40" s="8"/>
      <c r="Y40" s="804"/>
      <c r="Z40" s="276"/>
      <c r="AA40" s="276"/>
      <c r="AB40" s="276"/>
      <c r="AC40" s="276"/>
      <c r="AD40" s="276"/>
      <c r="AE40" s="276"/>
      <c r="AF40" s="276"/>
      <c r="AG40" s="276"/>
      <c r="AH40" s="276"/>
      <c r="AI40" s="276"/>
      <c r="AJ40" s="276"/>
      <c r="AK40" s="276"/>
    </row>
    <row r="41" spans="1:49" x14ac:dyDescent="0.25">
      <c r="B41" s="806"/>
      <c r="C41" s="798"/>
      <c r="D41" s="8"/>
      <c r="E41" s="8"/>
      <c r="F41" s="8"/>
      <c r="G41" s="8"/>
      <c r="H41" s="8"/>
      <c r="I41" s="8"/>
      <c r="J41" s="8"/>
      <c r="K41" s="8"/>
      <c r="L41" s="8"/>
      <c r="M41" s="8"/>
      <c r="N41" s="8"/>
      <c r="O41" s="8"/>
      <c r="P41" s="8"/>
      <c r="Q41" s="8"/>
      <c r="R41" s="8"/>
      <c r="S41" s="8"/>
      <c r="T41" s="8"/>
      <c r="U41" s="8"/>
      <c r="V41" s="8"/>
      <c r="W41" s="8"/>
      <c r="X41" s="8"/>
      <c r="Y41" s="804"/>
      <c r="Z41" s="276"/>
      <c r="AA41" s="276"/>
      <c r="AB41" s="276"/>
      <c r="AC41" s="276"/>
      <c r="AD41" s="276"/>
      <c r="AE41" s="276"/>
      <c r="AF41" s="276"/>
      <c r="AG41" s="276"/>
      <c r="AH41" s="276"/>
      <c r="AI41" s="276"/>
      <c r="AJ41" s="276"/>
      <c r="AK41" s="276"/>
    </row>
    <row r="42" spans="1:49" x14ac:dyDescent="0.25">
      <c r="B42" s="806"/>
      <c r="C42" s="798"/>
      <c r="D42" s="8"/>
      <c r="E42" s="8"/>
      <c r="F42" s="8"/>
      <c r="G42" s="8"/>
      <c r="H42" s="8"/>
      <c r="I42" s="8"/>
      <c r="J42" s="8"/>
      <c r="K42" s="8"/>
      <c r="L42" s="8"/>
      <c r="M42" s="8"/>
      <c r="N42" s="8"/>
      <c r="O42" s="8"/>
      <c r="P42" s="8"/>
      <c r="Q42" s="8"/>
      <c r="R42" s="8"/>
      <c r="S42" s="8"/>
      <c r="T42" s="8"/>
      <c r="U42" s="8"/>
      <c r="V42" s="8"/>
      <c r="W42" s="8"/>
      <c r="X42" s="8"/>
      <c r="Y42" s="804"/>
      <c r="Z42" s="276"/>
      <c r="AA42" s="276"/>
      <c r="AB42" s="276"/>
      <c r="AC42" s="276"/>
      <c r="AD42" s="276"/>
      <c r="AE42" s="276"/>
      <c r="AF42" s="276"/>
      <c r="AG42" s="276"/>
      <c r="AH42" s="276"/>
      <c r="AI42" s="276"/>
      <c r="AJ42" s="276"/>
      <c r="AK42" s="276"/>
    </row>
    <row r="43" spans="1:49" x14ac:dyDescent="0.25">
      <c r="B43" s="806"/>
      <c r="C43" s="798"/>
      <c r="D43" s="8"/>
      <c r="E43" s="8"/>
      <c r="F43" s="8"/>
      <c r="G43" s="8"/>
      <c r="H43" s="8"/>
      <c r="I43" s="8"/>
      <c r="J43" s="8"/>
      <c r="K43" s="8"/>
      <c r="L43" s="8"/>
      <c r="M43" s="8"/>
      <c r="N43" s="8"/>
      <c r="O43" s="8"/>
      <c r="P43" s="8"/>
      <c r="Q43" s="8"/>
      <c r="R43" s="8"/>
      <c r="S43" s="8"/>
      <c r="T43" s="8"/>
      <c r="U43" s="8"/>
      <c r="V43" s="8"/>
      <c r="W43" s="8"/>
      <c r="X43" s="8"/>
      <c r="Y43" s="804"/>
      <c r="Z43" s="276"/>
      <c r="AA43" s="276"/>
      <c r="AB43" s="276"/>
      <c r="AC43" s="276"/>
      <c r="AD43" s="276"/>
      <c r="AE43" s="276"/>
      <c r="AF43" s="276"/>
      <c r="AG43" s="276"/>
      <c r="AH43" s="276"/>
      <c r="AI43" s="276"/>
      <c r="AJ43" s="276"/>
      <c r="AK43" s="276"/>
    </row>
    <row r="44" spans="1:49" x14ac:dyDescent="0.25">
      <c r="B44" s="807"/>
      <c r="C44" s="809"/>
      <c r="D44" s="808"/>
      <c r="E44" s="808"/>
      <c r="F44" s="808"/>
      <c r="G44" s="808"/>
      <c r="H44" s="808"/>
      <c r="I44" s="808"/>
      <c r="J44" s="808"/>
      <c r="K44" s="808"/>
      <c r="L44" s="808"/>
      <c r="M44" s="808"/>
      <c r="N44" s="808"/>
      <c r="O44" s="808"/>
      <c r="P44" s="808"/>
      <c r="Q44" s="808"/>
      <c r="R44" s="808"/>
      <c r="S44" s="808"/>
      <c r="T44" s="808"/>
      <c r="U44" s="808"/>
      <c r="V44" s="808"/>
      <c r="W44" s="808"/>
      <c r="X44" s="808"/>
      <c r="Y44" s="810"/>
      <c r="Z44" s="276"/>
      <c r="AA44" s="276"/>
      <c r="AB44" s="276"/>
      <c r="AC44" s="276"/>
      <c r="AD44" s="276"/>
      <c r="AE44" s="276"/>
      <c r="AF44" s="276"/>
      <c r="AG44" s="276"/>
      <c r="AH44" s="276"/>
      <c r="AI44" s="276"/>
      <c r="AJ44" s="276"/>
      <c r="AK44" s="276"/>
    </row>
    <row r="45" spans="1:49" s="332" customFormat="1" ht="15" customHeight="1" x14ac:dyDescent="0.25">
      <c r="A45" s="274"/>
      <c r="B45" s="317"/>
      <c r="C45" s="276"/>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c r="AE45" s="276"/>
      <c r="AF45" s="276"/>
      <c r="AG45" s="276"/>
      <c r="AH45" s="276"/>
      <c r="AI45" s="276"/>
      <c r="AJ45" s="276"/>
      <c r="AK45" s="276"/>
      <c r="AL45" s="274"/>
      <c r="AM45" s="274"/>
      <c r="AN45" s="274"/>
      <c r="AO45" s="274"/>
      <c r="AP45" s="274"/>
      <c r="AQ45" s="274"/>
      <c r="AR45" s="274"/>
      <c r="AS45" s="274"/>
      <c r="AT45" s="274"/>
      <c r="AU45" s="274"/>
      <c r="AV45" s="274"/>
      <c r="AW45" s="274"/>
    </row>
    <row r="46" spans="1:49" x14ac:dyDescent="0.25">
      <c r="B46" s="276"/>
      <c r="C46" s="276"/>
      <c r="D46" s="276"/>
      <c r="E46" s="276"/>
      <c r="F46" s="276"/>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c r="AE46" s="276"/>
      <c r="AF46" s="276"/>
      <c r="AG46" s="276"/>
      <c r="AH46" s="276"/>
      <c r="AI46" s="276"/>
      <c r="AJ46" s="276"/>
      <c r="AK46" s="276"/>
    </row>
    <row r="47" spans="1:49" x14ac:dyDescent="0.25">
      <c r="A47" s="675" t="str">
        <f>DISCLAIMER!$A$35</f>
        <v>© 2025 by WinsWithMike.com or Michael Forsberg Nampa, Idaho. All rights reserved</v>
      </c>
      <c r="B47" s="811"/>
      <c r="C47" s="811"/>
      <c r="D47" s="811"/>
      <c r="E47" s="812"/>
      <c r="F47" s="812"/>
      <c r="G47" s="812"/>
      <c r="H47" s="812"/>
      <c r="I47" s="812"/>
      <c r="J47" s="812"/>
      <c r="K47" s="812"/>
      <c r="L47" s="812"/>
      <c r="M47" s="812"/>
      <c r="N47" s="812"/>
      <c r="O47" s="812"/>
      <c r="P47" s="812"/>
      <c r="Q47" s="812"/>
      <c r="R47" s="812"/>
      <c r="S47" s="812"/>
      <c r="T47" s="812"/>
      <c r="U47" s="812"/>
      <c r="V47" s="812"/>
      <c r="W47" s="812"/>
      <c r="X47" s="812"/>
      <c r="Y47" s="812"/>
      <c r="Z47" s="813"/>
      <c r="AA47" s="813"/>
      <c r="AB47" s="813"/>
      <c r="AC47" s="812"/>
      <c r="AD47" s="812"/>
      <c r="AE47" s="812"/>
      <c r="AF47" s="812"/>
      <c r="AG47" s="812"/>
      <c r="AH47" s="812"/>
      <c r="AI47" s="276"/>
      <c r="AJ47" s="332"/>
      <c r="AK47" s="332"/>
      <c r="AL47" s="332"/>
      <c r="AM47" s="332"/>
      <c r="AN47" s="332"/>
      <c r="AO47" s="332"/>
      <c r="AP47" s="332"/>
      <c r="AQ47" s="332"/>
      <c r="AR47" s="332"/>
      <c r="AS47" s="332"/>
      <c r="AT47" s="332"/>
      <c r="AU47" s="332"/>
      <c r="AV47" s="332"/>
      <c r="AW47" s="332"/>
    </row>
  </sheetData>
  <sheetProtection sheet="1" objects="1" scenarios="1" selectLockedCells="1"/>
  <mergeCells count="2">
    <mergeCell ref="D4:E4"/>
    <mergeCell ref="G4:H4"/>
  </mergeCells>
  <pageMargins left="0.7" right="0.7" top="0.75" bottom="0.75" header="0.3" footer="0.3"/>
  <pageSetup scale="37"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A4FBC-B667-4662-A3CB-D1AD9C43ED06}">
  <sheetPr codeName="Sheet20">
    <tabColor rgb="FF5168B3"/>
    <pageSetUpPr fitToPage="1"/>
  </sheetPr>
  <dimension ref="A1:U394"/>
  <sheetViews>
    <sheetView showGridLines="0" showRowColHeaders="0" zoomScaleNormal="100" zoomScaleSheetLayoutView="100" workbookViewId="0">
      <pane ySplit="3" topLeftCell="A4" activePane="bottomLeft" state="frozen"/>
      <selection pane="bottomLeft" activeCell="A4" sqref="A4"/>
    </sheetView>
  </sheetViews>
  <sheetFormatPr defaultColWidth="9.109375" defaultRowHeight="14.25" customHeight="1" outlineLevelRow="1" x14ac:dyDescent="0.25"/>
  <cols>
    <col min="1" max="1" width="2.88671875" style="274" customWidth="1"/>
    <col min="2" max="15" width="15.33203125" style="274" customWidth="1"/>
    <col min="16" max="16" width="3.88671875" style="274" customWidth="1"/>
    <col min="17" max="17" width="7" style="329" bestFit="1" customWidth="1"/>
    <col min="18" max="18" width="5.6640625" style="329" customWidth="1"/>
    <col min="19" max="20" width="7" style="329" bestFit="1" customWidth="1"/>
    <col min="21" max="16384" width="9.109375" style="274"/>
  </cols>
  <sheetData>
    <row r="1" spans="1:21" s="1244" customFormat="1" ht="30" customHeight="1" x14ac:dyDescent="0.25">
      <c r="A1" s="1685" t="s">
        <v>748</v>
      </c>
      <c r="Q1" s="1603"/>
      <c r="R1" s="1603"/>
      <c r="S1" s="1603"/>
      <c r="T1" s="1603"/>
    </row>
    <row r="2" spans="1:21" s="753" customFormat="1" ht="18.75" customHeight="1" x14ac:dyDescent="0.25">
      <c r="A2" s="1685"/>
      <c r="B2" s="1244"/>
      <c r="C2" s="1244"/>
      <c r="D2" s="1244"/>
      <c r="E2" s="1244"/>
      <c r="F2" s="1244"/>
      <c r="G2" s="1244"/>
      <c r="H2" s="1244"/>
      <c r="I2" s="1244"/>
      <c r="J2" s="1244"/>
      <c r="K2" s="1244"/>
      <c r="L2" s="1244"/>
      <c r="M2" s="1244"/>
      <c r="N2" s="1244"/>
      <c r="O2" s="1244"/>
      <c r="P2" s="1244"/>
      <c r="Q2" s="1603"/>
      <c r="R2" s="1603"/>
      <c r="S2" s="1603"/>
      <c r="T2" s="1603"/>
      <c r="U2" s="1244"/>
    </row>
    <row r="3" spans="1:21" s="275" customFormat="1" ht="15" customHeight="1" x14ac:dyDescent="0.25">
      <c r="A3" s="1685"/>
      <c r="B3" s="1244"/>
      <c r="C3" s="1244"/>
      <c r="D3" s="1244"/>
      <c r="E3" s="1244"/>
      <c r="F3" s="1244"/>
      <c r="G3" s="1244"/>
      <c r="H3" s="1244"/>
      <c r="I3" s="1244"/>
      <c r="J3" s="1244"/>
      <c r="K3" s="1244"/>
      <c r="L3" s="1244"/>
      <c r="M3" s="1244"/>
      <c r="N3" s="1244"/>
      <c r="O3" s="1244"/>
      <c r="P3" s="1244"/>
      <c r="Q3" s="1603"/>
      <c r="R3" s="1603"/>
      <c r="S3" s="1603"/>
      <c r="T3" s="1603"/>
      <c r="U3" s="1244"/>
    </row>
    <row r="4" spans="1:21" s="283" customFormat="1" ht="15" customHeight="1" x14ac:dyDescent="0.25">
      <c r="A4" s="1862"/>
      <c r="B4" s="753"/>
      <c r="C4" s="1746"/>
      <c r="D4" s="1746"/>
      <c r="E4" s="1746"/>
      <c r="F4" s="1746"/>
      <c r="G4" s="1746"/>
      <c r="H4" s="1746"/>
      <c r="I4" s="1746"/>
      <c r="J4" s="1746"/>
      <c r="K4" s="1746"/>
      <c r="L4" s="1746"/>
      <c r="M4" s="1746"/>
      <c r="N4" s="753"/>
      <c r="O4" s="753"/>
      <c r="P4" s="753"/>
      <c r="Q4" s="1675"/>
      <c r="R4" s="1675"/>
      <c r="S4" s="1675"/>
      <c r="T4" s="1675"/>
      <c r="U4" s="753"/>
    </row>
    <row r="5" spans="1:21" s="314" customFormat="1" ht="13.8" outlineLevel="1" x14ac:dyDescent="0.25">
      <c r="A5" s="275"/>
      <c r="B5" s="275"/>
      <c r="C5" s="275"/>
      <c r="D5" s="275"/>
      <c r="E5" s="275"/>
      <c r="F5" s="275"/>
      <c r="G5" s="275"/>
      <c r="H5" s="275"/>
      <c r="I5" s="275"/>
      <c r="J5" s="275"/>
      <c r="K5" s="275"/>
      <c r="L5" s="275"/>
      <c r="M5" s="298"/>
      <c r="N5" s="298"/>
      <c r="O5" s="298"/>
      <c r="P5" s="275"/>
      <c r="Q5" s="329"/>
      <c r="R5" s="329"/>
      <c r="S5" s="329"/>
      <c r="T5" s="329"/>
      <c r="U5" s="275"/>
    </row>
    <row r="6" spans="1:21" s="314" customFormat="1" ht="13.8" outlineLevel="1" x14ac:dyDescent="0.3">
      <c r="A6" s="283"/>
      <c r="B6" s="1747" t="s">
        <v>380</v>
      </c>
      <c r="C6" s="701"/>
      <c r="D6" s="701"/>
      <c r="E6" s="701"/>
      <c r="F6" s="701"/>
      <c r="G6" s="701"/>
      <c r="H6" s="701"/>
      <c r="I6" s="701"/>
      <c r="J6" s="701"/>
      <c r="K6" s="701"/>
      <c r="L6" s="701"/>
      <c r="M6" s="701"/>
      <c r="N6" s="701"/>
      <c r="O6" s="702"/>
      <c r="P6" s="283"/>
      <c r="Q6" s="1676"/>
      <c r="R6" s="1605"/>
      <c r="S6" s="1605"/>
      <c r="T6" s="1605"/>
      <c r="U6" s="283"/>
    </row>
    <row r="7" spans="1:21" s="314" customFormat="1" ht="13.8" outlineLevel="1" x14ac:dyDescent="0.3">
      <c r="B7" s="703"/>
      <c r="C7" s="699"/>
      <c r="D7" s="700"/>
      <c r="E7" s="14"/>
      <c r="F7" s="14"/>
      <c r="G7" s="14"/>
      <c r="H7" s="14"/>
      <c r="I7" s="14"/>
      <c r="J7" s="14"/>
      <c r="K7" s="14"/>
      <c r="L7" s="14"/>
      <c r="M7" s="14"/>
      <c r="N7" s="14"/>
      <c r="O7" s="707"/>
      <c r="P7" s="318"/>
      <c r="Q7" s="1605"/>
      <c r="R7" s="1605"/>
      <c r="S7" s="1605"/>
      <c r="T7" s="1605"/>
    </row>
    <row r="8" spans="1:21" s="289" customFormat="1" ht="15" customHeight="1" outlineLevel="1" x14ac:dyDescent="0.3">
      <c r="A8" s="314"/>
      <c r="B8" s="751" t="s">
        <v>388</v>
      </c>
      <c r="C8" s="636"/>
      <c r="D8" s="636"/>
      <c r="E8" s="637"/>
      <c r="F8" s="14"/>
      <c r="G8" s="504" t="s">
        <v>407</v>
      </c>
      <c r="H8" s="636"/>
      <c r="I8" s="636"/>
      <c r="J8" s="637"/>
      <c r="K8" s="14"/>
      <c r="L8" s="504" t="s">
        <v>395</v>
      </c>
      <c r="M8" s="636"/>
      <c r="N8" s="636"/>
      <c r="O8" s="752"/>
      <c r="P8" s="318"/>
      <c r="Q8" s="1605"/>
      <c r="R8" s="1605"/>
      <c r="S8" s="1605"/>
      <c r="T8" s="1605"/>
      <c r="U8" s="314"/>
    </row>
    <row r="9" spans="1:21" s="289" customFormat="1" ht="15" customHeight="1" outlineLevel="1" x14ac:dyDescent="0.3">
      <c r="A9" s="314"/>
      <c r="B9" s="703"/>
      <c r="C9" s="699"/>
      <c r="D9" s="729" t="s">
        <v>490</v>
      </c>
      <c r="E9" s="729" t="s">
        <v>485</v>
      </c>
      <c r="F9" s="14"/>
      <c r="G9" s="14"/>
      <c r="H9" s="14"/>
      <c r="I9" s="730" t="s">
        <v>490</v>
      </c>
      <c r="J9" s="730" t="s">
        <v>485</v>
      </c>
      <c r="K9" s="14"/>
      <c r="L9" s="14"/>
      <c r="M9" s="14"/>
      <c r="N9" s="730" t="s">
        <v>490</v>
      </c>
      <c r="O9" s="731" t="s">
        <v>485</v>
      </c>
      <c r="P9" s="318"/>
      <c r="Q9" s="1605"/>
      <c r="R9" s="1605"/>
      <c r="S9" s="1605"/>
      <c r="T9" s="1605"/>
      <c r="U9" s="314"/>
    </row>
    <row r="10" spans="1:21" s="289" customFormat="1" ht="15" customHeight="1" outlineLevel="1" x14ac:dyDescent="0.3">
      <c r="B10" s="706" t="s">
        <v>6</v>
      </c>
      <c r="C10" s="14"/>
      <c r="D10" s="390">
        <f>DASHBOARD!O86</f>
        <v>118970</v>
      </c>
      <c r="E10" s="390">
        <f>DASHBOARD!AD100</f>
        <v>0</v>
      </c>
      <c r="F10" s="14"/>
      <c r="G10" s="334" t="s">
        <v>389</v>
      </c>
      <c r="H10" s="334"/>
      <c r="I10" s="383">
        <f>IFERROR(-PMT(interest_rate/12,(tenor-$D$15)*12,$D$10),0)</f>
        <v>0</v>
      </c>
      <c r="J10" s="384">
        <f>IFERROR(-PMT(E11/12,(E12-$E$15)*12,$E$10),0)*active_refi</f>
        <v>0</v>
      </c>
      <c r="K10" s="1808" t="s">
        <v>1149</v>
      </c>
      <c r="L10" s="732" t="s">
        <v>406</v>
      </c>
      <c r="M10" s="14"/>
      <c r="N10" s="1750">
        <v>0</v>
      </c>
      <c r="O10" s="1751">
        <v>0</v>
      </c>
      <c r="P10" s="295"/>
      <c r="Q10" s="1605"/>
      <c r="R10" s="1605"/>
      <c r="S10" s="1605"/>
      <c r="T10" s="1605"/>
    </row>
    <row r="11" spans="1:21" s="290" customFormat="1" ht="15" customHeight="1" outlineLevel="1" x14ac:dyDescent="0.3">
      <c r="A11" s="289"/>
      <c r="B11" s="706" t="s">
        <v>109</v>
      </c>
      <c r="C11" s="14"/>
      <c r="D11" s="391">
        <f>interest_rate</f>
        <v>0</v>
      </c>
      <c r="E11" s="391">
        <f>DASHBOARD!AD101</f>
        <v>7.3200000000000001E-2</v>
      </c>
      <c r="F11" s="14"/>
      <c r="G11" s="334" t="s">
        <v>390</v>
      </c>
      <c r="H11" s="334"/>
      <c r="I11" s="385">
        <f>IF(D14&gt;D18,D17*D10/12,0)</f>
        <v>0</v>
      </c>
      <c r="J11" s="386">
        <f>IF(E14&gt;E18,E17*E10/12,0)*active_refi</f>
        <v>0</v>
      </c>
      <c r="K11" s="160"/>
      <c r="L11" s="14"/>
      <c r="M11" s="14"/>
      <c r="N11" s="14"/>
      <c r="O11" s="707"/>
      <c r="P11" s="294"/>
      <c r="Q11" s="1605"/>
      <c r="R11" s="1605"/>
      <c r="S11" s="1605"/>
      <c r="T11" s="1605"/>
      <c r="U11" s="289"/>
    </row>
    <row r="12" spans="1:21" s="290" customFormat="1" ht="15" customHeight="1" outlineLevel="1" x14ac:dyDescent="0.3">
      <c r="A12" s="289"/>
      <c r="B12" s="706" t="s">
        <v>379</v>
      </c>
      <c r="C12" s="14"/>
      <c r="D12" s="387">
        <f>tenor</f>
        <v>0</v>
      </c>
      <c r="E12" s="387">
        <f>DASHBOARD!AD102</f>
        <v>15</v>
      </c>
      <c r="F12" s="14"/>
      <c r="G12" s="382" t="s">
        <v>398</v>
      </c>
      <c r="H12" s="335"/>
      <c r="I12" s="364">
        <f>SUM(I10:I11)</f>
        <v>0</v>
      </c>
      <c r="J12" s="364">
        <f>SUM(J10:J11)</f>
        <v>0</v>
      </c>
      <c r="K12" s="160"/>
      <c r="L12" s="732" t="s">
        <v>399</v>
      </c>
      <c r="M12" s="14"/>
      <c r="N12" s="364">
        <f>SUMIF(B25:B384,"&lt;="&amp;$I$15,F25:F384)+ROUND(SUMIF(B25:B384,"&lt;="&amp;$I$15,H25:H384)-SUMIF(B25:B384,"&lt;="&amp;$I$15,E25:E384)-SUMIF(B25:B384,"&lt;="&amp;$I$15,F25:F384),4)</f>
        <v>0</v>
      </c>
      <c r="O12" s="733">
        <f>SUMIF(B25:B384,"&gt;"&amp;$I$15,F25:F384)+ROUND(SUMIF(B25:B384,"&gt;"&amp;$I$15,H25:H384)-SUMIF(B25:B384,"&gt;"&amp;$I$15,E25:E384)-SUMIF(B25:B384,"&gt;"&amp;$I$15,F25:F384),4)</f>
        <v>0</v>
      </c>
      <c r="P12" s="294"/>
      <c r="Q12" s="1605"/>
      <c r="R12" s="1605"/>
      <c r="S12" s="1605"/>
      <c r="T12" s="1605"/>
      <c r="U12" s="289"/>
    </row>
    <row r="13" spans="1:21" s="315" customFormat="1" ht="15" customHeight="1" outlineLevel="1" x14ac:dyDescent="0.3">
      <c r="A13" s="290"/>
      <c r="B13" s="706" t="s">
        <v>405</v>
      </c>
      <c r="C13" s="14"/>
      <c r="D13" s="387">
        <v>12</v>
      </c>
      <c r="E13" s="387">
        <f>12*active_refi</f>
        <v>0</v>
      </c>
      <c r="F13" s="14"/>
      <c r="G13" s="14"/>
      <c r="H13" s="14"/>
      <c r="I13" s="14"/>
      <c r="J13" s="14"/>
      <c r="K13" s="160"/>
      <c r="L13" s="732" t="s">
        <v>392</v>
      </c>
      <c r="M13" s="14"/>
      <c r="N13" s="86">
        <f>SUMIF(B25:B384,"&lt;="&amp;$I$15,J25:J384)</f>
        <v>0</v>
      </c>
      <c r="O13" s="734">
        <f>SUMIF(B25:B384,"&gt;"&amp;$I$15,J25:J384)</f>
        <v>0</v>
      </c>
      <c r="P13" s="296"/>
      <c r="Q13" s="1607"/>
      <c r="R13" s="1607"/>
      <c r="S13" s="1607"/>
      <c r="T13" s="1607"/>
      <c r="U13" s="290"/>
    </row>
    <row r="14" spans="1:21" s="289" customFormat="1" ht="15" customHeight="1" outlineLevel="1" x14ac:dyDescent="0.3">
      <c r="A14" s="290"/>
      <c r="B14" s="706" t="s">
        <v>145</v>
      </c>
      <c r="C14" s="14"/>
      <c r="D14" s="392">
        <f>IFERROR($D$10/DASHBOARD!$D$27,0)</f>
        <v>1.025603448275862</v>
      </c>
      <c r="E14" s="392">
        <f>DASHBOARD!AI100</f>
        <v>0</v>
      </c>
      <c r="F14" s="14"/>
      <c r="G14" s="14"/>
      <c r="H14" s="14"/>
      <c r="I14" s="14"/>
      <c r="J14" s="14"/>
      <c r="K14" s="1808" t="s">
        <v>1149</v>
      </c>
      <c r="L14" s="732" t="s">
        <v>393</v>
      </c>
      <c r="M14" s="14"/>
      <c r="N14" s="86">
        <f>IFERROR(IF(D15&lt;&gt;0,"N.A",ROUND(-CUMIPMT($D$11/12,D12*12,D10,1,I15,0)-N13,4)),0)</f>
        <v>0</v>
      </c>
      <c r="O14" s="734">
        <f>IFERROR(IF(E15&lt;&gt;0,"N.A",ROUND(-CUMIPMT($E$11/12,E12*12,E10,1,J15,0)-O13,4)),0)</f>
        <v>0</v>
      </c>
      <c r="P14" s="296"/>
      <c r="Q14" s="1677"/>
      <c r="R14" s="1607"/>
      <c r="S14" s="1607"/>
      <c r="T14" s="1607"/>
      <c r="U14" s="290"/>
    </row>
    <row r="15" spans="1:21" s="289" customFormat="1" ht="15" customHeight="1" outlineLevel="1" x14ac:dyDescent="0.3">
      <c r="A15" s="315"/>
      <c r="B15" s="706" t="s">
        <v>336</v>
      </c>
      <c r="C15" s="14"/>
      <c r="D15" s="387">
        <f>DASHBOARD!K90</f>
        <v>0</v>
      </c>
      <c r="E15" s="387">
        <f>DASHBOARD!AD103</f>
        <v>0</v>
      </c>
      <c r="F15" s="14"/>
      <c r="G15" s="334" t="s">
        <v>391</v>
      </c>
      <c r="H15" s="334"/>
      <c r="I15" s="387">
        <f>IF(active_refi,MIN(D12*D13,refi_month),D12*D13)</f>
        <v>0</v>
      </c>
      <c r="J15" s="387">
        <f>MIN(E12*E13,360-refi_month)*active_refi</f>
        <v>0</v>
      </c>
      <c r="K15" s="14"/>
      <c r="L15" s="14"/>
      <c r="M15" s="14"/>
      <c r="N15" s="14"/>
      <c r="O15" s="707"/>
      <c r="P15" s="319"/>
      <c r="Q15" s="1678"/>
      <c r="R15" s="1605"/>
      <c r="S15" s="1605"/>
      <c r="T15" s="1605"/>
      <c r="U15" s="315"/>
    </row>
    <row r="16" spans="1:21" s="290" customFormat="1" ht="15" customHeight="1" outlineLevel="1" x14ac:dyDescent="0.3">
      <c r="A16" s="289"/>
      <c r="B16" s="706"/>
      <c r="C16" s="14"/>
      <c r="D16" s="14"/>
      <c r="E16" s="14"/>
      <c r="F16" s="14"/>
      <c r="G16" s="334" t="s">
        <v>394</v>
      </c>
      <c r="H16" s="334"/>
      <c r="I16" s="387">
        <f ca="1">IF(holding=0,0,COUNTIF(D25:OFFSET(D25,I15-1,0),"&lt;&gt;0"))</f>
        <v>0</v>
      </c>
      <c r="J16" s="387">
        <f ca="1">COUNTIF(OFFSET(D25,refi_month,0):OFFSET(D25,refi_month+J15-1,0),"&lt;&gt;0")*active_refi</f>
        <v>0</v>
      </c>
      <c r="K16" s="14"/>
      <c r="L16" s="732" t="s">
        <v>403</v>
      </c>
      <c r="M16" s="14"/>
      <c r="N16" s="735">
        <f ca="1">(I15-I16)/D13</f>
        <v>0</v>
      </c>
      <c r="O16" s="736">
        <f ca="1">IFERROR(IF(J19&gt;360,0,(J15-J16)/E13),0)</f>
        <v>0</v>
      </c>
      <c r="P16" s="294"/>
      <c r="Q16" s="1605"/>
      <c r="R16" s="1605"/>
      <c r="S16" s="1605"/>
      <c r="T16" s="1605"/>
      <c r="U16" s="289"/>
    </row>
    <row r="17" spans="1:21" s="289" customFormat="1" ht="13.8" outlineLevel="1" x14ac:dyDescent="0.3">
      <c r="B17" s="706" t="s">
        <v>139</v>
      </c>
      <c r="C17" s="14"/>
      <c r="D17" s="393">
        <f>DASHBOARD!AD81</f>
        <v>0</v>
      </c>
      <c r="E17" s="393">
        <f>DASHBOARD!AD105</f>
        <v>0</v>
      </c>
      <c r="F17" s="14"/>
      <c r="G17" s="14"/>
      <c r="H17" s="14"/>
      <c r="I17" s="14"/>
      <c r="J17" s="14"/>
      <c r="K17" s="14"/>
      <c r="L17" s="737" t="s">
        <v>401</v>
      </c>
      <c r="M17" s="738"/>
      <c r="N17" s="739">
        <f>EOMONTH($C$24,I15)</f>
        <v>45900</v>
      </c>
      <c r="O17" s="740">
        <f>IF(J19&gt;360,"N.A",EOMONTH($C$24,E12*E13+I15))</f>
        <v>45900</v>
      </c>
      <c r="P17" s="294"/>
      <c r="Q17" s="1605"/>
      <c r="R17" s="1605"/>
      <c r="S17" s="1605"/>
      <c r="T17" s="1605"/>
    </row>
    <row r="18" spans="1:21" s="289" customFormat="1" ht="14.4" outlineLevel="1" x14ac:dyDescent="0.3">
      <c r="A18" s="290"/>
      <c r="B18" s="706" t="s">
        <v>404</v>
      </c>
      <c r="C18" s="14"/>
      <c r="D18" s="365">
        <f>DASHBOARD!AD82</f>
        <v>0</v>
      </c>
      <c r="E18" s="365">
        <f>DASHBOARD!AD106</f>
        <v>0</v>
      </c>
      <c r="F18" s="1761">
        <f>IFERROR(DATEDIF(EOMONTH(purchase_date,1),DASHBOARD!L102,"M")+1,0)</f>
        <v>0</v>
      </c>
      <c r="G18" s="334" t="s">
        <v>501</v>
      </c>
      <c r="H18" s="14"/>
      <c r="I18" s="388" cm="1">
        <f t="array" ref="I18">IF(activeloan,1,0)</f>
        <v>0</v>
      </c>
      <c r="J18" s="389">
        <f>refi_month*active_refi</f>
        <v>0</v>
      </c>
      <c r="K18" s="14"/>
      <c r="L18" s="737" t="s">
        <v>402</v>
      </c>
      <c r="M18" s="738"/>
      <c r="N18" s="739">
        <f ca="1">EOMONTH($C$24,I16)</f>
        <v>45900</v>
      </c>
      <c r="O18" s="740">
        <f ca="1">IF(J19&gt;360,"N.A",EOMONTH($C$24,J16+I16))</f>
        <v>45900</v>
      </c>
      <c r="P18" s="296"/>
      <c r="Q18" s="1607"/>
      <c r="R18" s="1607"/>
      <c r="S18" s="1607"/>
      <c r="T18" s="1607"/>
      <c r="U18" s="290"/>
    </row>
    <row r="19" spans="1:21" ht="13.8" x14ac:dyDescent="0.25">
      <c r="A19" s="289"/>
      <c r="B19" s="706"/>
      <c r="C19" s="14"/>
      <c r="D19" s="14"/>
      <c r="E19" s="1597"/>
      <c r="F19" s="784"/>
      <c r="G19" s="334" t="s">
        <v>502</v>
      </c>
      <c r="H19" s="16"/>
      <c r="I19" s="748">
        <f>IF(active_refi,MIN(D12*D13,refi_month),D12*D13)</f>
        <v>0</v>
      </c>
      <c r="J19" s="749">
        <f>(J18+E12*E13)*active_refi</f>
        <v>0</v>
      </c>
      <c r="K19" s="16"/>
      <c r="L19" s="16"/>
      <c r="M19" s="16"/>
      <c r="N19" s="16"/>
      <c r="O19" s="707"/>
      <c r="P19" s="294"/>
      <c r="Q19" s="1605"/>
      <c r="R19" s="1605"/>
      <c r="S19" s="1605"/>
      <c r="T19" s="1605"/>
      <c r="U19" s="289"/>
    </row>
    <row r="20" spans="1:21" ht="15" customHeight="1" x14ac:dyDescent="0.25">
      <c r="A20" s="289"/>
      <c r="B20" s="741"/>
      <c r="C20" s="742"/>
      <c r="D20" s="742"/>
      <c r="E20" s="743"/>
      <c r="F20" s="744"/>
      <c r="G20" s="745"/>
      <c r="H20" s="746"/>
      <c r="I20" s="750"/>
      <c r="J20" s="750"/>
      <c r="K20" s="746"/>
      <c r="L20" s="746"/>
      <c r="M20" s="746"/>
      <c r="N20" s="746"/>
      <c r="O20" s="747"/>
      <c r="P20" s="294"/>
      <c r="Q20" s="1605"/>
      <c r="R20" s="1605"/>
      <c r="S20" s="1605"/>
      <c r="T20" s="1605"/>
      <c r="U20" s="289"/>
    </row>
    <row r="21" spans="1:21" ht="15" customHeight="1" x14ac:dyDescent="0.25">
      <c r="B21" s="276"/>
      <c r="C21" s="276"/>
      <c r="D21" s="276"/>
      <c r="E21" s="276"/>
      <c r="F21" s="276"/>
      <c r="G21" s="276"/>
      <c r="H21" s="276"/>
      <c r="I21" s="276"/>
      <c r="J21" s="276"/>
      <c r="K21" s="276"/>
      <c r="L21" s="276"/>
      <c r="M21" s="276"/>
      <c r="N21" s="276"/>
      <c r="O21" s="276"/>
      <c r="P21" s="276"/>
      <c r="Q21" s="1679"/>
    </row>
    <row r="22" spans="1:21" s="313" customFormat="1" ht="15" customHeight="1" x14ac:dyDescent="0.25">
      <c r="A22" s="274"/>
      <c r="B22" s="2591" t="s">
        <v>381</v>
      </c>
      <c r="C22" s="2585" t="s">
        <v>382</v>
      </c>
      <c r="D22" s="2585" t="s">
        <v>383</v>
      </c>
      <c r="E22" s="2585" t="s">
        <v>384</v>
      </c>
      <c r="F22" s="2589" t="s">
        <v>400</v>
      </c>
      <c r="G22" s="2590"/>
      <c r="H22" s="2585" t="s">
        <v>149</v>
      </c>
      <c r="I22" s="2587" t="s">
        <v>385</v>
      </c>
      <c r="J22" s="2587" t="s">
        <v>386</v>
      </c>
      <c r="K22" s="2587" t="s">
        <v>397</v>
      </c>
      <c r="L22" s="2585" t="s">
        <v>174</v>
      </c>
      <c r="M22" s="2587" t="s">
        <v>387</v>
      </c>
      <c r="N22" s="2593" t="s">
        <v>491</v>
      </c>
      <c r="O22" s="2583" t="s">
        <v>492</v>
      </c>
      <c r="P22" s="276"/>
      <c r="Q22" s="329"/>
      <c r="R22" s="329"/>
      <c r="S22" s="329"/>
      <c r="T22" s="329"/>
      <c r="U22" s="274"/>
    </row>
    <row r="23" spans="1:21" s="314" customFormat="1" ht="13.8" x14ac:dyDescent="0.25">
      <c r="A23" s="274"/>
      <c r="B23" s="2592"/>
      <c r="C23" s="2586"/>
      <c r="D23" s="2586"/>
      <c r="E23" s="2586"/>
      <c r="F23" s="728" t="s">
        <v>10</v>
      </c>
      <c r="G23" s="728" t="s">
        <v>396</v>
      </c>
      <c r="H23" s="2586"/>
      <c r="I23" s="2588"/>
      <c r="J23" s="2588"/>
      <c r="K23" s="2588"/>
      <c r="L23" s="2586"/>
      <c r="M23" s="2588"/>
      <c r="N23" s="2594"/>
      <c r="O23" s="2584"/>
      <c r="P23" s="276"/>
      <c r="Q23" s="329"/>
      <c r="R23" s="329"/>
      <c r="S23" s="329"/>
      <c r="T23" s="329"/>
      <c r="U23" s="274"/>
    </row>
    <row r="24" spans="1:21" s="314" customFormat="1" ht="13.8" x14ac:dyDescent="0.25">
      <c r="A24" s="313"/>
      <c r="B24" s="754" t="s">
        <v>20</v>
      </c>
      <c r="C24" s="1674">
        <f>DASHBOARD!AE25</f>
        <v>45870</v>
      </c>
      <c r="D24" s="333"/>
      <c r="E24" s="333"/>
      <c r="F24" s="336">
        <f>ROUND(SUM(F25:F385),4)</f>
        <v>0</v>
      </c>
      <c r="G24" s="336">
        <f>ROUND(SUM(H25:H385)-SUM(E25:E385)-SUM(F25:F385),4)</f>
        <v>0</v>
      </c>
      <c r="H24" s="336">
        <f>ROUND(SUM(H25:H385),4)</f>
        <v>0</v>
      </c>
      <c r="I24" s="336">
        <f>ROUND(SUM(I25:I385),4)</f>
        <v>0</v>
      </c>
      <c r="J24" s="336">
        <f>ROUND(SUM(J25:J385),4)</f>
        <v>0</v>
      </c>
      <c r="K24" s="336">
        <f>ROUND(SUM(K25:K385),4)</f>
        <v>0</v>
      </c>
      <c r="L24" s="338">
        <f>D10+E10*active_refi</f>
        <v>118970</v>
      </c>
      <c r="M24" s="333"/>
      <c r="N24" s="333"/>
      <c r="O24" s="755"/>
      <c r="P24" s="313"/>
      <c r="Q24" s="1680" t="s">
        <v>499</v>
      </c>
      <c r="R24" s="1680" t="s">
        <v>494</v>
      </c>
      <c r="S24" s="1680" t="s">
        <v>500</v>
      </c>
      <c r="T24" s="1680" t="s">
        <v>152</v>
      </c>
      <c r="U24" s="313"/>
    </row>
    <row r="25" spans="1:21" s="314" customFormat="1" ht="13.8" x14ac:dyDescent="0.3">
      <c r="B25" s="756" cm="1">
        <f t="array" ref="B25">IF(active_refi=1,IF(ROW()-ROW($B$24)&lt;=$E$12*$E$13+refi_month,ROW()-ROW($B$24),0),IF(activeloan,IF(L24=0,0,IF(ROW()-ROW($B$24)&lt;=$D$12*$D$13,ROW()-ROW($B$24),0)),0))</f>
        <v>0</v>
      </c>
      <c r="C25" s="343">
        <f>IF(B25&lt;&gt;0,EOMONTH(C24,1),0)</f>
        <v>0</v>
      </c>
      <c r="D25" s="337">
        <f>IF(AND(B25=refi_month+1,active_refi),$E$10,$D$10)</f>
        <v>118970</v>
      </c>
      <c r="E25" s="337">
        <f>S25</f>
        <v>0</v>
      </c>
      <c r="F25" s="337">
        <f>IF(D25-(E25-J25-K25)&lt;0,0,IF(B25&lt;=$I$15,MAX(MIN(D25-(E25-J25-K25),$N$10),0),MAX(MIN(D25-(E25-J25-K25),$O$10),0)))</f>
        <v>0</v>
      </c>
      <c r="G25" s="339">
        <v>0</v>
      </c>
      <c r="H25" s="337">
        <f>MIN(E25+F25+G25,D25+J25+K25)</f>
        <v>0</v>
      </c>
      <c r="I25" s="337">
        <f>H25-J25-K25</f>
        <v>0</v>
      </c>
      <c r="J25" s="337">
        <f>IFERROR(IF(B25&lt;=$I$19,$D$11/12*D25,$E$11/12*D25),0)</f>
        <v>0</v>
      </c>
      <c r="K25" s="337">
        <f>IFERROR(IF(OR(B25&lt;=$F$18,active_refi=0,),IF($D$14&lt;=$D$18,0,$D$17*$D$10/12),IF($E$14&lt;=$E$18,0,$E$17*$E$10/12)),0)</f>
        <v>0</v>
      </c>
      <c r="L25" s="337">
        <f>IF(ROUND(D25-I25,4)=0,ROUND(D25-I25,4),D25-I25)</f>
        <v>118970</v>
      </c>
      <c r="M25" s="337">
        <f>IFERROR(IF(L24=0,0,SUM($J$25:J25)),0)</f>
        <v>0</v>
      </c>
      <c r="N25" s="375">
        <f t="shared" ref="N25:N88" si="0">IFERROR(L25/purchase_price,0)</f>
        <v>1.025603448275862</v>
      </c>
      <c r="O25" s="757">
        <f t="shared" ref="O25:O88" si="1">IFERROR(IF(active_refi=0,0,IF(B25&lt;$F$18,0,L25/refi_price)),0)</f>
        <v>0</v>
      </c>
      <c r="P25" s="318"/>
      <c r="Q25" s="1681">
        <f>IFERROR(IF(AND(B25&lt;=$I$19,B25&lt;&gt;0),IF(AND(B25=$D$15*12,$D$15=$D$12),D25+J25,IF(B25&lt;=$D$15*12,J25,IF($I$10&gt;(1+$D$11/12)*D25,(1+$D$11/12)*D25,$I$10)))+K25,0),0)</f>
        <v>0</v>
      </c>
      <c r="R25" s="1682">
        <f t="shared" ref="R25:R88" si="2">IFERROR(IF(AND(B25&lt;=$J$19,B25&lt;&gt;0,B25&gt;=$J$18),IF(B25&lt;=$E$15*12+refi_month,J25,IF(OR(B25=$J$19,$J$10&gt;(1+$E$11/12)*D25),(1+$E$11/12)*D25,$J$10))+K25,0),0)</f>
        <v>0</v>
      </c>
      <c r="S25" s="1682">
        <f>IF(B25&lt;=$I$19,Q25,IF(AND(B25&gt;=$J$18,B25&lt;=$J$19),R25,0))</f>
        <v>0</v>
      </c>
      <c r="T25" s="1682">
        <f>YEAR(C25)</f>
        <v>1900</v>
      </c>
    </row>
    <row r="26" spans="1:21" s="283" customFormat="1" ht="13.8" x14ac:dyDescent="0.3">
      <c r="A26" s="314"/>
      <c r="B26" s="758" cm="1">
        <f t="array" ref="B26">IF(active_refi=1,IF(ROW()-ROW($B$24)&lt;=$E$12*$E$13+refi_month,ROW()-ROW($B$24),0),IF(activeloan,IF(L25=0,0,IF(ROW()-ROW($B$24)&lt;=$D$12*$D$13,ROW()-ROW($B$24),0)),0))</f>
        <v>0</v>
      </c>
      <c r="C26" s="759">
        <f t="shared" ref="C26:C89" si="3">IF(B26&lt;&gt;0,EOMONTH(C25,1),0)</f>
        <v>0</v>
      </c>
      <c r="D26" s="760">
        <f t="shared" ref="D26:D89" si="4">IF(AND(B26=refi_month+1,active_refi),$E$10,L25)</f>
        <v>118970</v>
      </c>
      <c r="E26" s="760">
        <f t="shared" ref="E26:E89" si="5">S26</f>
        <v>0</v>
      </c>
      <c r="F26" s="760">
        <f t="shared" ref="F26:F89" si="6">IF(D26-(E26-J26-K26)&lt;0,0,IF(B26&lt;=$I$15,MAX(MIN(D26-(E26-J26-K26),$N$10),0),MAX(MIN(D26-(E26-J26-K26),$O$10),0)))</f>
        <v>0</v>
      </c>
      <c r="G26" s="340">
        <v>0</v>
      </c>
      <c r="H26" s="760">
        <f t="shared" ref="H26:H89" si="7">MIN(E26+F26+G26,D26+J26+K26)</f>
        <v>0</v>
      </c>
      <c r="I26" s="760">
        <f>H26-J26-K26</f>
        <v>0</v>
      </c>
      <c r="J26" s="760">
        <f t="shared" ref="J26:J89" si="8">IFERROR(IF(B26&lt;=$I$19,$D$11/12*D26,$E$11/12*D26),0)</f>
        <v>0</v>
      </c>
      <c r="K26" s="760">
        <f t="shared" ref="K26:K89" si="9">IFERROR(IF(OR(B26&lt;=$F$18,active_refi=0),IF(N25&lt;=$D$18,0,$D$17*$D$10/12),IF(B26=$F$18+1,IF((D26/refi_price)&lt;=$E$18,0,$E$17*$E$10/12),IF(O25&lt;=$E$18,0,$E$17*$E$10/12))),0)</f>
        <v>0</v>
      </c>
      <c r="L26" s="760">
        <f t="shared" ref="L26:L89" si="10">IF(ROUND(D26-I26,4)=0,ROUND(D26-I26,4),D26-I26)</f>
        <v>118970</v>
      </c>
      <c r="M26" s="760">
        <f>IFERROR(IF(L25=0,0,SUM($J$25:J26)),0)</f>
        <v>0</v>
      </c>
      <c r="N26" s="366">
        <f t="shared" si="0"/>
        <v>1.025603448275862</v>
      </c>
      <c r="O26" s="761">
        <f t="shared" si="1"/>
        <v>0</v>
      </c>
      <c r="P26" s="318"/>
      <c r="Q26" s="1681">
        <f t="shared" ref="Q26:Q89" si="11">IFERROR(IF(AND(B26&lt;=$I$19,B26&lt;&gt;0),IF(AND(B26=$D$15*12,$D$15=$D$12),D26+J26,IF(B26&lt;=$D$15*12,J26,IF($I$10&gt;(1+$D$11/12)*D26,(1+$D$11/12)*D26,$I$10)))+K26,0),0)</f>
        <v>0</v>
      </c>
      <c r="R26" s="1682">
        <f t="shared" si="2"/>
        <v>0</v>
      </c>
      <c r="S26" s="1682">
        <f t="shared" ref="S26:S89" si="12">IF(B26&lt;=$I$19,Q26,IF(AND(B26&gt;=$J$18,B26&lt;=$J$19),R26,0))</f>
        <v>0</v>
      </c>
      <c r="T26" s="1682">
        <f t="shared" ref="T26:T89" si="13">YEAR(C26)</f>
        <v>1900</v>
      </c>
      <c r="U26" s="314"/>
    </row>
    <row r="27" spans="1:21" s="283" customFormat="1" ht="13.8" x14ac:dyDescent="0.3">
      <c r="A27" s="314"/>
      <c r="B27" s="758" cm="1">
        <f t="array" ref="B27">IF(active_refi=1,IF(ROW()-ROW($B$24)&lt;=$E$12*$E$13+refi_month,ROW()-ROW($B$24),0),IF(activeloan,IF(L26=0,0,IF(ROW()-ROW($B$24)&lt;=$D$12*$D$13,ROW()-ROW($B$24),0)),0))</f>
        <v>0</v>
      </c>
      <c r="C27" s="759">
        <f t="shared" si="3"/>
        <v>0</v>
      </c>
      <c r="D27" s="760">
        <f t="shared" si="4"/>
        <v>118970</v>
      </c>
      <c r="E27" s="760">
        <f t="shared" si="5"/>
        <v>0</v>
      </c>
      <c r="F27" s="760">
        <f t="shared" si="6"/>
        <v>0</v>
      </c>
      <c r="G27" s="340">
        <v>0</v>
      </c>
      <c r="H27" s="760">
        <f t="shared" si="7"/>
        <v>0</v>
      </c>
      <c r="I27" s="760">
        <f t="shared" ref="I27:I90" si="14">H27-J27-K27</f>
        <v>0</v>
      </c>
      <c r="J27" s="760">
        <f t="shared" si="8"/>
        <v>0</v>
      </c>
      <c r="K27" s="760">
        <f t="shared" si="9"/>
        <v>0</v>
      </c>
      <c r="L27" s="760">
        <f t="shared" si="10"/>
        <v>118970</v>
      </c>
      <c r="M27" s="760">
        <f>IFERROR(IF(L26=0,0,SUM($J$25:J27)),0)</f>
        <v>0</v>
      </c>
      <c r="N27" s="366">
        <f t="shared" si="0"/>
        <v>1.025603448275862</v>
      </c>
      <c r="O27" s="761">
        <f t="shared" si="1"/>
        <v>0</v>
      </c>
      <c r="P27" s="318"/>
      <c r="Q27" s="1681">
        <f t="shared" si="11"/>
        <v>0</v>
      </c>
      <c r="R27" s="1682">
        <f t="shared" si="2"/>
        <v>0</v>
      </c>
      <c r="S27" s="1682">
        <f t="shared" si="12"/>
        <v>0</v>
      </c>
      <c r="T27" s="1682">
        <f t="shared" si="13"/>
        <v>1900</v>
      </c>
      <c r="U27" s="314"/>
    </row>
    <row r="28" spans="1:21" s="283" customFormat="1" ht="13.8" x14ac:dyDescent="0.3">
      <c r="B28" s="758" cm="1">
        <f t="array" ref="B28">IF(active_refi=1,IF(ROW()-ROW($B$24)&lt;=$E$12*$E$13+refi_month,ROW()-ROW($B$24),0),IF(activeloan,IF(L27=0,0,IF(ROW()-ROW($B$24)&lt;=$D$12*$D$13,ROW()-ROW($B$24),0)),0))</f>
        <v>0</v>
      </c>
      <c r="C28" s="759">
        <f t="shared" si="3"/>
        <v>0</v>
      </c>
      <c r="D28" s="760">
        <f t="shared" si="4"/>
        <v>118970</v>
      </c>
      <c r="E28" s="760">
        <f t="shared" si="5"/>
        <v>0</v>
      </c>
      <c r="F28" s="760">
        <f t="shared" si="6"/>
        <v>0</v>
      </c>
      <c r="G28" s="340">
        <v>0</v>
      </c>
      <c r="H28" s="760">
        <f t="shared" si="7"/>
        <v>0</v>
      </c>
      <c r="I28" s="760">
        <f t="shared" si="14"/>
        <v>0</v>
      </c>
      <c r="J28" s="760">
        <f t="shared" si="8"/>
        <v>0</v>
      </c>
      <c r="K28" s="760">
        <f t="shared" si="9"/>
        <v>0</v>
      </c>
      <c r="L28" s="760">
        <f t="shared" si="10"/>
        <v>118970</v>
      </c>
      <c r="M28" s="760">
        <f>IFERROR(IF(L27=0,0,SUM($J$25:J28)),0)</f>
        <v>0</v>
      </c>
      <c r="N28" s="366">
        <f t="shared" si="0"/>
        <v>1.025603448275862</v>
      </c>
      <c r="O28" s="761">
        <f t="shared" si="1"/>
        <v>0</v>
      </c>
      <c r="P28" s="28"/>
      <c r="Q28" s="1681">
        <f t="shared" si="11"/>
        <v>0</v>
      </c>
      <c r="R28" s="1682">
        <f t="shared" si="2"/>
        <v>0</v>
      </c>
      <c r="S28" s="1682">
        <f t="shared" si="12"/>
        <v>0</v>
      </c>
      <c r="T28" s="1682">
        <f t="shared" si="13"/>
        <v>1900</v>
      </c>
    </row>
    <row r="29" spans="1:21" s="283" customFormat="1" ht="13.8" x14ac:dyDescent="0.3">
      <c r="B29" s="758" cm="1">
        <f t="array" ref="B29">IF(active_refi=1,IF(ROW()-ROW($B$24)&lt;=$E$12*$E$13+refi_month,ROW()-ROW($B$24),0),IF(activeloan,IF(L28=0,0,IF(ROW()-ROW($B$24)&lt;=$D$12*$D$13,ROW()-ROW($B$24),0)),0))</f>
        <v>0</v>
      </c>
      <c r="C29" s="759">
        <f t="shared" si="3"/>
        <v>0</v>
      </c>
      <c r="D29" s="760">
        <f t="shared" si="4"/>
        <v>118970</v>
      </c>
      <c r="E29" s="760">
        <f t="shared" si="5"/>
        <v>0</v>
      </c>
      <c r="F29" s="760">
        <f t="shared" si="6"/>
        <v>0</v>
      </c>
      <c r="G29" s="340">
        <v>0</v>
      </c>
      <c r="H29" s="760">
        <f t="shared" si="7"/>
        <v>0</v>
      </c>
      <c r="I29" s="760">
        <f t="shared" si="14"/>
        <v>0</v>
      </c>
      <c r="J29" s="760">
        <f t="shared" si="8"/>
        <v>0</v>
      </c>
      <c r="K29" s="760">
        <f t="shared" si="9"/>
        <v>0</v>
      </c>
      <c r="L29" s="760">
        <f t="shared" si="10"/>
        <v>118970</v>
      </c>
      <c r="M29" s="760">
        <f>IFERROR(IF(L28=0,0,SUM($J$25:J29)),0)</f>
        <v>0</v>
      </c>
      <c r="N29" s="366">
        <f t="shared" si="0"/>
        <v>1.025603448275862</v>
      </c>
      <c r="O29" s="761">
        <f t="shared" si="1"/>
        <v>0</v>
      </c>
      <c r="P29" s="28"/>
      <c r="Q29" s="1681">
        <f t="shared" si="11"/>
        <v>0</v>
      </c>
      <c r="R29" s="1682">
        <f t="shared" si="2"/>
        <v>0</v>
      </c>
      <c r="S29" s="1682">
        <f t="shared" si="12"/>
        <v>0</v>
      </c>
      <c r="T29" s="1682">
        <f t="shared" si="13"/>
        <v>1900</v>
      </c>
    </row>
    <row r="30" spans="1:21" s="283" customFormat="1" ht="13.8" x14ac:dyDescent="0.3">
      <c r="B30" s="758" cm="1">
        <f t="array" ref="B30">IF(active_refi=1,IF(ROW()-ROW($B$24)&lt;=$E$12*$E$13+refi_month,ROW()-ROW($B$24),0),IF(activeloan,IF(L29=0,0,IF(ROW()-ROW($B$24)&lt;=$D$12*$D$13,ROW()-ROW($B$24),0)),0))</f>
        <v>0</v>
      </c>
      <c r="C30" s="759">
        <f t="shared" si="3"/>
        <v>0</v>
      </c>
      <c r="D30" s="760">
        <f t="shared" si="4"/>
        <v>118970</v>
      </c>
      <c r="E30" s="760">
        <f t="shared" si="5"/>
        <v>0</v>
      </c>
      <c r="F30" s="760">
        <f t="shared" si="6"/>
        <v>0</v>
      </c>
      <c r="G30" s="340">
        <v>0</v>
      </c>
      <c r="H30" s="760">
        <f t="shared" si="7"/>
        <v>0</v>
      </c>
      <c r="I30" s="760">
        <f t="shared" si="14"/>
        <v>0</v>
      </c>
      <c r="J30" s="760">
        <f t="shared" si="8"/>
        <v>0</v>
      </c>
      <c r="K30" s="760">
        <f t="shared" si="9"/>
        <v>0</v>
      </c>
      <c r="L30" s="760">
        <f t="shared" si="10"/>
        <v>118970</v>
      </c>
      <c r="M30" s="760">
        <f>IFERROR(IF(L29=0,0,SUM($J$25:J30)),0)</f>
        <v>0</v>
      </c>
      <c r="N30" s="366">
        <f t="shared" si="0"/>
        <v>1.025603448275862</v>
      </c>
      <c r="O30" s="761">
        <f t="shared" si="1"/>
        <v>0</v>
      </c>
      <c r="P30" s="28"/>
      <c r="Q30" s="1681">
        <f t="shared" si="11"/>
        <v>0</v>
      </c>
      <c r="R30" s="1682">
        <f t="shared" si="2"/>
        <v>0</v>
      </c>
      <c r="S30" s="1682">
        <f t="shared" si="12"/>
        <v>0</v>
      </c>
      <c r="T30" s="1682">
        <f t="shared" si="13"/>
        <v>1900</v>
      </c>
    </row>
    <row r="31" spans="1:21" s="283" customFormat="1" ht="13.8" x14ac:dyDescent="0.3">
      <c r="B31" s="758" cm="1">
        <f t="array" ref="B31">IF(active_refi=1,IF(ROW()-ROW($B$24)&lt;=$E$12*$E$13+refi_month,ROW()-ROW($B$24),0),IF(activeloan,IF(L30=0,0,IF(ROW()-ROW($B$24)&lt;=$D$12*$D$13,ROW()-ROW($B$24),0)),0))</f>
        <v>0</v>
      </c>
      <c r="C31" s="759">
        <f t="shared" si="3"/>
        <v>0</v>
      </c>
      <c r="D31" s="760">
        <f t="shared" si="4"/>
        <v>118970</v>
      </c>
      <c r="E31" s="760">
        <f t="shared" si="5"/>
        <v>0</v>
      </c>
      <c r="F31" s="760">
        <f t="shared" si="6"/>
        <v>0</v>
      </c>
      <c r="G31" s="340">
        <v>0</v>
      </c>
      <c r="H31" s="760">
        <f t="shared" si="7"/>
        <v>0</v>
      </c>
      <c r="I31" s="760">
        <f t="shared" si="14"/>
        <v>0</v>
      </c>
      <c r="J31" s="760">
        <f t="shared" si="8"/>
        <v>0</v>
      </c>
      <c r="K31" s="760">
        <f t="shared" si="9"/>
        <v>0</v>
      </c>
      <c r="L31" s="760">
        <f t="shared" si="10"/>
        <v>118970</v>
      </c>
      <c r="M31" s="760">
        <f>IFERROR(IF(L30=0,0,SUM($J$25:J31)),0)</f>
        <v>0</v>
      </c>
      <c r="N31" s="366">
        <f t="shared" si="0"/>
        <v>1.025603448275862</v>
      </c>
      <c r="O31" s="761">
        <f t="shared" si="1"/>
        <v>0</v>
      </c>
      <c r="P31" s="28"/>
      <c r="Q31" s="1681">
        <f t="shared" si="11"/>
        <v>0</v>
      </c>
      <c r="R31" s="1682">
        <f t="shared" si="2"/>
        <v>0</v>
      </c>
      <c r="S31" s="1682">
        <f t="shared" si="12"/>
        <v>0</v>
      </c>
      <c r="T31" s="1682">
        <f t="shared" si="13"/>
        <v>1900</v>
      </c>
    </row>
    <row r="32" spans="1:21" s="283" customFormat="1" ht="13.8" x14ac:dyDescent="0.3">
      <c r="B32" s="758" cm="1">
        <f t="array" ref="B32">IF(active_refi=1,IF(ROW()-ROW($B$24)&lt;=$E$12*$E$13+refi_month,ROW()-ROW($B$24),0),IF(activeloan,IF(L31=0,0,IF(ROW()-ROW($B$24)&lt;=$D$12*$D$13,ROW()-ROW($B$24),0)),0))</f>
        <v>0</v>
      </c>
      <c r="C32" s="759">
        <f t="shared" si="3"/>
        <v>0</v>
      </c>
      <c r="D32" s="760">
        <f t="shared" si="4"/>
        <v>118970</v>
      </c>
      <c r="E32" s="760">
        <f t="shared" si="5"/>
        <v>0</v>
      </c>
      <c r="F32" s="760">
        <f t="shared" si="6"/>
        <v>0</v>
      </c>
      <c r="G32" s="340">
        <v>0</v>
      </c>
      <c r="H32" s="760">
        <f t="shared" si="7"/>
        <v>0</v>
      </c>
      <c r="I32" s="760">
        <f t="shared" si="14"/>
        <v>0</v>
      </c>
      <c r="J32" s="760">
        <f t="shared" si="8"/>
        <v>0</v>
      </c>
      <c r="K32" s="760">
        <f t="shared" si="9"/>
        <v>0</v>
      </c>
      <c r="L32" s="760">
        <f t="shared" si="10"/>
        <v>118970</v>
      </c>
      <c r="M32" s="760">
        <f>IFERROR(IF(L31=0,0,SUM($J$25:J32)),0)</f>
        <v>0</v>
      </c>
      <c r="N32" s="366">
        <f t="shared" si="0"/>
        <v>1.025603448275862</v>
      </c>
      <c r="O32" s="761">
        <f t="shared" si="1"/>
        <v>0</v>
      </c>
      <c r="P32" s="28"/>
      <c r="Q32" s="1681">
        <f t="shared" si="11"/>
        <v>0</v>
      </c>
      <c r="R32" s="1682">
        <f t="shared" si="2"/>
        <v>0</v>
      </c>
      <c r="S32" s="1682">
        <f t="shared" si="12"/>
        <v>0</v>
      </c>
      <c r="T32" s="1682">
        <f t="shared" si="13"/>
        <v>1900</v>
      </c>
    </row>
    <row r="33" spans="2:20" s="283" customFormat="1" ht="13.8" x14ac:dyDescent="0.3">
      <c r="B33" s="758" cm="1">
        <f t="array" ref="B33">IF(active_refi=1,IF(ROW()-ROW($B$24)&lt;=$E$12*$E$13+refi_month,ROW()-ROW($B$24),0),IF(activeloan,IF(L32=0,0,IF(ROW()-ROW($B$24)&lt;=$D$12*$D$13,ROW()-ROW($B$24),0)),0))</f>
        <v>0</v>
      </c>
      <c r="C33" s="759">
        <f t="shared" si="3"/>
        <v>0</v>
      </c>
      <c r="D33" s="760">
        <f t="shared" si="4"/>
        <v>118970</v>
      </c>
      <c r="E33" s="760">
        <f t="shared" si="5"/>
        <v>0</v>
      </c>
      <c r="F33" s="760">
        <f t="shared" si="6"/>
        <v>0</v>
      </c>
      <c r="G33" s="340">
        <v>0</v>
      </c>
      <c r="H33" s="760">
        <f t="shared" si="7"/>
        <v>0</v>
      </c>
      <c r="I33" s="760">
        <f t="shared" si="14"/>
        <v>0</v>
      </c>
      <c r="J33" s="760">
        <f t="shared" si="8"/>
        <v>0</v>
      </c>
      <c r="K33" s="760">
        <f t="shared" si="9"/>
        <v>0</v>
      </c>
      <c r="L33" s="760">
        <f t="shared" si="10"/>
        <v>118970</v>
      </c>
      <c r="M33" s="760">
        <f>IFERROR(IF(L32=0,0,SUM($J$25:J33)),0)</f>
        <v>0</v>
      </c>
      <c r="N33" s="366">
        <f t="shared" si="0"/>
        <v>1.025603448275862</v>
      </c>
      <c r="O33" s="761">
        <f t="shared" si="1"/>
        <v>0</v>
      </c>
      <c r="P33" s="28"/>
      <c r="Q33" s="1681">
        <f t="shared" si="11"/>
        <v>0</v>
      </c>
      <c r="R33" s="1682">
        <f t="shared" si="2"/>
        <v>0</v>
      </c>
      <c r="S33" s="1682">
        <f t="shared" si="12"/>
        <v>0</v>
      </c>
      <c r="T33" s="1682">
        <f t="shared" si="13"/>
        <v>1900</v>
      </c>
    </row>
    <row r="34" spans="2:20" s="283" customFormat="1" ht="13.8" x14ac:dyDescent="0.3">
      <c r="B34" s="758" cm="1">
        <f t="array" ref="B34">IF(active_refi=1,IF(ROW()-ROW($B$24)&lt;=$E$12*$E$13+refi_month,ROW()-ROW($B$24),0),IF(activeloan,IF(L33=0,0,IF(ROW()-ROW($B$24)&lt;=$D$12*$D$13,ROW()-ROW($B$24),0)),0))</f>
        <v>0</v>
      </c>
      <c r="C34" s="759">
        <f t="shared" si="3"/>
        <v>0</v>
      </c>
      <c r="D34" s="760">
        <f t="shared" si="4"/>
        <v>118970</v>
      </c>
      <c r="E34" s="760">
        <f t="shared" si="5"/>
        <v>0</v>
      </c>
      <c r="F34" s="760">
        <f t="shared" si="6"/>
        <v>0</v>
      </c>
      <c r="G34" s="340">
        <v>0</v>
      </c>
      <c r="H34" s="760">
        <f t="shared" si="7"/>
        <v>0</v>
      </c>
      <c r="I34" s="760">
        <f t="shared" si="14"/>
        <v>0</v>
      </c>
      <c r="J34" s="760">
        <f t="shared" si="8"/>
        <v>0</v>
      </c>
      <c r="K34" s="760">
        <f t="shared" si="9"/>
        <v>0</v>
      </c>
      <c r="L34" s="760">
        <f t="shared" si="10"/>
        <v>118970</v>
      </c>
      <c r="M34" s="760">
        <f>IFERROR(IF(L33=0,0,SUM($J$25:J34)),0)</f>
        <v>0</v>
      </c>
      <c r="N34" s="366">
        <f t="shared" si="0"/>
        <v>1.025603448275862</v>
      </c>
      <c r="O34" s="761">
        <f t="shared" si="1"/>
        <v>0</v>
      </c>
      <c r="P34" s="28"/>
      <c r="Q34" s="1681">
        <f t="shared" si="11"/>
        <v>0</v>
      </c>
      <c r="R34" s="1682">
        <f t="shared" si="2"/>
        <v>0</v>
      </c>
      <c r="S34" s="1682">
        <f t="shared" si="12"/>
        <v>0</v>
      </c>
      <c r="T34" s="1682">
        <f t="shared" si="13"/>
        <v>1900</v>
      </c>
    </row>
    <row r="35" spans="2:20" s="283" customFormat="1" ht="13.8" x14ac:dyDescent="0.3">
      <c r="B35" s="758" cm="1">
        <f t="array" ref="B35">IF(active_refi=1,IF(ROW()-ROW($B$24)&lt;=$E$12*$E$13+refi_month,ROW()-ROW($B$24),0),IF(activeloan,IF(L34=0,0,IF(ROW()-ROW($B$24)&lt;=$D$12*$D$13,ROW()-ROW($B$24),0)),0))</f>
        <v>0</v>
      </c>
      <c r="C35" s="759">
        <f t="shared" si="3"/>
        <v>0</v>
      </c>
      <c r="D35" s="760">
        <f t="shared" si="4"/>
        <v>118970</v>
      </c>
      <c r="E35" s="760">
        <f t="shared" si="5"/>
        <v>0</v>
      </c>
      <c r="F35" s="760">
        <f t="shared" si="6"/>
        <v>0</v>
      </c>
      <c r="G35" s="340">
        <v>0</v>
      </c>
      <c r="H35" s="760">
        <f t="shared" si="7"/>
        <v>0</v>
      </c>
      <c r="I35" s="760">
        <f t="shared" si="14"/>
        <v>0</v>
      </c>
      <c r="J35" s="760">
        <f t="shared" si="8"/>
        <v>0</v>
      </c>
      <c r="K35" s="760">
        <f t="shared" si="9"/>
        <v>0</v>
      </c>
      <c r="L35" s="760">
        <f t="shared" si="10"/>
        <v>118970</v>
      </c>
      <c r="M35" s="760">
        <f>IFERROR(IF(L34=0,0,SUM($J$25:J35)),0)</f>
        <v>0</v>
      </c>
      <c r="N35" s="366">
        <f t="shared" si="0"/>
        <v>1.025603448275862</v>
      </c>
      <c r="O35" s="761">
        <f t="shared" si="1"/>
        <v>0</v>
      </c>
      <c r="P35" s="28"/>
      <c r="Q35" s="1681">
        <f t="shared" si="11"/>
        <v>0</v>
      </c>
      <c r="R35" s="1682">
        <f t="shared" si="2"/>
        <v>0</v>
      </c>
      <c r="S35" s="1682">
        <f t="shared" si="12"/>
        <v>0</v>
      </c>
      <c r="T35" s="1682">
        <f t="shared" si="13"/>
        <v>1900</v>
      </c>
    </row>
    <row r="36" spans="2:20" s="283" customFormat="1" ht="13.8" x14ac:dyDescent="0.3">
      <c r="B36" s="758" cm="1">
        <f t="array" ref="B36">IF(active_refi=1,IF(ROW()-ROW($B$24)&lt;=$E$12*$E$13+refi_month,ROW()-ROW($B$24),0),IF(activeloan,IF(L35=0,0,IF(ROW()-ROW($B$24)&lt;=$D$12*$D$13,ROW()-ROW($B$24),0)),0))</f>
        <v>0</v>
      </c>
      <c r="C36" s="759">
        <f t="shared" si="3"/>
        <v>0</v>
      </c>
      <c r="D36" s="760">
        <f t="shared" si="4"/>
        <v>118970</v>
      </c>
      <c r="E36" s="760">
        <f t="shared" si="5"/>
        <v>0</v>
      </c>
      <c r="F36" s="760">
        <f t="shared" si="6"/>
        <v>0</v>
      </c>
      <c r="G36" s="340">
        <v>0</v>
      </c>
      <c r="H36" s="760">
        <f t="shared" si="7"/>
        <v>0</v>
      </c>
      <c r="I36" s="760">
        <f t="shared" si="14"/>
        <v>0</v>
      </c>
      <c r="J36" s="760">
        <f t="shared" si="8"/>
        <v>0</v>
      </c>
      <c r="K36" s="760">
        <f t="shared" si="9"/>
        <v>0</v>
      </c>
      <c r="L36" s="760">
        <f t="shared" si="10"/>
        <v>118970</v>
      </c>
      <c r="M36" s="760">
        <f>IFERROR(IF(L35=0,0,SUM($J$25:J36)),0)</f>
        <v>0</v>
      </c>
      <c r="N36" s="366">
        <f t="shared" si="0"/>
        <v>1.025603448275862</v>
      </c>
      <c r="O36" s="761">
        <f t="shared" si="1"/>
        <v>0</v>
      </c>
      <c r="P36" s="28"/>
      <c r="Q36" s="1681">
        <f t="shared" si="11"/>
        <v>0</v>
      </c>
      <c r="R36" s="1682">
        <f t="shared" si="2"/>
        <v>0</v>
      </c>
      <c r="S36" s="1682">
        <f t="shared" si="12"/>
        <v>0</v>
      </c>
      <c r="T36" s="1682">
        <f t="shared" si="13"/>
        <v>1900</v>
      </c>
    </row>
    <row r="37" spans="2:20" s="283" customFormat="1" ht="13.8" x14ac:dyDescent="0.3">
      <c r="B37" s="758" cm="1">
        <f t="array" ref="B37">IF(active_refi=1,IF(ROW()-ROW($B$24)&lt;=$E$12*$E$13+refi_month,ROW()-ROW($B$24),0),IF(activeloan,IF(L36=0,0,IF(ROW()-ROW($B$24)&lt;=$D$12*$D$13,ROW()-ROW($B$24),0)),0))</f>
        <v>0</v>
      </c>
      <c r="C37" s="759">
        <f t="shared" si="3"/>
        <v>0</v>
      </c>
      <c r="D37" s="760">
        <f t="shared" si="4"/>
        <v>118970</v>
      </c>
      <c r="E37" s="760">
        <f t="shared" si="5"/>
        <v>0</v>
      </c>
      <c r="F37" s="760">
        <f t="shared" si="6"/>
        <v>0</v>
      </c>
      <c r="G37" s="340">
        <v>0</v>
      </c>
      <c r="H37" s="760">
        <f t="shared" si="7"/>
        <v>0</v>
      </c>
      <c r="I37" s="760">
        <f t="shared" si="14"/>
        <v>0</v>
      </c>
      <c r="J37" s="760">
        <f t="shared" si="8"/>
        <v>0</v>
      </c>
      <c r="K37" s="760">
        <f t="shared" si="9"/>
        <v>0</v>
      </c>
      <c r="L37" s="760">
        <f t="shared" si="10"/>
        <v>118970</v>
      </c>
      <c r="M37" s="760">
        <f>IFERROR(IF(L36=0,0,SUM($J$25:J37)),0)</f>
        <v>0</v>
      </c>
      <c r="N37" s="366">
        <f t="shared" si="0"/>
        <v>1.025603448275862</v>
      </c>
      <c r="O37" s="761">
        <f t="shared" si="1"/>
        <v>0</v>
      </c>
      <c r="P37" s="28"/>
      <c r="Q37" s="1681">
        <f t="shared" si="11"/>
        <v>0</v>
      </c>
      <c r="R37" s="1682">
        <f t="shared" si="2"/>
        <v>0</v>
      </c>
      <c r="S37" s="1682">
        <f t="shared" si="12"/>
        <v>0</v>
      </c>
      <c r="T37" s="1682">
        <f t="shared" si="13"/>
        <v>1900</v>
      </c>
    </row>
    <row r="38" spans="2:20" s="283" customFormat="1" ht="13.8" x14ac:dyDescent="0.3">
      <c r="B38" s="758" cm="1">
        <f t="array" ref="B38">IF(active_refi=1,IF(ROW()-ROW($B$24)&lt;=$E$12*$E$13+refi_month,ROW()-ROW($B$24),0),IF(activeloan,IF(L37=0,0,IF(ROW()-ROW($B$24)&lt;=$D$12*$D$13,ROW()-ROW($B$24),0)),0))</f>
        <v>0</v>
      </c>
      <c r="C38" s="759">
        <f t="shared" si="3"/>
        <v>0</v>
      </c>
      <c r="D38" s="760">
        <f t="shared" si="4"/>
        <v>118970</v>
      </c>
      <c r="E38" s="760">
        <f t="shared" si="5"/>
        <v>0</v>
      </c>
      <c r="F38" s="760">
        <f t="shared" si="6"/>
        <v>0</v>
      </c>
      <c r="G38" s="340">
        <v>0</v>
      </c>
      <c r="H38" s="760">
        <f t="shared" si="7"/>
        <v>0</v>
      </c>
      <c r="I38" s="760">
        <f t="shared" si="14"/>
        <v>0</v>
      </c>
      <c r="J38" s="760">
        <f t="shared" si="8"/>
        <v>0</v>
      </c>
      <c r="K38" s="760">
        <f t="shared" si="9"/>
        <v>0</v>
      </c>
      <c r="L38" s="760">
        <f t="shared" si="10"/>
        <v>118970</v>
      </c>
      <c r="M38" s="760">
        <f>IFERROR(IF(L37=0,0,SUM($J$25:J38)),0)</f>
        <v>0</v>
      </c>
      <c r="N38" s="366">
        <f t="shared" si="0"/>
        <v>1.025603448275862</v>
      </c>
      <c r="O38" s="761">
        <f t="shared" si="1"/>
        <v>0</v>
      </c>
      <c r="P38" s="28"/>
      <c r="Q38" s="1681">
        <f t="shared" si="11"/>
        <v>0</v>
      </c>
      <c r="R38" s="1682">
        <f t="shared" si="2"/>
        <v>0</v>
      </c>
      <c r="S38" s="1682">
        <f t="shared" si="12"/>
        <v>0</v>
      </c>
      <c r="T38" s="1682">
        <f t="shared" si="13"/>
        <v>1900</v>
      </c>
    </row>
    <row r="39" spans="2:20" s="283" customFormat="1" ht="13.8" x14ac:dyDescent="0.3">
      <c r="B39" s="758" cm="1">
        <f t="array" ref="B39">IF(active_refi=1,IF(ROW()-ROW($B$24)&lt;=$E$12*$E$13+refi_month,ROW()-ROW($B$24),0),IF(activeloan,IF(L38=0,0,IF(ROW()-ROW($B$24)&lt;=$D$12*$D$13,ROW()-ROW($B$24),0)),0))</f>
        <v>0</v>
      </c>
      <c r="C39" s="759">
        <f t="shared" si="3"/>
        <v>0</v>
      </c>
      <c r="D39" s="760">
        <f t="shared" si="4"/>
        <v>118970</v>
      </c>
      <c r="E39" s="760">
        <f t="shared" si="5"/>
        <v>0</v>
      </c>
      <c r="F39" s="760">
        <f t="shared" si="6"/>
        <v>0</v>
      </c>
      <c r="G39" s="340">
        <v>0</v>
      </c>
      <c r="H39" s="760">
        <f t="shared" si="7"/>
        <v>0</v>
      </c>
      <c r="I39" s="760">
        <f t="shared" si="14"/>
        <v>0</v>
      </c>
      <c r="J39" s="760">
        <f t="shared" si="8"/>
        <v>0</v>
      </c>
      <c r="K39" s="760">
        <f t="shared" si="9"/>
        <v>0</v>
      </c>
      <c r="L39" s="760">
        <f t="shared" si="10"/>
        <v>118970</v>
      </c>
      <c r="M39" s="760">
        <f>IFERROR(IF(L38=0,0,SUM($J$25:J39)),0)</f>
        <v>0</v>
      </c>
      <c r="N39" s="366">
        <f t="shared" si="0"/>
        <v>1.025603448275862</v>
      </c>
      <c r="O39" s="761">
        <f t="shared" si="1"/>
        <v>0</v>
      </c>
      <c r="P39" s="28"/>
      <c r="Q39" s="1681">
        <f t="shared" si="11"/>
        <v>0</v>
      </c>
      <c r="R39" s="1682">
        <f t="shared" si="2"/>
        <v>0</v>
      </c>
      <c r="S39" s="1682">
        <f t="shared" si="12"/>
        <v>0</v>
      </c>
      <c r="T39" s="1682">
        <f t="shared" si="13"/>
        <v>1900</v>
      </c>
    </row>
    <row r="40" spans="2:20" s="283" customFormat="1" ht="13.8" x14ac:dyDescent="0.3">
      <c r="B40" s="758" cm="1">
        <f t="array" ref="B40">IF(active_refi=1,IF(ROW()-ROW($B$24)&lt;=$E$12*$E$13+refi_month,ROW()-ROW($B$24),0),IF(activeloan,IF(L39=0,0,IF(ROW()-ROW($B$24)&lt;=$D$12*$D$13,ROW()-ROW($B$24),0)),0))</f>
        <v>0</v>
      </c>
      <c r="C40" s="759">
        <f t="shared" si="3"/>
        <v>0</v>
      </c>
      <c r="D40" s="760">
        <f t="shared" si="4"/>
        <v>118970</v>
      </c>
      <c r="E40" s="760">
        <f t="shared" si="5"/>
        <v>0</v>
      </c>
      <c r="F40" s="760">
        <f t="shared" si="6"/>
        <v>0</v>
      </c>
      <c r="G40" s="340">
        <v>0</v>
      </c>
      <c r="H40" s="760">
        <f t="shared" si="7"/>
        <v>0</v>
      </c>
      <c r="I40" s="760">
        <f t="shared" si="14"/>
        <v>0</v>
      </c>
      <c r="J40" s="760">
        <f t="shared" si="8"/>
        <v>0</v>
      </c>
      <c r="K40" s="760">
        <f t="shared" si="9"/>
        <v>0</v>
      </c>
      <c r="L40" s="760">
        <f t="shared" si="10"/>
        <v>118970</v>
      </c>
      <c r="M40" s="760">
        <f>IFERROR(IF(L39=0,0,SUM($J$25:J40)),0)</f>
        <v>0</v>
      </c>
      <c r="N40" s="366">
        <f t="shared" si="0"/>
        <v>1.025603448275862</v>
      </c>
      <c r="O40" s="761">
        <f t="shared" si="1"/>
        <v>0</v>
      </c>
      <c r="P40" s="28"/>
      <c r="Q40" s="1681">
        <f t="shared" si="11"/>
        <v>0</v>
      </c>
      <c r="R40" s="1682">
        <f t="shared" si="2"/>
        <v>0</v>
      </c>
      <c r="S40" s="1682">
        <f t="shared" si="12"/>
        <v>0</v>
      </c>
      <c r="T40" s="1682">
        <f t="shared" si="13"/>
        <v>1900</v>
      </c>
    </row>
    <row r="41" spans="2:20" s="283" customFormat="1" ht="13.8" x14ac:dyDescent="0.3">
      <c r="B41" s="758" cm="1">
        <f t="array" ref="B41">IF(active_refi=1,IF(ROW()-ROW($B$24)&lt;=$E$12*$E$13+refi_month,ROW()-ROW($B$24),0),IF(activeloan,IF(L40=0,0,IF(ROW()-ROW($B$24)&lt;=$D$12*$D$13,ROW()-ROW($B$24),0)),0))</f>
        <v>0</v>
      </c>
      <c r="C41" s="759">
        <f t="shared" si="3"/>
        <v>0</v>
      </c>
      <c r="D41" s="760">
        <f t="shared" si="4"/>
        <v>118970</v>
      </c>
      <c r="E41" s="760">
        <f t="shared" si="5"/>
        <v>0</v>
      </c>
      <c r="F41" s="760">
        <f t="shared" si="6"/>
        <v>0</v>
      </c>
      <c r="G41" s="340">
        <v>0</v>
      </c>
      <c r="H41" s="760">
        <f t="shared" si="7"/>
        <v>0</v>
      </c>
      <c r="I41" s="760">
        <f t="shared" si="14"/>
        <v>0</v>
      </c>
      <c r="J41" s="760">
        <f t="shared" si="8"/>
        <v>0</v>
      </c>
      <c r="K41" s="760">
        <f t="shared" si="9"/>
        <v>0</v>
      </c>
      <c r="L41" s="760">
        <f t="shared" si="10"/>
        <v>118970</v>
      </c>
      <c r="M41" s="760">
        <f>IFERROR(IF(L40=0,0,SUM($J$25:J41)),0)</f>
        <v>0</v>
      </c>
      <c r="N41" s="366">
        <f t="shared" si="0"/>
        <v>1.025603448275862</v>
      </c>
      <c r="O41" s="761">
        <f t="shared" si="1"/>
        <v>0</v>
      </c>
      <c r="P41" s="28"/>
      <c r="Q41" s="1681">
        <f t="shared" si="11"/>
        <v>0</v>
      </c>
      <c r="R41" s="1682">
        <f t="shared" si="2"/>
        <v>0</v>
      </c>
      <c r="S41" s="1682">
        <f t="shared" si="12"/>
        <v>0</v>
      </c>
      <c r="T41" s="1682">
        <f t="shared" si="13"/>
        <v>1900</v>
      </c>
    </row>
    <row r="42" spans="2:20" s="283" customFormat="1" ht="13.8" x14ac:dyDescent="0.3">
      <c r="B42" s="758" cm="1">
        <f t="array" ref="B42">IF(active_refi=1,IF(ROW()-ROW($B$24)&lt;=$E$12*$E$13+refi_month,ROW()-ROW($B$24),0),IF(activeloan,IF(L41=0,0,IF(ROW()-ROW($B$24)&lt;=$D$12*$D$13,ROW()-ROW($B$24),0)),0))</f>
        <v>0</v>
      </c>
      <c r="C42" s="759">
        <f t="shared" si="3"/>
        <v>0</v>
      </c>
      <c r="D42" s="760">
        <f t="shared" si="4"/>
        <v>118970</v>
      </c>
      <c r="E42" s="760">
        <f t="shared" si="5"/>
        <v>0</v>
      </c>
      <c r="F42" s="760">
        <f t="shared" si="6"/>
        <v>0</v>
      </c>
      <c r="G42" s="340">
        <v>0</v>
      </c>
      <c r="H42" s="760">
        <f t="shared" si="7"/>
        <v>0</v>
      </c>
      <c r="I42" s="760">
        <f t="shared" si="14"/>
        <v>0</v>
      </c>
      <c r="J42" s="760">
        <f t="shared" si="8"/>
        <v>0</v>
      </c>
      <c r="K42" s="760">
        <f t="shared" si="9"/>
        <v>0</v>
      </c>
      <c r="L42" s="760">
        <f t="shared" si="10"/>
        <v>118970</v>
      </c>
      <c r="M42" s="760">
        <f>IFERROR(IF(L41=0,0,SUM($J$25:J42)),0)</f>
        <v>0</v>
      </c>
      <c r="N42" s="366">
        <f t="shared" si="0"/>
        <v>1.025603448275862</v>
      </c>
      <c r="O42" s="761">
        <f t="shared" si="1"/>
        <v>0</v>
      </c>
      <c r="P42" s="28"/>
      <c r="Q42" s="1681">
        <f t="shared" si="11"/>
        <v>0</v>
      </c>
      <c r="R42" s="1682">
        <f t="shared" si="2"/>
        <v>0</v>
      </c>
      <c r="S42" s="1682">
        <f t="shared" si="12"/>
        <v>0</v>
      </c>
      <c r="T42" s="1682">
        <f t="shared" si="13"/>
        <v>1900</v>
      </c>
    </row>
    <row r="43" spans="2:20" s="283" customFormat="1" ht="13.8" x14ac:dyDescent="0.3">
      <c r="B43" s="758" cm="1">
        <f t="array" ref="B43">IF(active_refi=1,IF(ROW()-ROW($B$24)&lt;=$E$12*$E$13+refi_month,ROW()-ROW($B$24),0),IF(activeloan,IF(L42=0,0,IF(ROW()-ROW($B$24)&lt;=$D$12*$D$13,ROW()-ROW($B$24),0)),0))</f>
        <v>0</v>
      </c>
      <c r="C43" s="759">
        <f t="shared" si="3"/>
        <v>0</v>
      </c>
      <c r="D43" s="760">
        <f t="shared" si="4"/>
        <v>118970</v>
      </c>
      <c r="E43" s="760">
        <f t="shared" si="5"/>
        <v>0</v>
      </c>
      <c r="F43" s="760">
        <f t="shared" si="6"/>
        <v>0</v>
      </c>
      <c r="G43" s="340">
        <v>0</v>
      </c>
      <c r="H43" s="760">
        <f t="shared" si="7"/>
        <v>0</v>
      </c>
      <c r="I43" s="760">
        <f t="shared" si="14"/>
        <v>0</v>
      </c>
      <c r="J43" s="760">
        <f t="shared" si="8"/>
        <v>0</v>
      </c>
      <c r="K43" s="760">
        <f t="shared" si="9"/>
        <v>0</v>
      </c>
      <c r="L43" s="760">
        <f t="shared" si="10"/>
        <v>118970</v>
      </c>
      <c r="M43" s="760">
        <f>IFERROR(IF(L42=0,0,SUM($J$25:J43)),0)</f>
        <v>0</v>
      </c>
      <c r="N43" s="366">
        <f t="shared" si="0"/>
        <v>1.025603448275862</v>
      </c>
      <c r="O43" s="761">
        <f t="shared" si="1"/>
        <v>0</v>
      </c>
      <c r="P43" s="28"/>
      <c r="Q43" s="1681">
        <f t="shared" si="11"/>
        <v>0</v>
      </c>
      <c r="R43" s="1682">
        <f t="shared" si="2"/>
        <v>0</v>
      </c>
      <c r="S43" s="1682">
        <f t="shared" si="12"/>
        <v>0</v>
      </c>
      <c r="T43" s="1682">
        <f t="shared" si="13"/>
        <v>1900</v>
      </c>
    </row>
    <row r="44" spans="2:20" s="283" customFormat="1" ht="13.8" x14ac:dyDescent="0.3">
      <c r="B44" s="758" cm="1">
        <f t="array" ref="B44">IF(active_refi=1,IF(ROW()-ROW($B$24)&lt;=$E$12*$E$13+refi_month,ROW()-ROW($B$24),0),IF(activeloan,IF(L43=0,0,IF(ROW()-ROW($B$24)&lt;=$D$12*$D$13,ROW()-ROW($B$24),0)),0))</f>
        <v>0</v>
      </c>
      <c r="C44" s="759">
        <f t="shared" si="3"/>
        <v>0</v>
      </c>
      <c r="D44" s="760">
        <f t="shared" si="4"/>
        <v>118970</v>
      </c>
      <c r="E44" s="760">
        <f t="shared" si="5"/>
        <v>0</v>
      </c>
      <c r="F44" s="760">
        <f t="shared" si="6"/>
        <v>0</v>
      </c>
      <c r="G44" s="340">
        <v>0</v>
      </c>
      <c r="H44" s="760">
        <f t="shared" si="7"/>
        <v>0</v>
      </c>
      <c r="I44" s="760">
        <f t="shared" si="14"/>
        <v>0</v>
      </c>
      <c r="J44" s="760">
        <f t="shared" si="8"/>
        <v>0</v>
      </c>
      <c r="K44" s="760">
        <f t="shared" si="9"/>
        <v>0</v>
      </c>
      <c r="L44" s="760">
        <f t="shared" si="10"/>
        <v>118970</v>
      </c>
      <c r="M44" s="760">
        <f>IFERROR(IF(L43=0,0,SUM($J$25:J44)),0)</f>
        <v>0</v>
      </c>
      <c r="N44" s="366">
        <f t="shared" si="0"/>
        <v>1.025603448275862</v>
      </c>
      <c r="O44" s="761">
        <f t="shared" si="1"/>
        <v>0</v>
      </c>
      <c r="P44" s="28"/>
      <c r="Q44" s="1681">
        <f t="shared" si="11"/>
        <v>0</v>
      </c>
      <c r="R44" s="1682">
        <f t="shared" si="2"/>
        <v>0</v>
      </c>
      <c r="S44" s="1682">
        <f t="shared" si="12"/>
        <v>0</v>
      </c>
      <c r="T44" s="1682">
        <f t="shared" si="13"/>
        <v>1900</v>
      </c>
    </row>
    <row r="45" spans="2:20" s="283" customFormat="1" ht="13.8" x14ac:dyDescent="0.3">
      <c r="B45" s="758" cm="1">
        <f t="array" ref="B45">IF(active_refi=1,IF(ROW()-ROW($B$24)&lt;=$E$12*$E$13+refi_month,ROW()-ROW($B$24),0),IF(activeloan,IF(L44=0,0,IF(ROW()-ROW($B$24)&lt;=$D$12*$D$13,ROW()-ROW($B$24),0)),0))</f>
        <v>0</v>
      </c>
      <c r="C45" s="759">
        <f t="shared" si="3"/>
        <v>0</v>
      </c>
      <c r="D45" s="760">
        <f t="shared" si="4"/>
        <v>118970</v>
      </c>
      <c r="E45" s="760">
        <f t="shared" si="5"/>
        <v>0</v>
      </c>
      <c r="F45" s="760">
        <f t="shared" si="6"/>
        <v>0</v>
      </c>
      <c r="G45" s="340">
        <v>0</v>
      </c>
      <c r="H45" s="760">
        <f t="shared" si="7"/>
        <v>0</v>
      </c>
      <c r="I45" s="760">
        <f t="shared" si="14"/>
        <v>0</v>
      </c>
      <c r="J45" s="760">
        <f t="shared" si="8"/>
        <v>0</v>
      </c>
      <c r="K45" s="760">
        <f t="shared" si="9"/>
        <v>0</v>
      </c>
      <c r="L45" s="760">
        <f t="shared" si="10"/>
        <v>118970</v>
      </c>
      <c r="M45" s="760">
        <f>IFERROR(IF(L44=0,0,SUM($J$25:J45)),0)</f>
        <v>0</v>
      </c>
      <c r="N45" s="366">
        <f t="shared" si="0"/>
        <v>1.025603448275862</v>
      </c>
      <c r="O45" s="761">
        <f t="shared" si="1"/>
        <v>0</v>
      </c>
      <c r="P45" s="28"/>
      <c r="Q45" s="1681">
        <f t="shared" si="11"/>
        <v>0</v>
      </c>
      <c r="R45" s="1682">
        <f t="shared" si="2"/>
        <v>0</v>
      </c>
      <c r="S45" s="1682">
        <f t="shared" si="12"/>
        <v>0</v>
      </c>
      <c r="T45" s="1682">
        <f t="shared" si="13"/>
        <v>1900</v>
      </c>
    </row>
    <row r="46" spans="2:20" s="283" customFormat="1" ht="13.8" x14ac:dyDescent="0.3">
      <c r="B46" s="758" cm="1">
        <f t="array" ref="B46">IF(active_refi=1,IF(ROW()-ROW($B$24)&lt;=$E$12*$E$13+refi_month,ROW()-ROW($B$24),0),IF(activeloan,IF(L45=0,0,IF(ROW()-ROW($B$24)&lt;=$D$12*$D$13,ROW()-ROW($B$24),0)),0))</f>
        <v>0</v>
      </c>
      <c r="C46" s="759">
        <f t="shared" si="3"/>
        <v>0</v>
      </c>
      <c r="D46" s="760">
        <f t="shared" si="4"/>
        <v>118970</v>
      </c>
      <c r="E46" s="760">
        <f t="shared" si="5"/>
        <v>0</v>
      </c>
      <c r="F46" s="760">
        <f t="shared" si="6"/>
        <v>0</v>
      </c>
      <c r="G46" s="340">
        <v>0</v>
      </c>
      <c r="H46" s="760">
        <f t="shared" si="7"/>
        <v>0</v>
      </c>
      <c r="I46" s="760">
        <f t="shared" si="14"/>
        <v>0</v>
      </c>
      <c r="J46" s="760">
        <f t="shared" si="8"/>
        <v>0</v>
      </c>
      <c r="K46" s="760">
        <f t="shared" si="9"/>
        <v>0</v>
      </c>
      <c r="L46" s="760">
        <f t="shared" si="10"/>
        <v>118970</v>
      </c>
      <c r="M46" s="760">
        <f>IFERROR(IF(L45=0,0,SUM($J$25:J46)),0)</f>
        <v>0</v>
      </c>
      <c r="N46" s="366">
        <f t="shared" si="0"/>
        <v>1.025603448275862</v>
      </c>
      <c r="O46" s="761">
        <f t="shared" si="1"/>
        <v>0</v>
      </c>
      <c r="P46" s="28"/>
      <c r="Q46" s="1681">
        <f t="shared" si="11"/>
        <v>0</v>
      </c>
      <c r="R46" s="1682">
        <f t="shared" si="2"/>
        <v>0</v>
      </c>
      <c r="S46" s="1682">
        <f t="shared" si="12"/>
        <v>0</v>
      </c>
      <c r="T46" s="1682">
        <f t="shared" si="13"/>
        <v>1900</v>
      </c>
    </row>
    <row r="47" spans="2:20" s="283" customFormat="1" ht="13.8" x14ac:dyDescent="0.3">
      <c r="B47" s="758" cm="1">
        <f t="array" ref="B47">IF(active_refi=1,IF(ROW()-ROW($B$24)&lt;=$E$12*$E$13+refi_month,ROW()-ROW($B$24),0),IF(activeloan,IF(L46=0,0,IF(ROW()-ROW($B$24)&lt;=$D$12*$D$13,ROW()-ROW($B$24),0)),0))</f>
        <v>0</v>
      </c>
      <c r="C47" s="759">
        <f t="shared" si="3"/>
        <v>0</v>
      </c>
      <c r="D47" s="760">
        <f t="shared" si="4"/>
        <v>118970</v>
      </c>
      <c r="E47" s="760">
        <f t="shared" si="5"/>
        <v>0</v>
      </c>
      <c r="F47" s="760">
        <f t="shared" si="6"/>
        <v>0</v>
      </c>
      <c r="G47" s="340">
        <v>0</v>
      </c>
      <c r="H47" s="760">
        <f t="shared" si="7"/>
        <v>0</v>
      </c>
      <c r="I47" s="760">
        <f t="shared" si="14"/>
        <v>0</v>
      </c>
      <c r="J47" s="760">
        <f t="shared" si="8"/>
        <v>0</v>
      </c>
      <c r="K47" s="760">
        <f t="shared" si="9"/>
        <v>0</v>
      </c>
      <c r="L47" s="760">
        <f t="shared" si="10"/>
        <v>118970</v>
      </c>
      <c r="M47" s="760">
        <f>IFERROR(IF(L46=0,0,SUM($J$25:J47)),0)</f>
        <v>0</v>
      </c>
      <c r="N47" s="366">
        <f t="shared" si="0"/>
        <v>1.025603448275862</v>
      </c>
      <c r="O47" s="761">
        <f t="shared" si="1"/>
        <v>0</v>
      </c>
      <c r="P47" s="28"/>
      <c r="Q47" s="1681">
        <f t="shared" si="11"/>
        <v>0</v>
      </c>
      <c r="R47" s="1682">
        <f t="shared" si="2"/>
        <v>0</v>
      </c>
      <c r="S47" s="1682">
        <f t="shared" si="12"/>
        <v>0</v>
      </c>
      <c r="T47" s="1682">
        <f t="shared" si="13"/>
        <v>1900</v>
      </c>
    </row>
    <row r="48" spans="2:20" s="283" customFormat="1" ht="13.8" x14ac:dyDescent="0.3">
      <c r="B48" s="758" cm="1">
        <f t="array" ref="B48">IF(active_refi=1,IF(ROW()-ROW($B$24)&lt;=$E$12*$E$13+refi_month,ROW()-ROW($B$24),0),IF(activeloan,IF(L47=0,0,IF(ROW()-ROW($B$24)&lt;=$D$12*$D$13,ROW()-ROW($B$24),0)),0))</f>
        <v>0</v>
      </c>
      <c r="C48" s="759">
        <f t="shared" si="3"/>
        <v>0</v>
      </c>
      <c r="D48" s="760">
        <f t="shared" si="4"/>
        <v>118970</v>
      </c>
      <c r="E48" s="760">
        <f t="shared" si="5"/>
        <v>0</v>
      </c>
      <c r="F48" s="760">
        <f t="shared" si="6"/>
        <v>0</v>
      </c>
      <c r="G48" s="340">
        <v>0</v>
      </c>
      <c r="H48" s="760">
        <f t="shared" si="7"/>
        <v>0</v>
      </c>
      <c r="I48" s="760">
        <f t="shared" si="14"/>
        <v>0</v>
      </c>
      <c r="J48" s="760">
        <f t="shared" si="8"/>
        <v>0</v>
      </c>
      <c r="K48" s="760">
        <f t="shared" si="9"/>
        <v>0</v>
      </c>
      <c r="L48" s="760">
        <f t="shared" si="10"/>
        <v>118970</v>
      </c>
      <c r="M48" s="760">
        <f>IFERROR(IF(L47=0,0,SUM($J$25:J48)),0)</f>
        <v>0</v>
      </c>
      <c r="N48" s="366">
        <f t="shared" si="0"/>
        <v>1.025603448275862</v>
      </c>
      <c r="O48" s="761">
        <f t="shared" si="1"/>
        <v>0</v>
      </c>
      <c r="P48" s="28"/>
      <c r="Q48" s="1681">
        <f t="shared" si="11"/>
        <v>0</v>
      </c>
      <c r="R48" s="1682">
        <f t="shared" si="2"/>
        <v>0</v>
      </c>
      <c r="S48" s="1682">
        <f t="shared" si="12"/>
        <v>0</v>
      </c>
      <c r="T48" s="1682">
        <f t="shared" si="13"/>
        <v>1900</v>
      </c>
    </row>
    <row r="49" spans="2:20" s="283" customFormat="1" ht="13.8" x14ac:dyDescent="0.3">
      <c r="B49" s="758" cm="1">
        <f t="array" ref="B49">IF(active_refi=1,IF(ROW()-ROW($B$24)&lt;=$E$12*$E$13+refi_month,ROW()-ROW($B$24),0),IF(activeloan,IF(L48=0,0,IF(ROW()-ROW($B$24)&lt;=$D$12*$D$13,ROW()-ROW($B$24),0)),0))</f>
        <v>0</v>
      </c>
      <c r="C49" s="759">
        <f t="shared" si="3"/>
        <v>0</v>
      </c>
      <c r="D49" s="760">
        <f t="shared" si="4"/>
        <v>118970</v>
      </c>
      <c r="E49" s="760">
        <f t="shared" si="5"/>
        <v>0</v>
      </c>
      <c r="F49" s="760">
        <f t="shared" si="6"/>
        <v>0</v>
      </c>
      <c r="G49" s="340">
        <v>0</v>
      </c>
      <c r="H49" s="760">
        <f t="shared" si="7"/>
        <v>0</v>
      </c>
      <c r="I49" s="760">
        <f t="shared" si="14"/>
        <v>0</v>
      </c>
      <c r="J49" s="760">
        <f t="shared" si="8"/>
        <v>0</v>
      </c>
      <c r="K49" s="760">
        <f t="shared" si="9"/>
        <v>0</v>
      </c>
      <c r="L49" s="760">
        <f t="shared" si="10"/>
        <v>118970</v>
      </c>
      <c r="M49" s="760">
        <f>IFERROR(IF(L48=0,0,SUM($J$25:J49)),0)</f>
        <v>0</v>
      </c>
      <c r="N49" s="366">
        <f t="shared" si="0"/>
        <v>1.025603448275862</v>
      </c>
      <c r="O49" s="761">
        <f t="shared" si="1"/>
        <v>0</v>
      </c>
      <c r="P49" s="28"/>
      <c r="Q49" s="1681">
        <f t="shared" si="11"/>
        <v>0</v>
      </c>
      <c r="R49" s="1682">
        <f t="shared" si="2"/>
        <v>0</v>
      </c>
      <c r="S49" s="1682">
        <f t="shared" si="12"/>
        <v>0</v>
      </c>
      <c r="T49" s="1682">
        <f t="shared" si="13"/>
        <v>1900</v>
      </c>
    </row>
    <row r="50" spans="2:20" s="283" customFormat="1" ht="13.8" x14ac:dyDescent="0.3">
      <c r="B50" s="758" cm="1">
        <f t="array" ref="B50">IF(active_refi=1,IF(ROW()-ROW($B$24)&lt;=$E$12*$E$13+refi_month,ROW()-ROW($B$24),0),IF(activeloan,IF(L49=0,0,IF(ROW()-ROW($B$24)&lt;=$D$12*$D$13,ROW()-ROW($B$24),0)),0))</f>
        <v>0</v>
      </c>
      <c r="C50" s="759">
        <f t="shared" si="3"/>
        <v>0</v>
      </c>
      <c r="D50" s="760">
        <f t="shared" si="4"/>
        <v>118970</v>
      </c>
      <c r="E50" s="760">
        <f t="shared" si="5"/>
        <v>0</v>
      </c>
      <c r="F50" s="760">
        <f t="shared" si="6"/>
        <v>0</v>
      </c>
      <c r="G50" s="340">
        <v>0</v>
      </c>
      <c r="H50" s="760">
        <f t="shared" si="7"/>
        <v>0</v>
      </c>
      <c r="I50" s="760">
        <f t="shared" si="14"/>
        <v>0</v>
      </c>
      <c r="J50" s="760">
        <f t="shared" si="8"/>
        <v>0</v>
      </c>
      <c r="K50" s="760">
        <f t="shared" si="9"/>
        <v>0</v>
      </c>
      <c r="L50" s="760">
        <f t="shared" si="10"/>
        <v>118970</v>
      </c>
      <c r="M50" s="760">
        <f>IFERROR(IF(L49=0,0,SUM($J$25:J50)),0)</f>
        <v>0</v>
      </c>
      <c r="N50" s="366">
        <f t="shared" si="0"/>
        <v>1.025603448275862</v>
      </c>
      <c r="O50" s="761">
        <f t="shared" si="1"/>
        <v>0</v>
      </c>
      <c r="P50" s="28"/>
      <c r="Q50" s="1681">
        <f t="shared" si="11"/>
        <v>0</v>
      </c>
      <c r="R50" s="1682">
        <f t="shared" si="2"/>
        <v>0</v>
      </c>
      <c r="S50" s="1682">
        <f t="shared" si="12"/>
        <v>0</v>
      </c>
      <c r="T50" s="1682">
        <f t="shared" si="13"/>
        <v>1900</v>
      </c>
    </row>
    <row r="51" spans="2:20" s="283" customFormat="1" ht="13.8" x14ac:dyDescent="0.3">
      <c r="B51" s="758" cm="1">
        <f t="array" ref="B51">IF(active_refi=1,IF(ROW()-ROW($B$24)&lt;=$E$12*$E$13+refi_month,ROW()-ROW($B$24),0),IF(activeloan,IF(L50=0,0,IF(ROW()-ROW($B$24)&lt;=$D$12*$D$13,ROW()-ROW($B$24),0)),0))</f>
        <v>0</v>
      </c>
      <c r="C51" s="759">
        <f t="shared" si="3"/>
        <v>0</v>
      </c>
      <c r="D51" s="760">
        <f t="shared" si="4"/>
        <v>118970</v>
      </c>
      <c r="E51" s="760">
        <f t="shared" si="5"/>
        <v>0</v>
      </c>
      <c r="F51" s="760">
        <f t="shared" si="6"/>
        <v>0</v>
      </c>
      <c r="G51" s="340">
        <v>0</v>
      </c>
      <c r="H51" s="760">
        <f t="shared" si="7"/>
        <v>0</v>
      </c>
      <c r="I51" s="760">
        <f t="shared" si="14"/>
        <v>0</v>
      </c>
      <c r="J51" s="760">
        <f t="shared" si="8"/>
        <v>0</v>
      </c>
      <c r="K51" s="760">
        <f t="shared" si="9"/>
        <v>0</v>
      </c>
      <c r="L51" s="760">
        <f t="shared" si="10"/>
        <v>118970</v>
      </c>
      <c r="M51" s="760">
        <f>IFERROR(IF(L50=0,0,SUM($J$25:J51)),0)</f>
        <v>0</v>
      </c>
      <c r="N51" s="366">
        <f t="shared" si="0"/>
        <v>1.025603448275862</v>
      </c>
      <c r="O51" s="761">
        <f t="shared" si="1"/>
        <v>0</v>
      </c>
      <c r="P51" s="28"/>
      <c r="Q51" s="1681">
        <f t="shared" si="11"/>
        <v>0</v>
      </c>
      <c r="R51" s="1682">
        <f t="shared" si="2"/>
        <v>0</v>
      </c>
      <c r="S51" s="1682">
        <f t="shared" si="12"/>
        <v>0</v>
      </c>
      <c r="T51" s="1682">
        <f t="shared" si="13"/>
        <v>1900</v>
      </c>
    </row>
    <row r="52" spans="2:20" s="283" customFormat="1" ht="13.8" x14ac:dyDescent="0.3">
      <c r="B52" s="758" cm="1">
        <f t="array" ref="B52">IF(active_refi=1,IF(ROW()-ROW($B$24)&lt;=$E$12*$E$13+refi_month,ROW()-ROW($B$24),0),IF(activeloan,IF(L51=0,0,IF(ROW()-ROW($B$24)&lt;=$D$12*$D$13,ROW()-ROW($B$24),0)),0))</f>
        <v>0</v>
      </c>
      <c r="C52" s="759">
        <f t="shared" si="3"/>
        <v>0</v>
      </c>
      <c r="D52" s="760">
        <f t="shared" si="4"/>
        <v>118970</v>
      </c>
      <c r="E52" s="760">
        <f t="shared" si="5"/>
        <v>0</v>
      </c>
      <c r="F52" s="760">
        <f t="shared" si="6"/>
        <v>0</v>
      </c>
      <c r="G52" s="340">
        <v>0</v>
      </c>
      <c r="H52" s="760">
        <f t="shared" si="7"/>
        <v>0</v>
      </c>
      <c r="I52" s="760">
        <f t="shared" si="14"/>
        <v>0</v>
      </c>
      <c r="J52" s="760">
        <f t="shared" si="8"/>
        <v>0</v>
      </c>
      <c r="K52" s="760">
        <f t="shared" si="9"/>
        <v>0</v>
      </c>
      <c r="L52" s="760">
        <f t="shared" si="10"/>
        <v>118970</v>
      </c>
      <c r="M52" s="760">
        <f>IFERROR(IF(L51=0,0,SUM($J$25:J52)),0)</f>
        <v>0</v>
      </c>
      <c r="N52" s="366">
        <f t="shared" si="0"/>
        <v>1.025603448275862</v>
      </c>
      <c r="O52" s="761">
        <f t="shared" si="1"/>
        <v>0</v>
      </c>
      <c r="P52" s="28"/>
      <c r="Q52" s="1681">
        <f t="shared" si="11"/>
        <v>0</v>
      </c>
      <c r="R52" s="1682">
        <f t="shared" si="2"/>
        <v>0</v>
      </c>
      <c r="S52" s="1682">
        <f t="shared" si="12"/>
        <v>0</v>
      </c>
      <c r="T52" s="1682">
        <f t="shared" si="13"/>
        <v>1900</v>
      </c>
    </row>
    <row r="53" spans="2:20" s="283" customFormat="1" ht="13.8" x14ac:dyDescent="0.3">
      <c r="B53" s="758" cm="1">
        <f t="array" ref="B53">IF(active_refi=1,IF(ROW()-ROW($B$24)&lt;=$E$12*$E$13+refi_month,ROW()-ROW($B$24),0),IF(activeloan,IF(L52=0,0,IF(ROW()-ROW($B$24)&lt;=$D$12*$D$13,ROW()-ROW($B$24),0)),0))</f>
        <v>0</v>
      </c>
      <c r="C53" s="759">
        <f t="shared" si="3"/>
        <v>0</v>
      </c>
      <c r="D53" s="760">
        <f t="shared" si="4"/>
        <v>118970</v>
      </c>
      <c r="E53" s="760">
        <f t="shared" si="5"/>
        <v>0</v>
      </c>
      <c r="F53" s="760">
        <f t="shared" si="6"/>
        <v>0</v>
      </c>
      <c r="G53" s="340">
        <v>0</v>
      </c>
      <c r="H53" s="760">
        <f t="shared" si="7"/>
        <v>0</v>
      </c>
      <c r="I53" s="760">
        <f t="shared" si="14"/>
        <v>0</v>
      </c>
      <c r="J53" s="760">
        <f t="shared" si="8"/>
        <v>0</v>
      </c>
      <c r="K53" s="760">
        <f t="shared" si="9"/>
        <v>0</v>
      </c>
      <c r="L53" s="760">
        <f t="shared" si="10"/>
        <v>118970</v>
      </c>
      <c r="M53" s="760">
        <f>IFERROR(IF(L52=0,0,SUM($J$25:J53)),0)</f>
        <v>0</v>
      </c>
      <c r="N53" s="366">
        <f t="shared" si="0"/>
        <v>1.025603448275862</v>
      </c>
      <c r="O53" s="761">
        <f t="shared" si="1"/>
        <v>0</v>
      </c>
      <c r="P53" s="28"/>
      <c r="Q53" s="1681">
        <f t="shared" si="11"/>
        <v>0</v>
      </c>
      <c r="R53" s="1682">
        <f t="shared" si="2"/>
        <v>0</v>
      </c>
      <c r="S53" s="1682">
        <f t="shared" si="12"/>
        <v>0</v>
      </c>
      <c r="T53" s="1682">
        <f t="shared" si="13"/>
        <v>1900</v>
      </c>
    </row>
    <row r="54" spans="2:20" s="283" customFormat="1" ht="13.8" x14ac:dyDescent="0.3">
      <c r="B54" s="758" cm="1">
        <f t="array" ref="B54">IF(active_refi=1,IF(ROW()-ROW($B$24)&lt;=$E$12*$E$13+refi_month,ROW()-ROW($B$24),0),IF(activeloan,IF(L53=0,0,IF(ROW()-ROW($B$24)&lt;=$D$12*$D$13,ROW()-ROW($B$24),0)),0))</f>
        <v>0</v>
      </c>
      <c r="C54" s="759">
        <f t="shared" si="3"/>
        <v>0</v>
      </c>
      <c r="D54" s="760">
        <f t="shared" si="4"/>
        <v>118970</v>
      </c>
      <c r="E54" s="760">
        <f t="shared" si="5"/>
        <v>0</v>
      </c>
      <c r="F54" s="760">
        <f t="shared" si="6"/>
        <v>0</v>
      </c>
      <c r="G54" s="340">
        <v>0</v>
      </c>
      <c r="H54" s="760">
        <f t="shared" si="7"/>
        <v>0</v>
      </c>
      <c r="I54" s="760">
        <f t="shared" si="14"/>
        <v>0</v>
      </c>
      <c r="J54" s="760">
        <f t="shared" si="8"/>
        <v>0</v>
      </c>
      <c r="K54" s="760">
        <f t="shared" si="9"/>
        <v>0</v>
      </c>
      <c r="L54" s="760">
        <f t="shared" si="10"/>
        <v>118970</v>
      </c>
      <c r="M54" s="760">
        <f>IFERROR(IF(L53=0,0,SUM($J$25:J54)),0)</f>
        <v>0</v>
      </c>
      <c r="N54" s="366">
        <f t="shared" si="0"/>
        <v>1.025603448275862</v>
      </c>
      <c r="O54" s="761">
        <f t="shared" si="1"/>
        <v>0</v>
      </c>
      <c r="P54" s="28"/>
      <c r="Q54" s="1681">
        <f t="shared" si="11"/>
        <v>0</v>
      </c>
      <c r="R54" s="1682">
        <f t="shared" si="2"/>
        <v>0</v>
      </c>
      <c r="S54" s="1682">
        <f t="shared" si="12"/>
        <v>0</v>
      </c>
      <c r="T54" s="1682">
        <f t="shared" si="13"/>
        <v>1900</v>
      </c>
    </row>
    <row r="55" spans="2:20" s="283" customFormat="1" ht="13.8" x14ac:dyDescent="0.3">
      <c r="B55" s="758" cm="1">
        <f t="array" ref="B55">IF(active_refi=1,IF(ROW()-ROW($B$24)&lt;=$E$12*$E$13+refi_month,ROW()-ROW($B$24),0),IF(activeloan,IF(L54=0,0,IF(ROW()-ROW($B$24)&lt;=$D$12*$D$13,ROW()-ROW($B$24),0)),0))</f>
        <v>0</v>
      </c>
      <c r="C55" s="759">
        <f t="shared" si="3"/>
        <v>0</v>
      </c>
      <c r="D55" s="760">
        <f t="shared" si="4"/>
        <v>118970</v>
      </c>
      <c r="E55" s="760">
        <f t="shared" si="5"/>
        <v>0</v>
      </c>
      <c r="F55" s="760">
        <f t="shared" si="6"/>
        <v>0</v>
      </c>
      <c r="G55" s="340">
        <v>0</v>
      </c>
      <c r="H55" s="760">
        <f t="shared" si="7"/>
        <v>0</v>
      </c>
      <c r="I55" s="760">
        <f t="shared" si="14"/>
        <v>0</v>
      </c>
      <c r="J55" s="760">
        <f t="shared" si="8"/>
        <v>0</v>
      </c>
      <c r="K55" s="760">
        <f t="shared" si="9"/>
        <v>0</v>
      </c>
      <c r="L55" s="760">
        <f t="shared" si="10"/>
        <v>118970</v>
      </c>
      <c r="M55" s="760">
        <f>IFERROR(IF(L54=0,0,SUM($J$25:J55)),0)</f>
        <v>0</v>
      </c>
      <c r="N55" s="366">
        <f t="shared" si="0"/>
        <v>1.025603448275862</v>
      </c>
      <c r="O55" s="761">
        <f t="shared" si="1"/>
        <v>0</v>
      </c>
      <c r="P55" s="28"/>
      <c r="Q55" s="1681">
        <f t="shared" si="11"/>
        <v>0</v>
      </c>
      <c r="R55" s="1682">
        <f t="shared" si="2"/>
        <v>0</v>
      </c>
      <c r="S55" s="1682">
        <f t="shared" si="12"/>
        <v>0</v>
      </c>
      <c r="T55" s="1682">
        <f t="shared" si="13"/>
        <v>1900</v>
      </c>
    </row>
    <row r="56" spans="2:20" s="283" customFormat="1" ht="13.8" x14ac:dyDescent="0.3">
      <c r="B56" s="758" cm="1">
        <f t="array" ref="B56">IF(active_refi=1,IF(ROW()-ROW($B$24)&lt;=$E$12*$E$13+refi_month,ROW()-ROW($B$24),0),IF(activeloan,IF(L55=0,0,IF(ROW()-ROW($B$24)&lt;=$D$12*$D$13,ROW()-ROW($B$24),0)),0))</f>
        <v>0</v>
      </c>
      <c r="C56" s="759">
        <f t="shared" si="3"/>
        <v>0</v>
      </c>
      <c r="D56" s="760">
        <f t="shared" si="4"/>
        <v>118970</v>
      </c>
      <c r="E56" s="760">
        <f t="shared" si="5"/>
        <v>0</v>
      </c>
      <c r="F56" s="760">
        <f t="shared" si="6"/>
        <v>0</v>
      </c>
      <c r="G56" s="340">
        <v>0</v>
      </c>
      <c r="H56" s="760">
        <f t="shared" si="7"/>
        <v>0</v>
      </c>
      <c r="I56" s="760">
        <f t="shared" si="14"/>
        <v>0</v>
      </c>
      <c r="J56" s="760">
        <f t="shared" si="8"/>
        <v>0</v>
      </c>
      <c r="K56" s="760">
        <f t="shared" si="9"/>
        <v>0</v>
      </c>
      <c r="L56" s="760">
        <f t="shared" si="10"/>
        <v>118970</v>
      </c>
      <c r="M56" s="760">
        <f>IFERROR(IF(L55=0,0,SUM($J$25:J56)),0)</f>
        <v>0</v>
      </c>
      <c r="N56" s="366">
        <f t="shared" si="0"/>
        <v>1.025603448275862</v>
      </c>
      <c r="O56" s="761">
        <f t="shared" si="1"/>
        <v>0</v>
      </c>
      <c r="P56" s="28"/>
      <c r="Q56" s="1681">
        <f t="shared" si="11"/>
        <v>0</v>
      </c>
      <c r="R56" s="1682">
        <f t="shared" si="2"/>
        <v>0</v>
      </c>
      <c r="S56" s="1682">
        <f t="shared" si="12"/>
        <v>0</v>
      </c>
      <c r="T56" s="1682">
        <f t="shared" si="13"/>
        <v>1900</v>
      </c>
    </row>
    <row r="57" spans="2:20" s="283" customFormat="1" ht="13.8" x14ac:dyDescent="0.3">
      <c r="B57" s="758" cm="1">
        <f t="array" ref="B57">IF(active_refi=1,IF(ROW()-ROW($B$24)&lt;=$E$12*$E$13+refi_month,ROW()-ROW($B$24),0),IF(activeloan,IF(L56=0,0,IF(ROW()-ROW($B$24)&lt;=$D$12*$D$13,ROW()-ROW($B$24),0)),0))</f>
        <v>0</v>
      </c>
      <c r="C57" s="759">
        <f t="shared" si="3"/>
        <v>0</v>
      </c>
      <c r="D57" s="760">
        <f t="shared" si="4"/>
        <v>118970</v>
      </c>
      <c r="E57" s="760">
        <f t="shared" si="5"/>
        <v>0</v>
      </c>
      <c r="F57" s="760">
        <f t="shared" si="6"/>
        <v>0</v>
      </c>
      <c r="G57" s="340">
        <v>0</v>
      </c>
      <c r="H57" s="760">
        <f t="shared" si="7"/>
        <v>0</v>
      </c>
      <c r="I57" s="760">
        <f t="shared" si="14"/>
        <v>0</v>
      </c>
      <c r="J57" s="760">
        <f t="shared" si="8"/>
        <v>0</v>
      </c>
      <c r="K57" s="760">
        <f t="shared" si="9"/>
        <v>0</v>
      </c>
      <c r="L57" s="760">
        <f t="shared" si="10"/>
        <v>118970</v>
      </c>
      <c r="M57" s="760">
        <f>IFERROR(IF(L56=0,0,SUM($J$25:J57)),0)</f>
        <v>0</v>
      </c>
      <c r="N57" s="366">
        <f t="shared" si="0"/>
        <v>1.025603448275862</v>
      </c>
      <c r="O57" s="761">
        <f t="shared" si="1"/>
        <v>0</v>
      </c>
      <c r="P57" s="28"/>
      <c r="Q57" s="1681">
        <f t="shared" si="11"/>
        <v>0</v>
      </c>
      <c r="R57" s="1682">
        <f t="shared" si="2"/>
        <v>0</v>
      </c>
      <c r="S57" s="1682">
        <f t="shared" si="12"/>
        <v>0</v>
      </c>
      <c r="T57" s="1682">
        <f t="shared" si="13"/>
        <v>1900</v>
      </c>
    </row>
    <row r="58" spans="2:20" s="283" customFormat="1" ht="13.8" x14ac:dyDescent="0.3">
      <c r="B58" s="758" cm="1">
        <f t="array" ref="B58">IF(active_refi=1,IF(ROW()-ROW($B$24)&lt;=$E$12*$E$13+refi_month,ROW()-ROW($B$24),0),IF(activeloan,IF(L57=0,0,IF(ROW()-ROW($B$24)&lt;=$D$12*$D$13,ROW()-ROW($B$24),0)),0))</f>
        <v>0</v>
      </c>
      <c r="C58" s="759">
        <f t="shared" si="3"/>
        <v>0</v>
      </c>
      <c r="D58" s="760">
        <f t="shared" si="4"/>
        <v>118970</v>
      </c>
      <c r="E58" s="760">
        <f t="shared" si="5"/>
        <v>0</v>
      </c>
      <c r="F58" s="760">
        <f t="shared" si="6"/>
        <v>0</v>
      </c>
      <c r="G58" s="340">
        <v>0</v>
      </c>
      <c r="H58" s="760">
        <f t="shared" si="7"/>
        <v>0</v>
      </c>
      <c r="I58" s="760">
        <f t="shared" si="14"/>
        <v>0</v>
      </c>
      <c r="J58" s="760">
        <f t="shared" si="8"/>
        <v>0</v>
      </c>
      <c r="K58" s="760">
        <f t="shared" si="9"/>
        <v>0</v>
      </c>
      <c r="L58" s="760">
        <f t="shared" si="10"/>
        <v>118970</v>
      </c>
      <c r="M58" s="760">
        <f>IFERROR(IF(L57=0,0,SUM($J$25:J58)),0)</f>
        <v>0</v>
      </c>
      <c r="N58" s="366">
        <f t="shared" si="0"/>
        <v>1.025603448275862</v>
      </c>
      <c r="O58" s="761">
        <f t="shared" si="1"/>
        <v>0</v>
      </c>
      <c r="P58" s="28"/>
      <c r="Q58" s="1681">
        <f t="shared" si="11"/>
        <v>0</v>
      </c>
      <c r="R58" s="1682">
        <f t="shared" si="2"/>
        <v>0</v>
      </c>
      <c r="S58" s="1682">
        <f t="shared" si="12"/>
        <v>0</v>
      </c>
      <c r="T58" s="1682">
        <f t="shared" si="13"/>
        <v>1900</v>
      </c>
    </row>
    <row r="59" spans="2:20" s="283" customFormat="1" ht="13.8" x14ac:dyDescent="0.3">
      <c r="B59" s="758" cm="1">
        <f t="array" ref="B59">IF(active_refi=1,IF(ROW()-ROW($B$24)&lt;=$E$12*$E$13+refi_month,ROW()-ROW($B$24),0),IF(activeloan,IF(L58=0,0,IF(ROW()-ROW($B$24)&lt;=$D$12*$D$13,ROW()-ROW($B$24),0)),0))</f>
        <v>0</v>
      </c>
      <c r="C59" s="759">
        <f t="shared" si="3"/>
        <v>0</v>
      </c>
      <c r="D59" s="760">
        <f t="shared" si="4"/>
        <v>118970</v>
      </c>
      <c r="E59" s="760">
        <f t="shared" si="5"/>
        <v>0</v>
      </c>
      <c r="F59" s="760">
        <f t="shared" si="6"/>
        <v>0</v>
      </c>
      <c r="G59" s="340">
        <v>0</v>
      </c>
      <c r="H59" s="760">
        <f t="shared" si="7"/>
        <v>0</v>
      </c>
      <c r="I59" s="760">
        <f t="shared" si="14"/>
        <v>0</v>
      </c>
      <c r="J59" s="760">
        <f t="shared" si="8"/>
        <v>0</v>
      </c>
      <c r="K59" s="760">
        <f t="shared" si="9"/>
        <v>0</v>
      </c>
      <c r="L59" s="760">
        <f t="shared" si="10"/>
        <v>118970</v>
      </c>
      <c r="M59" s="760">
        <f>IFERROR(IF(L58=0,0,SUM($J$25:J59)),0)</f>
        <v>0</v>
      </c>
      <c r="N59" s="366">
        <f t="shared" si="0"/>
        <v>1.025603448275862</v>
      </c>
      <c r="O59" s="761">
        <f t="shared" si="1"/>
        <v>0</v>
      </c>
      <c r="P59" s="28"/>
      <c r="Q59" s="1681">
        <f t="shared" si="11"/>
        <v>0</v>
      </c>
      <c r="R59" s="1682">
        <f t="shared" si="2"/>
        <v>0</v>
      </c>
      <c r="S59" s="1682">
        <f t="shared" si="12"/>
        <v>0</v>
      </c>
      <c r="T59" s="1682">
        <f t="shared" si="13"/>
        <v>1900</v>
      </c>
    </row>
    <row r="60" spans="2:20" s="283" customFormat="1" ht="13.8" x14ac:dyDescent="0.3">
      <c r="B60" s="758" cm="1">
        <f t="array" ref="B60">IF(active_refi=1,IF(ROW()-ROW($B$24)&lt;=$E$12*$E$13+refi_month,ROW()-ROW($B$24),0),IF(activeloan,IF(L59=0,0,IF(ROW()-ROW($B$24)&lt;=$D$12*$D$13,ROW()-ROW($B$24),0)),0))</f>
        <v>0</v>
      </c>
      <c r="C60" s="759">
        <f t="shared" si="3"/>
        <v>0</v>
      </c>
      <c r="D60" s="760">
        <f t="shared" si="4"/>
        <v>118970</v>
      </c>
      <c r="E60" s="760">
        <f t="shared" si="5"/>
        <v>0</v>
      </c>
      <c r="F60" s="760">
        <f t="shared" si="6"/>
        <v>0</v>
      </c>
      <c r="G60" s="340">
        <v>0</v>
      </c>
      <c r="H60" s="760">
        <f t="shared" si="7"/>
        <v>0</v>
      </c>
      <c r="I60" s="760">
        <f t="shared" si="14"/>
        <v>0</v>
      </c>
      <c r="J60" s="760">
        <f t="shared" si="8"/>
        <v>0</v>
      </c>
      <c r="K60" s="760">
        <f t="shared" si="9"/>
        <v>0</v>
      </c>
      <c r="L60" s="760">
        <f t="shared" si="10"/>
        <v>118970</v>
      </c>
      <c r="M60" s="760">
        <f>IFERROR(IF(L59=0,0,SUM($J$25:J60)),0)</f>
        <v>0</v>
      </c>
      <c r="N60" s="366">
        <f t="shared" si="0"/>
        <v>1.025603448275862</v>
      </c>
      <c r="O60" s="761">
        <f t="shared" si="1"/>
        <v>0</v>
      </c>
      <c r="P60" s="28"/>
      <c r="Q60" s="1681">
        <f t="shared" si="11"/>
        <v>0</v>
      </c>
      <c r="R60" s="1682">
        <f t="shared" si="2"/>
        <v>0</v>
      </c>
      <c r="S60" s="1682">
        <f t="shared" si="12"/>
        <v>0</v>
      </c>
      <c r="T60" s="1682">
        <f t="shared" si="13"/>
        <v>1900</v>
      </c>
    </row>
    <row r="61" spans="2:20" s="283" customFormat="1" ht="13.8" x14ac:dyDescent="0.3">
      <c r="B61" s="758" cm="1">
        <f t="array" ref="B61">IF(active_refi=1,IF(ROW()-ROW($B$24)&lt;=$E$12*$E$13+refi_month,ROW()-ROW($B$24),0),IF(activeloan,IF(L60=0,0,IF(ROW()-ROW($B$24)&lt;=$D$12*$D$13,ROW()-ROW($B$24),0)),0))</f>
        <v>0</v>
      </c>
      <c r="C61" s="759">
        <f t="shared" si="3"/>
        <v>0</v>
      </c>
      <c r="D61" s="760">
        <f t="shared" si="4"/>
        <v>118970</v>
      </c>
      <c r="E61" s="760">
        <f t="shared" si="5"/>
        <v>0</v>
      </c>
      <c r="F61" s="760">
        <f t="shared" si="6"/>
        <v>0</v>
      </c>
      <c r="G61" s="340">
        <v>0</v>
      </c>
      <c r="H61" s="760">
        <f t="shared" si="7"/>
        <v>0</v>
      </c>
      <c r="I61" s="760">
        <f t="shared" si="14"/>
        <v>0</v>
      </c>
      <c r="J61" s="760">
        <f t="shared" si="8"/>
        <v>0</v>
      </c>
      <c r="K61" s="760">
        <f t="shared" si="9"/>
        <v>0</v>
      </c>
      <c r="L61" s="760">
        <f t="shared" si="10"/>
        <v>118970</v>
      </c>
      <c r="M61" s="760">
        <f>IFERROR(IF(L60=0,0,SUM($J$25:J61)),0)</f>
        <v>0</v>
      </c>
      <c r="N61" s="366">
        <f t="shared" si="0"/>
        <v>1.025603448275862</v>
      </c>
      <c r="O61" s="761">
        <f t="shared" si="1"/>
        <v>0</v>
      </c>
      <c r="P61" s="28"/>
      <c r="Q61" s="1681">
        <f t="shared" si="11"/>
        <v>0</v>
      </c>
      <c r="R61" s="1682">
        <f t="shared" si="2"/>
        <v>0</v>
      </c>
      <c r="S61" s="1682">
        <f t="shared" si="12"/>
        <v>0</v>
      </c>
      <c r="T61" s="1682">
        <f t="shared" si="13"/>
        <v>1900</v>
      </c>
    </row>
    <row r="62" spans="2:20" s="283" customFormat="1" ht="13.8" x14ac:dyDescent="0.3">
      <c r="B62" s="758" cm="1">
        <f t="array" ref="B62">IF(active_refi=1,IF(ROW()-ROW($B$24)&lt;=$E$12*$E$13+refi_month,ROW()-ROW($B$24),0),IF(activeloan,IF(L61=0,0,IF(ROW()-ROW($B$24)&lt;=$D$12*$D$13,ROW()-ROW($B$24),0)),0))</f>
        <v>0</v>
      </c>
      <c r="C62" s="759">
        <f t="shared" si="3"/>
        <v>0</v>
      </c>
      <c r="D62" s="760">
        <f t="shared" si="4"/>
        <v>118970</v>
      </c>
      <c r="E62" s="760">
        <f t="shared" si="5"/>
        <v>0</v>
      </c>
      <c r="F62" s="760">
        <f t="shared" si="6"/>
        <v>0</v>
      </c>
      <c r="G62" s="340">
        <v>0</v>
      </c>
      <c r="H62" s="760">
        <f t="shared" si="7"/>
        <v>0</v>
      </c>
      <c r="I62" s="760">
        <f t="shared" si="14"/>
        <v>0</v>
      </c>
      <c r="J62" s="760">
        <f t="shared" si="8"/>
        <v>0</v>
      </c>
      <c r="K62" s="760">
        <f t="shared" si="9"/>
        <v>0</v>
      </c>
      <c r="L62" s="760">
        <f t="shared" si="10"/>
        <v>118970</v>
      </c>
      <c r="M62" s="760">
        <f>IFERROR(IF(L61=0,0,SUM($J$25:J62)),0)</f>
        <v>0</v>
      </c>
      <c r="N62" s="366">
        <f t="shared" si="0"/>
        <v>1.025603448275862</v>
      </c>
      <c r="O62" s="761">
        <f t="shared" si="1"/>
        <v>0</v>
      </c>
      <c r="P62" s="28"/>
      <c r="Q62" s="1681">
        <f t="shared" si="11"/>
        <v>0</v>
      </c>
      <c r="R62" s="1682">
        <f t="shared" si="2"/>
        <v>0</v>
      </c>
      <c r="S62" s="1682">
        <f t="shared" si="12"/>
        <v>0</v>
      </c>
      <c r="T62" s="1682">
        <f t="shared" si="13"/>
        <v>1900</v>
      </c>
    </row>
    <row r="63" spans="2:20" s="283" customFormat="1" ht="13.8" x14ac:dyDescent="0.3">
      <c r="B63" s="758" cm="1">
        <f t="array" ref="B63">IF(active_refi=1,IF(ROW()-ROW($B$24)&lt;=$E$12*$E$13+refi_month,ROW()-ROW($B$24),0),IF(activeloan,IF(L62=0,0,IF(ROW()-ROW($B$24)&lt;=$D$12*$D$13,ROW()-ROW($B$24),0)),0))</f>
        <v>0</v>
      </c>
      <c r="C63" s="759">
        <f t="shared" si="3"/>
        <v>0</v>
      </c>
      <c r="D63" s="760">
        <f t="shared" si="4"/>
        <v>118970</v>
      </c>
      <c r="E63" s="760">
        <f t="shared" si="5"/>
        <v>0</v>
      </c>
      <c r="F63" s="760">
        <f t="shared" si="6"/>
        <v>0</v>
      </c>
      <c r="G63" s="340">
        <v>0</v>
      </c>
      <c r="H63" s="760">
        <f t="shared" si="7"/>
        <v>0</v>
      </c>
      <c r="I63" s="760">
        <f t="shared" si="14"/>
        <v>0</v>
      </c>
      <c r="J63" s="760">
        <f t="shared" si="8"/>
        <v>0</v>
      </c>
      <c r="K63" s="760">
        <f t="shared" si="9"/>
        <v>0</v>
      </c>
      <c r="L63" s="760">
        <f t="shared" si="10"/>
        <v>118970</v>
      </c>
      <c r="M63" s="760">
        <f>IFERROR(IF(L62=0,0,SUM($J$25:J63)),0)</f>
        <v>0</v>
      </c>
      <c r="N63" s="366">
        <f t="shared" si="0"/>
        <v>1.025603448275862</v>
      </c>
      <c r="O63" s="761">
        <f t="shared" si="1"/>
        <v>0</v>
      </c>
      <c r="P63" s="28"/>
      <c r="Q63" s="1681">
        <f t="shared" si="11"/>
        <v>0</v>
      </c>
      <c r="R63" s="1682">
        <f t="shared" si="2"/>
        <v>0</v>
      </c>
      <c r="S63" s="1682">
        <f t="shared" si="12"/>
        <v>0</v>
      </c>
      <c r="T63" s="1682">
        <f t="shared" si="13"/>
        <v>1900</v>
      </c>
    </row>
    <row r="64" spans="2:20" s="283" customFormat="1" ht="13.8" x14ac:dyDescent="0.3">
      <c r="B64" s="758" cm="1">
        <f t="array" ref="B64">IF(active_refi=1,IF(ROW()-ROW($B$24)&lt;=$E$12*$E$13+refi_month,ROW()-ROW($B$24),0),IF(activeloan,IF(L63=0,0,IF(ROW()-ROW($B$24)&lt;=$D$12*$D$13,ROW()-ROW($B$24),0)),0))</f>
        <v>0</v>
      </c>
      <c r="C64" s="759">
        <f t="shared" si="3"/>
        <v>0</v>
      </c>
      <c r="D64" s="760">
        <f t="shared" si="4"/>
        <v>118970</v>
      </c>
      <c r="E64" s="760">
        <f t="shared" si="5"/>
        <v>0</v>
      </c>
      <c r="F64" s="760">
        <f t="shared" si="6"/>
        <v>0</v>
      </c>
      <c r="G64" s="340">
        <v>0</v>
      </c>
      <c r="H64" s="760">
        <f t="shared" si="7"/>
        <v>0</v>
      </c>
      <c r="I64" s="760">
        <f t="shared" si="14"/>
        <v>0</v>
      </c>
      <c r="J64" s="760">
        <f t="shared" si="8"/>
        <v>0</v>
      </c>
      <c r="K64" s="760">
        <f t="shared" si="9"/>
        <v>0</v>
      </c>
      <c r="L64" s="760">
        <f t="shared" si="10"/>
        <v>118970</v>
      </c>
      <c r="M64" s="760">
        <f>IFERROR(IF(L63=0,0,SUM($J$25:J64)),0)</f>
        <v>0</v>
      </c>
      <c r="N64" s="366">
        <f t="shared" si="0"/>
        <v>1.025603448275862</v>
      </c>
      <c r="O64" s="761">
        <f t="shared" si="1"/>
        <v>0</v>
      </c>
      <c r="P64" s="28"/>
      <c r="Q64" s="1681">
        <f t="shared" si="11"/>
        <v>0</v>
      </c>
      <c r="R64" s="1682">
        <f t="shared" si="2"/>
        <v>0</v>
      </c>
      <c r="S64" s="1682">
        <f t="shared" si="12"/>
        <v>0</v>
      </c>
      <c r="T64" s="1682">
        <f t="shared" si="13"/>
        <v>1900</v>
      </c>
    </row>
    <row r="65" spans="2:20" s="283" customFormat="1" ht="13.8" x14ac:dyDescent="0.3">
      <c r="B65" s="758" cm="1">
        <f t="array" ref="B65">IF(active_refi=1,IF(ROW()-ROW($B$24)&lt;=$E$12*$E$13+refi_month,ROW()-ROW($B$24),0),IF(activeloan,IF(L64=0,0,IF(ROW()-ROW($B$24)&lt;=$D$12*$D$13,ROW()-ROW($B$24),0)),0))</f>
        <v>0</v>
      </c>
      <c r="C65" s="759">
        <f t="shared" si="3"/>
        <v>0</v>
      </c>
      <c r="D65" s="760">
        <f t="shared" si="4"/>
        <v>118970</v>
      </c>
      <c r="E65" s="760">
        <f t="shared" si="5"/>
        <v>0</v>
      </c>
      <c r="F65" s="760">
        <f t="shared" si="6"/>
        <v>0</v>
      </c>
      <c r="G65" s="340">
        <v>0</v>
      </c>
      <c r="H65" s="760">
        <f t="shared" si="7"/>
        <v>0</v>
      </c>
      <c r="I65" s="760">
        <f t="shared" si="14"/>
        <v>0</v>
      </c>
      <c r="J65" s="760">
        <f t="shared" si="8"/>
        <v>0</v>
      </c>
      <c r="K65" s="760">
        <f t="shared" si="9"/>
        <v>0</v>
      </c>
      <c r="L65" s="760">
        <f t="shared" si="10"/>
        <v>118970</v>
      </c>
      <c r="M65" s="760">
        <f>IFERROR(IF(L64=0,0,SUM($J$25:J65)),0)</f>
        <v>0</v>
      </c>
      <c r="N65" s="366">
        <f t="shared" si="0"/>
        <v>1.025603448275862</v>
      </c>
      <c r="O65" s="761">
        <f t="shared" si="1"/>
        <v>0</v>
      </c>
      <c r="P65" s="28"/>
      <c r="Q65" s="1681">
        <f t="shared" si="11"/>
        <v>0</v>
      </c>
      <c r="R65" s="1682">
        <f t="shared" si="2"/>
        <v>0</v>
      </c>
      <c r="S65" s="1682">
        <f t="shared" si="12"/>
        <v>0</v>
      </c>
      <c r="T65" s="1682">
        <f t="shared" si="13"/>
        <v>1900</v>
      </c>
    </row>
    <row r="66" spans="2:20" s="283" customFormat="1" ht="13.8" x14ac:dyDescent="0.3">
      <c r="B66" s="758" cm="1">
        <f t="array" ref="B66">IF(active_refi=1,IF(ROW()-ROW($B$24)&lt;=$E$12*$E$13+refi_month,ROW()-ROW($B$24),0),IF(activeloan,IF(L65=0,0,IF(ROW()-ROW($B$24)&lt;=$D$12*$D$13,ROW()-ROW($B$24),0)),0))</f>
        <v>0</v>
      </c>
      <c r="C66" s="759">
        <f t="shared" si="3"/>
        <v>0</v>
      </c>
      <c r="D66" s="760">
        <f t="shared" si="4"/>
        <v>118970</v>
      </c>
      <c r="E66" s="760">
        <f t="shared" si="5"/>
        <v>0</v>
      </c>
      <c r="F66" s="760">
        <f t="shared" si="6"/>
        <v>0</v>
      </c>
      <c r="G66" s="340">
        <v>0</v>
      </c>
      <c r="H66" s="760">
        <f t="shared" si="7"/>
        <v>0</v>
      </c>
      <c r="I66" s="760">
        <f t="shared" si="14"/>
        <v>0</v>
      </c>
      <c r="J66" s="760">
        <f t="shared" si="8"/>
        <v>0</v>
      </c>
      <c r="K66" s="760">
        <f t="shared" si="9"/>
        <v>0</v>
      </c>
      <c r="L66" s="760">
        <f t="shared" si="10"/>
        <v>118970</v>
      </c>
      <c r="M66" s="760">
        <f>IFERROR(IF(L65=0,0,SUM($J$25:J66)),0)</f>
        <v>0</v>
      </c>
      <c r="N66" s="366">
        <f t="shared" si="0"/>
        <v>1.025603448275862</v>
      </c>
      <c r="O66" s="761">
        <f t="shared" si="1"/>
        <v>0</v>
      </c>
      <c r="P66" s="28"/>
      <c r="Q66" s="1681">
        <f t="shared" si="11"/>
        <v>0</v>
      </c>
      <c r="R66" s="1682">
        <f t="shared" si="2"/>
        <v>0</v>
      </c>
      <c r="S66" s="1682">
        <f t="shared" si="12"/>
        <v>0</v>
      </c>
      <c r="T66" s="1682">
        <f t="shared" si="13"/>
        <v>1900</v>
      </c>
    </row>
    <row r="67" spans="2:20" s="283" customFormat="1" ht="13.8" x14ac:dyDescent="0.3">
      <c r="B67" s="758" cm="1">
        <f t="array" ref="B67">IF(active_refi=1,IF(ROW()-ROW($B$24)&lt;=$E$12*$E$13+refi_month,ROW()-ROW($B$24),0),IF(activeloan,IF(L66=0,0,IF(ROW()-ROW($B$24)&lt;=$D$12*$D$13,ROW()-ROW($B$24),0)),0))</f>
        <v>0</v>
      </c>
      <c r="C67" s="759">
        <f t="shared" si="3"/>
        <v>0</v>
      </c>
      <c r="D67" s="760">
        <f t="shared" si="4"/>
        <v>118970</v>
      </c>
      <c r="E67" s="760">
        <f t="shared" si="5"/>
        <v>0</v>
      </c>
      <c r="F67" s="760">
        <f t="shared" si="6"/>
        <v>0</v>
      </c>
      <c r="G67" s="340">
        <v>0</v>
      </c>
      <c r="H67" s="760">
        <f t="shared" si="7"/>
        <v>0</v>
      </c>
      <c r="I67" s="760">
        <f t="shared" si="14"/>
        <v>0</v>
      </c>
      <c r="J67" s="760">
        <f t="shared" si="8"/>
        <v>0</v>
      </c>
      <c r="K67" s="760">
        <f t="shared" si="9"/>
        <v>0</v>
      </c>
      <c r="L67" s="760">
        <f t="shared" si="10"/>
        <v>118970</v>
      </c>
      <c r="M67" s="760">
        <f>IFERROR(IF(L66=0,0,SUM($J$25:J67)),0)</f>
        <v>0</v>
      </c>
      <c r="N67" s="366">
        <f t="shared" si="0"/>
        <v>1.025603448275862</v>
      </c>
      <c r="O67" s="761">
        <f t="shared" si="1"/>
        <v>0</v>
      </c>
      <c r="P67" s="28"/>
      <c r="Q67" s="1681">
        <f t="shared" si="11"/>
        <v>0</v>
      </c>
      <c r="R67" s="1682">
        <f t="shared" si="2"/>
        <v>0</v>
      </c>
      <c r="S67" s="1682">
        <f t="shared" si="12"/>
        <v>0</v>
      </c>
      <c r="T67" s="1682">
        <f t="shared" si="13"/>
        <v>1900</v>
      </c>
    </row>
    <row r="68" spans="2:20" s="283" customFormat="1" ht="13.8" x14ac:dyDescent="0.3">
      <c r="B68" s="758" cm="1">
        <f t="array" ref="B68">IF(active_refi=1,IF(ROW()-ROW($B$24)&lt;=$E$12*$E$13+refi_month,ROW()-ROW($B$24),0),IF(activeloan,IF(L67=0,0,IF(ROW()-ROW($B$24)&lt;=$D$12*$D$13,ROW()-ROW($B$24),0)),0))</f>
        <v>0</v>
      </c>
      <c r="C68" s="759">
        <f t="shared" si="3"/>
        <v>0</v>
      </c>
      <c r="D68" s="760">
        <f t="shared" si="4"/>
        <v>118970</v>
      </c>
      <c r="E68" s="760">
        <f t="shared" si="5"/>
        <v>0</v>
      </c>
      <c r="F68" s="760">
        <f t="shared" si="6"/>
        <v>0</v>
      </c>
      <c r="G68" s="340">
        <v>0</v>
      </c>
      <c r="H68" s="760">
        <f t="shared" si="7"/>
        <v>0</v>
      </c>
      <c r="I68" s="760">
        <f t="shared" si="14"/>
        <v>0</v>
      </c>
      <c r="J68" s="760">
        <f t="shared" si="8"/>
        <v>0</v>
      </c>
      <c r="K68" s="760">
        <f t="shared" si="9"/>
        <v>0</v>
      </c>
      <c r="L68" s="760">
        <f t="shared" si="10"/>
        <v>118970</v>
      </c>
      <c r="M68" s="760">
        <f>IFERROR(IF(L67=0,0,SUM($J$25:J68)),0)</f>
        <v>0</v>
      </c>
      <c r="N68" s="366">
        <f t="shared" si="0"/>
        <v>1.025603448275862</v>
      </c>
      <c r="O68" s="761">
        <f t="shared" si="1"/>
        <v>0</v>
      </c>
      <c r="P68" s="28"/>
      <c r="Q68" s="1681">
        <f t="shared" si="11"/>
        <v>0</v>
      </c>
      <c r="R68" s="1682">
        <f t="shared" si="2"/>
        <v>0</v>
      </c>
      <c r="S68" s="1682">
        <f t="shared" si="12"/>
        <v>0</v>
      </c>
      <c r="T68" s="1682">
        <f t="shared" si="13"/>
        <v>1900</v>
      </c>
    </row>
    <row r="69" spans="2:20" s="283" customFormat="1" ht="13.8" x14ac:dyDescent="0.3">
      <c r="B69" s="758" cm="1">
        <f t="array" ref="B69">IF(active_refi=1,IF(ROW()-ROW($B$24)&lt;=$E$12*$E$13+refi_month,ROW()-ROW($B$24),0),IF(activeloan,IF(L68=0,0,IF(ROW()-ROW($B$24)&lt;=$D$12*$D$13,ROW()-ROW($B$24),0)),0))</f>
        <v>0</v>
      </c>
      <c r="C69" s="759">
        <f t="shared" si="3"/>
        <v>0</v>
      </c>
      <c r="D69" s="760">
        <f t="shared" si="4"/>
        <v>118970</v>
      </c>
      <c r="E69" s="760">
        <f t="shared" si="5"/>
        <v>0</v>
      </c>
      <c r="F69" s="760">
        <f t="shared" si="6"/>
        <v>0</v>
      </c>
      <c r="G69" s="340">
        <v>0</v>
      </c>
      <c r="H69" s="760">
        <f t="shared" si="7"/>
        <v>0</v>
      </c>
      <c r="I69" s="760">
        <f t="shared" si="14"/>
        <v>0</v>
      </c>
      <c r="J69" s="760">
        <f t="shared" si="8"/>
        <v>0</v>
      </c>
      <c r="K69" s="760">
        <f t="shared" si="9"/>
        <v>0</v>
      </c>
      <c r="L69" s="760">
        <f t="shared" si="10"/>
        <v>118970</v>
      </c>
      <c r="M69" s="760">
        <f>IFERROR(IF(L68=0,0,SUM($J$25:J69)),0)</f>
        <v>0</v>
      </c>
      <c r="N69" s="366">
        <f t="shared" si="0"/>
        <v>1.025603448275862</v>
      </c>
      <c r="O69" s="761">
        <f t="shared" si="1"/>
        <v>0</v>
      </c>
      <c r="P69" s="28"/>
      <c r="Q69" s="1681">
        <f t="shared" si="11"/>
        <v>0</v>
      </c>
      <c r="R69" s="1682">
        <f t="shared" si="2"/>
        <v>0</v>
      </c>
      <c r="S69" s="1682">
        <f t="shared" si="12"/>
        <v>0</v>
      </c>
      <c r="T69" s="1682">
        <f t="shared" si="13"/>
        <v>1900</v>
      </c>
    </row>
    <row r="70" spans="2:20" s="283" customFormat="1" ht="13.8" x14ac:dyDescent="0.3">
      <c r="B70" s="758" cm="1">
        <f t="array" ref="B70">IF(active_refi=1,IF(ROW()-ROW($B$24)&lt;=$E$12*$E$13+refi_month,ROW()-ROW($B$24),0),IF(activeloan,IF(L69=0,0,IF(ROW()-ROW($B$24)&lt;=$D$12*$D$13,ROW()-ROW($B$24),0)),0))</f>
        <v>0</v>
      </c>
      <c r="C70" s="759">
        <f t="shared" si="3"/>
        <v>0</v>
      </c>
      <c r="D70" s="760">
        <f t="shared" si="4"/>
        <v>118970</v>
      </c>
      <c r="E70" s="760">
        <f t="shared" si="5"/>
        <v>0</v>
      </c>
      <c r="F70" s="760">
        <f t="shared" si="6"/>
        <v>0</v>
      </c>
      <c r="G70" s="340">
        <v>0</v>
      </c>
      <c r="H70" s="760">
        <f t="shared" si="7"/>
        <v>0</v>
      </c>
      <c r="I70" s="760">
        <f t="shared" si="14"/>
        <v>0</v>
      </c>
      <c r="J70" s="760">
        <f t="shared" si="8"/>
        <v>0</v>
      </c>
      <c r="K70" s="760">
        <f t="shared" si="9"/>
        <v>0</v>
      </c>
      <c r="L70" s="760">
        <f t="shared" si="10"/>
        <v>118970</v>
      </c>
      <c r="M70" s="760">
        <f>IFERROR(IF(L69=0,0,SUM($J$25:J70)),0)</f>
        <v>0</v>
      </c>
      <c r="N70" s="366">
        <f t="shared" si="0"/>
        <v>1.025603448275862</v>
      </c>
      <c r="O70" s="761">
        <f t="shared" si="1"/>
        <v>0</v>
      </c>
      <c r="P70" s="28"/>
      <c r="Q70" s="1681">
        <f t="shared" si="11"/>
        <v>0</v>
      </c>
      <c r="R70" s="1682">
        <f t="shared" si="2"/>
        <v>0</v>
      </c>
      <c r="S70" s="1682">
        <f t="shared" si="12"/>
        <v>0</v>
      </c>
      <c r="T70" s="1682">
        <f t="shared" si="13"/>
        <v>1900</v>
      </c>
    </row>
    <row r="71" spans="2:20" s="283" customFormat="1" ht="13.8" x14ac:dyDescent="0.3">
      <c r="B71" s="758" cm="1">
        <f t="array" ref="B71">IF(active_refi=1,IF(ROW()-ROW($B$24)&lt;=$E$12*$E$13+refi_month,ROW()-ROW($B$24),0),IF(activeloan,IF(L70=0,0,IF(ROW()-ROW($B$24)&lt;=$D$12*$D$13,ROW()-ROW($B$24),0)),0))</f>
        <v>0</v>
      </c>
      <c r="C71" s="759">
        <f t="shared" si="3"/>
        <v>0</v>
      </c>
      <c r="D71" s="760">
        <f t="shared" si="4"/>
        <v>118970</v>
      </c>
      <c r="E71" s="760">
        <f t="shared" si="5"/>
        <v>0</v>
      </c>
      <c r="F71" s="760">
        <f t="shared" si="6"/>
        <v>0</v>
      </c>
      <c r="G71" s="340">
        <v>0</v>
      </c>
      <c r="H71" s="760">
        <f t="shared" si="7"/>
        <v>0</v>
      </c>
      <c r="I71" s="760">
        <f t="shared" si="14"/>
        <v>0</v>
      </c>
      <c r="J71" s="760">
        <f t="shared" si="8"/>
        <v>0</v>
      </c>
      <c r="K71" s="760">
        <f t="shared" si="9"/>
        <v>0</v>
      </c>
      <c r="L71" s="760">
        <f t="shared" si="10"/>
        <v>118970</v>
      </c>
      <c r="M71" s="760">
        <f>IFERROR(IF(L70=0,0,SUM($J$25:J71)),0)</f>
        <v>0</v>
      </c>
      <c r="N71" s="366">
        <f t="shared" si="0"/>
        <v>1.025603448275862</v>
      </c>
      <c r="O71" s="761">
        <f t="shared" si="1"/>
        <v>0</v>
      </c>
      <c r="P71" s="28"/>
      <c r="Q71" s="1681">
        <f t="shared" si="11"/>
        <v>0</v>
      </c>
      <c r="R71" s="1682">
        <f t="shared" si="2"/>
        <v>0</v>
      </c>
      <c r="S71" s="1682">
        <f t="shared" si="12"/>
        <v>0</v>
      </c>
      <c r="T71" s="1682">
        <f t="shared" si="13"/>
        <v>1900</v>
      </c>
    </row>
    <row r="72" spans="2:20" s="283" customFormat="1" ht="13.8" x14ac:dyDescent="0.3">
      <c r="B72" s="758" cm="1">
        <f t="array" ref="B72">IF(active_refi=1,IF(ROW()-ROW($B$24)&lt;=$E$12*$E$13+refi_month,ROW()-ROW($B$24),0),IF(activeloan,IF(L71=0,0,IF(ROW()-ROW($B$24)&lt;=$D$12*$D$13,ROW()-ROW($B$24),0)),0))</f>
        <v>0</v>
      </c>
      <c r="C72" s="759">
        <f t="shared" si="3"/>
        <v>0</v>
      </c>
      <c r="D72" s="760">
        <f t="shared" si="4"/>
        <v>118970</v>
      </c>
      <c r="E72" s="760">
        <f t="shared" si="5"/>
        <v>0</v>
      </c>
      <c r="F72" s="760">
        <f t="shared" si="6"/>
        <v>0</v>
      </c>
      <c r="G72" s="340">
        <v>0</v>
      </c>
      <c r="H72" s="760">
        <f t="shared" si="7"/>
        <v>0</v>
      </c>
      <c r="I72" s="760">
        <f t="shared" si="14"/>
        <v>0</v>
      </c>
      <c r="J72" s="760">
        <f t="shared" si="8"/>
        <v>0</v>
      </c>
      <c r="K72" s="760">
        <f t="shared" si="9"/>
        <v>0</v>
      </c>
      <c r="L72" s="760">
        <f t="shared" si="10"/>
        <v>118970</v>
      </c>
      <c r="M72" s="760">
        <f>IFERROR(IF(L71=0,0,SUM($J$25:J72)),0)</f>
        <v>0</v>
      </c>
      <c r="N72" s="366">
        <f t="shared" si="0"/>
        <v>1.025603448275862</v>
      </c>
      <c r="O72" s="761">
        <f t="shared" si="1"/>
        <v>0</v>
      </c>
      <c r="P72" s="28"/>
      <c r="Q72" s="1681">
        <f t="shared" si="11"/>
        <v>0</v>
      </c>
      <c r="R72" s="1682">
        <f t="shared" si="2"/>
        <v>0</v>
      </c>
      <c r="S72" s="1682">
        <f t="shared" si="12"/>
        <v>0</v>
      </c>
      <c r="T72" s="1682">
        <f t="shared" si="13"/>
        <v>1900</v>
      </c>
    </row>
    <row r="73" spans="2:20" s="283" customFormat="1" ht="13.8" x14ac:dyDescent="0.3">
      <c r="B73" s="758" cm="1">
        <f t="array" ref="B73">IF(active_refi=1,IF(ROW()-ROW($B$24)&lt;=$E$12*$E$13+refi_month,ROW()-ROW($B$24),0),IF(activeloan,IF(L72=0,0,IF(ROW()-ROW($B$24)&lt;=$D$12*$D$13,ROW()-ROW($B$24),0)),0))</f>
        <v>0</v>
      </c>
      <c r="C73" s="759">
        <f t="shared" si="3"/>
        <v>0</v>
      </c>
      <c r="D73" s="760">
        <f t="shared" si="4"/>
        <v>118970</v>
      </c>
      <c r="E73" s="760">
        <f t="shared" si="5"/>
        <v>0</v>
      </c>
      <c r="F73" s="760">
        <f t="shared" si="6"/>
        <v>0</v>
      </c>
      <c r="G73" s="340">
        <v>0</v>
      </c>
      <c r="H73" s="760">
        <f t="shared" si="7"/>
        <v>0</v>
      </c>
      <c r="I73" s="760">
        <f t="shared" si="14"/>
        <v>0</v>
      </c>
      <c r="J73" s="760">
        <f t="shared" si="8"/>
        <v>0</v>
      </c>
      <c r="K73" s="760">
        <f t="shared" si="9"/>
        <v>0</v>
      </c>
      <c r="L73" s="760">
        <f t="shared" si="10"/>
        <v>118970</v>
      </c>
      <c r="M73" s="760">
        <f>IFERROR(IF(L72=0,0,SUM($J$25:J73)),0)</f>
        <v>0</v>
      </c>
      <c r="N73" s="366">
        <f t="shared" si="0"/>
        <v>1.025603448275862</v>
      </c>
      <c r="O73" s="761">
        <f t="shared" si="1"/>
        <v>0</v>
      </c>
      <c r="P73" s="28"/>
      <c r="Q73" s="1681">
        <f t="shared" si="11"/>
        <v>0</v>
      </c>
      <c r="R73" s="1682">
        <f t="shared" si="2"/>
        <v>0</v>
      </c>
      <c r="S73" s="1682">
        <f t="shared" si="12"/>
        <v>0</v>
      </c>
      <c r="T73" s="1682">
        <f t="shared" si="13"/>
        <v>1900</v>
      </c>
    </row>
    <row r="74" spans="2:20" s="283" customFormat="1" ht="13.8" x14ac:dyDescent="0.3">
      <c r="B74" s="758" cm="1">
        <f t="array" ref="B74">IF(active_refi=1,IF(ROW()-ROW($B$24)&lt;=$E$12*$E$13+refi_month,ROW()-ROW($B$24),0),IF(activeloan,IF(L73=0,0,IF(ROW()-ROW($B$24)&lt;=$D$12*$D$13,ROW()-ROW($B$24),0)),0))</f>
        <v>0</v>
      </c>
      <c r="C74" s="759">
        <f t="shared" si="3"/>
        <v>0</v>
      </c>
      <c r="D74" s="760">
        <f t="shared" si="4"/>
        <v>118970</v>
      </c>
      <c r="E74" s="760">
        <f t="shared" si="5"/>
        <v>0</v>
      </c>
      <c r="F74" s="760">
        <f t="shared" si="6"/>
        <v>0</v>
      </c>
      <c r="G74" s="340">
        <v>0</v>
      </c>
      <c r="H74" s="760">
        <f t="shared" si="7"/>
        <v>0</v>
      </c>
      <c r="I74" s="760">
        <f t="shared" si="14"/>
        <v>0</v>
      </c>
      <c r="J74" s="760">
        <f t="shared" si="8"/>
        <v>0</v>
      </c>
      <c r="K74" s="760">
        <f t="shared" si="9"/>
        <v>0</v>
      </c>
      <c r="L74" s="760">
        <f t="shared" si="10"/>
        <v>118970</v>
      </c>
      <c r="M74" s="760">
        <f>IFERROR(IF(L73=0,0,SUM($J$25:J74)),0)</f>
        <v>0</v>
      </c>
      <c r="N74" s="366">
        <f t="shared" si="0"/>
        <v>1.025603448275862</v>
      </c>
      <c r="O74" s="761">
        <f t="shared" si="1"/>
        <v>0</v>
      </c>
      <c r="P74" s="28"/>
      <c r="Q74" s="1681">
        <f t="shared" si="11"/>
        <v>0</v>
      </c>
      <c r="R74" s="1682">
        <f t="shared" si="2"/>
        <v>0</v>
      </c>
      <c r="S74" s="1682">
        <f t="shared" si="12"/>
        <v>0</v>
      </c>
      <c r="T74" s="1682">
        <f t="shared" si="13"/>
        <v>1900</v>
      </c>
    </row>
    <row r="75" spans="2:20" s="283" customFormat="1" ht="13.8" x14ac:dyDescent="0.3">
      <c r="B75" s="758" cm="1">
        <f t="array" ref="B75">IF(active_refi=1,IF(ROW()-ROW($B$24)&lt;=$E$12*$E$13+refi_month,ROW()-ROW($B$24),0),IF(activeloan,IF(L74=0,0,IF(ROW()-ROW($B$24)&lt;=$D$12*$D$13,ROW()-ROW($B$24),0)),0))</f>
        <v>0</v>
      </c>
      <c r="C75" s="759">
        <f t="shared" si="3"/>
        <v>0</v>
      </c>
      <c r="D75" s="760">
        <f t="shared" si="4"/>
        <v>118970</v>
      </c>
      <c r="E75" s="760">
        <f t="shared" si="5"/>
        <v>0</v>
      </c>
      <c r="F75" s="760">
        <f t="shared" si="6"/>
        <v>0</v>
      </c>
      <c r="G75" s="340">
        <v>0</v>
      </c>
      <c r="H75" s="760">
        <f t="shared" si="7"/>
        <v>0</v>
      </c>
      <c r="I75" s="760">
        <f t="shared" si="14"/>
        <v>0</v>
      </c>
      <c r="J75" s="760">
        <f t="shared" si="8"/>
        <v>0</v>
      </c>
      <c r="K75" s="760">
        <f t="shared" si="9"/>
        <v>0</v>
      </c>
      <c r="L75" s="760">
        <f t="shared" si="10"/>
        <v>118970</v>
      </c>
      <c r="M75" s="760">
        <f>IFERROR(IF(L74=0,0,SUM($J$25:J75)),0)</f>
        <v>0</v>
      </c>
      <c r="N75" s="366">
        <f t="shared" si="0"/>
        <v>1.025603448275862</v>
      </c>
      <c r="O75" s="761">
        <f t="shared" si="1"/>
        <v>0</v>
      </c>
      <c r="P75" s="28"/>
      <c r="Q75" s="1681">
        <f t="shared" si="11"/>
        <v>0</v>
      </c>
      <c r="R75" s="1682">
        <f t="shared" si="2"/>
        <v>0</v>
      </c>
      <c r="S75" s="1682">
        <f t="shared" si="12"/>
        <v>0</v>
      </c>
      <c r="T75" s="1682">
        <f t="shared" si="13"/>
        <v>1900</v>
      </c>
    </row>
    <row r="76" spans="2:20" s="283" customFormat="1" ht="13.8" x14ac:dyDescent="0.3">
      <c r="B76" s="758" cm="1">
        <f t="array" ref="B76">IF(active_refi=1,IF(ROW()-ROW($B$24)&lt;=$E$12*$E$13+refi_month,ROW()-ROW($B$24),0),IF(activeloan,IF(L75=0,0,IF(ROW()-ROW($B$24)&lt;=$D$12*$D$13,ROW()-ROW($B$24),0)),0))</f>
        <v>0</v>
      </c>
      <c r="C76" s="759">
        <f t="shared" si="3"/>
        <v>0</v>
      </c>
      <c r="D76" s="760">
        <f t="shared" si="4"/>
        <v>118970</v>
      </c>
      <c r="E76" s="760">
        <f t="shared" si="5"/>
        <v>0</v>
      </c>
      <c r="F76" s="760">
        <f t="shared" si="6"/>
        <v>0</v>
      </c>
      <c r="G76" s="340">
        <v>0</v>
      </c>
      <c r="H76" s="760">
        <f t="shared" si="7"/>
        <v>0</v>
      </c>
      <c r="I76" s="760">
        <f t="shared" si="14"/>
        <v>0</v>
      </c>
      <c r="J76" s="760">
        <f t="shared" si="8"/>
        <v>0</v>
      </c>
      <c r="K76" s="760">
        <f t="shared" si="9"/>
        <v>0</v>
      </c>
      <c r="L76" s="760">
        <f t="shared" si="10"/>
        <v>118970</v>
      </c>
      <c r="M76" s="760">
        <f>IFERROR(IF(L75=0,0,SUM($J$25:J76)),0)</f>
        <v>0</v>
      </c>
      <c r="N76" s="366">
        <f t="shared" si="0"/>
        <v>1.025603448275862</v>
      </c>
      <c r="O76" s="761">
        <f t="shared" si="1"/>
        <v>0</v>
      </c>
      <c r="P76" s="28"/>
      <c r="Q76" s="1681">
        <f t="shared" si="11"/>
        <v>0</v>
      </c>
      <c r="R76" s="1682">
        <f t="shared" si="2"/>
        <v>0</v>
      </c>
      <c r="S76" s="1682">
        <f t="shared" si="12"/>
        <v>0</v>
      </c>
      <c r="T76" s="1682">
        <f t="shared" si="13"/>
        <v>1900</v>
      </c>
    </row>
    <row r="77" spans="2:20" s="283" customFormat="1" ht="13.8" x14ac:dyDescent="0.3">
      <c r="B77" s="758" cm="1">
        <f t="array" ref="B77">IF(active_refi=1,IF(ROW()-ROW($B$24)&lt;=$E$12*$E$13+refi_month,ROW()-ROW($B$24),0),IF(activeloan,IF(L76=0,0,IF(ROW()-ROW($B$24)&lt;=$D$12*$D$13,ROW()-ROW($B$24),0)),0))</f>
        <v>0</v>
      </c>
      <c r="C77" s="759">
        <f t="shared" si="3"/>
        <v>0</v>
      </c>
      <c r="D77" s="760">
        <f t="shared" si="4"/>
        <v>118970</v>
      </c>
      <c r="E77" s="760">
        <f t="shared" si="5"/>
        <v>0</v>
      </c>
      <c r="F77" s="760">
        <f t="shared" si="6"/>
        <v>0</v>
      </c>
      <c r="G77" s="340">
        <v>0</v>
      </c>
      <c r="H77" s="760">
        <f t="shared" si="7"/>
        <v>0</v>
      </c>
      <c r="I77" s="760">
        <f t="shared" si="14"/>
        <v>0</v>
      </c>
      <c r="J77" s="760">
        <f t="shared" si="8"/>
        <v>0</v>
      </c>
      <c r="K77" s="760">
        <f t="shared" si="9"/>
        <v>0</v>
      </c>
      <c r="L77" s="760">
        <f t="shared" si="10"/>
        <v>118970</v>
      </c>
      <c r="M77" s="760">
        <f>IFERROR(IF(L76=0,0,SUM($J$25:J77)),0)</f>
        <v>0</v>
      </c>
      <c r="N77" s="366">
        <f t="shared" si="0"/>
        <v>1.025603448275862</v>
      </c>
      <c r="O77" s="761">
        <f t="shared" si="1"/>
        <v>0</v>
      </c>
      <c r="P77" s="28"/>
      <c r="Q77" s="1681">
        <f t="shared" si="11"/>
        <v>0</v>
      </c>
      <c r="R77" s="1682">
        <f t="shared" si="2"/>
        <v>0</v>
      </c>
      <c r="S77" s="1682">
        <f t="shared" si="12"/>
        <v>0</v>
      </c>
      <c r="T77" s="1682">
        <f t="shared" si="13"/>
        <v>1900</v>
      </c>
    </row>
    <row r="78" spans="2:20" s="283" customFormat="1" ht="13.8" x14ac:dyDescent="0.3">
      <c r="B78" s="758" cm="1">
        <f t="array" ref="B78">IF(active_refi=1,IF(ROW()-ROW($B$24)&lt;=$E$12*$E$13+refi_month,ROW()-ROW($B$24),0),IF(activeloan,IF(L77=0,0,IF(ROW()-ROW($B$24)&lt;=$D$12*$D$13,ROW()-ROW($B$24),0)),0))</f>
        <v>0</v>
      </c>
      <c r="C78" s="759">
        <f t="shared" si="3"/>
        <v>0</v>
      </c>
      <c r="D78" s="760">
        <f t="shared" si="4"/>
        <v>118970</v>
      </c>
      <c r="E78" s="760">
        <f t="shared" si="5"/>
        <v>0</v>
      </c>
      <c r="F78" s="760">
        <f t="shared" si="6"/>
        <v>0</v>
      </c>
      <c r="G78" s="340">
        <v>0</v>
      </c>
      <c r="H78" s="760">
        <f t="shared" si="7"/>
        <v>0</v>
      </c>
      <c r="I78" s="760">
        <f t="shared" si="14"/>
        <v>0</v>
      </c>
      <c r="J78" s="760">
        <f t="shared" si="8"/>
        <v>0</v>
      </c>
      <c r="K78" s="760">
        <f t="shared" si="9"/>
        <v>0</v>
      </c>
      <c r="L78" s="760">
        <f t="shared" si="10"/>
        <v>118970</v>
      </c>
      <c r="M78" s="760">
        <f>IFERROR(IF(L77=0,0,SUM($J$25:J78)),0)</f>
        <v>0</v>
      </c>
      <c r="N78" s="366">
        <f t="shared" si="0"/>
        <v>1.025603448275862</v>
      </c>
      <c r="O78" s="761">
        <f t="shared" si="1"/>
        <v>0</v>
      </c>
      <c r="P78" s="28"/>
      <c r="Q78" s="1681">
        <f t="shared" si="11"/>
        <v>0</v>
      </c>
      <c r="R78" s="1682">
        <f t="shared" si="2"/>
        <v>0</v>
      </c>
      <c r="S78" s="1682">
        <f t="shared" si="12"/>
        <v>0</v>
      </c>
      <c r="T78" s="1682">
        <f t="shared" si="13"/>
        <v>1900</v>
      </c>
    </row>
    <row r="79" spans="2:20" s="283" customFormat="1" ht="13.8" x14ac:dyDescent="0.3">
      <c r="B79" s="758" cm="1">
        <f t="array" ref="B79">IF(active_refi=1,IF(ROW()-ROW($B$24)&lt;=$E$12*$E$13+refi_month,ROW()-ROW($B$24),0),IF(activeloan,IF(L78=0,0,IF(ROW()-ROW($B$24)&lt;=$D$12*$D$13,ROW()-ROW($B$24),0)),0))</f>
        <v>0</v>
      </c>
      <c r="C79" s="759">
        <f t="shared" si="3"/>
        <v>0</v>
      </c>
      <c r="D79" s="760">
        <f t="shared" si="4"/>
        <v>118970</v>
      </c>
      <c r="E79" s="760">
        <f t="shared" si="5"/>
        <v>0</v>
      </c>
      <c r="F79" s="760">
        <f t="shared" si="6"/>
        <v>0</v>
      </c>
      <c r="G79" s="340">
        <v>0</v>
      </c>
      <c r="H79" s="760">
        <f t="shared" si="7"/>
        <v>0</v>
      </c>
      <c r="I79" s="760">
        <f t="shared" si="14"/>
        <v>0</v>
      </c>
      <c r="J79" s="760">
        <f t="shared" si="8"/>
        <v>0</v>
      </c>
      <c r="K79" s="760">
        <f t="shared" si="9"/>
        <v>0</v>
      </c>
      <c r="L79" s="760">
        <f t="shared" si="10"/>
        <v>118970</v>
      </c>
      <c r="M79" s="760">
        <f>IFERROR(IF(L78=0,0,SUM($J$25:J79)),0)</f>
        <v>0</v>
      </c>
      <c r="N79" s="366">
        <f t="shared" si="0"/>
        <v>1.025603448275862</v>
      </c>
      <c r="O79" s="761">
        <f t="shared" si="1"/>
        <v>0</v>
      </c>
      <c r="P79" s="28"/>
      <c r="Q79" s="1681">
        <f t="shared" si="11"/>
        <v>0</v>
      </c>
      <c r="R79" s="1682">
        <f t="shared" si="2"/>
        <v>0</v>
      </c>
      <c r="S79" s="1682">
        <f t="shared" si="12"/>
        <v>0</v>
      </c>
      <c r="T79" s="1682">
        <f t="shared" si="13"/>
        <v>1900</v>
      </c>
    </row>
    <row r="80" spans="2:20" s="283" customFormat="1" ht="13.8" x14ac:dyDescent="0.3">
      <c r="B80" s="758" cm="1">
        <f t="array" ref="B80">IF(active_refi=1,IF(ROW()-ROW($B$24)&lt;=$E$12*$E$13+refi_month,ROW()-ROW($B$24),0),IF(activeloan,IF(L79=0,0,IF(ROW()-ROW($B$24)&lt;=$D$12*$D$13,ROW()-ROW($B$24),0)),0))</f>
        <v>0</v>
      </c>
      <c r="C80" s="759">
        <f t="shared" si="3"/>
        <v>0</v>
      </c>
      <c r="D80" s="760">
        <f t="shared" si="4"/>
        <v>118970</v>
      </c>
      <c r="E80" s="760">
        <f t="shared" si="5"/>
        <v>0</v>
      </c>
      <c r="F80" s="760">
        <f t="shared" si="6"/>
        <v>0</v>
      </c>
      <c r="G80" s="340">
        <v>0</v>
      </c>
      <c r="H80" s="760">
        <f t="shared" si="7"/>
        <v>0</v>
      </c>
      <c r="I80" s="760">
        <f t="shared" si="14"/>
        <v>0</v>
      </c>
      <c r="J80" s="760">
        <f t="shared" si="8"/>
        <v>0</v>
      </c>
      <c r="K80" s="760">
        <f t="shared" si="9"/>
        <v>0</v>
      </c>
      <c r="L80" s="760">
        <f t="shared" si="10"/>
        <v>118970</v>
      </c>
      <c r="M80" s="760">
        <f>IFERROR(IF(L79=0,0,SUM($J$25:J80)),0)</f>
        <v>0</v>
      </c>
      <c r="N80" s="366">
        <f t="shared" si="0"/>
        <v>1.025603448275862</v>
      </c>
      <c r="O80" s="761">
        <f t="shared" si="1"/>
        <v>0</v>
      </c>
      <c r="P80" s="28"/>
      <c r="Q80" s="1681">
        <f t="shared" si="11"/>
        <v>0</v>
      </c>
      <c r="R80" s="1682">
        <f t="shared" si="2"/>
        <v>0</v>
      </c>
      <c r="S80" s="1682">
        <f t="shared" si="12"/>
        <v>0</v>
      </c>
      <c r="T80" s="1682">
        <f t="shared" si="13"/>
        <v>1900</v>
      </c>
    </row>
    <row r="81" spans="2:20" s="283" customFormat="1" ht="13.8" x14ac:dyDescent="0.3">
      <c r="B81" s="758" cm="1">
        <f t="array" ref="B81">IF(active_refi=1,IF(ROW()-ROW($B$24)&lt;=$E$12*$E$13+refi_month,ROW()-ROW($B$24),0),IF(activeloan,IF(L80=0,0,IF(ROW()-ROW($B$24)&lt;=$D$12*$D$13,ROW()-ROW($B$24),0)),0))</f>
        <v>0</v>
      </c>
      <c r="C81" s="759">
        <f t="shared" si="3"/>
        <v>0</v>
      </c>
      <c r="D81" s="760">
        <f t="shared" si="4"/>
        <v>118970</v>
      </c>
      <c r="E81" s="760">
        <f t="shared" si="5"/>
        <v>0</v>
      </c>
      <c r="F81" s="760">
        <f t="shared" si="6"/>
        <v>0</v>
      </c>
      <c r="G81" s="340">
        <v>0</v>
      </c>
      <c r="H81" s="760">
        <f t="shared" si="7"/>
        <v>0</v>
      </c>
      <c r="I81" s="760">
        <f t="shared" si="14"/>
        <v>0</v>
      </c>
      <c r="J81" s="760">
        <f t="shared" si="8"/>
        <v>0</v>
      </c>
      <c r="K81" s="760">
        <f t="shared" si="9"/>
        <v>0</v>
      </c>
      <c r="L81" s="760">
        <f t="shared" si="10"/>
        <v>118970</v>
      </c>
      <c r="M81" s="760">
        <f>IFERROR(IF(L80=0,0,SUM($J$25:J81)),0)</f>
        <v>0</v>
      </c>
      <c r="N81" s="366">
        <f t="shared" si="0"/>
        <v>1.025603448275862</v>
      </c>
      <c r="O81" s="761">
        <f t="shared" si="1"/>
        <v>0</v>
      </c>
      <c r="P81" s="28"/>
      <c r="Q81" s="1681">
        <f t="shared" si="11"/>
        <v>0</v>
      </c>
      <c r="R81" s="1682">
        <f t="shared" si="2"/>
        <v>0</v>
      </c>
      <c r="S81" s="1682">
        <f t="shared" si="12"/>
        <v>0</v>
      </c>
      <c r="T81" s="1682">
        <f t="shared" si="13"/>
        <v>1900</v>
      </c>
    </row>
    <row r="82" spans="2:20" s="283" customFormat="1" ht="13.8" x14ac:dyDescent="0.3">
      <c r="B82" s="758" cm="1">
        <f t="array" ref="B82">IF(active_refi=1,IF(ROW()-ROW($B$24)&lt;=$E$12*$E$13+refi_month,ROW()-ROW($B$24),0),IF(activeloan,IF(L81=0,0,IF(ROW()-ROW($B$24)&lt;=$D$12*$D$13,ROW()-ROW($B$24),0)),0))</f>
        <v>0</v>
      </c>
      <c r="C82" s="759">
        <f t="shared" si="3"/>
        <v>0</v>
      </c>
      <c r="D82" s="760">
        <f t="shared" si="4"/>
        <v>118970</v>
      </c>
      <c r="E82" s="760">
        <f t="shared" si="5"/>
        <v>0</v>
      </c>
      <c r="F82" s="760">
        <f t="shared" si="6"/>
        <v>0</v>
      </c>
      <c r="G82" s="340">
        <v>0</v>
      </c>
      <c r="H82" s="760">
        <f t="shared" si="7"/>
        <v>0</v>
      </c>
      <c r="I82" s="760">
        <f t="shared" si="14"/>
        <v>0</v>
      </c>
      <c r="J82" s="760">
        <f t="shared" si="8"/>
        <v>0</v>
      </c>
      <c r="K82" s="760">
        <f t="shared" si="9"/>
        <v>0</v>
      </c>
      <c r="L82" s="760">
        <f t="shared" si="10"/>
        <v>118970</v>
      </c>
      <c r="M82" s="760">
        <f>IFERROR(IF(L81=0,0,SUM($J$25:J82)),0)</f>
        <v>0</v>
      </c>
      <c r="N82" s="366">
        <f t="shared" si="0"/>
        <v>1.025603448275862</v>
      </c>
      <c r="O82" s="761">
        <f t="shared" si="1"/>
        <v>0</v>
      </c>
      <c r="P82" s="28"/>
      <c r="Q82" s="1681">
        <f t="shared" si="11"/>
        <v>0</v>
      </c>
      <c r="R82" s="1682">
        <f t="shared" si="2"/>
        <v>0</v>
      </c>
      <c r="S82" s="1682">
        <f t="shared" si="12"/>
        <v>0</v>
      </c>
      <c r="T82" s="1682">
        <f t="shared" si="13"/>
        <v>1900</v>
      </c>
    </row>
    <row r="83" spans="2:20" s="283" customFormat="1" ht="13.8" x14ac:dyDescent="0.3">
      <c r="B83" s="758" cm="1">
        <f t="array" ref="B83">IF(active_refi=1,IF(ROW()-ROW($B$24)&lt;=$E$12*$E$13+refi_month,ROW()-ROW($B$24),0),IF(activeloan,IF(L82=0,0,IF(ROW()-ROW($B$24)&lt;=$D$12*$D$13,ROW()-ROW($B$24),0)),0))</f>
        <v>0</v>
      </c>
      <c r="C83" s="759">
        <f t="shared" si="3"/>
        <v>0</v>
      </c>
      <c r="D83" s="760">
        <f t="shared" si="4"/>
        <v>118970</v>
      </c>
      <c r="E83" s="760">
        <f t="shared" si="5"/>
        <v>0</v>
      </c>
      <c r="F83" s="760">
        <f t="shared" si="6"/>
        <v>0</v>
      </c>
      <c r="G83" s="340">
        <v>0</v>
      </c>
      <c r="H83" s="760">
        <f t="shared" si="7"/>
        <v>0</v>
      </c>
      <c r="I83" s="760">
        <f t="shared" si="14"/>
        <v>0</v>
      </c>
      <c r="J83" s="760">
        <f t="shared" si="8"/>
        <v>0</v>
      </c>
      <c r="K83" s="760">
        <f t="shared" si="9"/>
        <v>0</v>
      </c>
      <c r="L83" s="760">
        <f t="shared" si="10"/>
        <v>118970</v>
      </c>
      <c r="M83" s="760">
        <f>IFERROR(IF(L82=0,0,SUM($J$25:J83)),0)</f>
        <v>0</v>
      </c>
      <c r="N83" s="366">
        <f t="shared" si="0"/>
        <v>1.025603448275862</v>
      </c>
      <c r="O83" s="761">
        <f t="shared" si="1"/>
        <v>0</v>
      </c>
      <c r="P83" s="28"/>
      <c r="Q83" s="1681">
        <f t="shared" si="11"/>
        <v>0</v>
      </c>
      <c r="R83" s="1682">
        <f t="shared" si="2"/>
        <v>0</v>
      </c>
      <c r="S83" s="1682">
        <f t="shared" si="12"/>
        <v>0</v>
      </c>
      <c r="T83" s="1682">
        <f t="shared" si="13"/>
        <v>1900</v>
      </c>
    </row>
    <row r="84" spans="2:20" s="283" customFormat="1" ht="13.8" x14ac:dyDescent="0.3">
      <c r="B84" s="758" cm="1">
        <f t="array" ref="B84">IF(active_refi=1,IF(ROW()-ROW($B$24)&lt;=$E$12*$E$13+refi_month,ROW()-ROW($B$24),0),IF(activeloan,IF(L83=0,0,IF(ROW()-ROW($B$24)&lt;=$D$12*$D$13,ROW()-ROW($B$24),0)),0))</f>
        <v>0</v>
      </c>
      <c r="C84" s="759">
        <f t="shared" si="3"/>
        <v>0</v>
      </c>
      <c r="D84" s="760">
        <f t="shared" si="4"/>
        <v>118970</v>
      </c>
      <c r="E84" s="760">
        <f t="shared" si="5"/>
        <v>0</v>
      </c>
      <c r="F84" s="760">
        <f t="shared" si="6"/>
        <v>0</v>
      </c>
      <c r="G84" s="340">
        <v>0</v>
      </c>
      <c r="H84" s="760">
        <f t="shared" si="7"/>
        <v>0</v>
      </c>
      <c r="I84" s="760">
        <f t="shared" si="14"/>
        <v>0</v>
      </c>
      <c r="J84" s="760">
        <f t="shared" si="8"/>
        <v>0</v>
      </c>
      <c r="K84" s="760">
        <f t="shared" si="9"/>
        <v>0</v>
      </c>
      <c r="L84" s="760">
        <f t="shared" si="10"/>
        <v>118970</v>
      </c>
      <c r="M84" s="760">
        <f>IFERROR(IF(L83=0,0,SUM($J$25:J84)),0)</f>
        <v>0</v>
      </c>
      <c r="N84" s="366">
        <f t="shared" si="0"/>
        <v>1.025603448275862</v>
      </c>
      <c r="O84" s="761">
        <f t="shared" si="1"/>
        <v>0</v>
      </c>
      <c r="P84" s="28"/>
      <c r="Q84" s="1681">
        <f t="shared" si="11"/>
        <v>0</v>
      </c>
      <c r="R84" s="1682">
        <f t="shared" si="2"/>
        <v>0</v>
      </c>
      <c r="S84" s="1682">
        <f t="shared" si="12"/>
        <v>0</v>
      </c>
      <c r="T84" s="1682">
        <f t="shared" si="13"/>
        <v>1900</v>
      </c>
    </row>
    <row r="85" spans="2:20" s="283" customFormat="1" ht="13.8" x14ac:dyDescent="0.3">
      <c r="B85" s="758" cm="1">
        <f t="array" ref="B85">IF(active_refi=1,IF(ROW()-ROW($B$24)&lt;=$E$12*$E$13+refi_month,ROW()-ROW($B$24),0),IF(activeloan,IF(L84=0,0,IF(ROW()-ROW($B$24)&lt;=$D$12*$D$13,ROW()-ROW($B$24),0)),0))</f>
        <v>0</v>
      </c>
      <c r="C85" s="759">
        <f t="shared" si="3"/>
        <v>0</v>
      </c>
      <c r="D85" s="760">
        <f t="shared" si="4"/>
        <v>118970</v>
      </c>
      <c r="E85" s="760">
        <f t="shared" si="5"/>
        <v>0</v>
      </c>
      <c r="F85" s="760">
        <f t="shared" si="6"/>
        <v>0</v>
      </c>
      <c r="G85" s="340">
        <v>0</v>
      </c>
      <c r="H85" s="760">
        <f t="shared" si="7"/>
        <v>0</v>
      </c>
      <c r="I85" s="760">
        <f t="shared" si="14"/>
        <v>0</v>
      </c>
      <c r="J85" s="760">
        <f t="shared" si="8"/>
        <v>0</v>
      </c>
      <c r="K85" s="760">
        <f t="shared" si="9"/>
        <v>0</v>
      </c>
      <c r="L85" s="760">
        <f t="shared" si="10"/>
        <v>118970</v>
      </c>
      <c r="M85" s="760">
        <f>IFERROR(IF(L84=0,0,SUM($J$25:J85)),0)</f>
        <v>0</v>
      </c>
      <c r="N85" s="366">
        <f t="shared" si="0"/>
        <v>1.025603448275862</v>
      </c>
      <c r="O85" s="761">
        <f t="shared" si="1"/>
        <v>0</v>
      </c>
      <c r="P85" s="28"/>
      <c r="Q85" s="1681">
        <f t="shared" si="11"/>
        <v>0</v>
      </c>
      <c r="R85" s="1682">
        <f t="shared" si="2"/>
        <v>0</v>
      </c>
      <c r="S85" s="1682">
        <f t="shared" si="12"/>
        <v>0</v>
      </c>
      <c r="T85" s="1682">
        <f t="shared" si="13"/>
        <v>1900</v>
      </c>
    </row>
    <row r="86" spans="2:20" s="283" customFormat="1" ht="13.8" x14ac:dyDescent="0.3">
      <c r="B86" s="758" cm="1">
        <f t="array" ref="B86">IF(active_refi=1,IF(ROW()-ROW($B$24)&lt;=$E$12*$E$13+refi_month,ROW()-ROW($B$24),0),IF(activeloan,IF(L85=0,0,IF(ROW()-ROW($B$24)&lt;=$D$12*$D$13,ROW()-ROW($B$24),0)),0))</f>
        <v>0</v>
      </c>
      <c r="C86" s="759">
        <f t="shared" si="3"/>
        <v>0</v>
      </c>
      <c r="D86" s="760">
        <f t="shared" si="4"/>
        <v>118970</v>
      </c>
      <c r="E86" s="760">
        <f t="shared" si="5"/>
        <v>0</v>
      </c>
      <c r="F86" s="760">
        <f t="shared" si="6"/>
        <v>0</v>
      </c>
      <c r="G86" s="340">
        <v>0</v>
      </c>
      <c r="H86" s="760">
        <f t="shared" si="7"/>
        <v>0</v>
      </c>
      <c r="I86" s="760">
        <f t="shared" si="14"/>
        <v>0</v>
      </c>
      <c r="J86" s="760">
        <f t="shared" si="8"/>
        <v>0</v>
      </c>
      <c r="K86" s="760">
        <f t="shared" si="9"/>
        <v>0</v>
      </c>
      <c r="L86" s="760">
        <f t="shared" si="10"/>
        <v>118970</v>
      </c>
      <c r="M86" s="760">
        <f>IFERROR(IF(L85=0,0,SUM($J$25:J86)),0)</f>
        <v>0</v>
      </c>
      <c r="N86" s="366">
        <f t="shared" si="0"/>
        <v>1.025603448275862</v>
      </c>
      <c r="O86" s="761">
        <f t="shared" si="1"/>
        <v>0</v>
      </c>
      <c r="P86" s="28"/>
      <c r="Q86" s="1681">
        <f t="shared" si="11"/>
        <v>0</v>
      </c>
      <c r="R86" s="1682">
        <f t="shared" si="2"/>
        <v>0</v>
      </c>
      <c r="S86" s="1682">
        <f t="shared" si="12"/>
        <v>0</v>
      </c>
      <c r="T86" s="1682">
        <f t="shared" si="13"/>
        <v>1900</v>
      </c>
    </row>
    <row r="87" spans="2:20" s="283" customFormat="1" ht="13.8" x14ac:dyDescent="0.3">
      <c r="B87" s="758" cm="1">
        <f t="array" ref="B87">IF(active_refi=1,IF(ROW()-ROW($B$24)&lt;=$E$12*$E$13+refi_month,ROW()-ROW($B$24),0),IF(activeloan,IF(L86=0,0,IF(ROW()-ROW($B$24)&lt;=$D$12*$D$13,ROW()-ROW($B$24),0)),0))</f>
        <v>0</v>
      </c>
      <c r="C87" s="759">
        <f t="shared" si="3"/>
        <v>0</v>
      </c>
      <c r="D87" s="760">
        <f t="shared" si="4"/>
        <v>118970</v>
      </c>
      <c r="E87" s="760">
        <f t="shared" si="5"/>
        <v>0</v>
      </c>
      <c r="F87" s="760">
        <f t="shared" si="6"/>
        <v>0</v>
      </c>
      <c r="G87" s="340">
        <v>0</v>
      </c>
      <c r="H87" s="760">
        <f t="shared" si="7"/>
        <v>0</v>
      </c>
      <c r="I87" s="760">
        <f t="shared" si="14"/>
        <v>0</v>
      </c>
      <c r="J87" s="760">
        <f t="shared" si="8"/>
        <v>0</v>
      </c>
      <c r="K87" s="760">
        <f t="shared" si="9"/>
        <v>0</v>
      </c>
      <c r="L87" s="760">
        <f t="shared" si="10"/>
        <v>118970</v>
      </c>
      <c r="M87" s="760">
        <f>IFERROR(IF(L86=0,0,SUM($J$25:J87)),0)</f>
        <v>0</v>
      </c>
      <c r="N87" s="366">
        <f t="shared" si="0"/>
        <v>1.025603448275862</v>
      </c>
      <c r="O87" s="761">
        <f t="shared" si="1"/>
        <v>0</v>
      </c>
      <c r="P87" s="28"/>
      <c r="Q87" s="1681">
        <f t="shared" si="11"/>
        <v>0</v>
      </c>
      <c r="R87" s="1682">
        <f t="shared" si="2"/>
        <v>0</v>
      </c>
      <c r="S87" s="1682">
        <f t="shared" si="12"/>
        <v>0</v>
      </c>
      <c r="T87" s="1682">
        <f t="shared" si="13"/>
        <v>1900</v>
      </c>
    </row>
    <row r="88" spans="2:20" s="283" customFormat="1" ht="13.8" x14ac:dyDescent="0.3">
      <c r="B88" s="758" cm="1">
        <f t="array" ref="B88">IF(active_refi=1,IF(ROW()-ROW($B$24)&lt;=$E$12*$E$13+refi_month,ROW()-ROW($B$24),0),IF(activeloan,IF(L87=0,0,IF(ROW()-ROW($B$24)&lt;=$D$12*$D$13,ROW()-ROW($B$24),0)),0))</f>
        <v>0</v>
      </c>
      <c r="C88" s="759">
        <f t="shared" si="3"/>
        <v>0</v>
      </c>
      <c r="D88" s="760">
        <f t="shared" si="4"/>
        <v>118970</v>
      </c>
      <c r="E88" s="760">
        <f t="shared" si="5"/>
        <v>0</v>
      </c>
      <c r="F88" s="760">
        <f t="shared" si="6"/>
        <v>0</v>
      </c>
      <c r="G88" s="340">
        <v>0</v>
      </c>
      <c r="H88" s="760">
        <f t="shared" si="7"/>
        <v>0</v>
      </c>
      <c r="I88" s="760">
        <f t="shared" si="14"/>
        <v>0</v>
      </c>
      <c r="J88" s="760">
        <f t="shared" si="8"/>
        <v>0</v>
      </c>
      <c r="K88" s="760">
        <f t="shared" si="9"/>
        <v>0</v>
      </c>
      <c r="L88" s="760">
        <f t="shared" si="10"/>
        <v>118970</v>
      </c>
      <c r="M88" s="760">
        <f>IFERROR(IF(L87=0,0,SUM($J$25:J88)),0)</f>
        <v>0</v>
      </c>
      <c r="N88" s="366">
        <f t="shared" si="0"/>
        <v>1.025603448275862</v>
      </c>
      <c r="O88" s="761">
        <f t="shared" si="1"/>
        <v>0</v>
      </c>
      <c r="P88" s="28"/>
      <c r="Q88" s="1681">
        <f t="shared" si="11"/>
        <v>0</v>
      </c>
      <c r="R88" s="1682">
        <f t="shared" si="2"/>
        <v>0</v>
      </c>
      <c r="S88" s="1682">
        <f t="shared" si="12"/>
        <v>0</v>
      </c>
      <c r="T88" s="1682">
        <f t="shared" si="13"/>
        <v>1900</v>
      </c>
    </row>
    <row r="89" spans="2:20" s="283" customFormat="1" ht="13.8" x14ac:dyDescent="0.3">
      <c r="B89" s="758" cm="1">
        <f t="array" ref="B89">IF(active_refi=1,IF(ROW()-ROW($B$24)&lt;=$E$12*$E$13+refi_month,ROW()-ROW($B$24),0),IF(activeloan,IF(L88=0,0,IF(ROW()-ROW($B$24)&lt;=$D$12*$D$13,ROW()-ROW($B$24),0)),0))</f>
        <v>0</v>
      </c>
      <c r="C89" s="759">
        <f t="shared" si="3"/>
        <v>0</v>
      </c>
      <c r="D89" s="760">
        <f t="shared" si="4"/>
        <v>118970</v>
      </c>
      <c r="E89" s="760">
        <f t="shared" si="5"/>
        <v>0</v>
      </c>
      <c r="F89" s="760">
        <f t="shared" si="6"/>
        <v>0</v>
      </c>
      <c r="G89" s="340">
        <v>0</v>
      </c>
      <c r="H89" s="760">
        <f t="shared" si="7"/>
        <v>0</v>
      </c>
      <c r="I89" s="760">
        <f t="shared" si="14"/>
        <v>0</v>
      </c>
      <c r="J89" s="760">
        <f t="shared" si="8"/>
        <v>0</v>
      </c>
      <c r="K89" s="760">
        <f t="shared" si="9"/>
        <v>0</v>
      </c>
      <c r="L89" s="760">
        <f t="shared" si="10"/>
        <v>118970</v>
      </c>
      <c r="M89" s="760">
        <f>IFERROR(IF(L88=0,0,SUM($J$25:J89)),0)</f>
        <v>0</v>
      </c>
      <c r="N89" s="366">
        <f t="shared" ref="N89:N152" si="15">IFERROR(L89/purchase_price,0)</f>
        <v>1.025603448275862</v>
      </c>
      <c r="O89" s="761">
        <f t="shared" ref="O89:O152" si="16">IFERROR(IF(active_refi=0,0,IF(B89&lt;$F$18,0,L89/refi_price)),0)</f>
        <v>0</v>
      </c>
      <c r="P89" s="28"/>
      <c r="Q89" s="1681">
        <f t="shared" si="11"/>
        <v>0</v>
      </c>
      <c r="R89" s="1682">
        <f t="shared" ref="R89:R152" si="17">IFERROR(IF(AND(B89&lt;=$J$19,B89&lt;&gt;0,B89&gt;=$J$18),IF(B89&lt;=$E$15*12+refi_month,J89,IF(OR(B89=$J$19,$J$10&gt;(1+$E$11/12)*D89),(1+$E$11/12)*D89,$J$10))+K89,0),0)</f>
        <v>0</v>
      </c>
      <c r="S89" s="1682">
        <f t="shared" si="12"/>
        <v>0</v>
      </c>
      <c r="T89" s="1682">
        <f t="shared" si="13"/>
        <v>1900</v>
      </c>
    </row>
    <row r="90" spans="2:20" s="283" customFormat="1" ht="13.8" x14ac:dyDescent="0.3">
      <c r="B90" s="758" cm="1">
        <f t="array" ref="B90">IF(active_refi=1,IF(ROW()-ROW($B$24)&lt;=$E$12*$E$13+refi_month,ROW()-ROW($B$24),0),IF(activeloan,IF(L89=0,0,IF(ROW()-ROW($B$24)&lt;=$D$12*$D$13,ROW()-ROW($B$24),0)),0))</f>
        <v>0</v>
      </c>
      <c r="C90" s="759">
        <f t="shared" ref="C90:C153" si="18">IF(B90&lt;&gt;0,EOMONTH(C89,1),0)</f>
        <v>0</v>
      </c>
      <c r="D90" s="760">
        <f t="shared" ref="D90:D153" si="19">IF(AND(B90=refi_month+1,active_refi),$E$10,L89)</f>
        <v>118970</v>
      </c>
      <c r="E90" s="760">
        <f t="shared" ref="E90:E153" si="20">S90</f>
        <v>0</v>
      </c>
      <c r="F90" s="760">
        <f t="shared" ref="F90:F153" si="21">IF(D90-(E90-J90-K90)&lt;0,0,IF(B90&lt;=$I$15,MAX(MIN(D90-(E90-J90-K90),$N$10),0),MAX(MIN(D90-(E90-J90-K90),$O$10),0)))</f>
        <v>0</v>
      </c>
      <c r="G90" s="340">
        <v>0</v>
      </c>
      <c r="H90" s="760">
        <f t="shared" ref="H90:H153" si="22">MIN(E90+F90+G90,D90+J90+K90)</f>
        <v>0</v>
      </c>
      <c r="I90" s="760">
        <f t="shared" si="14"/>
        <v>0</v>
      </c>
      <c r="J90" s="760">
        <f t="shared" ref="J90:J153" si="23">IFERROR(IF(B90&lt;=$I$19,$D$11/12*D90,$E$11/12*D90),0)</f>
        <v>0</v>
      </c>
      <c r="K90" s="760">
        <f t="shared" ref="K90:K153" si="24">IFERROR(IF(OR(B90&lt;=$F$18,active_refi=0),IF(N89&lt;=$D$18,0,$D$17*$D$10/12),IF(B90=$F$18+1,IF((D90/refi_price)&lt;=$E$18,0,$E$17*$E$10/12),IF(O89&lt;=$E$18,0,$E$17*$E$10/12))),0)</f>
        <v>0</v>
      </c>
      <c r="L90" s="760">
        <f t="shared" ref="L90:L153" si="25">IF(ROUND(D90-I90,4)=0,ROUND(D90-I90,4),D90-I90)</f>
        <v>118970</v>
      </c>
      <c r="M90" s="760">
        <f>IFERROR(IF(L89=0,0,SUM($J$25:J90)),0)</f>
        <v>0</v>
      </c>
      <c r="N90" s="366">
        <f t="shared" si="15"/>
        <v>1.025603448275862</v>
      </c>
      <c r="O90" s="761">
        <f t="shared" si="16"/>
        <v>0</v>
      </c>
      <c r="P90" s="28"/>
      <c r="Q90" s="1681">
        <f t="shared" ref="Q90:Q153" si="26">IFERROR(IF(AND(B90&lt;=$I$19,B90&lt;&gt;0),IF(AND(B90=$D$15*12,$D$15=$D$12),D90+J90,IF(B90&lt;=$D$15*12,J90,IF($I$10&gt;(1+$D$11/12)*D90,(1+$D$11/12)*D90,$I$10)))+K90,0),0)</f>
        <v>0</v>
      </c>
      <c r="R90" s="1682">
        <f t="shared" si="17"/>
        <v>0</v>
      </c>
      <c r="S90" s="1682">
        <f t="shared" ref="S90:S153" si="27">IF(B90&lt;=$I$19,Q90,IF(AND(B90&gt;=$J$18,B90&lt;=$J$19),R90,0))</f>
        <v>0</v>
      </c>
      <c r="T90" s="1682">
        <f t="shared" ref="T90:T153" si="28">YEAR(C90)</f>
        <v>1900</v>
      </c>
    </row>
    <row r="91" spans="2:20" s="283" customFormat="1" ht="13.8" x14ac:dyDescent="0.3">
      <c r="B91" s="758" cm="1">
        <f t="array" ref="B91">IF(active_refi=1,IF(ROW()-ROW($B$24)&lt;=$E$12*$E$13+refi_month,ROW()-ROW($B$24),0),IF(activeloan,IF(L90=0,0,IF(ROW()-ROW($B$24)&lt;=$D$12*$D$13,ROW()-ROW($B$24),0)),0))</f>
        <v>0</v>
      </c>
      <c r="C91" s="759">
        <f t="shared" si="18"/>
        <v>0</v>
      </c>
      <c r="D91" s="760">
        <f t="shared" si="19"/>
        <v>118970</v>
      </c>
      <c r="E91" s="760">
        <f t="shared" si="20"/>
        <v>0</v>
      </c>
      <c r="F91" s="760">
        <f t="shared" si="21"/>
        <v>0</v>
      </c>
      <c r="G91" s="340">
        <v>0</v>
      </c>
      <c r="H91" s="760">
        <f t="shared" si="22"/>
        <v>0</v>
      </c>
      <c r="I91" s="760">
        <f t="shared" ref="I91:I154" si="29">H91-J91-K91</f>
        <v>0</v>
      </c>
      <c r="J91" s="760">
        <f t="shared" si="23"/>
        <v>0</v>
      </c>
      <c r="K91" s="760">
        <f t="shared" si="24"/>
        <v>0</v>
      </c>
      <c r="L91" s="760">
        <f t="shared" si="25"/>
        <v>118970</v>
      </c>
      <c r="M91" s="760">
        <f>IFERROR(IF(L90=0,0,SUM($J$25:J91)),0)</f>
        <v>0</v>
      </c>
      <c r="N91" s="366">
        <f t="shared" si="15"/>
        <v>1.025603448275862</v>
      </c>
      <c r="O91" s="761">
        <f t="shared" si="16"/>
        <v>0</v>
      </c>
      <c r="P91" s="28"/>
      <c r="Q91" s="1681">
        <f t="shared" si="26"/>
        <v>0</v>
      </c>
      <c r="R91" s="1682">
        <f t="shared" si="17"/>
        <v>0</v>
      </c>
      <c r="S91" s="1682">
        <f t="shared" si="27"/>
        <v>0</v>
      </c>
      <c r="T91" s="1682">
        <f t="shared" si="28"/>
        <v>1900</v>
      </c>
    </row>
    <row r="92" spans="2:20" s="283" customFormat="1" ht="13.8" x14ac:dyDescent="0.3">
      <c r="B92" s="758" cm="1">
        <f t="array" ref="B92">IF(active_refi=1,IF(ROW()-ROW($B$24)&lt;=$E$12*$E$13+refi_month,ROW()-ROW($B$24),0),IF(activeloan,IF(L91=0,0,IF(ROW()-ROW($B$24)&lt;=$D$12*$D$13,ROW()-ROW($B$24),0)),0))</f>
        <v>0</v>
      </c>
      <c r="C92" s="759">
        <f t="shared" si="18"/>
        <v>0</v>
      </c>
      <c r="D92" s="760">
        <f t="shared" si="19"/>
        <v>118970</v>
      </c>
      <c r="E92" s="760">
        <f t="shared" si="20"/>
        <v>0</v>
      </c>
      <c r="F92" s="760">
        <f t="shared" si="21"/>
        <v>0</v>
      </c>
      <c r="G92" s="340">
        <v>0</v>
      </c>
      <c r="H92" s="760">
        <f t="shared" si="22"/>
        <v>0</v>
      </c>
      <c r="I92" s="760">
        <f t="shared" si="29"/>
        <v>0</v>
      </c>
      <c r="J92" s="760">
        <f t="shared" si="23"/>
        <v>0</v>
      </c>
      <c r="K92" s="760">
        <f t="shared" si="24"/>
        <v>0</v>
      </c>
      <c r="L92" s="760">
        <f t="shared" si="25"/>
        <v>118970</v>
      </c>
      <c r="M92" s="760">
        <f>IFERROR(IF(L91=0,0,SUM($J$25:J92)),0)</f>
        <v>0</v>
      </c>
      <c r="N92" s="366">
        <f t="shared" si="15"/>
        <v>1.025603448275862</v>
      </c>
      <c r="O92" s="761">
        <f t="shared" si="16"/>
        <v>0</v>
      </c>
      <c r="P92" s="28"/>
      <c r="Q92" s="1681">
        <f t="shared" si="26"/>
        <v>0</v>
      </c>
      <c r="R92" s="1682">
        <f t="shared" si="17"/>
        <v>0</v>
      </c>
      <c r="S92" s="1682">
        <f t="shared" si="27"/>
        <v>0</v>
      </c>
      <c r="T92" s="1682">
        <f t="shared" si="28"/>
        <v>1900</v>
      </c>
    </row>
    <row r="93" spans="2:20" s="283" customFormat="1" ht="13.8" x14ac:dyDescent="0.3">
      <c r="B93" s="758" cm="1">
        <f t="array" ref="B93">IF(active_refi=1,IF(ROW()-ROW($B$24)&lt;=$E$12*$E$13+refi_month,ROW()-ROW($B$24),0),IF(activeloan,IF(L92=0,0,IF(ROW()-ROW($B$24)&lt;=$D$12*$D$13,ROW()-ROW($B$24),0)),0))</f>
        <v>0</v>
      </c>
      <c r="C93" s="759">
        <f t="shared" si="18"/>
        <v>0</v>
      </c>
      <c r="D93" s="760">
        <f t="shared" si="19"/>
        <v>118970</v>
      </c>
      <c r="E93" s="760">
        <f t="shared" si="20"/>
        <v>0</v>
      </c>
      <c r="F93" s="760">
        <f t="shared" si="21"/>
        <v>0</v>
      </c>
      <c r="G93" s="340">
        <v>0</v>
      </c>
      <c r="H93" s="760">
        <f t="shared" si="22"/>
        <v>0</v>
      </c>
      <c r="I93" s="760">
        <f t="shared" si="29"/>
        <v>0</v>
      </c>
      <c r="J93" s="760">
        <f t="shared" si="23"/>
        <v>0</v>
      </c>
      <c r="K93" s="760">
        <f t="shared" si="24"/>
        <v>0</v>
      </c>
      <c r="L93" s="760">
        <f t="shared" si="25"/>
        <v>118970</v>
      </c>
      <c r="M93" s="760">
        <f>IFERROR(IF(L92=0,0,SUM($J$25:J93)),0)</f>
        <v>0</v>
      </c>
      <c r="N93" s="366">
        <f t="shared" si="15"/>
        <v>1.025603448275862</v>
      </c>
      <c r="O93" s="761">
        <f t="shared" si="16"/>
        <v>0</v>
      </c>
      <c r="P93" s="28"/>
      <c r="Q93" s="1681">
        <f t="shared" si="26"/>
        <v>0</v>
      </c>
      <c r="R93" s="1682">
        <f t="shared" si="17"/>
        <v>0</v>
      </c>
      <c r="S93" s="1682">
        <f t="shared" si="27"/>
        <v>0</v>
      </c>
      <c r="T93" s="1682">
        <f t="shared" si="28"/>
        <v>1900</v>
      </c>
    </row>
    <row r="94" spans="2:20" s="283" customFormat="1" ht="13.8" x14ac:dyDescent="0.3">
      <c r="B94" s="758" cm="1">
        <f t="array" ref="B94">IF(active_refi=1,IF(ROW()-ROW($B$24)&lt;=$E$12*$E$13+refi_month,ROW()-ROW($B$24),0),IF(activeloan,IF(L93=0,0,IF(ROW()-ROW($B$24)&lt;=$D$12*$D$13,ROW()-ROW($B$24),0)),0))</f>
        <v>0</v>
      </c>
      <c r="C94" s="759">
        <f t="shared" si="18"/>
        <v>0</v>
      </c>
      <c r="D94" s="760">
        <f t="shared" si="19"/>
        <v>118970</v>
      </c>
      <c r="E94" s="760">
        <f t="shared" si="20"/>
        <v>0</v>
      </c>
      <c r="F94" s="760">
        <f t="shared" si="21"/>
        <v>0</v>
      </c>
      <c r="G94" s="340">
        <v>0</v>
      </c>
      <c r="H94" s="760">
        <f t="shared" si="22"/>
        <v>0</v>
      </c>
      <c r="I94" s="760">
        <f t="shared" si="29"/>
        <v>0</v>
      </c>
      <c r="J94" s="760">
        <f t="shared" si="23"/>
        <v>0</v>
      </c>
      <c r="K94" s="760">
        <f t="shared" si="24"/>
        <v>0</v>
      </c>
      <c r="L94" s="760">
        <f t="shared" si="25"/>
        <v>118970</v>
      </c>
      <c r="M94" s="760">
        <f>IFERROR(IF(L93=0,0,SUM($J$25:J94)),0)</f>
        <v>0</v>
      </c>
      <c r="N94" s="366">
        <f t="shared" si="15"/>
        <v>1.025603448275862</v>
      </c>
      <c r="O94" s="761">
        <f t="shared" si="16"/>
        <v>0</v>
      </c>
      <c r="P94" s="28"/>
      <c r="Q94" s="1681">
        <f t="shared" si="26"/>
        <v>0</v>
      </c>
      <c r="R94" s="1682">
        <f t="shared" si="17"/>
        <v>0</v>
      </c>
      <c r="S94" s="1682">
        <f t="shared" si="27"/>
        <v>0</v>
      </c>
      <c r="T94" s="1682">
        <f t="shared" si="28"/>
        <v>1900</v>
      </c>
    </row>
    <row r="95" spans="2:20" s="283" customFormat="1" ht="13.8" x14ac:dyDescent="0.3">
      <c r="B95" s="758" cm="1">
        <f t="array" ref="B95">IF(active_refi=1,IF(ROW()-ROW($B$24)&lt;=$E$12*$E$13+refi_month,ROW()-ROW($B$24),0),IF(activeloan,IF(L94=0,0,IF(ROW()-ROW($B$24)&lt;=$D$12*$D$13,ROW()-ROW($B$24),0)),0))</f>
        <v>0</v>
      </c>
      <c r="C95" s="759">
        <f t="shared" si="18"/>
        <v>0</v>
      </c>
      <c r="D95" s="760">
        <f t="shared" si="19"/>
        <v>118970</v>
      </c>
      <c r="E95" s="760">
        <f t="shared" si="20"/>
        <v>0</v>
      </c>
      <c r="F95" s="760">
        <f t="shared" si="21"/>
        <v>0</v>
      </c>
      <c r="G95" s="340">
        <v>0</v>
      </c>
      <c r="H95" s="760">
        <f t="shared" si="22"/>
        <v>0</v>
      </c>
      <c r="I95" s="760">
        <f t="shared" si="29"/>
        <v>0</v>
      </c>
      <c r="J95" s="760">
        <f t="shared" si="23"/>
        <v>0</v>
      </c>
      <c r="K95" s="760">
        <f t="shared" si="24"/>
        <v>0</v>
      </c>
      <c r="L95" s="760">
        <f t="shared" si="25"/>
        <v>118970</v>
      </c>
      <c r="M95" s="760">
        <f>IFERROR(IF(L94=0,0,SUM($J$25:J95)),0)</f>
        <v>0</v>
      </c>
      <c r="N95" s="366">
        <f t="shared" si="15"/>
        <v>1.025603448275862</v>
      </c>
      <c r="O95" s="761">
        <f t="shared" si="16"/>
        <v>0</v>
      </c>
      <c r="P95" s="28"/>
      <c r="Q95" s="1681">
        <f t="shared" si="26"/>
        <v>0</v>
      </c>
      <c r="R95" s="1682">
        <f t="shared" si="17"/>
        <v>0</v>
      </c>
      <c r="S95" s="1682">
        <f t="shared" si="27"/>
        <v>0</v>
      </c>
      <c r="T95" s="1682">
        <f t="shared" si="28"/>
        <v>1900</v>
      </c>
    </row>
    <row r="96" spans="2:20" s="283" customFormat="1" ht="13.8" x14ac:dyDescent="0.3">
      <c r="B96" s="758" cm="1">
        <f t="array" ref="B96">IF(active_refi=1,IF(ROW()-ROW($B$24)&lt;=$E$12*$E$13+refi_month,ROW()-ROW($B$24),0),IF(activeloan,IF(L95=0,0,IF(ROW()-ROW($B$24)&lt;=$D$12*$D$13,ROW()-ROW($B$24),0)),0))</f>
        <v>0</v>
      </c>
      <c r="C96" s="759">
        <f t="shared" si="18"/>
        <v>0</v>
      </c>
      <c r="D96" s="760">
        <f t="shared" si="19"/>
        <v>118970</v>
      </c>
      <c r="E96" s="760">
        <f t="shared" si="20"/>
        <v>0</v>
      </c>
      <c r="F96" s="760">
        <f t="shared" si="21"/>
        <v>0</v>
      </c>
      <c r="G96" s="340">
        <v>0</v>
      </c>
      <c r="H96" s="760">
        <f t="shared" si="22"/>
        <v>0</v>
      </c>
      <c r="I96" s="760">
        <f t="shared" si="29"/>
        <v>0</v>
      </c>
      <c r="J96" s="760">
        <f t="shared" si="23"/>
        <v>0</v>
      </c>
      <c r="K96" s="760">
        <f t="shared" si="24"/>
        <v>0</v>
      </c>
      <c r="L96" s="760">
        <f t="shared" si="25"/>
        <v>118970</v>
      </c>
      <c r="M96" s="760">
        <f>IFERROR(IF(L95=0,0,SUM($J$25:J96)),0)</f>
        <v>0</v>
      </c>
      <c r="N96" s="366">
        <f t="shared" si="15"/>
        <v>1.025603448275862</v>
      </c>
      <c r="O96" s="761">
        <f t="shared" si="16"/>
        <v>0</v>
      </c>
      <c r="P96" s="28"/>
      <c r="Q96" s="1681">
        <f t="shared" si="26"/>
        <v>0</v>
      </c>
      <c r="R96" s="1682">
        <f t="shared" si="17"/>
        <v>0</v>
      </c>
      <c r="S96" s="1682">
        <f t="shared" si="27"/>
        <v>0</v>
      </c>
      <c r="T96" s="1682">
        <f t="shared" si="28"/>
        <v>1900</v>
      </c>
    </row>
    <row r="97" spans="2:20" s="283" customFormat="1" ht="13.8" x14ac:dyDescent="0.3">
      <c r="B97" s="758" cm="1">
        <f t="array" ref="B97">IF(active_refi=1,IF(ROW()-ROW($B$24)&lt;=$E$12*$E$13+refi_month,ROW()-ROW($B$24),0),IF(activeloan,IF(L96=0,0,IF(ROW()-ROW($B$24)&lt;=$D$12*$D$13,ROW()-ROW($B$24),0)),0))</f>
        <v>0</v>
      </c>
      <c r="C97" s="759">
        <f t="shared" si="18"/>
        <v>0</v>
      </c>
      <c r="D97" s="760">
        <f t="shared" si="19"/>
        <v>118970</v>
      </c>
      <c r="E97" s="760">
        <f t="shared" si="20"/>
        <v>0</v>
      </c>
      <c r="F97" s="760">
        <f t="shared" si="21"/>
        <v>0</v>
      </c>
      <c r="G97" s="340">
        <v>0</v>
      </c>
      <c r="H97" s="760">
        <f t="shared" si="22"/>
        <v>0</v>
      </c>
      <c r="I97" s="760">
        <f t="shared" si="29"/>
        <v>0</v>
      </c>
      <c r="J97" s="760">
        <f t="shared" si="23"/>
        <v>0</v>
      </c>
      <c r="K97" s="760">
        <f t="shared" si="24"/>
        <v>0</v>
      </c>
      <c r="L97" s="760">
        <f t="shared" si="25"/>
        <v>118970</v>
      </c>
      <c r="M97" s="760">
        <f>IFERROR(IF(L96=0,0,SUM($J$25:J97)),0)</f>
        <v>0</v>
      </c>
      <c r="N97" s="366">
        <f t="shared" si="15"/>
        <v>1.025603448275862</v>
      </c>
      <c r="O97" s="761">
        <f t="shared" si="16"/>
        <v>0</v>
      </c>
      <c r="P97" s="28"/>
      <c r="Q97" s="1681">
        <f t="shared" si="26"/>
        <v>0</v>
      </c>
      <c r="R97" s="1682">
        <f t="shared" si="17"/>
        <v>0</v>
      </c>
      <c r="S97" s="1682">
        <f t="shared" si="27"/>
        <v>0</v>
      </c>
      <c r="T97" s="1682">
        <f t="shared" si="28"/>
        <v>1900</v>
      </c>
    </row>
    <row r="98" spans="2:20" s="283" customFormat="1" ht="13.8" x14ac:dyDescent="0.3">
      <c r="B98" s="758" cm="1">
        <f t="array" ref="B98">IF(active_refi=1,IF(ROW()-ROW($B$24)&lt;=$E$12*$E$13+refi_month,ROW()-ROW($B$24),0),IF(activeloan,IF(L97=0,0,IF(ROW()-ROW($B$24)&lt;=$D$12*$D$13,ROW()-ROW($B$24),0)),0))</f>
        <v>0</v>
      </c>
      <c r="C98" s="759">
        <f t="shared" si="18"/>
        <v>0</v>
      </c>
      <c r="D98" s="760">
        <f t="shared" si="19"/>
        <v>118970</v>
      </c>
      <c r="E98" s="760">
        <f t="shared" si="20"/>
        <v>0</v>
      </c>
      <c r="F98" s="760">
        <f t="shared" si="21"/>
        <v>0</v>
      </c>
      <c r="G98" s="340">
        <v>0</v>
      </c>
      <c r="H98" s="760">
        <f t="shared" si="22"/>
        <v>0</v>
      </c>
      <c r="I98" s="760">
        <f t="shared" si="29"/>
        <v>0</v>
      </c>
      <c r="J98" s="760">
        <f t="shared" si="23"/>
        <v>0</v>
      </c>
      <c r="K98" s="760">
        <f t="shared" si="24"/>
        <v>0</v>
      </c>
      <c r="L98" s="760">
        <f t="shared" si="25"/>
        <v>118970</v>
      </c>
      <c r="M98" s="760">
        <f>IFERROR(IF(L97=0,0,SUM($J$25:J98)),0)</f>
        <v>0</v>
      </c>
      <c r="N98" s="366">
        <f t="shared" si="15"/>
        <v>1.025603448275862</v>
      </c>
      <c r="O98" s="761">
        <f t="shared" si="16"/>
        <v>0</v>
      </c>
      <c r="P98" s="28"/>
      <c r="Q98" s="1681">
        <f t="shared" si="26"/>
        <v>0</v>
      </c>
      <c r="R98" s="1682">
        <f t="shared" si="17"/>
        <v>0</v>
      </c>
      <c r="S98" s="1682">
        <f t="shared" si="27"/>
        <v>0</v>
      </c>
      <c r="T98" s="1682">
        <f t="shared" si="28"/>
        <v>1900</v>
      </c>
    </row>
    <row r="99" spans="2:20" s="283" customFormat="1" ht="13.8" x14ac:dyDescent="0.3">
      <c r="B99" s="758" cm="1">
        <f t="array" ref="B99">IF(active_refi=1,IF(ROW()-ROW($B$24)&lt;=$E$12*$E$13+refi_month,ROW()-ROW($B$24),0),IF(activeloan,IF(L98=0,0,IF(ROW()-ROW($B$24)&lt;=$D$12*$D$13,ROW()-ROW($B$24),0)),0))</f>
        <v>0</v>
      </c>
      <c r="C99" s="759">
        <f t="shared" si="18"/>
        <v>0</v>
      </c>
      <c r="D99" s="760">
        <f t="shared" si="19"/>
        <v>118970</v>
      </c>
      <c r="E99" s="760">
        <f t="shared" si="20"/>
        <v>0</v>
      </c>
      <c r="F99" s="760">
        <f t="shared" si="21"/>
        <v>0</v>
      </c>
      <c r="G99" s="340">
        <v>0</v>
      </c>
      <c r="H99" s="760">
        <f t="shared" si="22"/>
        <v>0</v>
      </c>
      <c r="I99" s="760">
        <f t="shared" si="29"/>
        <v>0</v>
      </c>
      <c r="J99" s="760">
        <f t="shared" si="23"/>
        <v>0</v>
      </c>
      <c r="K99" s="760">
        <f t="shared" si="24"/>
        <v>0</v>
      </c>
      <c r="L99" s="760">
        <f t="shared" si="25"/>
        <v>118970</v>
      </c>
      <c r="M99" s="760">
        <f>IFERROR(IF(L98=0,0,SUM($J$25:J99)),0)</f>
        <v>0</v>
      </c>
      <c r="N99" s="366">
        <f t="shared" si="15"/>
        <v>1.025603448275862</v>
      </c>
      <c r="O99" s="761">
        <f t="shared" si="16"/>
        <v>0</v>
      </c>
      <c r="P99" s="28"/>
      <c r="Q99" s="1681">
        <f t="shared" si="26"/>
        <v>0</v>
      </c>
      <c r="R99" s="1682">
        <f t="shared" si="17"/>
        <v>0</v>
      </c>
      <c r="S99" s="1682">
        <f t="shared" si="27"/>
        <v>0</v>
      </c>
      <c r="T99" s="1682">
        <f t="shared" si="28"/>
        <v>1900</v>
      </c>
    </row>
    <row r="100" spans="2:20" s="283" customFormat="1" ht="13.8" x14ac:dyDescent="0.3">
      <c r="B100" s="758" cm="1">
        <f t="array" ref="B100">IF(active_refi=1,IF(ROW()-ROW($B$24)&lt;=$E$12*$E$13+refi_month,ROW()-ROW($B$24),0),IF(activeloan,IF(L99=0,0,IF(ROW()-ROW($B$24)&lt;=$D$12*$D$13,ROW()-ROW($B$24),0)),0))</f>
        <v>0</v>
      </c>
      <c r="C100" s="759">
        <f t="shared" si="18"/>
        <v>0</v>
      </c>
      <c r="D100" s="760">
        <f t="shared" si="19"/>
        <v>118970</v>
      </c>
      <c r="E100" s="760">
        <f t="shared" si="20"/>
        <v>0</v>
      </c>
      <c r="F100" s="760">
        <f t="shared" si="21"/>
        <v>0</v>
      </c>
      <c r="G100" s="340">
        <v>0</v>
      </c>
      <c r="H100" s="760">
        <f t="shared" si="22"/>
        <v>0</v>
      </c>
      <c r="I100" s="760">
        <f t="shared" si="29"/>
        <v>0</v>
      </c>
      <c r="J100" s="760">
        <f t="shared" si="23"/>
        <v>0</v>
      </c>
      <c r="K100" s="760">
        <f t="shared" si="24"/>
        <v>0</v>
      </c>
      <c r="L100" s="760">
        <f t="shared" si="25"/>
        <v>118970</v>
      </c>
      <c r="M100" s="760">
        <f>IFERROR(IF(L99=0,0,SUM($J$25:J100)),0)</f>
        <v>0</v>
      </c>
      <c r="N100" s="366">
        <f t="shared" si="15"/>
        <v>1.025603448275862</v>
      </c>
      <c r="O100" s="761">
        <f t="shared" si="16"/>
        <v>0</v>
      </c>
      <c r="P100" s="28"/>
      <c r="Q100" s="1681">
        <f t="shared" si="26"/>
        <v>0</v>
      </c>
      <c r="R100" s="1682">
        <f t="shared" si="17"/>
        <v>0</v>
      </c>
      <c r="S100" s="1682">
        <f t="shared" si="27"/>
        <v>0</v>
      </c>
      <c r="T100" s="1682">
        <f t="shared" si="28"/>
        <v>1900</v>
      </c>
    </row>
    <row r="101" spans="2:20" s="283" customFormat="1" ht="13.8" x14ac:dyDescent="0.3">
      <c r="B101" s="758" cm="1">
        <f t="array" ref="B101">IF(active_refi=1,IF(ROW()-ROW($B$24)&lt;=$E$12*$E$13+refi_month,ROW()-ROW($B$24),0),IF(activeloan,IF(L100=0,0,IF(ROW()-ROW($B$24)&lt;=$D$12*$D$13,ROW()-ROW($B$24),0)),0))</f>
        <v>0</v>
      </c>
      <c r="C101" s="759">
        <f t="shared" si="18"/>
        <v>0</v>
      </c>
      <c r="D101" s="760">
        <f t="shared" si="19"/>
        <v>118970</v>
      </c>
      <c r="E101" s="760">
        <f t="shared" si="20"/>
        <v>0</v>
      </c>
      <c r="F101" s="760">
        <f t="shared" si="21"/>
        <v>0</v>
      </c>
      <c r="G101" s="340">
        <v>0</v>
      </c>
      <c r="H101" s="760">
        <f t="shared" si="22"/>
        <v>0</v>
      </c>
      <c r="I101" s="760">
        <f t="shared" si="29"/>
        <v>0</v>
      </c>
      <c r="J101" s="760">
        <f t="shared" si="23"/>
        <v>0</v>
      </c>
      <c r="K101" s="760">
        <f t="shared" si="24"/>
        <v>0</v>
      </c>
      <c r="L101" s="760">
        <f t="shared" si="25"/>
        <v>118970</v>
      </c>
      <c r="M101" s="760">
        <f>IFERROR(IF(L100=0,0,SUM($J$25:J101)),0)</f>
        <v>0</v>
      </c>
      <c r="N101" s="366">
        <f t="shared" si="15"/>
        <v>1.025603448275862</v>
      </c>
      <c r="O101" s="761">
        <f t="shared" si="16"/>
        <v>0</v>
      </c>
      <c r="P101" s="28"/>
      <c r="Q101" s="1681">
        <f t="shared" si="26"/>
        <v>0</v>
      </c>
      <c r="R101" s="1682">
        <f t="shared" si="17"/>
        <v>0</v>
      </c>
      <c r="S101" s="1682">
        <f t="shared" si="27"/>
        <v>0</v>
      </c>
      <c r="T101" s="1682">
        <f t="shared" si="28"/>
        <v>1900</v>
      </c>
    </row>
    <row r="102" spans="2:20" s="283" customFormat="1" ht="13.8" x14ac:dyDescent="0.3">
      <c r="B102" s="758" cm="1">
        <f t="array" ref="B102">IF(active_refi=1,IF(ROW()-ROW($B$24)&lt;=$E$12*$E$13+refi_month,ROW()-ROW($B$24),0),IF(activeloan,IF(L101=0,0,IF(ROW()-ROW($B$24)&lt;=$D$12*$D$13,ROW()-ROW($B$24),0)),0))</f>
        <v>0</v>
      </c>
      <c r="C102" s="759">
        <f t="shared" si="18"/>
        <v>0</v>
      </c>
      <c r="D102" s="760">
        <f t="shared" si="19"/>
        <v>118970</v>
      </c>
      <c r="E102" s="760">
        <f t="shared" si="20"/>
        <v>0</v>
      </c>
      <c r="F102" s="760">
        <f t="shared" si="21"/>
        <v>0</v>
      </c>
      <c r="G102" s="340">
        <v>0</v>
      </c>
      <c r="H102" s="760">
        <f t="shared" si="22"/>
        <v>0</v>
      </c>
      <c r="I102" s="760">
        <f t="shared" si="29"/>
        <v>0</v>
      </c>
      <c r="J102" s="760">
        <f t="shared" si="23"/>
        <v>0</v>
      </c>
      <c r="K102" s="760">
        <f t="shared" si="24"/>
        <v>0</v>
      </c>
      <c r="L102" s="760">
        <f t="shared" si="25"/>
        <v>118970</v>
      </c>
      <c r="M102" s="760">
        <f>IFERROR(IF(L101=0,0,SUM($J$25:J102)),0)</f>
        <v>0</v>
      </c>
      <c r="N102" s="366">
        <f t="shared" si="15"/>
        <v>1.025603448275862</v>
      </c>
      <c r="O102" s="761">
        <f t="shared" si="16"/>
        <v>0</v>
      </c>
      <c r="P102" s="28"/>
      <c r="Q102" s="1681">
        <f t="shared" si="26"/>
        <v>0</v>
      </c>
      <c r="R102" s="1682">
        <f t="shared" si="17"/>
        <v>0</v>
      </c>
      <c r="S102" s="1682">
        <f t="shared" si="27"/>
        <v>0</v>
      </c>
      <c r="T102" s="1682">
        <f t="shared" si="28"/>
        <v>1900</v>
      </c>
    </row>
    <row r="103" spans="2:20" s="283" customFormat="1" ht="13.8" x14ac:dyDescent="0.3">
      <c r="B103" s="758" cm="1">
        <f t="array" ref="B103">IF(active_refi=1,IF(ROW()-ROW($B$24)&lt;=$E$12*$E$13+refi_month,ROW()-ROW($B$24),0),IF(activeloan,IF(L102=0,0,IF(ROW()-ROW($B$24)&lt;=$D$12*$D$13,ROW()-ROW($B$24),0)),0))</f>
        <v>0</v>
      </c>
      <c r="C103" s="759">
        <f t="shared" si="18"/>
        <v>0</v>
      </c>
      <c r="D103" s="760">
        <f t="shared" si="19"/>
        <v>118970</v>
      </c>
      <c r="E103" s="760">
        <f t="shared" si="20"/>
        <v>0</v>
      </c>
      <c r="F103" s="760">
        <f t="shared" si="21"/>
        <v>0</v>
      </c>
      <c r="G103" s="340">
        <v>0</v>
      </c>
      <c r="H103" s="760">
        <f t="shared" si="22"/>
        <v>0</v>
      </c>
      <c r="I103" s="760">
        <f t="shared" si="29"/>
        <v>0</v>
      </c>
      <c r="J103" s="760">
        <f t="shared" si="23"/>
        <v>0</v>
      </c>
      <c r="K103" s="760">
        <f t="shared" si="24"/>
        <v>0</v>
      </c>
      <c r="L103" s="760">
        <f t="shared" si="25"/>
        <v>118970</v>
      </c>
      <c r="M103" s="760">
        <f>IFERROR(IF(L102=0,0,SUM($J$25:J103)),0)</f>
        <v>0</v>
      </c>
      <c r="N103" s="366">
        <f t="shared" si="15"/>
        <v>1.025603448275862</v>
      </c>
      <c r="O103" s="761">
        <f t="shared" si="16"/>
        <v>0</v>
      </c>
      <c r="P103" s="28"/>
      <c r="Q103" s="1681">
        <f t="shared" si="26"/>
        <v>0</v>
      </c>
      <c r="R103" s="1682">
        <f t="shared" si="17"/>
        <v>0</v>
      </c>
      <c r="S103" s="1682">
        <f t="shared" si="27"/>
        <v>0</v>
      </c>
      <c r="T103" s="1682">
        <f t="shared" si="28"/>
        <v>1900</v>
      </c>
    </row>
    <row r="104" spans="2:20" s="283" customFormat="1" ht="13.8" x14ac:dyDescent="0.3">
      <c r="B104" s="758" cm="1">
        <f t="array" ref="B104">IF(active_refi=1,IF(ROW()-ROW($B$24)&lt;=$E$12*$E$13+refi_month,ROW()-ROW($B$24),0),IF(activeloan,IF(L103=0,0,IF(ROW()-ROW($B$24)&lt;=$D$12*$D$13,ROW()-ROW($B$24),0)),0))</f>
        <v>0</v>
      </c>
      <c r="C104" s="759">
        <f t="shared" si="18"/>
        <v>0</v>
      </c>
      <c r="D104" s="760">
        <f t="shared" si="19"/>
        <v>118970</v>
      </c>
      <c r="E104" s="760">
        <f t="shared" si="20"/>
        <v>0</v>
      </c>
      <c r="F104" s="760">
        <f t="shared" si="21"/>
        <v>0</v>
      </c>
      <c r="G104" s="340">
        <v>0</v>
      </c>
      <c r="H104" s="760">
        <f t="shared" si="22"/>
        <v>0</v>
      </c>
      <c r="I104" s="760">
        <f t="shared" si="29"/>
        <v>0</v>
      </c>
      <c r="J104" s="760">
        <f t="shared" si="23"/>
        <v>0</v>
      </c>
      <c r="K104" s="760">
        <f t="shared" si="24"/>
        <v>0</v>
      </c>
      <c r="L104" s="760">
        <f t="shared" si="25"/>
        <v>118970</v>
      </c>
      <c r="M104" s="760">
        <f>IFERROR(IF(L103=0,0,SUM($J$25:J104)),0)</f>
        <v>0</v>
      </c>
      <c r="N104" s="366">
        <f t="shared" si="15"/>
        <v>1.025603448275862</v>
      </c>
      <c r="O104" s="761">
        <f t="shared" si="16"/>
        <v>0</v>
      </c>
      <c r="P104" s="28"/>
      <c r="Q104" s="1681">
        <f t="shared" si="26"/>
        <v>0</v>
      </c>
      <c r="R104" s="1682">
        <f t="shared" si="17"/>
        <v>0</v>
      </c>
      <c r="S104" s="1682">
        <f t="shared" si="27"/>
        <v>0</v>
      </c>
      <c r="T104" s="1682">
        <f t="shared" si="28"/>
        <v>1900</v>
      </c>
    </row>
    <row r="105" spans="2:20" s="283" customFormat="1" ht="13.8" x14ac:dyDescent="0.3">
      <c r="B105" s="758" cm="1">
        <f t="array" ref="B105">IF(active_refi=1,IF(ROW()-ROW($B$24)&lt;=$E$12*$E$13+refi_month,ROW()-ROW($B$24),0),IF(activeloan,IF(L104=0,0,IF(ROW()-ROW($B$24)&lt;=$D$12*$D$13,ROW()-ROW($B$24),0)),0))</f>
        <v>0</v>
      </c>
      <c r="C105" s="759">
        <f t="shared" si="18"/>
        <v>0</v>
      </c>
      <c r="D105" s="760">
        <f t="shared" si="19"/>
        <v>118970</v>
      </c>
      <c r="E105" s="760">
        <f t="shared" si="20"/>
        <v>0</v>
      </c>
      <c r="F105" s="760">
        <f t="shared" si="21"/>
        <v>0</v>
      </c>
      <c r="G105" s="340">
        <v>0</v>
      </c>
      <c r="H105" s="760">
        <f t="shared" si="22"/>
        <v>0</v>
      </c>
      <c r="I105" s="760">
        <f t="shared" si="29"/>
        <v>0</v>
      </c>
      <c r="J105" s="760">
        <f t="shared" si="23"/>
        <v>0</v>
      </c>
      <c r="K105" s="760">
        <f t="shared" si="24"/>
        <v>0</v>
      </c>
      <c r="L105" s="760">
        <f t="shared" si="25"/>
        <v>118970</v>
      </c>
      <c r="M105" s="760">
        <f>IFERROR(IF(L104=0,0,SUM($J$25:J105)),0)</f>
        <v>0</v>
      </c>
      <c r="N105" s="366">
        <f t="shared" si="15"/>
        <v>1.025603448275862</v>
      </c>
      <c r="O105" s="761">
        <f t="shared" si="16"/>
        <v>0</v>
      </c>
      <c r="P105" s="28"/>
      <c r="Q105" s="1681">
        <f t="shared" si="26"/>
        <v>0</v>
      </c>
      <c r="R105" s="1682">
        <f t="shared" si="17"/>
        <v>0</v>
      </c>
      <c r="S105" s="1682">
        <f t="shared" si="27"/>
        <v>0</v>
      </c>
      <c r="T105" s="1682">
        <f t="shared" si="28"/>
        <v>1900</v>
      </c>
    </row>
    <row r="106" spans="2:20" s="283" customFormat="1" ht="13.8" x14ac:dyDescent="0.3">
      <c r="B106" s="758" cm="1">
        <f t="array" ref="B106">IF(active_refi=1,IF(ROW()-ROW($B$24)&lt;=$E$12*$E$13+refi_month,ROW()-ROW($B$24),0),IF(activeloan,IF(L105=0,0,IF(ROW()-ROW($B$24)&lt;=$D$12*$D$13,ROW()-ROW($B$24),0)),0))</f>
        <v>0</v>
      </c>
      <c r="C106" s="759">
        <f t="shared" si="18"/>
        <v>0</v>
      </c>
      <c r="D106" s="760">
        <f t="shared" si="19"/>
        <v>118970</v>
      </c>
      <c r="E106" s="760">
        <f t="shared" si="20"/>
        <v>0</v>
      </c>
      <c r="F106" s="760">
        <f t="shared" si="21"/>
        <v>0</v>
      </c>
      <c r="G106" s="340">
        <v>0</v>
      </c>
      <c r="H106" s="760">
        <f t="shared" si="22"/>
        <v>0</v>
      </c>
      <c r="I106" s="760">
        <f t="shared" si="29"/>
        <v>0</v>
      </c>
      <c r="J106" s="760">
        <f t="shared" si="23"/>
        <v>0</v>
      </c>
      <c r="K106" s="760">
        <f t="shared" si="24"/>
        <v>0</v>
      </c>
      <c r="L106" s="760">
        <f t="shared" si="25"/>
        <v>118970</v>
      </c>
      <c r="M106" s="760">
        <f>IFERROR(IF(L105=0,0,SUM($J$25:J106)),0)</f>
        <v>0</v>
      </c>
      <c r="N106" s="366">
        <f t="shared" si="15"/>
        <v>1.025603448275862</v>
      </c>
      <c r="O106" s="761">
        <f t="shared" si="16"/>
        <v>0</v>
      </c>
      <c r="P106" s="28"/>
      <c r="Q106" s="1681">
        <f t="shared" si="26"/>
        <v>0</v>
      </c>
      <c r="R106" s="1682">
        <f t="shared" si="17"/>
        <v>0</v>
      </c>
      <c r="S106" s="1682">
        <f t="shared" si="27"/>
        <v>0</v>
      </c>
      <c r="T106" s="1682">
        <f t="shared" si="28"/>
        <v>1900</v>
      </c>
    </row>
    <row r="107" spans="2:20" s="283" customFormat="1" ht="13.8" x14ac:dyDescent="0.3">
      <c r="B107" s="758" cm="1">
        <f t="array" ref="B107">IF(active_refi=1,IF(ROW()-ROW($B$24)&lt;=$E$12*$E$13+refi_month,ROW()-ROW($B$24),0),IF(activeloan,IF(L106=0,0,IF(ROW()-ROW($B$24)&lt;=$D$12*$D$13,ROW()-ROW($B$24),0)),0))</f>
        <v>0</v>
      </c>
      <c r="C107" s="759">
        <f t="shared" si="18"/>
        <v>0</v>
      </c>
      <c r="D107" s="760">
        <f t="shared" si="19"/>
        <v>118970</v>
      </c>
      <c r="E107" s="760">
        <f t="shared" si="20"/>
        <v>0</v>
      </c>
      <c r="F107" s="760">
        <f t="shared" si="21"/>
        <v>0</v>
      </c>
      <c r="G107" s="340">
        <v>0</v>
      </c>
      <c r="H107" s="760">
        <f t="shared" si="22"/>
        <v>0</v>
      </c>
      <c r="I107" s="760">
        <f t="shared" si="29"/>
        <v>0</v>
      </c>
      <c r="J107" s="760">
        <f t="shared" si="23"/>
        <v>0</v>
      </c>
      <c r="K107" s="760">
        <f t="shared" si="24"/>
        <v>0</v>
      </c>
      <c r="L107" s="760">
        <f t="shared" si="25"/>
        <v>118970</v>
      </c>
      <c r="M107" s="760">
        <f>IFERROR(IF(L106=0,0,SUM($J$25:J107)),0)</f>
        <v>0</v>
      </c>
      <c r="N107" s="366">
        <f t="shared" si="15"/>
        <v>1.025603448275862</v>
      </c>
      <c r="O107" s="761">
        <f t="shared" si="16"/>
        <v>0</v>
      </c>
      <c r="P107" s="28"/>
      <c r="Q107" s="1681">
        <f t="shared" si="26"/>
        <v>0</v>
      </c>
      <c r="R107" s="1682">
        <f t="shared" si="17"/>
        <v>0</v>
      </c>
      <c r="S107" s="1682">
        <f t="shared" si="27"/>
        <v>0</v>
      </c>
      <c r="T107" s="1682">
        <f t="shared" si="28"/>
        <v>1900</v>
      </c>
    </row>
    <row r="108" spans="2:20" s="283" customFormat="1" ht="13.8" x14ac:dyDescent="0.3">
      <c r="B108" s="758" cm="1">
        <f t="array" ref="B108">IF(active_refi=1,IF(ROW()-ROW($B$24)&lt;=$E$12*$E$13+refi_month,ROW()-ROW($B$24),0),IF(activeloan,IF(L107=0,0,IF(ROW()-ROW($B$24)&lt;=$D$12*$D$13,ROW()-ROW($B$24),0)),0))</f>
        <v>0</v>
      </c>
      <c r="C108" s="759">
        <f t="shared" si="18"/>
        <v>0</v>
      </c>
      <c r="D108" s="760">
        <f t="shared" si="19"/>
        <v>118970</v>
      </c>
      <c r="E108" s="760">
        <f t="shared" si="20"/>
        <v>0</v>
      </c>
      <c r="F108" s="760">
        <f t="shared" si="21"/>
        <v>0</v>
      </c>
      <c r="G108" s="340">
        <v>0</v>
      </c>
      <c r="H108" s="760">
        <f t="shared" si="22"/>
        <v>0</v>
      </c>
      <c r="I108" s="760">
        <f t="shared" si="29"/>
        <v>0</v>
      </c>
      <c r="J108" s="760">
        <f t="shared" si="23"/>
        <v>0</v>
      </c>
      <c r="K108" s="760">
        <f t="shared" si="24"/>
        <v>0</v>
      </c>
      <c r="L108" s="760">
        <f t="shared" si="25"/>
        <v>118970</v>
      </c>
      <c r="M108" s="760">
        <f>IFERROR(IF(L107=0,0,SUM($J$25:J108)),0)</f>
        <v>0</v>
      </c>
      <c r="N108" s="366">
        <f t="shared" si="15"/>
        <v>1.025603448275862</v>
      </c>
      <c r="O108" s="761">
        <f t="shared" si="16"/>
        <v>0</v>
      </c>
      <c r="P108" s="28"/>
      <c r="Q108" s="1681">
        <f t="shared" si="26"/>
        <v>0</v>
      </c>
      <c r="R108" s="1682">
        <f t="shared" si="17"/>
        <v>0</v>
      </c>
      <c r="S108" s="1682">
        <f t="shared" si="27"/>
        <v>0</v>
      </c>
      <c r="T108" s="1682">
        <f t="shared" si="28"/>
        <v>1900</v>
      </c>
    </row>
    <row r="109" spans="2:20" s="283" customFormat="1" ht="13.8" x14ac:dyDescent="0.3">
      <c r="B109" s="758" cm="1">
        <f t="array" ref="B109">IF(active_refi=1,IF(ROW()-ROW($B$24)&lt;=$E$12*$E$13+refi_month,ROW()-ROW($B$24),0),IF(activeloan,IF(L108=0,0,IF(ROW()-ROW($B$24)&lt;=$D$12*$D$13,ROW()-ROW($B$24),0)),0))</f>
        <v>0</v>
      </c>
      <c r="C109" s="759">
        <f t="shared" si="18"/>
        <v>0</v>
      </c>
      <c r="D109" s="760">
        <f t="shared" si="19"/>
        <v>118970</v>
      </c>
      <c r="E109" s="760">
        <f t="shared" si="20"/>
        <v>0</v>
      </c>
      <c r="F109" s="760">
        <f t="shared" si="21"/>
        <v>0</v>
      </c>
      <c r="G109" s="340">
        <v>0</v>
      </c>
      <c r="H109" s="760">
        <f t="shared" si="22"/>
        <v>0</v>
      </c>
      <c r="I109" s="760">
        <f t="shared" si="29"/>
        <v>0</v>
      </c>
      <c r="J109" s="760">
        <f t="shared" si="23"/>
        <v>0</v>
      </c>
      <c r="K109" s="760">
        <f t="shared" si="24"/>
        <v>0</v>
      </c>
      <c r="L109" s="760">
        <f t="shared" si="25"/>
        <v>118970</v>
      </c>
      <c r="M109" s="760">
        <f>IFERROR(IF(L108=0,0,SUM($J$25:J109)),0)</f>
        <v>0</v>
      </c>
      <c r="N109" s="366">
        <f t="shared" si="15"/>
        <v>1.025603448275862</v>
      </c>
      <c r="O109" s="761">
        <f t="shared" si="16"/>
        <v>0</v>
      </c>
      <c r="P109" s="28"/>
      <c r="Q109" s="1681">
        <f t="shared" si="26"/>
        <v>0</v>
      </c>
      <c r="R109" s="1682">
        <f t="shared" si="17"/>
        <v>0</v>
      </c>
      <c r="S109" s="1682">
        <f t="shared" si="27"/>
        <v>0</v>
      </c>
      <c r="T109" s="1682">
        <f t="shared" si="28"/>
        <v>1900</v>
      </c>
    </row>
    <row r="110" spans="2:20" s="283" customFormat="1" ht="13.8" x14ac:dyDescent="0.3">
      <c r="B110" s="758" cm="1">
        <f t="array" ref="B110">IF(active_refi=1,IF(ROW()-ROW($B$24)&lt;=$E$12*$E$13+refi_month,ROW()-ROW($B$24),0),IF(activeloan,IF(L109=0,0,IF(ROW()-ROW($B$24)&lt;=$D$12*$D$13,ROW()-ROW($B$24),0)),0))</f>
        <v>0</v>
      </c>
      <c r="C110" s="759">
        <f t="shared" si="18"/>
        <v>0</v>
      </c>
      <c r="D110" s="760">
        <f t="shared" si="19"/>
        <v>118970</v>
      </c>
      <c r="E110" s="760">
        <f t="shared" si="20"/>
        <v>0</v>
      </c>
      <c r="F110" s="760">
        <f t="shared" si="21"/>
        <v>0</v>
      </c>
      <c r="G110" s="340">
        <v>0</v>
      </c>
      <c r="H110" s="760">
        <f t="shared" si="22"/>
        <v>0</v>
      </c>
      <c r="I110" s="760">
        <f t="shared" si="29"/>
        <v>0</v>
      </c>
      <c r="J110" s="760">
        <f t="shared" si="23"/>
        <v>0</v>
      </c>
      <c r="K110" s="760">
        <f t="shared" si="24"/>
        <v>0</v>
      </c>
      <c r="L110" s="760">
        <f t="shared" si="25"/>
        <v>118970</v>
      </c>
      <c r="M110" s="760">
        <f>IFERROR(IF(L109=0,0,SUM($J$25:J110)),0)</f>
        <v>0</v>
      </c>
      <c r="N110" s="366">
        <f t="shared" si="15"/>
        <v>1.025603448275862</v>
      </c>
      <c r="O110" s="761">
        <f t="shared" si="16"/>
        <v>0</v>
      </c>
      <c r="P110" s="28"/>
      <c r="Q110" s="1681">
        <f t="shared" si="26"/>
        <v>0</v>
      </c>
      <c r="R110" s="1682">
        <f t="shared" si="17"/>
        <v>0</v>
      </c>
      <c r="S110" s="1682">
        <f t="shared" si="27"/>
        <v>0</v>
      </c>
      <c r="T110" s="1682">
        <f t="shared" si="28"/>
        <v>1900</v>
      </c>
    </row>
    <row r="111" spans="2:20" s="283" customFormat="1" ht="13.8" x14ac:dyDescent="0.3">
      <c r="B111" s="758" cm="1">
        <f t="array" ref="B111">IF(active_refi=1,IF(ROW()-ROW($B$24)&lt;=$E$12*$E$13+refi_month,ROW()-ROW($B$24),0),IF(activeloan,IF(L110=0,0,IF(ROW()-ROW($B$24)&lt;=$D$12*$D$13,ROW()-ROW($B$24),0)),0))</f>
        <v>0</v>
      </c>
      <c r="C111" s="759">
        <f t="shared" si="18"/>
        <v>0</v>
      </c>
      <c r="D111" s="760">
        <f t="shared" si="19"/>
        <v>118970</v>
      </c>
      <c r="E111" s="760">
        <f t="shared" si="20"/>
        <v>0</v>
      </c>
      <c r="F111" s="760">
        <f t="shared" si="21"/>
        <v>0</v>
      </c>
      <c r="G111" s="340">
        <v>0</v>
      </c>
      <c r="H111" s="760">
        <f t="shared" si="22"/>
        <v>0</v>
      </c>
      <c r="I111" s="760">
        <f t="shared" si="29"/>
        <v>0</v>
      </c>
      <c r="J111" s="760">
        <f t="shared" si="23"/>
        <v>0</v>
      </c>
      <c r="K111" s="760">
        <f t="shared" si="24"/>
        <v>0</v>
      </c>
      <c r="L111" s="760">
        <f t="shared" si="25"/>
        <v>118970</v>
      </c>
      <c r="M111" s="760">
        <f>IFERROR(IF(L110=0,0,SUM($J$25:J111)),0)</f>
        <v>0</v>
      </c>
      <c r="N111" s="366">
        <f t="shared" si="15"/>
        <v>1.025603448275862</v>
      </c>
      <c r="O111" s="761">
        <f t="shared" si="16"/>
        <v>0</v>
      </c>
      <c r="P111" s="28"/>
      <c r="Q111" s="1681">
        <f t="shared" si="26"/>
        <v>0</v>
      </c>
      <c r="R111" s="1682">
        <f t="shared" si="17"/>
        <v>0</v>
      </c>
      <c r="S111" s="1682">
        <f t="shared" si="27"/>
        <v>0</v>
      </c>
      <c r="T111" s="1682">
        <f t="shared" si="28"/>
        <v>1900</v>
      </c>
    </row>
    <row r="112" spans="2:20" s="283" customFormat="1" ht="13.8" x14ac:dyDescent="0.3">
      <c r="B112" s="758" cm="1">
        <f t="array" ref="B112">IF(active_refi=1,IF(ROW()-ROW($B$24)&lt;=$E$12*$E$13+refi_month,ROW()-ROW($B$24),0),IF(activeloan,IF(L111=0,0,IF(ROW()-ROW($B$24)&lt;=$D$12*$D$13,ROW()-ROW($B$24),0)),0))</f>
        <v>0</v>
      </c>
      <c r="C112" s="759">
        <f t="shared" si="18"/>
        <v>0</v>
      </c>
      <c r="D112" s="760">
        <f t="shared" si="19"/>
        <v>118970</v>
      </c>
      <c r="E112" s="760">
        <f t="shared" si="20"/>
        <v>0</v>
      </c>
      <c r="F112" s="760">
        <f t="shared" si="21"/>
        <v>0</v>
      </c>
      <c r="G112" s="340">
        <v>0</v>
      </c>
      <c r="H112" s="760">
        <f t="shared" si="22"/>
        <v>0</v>
      </c>
      <c r="I112" s="760">
        <f t="shared" si="29"/>
        <v>0</v>
      </c>
      <c r="J112" s="760">
        <f t="shared" si="23"/>
        <v>0</v>
      </c>
      <c r="K112" s="760">
        <f t="shared" si="24"/>
        <v>0</v>
      </c>
      <c r="L112" s="760">
        <f t="shared" si="25"/>
        <v>118970</v>
      </c>
      <c r="M112" s="760">
        <f>IFERROR(IF(L111=0,0,SUM($J$25:J112)),0)</f>
        <v>0</v>
      </c>
      <c r="N112" s="366">
        <f t="shared" si="15"/>
        <v>1.025603448275862</v>
      </c>
      <c r="O112" s="761">
        <f t="shared" si="16"/>
        <v>0</v>
      </c>
      <c r="P112" s="28"/>
      <c r="Q112" s="1681">
        <f t="shared" si="26"/>
        <v>0</v>
      </c>
      <c r="R112" s="1682">
        <f t="shared" si="17"/>
        <v>0</v>
      </c>
      <c r="S112" s="1682">
        <f t="shared" si="27"/>
        <v>0</v>
      </c>
      <c r="T112" s="1682">
        <f t="shared" si="28"/>
        <v>1900</v>
      </c>
    </row>
    <row r="113" spans="2:20" s="283" customFormat="1" ht="13.8" x14ac:dyDescent="0.3">
      <c r="B113" s="758" cm="1">
        <f t="array" ref="B113">IF(active_refi=1,IF(ROW()-ROW($B$24)&lt;=$E$12*$E$13+refi_month,ROW()-ROW($B$24),0),IF(activeloan,IF(L112=0,0,IF(ROW()-ROW($B$24)&lt;=$D$12*$D$13,ROW()-ROW($B$24),0)),0))</f>
        <v>0</v>
      </c>
      <c r="C113" s="759">
        <f t="shared" si="18"/>
        <v>0</v>
      </c>
      <c r="D113" s="760">
        <f t="shared" si="19"/>
        <v>118970</v>
      </c>
      <c r="E113" s="760">
        <f t="shared" si="20"/>
        <v>0</v>
      </c>
      <c r="F113" s="760">
        <f t="shared" si="21"/>
        <v>0</v>
      </c>
      <c r="G113" s="340">
        <v>0</v>
      </c>
      <c r="H113" s="760">
        <f t="shared" si="22"/>
        <v>0</v>
      </c>
      <c r="I113" s="760">
        <f t="shared" si="29"/>
        <v>0</v>
      </c>
      <c r="J113" s="760">
        <f t="shared" si="23"/>
        <v>0</v>
      </c>
      <c r="K113" s="760">
        <f t="shared" si="24"/>
        <v>0</v>
      </c>
      <c r="L113" s="760">
        <f t="shared" si="25"/>
        <v>118970</v>
      </c>
      <c r="M113" s="760">
        <f>IFERROR(IF(L112=0,0,SUM($J$25:J113)),0)</f>
        <v>0</v>
      </c>
      <c r="N113" s="366">
        <f t="shared" si="15"/>
        <v>1.025603448275862</v>
      </c>
      <c r="O113" s="761">
        <f t="shared" si="16"/>
        <v>0</v>
      </c>
      <c r="P113" s="28"/>
      <c r="Q113" s="1681">
        <f t="shared" si="26"/>
        <v>0</v>
      </c>
      <c r="R113" s="1682">
        <f t="shared" si="17"/>
        <v>0</v>
      </c>
      <c r="S113" s="1682">
        <f t="shared" si="27"/>
        <v>0</v>
      </c>
      <c r="T113" s="1682">
        <f t="shared" si="28"/>
        <v>1900</v>
      </c>
    </row>
    <row r="114" spans="2:20" s="283" customFormat="1" ht="13.8" x14ac:dyDescent="0.3">
      <c r="B114" s="758" cm="1">
        <f t="array" ref="B114">IF(active_refi=1,IF(ROW()-ROW($B$24)&lt;=$E$12*$E$13+refi_month,ROW()-ROW($B$24),0),IF(activeloan,IF(L113=0,0,IF(ROW()-ROW($B$24)&lt;=$D$12*$D$13,ROW()-ROW($B$24),0)),0))</f>
        <v>0</v>
      </c>
      <c r="C114" s="759">
        <f t="shared" si="18"/>
        <v>0</v>
      </c>
      <c r="D114" s="760">
        <f t="shared" si="19"/>
        <v>118970</v>
      </c>
      <c r="E114" s="760">
        <f t="shared" si="20"/>
        <v>0</v>
      </c>
      <c r="F114" s="760">
        <f t="shared" si="21"/>
        <v>0</v>
      </c>
      <c r="G114" s="340">
        <v>0</v>
      </c>
      <c r="H114" s="760">
        <f t="shared" si="22"/>
        <v>0</v>
      </c>
      <c r="I114" s="760">
        <f t="shared" si="29"/>
        <v>0</v>
      </c>
      <c r="J114" s="760">
        <f t="shared" si="23"/>
        <v>0</v>
      </c>
      <c r="K114" s="760">
        <f t="shared" si="24"/>
        <v>0</v>
      </c>
      <c r="L114" s="760">
        <f t="shared" si="25"/>
        <v>118970</v>
      </c>
      <c r="M114" s="760">
        <f>IFERROR(IF(L113=0,0,SUM($J$25:J114)),0)</f>
        <v>0</v>
      </c>
      <c r="N114" s="366">
        <f t="shared" si="15"/>
        <v>1.025603448275862</v>
      </c>
      <c r="O114" s="761">
        <f t="shared" si="16"/>
        <v>0</v>
      </c>
      <c r="P114" s="28"/>
      <c r="Q114" s="1681">
        <f t="shared" si="26"/>
        <v>0</v>
      </c>
      <c r="R114" s="1682">
        <f t="shared" si="17"/>
        <v>0</v>
      </c>
      <c r="S114" s="1682">
        <f t="shared" si="27"/>
        <v>0</v>
      </c>
      <c r="T114" s="1682">
        <f t="shared" si="28"/>
        <v>1900</v>
      </c>
    </row>
    <row r="115" spans="2:20" s="283" customFormat="1" ht="13.8" x14ac:dyDescent="0.3">
      <c r="B115" s="758" cm="1">
        <f t="array" ref="B115">IF(active_refi=1,IF(ROW()-ROW($B$24)&lt;=$E$12*$E$13+refi_month,ROW()-ROW($B$24),0),IF(activeloan,IF(L114=0,0,IF(ROW()-ROW($B$24)&lt;=$D$12*$D$13,ROW()-ROW($B$24),0)),0))</f>
        <v>0</v>
      </c>
      <c r="C115" s="759">
        <f t="shared" si="18"/>
        <v>0</v>
      </c>
      <c r="D115" s="760">
        <f t="shared" si="19"/>
        <v>118970</v>
      </c>
      <c r="E115" s="760">
        <f t="shared" si="20"/>
        <v>0</v>
      </c>
      <c r="F115" s="760">
        <f t="shared" si="21"/>
        <v>0</v>
      </c>
      <c r="G115" s="340">
        <v>0</v>
      </c>
      <c r="H115" s="760">
        <f t="shared" si="22"/>
        <v>0</v>
      </c>
      <c r="I115" s="760">
        <f t="shared" si="29"/>
        <v>0</v>
      </c>
      <c r="J115" s="760">
        <f t="shared" si="23"/>
        <v>0</v>
      </c>
      <c r="K115" s="760">
        <f t="shared" si="24"/>
        <v>0</v>
      </c>
      <c r="L115" s="760">
        <f t="shared" si="25"/>
        <v>118970</v>
      </c>
      <c r="M115" s="760">
        <f>IFERROR(IF(L114=0,0,SUM($J$25:J115)),0)</f>
        <v>0</v>
      </c>
      <c r="N115" s="366">
        <f t="shared" si="15"/>
        <v>1.025603448275862</v>
      </c>
      <c r="O115" s="761">
        <f t="shared" si="16"/>
        <v>0</v>
      </c>
      <c r="P115" s="28"/>
      <c r="Q115" s="1681">
        <f t="shared" si="26"/>
        <v>0</v>
      </c>
      <c r="R115" s="1682">
        <f t="shared" si="17"/>
        <v>0</v>
      </c>
      <c r="S115" s="1682">
        <f t="shared" si="27"/>
        <v>0</v>
      </c>
      <c r="T115" s="1682">
        <f t="shared" si="28"/>
        <v>1900</v>
      </c>
    </row>
    <row r="116" spans="2:20" s="283" customFormat="1" ht="13.8" x14ac:dyDescent="0.3">
      <c r="B116" s="758" cm="1">
        <f t="array" ref="B116">IF(active_refi=1,IF(ROW()-ROW($B$24)&lt;=$E$12*$E$13+refi_month,ROW()-ROW($B$24),0),IF(activeloan,IF(L115=0,0,IF(ROW()-ROW($B$24)&lt;=$D$12*$D$13,ROW()-ROW($B$24),0)),0))</f>
        <v>0</v>
      </c>
      <c r="C116" s="759">
        <f t="shared" si="18"/>
        <v>0</v>
      </c>
      <c r="D116" s="760">
        <f t="shared" si="19"/>
        <v>118970</v>
      </c>
      <c r="E116" s="760">
        <f t="shared" si="20"/>
        <v>0</v>
      </c>
      <c r="F116" s="760">
        <f t="shared" si="21"/>
        <v>0</v>
      </c>
      <c r="G116" s="340">
        <v>0</v>
      </c>
      <c r="H116" s="760">
        <f t="shared" si="22"/>
        <v>0</v>
      </c>
      <c r="I116" s="760">
        <f t="shared" si="29"/>
        <v>0</v>
      </c>
      <c r="J116" s="760">
        <f t="shared" si="23"/>
        <v>0</v>
      </c>
      <c r="K116" s="760">
        <f t="shared" si="24"/>
        <v>0</v>
      </c>
      <c r="L116" s="760">
        <f t="shared" si="25"/>
        <v>118970</v>
      </c>
      <c r="M116" s="760">
        <f>IFERROR(IF(L115=0,0,SUM($J$25:J116)),0)</f>
        <v>0</v>
      </c>
      <c r="N116" s="366">
        <f t="shared" si="15"/>
        <v>1.025603448275862</v>
      </c>
      <c r="O116" s="761">
        <f t="shared" si="16"/>
        <v>0</v>
      </c>
      <c r="P116" s="28"/>
      <c r="Q116" s="1681">
        <f t="shared" si="26"/>
        <v>0</v>
      </c>
      <c r="R116" s="1682">
        <f t="shared" si="17"/>
        <v>0</v>
      </c>
      <c r="S116" s="1682">
        <f t="shared" si="27"/>
        <v>0</v>
      </c>
      <c r="T116" s="1682">
        <f t="shared" si="28"/>
        <v>1900</v>
      </c>
    </row>
    <row r="117" spans="2:20" s="283" customFormat="1" ht="13.8" x14ac:dyDescent="0.3">
      <c r="B117" s="758" cm="1">
        <f t="array" ref="B117">IF(active_refi=1,IF(ROW()-ROW($B$24)&lt;=$E$12*$E$13+refi_month,ROW()-ROW($B$24),0),IF(activeloan,IF(L116=0,0,IF(ROW()-ROW($B$24)&lt;=$D$12*$D$13,ROW()-ROW($B$24),0)),0))</f>
        <v>0</v>
      </c>
      <c r="C117" s="759">
        <f t="shared" si="18"/>
        <v>0</v>
      </c>
      <c r="D117" s="760">
        <f t="shared" si="19"/>
        <v>118970</v>
      </c>
      <c r="E117" s="760">
        <f t="shared" si="20"/>
        <v>0</v>
      </c>
      <c r="F117" s="760">
        <f t="shared" si="21"/>
        <v>0</v>
      </c>
      <c r="G117" s="340">
        <v>0</v>
      </c>
      <c r="H117" s="760">
        <f t="shared" si="22"/>
        <v>0</v>
      </c>
      <c r="I117" s="760">
        <f t="shared" si="29"/>
        <v>0</v>
      </c>
      <c r="J117" s="760">
        <f t="shared" si="23"/>
        <v>0</v>
      </c>
      <c r="K117" s="760">
        <f t="shared" si="24"/>
        <v>0</v>
      </c>
      <c r="L117" s="760">
        <f t="shared" si="25"/>
        <v>118970</v>
      </c>
      <c r="M117" s="760">
        <f>IFERROR(IF(L116=0,0,SUM($J$25:J117)),0)</f>
        <v>0</v>
      </c>
      <c r="N117" s="366">
        <f t="shared" si="15"/>
        <v>1.025603448275862</v>
      </c>
      <c r="O117" s="761">
        <f t="shared" si="16"/>
        <v>0</v>
      </c>
      <c r="P117" s="28"/>
      <c r="Q117" s="1681">
        <f t="shared" si="26"/>
        <v>0</v>
      </c>
      <c r="R117" s="1682">
        <f t="shared" si="17"/>
        <v>0</v>
      </c>
      <c r="S117" s="1682">
        <f t="shared" si="27"/>
        <v>0</v>
      </c>
      <c r="T117" s="1682">
        <f t="shared" si="28"/>
        <v>1900</v>
      </c>
    </row>
    <row r="118" spans="2:20" s="283" customFormat="1" ht="13.8" x14ac:dyDescent="0.3">
      <c r="B118" s="758" cm="1">
        <f t="array" ref="B118">IF(active_refi=1,IF(ROW()-ROW($B$24)&lt;=$E$12*$E$13+refi_month,ROW()-ROW($B$24),0),IF(activeloan,IF(L117=0,0,IF(ROW()-ROW($B$24)&lt;=$D$12*$D$13,ROW()-ROW($B$24),0)),0))</f>
        <v>0</v>
      </c>
      <c r="C118" s="759">
        <f t="shared" si="18"/>
        <v>0</v>
      </c>
      <c r="D118" s="760">
        <f t="shared" si="19"/>
        <v>118970</v>
      </c>
      <c r="E118" s="760">
        <f t="shared" si="20"/>
        <v>0</v>
      </c>
      <c r="F118" s="760">
        <f t="shared" si="21"/>
        <v>0</v>
      </c>
      <c r="G118" s="340">
        <v>0</v>
      </c>
      <c r="H118" s="760">
        <f t="shared" si="22"/>
        <v>0</v>
      </c>
      <c r="I118" s="760">
        <f t="shared" si="29"/>
        <v>0</v>
      </c>
      <c r="J118" s="760">
        <f t="shared" si="23"/>
        <v>0</v>
      </c>
      <c r="K118" s="760">
        <f t="shared" si="24"/>
        <v>0</v>
      </c>
      <c r="L118" s="760">
        <f t="shared" si="25"/>
        <v>118970</v>
      </c>
      <c r="M118" s="760">
        <f>IFERROR(IF(L117=0,0,SUM($J$25:J118)),0)</f>
        <v>0</v>
      </c>
      <c r="N118" s="366">
        <f t="shared" si="15"/>
        <v>1.025603448275862</v>
      </c>
      <c r="O118" s="761">
        <f t="shared" si="16"/>
        <v>0</v>
      </c>
      <c r="P118" s="28"/>
      <c r="Q118" s="1681">
        <f t="shared" si="26"/>
        <v>0</v>
      </c>
      <c r="R118" s="1682">
        <f t="shared" si="17"/>
        <v>0</v>
      </c>
      <c r="S118" s="1682">
        <f t="shared" si="27"/>
        <v>0</v>
      </c>
      <c r="T118" s="1682">
        <f t="shared" si="28"/>
        <v>1900</v>
      </c>
    </row>
    <row r="119" spans="2:20" s="283" customFormat="1" ht="13.8" x14ac:dyDescent="0.3">
      <c r="B119" s="758" cm="1">
        <f t="array" ref="B119">IF(active_refi=1,IF(ROW()-ROW($B$24)&lt;=$E$12*$E$13+refi_month,ROW()-ROW($B$24),0),IF(activeloan,IF(L118=0,0,IF(ROW()-ROW($B$24)&lt;=$D$12*$D$13,ROW()-ROW($B$24),0)),0))</f>
        <v>0</v>
      </c>
      <c r="C119" s="759">
        <f t="shared" si="18"/>
        <v>0</v>
      </c>
      <c r="D119" s="760">
        <f t="shared" si="19"/>
        <v>118970</v>
      </c>
      <c r="E119" s="760">
        <f t="shared" si="20"/>
        <v>0</v>
      </c>
      <c r="F119" s="760">
        <f t="shared" si="21"/>
        <v>0</v>
      </c>
      <c r="G119" s="340">
        <v>0</v>
      </c>
      <c r="H119" s="760">
        <f t="shared" si="22"/>
        <v>0</v>
      </c>
      <c r="I119" s="760">
        <f t="shared" si="29"/>
        <v>0</v>
      </c>
      <c r="J119" s="760">
        <f t="shared" si="23"/>
        <v>0</v>
      </c>
      <c r="K119" s="760">
        <f t="shared" si="24"/>
        <v>0</v>
      </c>
      <c r="L119" s="760">
        <f t="shared" si="25"/>
        <v>118970</v>
      </c>
      <c r="M119" s="760">
        <f>IFERROR(IF(L118=0,0,SUM($J$25:J119)),0)</f>
        <v>0</v>
      </c>
      <c r="N119" s="366">
        <f t="shared" si="15"/>
        <v>1.025603448275862</v>
      </c>
      <c r="O119" s="761">
        <f t="shared" si="16"/>
        <v>0</v>
      </c>
      <c r="P119" s="28"/>
      <c r="Q119" s="1681">
        <f t="shared" si="26"/>
        <v>0</v>
      </c>
      <c r="R119" s="1682">
        <f t="shared" si="17"/>
        <v>0</v>
      </c>
      <c r="S119" s="1682">
        <f t="shared" si="27"/>
        <v>0</v>
      </c>
      <c r="T119" s="1682">
        <f t="shared" si="28"/>
        <v>1900</v>
      </c>
    </row>
    <row r="120" spans="2:20" s="283" customFormat="1" ht="13.8" x14ac:dyDescent="0.3">
      <c r="B120" s="758" cm="1">
        <f t="array" ref="B120">IF(active_refi=1,IF(ROW()-ROW($B$24)&lt;=$E$12*$E$13+refi_month,ROW()-ROW($B$24),0),IF(activeloan,IF(L119=0,0,IF(ROW()-ROW($B$24)&lt;=$D$12*$D$13,ROW()-ROW($B$24),0)),0))</f>
        <v>0</v>
      </c>
      <c r="C120" s="759">
        <f t="shared" si="18"/>
        <v>0</v>
      </c>
      <c r="D120" s="760">
        <f t="shared" si="19"/>
        <v>118970</v>
      </c>
      <c r="E120" s="760">
        <f t="shared" si="20"/>
        <v>0</v>
      </c>
      <c r="F120" s="760">
        <f t="shared" si="21"/>
        <v>0</v>
      </c>
      <c r="G120" s="340">
        <v>0</v>
      </c>
      <c r="H120" s="760">
        <f t="shared" si="22"/>
        <v>0</v>
      </c>
      <c r="I120" s="760">
        <f t="shared" si="29"/>
        <v>0</v>
      </c>
      <c r="J120" s="760">
        <f t="shared" si="23"/>
        <v>0</v>
      </c>
      <c r="K120" s="760">
        <f t="shared" si="24"/>
        <v>0</v>
      </c>
      <c r="L120" s="760">
        <f t="shared" si="25"/>
        <v>118970</v>
      </c>
      <c r="M120" s="760">
        <f>IFERROR(IF(L119=0,0,SUM($J$25:J120)),0)</f>
        <v>0</v>
      </c>
      <c r="N120" s="366">
        <f t="shared" si="15"/>
        <v>1.025603448275862</v>
      </c>
      <c r="O120" s="761">
        <f t="shared" si="16"/>
        <v>0</v>
      </c>
      <c r="P120" s="28"/>
      <c r="Q120" s="1681">
        <f t="shared" si="26"/>
        <v>0</v>
      </c>
      <c r="R120" s="1682">
        <f t="shared" si="17"/>
        <v>0</v>
      </c>
      <c r="S120" s="1682">
        <f t="shared" si="27"/>
        <v>0</v>
      </c>
      <c r="T120" s="1682">
        <f t="shared" si="28"/>
        <v>1900</v>
      </c>
    </row>
    <row r="121" spans="2:20" s="283" customFormat="1" ht="13.8" x14ac:dyDescent="0.3">
      <c r="B121" s="758" cm="1">
        <f t="array" ref="B121">IF(active_refi=1,IF(ROW()-ROW($B$24)&lt;=$E$12*$E$13+refi_month,ROW()-ROW($B$24),0),IF(activeloan,IF(L120=0,0,IF(ROW()-ROW($B$24)&lt;=$D$12*$D$13,ROW()-ROW($B$24),0)),0))</f>
        <v>0</v>
      </c>
      <c r="C121" s="759">
        <f t="shared" si="18"/>
        <v>0</v>
      </c>
      <c r="D121" s="760">
        <f t="shared" si="19"/>
        <v>118970</v>
      </c>
      <c r="E121" s="760">
        <f t="shared" si="20"/>
        <v>0</v>
      </c>
      <c r="F121" s="760">
        <f t="shared" si="21"/>
        <v>0</v>
      </c>
      <c r="G121" s="340">
        <v>0</v>
      </c>
      <c r="H121" s="760">
        <f t="shared" si="22"/>
        <v>0</v>
      </c>
      <c r="I121" s="760">
        <f t="shared" si="29"/>
        <v>0</v>
      </c>
      <c r="J121" s="760">
        <f t="shared" si="23"/>
        <v>0</v>
      </c>
      <c r="K121" s="760">
        <f t="shared" si="24"/>
        <v>0</v>
      </c>
      <c r="L121" s="760">
        <f t="shared" si="25"/>
        <v>118970</v>
      </c>
      <c r="M121" s="760">
        <f>IFERROR(IF(L120=0,0,SUM($J$25:J121)),0)</f>
        <v>0</v>
      </c>
      <c r="N121" s="366">
        <f t="shared" si="15"/>
        <v>1.025603448275862</v>
      </c>
      <c r="O121" s="761">
        <f t="shared" si="16"/>
        <v>0</v>
      </c>
      <c r="P121" s="28"/>
      <c r="Q121" s="1681">
        <f t="shared" si="26"/>
        <v>0</v>
      </c>
      <c r="R121" s="1682">
        <f t="shared" si="17"/>
        <v>0</v>
      </c>
      <c r="S121" s="1682">
        <f t="shared" si="27"/>
        <v>0</v>
      </c>
      <c r="T121" s="1682">
        <f t="shared" si="28"/>
        <v>1900</v>
      </c>
    </row>
    <row r="122" spans="2:20" s="283" customFormat="1" ht="13.8" x14ac:dyDescent="0.3">
      <c r="B122" s="758" cm="1">
        <f t="array" ref="B122">IF(active_refi=1,IF(ROW()-ROW($B$24)&lt;=$E$12*$E$13+refi_month,ROW()-ROW($B$24),0),IF(activeloan,IF(L121=0,0,IF(ROW()-ROW($B$24)&lt;=$D$12*$D$13,ROW()-ROW($B$24),0)),0))</f>
        <v>0</v>
      </c>
      <c r="C122" s="759">
        <f t="shared" si="18"/>
        <v>0</v>
      </c>
      <c r="D122" s="760">
        <f t="shared" si="19"/>
        <v>118970</v>
      </c>
      <c r="E122" s="760">
        <f t="shared" si="20"/>
        <v>0</v>
      </c>
      <c r="F122" s="760">
        <f t="shared" si="21"/>
        <v>0</v>
      </c>
      <c r="G122" s="340">
        <v>0</v>
      </c>
      <c r="H122" s="760">
        <f t="shared" si="22"/>
        <v>0</v>
      </c>
      <c r="I122" s="760">
        <f t="shared" si="29"/>
        <v>0</v>
      </c>
      <c r="J122" s="760">
        <f t="shared" si="23"/>
        <v>0</v>
      </c>
      <c r="K122" s="760">
        <f t="shared" si="24"/>
        <v>0</v>
      </c>
      <c r="L122" s="760">
        <f t="shared" si="25"/>
        <v>118970</v>
      </c>
      <c r="M122" s="760">
        <f>IFERROR(IF(L121=0,0,SUM($J$25:J122)),0)</f>
        <v>0</v>
      </c>
      <c r="N122" s="366">
        <f t="shared" si="15"/>
        <v>1.025603448275862</v>
      </c>
      <c r="O122" s="761">
        <f t="shared" si="16"/>
        <v>0</v>
      </c>
      <c r="P122" s="28"/>
      <c r="Q122" s="1681">
        <f t="shared" si="26"/>
        <v>0</v>
      </c>
      <c r="R122" s="1682">
        <f t="shared" si="17"/>
        <v>0</v>
      </c>
      <c r="S122" s="1682">
        <f t="shared" si="27"/>
        <v>0</v>
      </c>
      <c r="T122" s="1682">
        <f t="shared" si="28"/>
        <v>1900</v>
      </c>
    </row>
    <row r="123" spans="2:20" s="283" customFormat="1" ht="13.8" x14ac:dyDescent="0.3">
      <c r="B123" s="758" cm="1">
        <f t="array" ref="B123">IF(active_refi=1,IF(ROW()-ROW($B$24)&lt;=$E$12*$E$13+refi_month,ROW()-ROW($B$24),0),IF(activeloan,IF(L122=0,0,IF(ROW()-ROW($B$24)&lt;=$D$12*$D$13,ROW()-ROW($B$24),0)),0))</f>
        <v>0</v>
      </c>
      <c r="C123" s="759">
        <f t="shared" si="18"/>
        <v>0</v>
      </c>
      <c r="D123" s="760">
        <f t="shared" si="19"/>
        <v>118970</v>
      </c>
      <c r="E123" s="760">
        <f t="shared" si="20"/>
        <v>0</v>
      </c>
      <c r="F123" s="760">
        <f t="shared" si="21"/>
        <v>0</v>
      </c>
      <c r="G123" s="340">
        <v>0</v>
      </c>
      <c r="H123" s="760">
        <f t="shared" si="22"/>
        <v>0</v>
      </c>
      <c r="I123" s="760">
        <f t="shared" si="29"/>
        <v>0</v>
      </c>
      <c r="J123" s="760">
        <f t="shared" si="23"/>
        <v>0</v>
      </c>
      <c r="K123" s="760">
        <f t="shared" si="24"/>
        <v>0</v>
      </c>
      <c r="L123" s="760">
        <f t="shared" si="25"/>
        <v>118970</v>
      </c>
      <c r="M123" s="760">
        <f>IFERROR(IF(L122=0,0,SUM($J$25:J123)),0)</f>
        <v>0</v>
      </c>
      <c r="N123" s="366">
        <f t="shared" si="15"/>
        <v>1.025603448275862</v>
      </c>
      <c r="O123" s="761">
        <f t="shared" si="16"/>
        <v>0</v>
      </c>
      <c r="P123" s="28"/>
      <c r="Q123" s="1681">
        <f t="shared" si="26"/>
        <v>0</v>
      </c>
      <c r="R123" s="1682">
        <f t="shared" si="17"/>
        <v>0</v>
      </c>
      <c r="S123" s="1682">
        <f t="shared" si="27"/>
        <v>0</v>
      </c>
      <c r="T123" s="1682">
        <f t="shared" si="28"/>
        <v>1900</v>
      </c>
    </row>
    <row r="124" spans="2:20" s="283" customFormat="1" ht="13.8" x14ac:dyDescent="0.3">
      <c r="B124" s="758" cm="1">
        <f t="array" ref="B124">IF(active_refi=1,IF(ROW()-ROW($B$24)&lt;=$E$12*$E$13+refi_month,ROW()-ROW($B$24),0),IF(activeloan,IF(L123=0,0,IF(ROW()-ROW($B$24)&lt;=$D$12*$D$13,ROW()-ROW($B$24),0)),0))</f>
        <v>0</v>
      </c>
      <c r="C124" s="759">
        <f t="shared" si="18"/>
        <v>0</v>
      </c>
      <c r="D124" s="760">
        <f t="shared" si="19"/>
        <v>118970</v>
      </c>
      <c r="E124" s="760">
        <f t="shared" si="20"/>
        <v>0</v>
      </c>
      <c r="F124" s="760">
        <f t="shared" si="21"/>
        <v>0</v>
      </c>
      <c r="G124" s="340">
        <v>0</v>
      </c>
      <c r="H124" s="760">
        <f t="shared" si="22"/>
        <v>0</v>
      </c>
      <c r="I124" s="760">
        <f t="shared" si="29"/>
        <v>0</v>
      </c>
      <c r="J124" s="760">
        <f t="shared" si="23"/>
        <v>0</v>
      </c>
      <c r="K124" s="760">
        <f t="shared" si="24"/>
        <v>0</v>
      </c>
      <c r="L124" s="760">
        <f t="shared" si="25"/>
        <v>118970</v>
      </c>
      <c r="M124" s="760">
        <f>IFERROR(IF(L123=0,0,SUM($J$25:J124)),0)</f>
        <v>0</v>
      </c>
      <c r="N124" s="366">
        <f t="shared" si="15"/>
        <v>1.025603448275862</v>
      </c>
      <c r="O124" s="761">
        <f t="shared" si="16"/>
        <v>0</v>
      </c>
      <c r="P124" s="28"/>
      <c r="Q124" s="1681">
        <f t="shared" si="26"/>
        <v>0</v>
      </c>
      <c r="R124" s="1682">
        <f t="shared" si="17"/>
        <v>0</v>
      </c>
      <c r="S124" s="1682">
        <f t="shared" si="27"/>
        <v>0</v>
      </c>
      <c r="T124" s="1682">
        <f t="shared" si="28"/>
        <v>1900</v>
      </c>
    </row>
    <row r="125" spans="2:20" s="283" customFormat="1" ht="13.8" x14ac:dyDescent="0.3">
      <c r="B125" s="758" cm="1">
        <f t="array" ref="B125">IF(active_refi=1,IF(ROW()-ROW($B$24)&lt;=$E$12*$E$13+refi_month,ROW()-ROW($B$24),0),IF(activeloan,IF(L124=0,0,IF(ROW()-ROW($B$24)&lt;=$D$12*$D$13,ROW()-ROW($B$24),0)),0))</f>
        <v>0</v>
      </c>
      <c r="C125" s="759">
        <f t="shared" si="18"/>
        <v>0</v>
      </c>
      <c r="D125" s="760">
        <f t="shared" si="19"/>
        <v>118970</v>
      </c>
      <c r="E125" s="760">
        <f t="shared" si="20"/>
        <v>0</v>
      </c>
      <c r="F125" s="760">
        <f t="shared" si="21"/>
        <v>0</v>
      </c>
      <c r="G125" s="340">
        <v>0</v>
      </c>
      <c r="H125" s="760">
        <f t="shared" si="22"/>
        <v>0</v>
      </c>
      <c r="I125" s="760">
        <f t="shared" si="29"/>
        <v>0</v>
      </c>
      <c r="J125" s="760">
        <f t="shared" si="23"/>
        <v>0</v>
      </c>
      <c r="K125" s="760">
        <f t="shared" si="24"/>
        <v>0</v>
      </c>
      <c r="L125" s="760">
        <f t="shared" si="25"/>
        <v>118970</v>
      </c>
      <c r="M125" s="760">
        <f>IFERROR(IF(L124=0,0,SUM($J$25:J125)),0)</f>
        <v>0</v>
      </c>
      <c r="N125" s="366">
        <f t="shared" si="15"/>
        <v>1.025603448275862</v>
      </c>
      <c r="O125" s="761">
        <f t="shared" si="16"/>
        <v>0</v>
      </c>
      <c r="P125" s="28"/>
      <c r="Q125" s="1681">
        <f t="shared" si="26"/>
        <v>0</v>
      </c>
      <c r="R125" s="1682">
        <f t="shared" si="17"/>
        <v>0</v>
      </c>
      <c r="S125" s="1682">
        <f t="shared" si="27"/>
        <v>0</v>
      </c>
      <c r="T125" s="1682">
        <f t="shared" si="28"/>
        <v>1900</v>
      </c>
    </row>
    <row r="126" spans="2:20" s="283" customFormat="1" ht="13.8" x14ac:dyDescent="0.3">
      <c r="B126" s="758" cm="1">
        <f t="array" ref="B126">IF(active_refi=1,IF(ROW()-ROW($B$24)&lt;=$E$12*$E$13+refi_month,ROW()-ROW($B$24),0),IF(activeloan,IF(L125=0,0,IF(ROW()-ROW($B$24)&lt;=$D$12*$D$13,ROW()-ROW($B$24),0)),0))</f>
        <v>0</v>
      </c>
      <c r="C126" s="759">
        <f t="shared" si="18"/>
        <v>0</v>
      </c>
      <c r="D126" s="760">
        <f t="shared" si="19"/>
        <v>118970</v>
      </c>
      <c r="E126" s="760">
        <f t="shared" si="20"/>
        <v>0</v>
      </c>
      <c r="F126" s="760">
        <f t="shared" si="21"/>
        <v>0</v>
      </c>
      <c r="G126" s="340">
        <v>0</v>
      </c>
      <c r="H126" s="760">
        <f t="shared" si="22"/>
        <v>0</v>
      </c>
      <c r="I126" s="760">
        <f t="shared" si="29"/>
        <v>0</v>
      </c>
      <c r="J126" s="760">
        <f t="shared" si="23"/>
        <v>0</v>
      </c>
      <c r="K126" s="760">
        <f t="shared" si="24"/>
        <v>0</v>
      </c>
      <c r="L126" s="760">
        <f t="shared" si="25"/>
        <v>118970</v>
      </c>
      <c r="M126" s="760">
        <f>IFERROR(IF(L125=0,0,SUM($J$25:J126)),0)</f>
        <v>0</v>
      </c>
      <c r="N126" s="366">
        <f t="shared" si="15"/>
        <v>1.025603448275862</v>
      </c>
      <c r="O126" s="761">
        <f t="shared" si="16"/>
        <v>0</v>
      </c>
      <c r="P126" s="28"/>
      <c r="Q126" s="1681">
        <f t="shared" si="26"/>
        <v>0</v>
      </c>
      <c r="R126" s="1682">
        <f t="shared" si="17"/>
        <v>0</v>
      </c>
      <c r="S126" s="1682">
        <f t="shared" si="27"/>
        <v>0</v>
      </c>
      <c r="T126" s="1682">
        <f t="shared" si="28"/>
        <v>1900</v>
      </c>
    </row>
    <row r="127" spans="2:20" s="283" customFormat="1" ht="13.8" x14ac:dyDescent="0.3">
      <c r="B127" s="758" cm="1">
        <f t="array" ref="B127">IF(active_refi=1,IF(ROW()-ROW($B$24)&lt;=$E$12*$E$13+refi_month,ROW()-ROW($B$24),0),IF(activeloan,IF(L126=0,0,IF(ROW()-ROW($B$24)&lt;=$D$12*$D$13,ROW()-ROW($B$24),0)),0))</f>
        <v>0</v>
      </c>
      <c r="C127" s="759">
        <f t="shared" si="18"/>
        <v>0</v>
      </c>
      <c r="D127" s="760">
        <f t="shared" si="19"/>
        <v>118970</v>
      </c>
      <c r="E127" s="760">
        <f t="shared" si="20"/>
        <v>0</v>
      </c>
      <c r="F127" s="760">
        <f t="shared" si="21"/>
        <v>0</v>
      </c>
      <c r="G127" s="340">
        <v>0</v>
      </c>
      <c r="H127" s="760">
        <f t="shared" si="22"/>
        <v>0</v>
      </c>
      <c r="I127" s="760">
        <f t="shared" si="29"/>
        <v>0</v>
      </c>
      <c r="J127" s="760">
        <f t="shared" si="23"/>
        <v>0</v>
      </c>
      <c r="K127" s="760">
        <f t="shared" si="24"/>
        <v>0</v>
      </c>
      <c r="L127" s="760">
        <f t="shared" si="25"/>
        <v>118970</v>
      </c>
      <c r="M127" s="760">
        <f>IFERROR(IF(L126=0,0,SUM($J$25:J127)),0)</f>
        <v>0</v>
      </c>
      <c r="N127" s="366">
        <f t="shared" si="15"/>
        <v>1.025603448275862</v>
      </c>
      <c r="O127" s="761">
        <f t="shared" si="16"/>
        <v>0</v>
      </c>
      <c r="P127" s="28"/>
      <c r="Q127" s="1681">
        <f t="shared" si="26"/>
        <v>0</v>
      </c>
      <c r="R127" s="1682">
        <f t="shared" si="17"/>
        <v>0</v>
      </c>
      <c r="S127" s="1682">
        <f t="shared" si="27"/>
        <v>0</v>
      </c>
      <c r="T127" s="1682">
        <f t="shared" si="28"/>
        <v>1900</v>
      </c>
    </row>
    <row r="128" spans="2:20" s="283" customFormat="1" ht="13.8" x14ac:dyDescent="0.3">
      <c r="B128" s="758" cm="1">
        <f t="array" ref="B128">IF(active_refi=1,IF(ROW()-ROW($B$24)&lt;=$E$12*$E$13+refi_month,ROW()-ROW($B$24),0),IF(activeloan,IF(L127=0,0,IF(ROW()-ROW($B$24)&lt;=$D$12*$D$13,ROW()-ROW($B$24),0)),0))</f>
        <v>0</v>
      </c>
      <c r="C128" s="759">
        <f t="shared" si="18"/>
        <v>0</v>
      </c>
      <c r="D128" s="760">
        <f t="shared" si="19"/>
        <v>118970</v>
      </c>
      <c r="E128" s="760">
        <f t="shared" si="20"/>
        <v>0</v>
      </c>
      <c r="F128" s="760">
        <f t="shared" si="21"/>
        <v>0</v>
      </c>
      <c r="G128" s="340">
        <v>0</v>
      </c>
      <c r="H128" s="760">
        <f t="shared" si="22"/>
        <v>0</v>
      </c>
      <c r="I128" s="760">
        <f t="shared" si="29"/>
        <v>0</v>
      </c>
      <c r="J128" s="760">
        <f t="shared" si="23"/>
        <v>0</v>
      </c>
      <c r="K128" s="760">
        <f t="shared" si="24"/>
        <v>0</v>
      </c>
      <c r="L128" s="760">
        <f t="shared" si="25"/>
        <v>118970</v>
      </c>
      <c r="M128" s="760">
        <f>IFERROR(IF(L127=0,0,SUM($J$25:J128)),0)</f>
        <v>0</v>
      </c>
      <c r="N128" s="366">
        <f t="shared" si="15"/>
        <v>1.025603448275862</v>
      </c>
      <c r="O128" s="761">
        <f t="shared" si="16"/>
        <v>0</v>
      </c>
      <c r="P128" s="28"/>
      <c r="Q128" s="1681">
        <f t="shared" si="26"/>
        <v>0</v>
      </c>
      <c r="R128" s="1682">
        <f t="shared" si="17"/>
        <v>0</v>
      </c>
      <c r="S128" s="1682">
        <f t="shared" si="27"/>
        <v>0</v>
      </c>
      <c r="T128" s="1682">
        <f t="shared" si="28"/>
        <v>1900</v>
      </c>
    </row>
    <row r="129" spans="2:20" s="283" customFormat="1" ht="13.8" x14ac:dyDescent="0.3">
      <c r="B129" s="758" cm="1">
        <f t="array" ref="B129">IF(active_refi=1,IF(ROW()-ROW($B$24)&lt;=$E$12*$E$13+refi_month,ROW()-ROW($B$24),0),IF(activeloan,IF(L128=0,0,IF(ROW()-ROW($B$24)&lt;=$D$12*$D$13,ROW()-ROW($B$24),0)),0))</f>
        <v>0</v>
      </c>
      <c r="C129" s="759">
        <f t="shared" si="18"/>
        <v>0</v>
      </c>
      <c r="D129" s="760">
        <f t="shared" si="19"/>
        <v>118970</v>
      </c>
      <c r="E129" s="760">
        <f t="shared" si="20"/>
        <v>0</v>
      </c>
      <c r="F129" s="760">
        <f t="shared" si="21"/>
        <v>0</v>
      </c>
      <c r="G129" s="340">
        <v>0</v>
      </c>
      <c r="H129" s="760">
        <f t="shared" si="22"/>
        <v>0</v>
      </c>
      <c r="I129" s="760">
        <f t="shared" si="29"/>
        <v>0</v>
      </c>
      <c r="J129" s="760">
        <f t="shared" si="23"/>
        <v>0</v>
      </c>
      <c r="K129" s="760">
        <f t="shared" si="24"/>
        <v>0</v>
      </c>
      <c r="L129" s="760">
        <f t="shared" si="25"/>
        <v>118970</v>
      </c>
      <c r="M129" s="760">
        <f>IFERROR(IF(L128=0,0,SUM($J$25:J129)),0)</f>
        <v>0</v>
      </c>
      <c r="N129" s="366">
        <f t="shared" si="15"/>
        <v>1.025603448275862</v>
      </c>
      <c r="O129" s="761">
        <f t="shared" si="16"/>
        <v>0</v>
      </c>
      <c r="P129" s="28"/>
      <c r="Q129" s="1681">
        <f t="shared" si="26"/>
        <v>0</v>
      </c>
      <c r="R129" s="1682">
        <f t="shared" si="17"/>
        <v>0</v>
      </c>
      <c r="S129" s="1682">
        <f t="shared" si="27"/>
        <v>0</v>
      </c>
      <c r="T129" s="1682">
        <f t="shared" si="28"/>
        <v>1900</v>
      </c>
    </row>
    <row r="130" spans="2:20" s="283" customFormat="1" ht="13.8" x14ac:dyDescent="0.3">
      <c r="B130" s="758" cm="1">
        <f t="array" ref="B130">IF(active_refi=1,IF(ROW()-ROW($B$24)&lt;=$E$12*$E$13+refi_month,ROW()-ROW($B$24),0),IF(activeloan,IF(L129=0,0,IF(ROW()-ROW($B$24)&lt;=$D$12*$D$13,ROW()-ROW($B$24),0)),0))</f>
        <v>0</v>
      </c>
      <c r="C130" s="759">
        <f t="shared" si="18"/>
        <v>0</v>
      </c>
      <c r="D130" s="760">
        <f t="shared" si="19"/>
        <v>118970</v>
      </c>
      <c r="E130" s="760">
        <f t="shared" si="20"/>
        <v>0</v>
      </c>
      <c r="F130" s="760">
        <f t="shared" si="21"/>
        <v>0</v>
      </c>
      <c r="G130" s="340">
        <v>0</v>
      </c>
      <c r="H130" s="760">
        <f t="shared" si="22"/>
        <v>0</v>
      </c>
      <c r="I130" s="760">
        <f t="shared" si="29"/>
        <v>0</v>
      </c>
      <c r="J130" s="760">
        <f t="shared" si="23"/>
        <v>0</v>
      </c>
      <c r="K130" s="760">
        <f t="shared" si="24"/>
        <v>0</v>
      </c>
      <c r="L130" s="760">
        <f t="shared" si="25"/>
        <v>118970</v>
      </c>
      <c r="M130" s="760">
        <f>IFERROR(IF(L129=0,0,SUM($J$25:J130)),0)</f>
        <v>0</v>
      </c>
      <c r="N130" s="366">
        <f t="shared" si="15"/>
        <v>1.025603448275862</v>
      </c>
      <c r="O130" s="761">
        <f t="shared" si="16"/>
        <v>0</v>
      </c>
      <c r="P130" s="28"/>
      <c r="Q130" s="1681">
        <f t="shared" si="26"/>
        <v>0</v>
      </c>
      <c r="R130" s="1682">
        <f t="shared" si="17"/>
        <v>0</v>
      </c>
      <c r="S130" s="1682">
        <f t="shared" si="27"/>
        <v>0</v>
      </c>
      <c r="T130" s="1682">
        <f t="shared" si="28"/>
        <v>1900</v>
      </c>
    </row>
    <row r="131" spans="2:20" s="283" customFormat="1" ht="13.8" x14ac:dyDescent="0.3">
      <c r="B131" s="758" cm="1">
        <f t="array" ref="B131">IF(active_refi=1,IF(ROW()-ROW($B$24)&lt;=$E$12*$E$13+refi_month,ROW()-ROW($B$24),0),IF(activeloan,IF(L130=0,0,IF(ROW()-ROW($B$24)&lt;=$D$12*$D$13,ROW()-ROW($B$24),0)),0))</f>
        <v>0</v>
      </c>
      <c r="C131" s="759">
        <f t="shared" si="18"/>
        <v>0</v>
      </c>
      <c r="D131" s="760">
        <f t="shared" si="19"/>
        <v>118970</v>
      </c>
      <c r="E131" s="760">
        <f t="shared" si="20"/>
        <v>0</v>
      </c>
      <c r="F131" s="760">
        <f t="shared" si="21"/>
        <v>0</v>
      </c>
      <c r="G131" s="340">
        <v>0</v>
      </c>
      <c r="H131" s="760">
        <f t="shared" si="22"/>
        <v>0</v>
      </c>
      <c r="I131" s="760">
        <f t="shared" si="29"/>
        <v>0</v>
      </c>
      <c r="J131" s="760">
        <f t="shared" si="23"/>
        <v>0</v>
      </c>
      <c r="K131" s="760">
        <f t="shared" si="24"/>
        <v>0</v>
      </c>
      <c r="L131" s="760">
        <f t="shared" si="25"/>
        <v>118970</v>
      </c>
      <c r="M131" s="760">
        <f>IFERROR(IF(L130=0,0,SUM($J$25:J131)),0)</f>
        <v>0</v>
      </c>
      <c r="N131" s="366">
        <f t="shared" si="15"/>
        <v>1.025603448275862</v>
      </c>
      <c r="O131" s="761">
        <f t="shared" si="16"/>
        <v>0</v>
      </c>
      <c r="P131" s="28"/>
      <c r="Q131" s="1681">
        <f t="shared" si="26"/>
        <v>0</v>
      </c>
      <c r="R131" s="1682">
        <f t="shared" si="17"/>
        <v>0</v>
      </c>
      <c r="S131" s="1682">
        <f t="shared" si="27"/>
        <v>0</v>
      </c>
      <c r="T131" s="1682">
        <f t="shared" si="28"/>
        <v>1900</v>
      </c>
    </row>
    <row r="132" spans="2:20" s="283" customFormat="1" ht="13.8" x14ac:dyDescent="0.3">
      <c r="B132" s="758" cm="1">
        <f t="array" ref="B132">IF(active_refi=1,IF(ROW()-ROW($B$24)&lt;=$E$12*$E$13+refi_month,ROW()-ROW($B$24),0),IF(activeloan,IF(L131=0,0,IF(ROW()-ROW($B$24)&lt;=$D$12*$D$13,ROW()-ROW($B$24),0)),0))</f>
        <v>0</v>
      </c>
      <c r="C132" s="759">
        <f t="shared" si="18"/>
        <v>0</v>
      </c>
      <c r="D132" s="760">
        <f t="shared" si="19"/>
        <v>118970</v>
      </c>
      <c r="E132" s="760">
        <f t="shared" si="20"/>
        <v>0</v>
      </c>
      <c r="F132" s="760">
        <f t="shared" si="21"/>
        <v>0</v>
      </c>
      <c r="G132" s="340">
        <v>0</v>
      </c>
      <c r="H132" s="760">
        <f t="shared" si="22"/>
        <v>0</v>
      </c>
      <c r="I132" s="760">
        <f t="shared" si="29"/>
        <v>0</v>
      </c>
      <c r="J132" s="760">
        <f t="shared" si="23"/>
        <v>0</v>
      </c>
      <c r="K132" s="760">
        <f t="shared" si="24"/>
        <v>0</v>
      </c>
      <c r="L132" s="760">
        <f t="shared" si="25"/>
        <v>118970</v>
      </c>
      <c r="M132" s="760">
        <f>IFERROR(IF(L131=0,0,SUM($J$25:J132)),0)</f>
        <v>0</v>
      </c>
      <c r="N132" s="366">
        <f t="shared" si="15"/>
        <v>1.025603448275862</v>
      </c>
      <c r="O132" s="761">
        <f t="shared" si="16"/>
        <v>0</v>
      </c>
      <c r="P132" s="28"/>
      <c r="Q132" s="1681">
        <f t="shared" si="26"/>
        <v>0</v>
      </c>
      <c r="R132" s="1682">
        <f t="shared" si="17"/>
        <v>0</v>
      </c>
      <c r="S132" s="1682">
        <f t="shared" si="27"/>
        <v>0</v>
      </c>
      <c r="T132" s="1682">
        <f t="shared" si="28"/>
        <v>1900</v>
      </c>
    </row>
    <row r="133" spans="2:20" s="283" customFormat="1" ht="13.8" x14ac:dyDescent="0.3">
      <c r="B133" s="758" cm="1">
        <f t="array" ref="B133">IF(active_refi=1,IF(ROW()-ROW($B$24)&lt;=$E$12*$E$13+refi_month,ROW()-ROW($B$24),0),IF(activeloan,IF(L132=0,0,IF(ROW()-ROW($B$24)&lt;=$D$12*$D$13,ROW()-ROW($B$24),0)),0))</f>
        <v>0</v>
      </c>
      <c r="C133" s="759">
        <f t="shared" si="18"/>
        <v>0</v>
      </c>
      <c r="D133" s="760">
        <f t="shared" si="19"/>
        <v>118970</v>
      </c>
      <c r="E133" s="760">
        <f t="shared" si="20"/>
        <v>0</v>
      </c>
      <c r="F133" s="760">
        <f t="shared" si="21"/>
        <v>0</v>
      </c>
      <c r="G133" s="340">
        <v>0</v>
      </c>
      <c r="H133" s="760">
        <f t="shared" si="22"/>
        <v>0</v>
      </c>
      <c r="I133" s="760">
        <f t="shared" si="29"/>
        <v>0</v>
      </c>
      <c r="J133" s="760">
        <f t="shared" si="23"/>
        <v>0</v>
      </c>
      <c r="K133" s="760">
        <f t="shared" si="24"/>
        <v>0</v>
      </c>
      <c r="L133" s="760">
        <f t="shared" si="25"/>
        <v>118970</v>
      </c>
      <c r="M133" s="760">
        <f>IFERROR(IF(L132=0,0,SUM($J$25:J133)),0)</f>
        <v>0</v>
      </c>
      <c r="N133" s="366">
        <f t="shared" si="15"/>
        <v>1.025603448275862</v>
      </c>
      <c r="O133" s="761">
        <f t="shared" si="16"/>
        <v>0</v>
      </c>
      <c r="P133" s="28"/>
      <c r="Q133" s="1681">
        <f t="shared" si="26"/>
        <v>0</v>
      </c>
      <c r="R133" s="1682">
        <f t="shared" si="17"/>
        <v>0</v>
      </c>
      <c r="S133" s="1682">
        <f t="shared" si="27"/>
        <v>0</v>
      </c>
      <c r="T133" s="1682">
        <f t="shared" si="28"/>
        <v>1900</v>
      </c>
    </row>
    <row r="134" spans="2:20" s="283" customFormat="1" ht="13.8" x14ac:dyDescent="0.3">
      <c r="B134" s="758" cm="1">
        <f t="array" ref="B134">IF(active_refi=1,IF(ROW()-ROW($B$24)&lt;=$E$12*$E$13+refi_month,ROW()-ROW($B$24),0),IF(activeloan,IF(L133=0,0,IF(ROW()-ROW($B$24)&lt;=$D$12*$D$13,ROW()-ROW($B$24),0)),0))</f>
        <v>0</v>
      </c>
      <c r="C134" s="759">
        <f t="shared" si="18"/>
        <v>0</v>
      </c>
      <c r="D134" s="760">
        <f t="shared" si="19"/>
        <v>118970</v>
      </c>
      <c r="E134" s="760">
        <f t="shared" si="20"/>
        <v>0</v>
      </c>
      <c r="F134" s="760">
        <f t="shared" si="21"/>
        <v>0</v>
      </c>
      <c r="G134" s="340">
        <v>0</v>
      </c>
      <c r="H134" s="760">
        <f t="shared" si="22"/>
        <v>0</v>
      </c>
      <c r="I134" s="760">
        <f t="shared" si="29"/>
        <v>0</v>
      </c>
      <c r="J134" s="760">
        <f t="shared" si="23"/>
        <v>0</v>
      </c>
      <c r="K134" s="760">
        <f t="shared" si="24"/>
        <v>0</v>
      </c>
      <c r="L134" s="760">
        <f t="shared" si="25"/>
        <v>118970</v>
      </c>
      <c r="M134" s="760">
        <f>IFERROR(IF(L133=0,0,SUM($J$25:J134)),0)</f>
        <v>0</v>
      </c>
      <c r="N134" s="366">
        <f t="shared" si="15"/>
        <v>1.025603448275862</v>
      </c>
      <c r="O134" s="761">
        <f t="shared" si="16"/>
        <v>0</v>
      </c>
      <c r="P134" s="28"/>
      <c r="Q134" s="1681">
        <f t="shared" si="26"/>
        <v>0</v>
      </c>
      <c r="R134" s="1682">
        <f t="shared" si="17"/>
        <v>0</v>
      </c>
      <c r="S134" s="1682">
        <f t="shared" si="27"/>
        <v>0</v>
      </c>
      <c r="T134" s="1682">
        <f t="shared" si="28"/>
        <v>1900</v>
      </c>
    </row>
    <row r="135" spans="2:20" s="283" customFormat="1" ht="13.8" x14ac:dyDescent="0.3">
      <c r="B135" s="758" cm="1">
        <f t="array" ref="B135">IF(active_refi=1,IF(ROW()-ROW($B$24)&lt;=$E$12*$E$13+refi_month,ROW()-ROW($B$24),0),IF(activeloan,IF(L134=0,0,IF(ROW()-ROW($B$24)&lt;=$D$12*$D$13,ROW()-ROW($B$24),0)),0))</f>
        <v>0</v>
      </c>
      <c r="C135" s="759">
        <f t="shared" si="18"/>
        <v>0</v>
      </c>
      <c r="D135" s="760">
        <f t="shared" si="19"/>
        <v>118970</v>
      </c>
      <c r="E135" s="760">
        <f t="shared" si="20"/>
        <v>0</v>
      </c>
      <c r="F135" s="760">
        <f t="shared" si="21"/>
        <v>0</v>
      </c>
      <c r="G135" s="340">
        <v>0</v>
      </c>
      <c r="H135" s="760">
        <f t="shared" si="22"/>
        <v>0</v>
      </c>
      <c r="I135" s="760">
        <f t="shared" si="29"/>
        <v>0</v>
      </c>
      <c r="J135" s="760">
        <f t="shared" si="23"/>
        <v>0</v>
      </c>
      <c r="K135" s="760">
        <f t="shared" si="24"/>
        <v>0</v>
      </c>
      <c r="L135" s="760">
        <f t="shared" si="25"/>
        <v>118970</v>
      </c>
      <c r="M135" s="760">
        <f>IFERROR(IF(L134=0,0,SUM($J$25:J135)),0)</f>
        <v>0</v>
      </c>
      <c r="N135" s="366">
        <f t="shared" si="15"/>
        <v>1.025603448275862</v>
      </c>
      <c r="O135" s="761">
        <f t="shared" si="16"/>
        <v>0</v>
      </c>
      <c r="P135" s="28"/>
      <c r="Q135" s="1681">
        <f t="shared" si="26"/>
        <v>0</v>
      </c>
      <c r="R135" s="1682">
        <f t="shared" si="17"/>
        <v>0</v>
      </c>
      <c r="S135" s="1682">
        <f t="shared" si="27"/>
        <v>0</v>
      </c>
      <c r="T135" s="1682">
        <f t="shared" si="28"/>
        <v>1900</v>
      </c>
    </row>
    <row r="136" spans="2:20" s="283" customFormat="1" ht="13.8" x14ac:dyDescent="0.3">
      <c r="B136" s="758" cm="1">
        <f t="array" ref="B136">IF(active_refi=1,IF(ROW()-ROW($B$24)&lt;=$E$12*$E$13+refi_month,ROW()-ROW($B$24),0),IF(activeloan,IF(L135=0,0,IF(ROW()-ROW($B$24)&lt;=$D$12*$D$13,ROW()-ROW($B$24),0)),0))</f>
        <v>0</v>
      </c>
      <c r="C136" s="759">
        <f t="shared" si="18"/>
        <v>0</v>
      </c>
      <c r="D136" s="760">
        <f t="shared" si="19"/>
        <v>118970</v>
      </c>
      <c r="E136" s="760">
        <f t="shared" si="20"/>
        <v>0</v>
      </c>
      <c r="F136" s="760">
        <f t="shared" si="21"/>
        <v>0</v>
      </c>
      <c r="G136" s="340">
        <v>0</v>
      </c>
      <c r="H136" s="760">
        <f t="shared" si="22"/>
        <v>0</v>
      </c>
      <c r="I136" s="760">
        <f t="shared" si="29"/>
        <v>0</v>
      </c>
      <c r="J136" s="760">
        <f t="shared" si="23"/>
        <v>0</v>
      </c>
      <c r="K136" s="760">
        <f t="shared" si="24"/>
        <v>0</v>
      </c>
      <c r="L136" s="760">
        <f t="shared" si="25"/>
        <v>118970</v>
      </c>
      <c r="M136" s="760">
        <f>IFERROR(IF(L135=0,0,SUM($J$25:J136)),0)</f>
        <v>0</v>
      </c>
      <c r="N136" s="366">
        <f t="shared" si="15"/>
        <v>1.025603448275862</v>
      </c>
      <c r="O136" s="761">
        <f t="shared" si="16"/>
        <v>0</v>
      </c>
      <c r="P136" s="28"/>
      <c r="Q136" s="1681">
        <f t="shared" si="26"/>
        <v>0</v>
      </c>
      <c r="R136" s="1682">
        <f t="shared" si="17"/>
        <v>0</v>
      </c>
      <c r="S136" s="1682">
        <f t="shared" si="27"/>
        <v>0</v>
      </c>
      <c r="T136" s="1682">
        <f t="shared" si="28"/>
        <v>1900</v>
      </c>
    </row>
    <row r="137" spans="2:20" s="283" customFormat="1" ht="13.8" x14ac:dyDescent="0.3">
      <c r="B137" s="758" cm="1">
        <f t="array" ref="B137">IF(active_refi=1,IF(ROW()-ROW($B$24)&lt;=$E$12*$E$13+refi_month,ROW()-ROW($B$24),0),IF(activeloan,IF(L136=0,0,IF(ROW()-ROW($B$24)&lt;=$D$12*$D$13,ROW()-ROW($B$24),0)),0))</f>
        <v>0</v>
      </c>
      <c r="C137" s="759">
        <f t="shared" si="18"/>
        <v>0</v>
      </c>
      <c r="D137" s="760">
        <f t="shared" si="19"/>
        <v>118970</v>
      </c>
      <c r="E137" s="760">
        <f t="shared" si="20"/>
        <v>0</v>
      </c>
      <c r="F137" s="760">
        <f t="shared" si="21"/>
        <v>0</v>
      </c>
      <c r="G137" s="340">
        <v>0</v>
      </c>
      <c r="H137" s="760">
        <f t="shared" si="22"/>
        <v>0</v>
      </c>
      <c r="I137" s="760">
        <f t="shared" si="29"/>
        <v>0</v>
      </c>
      <c r="J137" s="760">
        <f t="shared" si="23"/>
        <v>0</v>
      </c>
      <c r="K137" s="760">
        <f t="shared" si="24"/>
        <v>0</v>
      </c>
      <c r="L137" s="760">
        <f t="shared" si="25"/>
        <v>118970</v>
      </c>
      <c r="M137" s="760">
        <f>IFERROR(IF(L136=0,0,SUM($J$25:J137)),0)</f>
        <v>0</v>
      </c>
      <c r="N137" s="366">
        <f t="shared" si="15"/>
        <v>1.025603448275862</v>
      </c>
      <c r="O137" s="761">
        <f t="shared" si="16"/>
        <v>0</v>
      </c>
      <c r="P137" s="28"/>
      <c r="Q137" s="1681">
        <f t="shared" si="26"/>
        <v>0</v>
      </c>
      <c r="R137" s="1682">
        <f t="shared" si="17"/>
        <v>0</v>
      </c>
      <c r="S137" s="1682">
        <f t="shared" si="27"/>
        <v>0</v>
      </c>
      <c r="T137" s="1682">
        <f t="shared" si="28"/>
        <v>1900</v>
      </c>
    </row>
    <row r="138" spans="2:20" s="283" customFormat="1" ht="13.8" x14ac:dyDescent="0.3">
      <c r="B138" s="758" cm="1">
        <f t="array" ref="B138">IF(active_refi=1,IF(ROW()-ROW($B$24)&lt;=$E$12*$E$13+refi_month,ROW()-ROW($B$24),0),IF(activeloan,IF(L137=0,0,IF(ROW()-ROW($B$24)&lt;=$D$12*$D$13,ROW()-ROW($B$24),0)),0))</f>
        <v>0</v>
      </c>
      <c r="C138" s="759">
        <f t="shared" si="18"/>
        <v>0</v>
      </c>
      <c r="D138" s="760">
        <f t="shared" si="19"/>
        <v>118970</v>
      </c>
      <c r="E138" s="760">
        <f t="shared" si="20"/>
        <v>0</v>
      </c>
      <c r="F138" s="760">
        <f t="shared" si="21"/>
        <v>0</v>
      </c>
      <c r="G138" s="340">
        <v>0</v>
      </c>
      <c r="H138" s="760">
        <f t="shared" si="22"/>
        <v>0</v>
      </c>
      <c r="I138" s="760">
        <f t="shared" si="29"/>
        <v>0</v>
      </c>
      <c r="J138" s="760">
        <f t="shared" si="23"/>
        <v>0</v>
      </c>
      <c r="K138" s="760">
        <f t="shared" si="24"/>
        <v>0</v>
      </c>
      <c r="L138" s="760">
        <f t="shared" si="25"/>
        <v>118970</v>
      </c>
      <c r="M138" s="760">
        <f>IFERROR(IF(L137=0,0,SUM($J$25:J138)),0)</f>
        <v>0</v>
      </c>
      <c r="N138" s="366">
        <f t="shared" si="15"/>
        <v>1.025603448275862</v>
      </c>
      <c r="O138" s="761">
        <f t="shared" si="16"/>
        <v>0</v>
      </c>
      <c r="P138" s="28"/>
      <c r="Q138" s="1681">
        <f t="shared" si="26"/>
        <v>0</v>
      </c>
      <c r="R138" s="1682">
        <f t="shared" si="17"/>
        <v>0</v>
      </c>
      <c r="S138" s="1682">
        <f t="shared" si="27"/>
        <v>0</v>
      </c>
      <c r="T138" s="1682">
        <f t="shared" si="28"/>
        <v>1900</v>
      </c>
    </row>
    <row r="139" spans="2:20" s="283" customFormat="1" ht="13.8" x14ac:dyDescent="0.3">
      <c r="B139" s="758" cm="1">
        <f t="array" ref="B139">IF(active_refi=1,IF(ROW()-ROW($B$24)&lt;=$E$12*$E$13+refi_month,ROW()-ROW($B$24),0),IF(activeloan,IF(L138=0,0,IF(ROW()-ROW($B$24)&lt;=$D$12*$D$13,ROW()-ROW($B$24),0)),0))</f>
        <v>0</v>
      </c>
      <c r="C139" s="759">
        <f t="shared" si="18"/>
        <v>0</v>
      </c>
      <c r="D139" s="760">
        <f t="shared" si="19"/>
        <v>118970</v>
      </c>
      <c r="E139" s="760">
        <f t="shared" si="20"/>
        <v>0</v>
      </c>
      <c r="F139" s="760">
        <f t="shared" si="21"/>
        <v>0</v>
      </c>
      <c r="G139" s="340">
        <v>0</v>
      </c>
      <c r="H139" s="760">
        <f t="shared" si="22"/>
        <v>0</v>
      </c>
      <c r="I139" s="760">
        <f t="shared" si="29"/>
        <v>0</v>
      </c>
      <c r="J139" s="760">
        <f t="shared" si="23"/>
        <v>0</v>
      </c>
      <c r="K139" s="760">
        <f t="shared" si="24"/>
        <v>0</v>
      </c>
      <c r="L139" s="760">
        <f t="shared" si="25"/>
        <v>118970</v>
      </c>
      <c r="M139" s="760">
        <f>IFERROR(IF(L138=0,0,SUM($J$25:J139)),0)</f>
        <v>0</v>
      </c>
      <c r="N139" s="366">
        <f t="shared" si="15"/>
        <v>1.025603448275862</v>
      </c>
      <c r="O139" s="761">
        <f t="shared" si="16"/>
        <v>0</v>
      </c>
      <c r="P139" s="28"/>
      <c r="Q139" s="1681">
        <f t="shared" si="26"/>
        <v>0</v>
      </c>
      <c r="R139" s="1682">
        <f t="shared" si="17"/>
        <v>0</v>
      </c>
      <c r="S139" s="1682">
        <f t="shared" si="27"/>
        <v>0</v>
      </c>
      <c r="T139" s="1682">
        <f t="shared" si="28"/>
        <v>1900</v>
      </c>
    </row>
    <row r="140" spans="2:20" s="283" customFormat="1" ht="13.8" x14ac:dyDescent="0.3">
      <c r="B140" s="758" cm="1">
        <f t="array" ref="B140">IF(active_refi=1,IF(ROW()-ROW($B$24)&lt;=$E$12*$E$13+refi_month,ROW()-ROW($B$24),0),IF(activeloan,IF(L139=0,0,IF(ROW()-ROW($B$24)&lt;=$D$12*$D$13,ROW()-ROW($B$24),0)),0))</f>
        <v>0</v>
      </c>
      <c r="C140" s="759">
        <f t="shared" si="18"/>
        <v>0</v>
      </c>
      <c r="D140" s="760">
        <f t="shared" si="19"/>
        <v>118970</v>
      </c>
      <c r="E140" s="760">
        <f t="shared" si="20"/>
        <v>0</v>
      </c>
      <c r="F140" s="760">
        <f t="shared" si="21"/>
        <v>0</v>
      </c>
      <c r="G140" s="340">
        <v>0</v>
      </c>
      <c r="H140" s="760">
        <f t="shared" si="22"/>
        <v>0</v>
      </c>
      <c r="I140" s="760">
        <f t="shared" si="29"/>
        <v>0</v>
      </c>
      <c r="J140" s="760">
        <f t="shared" si="23"/>
        <v>0</v>
      </c>
      <c r="K140" s="760">
        <f t="shared" si="24"/>
        <v>0</v>
      </c>
      <c r="L140" s="760">
        <f t="shared" si="25"/>
        <v>118970</v>
      </c>
      <c r="M140" s="760">
        <f>IFERROR(IF(L139=0,0,SUM($J$25:J140)),0)</f>
        <v>0</v>
      </c>
      <c r="N140" s="366">
        <f t="shared" si="15"/>
        <v>1.025603448275862</v>
      </c>
      <c r="O140" s="761">
        <f t="shared" si="16"/>
        <v>0</v>
      </c>
      <c r="P140" s="28"/>
      <c r="Q140" s="1681">
        <f t="shared" si="26"/>
        <v>0</v>
      </c>
      <c r="R140" s="1682">
        <f t="shared" si="17"/>
        <v>0</v>
      </c>
      <c r="S140" s="1682">
        <f t="shared" si="27"/>
        <v>0</v>
      </c>
      <c r="T140" s="1682">
        <f t="shared" si="28"/>
        <v>1900</v>
      </c>
    </row>
    <row r="141" spans="2:20" s="283" customFormat="1" ht="13.8" x14ac:dyDescent="0.3">
      <c r="B141" s="758" cm="1">
        <f t="array" ref="B141">IF(active_refi=1,IF(ROW()-ROW($B$24)&lt;=$E$12*$E$13+refi_month,ROW()-ROW($B$24),0),IF(activeloan,IF(L140=0,0,IF(ROW()-ROW($B$24)&lt;=$D$12*$D$13,ROW()-ROW($B$24),0)),0))</f>
        <v>0</v>
      </c>
      <c r="C141" s="759">
        <f t="shared" si="18"/>
        <v>0</v>
      </c>
      <c r="D141" s="760">
        <f t="shared" si="19"/>
        <v>118970</v>
      </c>
      <c r="E141" s="760">
        <f t="shared" si="20"/>
        <v>0</v>
      </c>
      <c r="F141" s="760">
        <f t="shared" si="21"/>
        <v>0</v>
      </c>
      <c r="G141" s="340">
        <v>0</v>
      </c>
      <c r="H141" s="760">
        <f t="shared" si="22"/>
        <v>0</v>
      </c>
      <c r="I141" s="760">
        <f t="shared" si="29"/>
        <v>0</v>
      </c>
      <c r="J141" s="760">
        <f t="shared" si="23"/>
        <v>0</v>
      </c>
      <c r="K141" s="760">
        <f t="shared" si="24"/>
        <v>0</v>
      </c>
      <c r="L141" s="760">
        <f t="shared" si="25"/>
        <v>118970</v>
      </c>
      <c r="M141" s="760">
        <f>IFERROR(IF(L140=0,0,SUM($J$25:J141)),0)</f>
        <v>0</v>
      </c>
      <c r="N141" s="366">
        <f t="shared" si="15"/>
        <v>1.025603448275862</v>
      </c>
      <c r="O141" s="761">
        <f t="shared" si="16"/>
        <v>0</v>
      </c>
      <c r="P141" s="28"/>
      <c r="Q141" s="1681">
        <f t="shared" si="26"/>
        <v>0</v>
      </c>
      <c r="R141" s="1682">
        <f t="shared" si="17"/>
        <v>0</v>
      </c>
      <c r="S141" s="1682">
        <f t="shared" si="27"/>
        <v>0</v>
      </c>
      <c r="T141" s="1682">
        <f t="shared" si="28"/>
        <v>1900</v>
      </c>
    </row>
    <row r="142" spans="2:20" s="283" customFormat="1" ht="13.8" x14ac:dyDescent="0.3">
      <c r="B142" s="758" cm="1">
        <f t="array" ref="B142">IF(active_refi=1,IF(ROW()-ROW($B$24)&lt;=$E$12*$E$13+refi_month,ROW()-ROW($B$24),0),IF(activeloan,IF(L141=0,0,IF(ROW()-ROW($B$24)&lt;=$D$12*$D$13,ROW()-ROW($B$24),0)),0))</f>
        <v>0</v>
      </c>
      <c r="C142" s="759">
        <f t="shared" si="18"/>
        <v>0</v>
      </c>
      <c r="D142" s="760">
        <f t="shared" si="19"/>
        <v>118970</v>
      </c>
      <c r="E142" s="760">
        <f t="shared" si="20"/>
        <v>0</v>
      </c>
      <c r="F142" s="760">
        <f t="shared" si="21"/>
        <v>0</v>
      </c>
      <c r="G142" s="340">
        <v>0</v>
      </c>
      <c r="H142" s="760">
        <f t="shared" si="22"/>
        <v>0</v>
      </c>
      <c r="I142" s="760">
        <f t="shared" si="29"/>
        <v>0</v>
      </c>
      <c r="J142" s="760">
        <f t="shared" si="23"/>
        <v>0</v>
      </c>
      <c r="K142" s="760">
        <f t="shared" si="24"/>
        <v>0</v>
      </c>
      <c r="L142" s="760">
        <f t="shared" si="25"/>
        <v>118970</v>
      </c>
      <c r="M142" s="760">
        <f>IFERROR(IF(L141=0,0,SUM($J$25:J142)),0)</f>
        <v>0</v>
      </c>
      <c r="N142" s="366">
        <f t="shared" si="15"/>
        <v>1.025603448275862</v>
      </c>
      <c r="O142" s="761">
        <f t="shared" si="16"/>
        <v>0</v>
      </c>
      <c r="P142" s="28"/>
      <c r="Q142" s="1681">
        <f t="shared" si="26"/>
        <v>0</v>
      </c>
      <c r="R142" s="1682">
        <f t="shared" si="17"/>
        <v>0</v>
      </c>
      <c r="S142" s="1682">
        <f t="shared" si="27"/>
        <v>0</v>
      </c>
      <c r="T142" s="1682">
        <f t="shared" si="28"/>
        <v>1900</v>
      </c>
    </row>
    <row r="143" spans="2:20" s="283" customFormat="1" ht="13.8" x14ac:dyDescent="0.3">
      <c r="B143" s="758" cm="1">
        <f t="array" ref="B143">IF(active_refi=1,IF(ROW()-ROW($B$24)&lt;=$E$12*$E$13+refi_month,ROW()-ROW($B$24),0),IF(activeloan,IF(L142=0,0,IF(ROW()-ROW($B$24)&lt;=$D$12*$D$13,ROW()-ROW($B$24),0)),0))</f>
        <v>0</v>
      </c>
      <c r="C143" s="759">
        <f t="shared" si="18"/>
        <v>0</v>
      </c>
      <c r="D143" s="760">
        <f t="shared" si="19"/>
        <v>118970</v>
      </c>
      <c r="E143" s="760">
        <f t="shared" si="20"/>
        <v>0</v>
      </c>
      <c r="F143" s="760">
        <f t="shared" si="21"/>
        <v>0</v>
      </c>
      <c r="G143" s="340">
        <v>0</v>
      </c>
      <c r="H143" s="760">
        <f t="shared" si="22"/>
        <v>0</v>
      </c>
      <c r="I143" s="760">
        <f t="shared" si="29"/>
        <v>0</v>
      </c>
      <c r="J143" s="760">
        <f t="shared" si="23"/>
        <v>0</v>
      </c>
      <c r="K143" s="760">
        <f t="shared" si="24"/>
        <v>0</v>
      </c>
      <c r="L143" s="760">
        <f t="shared" si="25"/>
        <v>118970</v>
      </c>
      <c r="M143" s="760">
        <f>IFERROR(IF(L142=0,0,SUM($J$25:J143)),0)</f>
        <v>0</v>
      </c>
      <c r="N143" s="366">
        <f t="shared" si="15"/>
        <v>1.025603448275862</v>
      </c>
      <c r="O143" s="761">
        <f t="shared" si="16"/>
        <v>0</v>
      </c>
      <c r="P143" s="28"/>
      <c r="Q143" s="1681">
        <f t="shared" si="26"/>
        <v>0</v>
      </c>
      <c r="R143" s="1682">
        <f t="shared" si="17"/>
        <v>0</v>
      </c>
      <c r="S143" s="1682">
        <f t="shared" si="27"/>
        <v>0</v>
      </c>
      <c r="T143" s="1682">
        <f t="shared" si="28"/>
        <v>1900</v>
      </c>
    </row>
    <row r="144" spans="2:20" s="283" customFormat="1" ht="13.8" x14ac:dyDescent="0.3">
      <c r="B144" s="758" cm="1">
        <f t="array" ref="B144">IF(active_refi=1,IF(ROW()-ROW($B$24)&lt;=$E$12*$E$13+refi_month,ROW()-ROW($B$24),0),IF(activeloan,IF(L143=0,0,IF(ROW()-ROW($B$24)&lt;=$D$12*$D$13,ROW()-ROW($B$24),0)),0))</f>
        <v>0</v>
      </c>
      <c r="C144" s="759">
        <f t="shared" si="18"/>
        <v>0</v>
      </c>
      <c r="D144" s="760">
        <f t="shared" si="19"/>
        <v>118970</v>
      </c>
      <c r="E144" s="760">
        <f>S144</f>
        <v>0</v>
      </c>
      <c r="F144" s="760">
        <f t="shared" si="21"/>
        <v>0</v>
      </c>
      <c r="G144" s="340">
        <v>0</v>
      </c>
      <c r="H144" s="760">
        <f t="shared" si="22"/>
        <v>0</v>
      </c>
      <c r="I144" s="760">
        <f t="shared" si="29"/>
        <v>0</v>
      </c>
      <c r="J144" s="760">
        <f t="shared" si="23"/>
        <v>0</v>
      </c>
      <c r="K144" s="760">
        <f t="shared" si="24"/>
        <v>0</v>
      </c>
      <c r="L144" s="760">
        <f t="shared" si="25"/>
        <v>118970</v>
      </c>
      <c r="M144" s="760">
        <f>IFERROR(IF(L143=0,0,SUM($J$25:J144)),0)</f>
        <v>0</v>
      </c>
      <c r="N144" s="366">
        <f t="shared" si="15"/>
        <v>1.025603448275862</v>
      </c>
      <c r="O144" s="761">
        <f t="shared" si="16"/>
        <v>0</v>
      </c>
      <c r="P144" s="28"/>
      <c r="Q144" s="1681">
        <f t="shared" si="26"/>
        <v>0</v>
      </c>
      <c r="R144" s="1682">
        <f t="shared" si="17"/>
        <v>0</v>
      </c>
      <c r="S144" s="1682">
        <f t="shared" si="27"/>
        <v>0</v>
      </c>
      <c r="T144" s="1682">
        <f t="shared" si="28"/>
        <v>1900</v>
      </c>
    </row>
    <row r="145" spans="2:20" s="283" customFormat="1" ht="13.8" x14ac:dyDescent="0.3">
      <c r="B145" s="758" cm="1">
        <f t="array" ref="B145">IF(active_refi=1,IF(ROW()-ROW($B$24)&lt;=$E$12*$E$13+refi_month,ROW()-ROW($B$24),0),IF(activeloan,IF(L144=0,0,IF(ROW()-ROW($B$24)&lt;=$D$12*$D$13,ROW()-ROW($B$24),0)),0))</f>
        <v>0</v>
      </c>
      <c r="C145" s="759">
        <f t="shared" si="18"/>
        <v>0</v>
      </c>
      <c r="D145" s="760">
        <f t="shared" si="19"/>
        <v>118970</v>
      </c>
      <c r="E145" s="760">
        <f t="shared" si="20"/>
        <v>0</v>
      </c>
      <c r="F145" s="760">
        <f t="shared" si="21"/>
        <v>0</v>
      </c>
      <c r="G145" s="340">
        <v>0</v>
      </c>
      <c r="H145" s="760">
        <f t="shared" si="22"/>
        <v>0</v>
      </c>
      <c r="I145" s="760">
        <f t="shared" si="29"/>
        <v>0</v>
      </c>
      <c r="J145" s="760">
        <f t="shared" si="23"/>
        <v>0</v>
      </c>
      <c r="K145" s="760">
        <f t="shared" si="24"/>
        <v>0</v>
      </c>
      <c r="L145" s="760">
        <f t="shared" si="25"/>
        <v>118970</v>
      </c>
      <c r="M145" s="760">
        <f>IFERROR(IF(L144=0,0,SUM($J$25:J145)),0)</f>
        <v>0</v>
      </c>
      <c r="N145" s="366">
        <f t="shared" si="15"/>
        <v>1.025603448275862</v>
      </c>
      <c r="O145" s="761">
        <f t="shared" si="16"/>
        <v>0</v>
      </c>
      <c r="P145" s="28"/>
      <c r="Q145" s="1681">
        <f t="shared" si="26"/>
        <v>0</v>
      </c>
      <c r="R145" s="1682">
        <f t="shared" si="17"/>
        <v>0</v>
      </c>
      <c r="S145" s="1682">
        <f t="shared" si="27"/>
        <v>0</v>
      </c>
      <c r="T145" s="1682">
        <f t="shared" si="28"/>
        <v>1900</v>
      </c>
    </row>
    <row r="146" spans="2:20" s="283" customFormat="1" ht="13.8" x14ac:dyDescent="0.3">
      <c r="B146" s="758" cm="1">
        <f t="array" ref="B146">IF(active_refi=1,IF(ROW()-ROW($B$24)&lt;=$E$12*$E$13+refi_month,ROW()-ROW($B$24),0),IF(activeloan,IF(L145=0,0,IF(ROW()-ROW($B$24)&lt;=$D$12*$D$13,ROW()-ROW($B$24),0)),0))</f>
        <v>0</v>
      </c>
      <c r="C146" s="759">
        <f t="shared" si="18"/>
        <v>0</v>
      </c>
      <c r="D146" s="760">
        <f t="shared" si="19"/>
        <v>118970</v>
      </c>
      <c r="E146" s="760">
        <f t="shared" si="20"/>
        <v>0</v>
      </c>
      <c r="F146" s="760">
        <f t="shared" si="21"/>
        <v>0</v>
      </c>
      <c r="G146" s="340">
        <v>0</v>
      </c>
      <c r="H146" s="760">
        <f t="shared" si="22"/>
        <v>0</v>
      </c>
      <c r="I146" s="760">
        <f t="shared" si="29"/>
        <v>0</v>
      </c>
      <c r="J146" s="760">
        <f t="shared" si="23"/>
        <v>0</v>
      </c>
      <c r="K146" s="760">
        <f t="shared" si="24"/>
        <v>0</v>
      </c>
      <c r="L146" s="760">
        <f t="shared" si="25"/>
        <v>118970</v>
      </c>
      <c r="M146" s="760">
        <f>IFERROR(IF(L145=0,0,SUM($J$25:J146)),0)</f>
        <v>0</v>
      </c>
      <c r="N146" s="366">
        <f t="shared" si="15"/>
        <v>1.025603448275862</v>
      </c>
      <c r="O146" s="761">
        <f t="shared" si="16"/>
        <v>0</v>
      </c>
      <c r="P146" s="28"/>
      <c r="Q146" s="1681">
        <f t="shared" si="26"/>
        <v>0</v>
      </c>
      <c r="R146" s="1682">
        <f t="shared" si="17"/>
        <v>0</v>
      </c>
      <c r="S146" s="1682">
        <f t="shared" si="27"/>
        <v>0</v>
      </c>
      <c r="T146" s="1682">
        <f t="shared" si="28"/>
        <v>1900</v>
      </c>
    </row>
    <row r="147" spans="2:20" s="283" customFormat="1" ht="13.8" x14ac:dyDescent="0.3">
      <c r="B147" s="758" cm="1">
        <f t="array" ref="B147">IF(active_refi=1,IF(ROW()-ROW($B$24)&lt;=$E$12*$E$13+refi_month,ROW()-ROW($B$24),0),IF(activeloan,IF(L146=0,0,IF(ROW()-ROW($B$24)&lt;=$D$12*$D$13,ROW()-ROW($B$24),0)),0))</f>
        <v>0</v>
      </c>
      <c r="C147" s="759">
        <f t="shared" si="18"/>
        <v>0</v>
      </c>
      <c r="D147" s="760">
        <f t="shared" si="19"/>
        <v>118970</v>
      </c>
      <c r="E147" s="760">
        <f t="shared" si="20"/>
        <v>0</v>
      </c>
      <c r="F147" s="760">
        <f t="shared" si="21"/>
        <v>0</v>
      </c>
      <c r="G147" s="340">
        <v>0</v>
      </c>
      <c r="H147" s="760">
        <f t="shared" si="22"/>
        <v>0</v>
      </c>
      <c r="I147" s="760">
        <f t="shared" si="29"/>
        <v>0</v>
      </c>
      <c r="J147" s="760">
        <f t="shared" si="23"/>
        <v>0</v>
      </c>
      <c r="K147" s="760">
        <f t="shared" si="24"/>
        <v>0</v>
      </c>
      <c r="L147" s="760">
        <f t="shared" si="25"/>
        <v>118970</v>
      </c>
      <c r="M147" s="760">
        <f>IFERROR(IF(L146=0,0,SUM($J$25:J147)),0)</f>
        <v>0</v>
      </c>
      <c r="N147" s="366">
        <f t="shared" si="15"/>
        <v>1.025603448275862</v>
      </c>
      <c r="O147" s="761">
        <f t="shared" si="16"/>
        <v>0</v>
      </c>
      <c r="P147" s="28"/>
      <c r="Q147" s="1681">
        <f t="shared" si="26"/>
        <v>0</v>
      </c>
      <c r="R147" s="1682">
        <f t="shared" si="17"/>
        <v>0</v>
      </c>
      <c r="S147" s="1682">
        <f t="shared" si="27"/>
        <v>0</v>
      </c>
      <c r="T147" s="1682">
        <f t="shared" si="28"/>
        <v>1900</v>
      </c>
    </row>
    <row r="148" spans="2:20" s="283" customFormat="1" ht="13.8" x14ac:dyDescent="0.3">
      <c r="B148" s="758" cm="1">
        <f t="array" ref="B148">IF(active_refi=1,IF(ROW()-ROW($B$24)&lt;=$E$12*$E$13+refi_month,ROW()-ROW($B$24),0),IF(activeloan,IF(L147=0,0,IF(ROW()-ROW($B$24)&lt;=$D$12*$D$13,ROW()-ROW($B$24),0)),0))</f>
        <v>0</v>
      </c>
      <c r="C148" s="759">
        <f t="shared" si="18"/>
        <v>0</v>
      </c>
      <c r="D148" s="760">
        <f t="shared" si="19"/>
        <v>118970</v>
      </c>
      <c r="E148" s="760">
        <f t="shared" si="20"/>
        <v>0</v>
      </c>
      <c r="F148" s="760">
        <f t="shared" si="21"/>
        <v>0</v>
      </c>
      <c r="G148" s="340">
        <v>0</v>
      </c>
      <c r="H148" s="760">
        <f t="shared" si="22"/>
        <v>0</v>
      </c>
      <c r="I148" s="760">
        <f t="shared" si="29"/>
        <v>0</v>
      </c>
      <c r="J148" s="760">
        <f t="shared" si="23"/>
        <v>0</v>
      </c>
      <c r="K148" s="760">
        <f t="shared" si="24"/>
        <v>0</v>
      </c>
      <c r="L148" s="760">
        <f t="shared" si="25"/>
        <v>118970</v>
      </c>
      <c r="M148" s="760">
        <f>IFERROR(IF(L147=0,0,SUM($J$25:J148)),0)</f>
        <v>0</v>
      </c>
      <c r="N148" s="366">
        <f t="shared" si="15"/>
        <v>1.025603448275862</v>
      </c>
      <c r="O148" s="761">
        <f t="shared" si="16"/>
        <v>0</v>
      </c>
      <c r="P148" s="28"/>
      <c r="Q148" s="1681">
        <f t="shared" si="26"/>
        <v>0</v>
      </c>
      <c r="R148" s="1682">
        <f t="shared" si="17"/>
        <v>0</v>
      </c>
      <c r="S148" s="1682">
        <f t="shared" si="27"/>
        <v>0</v>
      </c>
      <c r="T148" s="1682">
        <f t="shared" si="28"/>
        <v>1900</v>
      </c>
    </row>
    <row r="149" spans="2:20" s="283" customFormat="1" ht="13.8" x14ac:dyDescent="0.3">
      <c r="B149" s="758" cm="1">
        <f t="array" ref="B149">IF(active_refi=1,IF(ROW()-ROW($B$24)&lt;=$E$12*$E$13+refi_month,ROW()-ROW($B$24),0),IF(activeloan,IF(L148=0,0,IF(ROW()-ROW($B$24)&lt;=$D$12*$D$13,ROW()-ROW($B$24),0)),0))</f>
        <v>0</v>
      </c>
      <c r="C149" s="759">
        <f t="shared" si="18"/>
        <v>0</v>
      </c>
      <c r="D149" s="760">
        <f t="shared" si="19"/>
        <v>118970</v>
      </c>
      <c r="E149" s="760">
        <f t="shared" si="20"/>
        <v>0</v>
      </c>
      <c r="F149" s="760">
        <f t="shared" si="21"/>
        <v>0</v>
      </c>
      <c r="G149" s="340">
        <v>0</v>
      </c>
      <c r="H149" s="760">
        <f t="shared" si="22"/>
        <v>0</v>
      </c>
      <c r="I149" s="760">
        <f t="shared" si="29"/>
        <v>0</v>
      </c>
      <c r="J149" s="760">
        <f t="shared" si="23"/>
        <v>0</v>
      </c>
      <c r="K149" s="760">
        <f t="shared" si="24"/>
        <v>0</v>
      </c>
      <c r="L149" s="760">
        <f t="shared" si="25"/>
        <v>118970</v>
      </c>
      <c r="M149" s="760">
        <f>IFERROR(IF(L148=0,0,SUM($J$25:J149)),0)</f>
        <v>0</v>
      </c>
      <c r="N149" s="366">
        <f t="shared" si="15"/>
        <v>1.025603448275862</v>
      </c>
      <c r="O149" s="761">
        <f t="shared" si="16"/>
        <v>0</v>
      </c>
      <c r="P149" s="28"/>
      <c r="Q149" s="1681">
        <f t="shared" si="26"/>
        <v>0</v>
      </c>
      <c r="R149" s="1682">
        <f t="shared" si="17"/>
        <v>0</v>
      </c>
      <c r="S149" s="1682">
        <f t="shared" si="27"/>
        <v>0</v>
      </c>
      <c r="T149" s="1682">
        <f t="shared" si="28"/>
        <v>1900</v>
      </c>
    </row>
    <row r="150" spans="2:20" s="283" customFormat="1" ht="13.8" x14ac:dyDescent="0.3">
      <c r="B150" s="758" cm="1">
        <f t="array" ref="B150">IF(active_refi=1,IF(ROW()-ROW($B$24)&lt;=$E$12*$E$13+refi_month,ROW()-ROW($B$24),0),IF(activeloan,IF(L149=0,0,IF(ROW()-ROW($B$24)&lt;=$D$12*$D$13,ROW()-ROW($B$24),0)),0))</f>
        <v>0</v>
      </c>
      <c r="C150" s="759">
        <f t="shared" si="18"/>
        <v>0</v>
      </c>
      <c r="D150" s="760">
        <f t="shared" si="19"/>
        <v>118970</v>
      </c>
      <c r="E150" s="760">
        <f t="shared" si="20"/>
        <v>0</v>
      </c>
      <c r="F150" s="760">
        <f t="shared" si="21"/>
        <v>0</v>
      </c>
      <c r="G150" s="340">
        <v>0</v>
      </c>
      <c r="H150" s="760">
        <f t="shared" si="22"/>
        <v>0</v>
      </c>
      <c r="I150" s="760">
        <f t="shared" si="29"/>
        <v>0</v>
      </c>
      <c r="J150" s="760">
        <f t="shared" si="23"/>
        <v>0</v>
      </c>
      <c r="K150" s="760">
        <f t="shared" si="24"/>
        <v>0</v>
      </c>
      <c r="L150" s="760">
        <f t="shared" si="25"/>
        <v>118970</v>
      </c>
      <c r="M150" s="760">
        <f>IFERROR(IF(L149=0,0,SUM($J$25:J150)),0)</f>
        <v>0</v>
      </c>
      <c r="N150" s="366">
        <f t="shared" si="15"/>
        <v>1.025603448275862</v>
      </c>
      <c r="O150" s="761">
        <f t="shared" si="16"/>
        <v>0</v>
      </c>
      <c r="P150" s="28"/>
      <c r="Q150" s="1681">
        <f t="shared" si="26"/>
        <v>0</v>
      </c>
      <c r="R150" s="1682">
        <f t="shared" si="17"/>
        <v>0</v>
      </c>
      <c r="S150" s="1682">
        <f t="shared" si="27"/>
        <v>0</v>
      </c>
      <c r="T150" s="1682">
        <f t="shared" si="28"/>
        <v>1900</v>
      </c>
    </row>
    <row r="151" spans="2:20" s="283" customFormat="1" ht="13.8" x14ac:dyDescent="0.3">
      <c r="B151" s="758" cm="1">
        <f t="array" ref="B151">IF(active_refi=1,IF(ROW()-ROW($B$24)&lt;=$E$12*$E$13+refi_month,ROW()-ROW($B$24),0),IF(activeloan,IF(L150=0,0,IF(ROW()-ROW($B$24)&lt;=$D$12*$D$13,ROW()-ROW($B$24),0)),0))</f>
        <v>0</v>
      </c>
      <c r="C151" s="759">
        <f t="shared" si="18"/>
        <v>0</v>
      </c>
      <c r="D151" s="760">
        <f t="shared" si="19"/>
        <v>118970</v>
      </c>
      <c r="E151" s="760">
        <f t="shared" si="20"/>
        <v>0</v>
      </c>
      <c r="F151" s="760">
        <f t="shared" si="21"/>
        <v>0</v>
      </c>
      <c r="G151" s="340">
        <v>0</v>
      </c>
      <c r="H151" s="760">
        <f t="shared" si="22"/>
        <v>0</v>
      </c>
      <c r="I151" s="760">
        <f t="shared" si="29"/>
        <v>0</v>
      </c>
      <c r="J151" s="760">
        <f t="shared" si="23"/>
        <v>0</v>
      </c>
      <c r="K151" s="760">
        <f t="shared" si="24"/>
        <v>0</v>
      </c>
      <c r="L151" s="760">
        <f t="shared" si="25"/>
        <v>118970</v>
      </c>
      <c r="M151" s="760">
        <f>IFERROR(IF(L150=0,0,SUM($J$25:J151)),0)</f>
        <v>0</v>
      </c>
      <c r="N151" s="366">
        <f t="shared" si="15"/>
        <v>1.025603448275862</v>
      </c>
      <c r="O151" s="761">
        <f t="shared" si="16"/>
        <v>0</v>
      </c>
      <c r="P151" s="28"/>
      <c r="Q151" s="1681">
        <f t="shared" si="26"/>
        <v>0</v>
      </c>
      <c r="R151" s="1682">
        <f t="shared" si="17"/>
        <v>0</v>
      </c>
      <c r="S151" s="1682">
        <f t="shared" si="27"/>
        <v>0</v>
      </c>
      <c r="T151" s="1682">
        <f t="shared" si="28"/>
        <v>1900</v>
      </c>
    </row>
    <row r="152" spans="2:20" s="283" customFormat="1" ht="13.8" x14ac:dyDescent="0.3">
      <c r="B152" s="758" cm="1">
        <f t="array" ref="B152">IF(active_refi=1,IF(ROW()-ROW($B$24)&lt;=$E$12*$E$13+refi_month,ROW()-ROW($B$24),0),IF(activeloan,IF(L151=0,0,IF(ROW()-ROW($B$24)&lt;=$D$12*$D$13,ROW()-ROW($B$24),0)),0))</f>
        <v>0</v>
      </c>
      <c r="C152" s="759">
        <f t="shared" si="18"/>
        <v>0</v>
      </c>
      <c r="D152" s="760">
        <f t="shared" si="19"/>
        <v>118970</v>
      </c>
      <c r="E152" s="760">
        <f t="shared" si="20"/>
        <v>0</v>
      </c>
      <c r="F152" s="760">
        <f t="shared" si="21"/>
        <v>0</v>
      </c>
      <c r="G152" s="340">
        <v>0</v>
      </c>
      <c r="H152" s="760">
        <f t="shared" si="22"/>
        <v>0</v>
      </c>
      <c r="I152" s="760">
        <f t="shared" si="29"/>
        <v>0</v>
      </c>
      <c r="J152" s="760">
        <f t="shared" si="23"/>
        <v>0</v>
      </c>
      <c r="K152" s="760">
        <f t="shared" si="24"/>
        <v>0</v>
      </c>
      <c r="L152" s="760">
        <f t="shared" si="25"/>
        <v>118970</v>
      </c>
      <c r="M152" s="760">
        <f>IFERROR(IF(L151=0,0,SUM($J$25:J152)),0)</f>
        <v>0</v>
      </c>
      <c r="N152" s="366">
        <f t="shared" si="15"/>
        <v>1.025603448275862</v>
      </c>
      <c r="O152" s="761">
        <f t="shared" si="16"/>
        <v>0</v>
      </c>
      <c r="P152" s="28"/>
      <c r="Q152" s="1681">
        <f t="shared" si="26"/>
        <v>0</v>
      </c>
      <c r="R152" s="1682">
        <f t="shared" si="17"/>
        <v>0</v>
      </c>
      <c r="S152" s="1682">
        <f t="shared" si="27"/>
        <v>0</v>
      </c>
      <c r="T152" s="1682">
        <f t="shared" si="28"/>
        <v>1900</v>
      </c>
    </row>
    <row r="153" spans="2:20" s="283" customFormat="1" ht="13.8" x14ac:dyDescent="0.3">
      <c r="B153" s="758" cm="1">
        <f t="array" ref="B153">IF(active_refi=1,IF(ROW()-ROW($B$24)&lt;=$E$12*$E$13+refi_month,ROW()-ROW($B$24),0),IF(activeloan,IF(L152=0,0,IF(ROW()-ROW($B$24)&lt;=$D$12*$D$13,ROW()-ROW($B$24),0)),0))</f>
        <v>0</v>
      </c>
      <c r="C153" s="759">
        <f t="shared" si="18"/>
        <v>0</v>
      </c>
      <c r="D153" s="760">
        <f t="shared" si="19"/>
        <v>118970</v>
      </c>
      <c r="E153" s="760">
        <f t="shared" si="20"/>
        <v>0</v>
      </c>
      <c r="F153" s="760">
        <f t="shared" si="21"/>
        <v>0</v>
      </c>
      <c r="G153" s="340">
        <v>0</v>
      </c>
      <c r="H153" s="760">
        <f t="shared" si="22"/>
        <v>0</v>
      </c>
      <c r="I153" s="760">
        <f t="shared" si="29"/>
        <v>0</v>
      </c>
      <c r="J153" s="760">
        <f t="shared" si="23"/>
        <v>0</v>
      </c>
      <c r="K153" s="760">
        <f t="shared" si="24"/>
        <v>0</v>
      </c>
      <c r="L153" s="760">
        <f t="shared" si="25"/>
        <v>118970</v>
      </c>
      <c r="M153" s="760">
        <f>IFERROR(IF(L152=0,0,SUM($J$25:J153)),0)</f>
        <v>0</v>
      </c>
      <c r="N153" s="366">
        <f t="shared" ref="N153:N216" si="30">IFERROR(L153/purchase_price,0)</f>
        <v>1.025603448275862</v>
      </c>
      <c r="O153" s="761">
        <f t="shared" ref="O153:O216" si="31">IFERROR(IF(active_refi=0,0,IF(B153&lt;$F$18,0,L153/refi_price)),0)</f>
        <v>0</v>
      </c>
      <c r="P153" s="28"/>
      <c r="Q153" s="1681">
        <f t="shared" si="26"/>
        <v>0</v>
      </c>
      <c r="R153" s="1682">
        <f t="shared" ref="R153:R216" si="32">IFERROR(IF(AND(B153&lt;=$J$19,B153&lt;&gt;0,B153&gt;=$J$18),IF(B153&lt;=$E$15*12+refi_month,J153,IF(OR(B153=$J$19,$J$10&gt;(1+$E$11/12)*D153),(1+$E$11/12)*D153,$J$10))+K153,0),0)</f>
        <v>0</v>
      </c>
      <c r="S153" s="1682">
        <f t="shared" si="27"/>
        <v>0</v>
      </c>
      <c r="T153" s="1682">
        <f t="shared" si="28"/>
        <v>1900</v>
      </c>
    </row>
    <row r="154" spans="2:20" s="283" customFormat="1" ht="13.8" x14ac:dyDescent="0.3">
      <c r="B154" s="758" cm="1">
        <f t="array" ref="B154">IF(active_refi=1,IF(ROW()-ROW($B$24)&lt;=$E$12*$E$13+refi_month,ROW()-ROW($B$24),0),IF(activeloan,IF(L153=0,0,IF(ROW()-ROW($B$24)&lt;=$D$12*$D$13,ROW()-ROW($B$24),0)),0))</f>
        <v>0</v>
      </c>
      <c r="C154" s="759">
        <f t="shared" ref="C154:C217" si="33">IF(B154&lt;&gt;0,EOMONTH(C153,1),0)</f>
        <v>0</v>
      </c>
      <c r="D154" s="760">
        <f t="shared" ref="D154:D217" si="34">IF(AND(B154=refi_month+1,active_refi),$E$10,L153)</f>
        <v>118970</v>
      </c>
      <c r="E154" s="760">
        <f t="shared" ref="E154:E217" si="35">S154</f>
        <v>0</v>
      </c>
      <c r="F154" s="760">
        <f t="shared" ref="F154:F217" si="36">IF(D154-(E154-J154-K154)&lt;0,0,IF(B154&lt;=$I$15,MAX(MIN(D154-(E154-J154-K154),$N$10),0),MAX(MIN(D154-(E154-J154-K154),$O$10),0)))</f>
        <v>0</v>
      </c>
      <c r="G154" s="340">
        <v>0</v>
      </c>
      <c r="H154" s="760">
        <f t="shared" ref="H154:H217" si="37">MIN(E154+F154+G154,D154+J154+K154)</f>
        <v>0</v>
      </c>
      <c r="I154" s="760">
        <f t="shared" si="29"/>
        <v>0</v>
      </c>
      <c r="J154" s="760">
        <f t="shared" ref="J154:J217" si="38">IFERROR(IF(B154&lt;=$I$19,$D$11/12*D154,$E$11/12*D154),0)</f>
        <v>0</v>
      </c>
      <c r="K154" s="760">
        <f t="shared" ref="K154:K217" si="39">IFERROR(IF(OR(B154&lt;=$F$18,active_refi=0),IF(N153&lt;=$D$18,0,$D$17*$D$10/12),IF(B154=$F$18+1,IF((D154/refi_price)&lt;=$E$18,0,$E$17*$E$10/12),IF(O153&lt;=$E$18,0,$E$17*$E$10/12))),0)</f>
        <v>0</v>
      </c>
      <c r="L154" s="760">
        <f t="shared" ref="L154:L217" si="40">IF(ROUND(D154-I154,4)=0,ROUND(D154-I154,4),D154-I154)</f>
        <v>118970</v>
      </c>
      <c r="M154" s="760">
        <f>IFERROR(IF(L153=0,0,SUM($J$25:J154)),0)</f>
        <v>0</v>
      </c>
      <c r="N154" s="366">
        <f t="shared" si="30"/>
        <v>1.025603448275862</v>
      </c>
      <c r="O154" s="761">
        <f t="shared" si="31"/>
        <v>0</v>
      </c>
      <c r="P154" s="28"/>
      <c r="Q154" s="1681">
        <f t="shared" ref="Q154:Q217" si="41">IFERROR(IF(AND(B154&lt;=$I$19,B154&lt;&gt;0),IF(AND(B154=$D$15*12,$D$15=$D$12),D154+J154,IF(B154&lt;=$D$15*12,J154,IF($I$10&gt;(1+$D$11/12)*D154,(1+$D$11/12)*D154,$I$10)))+K154,0),0)</f>
        <v>0</v>
      </c>
      <c r="R154" s="1682">
        <f t="shared" si="32"/>
        <v>0</v>
      </c>
      <c r="S154" s="1682">
        <f t="shared" ref="S154:S217" si="42">IF(B154&lt;=$I$19,Q154,IF(AND(B154&gt;=$J$18,B154&lt;=$J$19),R154,0))</f>
        <v>0</v>
      </c>
      <c r="T154" s="1682">
        <f t="shared" ref="T154:T217" si="43">YEAR(C154)</f>
        <v>1900</v>
      </c>
    </row>
    <row r="155" spans="2:20" s="283" customFormat="1" ht="13.8" x14ac:dyDescent="0.3">
      <c r="B155" s="758" cm="1">
        <f t="array" ref="B155">IF(active_refi=1,IF(ROW()-ROW($B$24)&lt;=$E$12*$E$13+refi_month,ROW()-ROW($B$24),0),IF(activeloan,IF(L154=0,0,IF(ROW()-ROW($B$24)&lt;=$D$12*$D$13,ROW()-ROW($B$24),0)),0))</f>
        <v>0</v>
      </c>
      <c r="C155" s="759">
        <f t="shared" si="33"/>
        <v>0</v>
      </c>
      <c r="D155" s="760">
        <f t="shared" si="34"/>
        <v>118970</v>
      </c>
      <c r="E155" s="760">
        <f t="shared" si="35"/>
        <v>0</v>
      </c>
      <c r="F155" s="760">
        <f t="shared" si="36"/>
        <v>0</v>
      </c>
      <c r="G155" s="340">
        <v>0</v>
      </c>
      <c r="H155" s="760">
        <f t="shared" si="37"/>
        <v>0</v>
      </c>
      <c r="I155" s="760">
        <f t="shared" ref="I155:I218" si="44">H155-J155-K155</f>
        <v>0</v>
      </c>
      <c r="J155" s="760">
        <f t="shared" si="38"/>
        <v>0</v>
      </c>
      <c r="K155" s="760">
        <f t="shared" si="39"/>
        <v>0</v>
      </c>
      <c r="L155" s="760">
        <f t="shared" si="40"/>
        <v>118970</v>
      </c>
      <c r="M155" s="760">
        <f>IFERROR(IF(L154=0,0,SUM($J$25:J155)),0)</f>
        <v>0</v>
      </c>
      <c r="N155" s="366">
        <f t="shared" si="30"/>
        <v>1.025603448275862</v>
      </c>
      <c r="O155" s="761">
        <f t="shared" si="31"/>
        <v>0</v>
      </c>
      <c r="P155" s="28"/>
      <c r="Q155" s="1681">
        <f t="shared" si="41"/>
        <v>0</v>
      </c>
      <c r="R155" s="1682">
        <f t="shared" si="32"/>
        <v>0</v>
      </c>
      <c r="S155" s="1682">
        <f t="shared" si="42"/>
        <v>0</v>
      </c>
      <c r="T155" s="1682">
        <f t="shared" si="43"/>
        <v>1900</v>
      </c>
    </row>
    <row r="156" spans="2:20" s="283" customFormat="1" ht="13.8" x14ac:dyDescent="0.3">
      <c r="B156" s="758" cm="1">
        <f t="array" ref="B156">IF(active_refi=1,IF(ROW()-ROW($B$24)&lt;=$E$12*$E$13+refi_month,ROW()-ROW($B$24),0),IF(activeloan,IF(L155=0,0,IF(ROW()-ROW($B$24)&lt;=$D$12*$D$13,ROW()-ROW($B$24),0)),0))</f>
        <v>0</v>
      </c>
      <c r="C156" s="759">
        <f t="shared" si="33"/>
        <v>0</v>
      </c>
      <c r="D156" s="760">
        <f t="shared" si="34"/>
        <v>118970</v>
      </c>
      <c r="E156" s="760">
        <f t="shared" si="35"/>
        <v>0</v>
      </c>
      <c r="F156" s="760">
        <f t="shared" si="36"/>
        <v>0</v>
      </c>
      <c r="G156" s="340">
        <v>0</v>
      </c>
      <c r="H156" s="760">
        <f t="shared" si="37"/>
        <v>0</v>
      </c>
      <c r="I156" s="760">
        <f t="shared" si="44"/>
        <v>0</v>
      </c>
      <c r="J156" s="760">
        <f t="shared" si="38"/>
        <v>0</v>
      </c>
      <c r="K156" s="760">
        <f t="shared" si="39"/>
        <v>0</v>
      </c>
      <c r="L156" s="760">
        <f t="shared" si="40"/>
        <v>118970</v>
      </c>
      <c r="M156" s="760">
        <f>IFERROR(IF(L155=0,0,SUM($J$25:J156)),0)</f>
        <v>0</v>
      </c>
      <c r="N156" s="366">
        <f t="shared" si="30"/>
        <v>1.025603448275862</v>
      </c>
      <c r="O156" s="761">
        <f t="shared" si="31"/>
        <v>0</v>
      </c>
      <c r="P156" s="28"/>
      <c r="Q156" s="1681">
        <f t="shared" si="41"/>
        <v>0</v>
      </c>
      <c r="R156" s="1682">
        <f t="shared" si="32"/>
        <v>0</v>
      </c>
      <c r="S156" s="1682">
        <f t="shared" si="42"/>
        <v>0</v>
      </c>
      <c r="T156" s="1682">
        <f t="shared" si="43"/>
        <v>1900</v>
      </c>
    </row>
    <row r="157" spans="2:20" s="283" customFormat="1" ht="13.8" x14ac:dyDescent="0.3">
      <c r="B157" s="758" cm="1">
        <f t="array" ref="B157">IF(active_refi=1,IF(ROW()-ROW($B$24)&lt;=$E$12*$E$13+refi_month,ROW()-ROW($B$24),0),IF(activeloan,IF(L156=0,0,IF(ROW()-ROW($B$24)&lt;=$D$12*$D$13,ROW()-ROW($B$24),0)),0))</f>
        <v>0</v>
      </c>
      <c r="C157" s="759">
        <f t="shared" si="33"/>
        <v>0</v>
      </c>
      <c r="D157" s="760">
        <f t="shared" si="34"/>
        <v>118970</v>
      </c>
      <c r="E157" s="760">
        <f t="shared" si="35"/>
        <v>0</v>
      </c>
      <c r="F157" s="760">
        <f t="shared" si="36"/>
        <v>0</v>
      </c>
      <c r="G157" s="340">
        <v>0</v>
      </c>
      <c r="H157" s="760">
        <f t="shared" si="37"/>
        <v>0</v>
      </c>
      <c r="I157" s="760">
        <f t="shared" si="44"/>
        <v>0</v>
      </c>
      <c r="J157" s="760">
        <f t="shared" si="38"/>
        <v>0</v>
      </c>
      <c r="K157" s="760">
        <f t="shared" si="39"/>
        <v>0</v>
      </c>
      <c r="L157" s="760">
        <f t="shared" si="40"/>
        <v>118970</v>
      </c>
      <c r="M157" s="760">
        <f>IFERROR(IF(L156=0,0,SUM($J$25:J157)),0)</f>
        <v>0</v>
      </c>
      <c r="N157" s="366">
        <f t="shared" si="30"/>
        <v>1.025603448275862</v>
      </c>
      <c r="O157" s="761">
        <f t="shared" si="31"/>
        <v>0</v>
      </c>
      <c r="P157" s="28"/>
      <c r="Q157" s="1681">
        <f t="shared" si="41"/>
        <v>0</v>
      </c>
      <c r="R157" s="1682">
        <f t="shared" si="32"/>
        <v>0</v>
      </c>
      <c r="S157" s="1682">
        <f t="shared" si="42"/>
        <v>0</v>
      </c>
      <c r="T157" s="1682">
        <f t="shared" si="43"/>
        <v>1900</v>
      </c>
    </row>
    <row r="158" spans="2:20" s="283" customFormat="1" ht="13.8" x14ac:dyDescent="0.3">
      <c r="B158" s="758" cm="1">
        <f t="array" ref="B158">IF(active_refi=1,IF(ROW()-ROW($B$24)&lt;=$E$12*$E$13+refi_month,ROW()-ROW($B$24),0),IF(activeloan,IF(L157=0,0,IF(ROW()-ROW($B$24)&lt;=$D$12*$D$13,ROW()-ROW($B$24),0)),0))</f>
        <v>0</v>
      </c>
      <c r="C158" s="759">
        <f t="shared" si="33"/>
        <v>0</v>
      </c>
      <c r="D158" s="760">
        <f t="shared" si="34"/>
        <v>118970</v>
      </c>
      <c r="E158" s="760">
        <f t="shared" si="35"/>
        <v>0</v>
      </c>
      <c r="F158" s="760">
        <f t="shared" si="36"/>
        <v>0</v>
      </c>
      <c r="G158" s="340">
        <v>0</v>
      </c>
      <c r="H158" s="760">
        <f t="shared" si="37"/>
        <v>0</v>
      </c>
      <c r="I158" s="760">
        <f t="shared" si="44"/>
        <v>0</v>
      </c>
      <c r="J158" s="760">
        <f t="shared" si="38"/>
        <v>0</v>
      </c>
      <c r="K158" s="760">
        <f t="shared" si="39"/>
        <v>0</v>
      </c>
      <c r="L158" s="760">
        <f t="shared" si="40"/>
        <v>118970</v>
      </c>
      <c r="M158" s="760">
        <f>IFERROR(IF(L157=0,0,SUM($J$25:J158)),0)</f>
        <v>0</v>
      </c>
      <c r="N158" s="366">
        <f t="shared" si="30"/>
        <v>1.025603448275862</v>
      </c>
      <c r="O158" s="761">
        <f t="shared" si="31"/>
        <v>0</v>
      </c>
      <c r="P158" s="28"/>
      <c r="Q158" s="1681">
        <f t="shared" si="41"/>
        <v>0</v>
      </c>
      <c r="R158" s="1682">
        <f t="shared" si="32"/>
        <v>0</v>
      </c>
      <c r="S158" s="1682">
        <f t="shared" si="42"/>
        <v>0</v>
      </c>
      <c r="T158" s="1682">
        <f t="shared" si="43"/>
        <v>1900</v>
      </c>
    </row>
    <row r="159" spans="2:20" s="283" customFormat="1" ht="13.8" x14ac:dyDescent="0.3">
      <c r="B159" s="758" cm="1">
        <f t="array" ref="B159">IF(active_refi=1,IF(ROW()-ROW($B$24)&lt;=$E$12*$E$13+refi_month,ROW()-ROW($B$24),0),IF(activeloan,IF(L158=0,0,IF(ROW()-ROW($B$24)&lt;=$D$12*$D$13,ROW()-ROW($B$24),0)),0))</f>
        <v>0</v>
      </c>
      <c r="C159" s="759">
        <f t="shared" si="33"/>
        <v>0</v>
      </c>
      <c r="D159" s="760">
        <f t="shared" si="34"/>
        <v>118970</v>
      </c>
      <c r="E159" s="760">
        <f t="shared" si="35"/>
        <v>0</v>
      </c>
      <c r="F159" s="760">
        <f t="shared" si="36"/>
        <v>0</v>
      </c>
      <c r="G159" s="340">
        <v>0</v>
      </c>
      <c r="H159" s="760">
        <f t="shared" si="37"/>
        <v>0</v>
      </c>
      <c r="I159" s="760">
        <f t="shared" si="44"/>
        <v>0</v>
      </c>
      <c r="J159" s="760">
        <f t="shared" si="38"/>
        <v>0</v>
      </c>
      <c r="K159" s="760">
        <f t="shared" si="39"/>
        <v>0</v>
      </c>
      <c r="L159" s="760">
        <f t="shared" si="40"/>
        <v>118970</v>
      </c>
      <c r="M159" s="760">
        <f>IFERROR(IF(L158=0,0,SUM($J$25:J159)),0)</f>
        <v>0</v>
      </c>
      <c r="N159" s="366">
        <f t="shared" si="30"/>
        <v>1.025603448275862</v>
      </c>
      <c r="O159" s="761">
        <f t="shared" si="31"/>
        <v>0</v>
      </c>
      <c r="P159" s="28"/>
      <c r="Q159" s="1681">
        <f t="shared" si="41"/>
        <v>0</v>
      </c>
      <c r="R159" s="1682">
        <f t="shared" si="32"/>
        <v>0</v>
      </c>
      <c r="S159" s="1682">
        <f t="shared" si="42"/>
        <v>0</v>
      </c>
      <c r="T159" s="1682">
        <f t="shared" si="43"/>
        <v>1900</v>
      </c>
    </row>
    <row r="160" spans="2:20" s="283" customFormat="1" ht="13.8" x14ac:dyDescent="0.3">
      <c r="B160" s="758" cm="1">
        <f t="array" ref="B160">IF(active_refi=1,IF(ROW()-ROW($B$24)&lt;=$E$12*$E$13+refi_month,ROW()-ROW($B$24),0),IF(activeloan,IF(L159=0,0,IF(ROW()-ROW($B$24)&lt;=$D$12*$D$13,ROW()-ROW($B$24),0)),0))</f>
        <v>0</v>
      </c>
      <c r="C160" s="759">
        <f t="shared" si="33"/>
        <v>0</v>
      </c>
      <c r="D160" s="760">
        <f t="shared" si="34"/>
        <v>118970</v>
      </c>
      <c r="E160" s="760">
        <f t="shared" si="35"/>
        <v>0</v>
      </c>
      <c r="F160" s="760">
        <f t="shared" si="36"/>
        <v>0</v>
      </c>
      <c r="G160" s="340">
        <v>0</v>
      </c>
      <c r="H160" s="760">
        <f t="shared" si="37"/>
        <v>0</v>
      </c>
      <c r="I160" s="760">
        <f t="shared" si="44"/>
        <v>0</v>
      </c>
      <c r="J160" s="760">
        <f t="shared" si="38"/>
        <v>0</v>
      </c>
      <c r="K160" s="760">
        <f t="shared" si="39"/>
        <v>0</v>
      </c>
      <c r="L160" s="760">
        <f t="shared" si="40"/>
        <v>118970</v>
      </c>
      <c r="M160" s="760">
        <f>IFERROR(IF(L159=0,0,SUM($J$25:J160)),0)</f>
        <v>0</v>
      </c>
      <c r="N160" s="366">
        <f t="shared" si="30"/>
        <v>1.025603448275862</v>
      </c>
      <c r="O160" s="761">
        <f t="shared" si="31"/>
        <v>0</v>
      </c>
      <c r="P160" s="28"/>
      <c r="Q160" s="1681">
        <f t="shared" si="41"/>
        <v>0</v>
      </c>
      <c r="R160" s="1682">
        <f t="shared" si="32"/>
        <v>0</v>
      </c>
      <c r="S160" s="1682">
        <f t="shared" si="42"/>
        <v>0</v>
      </c>
      <c r="T160" s="1682">
        <f t="shared" si="43"/>
        <v>1900</v>
      </c>
    </row>
    <row r="161" spans="2:20" s="283" customFormat="1" ht="13.8" x14ac:dyDescent="0.3">
      <c r="B161" s="758" cm="1">
        <f t="array" ref="B161">IF(active_refi=1,IF(ROW()-ROW($B$24)&lt;=$E$12*$E$13+refi_month,ROW()-ROW($B$24),0),IF(activeloan,IF(L160=0,0,IF(ROW()-ROW($B$24)&lt;=$D$12*$D$13,ROW()-ROW($B$24),0)),0))</f>
        <v>0</v>
      </c>
      <c r="C161" s="759">
        <f t="shared" si="33"/>
        <v>0</v>
      </c>
      <c r="D161" s="760">
        <f t="shared" si="34"/>
        <v>118970</v>
      </c>
      <c r="E161" s="760">
        <f t="shared" si="35"/>
        <v>0</v>
      </c>
      <c r="F161" s="760">
        <f t="shared" si="36"/>
        <v>0</v>
      </c>
      <c r="G161" s="340">
        <v>0</v>
      </c>
      <c r="H161" s="760">
        <f t="shared" si="37"/>
        <v>0</v>
      </c>
      <c r="I161" s="760">
        <f t="shared" si="44"/>
        <v>0</v>
      </c>
      <c r="J161" s="760">
        <f t="shared" si="38"/>
        <v>0</v>
      </c>
      <c r="K161" s="760">
        <f t="shared" si="39"/>
        <v>0</v>
      </c>
      <c r="L161" s="760">
        <f t="shared" si="40"/>
        <v>118970</v>
      </c>
      <c r="M161" s="760">
        <f>IFERROR(IF(L160=0,0,SUM($J$25:J161)),0)</f>
        <v>0</v>
      </c>
      <c r="N161" s="366">
        <f t="shared" si="30"/>
        <v>1.025603448275862</v>
      </c>
      <c r="O161" s="761">
        <f t="shared" si="31"/>
        <v>0</v>
      </c>
      <c r="P161" s="28"/>
      <c r="Q161" s="1681">
        <f t="shared" si="41"/>
        <v>0</v>
      </c>
      <c r="R161" s="1682">
        <f t="shared" si="32"/>
        <v>0</v>
      </c>
      <c r="S161" s="1682">
        <f t="shared" si="42"/>
        <v>0</v>
      </c>
      <c r="T161" s="1682">
        <f t="shared" si="43"/>
        <v>1900</v>
      </c>
    </row>
    <row r="162" spans="2:20" s="283" customFormat="1" ht="13.8" x14ac:dyDescent="0.3">
      <c r="B162" s="758" cm="1">
        <f t="array" ref="B162">IF(active_refi=1,IF(ROW()-ROW($B$24)&lt;=$E$12*$E$13+refi_month,ROW()-ROW($B$24),0),IF(activeloan,IF(L161=0,0,IF(ROW()-ROW($B$24)&lt;=$D$12*$D$13,ROW()-ROW($B$24),0)),0))</f>
        <v>0</v>
      </c>
      <c r="C162" s="759">
        <f t="shared" si="33"/>
        <v>0</v>
      </c>
      <c r="D162" s="760">
        <f t="shared" si="34"/>
        <v>118970</v>
      </c>
      <c r="E162" s="760">
        <f t="shared" si="35"/>
        <v>0</v>
      </c>
      <c r="F162" s="760">
        <f t="shared" si="36"/>
        <v>0</v>
      </c>
      <c r="G162" s="340">
        <v>0</v>
      </c>
      <c r="H162" s="760">
        <f t="shared" si="37"/>
        <v>0</v>
      </c>
      <c r="I162" s="760">
        <f t="shared" si="44"/>
        <v>0</v>
      </c>
      <c r="J162" s="760">
        <f t="shared" si="38"/>
        <v>0</v>
      </c>
      <c r="K162" s="760">
        <f t="shared" si="39"/>
        <v>0</v>
      </c>
      <c r="L162" s="760">
        <f t="shared" si="40"/>
        <v>118970</v>
      </c>
      <c r="M162" s="760">
        <f>IFERROR(IF(L161=0,0,SUM($J$25:J162)),0)</f>
        <v>0</v>
      </c>
      <c r="N162" s="366">
        <f t="shared" si="30"/>
        <v>1.025603448275862</v>
      </c>
      <c r="O162" s="761">
        <f t="shared" si="31"/>
        <v>0</v>
      </c>
      <c r="P162" s="28"/>
      <c r="Q162" s="1681">
        <f t="shared" si="41"/>
        <v>0</v>
      </c>
      <c r="R162" s="1682">
        <f t="shared" si="32"/>
        <v>0</v>
      </c>
      <c r="S162" s="1682">
        <f t="shared" si="42"/>
        <v>0</v>
      </c>
      <c r="T162" s="1682">
        <f t="shared" si="43"/>
        <v>1900</v>
      </c>
    </row>
    <row r="163" spans="2:20" s="283" customFormat="1" ht="13.8" x14ac:dyDescent="0.3">
      <c r="B163" s="758" cm="1">
        <f t="array" ref="B163">IF(active_refi=1,IF(ROW()-ROW($B$24)&lt;=$E$12*$E$13+refi_month,ROW()-ROW($B$24),0),IF(activeloan,IF(L162=0,0,IF(ROW()-ROW($B$24)&lt;=$D$12*$D$13,ROW()-ROW($B$24),0)),0))</f>
        <v>0</v>
      </c>
      <c r="C163" s="759">
        <f t="shared" si="33"/>
        <v>0</v>
      </c>
      <c r="D163" s="760">
        <f t="shared" si="34"/>
        <v>118970</v>
      </c>
      <c r="E163" s="760">
        <f t="shared" si="35"/>
        <v>0</v>
      </c>
      <c r="F163" s="760">
        <f t="shared" si="36"/>
        <v>0</v>
      </c>
      <c r="G163" s="340">
        <v>0</v>
      </c>
      <c r="H163" s="760">
        <f t="shared" si="37"/>
        <v>0</v>
      </c>
      <c r="I163" s="760">
        <f t="shared" si="44"/>
        <v>0</v>
      </c>
      <c r="J163" s="760">
        <f t="shared" si="38"/>
        <v>0</v>
      </c>
      <c r="K163" s="760">
        <f t="shared" si="39"/>
        <v>0</v>
      </c>
      <c r="L163" s="760">
        <f t="shared" si="40"/>
        <v>118970</v>
      </c>
      <c r="M163" s="760">
        <f>IFERROR(IF(L162=0,0,SUM($J$25:J163)),0)</f>
        <v>0</v>
      </c>
      <c r="N163" s="366">
        <f t="shared" si="30"/>
        <v>1.025603448275862</v>
      </c>
      <c r="O163" s="761">
        <f t="shared" si="31"/>
        <v>0</v>
      </c>
      <c r="P163" s="28"/>
      <c r="Q163" s="1681">
        <f t="shared" si="41"/>
        <v>0</v>
      </c>
      <c r="R163" s="1682">
        <f t="shared" si="32"/>
        <v>0</v>
      </c>
      <c r="S163" s="1682">
        <f t="shared" si="42"/>
        <v>0</v>
      </c>
      <c r="T163" s="1682">
        <f t="shared" si="43"/>
        <v>1900</v>
      </c>
    </row>
    <row r="164" spans="2:20" s="283" customFormat="1" ht="13.8" x14ac:dyDescent="0.3">
      <c r="B164" s="758" cm="1">
        <f t="array" ref="B164">IF(active_refi=1,IF(ROW()-ROW($B$24)&lt;=$E$12*$E$13+refi_month,ROW()-ROW($B$24),0),IF(activeloan,IF(L163=0,0,IF(ROW()-ROW($B$24)&lt;=$D$12*$D$13,ROW()-ROW($B$24),0)),0))</f>
        <v>0</v>
      </c>
      <c r="C164" s="759">
        <f t="shared" si="33"/>
        <v>0</v>
      </c>
      <c r="D164" s="760">
        <f t="shared" si="34"/>
        <v>118970</v>
      </c>
      <c r="E164" s="760">
        <f t="shared" si="35"/>
        <v>0</v>
      </c>
      <c r="F164" s="760">
        <f t="shared" si="36"/>
        <v>0</v>
      </c>
      <c r="G164" s="340">
        <v>0</v>
      </c>
      <c r="H164" s="760">
        <f t="shared" si="37"/>
        <v>0</v>
      </c>
      <c r="I164" s="760">
        <f t="shared" si="44"/>
        <v>0</v>
      </c>
      <c r="J164" s="760">
        <f t="shared" si="38"/>
        <v>0</v>
      </c>
      <c r="K164" s="760">
        <f t="shared" si="39"/>
        <v>0</v>
      </c>
      <c r="L164" s="760">
        <f t="shared" si="40"/>
        <v>118970</v>
      </c>
      <c r="M164" s="760">
        <f>IFERROR(IF(L163=0,0,SUM($J$25:J164)),0)</f>
        <v>0</v>
      </c>
      <c r="N164" s="366">
        <f t="shared" si="30"/>
        <v>1.025603448275862</v>
      </c>
      <c r="O164" s="761">
        <f t="shared" si="31"/>
        <v>0</v>
      </c>
      <c r="P164" s="28"/>
      <c r="Q164" s="1681">
        <f t="shared" si="41"/>
        <v>0</v>
      </c>
      <c r="R164" s="1682">
        <f t="shared" si="32"/>
        <v>0</v>
      </c>
      <c r="S164" s="1682">
        <f t="shared" si="42"/>
        <v>0</v>
      </c>
      <c r="T164" s="1682">
        <f t="shared" si="43"/>
        <v>1900</v>
      </c>
    </row>
    <row r="165" spans="2:20" s="283" customFormat="1" ht="13.8" x14ac:dyDescent="0.3">
      <c r="B165" s="758" cm="1">
        <f t="array" ref="B165">IF(active_refi=1,IF(ROW()-ROW($B$24)&lt;=$E$12*$E$13+refi_month,ROW()-ROW($B$24),0),IF(activeloan,IF(L164=0,0,IF(ROW()-ROW($B$24)&lt;=$D$12*$D$13,ROW()-ROW($B$24),0)),0))</f>
        <v>0</v>
      </c>
      <c r="C165" s="759">
        <f t="shared" si="33"/>
        <v>0</v>
      </c>
      <c r="D165" s="760">
        <f t="shared" si="34"/>
        <v>118970</v>
      </c>
      <c r="E165" s="760">
        <f t="shared" si="35"/>
        <v>0</v>
      </c>
      <c r="F165" s="760">
        <f t="shared" si="36"/>
        <v>0</v>
      </c>
      <c r="G165" s="340">
        <v>0</v>
      </c>
      <c r="H165" s="760">
        <f t="shared" si="37"/>
        <v>0</v>
      </c>
      <c r="I165" s="760">
        <f t="shared" si="44"/>
        <v>0</v>
      </c>
      <c r="J165" s="760">
        <f t="shared" si="38"/>
        <v>0</v>
      </c>
      <c r="K165" s="760">
        <f t="shared" si="39"/>
        <v>0</v>
      </c>
      <c r="L165" s="760">
        <f t="shared" si="40"/>
        <v>118970</v>
      </c>
      <c r="M165" s="760">
        <f>IFERROR(IF(L164=0,0,SUM($J$25:J165)),0)</f>
        <v>0</v>
      </c>
      <c r="N165" s="366">
        <f t="shared" si="30"/>
        <v>1.025603448275862</v>
      </c>
      <c r="O165" s="761">
        <f t="shared" si="31"/>
        <v>0</v>
      </c>
      <c r="P165" s="28"/>
      <c r="Q165" s="1681">
        <f t="shared" si="41"/>
        <v>0</v>
      </c>
      <c r="R165" s="1682">
        <f t="shared" si="32"/>
        <v>0</v>
      </c>
      <c r="S165" s="1682">
        <f t="shared" si="42"/>
        <v>0</v>
      </c>
      <c r="T165" s="1682">
        <f t="shared" si="43"/>
        <v>1900</v>
      </c>
    </row>
    <row r="166" spans="2:20" s="283" customFormat="1" ht="13.8" x14ac:dyDescent="0.3">
      <c r="B166" s="758" cm="1">
        <f t="array" ref="B166">IF(active_refi=1,IF(ROW()-ROW($B$24)&lt;=$E$12*$E$13+refi_month,ROW()-ROW($B$24),0),IF(activeloan,IF(L165=0,0,IF(ROW()-ROW($B$24)&lt;=$D$12*$D$13,ROW()-ROW($B$24),0)),0))</f>
        <v>0</v>
      </c>
      <c r="C166" s="759">
        <f t="shared" si="33"/>
        <v>0</v>
      </c>
      <c r="D166" s="760">
        <f t="shared" si="34"/>
        <v>118970</v>
      </c>
      <c r="E166" s="760">
        <f t="shared" si="35"/>
        <v>0</v>
      </c>
      <c r="F166" s="760">
        <f t="shared" si="36"/>
        <v>0</v>
      </c>
      <c r="G166" s="340">
        <v>0</v>
      </c>
      <c r="H166" s="760">
        <f t="shared" si="37"/>
        <v>0</v>
      </c>
      <c r="I166" s="760">
        <f t="shared" si="44"/>
        <v>0</v>
      </c>
      <c r="J166" s="760">
        <f t="shared" si="38"/>
        <v>0</v>
      </c>
      <c r="K166" s="760">
        <f t="shared" si="39"/>
        <v>0</v>
      </c>
      <c r="L166" s="760">
        <f t="shared" si="40"/>
        <v>118970</v>
      </c>
      <c r="M166" s="760">
        <f>IFERROR(IF(L165=0,0,SUM($J$25:J166)),0)</f>
        <v>0</v>
      </c>
      <c r="N166" s="366">
        <f t="shared" si="30"/>
        <v>1.025603448275862</v>
      </c>
      <c r="O166" s="761">
        <f t="shared" si="31"/>
        <v>0</v>
      </c>
      <c r="P166" s="28"/>
      <c r="Q166" s="1681">
        <f t="shared" si="41"/>
        <v>0</v>
      </c>
      <c r="R166" s="1682">
        <f t="shared" si="32"/>
        <v>0</v>
      </c>
      <c r="S166" s="1682">
        <f t="shared" si="42"/>
        <v>0</v>
      </c>
      <c r="T166" s="1682">
        <f t="shared" si="43"/>
        <v>1900</v>
      </c>
    </row>
    <row r="167" spans="2:20" s="283" customFormat="1" ht="13.8" x14ac:dyDescent="0.3">
      <c r="B167" s="758" cm="1">
        <f t="array" ref="B167">IF(active_refi=1,IF(ROW()-ROW($B$24)&lt;=$E$12*$E$13+refi_month,ROW()-ROW($B$24),0),IF(activeloan,IF(L166=0,0,IF(ROW()-ROW($B$24)&lt;=$D$12*$D$13,ROW()-ROW($B$24),0)),0))</f>
        <v>0</v>
      </c>
      <c r="C167" s="759">
        <f t="shared" si="33"/>
        <v>0</v>
      </c>
      <c r="D167" s="760">
        <f t="shared" si="34"/>
        <v>118970</v>
      </c>
      <c r="E167" s="760">
        <f t="shared" si="35"/>
        <v>0</v>
      </c>
      <c r="F167" s="760">
        <f t="shared" si="36"/>
        <v>0</v>
      </c>
      <c r="G167" s="340">
        <v>0</v>
      </c>
      <c r="H167" s="760">
        <f t="shared" si="37"/>
        <v>0</v>
      </c>
      <c r="I167" s="760">
        <f t="shared" si="44"/>
        <v>0</v>
      </c>
      <c r="J167" s="760">
        <f t="shared" si="38"/>
        <v>0</v>
      </c>
      <c r="K167" s="760">
        <f t="shared" si="39"/>
        <v>0</v>
      </c>
      <c r="L167" s="760">
        <f t="shared" si="40"/>
        <v>118970</v>
      </c>
      <c r="M167" s="760">
        <f>IFERROR(IF(L166=0,0,SUM($J$25:J167)),0)</f>
        <v>0</v>
      </c>
      <c r="N167" s="366">
        <f t="shared" si="30"/>
        <v>1.025603448275862</v>
      </c>
      <c r="O167" s="761">
        <f t="shared" si="31"/>
        <v>0</v>
      </c>
      <c r="P167" s="28"/>
      <c r="Q167" s="1681">
        <f t="shared" si="41"/>
        <v>0</v>
      </c>
      <c r="R167" s="1682">
        <f t="shared" si="32"/>
        <v>0</v>
      </c>
      <c r="S167" s="1682">
        <f t="shared" si="42"/>
        <v>0</v>
      </c>
      <c r="T167" s="1682">
        <f t="shared" si="43"/>
        <v>1900</v>
      </c>
    </row>
    <row r="168" spans="2:20" s="283" customFormat="1" ht="13.8" x14ac:dyDescent="0.3">
      <c r="B168" s="758" cm="1">
        <f t="array" ref="B168">IF(active_refi=1,IF(ROW()-ROW($B$24)&lt;=$E$12*$E$13+refi_month,ROW()-ROW($B$24),0),IF(activeloan,IF(L167=0,0,IF(ROW()-ROW($B$24)&lt;=$D$12*$D$13,ROW()-ROW($B$24),0)),0))</f>
        <v>0</v>
      </c>
      <c r="C168" s="759">
        <f t="shared" si="33"/>
        <v>0</v>
      </c>
      <c r="D168" s="760">
        <f t="shared" si="34"/>
        <v>118970</v>
      </c>
      <c r="E168" s="760">
        <f t="shared" si="35"/>
        <v>0</v>
      </c>
      <c r="F168" s="760">
        <f t="shared" si="36"/>
        <v>0</v>
      </c>
      <c r="G168" s="340">
        <v>0</v>
      </c>
      <c r="H168" s="760">
        <f t="shared" si="37"/>
        <v>0</v>
      </c>
      <c r="I168" s="760">
        <f t="shared" si="44"/>
        <v>0</v>
      </c>
      <c r="J168" s="760">
        <f t="shared" si="38"/>
        <v>0</v>
      </c>
      <c r="K168" s="760">
        <f t="shared" si="39"/>
        <v>0</v>
      </c>
      <c r="L168" s="760">
        <f t="shared" si="40"/>
        <v>118970</v>
      </c>
      <c r="M168" s="760">
        <f>IFERROR(IF(L167=0,0,SUM($J$25:J168)),0)</f>
        <v>0</v>
      </c>
      <c r="N168" s="366">
        <f t="shared" si="30"/>
        <v>1.025603448275862</v>
      </c>
      <c r="O168" s="761">
        <f t="shared" si="31"/>
        <v>0</v>
      </c>
      <c r="P168" s="28"/>
      <c r="Q168" s="1681">
        <f t="shared" si="41"/>
        <v>0</v>
      </c>
      <c r="R168" s="1682">
        <f t="shared" si="32"/>
        <v>0</v>
      </c>
      <c r="S168" s="1682">
        <f t="shared" si="42"/>
        <v>0</v>
      </c>
      <c r="T168" s="1682">
        <f t="shared" si="43"/>
        <v>1900</v>
      </c>
    </row>
    <row r="169" spans="2:20" s="283" customFormat="1" ht="13.8" x14ac:dyDescent="0.3">
      <c r="B169" s="758" cm="1">
        <f t="array" ref="B169">IF(active_refi=1,IF(ROW()-ROW($B$24)&lt;=$E$12*$E$13+refi_month,ROW()-ROW($B$24),0),IF(activeloan,IF(L168=0,0,IF(ROW()-ROW($B$24)&lt;=$D$12*$D$13,ROW()-ROW($B$24),0)),0))</f>
        <v>0</v>
      </c>
      <c r="C169" s="759">
        <f t="shared" si="33"/>
        <v>0</v>
      </c>
      <c r="D169" s="760">
        <f t="shared" si="34"/>
        <v>118970</v>
      </c>
      <c r="E169" s="760">
        <f t="shared" si="35"/>
        <v>0</v>
      </c>
      <c r="F169" s="760">
        <f t="shared" si="36"/>
        <v>0</v>
      </c>
      <c r="G169" s="340">
        <v>0</v>
      </c>
      <c r="H169" s="760">
        <f t="shared" si="37"/>
        <v>0</v>
      </c>
      <c r="I169" s="760">
        <f t="shared" si="44"/>
        <v>0</v>
      </c>
      <c r="J169" s="760">
        <f t="shared" si="38"/>
        <v>0</v>
      </c>
      <c r="K169" s="760">
        <f t="shared" si="39"/>
        <v>0</v>
      </c>
      <c r="L169" s="760">
        <f t="shared" si="40"/>
        <v>118970</v>
      </c>
      <c r="M169" s="760">
        <f>IFERROR(IF(L168=0,0,SUM($J$25:J169)),0)</f>
        <v>0</v>
      </c>
      <c r="N169" s="366">
        <f t="shared" si="30"/>
        <v>1.025603448275862</v>
      </c>
      <c r="O169" s="761">
        <f t="shared" si="31"/>
        <v>0</v>
      </c>
      <c r="P169" s="28"/>
      <c r="Q169" s="1681">
        <f t="shared" si="41"/>
        <v>0</v>
      </c>
      <c r="R169" s="1682">
        <f t="shared" si="32"/>
        <v>0</v>
      </c>
      <c r="S169" s="1682">
        <f t="shared" si="42"/>
        <v>0</v>
      </c>
      <c r="T169" s="1682">
        <f t="shared" si="43"/>
        <v>1900</v>
      </c>
    </row>
    <row r="170" spans="2:20" s="283" customFormat="1" ht="13.8" x14ac:dyDescent="0.3">
      <c r="B170" s="758" cm="1">
        <f t="array" ref="B170">IF(active_refi=1,IF(ROW()-ROW($B$24)&lt;=$E$12*$E$13+refi_month,ROW()-ROW($B$24),0),IF(activeloan,IF(L169=0,0,IF(ROW()-ROW($B$24)&lt;=$D$12*$D$13,ROW()-ROW($B$24),0)),0))</f>
        <v>0</v>
      </c>
      <c r="C170" s="759">
        <f t="shared" si="33"/>
        <v>0</v>
      </c>
      <c r="D170" s="760">
        <f t="shared" si="34"/>
        <v>118970</v>
      </c>
      <c r="E170" s="760">
        <f t="shared" si="35"/>
        <v>0</v>
      </c>
      <c r="F170" s="760">
        <f t="shared" si="36"/>
        <v>0</v>
      </c>
      <c r="G170" s="340">
        <v>0</v>
      </c>
      <c r="H170" s="760">
        <f t="shared" si="37"/>
        <v>0</v>
      </c>
      <c r="I170" s="760">
        <f t="shared" si="44"/>
        <v>0</v>
      </c>
      <c r="J170" s="760">
        <f t="shared" si="38"/>
        <v>0</v>
      </c>
      <c r="K170" s="760">
        <f t="shared" si="39"/>
        <v>0</v>
      </c>
      <c r="L170" s="760">
        <f t="shared" si="40"/>
        <v>118970</v>
      </c>
      <c r="M170" s="760">
        <f>IFERROR(IF(L169=0,0,SUM($J$25:J170)),0)</f>
        <v>0</v>
      </c>
      <c r="N170" s="366">
        <f t="shared" si="30"/>
        <v>1.025603448275862</v>
      </c>
      <c r="O170" s="761">
        <f t="shared" si="31"/>
        <v>0</v>
      </c>
      <c r="P170" s="28"/>
      <c r="Q170" s="1681">
        <f t="shared" si="41"/>
        <v>0</v>
      </c>
      <c r="R170" s="1682">
        <f t="shared" si="32"/>
        <v>0</v>
      </c>
      <c r="S170" s="1682">
        <f t="shared" si="42"/>
        <v>0</v>
      </c>
      <c r="T170" s="1682">
        <f t="shared" si="43"/>
        <v>1900</v>
      </c>
    </row>
    <row r="171" spans="2:20" s="283" customFormat="1" ht="13.8" x14ac:dyDescent="0.3">
      <c r="B171" s="758" cm="1">
        <f t="array" ref="B171">IF(active_refi=1,IF(ROW()-ROW($B$24)&lt;=$E$12*$E$13+refi_month,ROW()-ROW($B$24),0),IF(activeloan,IF(L170=0,0,IF(ROW()-ROW($B$24)&lt;=$D$12*$D$13,ROW()-ROW($B$24),0)),0))</f>
        <v>0</v>
      </c>
      <c r="C171" s="759">
        <f t="shared" si="33"/>
        <v>0</v>
      </c>
      <c r="D171" s="760">
        <f t="shared" si="34"/>
        <v>118970</v>
      </c>
      <c r="E171" s="760">
        <f t="shared" si="35"/>
        <v>0</v>
      </c>
      <c r="F171" s="760">
        <f t="shared" si="36"/>
        <v>0</v>
      </c>
      <c r="G171" s="340">
        <v>0</v>
      </c>
      <c r="H171" s="760">
        <f t="shared" si="37"/>
        <v>0</v>
      </c>
      <c r="I171" s="760">
        <f t="shared" si="44"/>
        <v>0</v>
      </c>
      <c r="J171" s="760">
        <f t="shared" si="38"/>
        <v>0</v>
      </c>
      <c r="K171" s="760">
        <f t="shared" si="39"/>
        <v>0</v>
      </c>
      <c r="L171" s="760">
        <f t="shared" si="40"/>
        <v>118970</v>
      </c>
      <c r="M171" s="760">
        <f>IFERROR(IF(L170=0,0,SUM($J$25:J171)),0)</f>
        <v>0</v>
      </c>
      <c r="N171" s="366">
        <f t="shared" si="30"/>
        <v>1.025603448275862</v>
      </c>
      <c r="O171" s="761">
        <f t="shared" si="31"/>
        <v>0</v>
      </c>
      <c r="P171" s="28"/>
      <c r="Q171" s="1681">
        <f t="shared" si="41"/>
        <v>0</v>
      </c>
      <c r="R171" s="1682">
        <f t="shared" si="32"/>
        <v>0</v>
      </c>
      <c r="S171" s="1682">
        <f t="shared" si="42"/>
        <v>0</v>
      </c>
      <c r="T171" s="1682">
        <f t="shared" si="43"/>
        <v>1900</v>
      </c>
    </row>
    <row r="172" spans="2:20" s="283" customFormat="1" ht="13.8" x14ac:dyDescent="0.3">
      <c r="B172" s="758" cm="1">
        <f t="array" ref="B172">IF(active_refi=1,IF(ROW()-ROW($B$24)&lt;=$E$12*$E$13+refi_month,ROW()-ROW($B$24),0),IF(activeloan,IF(L171=0,0,IF(ROW()-ROW($B$24)&lt;=$D$12*$D$13,ROW()-ROW($B$24),0)),0))</f>
        <v>0</v>
      </c>
      <c r="C172" s="759">
        <f t="shared" si="33"/>
        <v>0</v>
      </c>
      <c r="D172" s="760">
        <f t="shared" si="34"/>
        <v>118970</v>
      </c>
      <c r="E172" s="760">
        <f t="shared" si="35"/>
        <v>0</v>
      </c>
      <c r="F172" s="760">
        <f t="shared" si="36"/>
        <v>0</v>
      </c>
      <c r="G172" s="340">
        <v>0</v>
      </c>
      <c r="H172" s="760">
        <f t="shared" si="37"/>
        <v>0</v>
      </c>
      <c r="I172" s="760">
        <f t="shared" si="44"/>
        <v>0</v>
      </c>
      <c r="J172" s="760">
        <f t="shared" si="38"/>
        <v>0</v>
      </c>
      <c r="K172" s="760">
        <f t="shared" si="39"/>
        <v>0</v>
      </c>
      <c r="L172" s="760">
        <f t="shared" si="40"/>
        <v>118970</v>
      </c>
      <c r="M172" s="760">
        <f>IFERROR(IF(L171=0,0,SUM($J$25:J172)),0)</f>
        <v>0</v>
      </c>
      <c r="N172" s="366">
        <f t="shared" si="30"/>
        <v>1.025603448275862</v>
      </c>
      <c r="O172" s="761">
        <f t="shared" si="31"/>
        <v>0</v>
      </c>
      <c r="P172" s="28"/>
      <c r="Q172" s="1681">
        <f t="shared" si="41"/>
        <v>0</v>
      </c>
      <c r="R172" s="1682">
        <f t="shared" si="32"/>
        <v>0</v>
      </c>
      <c r="S172" s="1682">
        <f t="shared" si="42"/>
        <v>0</v>
      </c>
      <c r="T172" s="1682">
        <f t="shared" si="43"/>
        <v>1900</v>
      </c>
    </row>
    <row r="173" spans="2:20" s="283" customFormat="1" ht="13.8" x14ac:dyDescent="0.3">
      <c r="B173" s="758" cm="1">
        <f t="array" ref="B173">IF(active_refi=1,IF(ROW()-ROW($B$24)&lt;=$E$12*$E$13+refi_month,ROW()-ROW($B$24),0),IF(activeloan,IF(L172=0,0,IF(ROW()-ROW($B$24)&lt;=$D$12*$D$13,ROW()-ROW($B$24),0)),0))</f>
        <v>0</v>
      </c>
      <c r="C173" s="759">
        <f t="shared" si="33"/>
        <v>0</v>
      </c>
      <c r="D173" s="760">
        <f t="shared" si="34"/>
        <v>118970</v>
      </c>
      <c r="E173" s="760">
        <f t="shared" si="35"/>
        <v>0</v>
      </c>
      <c r="F173" s="760">
        <f t="shared" si="36"/>
        <v>0</v>
      </c>
      <c r="G173" s="340">
        <v>0</v>
      </c>
      <c r="H173" s="760">
        <f t="shared" si="37"/>
        <v>0</v>
      </c>
      <c r="I173" s="760">
        <f t="shared" si="44"/>
        <v>0</v>
      </c>
      <c r="J173" s="760">
        <f t="shared" si="38"/>
        <v>0</v>
      </c>
      <c r="K173" s="760">
        <f t="shared" si="39"/>
        <v>0</v>
      </c>
      <c r="L173" s="760">
        <f t="shared" si="40"/>
        <v>118970</v>
      </c>
      <c r="M173" s="760">
        <f>IFERROR(IF(L172=0,0,SUM($J$25:J173)),0)</f>
        <v>0</v>
      </c>
      <c r="N173" s="366">
        <f t="shared" si="30"/>
        <v>1.025603448275862</v>
      </c>
      <c r="O173" s="761">
        <f t="shared" si="31"/>
        <v>0</v>
      </c>
      <c r="P173" s="28"/>
      <c r="Q173" s="1681">
        <f t="shared" si="41"/>
        <v>0</v>
      </c>
      <c r="R173" s="1682">
        <f t="shared" si="32"/>
        <v>0</v>
      </c>
      <c r="S173" s="1682">
        <f t="shared" si="42"/>
        <v>0</v>
      </c>
      <c r="T173" s="1682">
        <f t="shared" si="43"/>
        <v>1900</v>
      </c>
    </row>
    <row r="174" spans="2:20" s="283" customFormat="1" ht="13.8" x14ac:dyDescent="0.3">
      <c r="B174" s="758" cm="1">
        <f t="array" ref="B174">IF(active_refi=1,IF(ROW()-ROW($B$24)&lt;=$E$12*$E$13+refi_month,ROW()-ROW($B$24),0),IF(activeloan,IF(L173=0,0,IF(ROW()-ROW($B$24)&lt;=$D$12*$D$13,ROW()-ROW($B$24),0)),0))</f>
        <v>0</v>
      </c>
      <c r="C174" s="759">
        <f t="shared" si="33"/>
        <v>0</v>
      </c>
      <c r="D174" s="760">
        <f t="shared" si="34"/>
        <v>118970</v>
      </c>
      <c r="E174" s="760">
        <f t="shared" si="35"/>
        <v>0</v>
      </c>
      <c r="F174" s="760">
        <f t="shared" si="36"/>
        <v>0</v>
      </c>
      <c r="G174" s="340">
        <v>0</v>
      </c>
      <c r="H174" s="760">
        <f t="shared" si="37"/>
        <v>0</v>
      </c>
      <c r="I174" s="760">
        <f t="shared" si="44"/>
        <v>0</v>
      </c>
      <c r="J174" s="760">
        <f t="shared" si="38"/>
        <v>0</v>
      </c>
      <c r="K174" s="760">
        <f t="shared" si="39"/>
        <v>0</v>
      </c>
      <c r="L174" s="760">
        <f t="shared" si="40"/>
        <v>118970</v>
      </c>
      <c r="M174" s="760">
        <f>IFERROR(IF(L173=0,0,SUM($J$25:J174)),0)</f>
        <v>0</v>
      </c>
      <c r="N174" s="366">
        <f t="shared" si="30"/>
        <v>1.025603448275862</v>
      </c>
      <c r="O174" s="761">
        <f t="shared" si="31"/>
        <v>0</v>
      </c>
      <c r="P174" s="28"/>
      <c r="Q174" s="1681">
        <f t="shared" si="41"/>
        <v>0</v>
      </c>
      <c r="R174" s="1682">
        <f t="shared" si="32"/>
        <v>0</v>
      </c>
      <c r="S174" s="1682">
        <f t="shared" si="42"/>
        <v>0</v>
      </c>
      <c r="T174" s="1682">
        <f t="shared" si="43"/>
        <v>1900</v>
      </c>
    </row>
    <row r="175" spans="2:20" s="283" customFormat="1" ht="13.8" x14ac:dyDescent="0.3">
      <c r="B175" s="758" cm="1">
        <f t="array" ref="B175">IF(active_refi=1,IF(ROW()-ROW($B$24)&lt;=$E$12*$E$13+refi_month,ROW()-ROW($B$24),0),IF(activeloan,IF(L174=0,0,IF(ROW()-ROW($B$24)&lt;=$D$12*$D$13,ROW()-ROW($B$24),0)),0))</f>
        <v>0</v>
      </c>
      <c r="C175" s="759">
        <f t="shared" si="33"/>
        <v>0</v>
      </c>
      <c r="D175" s="760">
        <f t="shared" si="34"/>
        <v>118970</v>
      </c>
      <c r="E175" s="760">
        <f t="shared" si="35"/>
        <v>0</v>
      </c>
      <c r="F175" s="760">
        <f t="shared" si="36"/>
        <v>0</v>
      </c>
      <c r="G175" s="340">
        <v>0</v>
      </c>
      <c r="H175" s="760">
        <f t="shared" si="37"/>
        <v>0</v>
      </c>
      <c r="I175" s="760">
        <f t="shared" si="44"/>
        <v>0</v>
      </c>
      <c r="J175" s="760">
        <f t="shared" si="38"/>
        <v>0</v>
      </c>
      <c r="K175" s="760">
        <f t="shared" si="39"/>
        <v>0</v>
      </c>
      <c r="L175" s="760">
        <f t="shared" si="40"/>
        <v>118970</v>
      </c>
      <c r="M175" s="760">
        <f>IFERROR(IF(L174=0,0,SUM($J$25:J175)),0)</f>
        <v>0</v>
      </c>
      <c r="N175" s="366">
        <f t="shared" si="30"/>
        <v>1.025603448275862</v>
      </c>
      <c r="O175" s="761">
        <f t="shared" si="31"/>
        <v>0</v>
      </c>
      <c r="P175" s="28"/>
      <c r="Q175" s="1681">
        <f t="shared" si="41"/>
        <v>0</v>
      </c>
      <c r="R175" s="1682">
        <f t="shared" si="32"/>
        <v>0</v>
      </c>
      <c r="S175" s="1682">
        <f t="shared" si="42"/>
        <v>0</v>
      </c>
      <c r="T175" s="1682">
        <f t="shared" si="43"/>
        <v>1900</v>
      </c>
    </row>
    <row r="176" spans="2:20" s="283" customFormat="1" ht="13.8" x14ac:dyDescent="0.3">
      <c r="B176" s="758" cm="1">
        <f t="array" ref="B176">IF(active_refi=1,IF(ROW()-ROW($B$24)&lt;=$E$12*$E$13+refi_month,ROW()-ROW($B$24),0),IF(activeloan,IF(L175=0,0,IF(ROW()-ROW($B$24)&lt;=$D$12*$D$13,ROW()-ROW($B$24),0)),0))</f>
        <v>0</v>
      </c>
      <c r="C176" s="759">
        <f t="shared" si="33"/>
        <v>0</v>
      </c>
      <c r="D176" s="760">
        <f t="shared" si="34"/>
        <v>118970</v>
      </c>
      <c r="E176" s="760">
        <f t="shared" si="35"/>
        <v>0</v>
      </c>
      <c r="F176" s="760">
        <f t="shared" si="36"/>
        <v>0</v>
      </c>
      <c r="G176" s="340">
        <v>0</v>
      </c>
      <c r="H176" s="760">
        <f t="shared" si="37"/>
        <v>0</v>
      </c>
      <c r="I176" s="760">
        <f t="shared" si="44"/>
        <v>0</v>
      </c>
      <c r="J176" s="760">
        <f t="shared" si="38"/>
        <v>0</v>
      </c>
      <c r="K176" s="760">
        <f t="shared" si="39"/>
        <v>0</v>
      </c>
      <c r="L176" s="760">
        <f t="shared" si="40"/>
        <v>118970</v>
      </c>
      <c r="M176" s="760">
        <f>IFERROR(IF(L175=0,0,SUM($J$25:J176)),0)</f>
        <v>0</v>
      </c>
      <c r="N176" s="366">
        <f t="shared" si="30"/>
        <v>1.025603448275862</v>
      </c>
      <c r="O176" s="761">
        <f t="shared" si="31"/>
        <v>0</v>
      </c>
      <c r="P176" s="28"/>
      <c r="Q176" s="1681">
        <f t="shared" si="41"/>
        <v>0</v>
      </c>
      <c r="R176" s="1682">
        <f t="shared" si="32"/>
        <v>0</v>
      </c>
      <c r="S176" s="1682">
        <f t="shared" si="42"/>
        <v>0</v>
      </c>
      <c r="T176" s="1682">
        <f t="shared" si="43"/>
        <v>1900</v>
      </c>
    </row>
    <row r="177" spans="2:20" s="283" customFormat="1" ht="13.8" x14ac:dyDescent="0.3">
      <c r="B177" s="758" cm="1">
        <f t="array" ref="B177">IF(active_refi=1,IF(ROW()-ROW($B$24)&lt;=$E$12*$E$13+refi_month,ROW()-ROW($B$24),0),IF(activeloan,IF(L176=0,0,IF(ROW()-ROW($B$24)&lt;=$D$12*$D$13,ROW()-ROW($B$24),0)),0))</f>
        <v>0</v>
      </c>
      <c r="C177" s="759">
        <f t="shared" si="33"/>
        <v>0</v>
      </c>
      <c r="D177" s="760">
        <f t="shared" si="34"/>
        <v>118970</v>
      </c>
      <c r="E177" s="760">
        <f t="shared" si="35"/>
        <v>0</v>
      </c>
      <c r="F177" s="760">
        <f t="shared" si="36"/>
        <v>0</v>
      </c>
      <c r="G177" s="340">
        <v>0</v>
      </c>
      <c r="H177" s="760">
        <f t="shared" si="37"/>
        <v>0</v>
      </c>
      <c r="I177" s="760">
        <f t="shared" si="44"/>
        <v>0</v>
      </c>
      <c r="J177" s="760">
        <f t="shared" si="38"/>
        <v>0</v>
      </c>
      <c r="K177" s="760">
        <f t="shared" si="39"/>
        <v>0</v>
      </c>
      <c r="L177" s="760">
        <f t="shared" si="40"/>
        <v>118970</v>
      </c>
      <c r="M177" s="760">
        <f>IFERROR(IF(L176=0,0,SUM($J$25:J177)),0)</f>
        <v>0</v>
      </c>
      <c r="N177" s="366">
        <f t="shared" si="30"/>
        <v>1.025603448275862</v>
      </c>
      <c r="O177" s="761">
        <f t="shared" si="31"/>
        <v>0</v>
      </c>
      <c r="P177" s="28"/>
      <c r="Q177" s="1681">
        <f t="shared" si="41"/>
        <v>0</v>
      </c>
      <c r="R177" s="1682">
        <f t="shared" si="32"/>
        <v>0</v>
      </c>
      <c r="S177" s="1682">
        <f t="shared" si="42"/>
        <v>0</v>
      </c>
      <c r="T177" s="1682">
        <f t="shared" si="43"/>
        <v>1900</v>
      </c>
    </row>
    <row r="178" spans="2:20" s="283" customFormat="1" ht="13.8" x14ac:dyDescent="0.3">
      <c r="B178" s="758" cm="1">
        <f t="array" ref="B178">IF(active_refi=1,IF(ROW()-ROW($B$24)&lt;=$E$12*$E$13+refi_month,ROW()-ROW($B$24),0),IF(activeloan,IF(L177=0,0,IF(ROW()-ROW($B$24)&lt;=$D$12*$D$13,ROW()-ROW($B$24),0)),0))</f>
        <v>0</v>
      </c>
      <c r="C178" s="759">
        <f t="shared" si="33"/>
        <v>0</v>
      </c>
      <c r="D178" s="760">
        <f t="shared" si="34"/>
        <v>118970</v>
      </c>
      <c r="E178" s="760">
        <f t="shared" si="35"/>
        <v>0</v>
      </c>
      <c r="F178" s="760">
        <f t="shared" si="36"/>
        <v>0</v>
      </c>
      <c r="G178" s="340">
        <v>0</v>
      </c>
      <c r="H178" s="760">
        <f t="shared" si="37"/>
        <v>0</v>
      </c>
      <c r="I178" s="760">
        <f t="shared" si="44"/>
        <v>0</v>
      </c>
      <c r="J178" s="760">
        <f t="shared" si="38"/>
        <v>0</v>
      </c>
      <c r="K178" s="760">
        <f t="shared" si="39"/>
        <v>0</v>
      </c>
      <c r="L178" s="760">
        <f t="shared" si="40"/>
        <v>118970</v>
      </c>
      <c r="M178" s="760">
        <f>IFERROR(IF(L177=0,0,SUM($J$25:J178)),0)</f>
        <v>0</v>
      </c>
      <c r="N178" s="366">
        <f t="shared" si="30"/>
        <v>1.025603448275862</v>
      </c>
      <c r="O178" s="761">
        <f t="shared" si="31"/>
        <v>0</v>
      </c>
      <c r="P178" s="28"/>
      <c r="Q178" s="1681">
        <f t="shared" si="41"/>
        <v>0</v>
      </c>
      <c r="R178" s="1682">
        <f t="shared" si="32"/>
        <v>0</v>
      </c>
      <c r="S178" s="1682">
        <f t="shared" si="42"/>
        <v>0</v>
      </c>
      <c r="T178" s="1682">
        <f t="shared" si="43"/>
        <v>1900</v>
      </c>
    </row>
    <row r="179" spans="2:20" s="283" customFormat="1" ht="13.8" x14ac:dyDescent="0.3">
      <c r="B179" s="758" cm="1">
        <f t="array" ref="B179">IF(active_refi=1,IF(ROW()-ROW($B$24)&lt;=$E$12*$E$13+refi_month,ROW()-ROW($B$24),0),IF(activeloan,IF(L178=0,0,IF(ROW()-ROW($B$24)&lt;=$D$12*$D$13,ROW()-ROW($B$24),0)),0))</f>
        <v>0</v>
      </c>
      <c r="C179" s="759">
        <f t="shared" si="33"/>
        <v>0</v>
      </c>
      <c r="D179" s="760">
        <f t="shared" si="34"/>
        <v>118970</v>
      </c>
      <c r="E179" s="760">
        <f t="shared" si="35"/>
        <v>0</v>
      </c>
      <c r="F179" s="760">
        <f t="shared" si="36"/>
        <v>0</v>
      </c>
      <c r="G179" s="340">
        <v>0</v>
      </c>
      <c r="H179" s="760">
        <f t="shared" si="37"/>
        <v>0</v>
      </c>
      <c r="I179" s="760">
        <f t="shared" si="44"/>
        <v>0</v>
      </c>
      <c r="J179" s="760">
        <f t="shared" si="38"/>
        <v>0</v>
      </c>
      <c r="K179" s="760">
        <f t="shared" si="39"/>
        <v>0</v>
      </c>
      <c r="L179" s="760">
        <f t="shared" si="40"/>
        <v>118970</v>
      </c>
      <c r="M179" s="760">
        <f>IFERROR(IF(L178=0,0,SUM($J$25:J179)),0)</f>
        <v>0</v>
      </c>
      <c r="N179" s="366">
        <f t="shared" si="30"/>
        <v>1.025603448275862</v>
      </c>
      <c r="O179" s="761">
        <f t="shared" si="31"/>
        <v>0</v>
      </c>
      <c r="P179" s="28"/>
      <c r="Q179" s="1681">
        <f t="shared" si="41"/>
        <v>0</v>
      </c>
      <c r="R179" s="1682">
        <f t="shared" si="32"/>
        <v>0</v>
      </c>
      <c r="S179" s="1682">
        <f t="shared" si="42"/>
        <v>0</v>
      </c>
      <c r="T179" s="1682">
        <f t="shared" si="43"/>
        <v>1900</v>
      </c>
    </row>
    <row r="180" spans="2:20" s="283" customFormat="1" ht="13.8" x14ac:dyDescent="0.3">
      <c r="B180" s="758" cm="1">
        <f t="array" ref="B180">IF(active_refi=1,IF(ROW()-ROW($B$24)&lt;=$E$12*$E$13+refi_month,ROW()-ROW($B$24),0),IF(activeloan,IF(L179=0,0,IF(ROW()-ROW($B$24)&lt;=$D$12*$D$13,ROW()-ROW($B$24),0)),0))</f>
        <v>0</v>
      </c>
      <c r="C180" s="759">
        <f t="shared" si="33"/>
        <v>0</v>
      </c>
      <c r="D180" s="760">
        <f t="shared" si="34"/>
        <v>118970</v>
      </c>
      <c r="E180" s="760">
        <f t="shared" si="35"/>
        <v>0</v>
      </c>
      <c r="F180" s="760">
        <f t="shared" si="36"/>
        <v>0</v>
      </c>
      <c r="G180" s="340">
        <v>0</v>
      </c>
      <c r="H180" s="760">
        <f t="shared" si="37"/>
        <v>0</v>
      </c>
      <c r="I180" s="760">
        <f t="shared" si="44"/>
        <v>0</v>
      </c>
      <c r="J180" s="760">
        <f t="shared" si="38"/>
        <v>0</v>
      </c>
      <c r="K180" s="760">
        <f t="shared" si="39"/>
        <v>0</v>
      </c>
      <c r="L180" s="760">
        <f t="shared" si="40"/>
        <v>118970</v>
      </c>
      <c r="M180" s="760">
        <f>IFERROR(IF(L179=0,0,SUM($J$25:J180)),0)</f>
        <v>0</v>
      </c>
      <c r="N180" s="366">
        <f t="shared" si="30"/>
        <v>1.025603448275862</v>
      </c>
      <c r="O180" s="761">
        <f t="shared" si="31"/>
        <v>0</v>
      </c>
      <c r="P180" s="28"/>
      <c r="Q180" s="1681">
        <f t="shared" si="41"/>
        <v>0</v>
      </c>
      <c r="R180" s="1682">
        <f t="shared" si="32"/>
        <v>0</v>
      </c>
      <c r="S180" s="1682">
        <f t="shared" si="42"/>
        <v>0</v>
      </c>
      <c r="T180" s="1682">
        <f t="shared" si="43"/>
        <v>1900</v>
      </c>
    </row>
    <row r="181" spans="2:20" s="283" customFormat="1" ht="13.8" x14ac:dyDescent="0.3">
      <c r="B181" s="758" cm="1">
        <f t="array" ref="B181">IF(active_refi=1,IF(ROW()-ROW($B$24)&lt;=$E$12*$E$13+refi_month,ROW()-ROW($B$24),0),IF(activeloan,IF(L180=0,0,IF(ROW()-ROW($B$24)&lt;=$D$12*$D$13,ROW()-ROW($B$24),0)),0))</f>
        <v>0</v>
      </c>
      <c r="C181" s="759">
        <f t="shared" si="33"/>
        <v>0</v>
      </c>
      <c r="D181" s="760">
        <f t="shared" si="34"/>
        <v>118970</v>
      </c>
      <c r="E181" s="760">
        <f t="shared" si="35"/>
        <v>0</v>
      </c>
      <c r="F181" s="760">
        <f t="shared" si="36"/>
        <v>0</v>
      </c>
      <c r="G181" s="340">
        <v>0</v>
      </c>
      <c r="H181" s="760">
        <f t="shared" si="37"/>
        <v>0</v>
      </c>
      <c r="I181" s="760">
        <f t="shared" si="44"/>
        <v>0</v>
      </c>
      <c r="J181" s="760">
        <f t="shared" si="38"/>
        <v>0</v>
      </c>
      <c r="K181" s="760">
        <f t="shared" si="39"/>
        <v>0</v>
      </c>
      <c r="L181" s="760">
        <f t="shared" si="40"/>
        <v>118970</v>
      </c>
      <c r="M181" s="760">
        <f>IFERROR(IF(L180=0,0,SUM($J$25:J181)),0)</f>
        <v>0</v>
      </c>
      <c r="N181" s="366">
        <f t="shared" si="30"/>
        <v>1.025603448275862</v>
      </c>
      <c r="O181" s="761">
        <f t="shared" si="31"/>
        <v>0</v>
      </c>
      <c r="P181" s="28"/>
      <c r="Q181" s="1681">
        <f t="shared" si="41"/>
        <v>0</v>
      </c>
      <c r="R181" s="1682">
        <f t="shared" si="32"/>
        <v>0</v>
      </c>
      <c r="S181" s="1682">
        <f t="shared" si="42"/>
        <v>0</v>
      </c>
      <c r="T181" s="1682">
        <f t="shared" si="43"/>
        <v>1900</v>
      </c>
    </row>
    <row r="182" spans="2:20" s="283" customFormat="1" ht="13.8" x14ac:dyDescent="0.3">
      <c r="B182" s="758" cm="1">
        <f t="array" ref="B182">IF(active_refi=1,IF(ROW()-ROW($B$24)&lt;=$E$12*$E$13+refi_month,ROW()-ROW($B$24),0),IF(activeloan,IF(L181=0,0,IF(ROW()-ROW($B$24)&lt;=$D$12*$D$13,ROW()-ROW($B$24),0)),0))</f>
        <v>0</v>
      </c>
      <c r="C182" s="759">
        <f t="shared" si="33"/>
        <v>0</v>
      </c>
      <c r="D182" s="760">
        <f t="shared" si="34"/>
        <v>118970</v>
      </c>
      <c r="E182" s="760">
        <f t="shared" si="35"/>
        <v>0</v>
      </c>
      <c r="F182" s="760">
        <f t="shared" si="36"/>
        <v>0</v>
      </c>
      <c r="G182" s="340">
        <v>0</v>
      </c>
      <c r="H182" s="760">
        <f t="shared" si="37"/>
        <v>0</v>
      </c>
      <c r="I182" s="760">
        <f t="shared" si="44"/>
        <v>0</v>
      </c>
      <c r="J182" s="760">
        <f t="shared" si="38"/>
        <v>0</v>
      </c>
      <c r="K182" s="760">
        <f t="shared" si="39"/>
        <v>0</v>
      </c>
      <c r="L182" s="760">
        <f t="shared" si="40"/>
        <v>118970</v>
      </c>
      <c r="M182" s="760">
        <f>IFERROR(IF(L181=0,0,SUM($J$25:J182)),0)</f>
        <v>0</v>
      </c>
      <c r="N182" s="366">
        <f t="shared" si="30"/>
        <v>1.025603448275862</v>
      </c>
      <c r="O182" s="761">
        <f t="shared" si="31"/>
        <v>0</v>
      </c>
      <c r="P182" s="28"/>
      <c r="Q182" s="1681">
        <f t="shared" si="41"/>
        <v>0</v>
      </c>
      <c r="R182" s="1682">
        <f t="shared" si="32"/>
        <v>0</v>
      </c>
      <c r="S182" s="1682">
        <f t="shared" si="42"/>
        <v>0</v>
      </c>
      <c r="T182" s="1682">
        <f t="shared" si="43"/>
        <v>1900</v>
      </c>
    </row>
    <row r="183" spans="2:20" s="283" customFormat="1" ht="13.8" x14ac:dyDescent="0.3">
      <c r="B183" s="758" cm="1">
        <f t="array" ref="B183">IF(active_refi=1,IF(ROW()-ROW($B$24)&lt;=$E$12*$E$13+refi_month,ROW()-ROW($B$24),0),IF(activeloan,IF(L182=0,0,IF(ROW()-ROW($B$24)&lt;=$D$12*$D$13,ROW()-ROW($B$24),0)),0))</f>
        <v>0</v>
      </c>
      <c r="C183" s="759">
        <f t="shared" si="33"/>
        <v>0</v>
      </c>
      <c r="D183" s="760">
        <f t="shared" si="34"/>
        <v>118970</v>
      </c>
      <c r="E183" s="760">
        <f t="shared" si="35"/>
        <v>0</v>
      </c>
      <c r="F183" s="760">
        <f t="shared" si="36"/>
        <v>0</v>
      </c>
      <c r="G183" s="340">
        <v>0</v>
      </c>
      <c r="H183" s="760">
        <f t="shared" si="37"/>
        <v>0</v>
      </c>
      <c r="I183" s="760">
        <f t="shared" si="44"/>
        <v>0</v>
      </c>
      <c r="J183" s="760">
        <f t="shared" si="38"/>
        <v>0</v>
      </c>
      <c r="K183" s="760">
        <f t="shared" si="39"/>
        <v>0</v>
      </c>
      <c r="L183" s="760">
        <f t="shared" si="40"/>
        <v>118970</v>
      </c>
      <c r="M183" s="760">
        <f>IFERROR(IF(L182=0,0,SUM($J$25:J183)),0)</f>
        <v>0</v>
      </c>
      <c r="N183" s="366">
        <f t="shared" si="30"/>
        <v>1.025603448275862</v>
      </c>
      <c r="O183" s="761">
        <f t="shared" si="31"/>
        <v>0</v>
      </c>
      <c r="P183" s="28"/>
      <c r="Q183" s="1681">
        <f t="shared" si="41"/>
        <v>0</v>
      </c>
      <c r="R183" s="1682">
        <f t="shared" si="32"/>
        <v>0</v>
      </c>
      <c r="S183" s="1682">
        <f t="shared" si="42"/>
        <v>0</v>
      </c>
      <c r="T183" s="1682">
        <f t="shared" si="43"/>
        <v>1900</v>
      </c>
    </row>
    <row r="184" spans="2:20" s="283" customFormat="1" ht="13.8" x14ac:dyDescent="0.3">
      <c r="B184" s="758" cm="1">
        <f t="array" ref="B184">IF(active_refi=1,IF(ROW()-ROW($B$24)&lt;=$E$12*$E$13+refi_month,ROW()-ROW($B$24),0),IF(activeloan,IF(L183=0,0,IF(ROW()-ROW($B$24)&lt;=$D$12*$D$13,ROW()-ROW($B$24),0)),0))</f>
        <v>0</v>
      </c>
      <c r="C184" s="759">
        <f t="shared" si="33"/>
        <v>0</v>
      </c>
      <c r="D184" s="760">
        <f t="shared" si="34"/>
        <v>118970</v>
      </c>
      <c r="E184" s="760">
        <f t="shared" si="35"/>
        <v>0</v>
      </c>
      <c r="F184" s="760">
        <f t="shared" si="36"/>
        <v>0</v>
      </c>
      <c r="G184" s="340">
        <v>0</v>
      </c>
      <c r="H184" s="760">
        <f t="shared" si="37"/>
        <v>0</v>
      </c>
      <c r="I184" s="760">
        <f t="shared" si="44"/>
        <v>0</v>
      </c>
      <c r="J184" s="760">
        <f t="shared" si="38"/>
        <v>0</v>
      </c>
      <c r="K184" s="760">
        <f t="shared" si="39"/>
        <v>0</v>
      </c>
      <c r="L184" s="760">
        <f t="shared" si="40"/>
        <v>118970</v>
      </c>
      <c r="M184" s="760">
        <f>IFERROR(IF(L183=0,0,SUM($J$25:J184)),0)</f>
        <v>0</v>
      </c>
      <c r="N184" s="366">
        <f t="shared" si="30"/>
        <v>1.025603448275862</v>
      </c>
      <c r="O184" s="761">
        <f t="shared" si="31"/>
        <v>0</v>
      </c>
      <c r="P184" s="28"/>
      <c r="Q184" s="1681">
        <f t="shared" si="41"/>
        <v>0</v>
      </c>
      <c r="R184" s="1682">
        <f t="shared" si="32"/>
        <v>0</v>
      </c>
      <c r="S184" s="1682">
        <f t="shared" si="42"/>
        <v>0</v>
      </c>
      <c r="T184" s="1682">
        <f t="shared" si="43"/>
        <v>1900</v>
      </c>
    </row>
    <row r="185" spans="2:20" s="283" customFormat="1" ht="13.8" x14ac:dyDescent="0.3">
      <c r="B185" s="758" cm="1">
        <f t="array" ref="B185">IF(active_refi=1,IF(ROW()-ROW($B$24)&lt;=$E$12*$E$13+refi_month,ROW()-ROW($B$24),0),IF(activeloan,IF(L184=0,0,IF(ROW()-ROW($B$24)&lt;=$D$12*$D$13,ROW()-ROW($B$24),0)),0))</f>
        <v>0</v>
      </c>
      <c r="C185" s="759">
        <f t="shared" si="33"/>
        <v>0</v>
      </c>
      <c r="D185" s="760">
        <f t="shared" si="34"/>
        <v>118970</v>
      </c>
      <c r="E185" s="760">
        <f t="shared" si="35"/>
        <v>0</v>
      </c>
      <c r="F185" s="760">
        <f t="shared" si="36"/>
        <v>0</v>
      </c>
      <c r="G185" s="340">
        <v>0</v>
      </c>
      <c r="H185" s="760">
        <f t="shared" si="37"/>
        <v>0</v>
      </c>
      <c r="I185" s="760">
        <f t="shared" si="44"/>
        <v>0</v>
      </c>
      <c r="J185" s="760">
        <f t="shared" si="38"/>
        <v>0</v>
      </c>
      <c r="K185" s="760">
        <f t="shared" si="39"/>
        <v>0</v>
      </c>
      <c r="L185" s="760">
        <f t="shared" si="40"/>
        <v>118970</v>
      </c>
      <c r="M185" s="760">
        <f>IFERROR(IF(L184=0,0,SUM($J$25:J185)),0)</f>
        <v>0</v>
      </c>
      <c r="N185" s="366">
        <f t="shared" si="30"/>
        <v>1.025603448275862</v>
      </c>
      <c r="O185" s="761">
        <f t="shared" si="31"/>
        <v>0</v>
      </c>
      <c r="P185" s="28"/>
      <c r="Q185" s="1681">
        <f t="shared" si="41"/>
        <v>0</v>
      </c>
      <c r="R185" s="1682">
        <f t="shared" si="32"/>
        <v>0</v>
      </c>
      <c r="S185" s="1682">
        <f t="shared" si="42"/>
        <v>0</v>
      </c>
      <c r="T185" s="1682">
        <f t="shared" si="43"/>
        <v>1900</v>
      </c>
    </row>
    <row r="186" spans="2:20" s="283" customFormat="1" ht="13.8" x14ac:dyDescent="0.3">
      <c r="B186" s="758" cm="1">
        <f t="array" ref="B186">IF(active_refi=1,IF(ROW()-ROW($B$24)&lt;=$E$12*$E$13+refi_month,ROW()-ROW($B$24),0),IF(activeloan,IF(L185=0,0,IF(ROW()-ROW($B$24)&lt;=$D$12*$D$13,ROW()-ROW($B$24),0)),0))</f>
        <v>0</v>
      </c>
      <c r="C186" s="759">
        <f t="shared" si="33"/>
        <v>0</v>
      </c>
      <c r="D186" s="760">
        <f t="shared" si="34"/>
        <v>118970</v>
      </c>
      <c r="E186" s="760">
        <f t="shared" si="35"/>
        <v>0</v>
      </c>
      <c r="F186" s="760">
        <f t="shared" si="36"/>
        <v>0</v>
      </c>
      <c r="G186" s="340">
        <v>0</v>
      </c>
      <c r="H186" s="760">
        <f t="shared" si="37"/>
        <v>0</v>
      </c>
      <c r="I186" s="760">
        <f t="shared" si="44"/>
        <v>0</v>
      </c>
      <c r="J186" s="760">
        <f t="shared" si="38"/>
        <v>0</v>
      </c>
      <c r="K186" s="760">
        <f t="shared" si="39"/>
        <v>0</v>
      </c>
      <c r="L186" s="760">
        <f t="shared" si="40"/>
        <v>118970</v>
      </c>
      <c r="M186" s="760">
        <f>IFERROR(IF(L185=0,0,SUM($J$25:J186)),0)</f>
        <v>0</v>
      </c>
      <c r="N186" s="366">
        <f t="shared" si="30"/>
        <v>1.025603448275862</v>
      </c>
      <c r="O186" s="761">
        <f t="shared" si="31"/>
        <v>0</v>
      </c>
      <c r="P186" s="28"/>
      <c r="Q186" s="1681">
        <f t="shared" si="41"/>
        <v>0</v>
      </c>
      <c r="R186" s="1682">
        <f t="shared" si="32"/>
        <v>0</v>
      </c>
      <c r="S186" s="1682">
        <f t="shared" si="42"/>
        <v>0</v>
      </c>
      <c r="T186" s="1682">
        <f t="shared" si="43"/>
        <v>1900</v>
      </c>
    </row>
    <row r="187" spans="2:20" s="283" customFormat="1" ht="13.8" x14ac:dyDescent="0.3">
      <c r="B187" s="758" cm="1">
        <f t="array" ref="B187">IF(active_refi=1,IF(ROW()-ROW($B$24)&lt;=$E$12*$E$13+refi_month,ROW()-ROW($B$24),0),IF(activeloan,IF(L186=0,0,IF(ROW()-ROW($B$24)&lt;=$D$12*$D$13,ROW()-ROW($B$24),0)),0))</f>
        <v>0</v>
      </c>
      <c r="C187" s="759">
        <f t="shared" si="33"/>
        <v>0</v>
      </c>
      <c r="D187" s="760">
        <f t="shared" si="34"/>
        <v>118970</v>
      </c>
      <c r="E187" s="760">
        <f t="shared" si="35"/>
        <v>0</v>
      </c>
      <c r="F187" s="760">
        <f t="shared" si="36"/>
        <v>0</v>
      </c>
      <c r="G187" s="340">
        <v>0</v>
      </c>
      <c r="H187" s="760">
        <f t="shared" si="37"/>
        <v>0</v>
      </c>
      <c r="I187" s="760">
        <f t="shared" si="44"/>
        <v>0</v>
      </c>
      <c r="J187" s="760">
        <f t="shared" si="38"/>
        <v>0</v>
      </c>
      <c r="K187" s="760">
        <f t="shared" si="39"/>
        <v>0</v>
      </c>
      <c r="L187" s="760">
        <f t="shared" si="40"/>
        <v>118970</v>
      </c>
      <c r="M187" s="760">
        <f>IFERROR(IF(L186=0,0,SUM($J$25:J187)),0)</f>
        <v>0</v>
      </c>
      <c r="N187" s="366">
        <f t="shared" si="30"/>
        <v>1.025603448275862</v>
      </c>
      <c r="O187" s="761">
        <f t="shared" si="31"/>
        <v>0</v>
      </c>
      <c r="P187" s="28"/>
      <c r="Q187" s="1681">
        <f t="shared" si="41"/>
        <v>0</v>
      </c>
      <c r="R187" s="1682">
        <f t="shared" si="32"/>
        <v>0</v>
      </c>
      <c r="S187" s="1682">
        <f t="shared" si="42"/>
        <v>0</v>
      </c>
      <c r="T187" s="1682">
        <f t="shared" si="43"/>
        <v>1900</v>
      </c>
    </row>
    <row r="188" spans="2:20" s="283" customFormat="1" ht="13.8" x14ac:dyDescent="0.3">
      <c r="B188" s="758" cm="1">
        <f t="array" ref="B188">IF(active_refi=1,IF(ROW()-ROW($B$24)&lt;=$E$12*$E$13+refi_month,ROW()-ROW($B$24),0),IF(activeloan,IF(L187=0,0,IF(ROW()-ROW($B$24)&lt;=$D$12*$D$13,ROW()-ROW($B$24),0)),0))</f>
        <v>0</v>
      </c>
      <c r="C188" s="759">
        <f t="shared" si="33"/>
        <v>0</v>
      </c>
      <c r="D188" s="760">
        <f t="shared" si="34"/>
        <v>118970</v>
      </c>
      <c r="E188" s="760">
        <f t="shared" si="35"/>
        <v>0</v>
      </c>
      <c r="F188" s="760">
        <f t="shared" si="36"/>
        <v>0</v>
      </c>
      <c r="G188" s="340">
        <v>0</v>
      </c>
      <c r="H188" s="760">
        <f t="shared" si="37"/>
        <v>0</v>
      </c>
      <c r="I188" s="760">
        <f t="shared" si="44"/>
        <v>0</v>
      </c>
      <c r="J188" s="760">
        <f t="shared" si="38"/>
        <v>0</v>
      </c>
      <c r="K188" s="760">
        <f t="shared" si="39"/>
        <v>0</v>
      </c>
      <c r="L188" s="760">
        <f t="shared" si="40"/>
        <v>118970</v>
      </c>
      <c r="M188" s="760">
        <f>IFERROR(IF(L187=0,0,SUM($J$25:J188)),0)</f>
        <v>0</v>
      </c>
      <c r="N188" s="366">
        <f t="shared" si="30"/>
        <v>1.025603448275862</v>
      </c>
      <c r="O188" s="761">
        <f t="shared" si="31"/>
        <v>0</v>
      </c>
      <c r="P188" s="28"/>
      <c r="Q188" s="1681">
        <f t="shared" si="41"/>
        <v>0</v>
      </c>
      <c r="R188" s="1682">
        <f t="shared" si="32"/>
        <v>0</v>
      </c>
      <c r="S188" s="1682">
        <f t="shared" si="42"/>
        <v>0</v>
      </c>
      <c r="T188" s="1682">
        <f t="shared" si="43"/>
        <v>1900</v>
      </c>
    </row>
    <row r="189" spans="2:20" s="283" customFormat="1" ht="13.8" x14ac:dyDescent="0.3">
      <c r="B189" s="758" cm="1">
        <f t="array" ref="B189">IF(active_refi=1,IF(ROW()-ROW($B$24)&lt;=$E$12*$E$13+refi_month,ROW()-ROW($B$24),0),IF(activeloan,IF(L188=0,0,IF(ROW()-ROW($B$24)&lt;=$D$12*$D$13,ROW()-ROW($B$24),0)),0))</f>
        <v>0</v>
      </c>
      <c r="C189" s="759">
        <f t="shared" si="33"/>
        <v>0</v>
      </c>
      <c r="D189" s="760">
        <f t="shared" si="34"/>
        <v>118970</v>
      </c>
      <c r="E189" s="760">
        <f t="shared" si="35"/>
        <v>0</v>
      </c>
      <c r="F189" s="760">
        <f t="shared" si="36"/>
        <v>0</v>
      </c>
      <c r="G189" s="340">
        <v>0</v>
      </c>
      <c r="H189" s="760">
        <f t="shared" si="37"/>
        <v>0</v>
      </c>
      <c r="I189" s="760">
        <f t="shared" si="44"/>
        <v>0</v>
      </c>
      <c r="J189" s="760">
        <f t="shared" si="38"/>
        <v>0</v>
      </c>
      <c r="K189" s="760">
        <f t="shared" si="39"/>
        <v>0</v>
      </c>
      <c r="L189" s="760">
        <f t="shared" si="40"/>
        <v>118970</v>
      </c>
      <c r="M189" s="760">
        <f>IFERROR(IF(L188=0,0,SUM($J$25:J189)),0)</f>
        <v>0</v>
      </c>
      <c r="N189" s="366">
        <f t="shared" si="30"/>
        <v>1.025603448275862</v>
      </c>
      <c r="O189" s="761">
        <f t="shared" si="31"/>
        <v>0</v>
      </c>
      <c r="P189" s="28"/>
      <c r="Q189" s="1681">
        <f t="shared" si="41"/>
        <v>0</v>
      </c>
      <c r="R189" s="1682">
        <f t="shared" si="32"/>
        <v>0</v>
      </c>
      <c r="S189" s="1682">
        <f t="shared" si="42"/>
        <v>0</v>
      </c>
      <c r="T189" s="1682">
        <f t="shared" si="43"/>
        <v>1900</v>
      </c>
    </row>
    <row r="190" spans="2:20" s="283" customFormat="1" ht="13.8" x14ac:dyDescent="0.3">
      <c r="B190" s="758" cm="1">
        <f t="array" ref="B190">IF(active_refi=1,IF(ROW()-ROW($B$24)&lt;=$E$12*$E$13+refi_month,ROW()-ROW($B$24),0),IF(activeloan,IF(L189=0,0,IF(ROW()-ROW($B$24)&lt;=$D$12*$D$13,ROW()-ROW($B$24),0)),0))</f>
        <v>0</v>
      </c>
      <c r="C190" s="759">
        <f t="shared" si="33"/>
        <v>0</v>
      </c>
      <c r="D190" s="760">
        <f t="shared" si="34"/>
        <v>118970</v>
      </c>
      <c r="E190" s="760">
        <f t="shared" si="35"/>
        <v>0</v>
      </c>
      <c r="F190" s="760">
        <f t="shared" si="36"/>
        <v>0</v>
      </c>
      <c r="G190" s="340">
        <v>0</v>
      </c>
      <c r="H190" s="760">
        <f t="shared" si="37"/>
        <v>0</v>
      </c>
      <c r="I190" s="760">
        <f t="shared" si="44"/>
        <v>0</v>
      </c>
      <c r="J190" s="760">
        <f t="shared" si="38"/>
        <v>0</v>
      </c>
      <c r="K190" s="760">
        <f t="shared" si="39"/>
        <v>0</v>
      </c>
      <c r="L190" s="760">
        <f t="shared" si="40"/>
        <v>118970</v>
      </c>
      <c r="M190" s="760">
        <f>IFERROR(IF(L189=0,0,SUM($J$25:J190)),0)</f>
        <v>0</v>
      </c>
      <c r="N190" s="366">
        <f t="shared" si="30"/>
        <v>1.025603448275862</v>
      </c>
      <c r="O190" s="761">
        <f t="shared" si="31"/>
        <v>0</v>
      </c>
      <c r="P190" s="28"/>
      <c r="Q190" s="1681">
        <f t="shared" si="41"/>
        <v>0</v>
      </c>
      <c r="R190" s="1682">
        <f t="shared" si="32"/>
        <v>0</v>
      </c>
      <c r="S190" s="1682">
        <f t="shared" si="42"/>
        <v>0</v>
      </c>
      <c r="T190" s="1682">
        <f t="shared" si="43"/>
        <v>1900</v>
      </c>
    </row>
    <row r="191" spans="2:20" s="283" customFormat="1" ht="13.8" x14ac:dyDescent="0.3">
      <c r="B191" s="758" cm="1">
        <f t="array" ref="B191">IF(active_refi=1,IF(ROW()-ROW($B$24)&lt;=$E$12*$E$13+refi_month,ROW()-ROW($B$24),0),IF(activeloan,IF(L190=0,0,IF(ROW()-ROW($B$24)&lt;=$D$12*$D$13,ROW()-ROW($B$24),0)),0))</f>
        <v>0</v>
      </c>
      <c r="C191" s="759">
        <f t="shared" si="33"/>
        <v>0</v>
      </c>
      <c r="D191" s="760">
        <f t="shared" si="34"/>
        <v>118970</v>
      </c>
      <c r="E191" s="760">
        <f t="shared" si="35"/>
        <v>0</v>
      </c>
      <c r="F191" s="760">
        <f t="shared" si="36"/>
        <v>0</v>
      </c>
      <c r="G191" s="340">
        <v>0</v>
      </c>
      <c r="H191" s="760">
        <f t="shared" si="37"/>
        <v>0</v>
      </c>
      <c r="I191" s="760">
        <f t="shared" si="44"/>
        <v>0</v>
      </c>
      <c r="J191" s="760">
        <f t="shared" si="38"/>
        <v>0</v>
      </c>
      <c r="K191" s="760">
        <f t="shared" si="39"/>
        <v>0</v>
      </c>
      <c r="L191" s="760">
        <f t="shared" si="40"/>
        <v>118970</v>
      </c>
      <c r="M191" s="760">
        <f>IFERROR(IF(L190=0,0,SUM($J$25:J191)),0)</f>
        <v>0</v>
      </c>
      <c r="N191" s="366">
        <f t="shared" si="30"/>
        <v>1.025603448275862</v>
      </c>
      <c r="O191" s="761">
        <f t="shared" si="31"/>
        <v>0</v>
      </c>
      <c r="P191" s="28"/>
      <c r="Q191" s="1681">
        <f t="shared" si="41"/>
        <v>0</v>
      </c>
      <c r="R191" s="1682">
        <f t="shared" si="32"/>
        <v>0</v>
      </c>
      <c r="S191" s="1682">
        <f t="shared" si="42"/>
        <v>0</v>
      </c>
      <c r="T191" s="1682">
        <f t="shared" si="43"/>
        <v>1900</v>
      </c>
    </row>
    <row r="192" spans="2:20" s="283" customFormat="1" ht="13.8" x14ac:dyDescent="0.3">
      <c r="B192" s="758" cm="1">
        <f t="array" ref="B192">IF(active_refi=1,IF(ROW()-ROW($B$24)&lt;=$E$12*$E$13+refi_month,ROW()-ROW($B$24),0),IF(activeloan,IF(L191=0,0,IF(ROW()-ROW($B$24)&lt;=$D$12*$D$13,ROW()-ROW($B$24),0)),0))</f>
        <v>0</v>
      </c>
      <c r="C192" s="759">
        <f t="shared" si="33"/>
        <v>0</v>
      </c>
      <c r="D192" s="760">
        <f t="shared" si="34"/>
        <v>118970</v>
      </c>
      <c r="E192" s="760">
        <f t="shared" si="35"/>
        <v>0</v>
      </c>
      <c r="F192" s="760">
        <f t="shared" si="36"/>
        <v>0</v>
      </c>
      <c r="G192" s="340">
        <v>0</v>
      </c>
      <c r="H192" s="760">
        <f t="shared" si="37"/>
        <v>0</v>
      </c>
      <c r="I192" s="760">
        <f t="shared" si="44"/>
        <v>0</v>
      </c>
      <c r="J192" s="760">
        <f t="shared" si="38"/>
        <v>0</v>
      </c>
      <c r="K192" s="760">
        <f t="shared" si="39"/>
        <v>0</v>
      </c>
      <c r="L192" s="760">
        <f t="shared" si="40"/>
        <v>118970</v>
      </c>
      <c r="M192" s="760">
        <f>IFERROR(IF(L191=0,0,SUM($J$25:J192)),0)</f>
        <v>0</v>
      </c>
      <c r="N192" s="366">
        <f t="shared" si="30"/>
        <v>1.025603448275862</v>
      </c>
      <c r="O192" s="761">
        <f t="shared" si="31"/>
        <v>0</v>
      </c>
      <c r="P192" s="28"/>
      <c r="Q192" s="1681">
        <f t="shared" si="41"/>
        <v>0</v>
      </c>
      <c r="R192" s="1682">
        <f t="shared" si="32"/>
        <v>0</v>
      </c>
      <c r="S192" s="1682">
        <f t="shared" si="42"/>
        <v>0</v>
      </c>
      <c r="T192" s="1682">
        <f t="shared" si="43"/>
        <v>1900</v>
      </c>
    </row>
    <row r="193" spans="2:20" s="283" customFormat="1" ht="13.8" x14ac:dyDescent="0.3">
      <c r="B193" s="758" cm="1">
        <f t="array" ref="B193">IF(active_refi=1,IF(ROW()-ROW($B$24)&lt;=$E$12*$E$13+refi_month,ROW()-ROW($B$24),0),IF(activeloan,IF(L192=0,0,IF(ROW()-ROW($B$24)&lt;=$D$12*$D$13,ROW()-ROW($B$24),0)),0))</f>
        <v>0</v>
      </c>
      <c r="C193" s="759">
        <f t="shared" si="33"/>
        <v>0</v>
      </c>
      <c r="D193" s="760">
        <f t="shared" si="34"/>
        <v>118970</v>
      </c>
      <c r="E193" s="760">
        <f t="shared" si="35"/>
        <v>0</v>
      </c>
      <c r="F193" s="760">
        <f t="shared" si="36"/>
        <v>0</v>
      </c>
      <c r="G193" s="340">
        <v>0</v>
      </c>
      <c r="H193" s="760">
        <f t="shared" si="37"/>
        <v>0</v>
      </c>
      <c r="I193" s="760">
        <f t="shared" si="44"/>
        <v>0</v>
      </c>
      <c r="J193" s="760">
        <f t="shared" si="38"/>
        <v>0</v>
      </c>
      <c r="K193" s="760">
        <f t="shared" si="39"/>
        <v>0</v>
      </c>
      <c r="L193" s="760">
        <f t="shared" si="40"/>
        <v>118970</v>
      </c>
      <c r="M193" s="760">
        <f>IFERROR(IF(L192=0,0,SUM($J$25:J193)),0)</f>
        <v>0</v>
      </c>
      <c r="N193" s="366">
        <f t="shared" si="30"/>
        <v>1.025603448275862</v>
      </c>
      <c r="O193" s="761">
        <f t="shared" si="31"/>
        <v>0</v>
      </c>
      <c r="P193" s="28"/>
      <c r="Q193" s="1681">
        <f t="shared" si="41"/>
        <v>0</v>
      </c>
      <c r="R193" s="1682">
        <f t="shared" si="32"/>
        <v>0</v>
      </c>
      <c r="S193" s="1682">
        <f t="shared" si="42"/>
        <v>0</v>
      </c>
      <c r="T193" s="1682">
        <f t="shared" si="43"/>
        <v>1900</v>
      </c>
    </row>
    <row r="194" spans="2:20" s="283" customFormat="1" ht="13.8" x14ac:dyDescent="0.3">
      <c r="B194" s="758" cm="1">
        <f t="array" ref="B194">IF(active_refi=1,IF(ROW()-ROW($B$24)&lt;=$E$12*$E$13+refi_month,ROW()-ROW($B$24),0),IF(activeloan,IF(L193=0,0,IF(ROW()-ROW($B$24)&lt;=$D$12*$D$13,ROW()-ROW($B$24),0)),0))</f>
        <v>0</v>
      </c>
      <c r="C194" s="759">
        <f t="shared" si="33"/>
        <v>0</v>
      </c>
      <c r="D194" s="760">
        <f t="shared" si="34"/>
        <v>118970</v>
      </c>
      <c r="E194" s="760">
        <f t="shared" si="35"/>
        <v>0</v>
      </c>
      <c r="F194" s="760">
        <f t="shared" si="36"/>
        <v>0</v>
      </c>
      <c r="G194" s="340">
        <v>0</v>
      </c>
      <c r="H194" s="760">
        <f t="shared" si="37"/>
        <v>0</v>
      </c>
      <c r="I194" s="760">
        <f t="shared" si="44"/>
        <v>0</v>
      </c>
      <c r="J194" s="760">
        <f t="shared" si="38"/>
        <v>0</v>
      </c>
      <c r="K194" s="760">
        <f t="shared" si="39"/>
        <v>0</v>
      </c>
      <c r="L194" s="760">
        <f t="shared" si="40"/>
        <v>118970</v>
      </c>
      <c r="M194" s="760">
        <f>IFERROR(IF(L193=0,0,SUM($J$25:J194)),0)</f>
        <v>0</v>
      </c>
      <c r="N194" s="366">
        <f t="shared" si="30"/>
        <v>1.025603448275862</v>
      </c>
      <c r="O194" s="761">
        <f t="shared" si="31"/>
        <v>0</v>
      </c>
      <c r="P194" s="28"/>
      <c r="Q194" s="1681">
        <f t="shared" si="41"/>
        <v>0</v>
      </c>
      <c r="R194" s="1682">
        <f t="shared" si="32"/>
        <v>0</v>
      </c>
      <c r="S194" s="1682">
        <f t="shared" si="42"/>
        <v>0</v>
      </c>
      <c r="T194" s="1682">
        <f t="shared" si="43"/>
        <v>1900</v>
      </c>
    </row>
    <row r="195" spans="2:20" s="283" customFormat="1" ht="13.8" x14ac:dyDescent="0.3">
      <c r="B195" s="758" cm="1">
        <f t="array" ref="B195">IF(active_refi=1,IF(ROW()-ROW($B$24)&lt;=$E$12*$E$13+refi_month,ROW()-ROW($B$24),0),IF(activeloan,IF(L194=0,0,IF(ROW()-ROW($B$24)&lt;=$D$12*$D$13,ROW()-ROW($B$24),0)),0))</f>
        <v>0</v>
      </c>
      <c r="C195" s="759">
        <f t="shared" si="33"/>
        <v>0</v>
      </c>
      <c r="D195" s="760">
        <f t="shared" si="34"/>
        <v>118970</v>
      </c>
      <c r="E195" s="760">
        <f t="shared" si="35"/>
        <v>0</v>
      </c>
      <c r="F195" s="760">
        <f t="shared" si="36"/>
        <v>0</v>
      </c>
      <c r="G195" s="340">
        <v>0</v>
      </c>
      <c r="H195" s="760">
        <f t="shared" si="37"/>
        <v>0</v>
      </c>
      <c r="I195" s="760">
        <f t="shared" si="44"/>
        <v>0</v>
      </c>
      <c r="J195" s="760">
        <f t="shared" si="38"/>
        <v>0</v>
      </c>
      <c r="K195" s="760">
        <f t="shared" si="39"/>
        <v>0</v>
      </c>
      <c r="L195" s="760">
        <f t="shared" si="40"/>
        <v>118970</v>
      </c>
      <c r="M195" s="760">
        <f>IFERROR(IF(L194=0,0,SUM($J$25:J195)),0)</f>
        <v>0</v>
      </c>
      <c r="N195" s="366">
        <f t="shared" si="30"/>
        <v>1.025603448275862</v>
      </c>
      <c r="O195" s="761">
        <f t="shared" si="31"/>
        <v>0</v>
      </c>
      <c r="P195" s="28"/>
      <c r="Q195" s="1681">
        <f t="shared" si="41"/>
        <v>0</v>
      </c>
      <c r="R195" s="1682">
        <f t="shared" si="32"/>
        <v>0</v>
      </c>
      <c r="S195" s="1682">
        <f t="shared" si="42"/>
        <v>0</v>
      </c>
      <c r="T195" s="1682">
        <f t="shared" si="43"/>
        <v>1900</v>
      </c>
    </row>
    <row r="196" spans="2:20" s="283" customFormat="1" ht="13.8" x14ac:dyDescent="0.3">
      <c r="B196" s="758" cm="1">
        <f t="array" ref="B196">IF(active_refi=1,IF(ROW()-ROW($B$24)&lt;=$E$12*$E$13+refi_month,ROW()-ROW($B$24),0),IF(activeloan,IF(L195=0,0,IF(ROW()-ROW($B$24)&lt;=$D$12*$D$13,ROW()-ROW($B$24),0)),0))</f>
        <v>0</v>
      </c>
      <c r="C196" s="759">
        <f t="shared" si="33"/>
        <v>0</v>
      </c>
      <c r="D196" s="760">
        <f t="shared" si="34"/>
        <v>118970</v>
      </c>
      <c r="E196" s="760">
        <f t="shared" si="35"/>
        <v>0</v>
      </c>
      <c r="F196" s="760">
        <f t="shared" si="36"/>
        <v>0</v>
      </c>
      <c r="G196" s="340">
        <v>0</v>
      </c>
      <c r="H196" s="760">
        <f t="shared" si="37"/>
        <v>0</v>
      </c>
      <c r="I196" s="760">
        <f t="shared" si="44"/>
        <v>0</v>
      </c>
      <c r="J196" s="760">
        <f t="shared" si="38"/>
        <v>0</v>
      </c>
      <c r="K196" s="760">
        <f t="shared" si="39"/>
        <v>0</v>
      </c>
      <c r="L196" s="760">
        <f t="shared" si="40"/>
        <v>118970</v>
      </c>
      <c r="M196" s="760">
        <f>IFERROR(IF(L195=0,0,SUM($J$25:J196)),0)</f>
        <v>0</v>
      </c>
      <c r="N196" s="366">
        <f t="shared" si="30"/>
        <v>1.025603448275862</v>
      </c>
      <c r="O196" s="761">
        <f t="shared" si="31"/>
        <v>0</v>
      </c>
      <c r="P196" s="28"/>
      <c r="Q196" s="1681">
        <f t="shared" si="41"/>
        <v>0</v>
      </c>
      <c r="R196" s="1682">
        <f t="shared" si="32"/>
        <v>0</v>
      </c>
      <c r="S196" s="1682">
        <f t="shared" si="42"/>
        <v>0</v>
      </c>
      <c r="T196" s="1682">
        <f t="shared" si="43"/>
        <v>1900</v>
      </c>
    </row>
    <row r="197" spans="2:20" s="283" customFormat="1" ht="13.8" x14ac:dyDescent="0.3">
      <c r="B197" s="758" cm="1">
        <f t="array" ref="B197">IF(active_refi=1,IF(ROW()-ROW($B$24)&lt;=$E$12*$E$13+refi_month,ROW()-ROW($B$24),0),IF(activeloan,IF(L196=0,0,IF(ROW()-ROW($B$24)&lt;=$D$12*$D$13,ROW()-ROW($B$24),0)),0))</f>
        <v>0</v>
      </c>
      <c r="C197" s="759">
        <f t="shared" si="33"/>
        <v>0</v>
      </c>
      <c r="D197" s="760">
        <f t="shared" si="34"/>
        <v>118970</v>
      </c>
      <c r="E197" s="760">
        <f t="shared" si="35"/>
        <v>0</v>
      </c>
      <c r="F197" s="760">
        <f t="shared" si="36"/>
        <v>0</v>
      </c>
      <c r="G197" s="340">
        <v>0</v>
      </c>
      <c r="H197" s="760">
        <f t="shared" si="37"/>
        <v>0</v>
      </c>
      <c r="I197" s="760">
        <f t="shared" si="44"/>
        <v>0</v>
      </c>
      <c r="J197" s="760">
        <f t="shared" si="38"/>
        <v>0</v>
      </c>
      <c r="K197" s="760">
        <f t="shared" si="39"/>
        <v>0</v>
      </c>
      <c r="L197" s="760">
        <f t="shared" si="40"/>
        <v>118970</v>
      </c>
      <c r="M197" s="760">
        <f>IFERROR(IF(L196=0,0,SUM($J$25:J197)),0)</f>
        <v>0</v>
      </c>
      <c r="N197" s="366">
        <f t="shared" si="30"/>
        <v>1.025603448275862</v>
      </c>
      <c r="O197" s="761">
        <f t="shared" si="31"/>
        <v>0</v>
      </c>
      <c r="P197" s="28"/>
      <c r="Q197" s="1681">
        <f t="shared" si="41"/>
        <v>0</v>
      </c>
      <c r="R197" s="1682">
        <f t="shared" si="32"/>
        <v>0</v>
      </c>
      <c r="S197" s="1682">
        <f t="shared" si="42"/>
        <v>0</v>
      </c>
      <c r="T197" s="1682">
        <f t="shared" si="43"/>
        <v>1900</v>
      </c>
    </row>
    <row r="198" spans="2:20" s="283" customFormat="1" ht="13.8" x14ac:dyDescent="0.3">
      <c r="B198" s="758" cm="1">
        <f t="array" ref="B198">IF(active_refi=1,IF(ROW()-ROW($B$24)&lt;=$E$12*$E$13+refi_month,ROW()-ROW($B$24),0),IF(activeloan,IF(L197=0,0,IF(ROW()-ROW($B$24)&lt;=$D$12*$D$13,ROW()-ROW($B$24),0)),0))</f>
        <v>0</v>
      </c>
      <c r="C198" s="759">
        <f t="shared" si="33"/>
        <v>0</v>
      </c>
      <c r="D198" s="760">
        <f t="shared" si="34"/>
        <v>118970</v>
      </c>
      <c r="E198" s="760">
        <f t="shared" si="35"/>
        <v>0</v>
      </c>
      <c r="F198" s="760">
        <f t="shared" si="36"/>
        <v>0</v>
      </c>
      <c r="G198" s="340">
        <v>0</v>
      </c>
      <c r="H198" s="760">
        <f t="shared" si="37"/>
        <v>0</v>
      </c>
      <c r="I198" s="760">
        <f t="shared" si="44"/>
        <v>0</v>
      </c>
      <c r="J198" s="760">
        <f t="shared" si="38"/>
        <v>0</v>
      </c>
      <c r="K198" s="760">
        <f t="shared" si="39"/>
        <v>0</v>
      </c>
      <c r="L198" s="760">
        <f t="shared" si="40"/>
        <v>118970</v>
      </c>
      <c r="M198" s="760">
        <f>IFERROR(IF(L197=0,0,SUM($J$25:J198)),0)</f>
        <v>0</v>
      </c>
      <c r="N198" s="366">
        <f t="shared" si="30"/>
        <v>1.025603448275862</v>
      </c>
      <c r="O198" s="761">
        <f t="shared" si="31"/>
        <v>0</v>
      </c>
      <c r="P198" s="28"/>
      <c r="Q198" s="1681">
        <f t="shared" si="41"/>
        <v>0</v>
      </c>
      <c r="R198" s="1682">
        <f t="shared" si="32"/>
        <v>0</v>
      </c>
      <c r="S198" s="1682">
        <f t="shared" si="42"/>
        <v>0</v>
      </c>
      <c r="T198" s="1682">
        <f t="shared" si="43"/>
        <v>1900</v>
      </c>
    </row>
    <row r="199" spans="2:20" s="283" customFormat="1" ht="13.8" x14ac:dyDescent="0.3">
      <c r="B199" s="758" cm="1">
        <f t="array" ref="B199">IF(active_refi=1,IF(ROW()-ROW($B$24)&lt;=$E$12*$E$13+refi_month,ROW()-ROW($B$24),0),IF(activeloan,IF(L198=0,0,IF(ROW()-ROW($B$24)&lt;=$D$12*$D$13,ROW()-ROW($B$24),0)),0))</f>
        <v>0</v>
      </c>
      <c r="C199" s="759">
        <f t="shared" si="33"/>
        <v>0</v>
      </c>
      <c r="D199" s="760">
        <f t="shared" si="34"/>
        <v>118970</v>
      </c>
      <c r="E199" s="760">
        <f t="shared" si="35"/>
        <v>0</v>
      </c>
      <c r="F199" s="760">
        <f t="shared" si="36"/>
        <v>0</v>
      </c>
      <c r="G199" s="340">
        <v>0</v>
      </c>
      <c r="H199" s="760">
        <f t="shared" si="37"/>
        <v>0</v>
      </c>
      <c r="I199" s="760">
        <f t="shared" si="44"/>
        <v>0</v>
      </c>
      <c r="J199" s="760">
        <f t="shared" si="38"/>
        <v>0</v>
      </c>
      <c r="K199" s="760">
        <f t="shared" si="39"/>
        <v>0</v>
      </c>
      <c r="L199" s="760">
        <f t="shared" si="40"/>
        <v>118970</v>
      </c>
      <c r="M199" s="760">
        <f>IFERROR(IF(L198=0,0,SUM($J$25:J199)),0)</f>
        <v>0</v>
      </c>
      <c r="N199" s="366">
        <f t="shared" si="30"/>
        <v>1.025603448275862</v>
      </c>
      <c r="O199" s="761">
        <f t="shared" si="31"/>
        <v>0</v>
      </c>
      <c r="P199" s="28"/>
      <c r="Q199" s="1681">
        <f t="shared" si="41"/>
        <v>0</v>
      </c>
      <c r="R199" s="1682">
        <f t="shared" si="32"/>
        <v>0</v>
      </c>
      <c r="S199" s="1682">
        <f t="shared" si="42"/>
        <v>0</v>
      </c>
      <c r="T199" s="1682">
        <f t="shared" si="43"/>
        <v>1900</v>
      </c>
    </row>
    <row r="200" spans="2:20" s="283" customFormat="1" ht="13.8" x14ac:dyDescent="0.3">
      <c r="B200" s="758" cm="1">
        <f t="array" ref="B200">IF(active_refi=1,IF(ROW()-ROW($B$24)&lt;=$E$12*$E$13+refi_month,ROW()-ROW($B$24),0),IF(activeloan,IF(L199=0,0,IF(ROW()-ROW($B$24)&lt;=$D$12*$D$13,ROW()-ROW($B$24),0)),0))</f>
        <v>0</v>
      </c>
      <c r="C200" s="759">
        <f t="shared" si="33"/>
        <v>0</v>
      </c>
      <c r="D200" s="760">
        <f t="shared" si="34"/>
        <v>118970</v>
      </c>
      <c r="E200" s="760">
        <f t="shared" si="35"/>
        <v>0</v>
      </c>
      <c r="F200" s="760">
        <f t="shared" si="36"/>
        <v>0</v>
      </c>
      <c r="G200" s="340">
        <v>0</v>
      </c>
      <c r="H200" s="760">
        <f t="shared" si="37"/>
        <v>0</v>
      </c>
      <c r="I200" s="760">
        <f t="shared" si="44"/>
        <v>0</v>
      </c>
      <c r="J200" s="760">
        <f t="shared" si="38"/>
        <v>0</v>
      </c>
      <c r="K200" s="760">
        <f t="shared" si="39"/>
        <v>0</v>
      </c>
      <c r="L200" s="760">
        <f t="shared" si="40"/>
        <v>118970</v>
      </c>
      <c r="M200" s="760">
        <f>IFERROR(IF(L199=0,0,SUM($J$25:J200)),0)</f>
        <v>0</v>
      </c>
      <c r="N200" s="366">
        <f t="shared" si="30"/>
        <v>1.025603448275862</v>
      </c>
      <c r="O200" s="761">
        <f t="shared" si="31"/>
        <v>0</v>
      </c>
      <c r="P200" s="28"/>
      <c r="Q200" s="1681">
        <f t="shared" si="41"/>
        <v>0</v>
      </c>
      <c r="R200" s="1682">
        <f t="shared" si="32"/>
        <v>0</v>
      </c>
      <c r="S200" s="1682">
        <f t="shared" si="42"/>
        <v>0</v>
      </c>
      <c r="T200" s="1682">
        <f t="shared" si="43"/>
        <v>1900</v>
      </c>
    </row>
    <row r="201" spans="2:20" s="283" customFormat="1" ht="13.8" x14ac:dyDescent="0.3">
      <c r="B201" s="758" cm="1">
        <f t="array" ref="B201">IF(active_refi=1,IF(ROW()-ROW($B$24)&lt;=$E$12*$E$13+refi_month,ROW()-ROW($B$24),0),IF(activeloan,IF(L200=0,0,IF(ROW()-ROW($B$24)&lt;=$D$12*$D$13,ROW()-ROW($B$24),0)),0))</f>
        <v>0</v>
      </c>
      <c r="C201" s="759">
        <f t="shared" si="33"/>
        <v>0</v>
      </c>
      <c r="D201" s="760">
        <f t="shared" si="34"/>
        <v>118970</v>
      </c>
      <c r="E201" s="760">
        <f t="shared" si="35"/>
        <v>0</v>
      </c>
      <c r="F201" s="760">
        <f t="shared" si="36"/>
        <v>0</v>
      </c>
      <c r="G201" s="340">
        <v>0</v>
      </c>
      <c r="H201" s="760">
        <f t="shared" si="37"/>
        <v>0</v>
      </c>
      <c r="I201" s="760">
        <f t="shared" si="44"/>
        <v>0</v>
      </c>
      <c r="J201" s="760">
        <f t="shared" si="38"/>
        <v>0</v>
      </c>
      <c r="K201" s="760">
        <f t="shared" si="39"/>
        <v>0</v>
      </c>
      <c r="L201" s="760">
        <f t="shared" si="40"/>
        <v>118970</v>
      </c>
      <c r="M201" s="760">
        <f>IFERROR(IF(L200=0,0,SUM($J$25:J201)),0)</f>
        <v>0</v>
      </c>
      <c r="N201" s="366">
        <f t="shared" si="30"/>
        <v>1.025603448275862</v>
      </c>
      <c r="O201" s="761">
        <f t="shared" si="31"/>
        <v>0</v>
      </c>
      <c r="P201" s="28"/>
      <c r="Q201" s="1681">
        <f t="shared" si="41"/>
        <v>0</v>
      </c>
      <c r="R201" s="1682">
        <f t="shared" si="32"/>
        <v>0</v>
      </c>
      <c r="S201" s="1682">
        <f t="shared" si="42"/>
        <v>0</v>
      </c>
      <c r="T201" s="1682">
        <f t="shared" si="43"/>
        <v>1900</v>
      </c>
    </row>
    <row r="202" spans="2:20" s="283" customFormat="1" ht="13.8" x14ac:dyDescent="0.3">
      <c r="B202" s="758" cm="1">
        <f t="array" ref="B202">IF(active_refi=1,IF(ROW()-ROW($B$24)&lt;=$E$12*$E$13+refi_month,ROW()-ROW($B$24),0),IF(activeloan,IF(L201=0,0,IF(ROW()-ROW($B$24)&lt;=$D$12*$D$13,ROW()-ROW($B$24),0)),0))</f>
        <v>0</v>
      </c>
      <c r="C202" s="759">
        <f t="shared" si="33"/>
        <v>0</v>
      </c>
      <c r="D202" s="760">
        <f t="shared" si="34"/>
        <v>118970</v>
      </c>
      <c r="E202" s="760">
        <f t="shared" si="35"/>
        <v>0</v>
      </c>
      <c r="F202" s="760">
        <f t="shared" si="36"/>
        <v>0</v>
      </c>
      <c r="G202" s="340">
        <v>0</v>
      </c>
      <c r="H202" s="760">
        <f t="shared" si="37"/>
        <v>0</v>
      </c>
      <c r="I202" s="760">
        <f t="shared" si="44"/>
        <v>0</v>
      </c>
      <c r="J202" s="760">
        <f t="shared" si="38"/>
        <v>0</v>
      </c>
      <c r="K202" s="760">
        <f t="shared" si="39"/>
        <v>0</v>
      </c>
      <c r="L202" s="760">
        <f t="shared" si="40"/>
        <v>118970</v>
      </c>
      <c r="M202" s="760">
        <f>IFERROR(IF(L201=0,0,SUM($J$25:J202)),0)</f>
        <v>0</v>
      </c>
      <c r="N202" s="366">
        <f t="shared" si="30"/>
        <v>1.025603448275862</v>
      </c>
      <c r="O202" s="761">
        <f t="shared" si="31"/>
        <v>0</v>
      </c>
      <c r="P202" s="28"/>
      <c r="Q202" s="1681">
        <f t="shared" si="41"/>
        <v>0</v>
      </c>
      <c r="R202" s="1682">
        <f t="shared" si="32"/>
        <v>0</v>
      </c>
      <c r="S202" s="1682">
        <f t="shared" si="42"/>
        <v>0</v>
      </c>
      <c r="T202" s="1682">
        <f t="shared" si="43"/>
        <v>1900</v>
      </c>
    </row>
    <row r="203" spans="2:20" s="283" customFormat="1" ht="13.8" x14ac:dyDescent="0.3">
      <c r="B203" s="758" cm="1">
        <f t="array" ref="B203">IF(active_refi=1,IF(ROW()-ROW($B$24)&lt;=$E$12*$E$13+refi_month,ROW()-ROW($B$24),0),IF(activeloan,IF(L202=0,0,IF(ROW()-ROW($B$24)&lt;=$D$12*$D$13,ROW()-ROW($B$24),0)),0))</f>
        <v>0</v>
      </c>
      <c r="C203" s="759">
        <f t="shared" si="33"/>
        <v>0</v>
      </c>
      <c r="D203" s="760">
        <f t="shared" si="34"/>
        <v>118970</v>
      </c>
      <c r="E203" s="760">
        <f t="shared" si="35"/>
        <v>0</v>
      </c>
      <c r="F203" s="760">
        <f t="shared" si="36"/>
        <v>0</v>
      </c>
      <c r="G203" s="340">
        <v>0</v>
      </c>
      <c r="H203" s="760">
        <f t="shared" si="37"/>
        <v>0</v>
      </c>
      <c r="I203" s="760">
        <f t="shared" si="44"/>
        <v>0</v>
      </c>
      <c r="J203" s="760">
        <f t="shared" si="38"/>
        <v>0</v>
      </c>
      <c r="K203" s="760">
        <f t="shared" si="39"/>
        <v>0</v>
      </c>
      <c r="L203" s="760">
        <f t="shared" si="40"/>
        <v>118970</v>
      </c>
      <c r="M203" s="760">
        <f>IFERROR(IF(L202=0,0,SUM($J$25:J203)),0)</f>
        <v>0</v>
      </c>
      <c r="N203" s="366">
        <f t="shared" si="30"/>
        <v>1.025603448275862</v>
      </c>
      <c r="O203" s="761">
        <f t="shared" si="31"/>
        <v>0</v>
      </c>
      <c r="P203" s="28"/>
      <c r="Q203" s="1681">
        <f t="shared" si="41"/>
        <v>0</v>
      </c>
      <c r="R203" s="1682">
        <f t="shared" si="32"/>
        <v>0</v>
      </c>
      <c r="S203" s="1682">
        <f t="shared" si="42"/>
        <v>0</v>
      </c>
      <c r="T203" s="1682">
        <f t="shared" si="43"/>
        <v>1900</v>
      </c>
    </row>
    <row r="204" spans="2:20" s="283" customFormat="1" ht="13.8" x14ac:dyDescent="0.3">
      <c r="B204" s="758" cm="1">
        <f t="array" ref="B204">IF(active_refi=1,IF(ROW()-ROW($B$24)&lt;=$E$12*$E$13+refi_month,ROW()-ROW($B$24),0),IF(activeloan,IF(L203=0,0,IF(ROW()-ROW($B$24)&lt;=$D$12*$D$13,ROW()-ROW($B$24),0)),0))</f>
        <v>0</v>
      </c>
      <c r="C204" s="759">
        <f t="shared" si="33"/>
        <v>0</v>
      </c>
      <c r="D204" s="760">
        <f t="shared" si="34"/>
        <v>118970</v>
      </c>
      <c r="E204" s="760">
        <f t="shared" si="35"/>
        <v>0</v>
      </c>
      <c r="F204" s="760">
        <f t="shared" si="36"/>
        <v>0</v>
      </c>
      <c r="G204" s="340">
        <v>0</v>
      </c>
      <c r="H204" s="760">
        <f t="shared" si="37"/>
        <v>0</v>
      </c>
      <c r="I204" s="760">
        <f t="shared" si="44"/>
        <v>0</v>
      </c>
      <c r="J204" s="760">
        <f t="shared" si="38"/>
        <v>0</v>
      </c>
      <c r="K204" s="760">
        <f t="shared" si="39"/>
        <v>0</v>
      </c>
      <c r="L204" s="760">
        <f t="shared" si="40"/>
        <v>118970</v>
      </c>
      <c r="M204" s="760">
        <f>IFERROR(IF(L203=0,0,SUM($J$25:J204)),0)</f>
        <v>0</v>
      </c>
      <c r="N204" s="366">
        <f t="shared" si="30"/>
        <v>1.025603448275862</v>
      </c>
      <c r="O204" s="761">
        <f t="shared" si="31"/>
        <v>0</v>
      </c>
      <c r="P204" s="28"/>
      <c r="Q204" s="1681">
        <f t="shared" si="41"/>
        <v>0</v>
      </c>
      <c r="R204" s="1682">
        <f t="shared" si="32"/>
        <v>0</v>
      </c>
      <c r="S204" s="1682">
        <f t="shared" si="42"/>
        <v>0</v>
      </c>
      <c r="T204" s="1682">
        <f t="shared" si="43"/>
        <v>1900</v>
      </c>
    </row>
    <row r="205" spans="2:20" s="283" customFormat="1" ht="13.8" x14ac:dyDescent="0.3">
      <c r="B205" s="758" cm="1">
        <f t="array" ref="B205">IF(active_refi=1,IF(ROW()-ROW($B$24)&lt;=$E$12*$E$13+refi_month,ROW()-ROW($B$24),0),IF(activeloan,IF(L204=0,0,IF(ROW()-ROW($B$24)&lt;=$D$12*$D$13,ROW()-ROW($B$24),0)),0))</f>
        <v>0</v>
      </c>
      <c r="C205" s="759">
        <f t="shared" si="33"/>
        <v>0</v>
      </c>
      <c r="D205" s="760">
        <f t="shared" si="34"/>
        <v>118970</v>
      </c>
      <c r="E205" s="760">
        <f t="shared" si="35"/>
        <v>0</v>
      </c>
      <c r="F205" s="760">
        <f t="shared" si="36"/>
        <v>0</v>
      </c>
      <c r="G205" s="340">
        <v>0</v>
      </c>
      <c r="H205" s="760">
        <f t="shared" si="37"/>
        <v>0</v>
      </c>
      <c r="I205" s="760">
        <f t="shared" si="44"/>
        <v>0</v>
      </c>
      <c r="J205" s="760">
        <f t="shared" si="38"/>
        <v>0</v>
      </c>
      <c r="K205" s="760">
        <f t="shared" si="39"/>
        <v>0</v>
      </c>
      <c r="L205" s="760">
        <f t="shared" si="40"/>
        <v>118970</v>
      </c>
      <c r="M205" s="760">
        <f>IFERROR(IF(L204=0,0,SUM($J$25:J205)),0)</f>
        <v>0</v>
      </c>
      <c r="N205" s="366">
        <f t="shared" si="30"/>
        <v>1.025603448275862</v>
      </c>
      <c r="O205" s="761">
        <f t="shared" si="31"/>
        <v>0</v>
      </c>
      <c r="P205" s="28"/>
      <c r="Q205" s="1681">
        <f t="shared" si="41"/>
        <v>0</v>
      </c>
      <c r="R205" s="1682">
        <f t="shared" si="32"/>
        <v>0</v>
      </c>
      <c r="S205" s="1682">
        <f t="shared" si="42"/>
        <v>0</v>
      </c>
      <c r="T205" s="1682">
        <f t="shared" si="43"/>
        <v>1900</v>
      </c>
    </row>
    <row r="206" spans="2:20" s="283" customFormat="1" ht="13.8" x14ac:dyDescent="0.3">
      <c r="B206" s="758" cm="1">
        <f t="array" ref="B206">IF(active_refi=1,IF(ROW()-ROW($B$24)&lt;=$E$12*$E$13+refi_month,ROW()-ROW($B$24),0),IF(activeloan,IF(L205=0,0,IF(ROW()-ROW($B$24)&lt;=$D$12*$D$13,ROW()-ROW($B$24),0)),0))</f>
        <v>0</v>
      </c>
      <c r="C206" s="759">
        <f t="shared" si="33"/>
        <v>0</v>
      </c>
      <c r="D206" s="760">
        <f t="shared" si="34"/>
        <v>118970</v>
      </c>
      <c r="E206" s="760">
        <f t="shared" si="35"/>
        <v>0</v>
      </c>
      <c r="F206" s="760">
        <f t="shared" si="36"/>
        <v>0</v>
      </c>
      <c r="G206" s="340">
        <v>0</v>
      </c>
      <c r="H206" s="760">
        <f t="shared" si="37"/>
        <v>0</v>
      </c>
      <c r="I206" s="760">
        <f t="shared" si="44"/>
        <v>0</v>
      </c>
      <c r="J206" s="760">
        <f t="shared" si="38"/>
        <v>0</v>
      </c>
      <c r="K206" s="760">
        <f t="shared" si="39"/>
        <v>0</v>
      </c>
      <c r="L206" s="760">
        <f t="shared" si="40"/>
        <v>118970</v>
      </c>
      <c r="M206" s="760">
        <f>IFERROR(IF(L205=0,0,SUM($J$25:J206)),0)</f>
        <v>0</v>
      </c>
      <c r="N206" s="366">
        <f t="shared" si="30"/>
        <v>1.025603448275862</v>
      </c>
      <c r="O206" s="761">
        <f t="shared" si="31"/>
        <v>0</v>
      </c>
      <c r="P206" s="28"/>
      <c r="Q206" s="1681">
        <f t="shared" si="41"/>
        <v>0</v>
      </c>
      <c r="R206" s="1682">
        <f t="shared" si="32"/>
        <v>0</v>
      </c>
      <c r="S206" s="1682">
        <f t="shared" si="42"/>
        <v>0</v>
      </c>
      <c r="T206" s="1682">
        <f t="shared" si="43"/>
        <v>1900</v>
      </c>
    </row>
    <row r="207" spans="2:20" s="283" customFormat="1" ht="13.8" x14ac:dyDescent="0.3">
      <c r="B207" s="758" cm="1">
        <f t="array" ref="B207">IF(active_refi=1,IF(ROW()-ROW($B$24)&lt;=$E$12*$E$13+refi_month,ROW()-ROW($B$24),0),IF(activeloan,IF(L206=0,0,IF(ROW()-ROW($B$24)&lt;=$D$12*$D$13,ROW()-ROW($B$24),0)),0))</f>
        <v>0</v>
      </c>
      <c r="C207" s="759">
        <f t="shared" si="33"/>
        <v>0</v>
      </c>
      <c r="D207" s="760">
        <f t="shared" si="34"/>
        <v>118970</v>
      </c>
      <c r="E207" s="760">
        <f t="shared" si="35"/>
        <v>0</v>
      </c>
      <c r="F207" s="760">
        <f t="shared" si="36"/>
        <v>0</v>
      </c>
      <c r="G207" s="340">
        <v>0</v>
      </c>
      <c r="H207" s="760">
        <f t="shared" si="37"/>
        <v>0</v>
      </c>
      <c r="I207" s="760">
        <f t="shared" si="44"/>
        <v>0</v>
      </c>
      <c r="J207" s="760">
        <f t="shared" si="38"/>
        <v>0</v>
      </c>
      <c r="K207" s="760">
        <f t="shared" si="39"/>
        <v>0</v>
      </c>
      <c r="L207" s="760">
        <f t="shared" si="40"/>
        <v>118970</v>
      </c>
      <c r="M207" s="760">
        <f>IFERROR(IF(L206=0,0,SUM($J$25:J207)),0)</f>
        <v>0</v>
      </c>
      <c r="N207" s="366">
        <f t="shared" si="30"/>
        <v>1.025603448275862</v>
      </c>
      <c r="O207" s="761">
        <f t="shared" si="31"/>
        <v>0</v>
      </c>
      <c r="P207" s="28"/>
      <c r="Q207" s="1681">
        <f t="shared" si="41"/>
        <v>0</v>
      </c>
      <c r="R207" s="1682">
        <f t="shared" si="32"/>
        <v>0</v>
      </c>
      <c r="S207" s="1682">
        <f t="shared" si="42"/>
        <v>0</v>
      </c>
      <c r="T207" s="1682">
        <f t="shared" si="43"/>
        <v>1900</v>
      </c>
    </row>
    <row r="208" spans="2:20" s="283" customFormat="1" ht="13.8" x14ac:dyDescent="0.3">
      <c r="B208" s="758" cm="1">
        <f t="array" ref="B208">IF(active_refi=1,IF(ROW()-ROW($B$24)&lt;=$E$12*$E$13+refi_month,ROW()-ROW($B$24),0),IF(activeloan,IF(L207=0,0,IF(ROW()-ROW($B$24)&lt;=$D$12*$D$13,ROW()-ROW($B$24),0)),0))</f>
        <v>0</v>
      </c>
      <c r="C208" s="759">
        <f t="shared" si="33"/>
        <v>0</v>
      </c>
      <c r="D208" s="760">
        <f t="shared" si="34"/>
        <v>118970</v>
      </c>
      <c r="E208" s="760">
        <f t="shared" si="35"/>
        <v>0</v>
      </c>
      <c r="F208" s="760">
        <f t="shared" si="36"/>
        <v>0</v>
      </c>
      <c r="G208" s="340">
        <v>0</v>
      </c>
      <c r="H208" s="760">
        <f t="shared" si="37"/>
        <v>0</v>
      </c>
      <c r="I208" s="760">
        <f t="shared" si="44"/>
        <v>0</v>
      </c>
      <c r="J208" s="760">
        <f t="shared" si="38"/>
        <v>0</v>
      </c>
      <c r="K208" s="760">
        <f t="shared" si="39"/>
        <v>0</v>
      </c>
      <c r="L208" s="760">
        <f t="shared" si="40"/>
        <v>118970</v>
      </c>
      <c r="M208" s="760">
        <f>IFERROR(IF(L207=0,0,SUM($J$25:J208)),0)</f>
        <v>0</v>
      </c>
      <c r="N208" s="366">
        <f t="shared" si="30"/>
        <v>1.025603448275862</v>
      </c>
      <c r="O208" s="761">
        <f t="shared" si="31"/>
        <v>0</v>
      </c>
      <c r="P208" s="28"/>
      <c r="Q208" s="1681">
        <f t="shared" si="41"/>
        <v>0</v>
      </c>
      <c r="R208" s="1682">
        <f t="shared" si="32"/>
        <v>0</v>
      </c>
      <c r="S208" s="1682">
        <f t="shared" si="42"/>
        <v>0</v>
      </c>
      <c r="T208" s="1682">
        <f t="shared" si="43"/>
        <v>1900</v>
      </c>
    </row>
    <row r="209" spans="2:20" s="283" customFormat="1" ht="13.8" x14ac:dyDescent="0.3">
      <c r="B209" s="758" cm="1">
        <f t="array" ref="B209">IF(active_refi=1,IF(ROW()-ROW($B$24)&lt;=$E$12*$E$13+refi_month,ROW()-ROW($B$24),0),IF(activeloan,IF(L208=0,0,IF(ROW()-ROW($B$24)&lt;=$D$12*$D$13,ROW()-ROW($B$24),0)),0))</f>
        <v>0</v>
      </c>
      <c r="C209" s="759">
        <f t="shared" si="33"/>
        <v>0</v>
      </c>
      <c r="D209" s="760">
        <f t="shared" si="34"/>
        <v>118970</v>
      </c>
      <c r="E209" s="760">
        <f t="shared" si="35"/>
        <v>0</v>
      </c>
      <c r="F209" s="760">
        <f t="shared" si="36"/>
        <v>0</v>
      </c>
      <c r="G209" s="340">
        <v>0</v>
      </c>
      <c r="H209" s="760">
        <f t="shared" si="37"/>
        <v>0</v>
      </c>
      <c r="I209" s="760">
        <f t="shared" si="44"/>
        <v>0</v>
      </c>
      <c r="J209" s="760">
        <f t="shared" si="38"/>
        <v>0</v>
      </c>
      <c r="K209" s="760">
        <f t="shared" si="39"/>
        <v>0</v>
      </c>
      <c r="L209" s="760">
        <f t="shared" si="40"/>
        <v>118970</v>
      </c>
      <c r="M209" s="760">
        <f>IFERROR(IF(L208=0,0,SUM($J$25:J209)),0)</f>
        <v>0</v>
      </c>
      <c r="N209" s="366">
        <f t="shared" si="30"/>
        <v>1.025603448275862</v>
      </c>
      <c r="O209" s="761">
        <f t="shared" si="31"/>
        <v>0</v>
      </c>
      <c r="P209" s="28"/>
      <c r="Q209" s="1681">
        <f t="shared" si="41"/>
        <v>0</v>
      </c>
      <c r="R209" s="1682">
        <f t="shared" si="32"/>
        <v>0</v>
      </c>
      <c r="S209" s="1682">
        <f t="shared" si="42"/>
        <v>0</v>
      </c>
      <c r="T209" s="1682">
        <f t="shared" si="43"/>
        <v>1900</v>
      </c>
    </row>
    <row r="210" spans="2:20" s="283" customFormat="1" ht="13.8" x14ac:dyDescent="0.3">
      <c r="B210" s="758" cm="1">
        <f t="array" ref="B210">IF(active_refi=1,IF(ROW()-ROW($B$24)&lt;=$E$12*$E$13+refi_month,ROW()-ROW($B$24),0),IF(activeloan,IF(L209=0,0,IF(ROW()-ROW($B$24)&lt;=$D$12*$D$13,ROW()-ROW($B$24),0)),0))</f>
        <v>0</v>
      </c>
      <c r="C210" s="759">
        <f t="shared" si="33"/>
        <v>0</v>
      </c>
      <c r="D210" s="760">
        <f t="shared" si="34"/>
        <v>118970</v>
      </c>
      <c r="E210" s="760">
        <f t="shared" si="35"/>
        <v>0</v>
      </c>
      <c r="F210" s="760">
        <f t="shared" si="36"/>
        <v>0</v>
      </c>
      <c r="G210" s="340">
        <v>0</v>
      </c>
      <c r="H210" s="760">
        <f t="shared" si="37"/>
        <v>0</v>
      </c>
      <c r="I210" s="760">
        <f t="shared" si="44"/>
        <v>0</v>
      </c>
      <c r="J210" s="760">
        <f t="shared" si="38"/>
        <v>0</v>
      </c>
      <c r="K210" s="760">
        <f t="shared" si="39"/>
        <v>0</v>
      </c>
      <c r="L210" s="760">
        <f t="shared" si="40"/>
        <v>118970</v>
      </c>
      <c r="M210" s="760">
        <f>IFERROR(IF(L209=0,0,SUM($J$25:J210)),0)</f>
        <v>0</v>
      </c>
      <c r="N210" s="366">
        <f t="shared" si="30"/>
        <v>1.025603448275862</v>
      </c>
      <c r="O210" s="761">
        <f t="shared" si="31"/>
        <v>0</v>
      </c>
      <c r="P210" s="28"/>
      <c r="Q210" s="1681">
        <f t="shared" si="41"/>
        <v>0</v>
      </c>
      <c r="R210" s="1682">
        <f t="shared" si="32"/>
        <v>0</v>
      </c>
      <c r="S210" s="1682">
        <f t="shared" si="42"/>
        <v>0</v>
      </c>
      <c r="T210" s="1682">
        <f t="shared" si="43"/>
        <v>1900</v>
      </c>
    </row>
    <row r="211" spans="2:20" s="283" customFormat="1" ht="13.8" x14ac:dyDescent="0.3">
      <c r="B211" s="758" cm="1">
        <f t="array" ref="B211">IF(active_refi=1,IF(ROW()-ROW($B$24)&lt;=$E$12*$E$13+refi_month,ROW()-ROW($B$24),0),IF(activeloan,IF(L210=0,0,IF(ROW()-ROW($B$24)&lt;=$D$12*$D$13,ROW()-ROW($B$24),0)),0))</f>
        <v>0</v>
      </c>
      <c r="C211" s="759">
        <f t="shared" si="33"/>
        <v>0</v>
      </c>
      <c r="D211" s="760">
        <f t="shared" si="34"/>
        <v>118970</v>
      </c>
      <c r="E211" s="760">
        <f t="shared" si="35"/>
        <v>0</v>
      </c>
      <c r="F211" s="760">
        <f t="shared" si="36"/>
        <v>0</v>
      </c>
      <c r="G211" s="340">
        <v>0</v>
      </c>
      <c r="H211" s="760">
        <f t="shared" si="37"/>
        <v>0</v>
      </c>
      <c r="I211" s="760">
        <f t="shared" si="44"/>
        <v>0</v>
      </c>
      <c r="J211" s="760">
        <f t="shared" si="38"/>
        <v>0</v>
      </c>
      <c r="K211" s="760">
        <f t="shared" si="39"/>
        <v>0</v>
      </c>
      <c r="L211" s="760">
        <f t="shared" si="40"/>
        <v>118970</v>
      </c>
      <c r="M211" s="760">
        <f>IFERROR(IF(L210=0,0,SUM($J$25:J211)),0)</f>
        <v>0</v>
      </c>
      <c r="N211" s="366">
        <f t="shared" si="30"/>
        <v>1.025603448275862</v>
      </c>
      <c r="O211" s="761">
        <f t="shared" si="31"/>
        <v>0</v>
      </c>
      <c r="P211" s="28"/>
      <c r="Q211" s="1681">
        <f t="shared" si="41"/>
        <v>0</v>
      </c>
      <c r="R211" s="1682">
        <f t="shared" si="32"/>
        <v>0</v>
      </c>
      <c r="S211" s="1682">
        <f t="shared" si="42"/>
        <v>0</v>
      </c>
      <c r="T211" s="1682">
        <f t="shared" si="43"/>
        <v>1900</v>
      </c>
    </row>
    <row r="212" spans="2:20" s="283" customFormat="1" ht="13.8" x14ac:dyDescent="0.3">
      <c r="B212" s="758" cm="1">
        <f t="array" ref="B212">IF(active_refi=1,IF(ROW()-ROW($B$24)&lt;=$E$12*$E$13+refi_month,ROW()-ROW($B$24),0),IF(activeloan,IF(L211=0,0,IF(ROW()-ROW($B$24)&lt;=$D$12*$D$13,ROW()-ROW($B$24),0)),0))</f>
        <v>0</v>
      </c>
      <c r="C212" s="759">
        <f t="shared" si="33"/>
        <v>0</v>
      </c>
      <c r="D212" s="760">
        <f t="shared" si="34"/>
        <v>118970</v>
      </c>
      <c r="E212" s="760">
        <f t="shared" si="35"/>
        <v>0</v>
      </c>
      <c r="F212" s="760">
        <f t="shared" si="36"/>
        <v>0</v>
      </c>
      <c r="G212" s="340">
        <v>0</v>
      </c>
      <c r="H212" s="760">
        <f t="shared" si="37"/>
        <v>0</v>
      </c>
      <c r="I212" s="760">
        <f t="shared" si="44"/>
        <v>0</v>
      </c>
      <c r="J212" s="760">
        <f t="shared" si="38"/>
        <v>0</v>
      </c>
      <c r="K212" s="760">
        <f t="shared" si="39"/>
        <v>0</v>
      </c>
      <c r="L212" s="760">
        <f t="shared" si="40"/>
        <v>118970</v>
      </c>
      <c r="M212" s="760">
        <f>IFERROR(IF(L211=0,0,SUM($J$25:J212)),0)</f>
        <v>0</v>
      </c>
      <c r="N212" s="366">
        <f t="shared" si="30"/>
        <v>1.025603448275862</v>
      </c>
      <c r="O212" s="761">
        <f t="shared" si="31"/>
        <v>0</v>
      </c>
      <c r="P212" s="28"/>
      <c r="Q212" s="1681">
        <f t="shared" si="41"/>
        <v>0</v>
      </c>
      <c r="R212" s="1682">
        <f t="shared" si="32"/>
        <v>0</v>
      </c>
      <c r="S212" s="1682">
        <f t="shared" si="42"/>
        <v>0</v>
      </c>
      <c r="T212" s="1682">
        <f t="shared" si="43"/>
        <v>1900</v>
      </c>
    </row>
    <row r="213" spans="2:20" s="283" customFormat="1" ht="13.8" x14ac:dyDescent="0.3">
      <c r="B213" s="758" cm="1">
        <f t="array" ref="B213">IF(active_refi=1,IF(ROW()-ROW($B$24)&lt;=$E$12*$E$13+refi_month,ROW()-ROW($B$24),0),IF(activeloan,IF(L212=0,0,IF(ROW()-ROW($B$24)&lt;=$D$12*$D$13,ROW()-ROW($B$24),0)),0))</f>
        <v>0</v>
      </c>
      <c r="C213" s="759">
        <f t="shared" si="33"/>
        <v>0</v>
      </c>
      <c r="D213" s="760">
        <f t="shared" si="34"/>
        <v>118970</v>
      </c>
      <c r="E213" s="760">
        <f t="shared" si="35"/>
        <v>0</v>
      </c>
      <c r="F213" s="760">
        <f t="shared" si="36"/>
        <v>0</v>
      </c>
      <c r="G213" s="340">
        <v>0</v>
      </c>
      <c r="H213" s="760">
        <f t="shared" si="37"/>
        <v>0</v>
      </c>
      <c r="I213" s="760">
        <f t="shared" si="44"/>
        <v>0</v>
      </c>
      <c r="J213" s="760">
        <f t="shared" si="38"/>
        <v>0</v>
      </c>
      <c r="K213" s="760">
        <f t="shared" si="39"/>
        <v>0</v>
      </c>
      <c r="L213" s="760">
        <f t="shared" si="40"/>
        <v>118970</v>
      </c>
      <c r="M213" s="760">
        <f>IFERROR(IF(L212=0,0,SUM($J$25:J213)),0)</f>
        <v>0</v>
      </c>
      <c r="N213" s="366">
        <f t="shared" si="30"/>
        <v>1.025603448275862</v>
      </c>
      <c r="O213" s="761">
        <f t="shared" si="31"/>
        <v>0</v>
      </c>
      <c r="P213" s="28"/>
      <c r="Q213" s="1681">
        <f t="shared" si="41"/>
        <v>0</v>
      </c>
      <c r="R213" s="1682">
        <f t="shared" si="32"/>
        <v>0</v>
      </c>
      <c r="S213" s="1682">
        <f t="shared" si="42"/>
        <v>0</v>
      </c>
      <c r="T213" s="1682">
        <f t="shared" si="43"/>
        <v>1900</v>
      </c>
    </row>
    <row r="214" spans="2:20" s="283" customFormat="1" ht="13.8" x14ac:dyDescent="0.3">
      <c r="B214" s="758" cm="1">
        <f t="array" ref="B214">IF(active_refi=1,IF(ROW()-ROW($B$24)&lt;=$E$12*$E$13+refi_month,ROW()-ROW($B$24),0),IF(activeloan,IF(L213=0,0,IF(ROW()-ROW($B$24)&lt;=$D$12*$D$13,ROW()-ROW($B$24),0)),0))</f>
        <v>0</v>
      </c>
      <c r="C214" s="759">
        <f t="shared" si="33"/>
        <v>0</v>
      </c>
      <c r="D214" s="760">
        <f t="shared" si="34"/>
        <v>118970</v>
      </c>
      <c r="E214" s="760">
        <f t="shared" si="35"/>
        <v>0</v>
      </c>
      <c r="F214" s="760">
        <f t="shared" si="36"/>
        <v>0</v>
      </c>
      <c r="G214" s="340">
        <v>0</v>
      </c>
      <c r="H214" s="760">
        <f t="shared" si="37"/>
        <v>0</v>
      </c>
      <c r="I214" s="760">
        <f t="shared" si="44"/>
        <v>0</v>
      </c>
      <c r="J214" s="760">
        <f t="shared" si="38"/>
        <v>0</v>
      </c>
      <c r="K214" s="760">
        <f t="shared" si="39"/>
        <v>0</v>
      </c>
      <c r="L214" s="760">
        <f t="shared" si="40"/>
        <v>118970</v>
      </c>
      <c r="M214" s="760">
        <f>IFERROR(IF(L213=0,0,SUM($J$25:J214)),0)</f>
        <v>0</v>
      </c>
      <c r="N214" s="366">
        <f t="shared" si="30"/>
        <v>1.025603448275862</v>
      </c>
      <c r="O214" s="761">
        <f t="shared" si="31"/>
        <v>0</v>
      </c>
      <c r="P214" s="28"/>
      <c r="Q214" s="1681">
        <f t="shared" si="41"/>
        <v>0</v>
      </c>
      <c r="R214" s="1682">
        <f t="shared" si="32"/>
        <v>0</v>
      </c>
      <c r="S214" s="1682">
        <f t="shared" si="42"/>
        <v>0</v>
      </c>
      <c r="T214" s="1682">
        <f t="shared" si="43"/>
        <v>1900</v>
      </c>
    </row>
    <row r="215" spans="2:20" s="283" customFormat="1" ht="13.8" x14ac:dyDescent="0.3">
      <c r="B215" s="758" cm="1">
        <f t="array" ref="B215">IF(active_refi=1,IF(ROW()-ROW($B$24)&lt;=$E$12*$E$13+refi_month,ROW()-ROW($B$24),0),IF(activeloan,IF(L214=0,0,IF(ROW()-ROW($B$24)&lt;=$D$12*$D$13,ROW()-ROW($B$24),0)),0))</f>
        <v>0</v>
      </c>
      <c r="C215" s="759">
        <f t="shared" si="33"/>
        <v>0</v>
      </c>
      <c r="D215" s="760">
        <f t="shared" si="34"/>
        <v>118970</v>
      </c>
      <c r="E215" s="760">
        <f t="shared" si="35"/>
        <v>0</v>
      </c>
      <c r="F215" s="760">
        <f t="shared" si="36"/>
        <v>0</v>
      </c>
      <c r="G215" s="340">
        <v>0</v>
      </c>
      <c r="H215" s="760">
        <f t="shared" si="37"/>
        <v>0</v>
      </c>
      <c r="I215" s="760">
        <f t="shared" si="44"/>
        <v>0</v>
      </c>
      <c r="J215" s="760">
        <f t="shared" si="38"/>
        <v>0</v>
      </c>
      <c r="K215" s="760">
        <f t="shared" si="39"/>
        <v>0</v>
      </c>
      <c r="L215" s="760">
        <f t="shared" si="40"/>
        <v>118970</v>
      </c>
      <c r="M215" s="760">
        <f>IFERROR(IF(L214=0,0,SUM($J$25:J215)),0)</f>
        <v>0</v>
      </c>
      <c r="N215" s="366">
        <f t="shared" si="30"/>
        <v>1.025603448275862</v>
      </c>
      <c r="O215" s="761">
        <f t="shared" si="31"/>
        <v>0</v>
      </c>
      <c r="P215" s="28"/>
      <c r="Q215" s="1681">
        <f t="shared" si="41"/>
        <v>0</v>
      </c>
      <c r="R215" s="1682">
        <f t="shared" si="32"/>
        <v>0</v>
      </c>
      <c r="S215" s="1682">
        <f t="shared" si="42"/>
        <v>0</v>
      </c>
      <c r="T215" s="1682">
        <f t="shared" si="43"/>
        <v>1900</v>
      </c>
    </row>
    <row r="216" spans="2:20" s="283" customFormat="1" ht="13.8" x14ac:dyDescent="0.3">
      <c r="B216" s="758" cm="1">
        <f t="array" ref="B216">IF(active_refi=1,IF(ROW()-ROW($B$24)&lt;=$E$12*$E$13+refi_month,ROW()-ROW($B$24),0),IF(activeloan,IF(L215=0,0,IF(ROW()-ROW($B$24)&lt;=$D$12*$D$13,ROW()-ROW($B$24),0)),0))</f>
        <v>0</v>
      </c>
      <c r="C216" s="759">
        <f t="shared" si="33"/>
        <v>0</v>
      </c>
      <c r="D216" s="760">
        <f t="shared" si="34"/>
        <v>118970</v>
      </c>
      <c r="E216" s="760">
        <f t="shared" si="35"/>
        <v>0</v>
      </c>
      <c r="F216" s="760">
        <f t="shared" si="36"/>
        <v>0</v>
      </c>
      <c r="G216" s="340">
        <v>0</v>
      </c>
      <c r="H216" s="760">
        <f t="shared" si="37"/>
        <v>0</v>
      </c>
      <c r="I216" s="760">
        <f t="shared" si="44"/>
        <v>0</v>
      </c>
      <c r="J216" s="760">
        <f t="shared" si="38"/>
        <v>0</v>
      </c>
      <c r="K216" s="760">
        <f t="shared" si="39"/>
        <v>0</v>
      </c>
      <c r="L216" s="760">
        <f t="shared" si="40"/>
        <v>118970</v>
      </c>
      <c r="M216" s="760">
        <f>IFERROR(IF(L215=0,0,SUM($J$25:J216)),0)</f>
        <v>0</v>
      </c>
      <c r="N216" s="366">
        <f t="shared" si="30"/>
        <v>1.025603448275862</v>
      </c>
      <c r="O216" s="761">
        <f t="shared" si="31"/>
        <v>0</v>
      </c>
      <c r="P216" s="28"/>
      <c r="Q216" s="1681">
        <f t="shared" si="41"/>
        <v>0</v>
      </c>
      <c r="R216" s="1682">
        <f t="shared" si="32"/>
        <v>0</v>
      </c>
      <c r="S216" s="1682">
        <f t="shared" si="42"/>
        <v>0</v>
      </c>
      <c r="T216" s="1682">
        <f t="shared" si="43"/>
        <v>1900</v>
      </c>
    </row>
    <row r="217" spans="2:20" s="283" customFormat="1" ht="13.8" x14ac:dyDescent="0.3">
      <c r="B217" s="758" cm="1">
        <f t="array" ref="B217">IF(active_refi=1,IF(ROW()-ROW($B$24)&lt;=$E$12*$E$13+refi_month,ROW()-ROW($B$24),0),IF(activeloan,IF(L216=0,0,IF(ROW()-ROW($B$24)&lt;=$D$12*$D$13,ROW()-ROW($B$24),0)),0))</f>
        <v>0</v>
      </c>
      <c r="C217" s="759">
        <f t="shared" si="33"/>
        <v>0</v>
      </c>
      <c r="D217" s="760">
        <f t="shared" si="34"/>
        <v>118970</v>
      </c>
      <c r="E217" s="760">
        <f t="shared" si="35"/>
        <v>0</v>
      </c>
      <c r="F217" s="760">
        <f t="shared" si="36"/>
        <v>0</v>
      </c>
      <c r="G217" s="340">
        <v>0</v>
      </c>
      <c r="H217" s="760">
        <f t="shared" si="37"/>
        <v>0</v>
      </c>
      <c r="I217" s="760">
        <f t="shared" si="44"/>
        <v>0</v>
      </c>
      <c r="J217" s="760">
        <f t="shared" si="38"/>
        <v>0</v>
      </c>
      <c r="K217" s="760">
        <f t="shared" si="39"/>
        <v>0</v>
      </c>
      <c r="L217" s="760">
        <f t="shared" si="40"/>
        <v>118970</v>
      </c>
      <c r="M217" s="760">
        <f>IFERROR(IF(L216=0,0,SUM($J$25:J217)),0)</f>
        <v>0</v>
      </c>
      <c r="N217" s="366">
        <f t="shared" ref="N217:N280" si="45">IFERROR(L217/purchase_price,0)</f>
        <v>1.025603448275862</v>
      </c>
      <c r="O217" s="761">
        <f t="shared" ref="O217:O280" si="46">IFERROR(IF(active_refi=0,0,IF(B217&lt;$F$18,0,L217/refi_price)),0)</f>
        <v>0</v>
      </c>
      <c r="P217" s="28"/>
      <c r="Q217" s="1681">
        <f t="shared" si="41"/>
        <v>0</v>
      </c>
      <c r="R217" s="1682">
        <f t="shared" ref="R217:R280" si="47">IFERROR(IF(AND(B217&lt;=$J$19,B217&lt;&gt;0,B217&gt;=$J$18),IF(B217&lt;=$E$15*12+refi_month,J217,IF(OR(B217=$J$19,$J$10&gt;(1+$E$11/12)*D217),(1+$E$11/12)*D217,$J$10))+K217,0),0)</f>
        <v>0</v>
      </c>
      <c r="S217" s="1682">
        <f t="shared" si="42"/>
        <v>0</v>
      </c>
      <c r="T217" s="1682">
        <f t="shared" si="43"/>
        <v>1900</v>
      </c>
    </row>
    <row r="218" spans="2:20" s="283" customFormat="1" ht="13.8" x14ac:dyDescent="0.3">
      <c r="B218" s="758" cm="1">
        <f t="array" ref="B218">IF(active_refi=1,IF(ROW()-ROW($B$24)&lt;=$E$12*$E$13+refi_month,ROW()-ROW($B$24),0),IF(activeloan,IF(L217=0,0,IF(ROW()-ROW($B$24)&lt;=$D$12*$D$13,ROW()-ROW($B$24),0)),0))</f>
        <v>0</v>
      </c>
      <c r="C218" s="759">
        <f t="shared" ref="C218:C281" si="48">IF(B218&lt;&gt;0,EOMONTH(C217,1),0)</f>
        <v>0</v>
      </c>
      <c r="D218" s="760">
        <f t="shared" ref="D218:D281" si="49">IF(AND(B218=refi_month+1,active_refi),$E$10,L217)</f>
        <v>118970</v>
      </c>
      <c r="E218" s="760">
        <f t="shared" ref="E218:E281" si="50">S218</f>
        <v>0</v>
      </c>
      <c r="F218" s="760">
        <f t="shared" ref="F218:F281" si="51">IF(D218-(E218-J218-K218)&lt;0,0,IF(B218&lt;=$I$15,MAX(MIN(D218-(E218-J218-K218),$N$10),0),MAX(MIN(D218-(E218-J218-K218),$O$10),0)))</f>
        <v>0</v>
      </c>
      <c r="G218" s="340">
        <v>0</v>
      </c>
      <c r="H218" s="760">
        <f t="shared" ref="H218:H281" si="52">MIN(E218+F218+G218,D218+J218+K218)</f>
        <v>0</v>
      </c>
      <c r="I218" s="760">
        <f t="shared" si="44"/>
        <v>0</v>
      </c>
      <c r="J218" s="760">
        <f t="shared" ref="J218:J281" si="53">IFERROR(IF(B218&lt;=$I$19,$D$11/12*D218,$E$11/12*D218),0)</f>
        <v>0</v>
      </c>
      <c r="K218" s="760">
        <f t="shared" ref="K218:K281" si="54">IFERROR(IF(OR(B218&lt;=$F$18,active_refi=0),IF(N217&lt;=$D$18,0,$D$17*$D$10/12),IF(B218=$F$18+1,IF((D218/refi_price)&lt;=$E$18,0,$E$17*$E$10/12),IF(O217&lt;=$E$18,0,$E$17*$E$10/12))),0)</f>
        <v>0</v>
      </c>
      <c r="L218" s="760">
        <f t="shared" ref="L218:L281" si="55">IF(ROUND(D218-I218,4)=0,ROUND(D218-I218,4),D218-I218)</f>
        <v>118970</v>
      </c>
      <c r="M218" s="760">
        <f>IFERROR(IF(L217=0,0,SUM($J$25:J218)),0)</f>
        <v>0</v>
      </c>
      <c r="N218" s="366">
        <f t="shared" si="45"/>
        <v>1.025603448275862</v>
      </c>
      <c r="O218" s="761">
        <f t="shared" si="46"/>
        <v>0</v>
      </c>
      <c r="P218" s="28"/>
      <c r="Q218" s="1681">
        <f t="shared" ref="Q218:Q281" si="56">IFERROR(IF(AND(B218&lt;=$I$19,B218&lt;&gt;0),IF(AND(B218=$D$15*12,$D$15=$D$12),D218+J218,IF(B218&lt;=$D$15*12,J218,IF($I$10&gt;(1+$D$11/12)*D218,(1+$D$11/12)*D218,$I$10)))+K218,0),0)</f>
        <v>0</v>
      </c>
      <c r="R218" s="1682">
        <f t="shared" si="47"/>
        <v>0</v>
      </c>
      <c r="S218" s="1682">
        <f t="shared" ref="S218:S281" si="57">IF(B218&lt;=$I$19,Q218,IF(AND(B218&gt;=$J$18,B218&lt;=$J$19),R218,0))</f>
        <v>0</v>
      </c>
      <c r="T218" s="1682">
        <f t="shared" ref="T218:T281" si="58">YEAR(C218)</f>
        <v>1900</v>
      </c>
    </row>
    <row r="219" spans="2:20" s="283" customFormat="1" ht="13.8" x14ac:dyDescent="0.3">
      <c r="B219" s="758" cm="1">
        <f t="array" ref="B219">IF(active_refi=1,IF(ROW()-ROW($B$24)&lt;=$E$12*$E$13+refi_month,ROW()-ROW($B$24),0),IF(activeloan,IF(L218=0,0,IF(ROW()-ROW($B$24)&lt;=$D$12*$D$13,ROW()-ROW($B$24),0)),0))</f>
        <v>0</v>
      </c>
      <c r="C219" s="759">
        <f t="shared" si="48"/>
        <v>0</v>
      </c>
      <c r="D219" s="760">
        <f t="shared" si="49"/>
        <v>118970</v>
      </c>
      <c r="E219" s="760">
        <f t="shared" si="50"/>
        <v>0</v>
      </c>
      <c r="F219" s="760">
        <f t="shared" si="51"/>
        <v>0</v>
      </c>
      <c r="G219" s="340">
        <v>0</v>
      </c>
      <c r="H219" s="760">
        <f t="shared" si="52"/>
        <v>0</v>
      </c>
      <c r="I219" s="760">
        <f t="shared" ref="I219:I282" si="59">H219-J219-K219</f>
        <v>0</v>
      </c>
      <c r="J219" s="760">
        <f t="shared" si="53"/>
        <v>0</v>
      </c>
      <c r="K219" s="760">
        <f t="shared" si="54"/>
        <v>0</v>
      </c>
      <c r="L219" s="760">
        <f t="shared" si="55"/>
        <v>118970</v>
      </c>
      <c r="M219" s="760">
        <f>IFERROR(IF(L218=0,0,SUM($J$25:J219)),0)</f>
        <v>0</v>
      </c>
      <c r="N219" s="366">
        <f t="shared" si="45"/>
        <v>1.025603448275862</v>
      </c>
      <c r="O219" s="761">
        <f t="shared" si="46"/>
        <v>0</v>
      </c>
      <c r="P219" s="28"/>
      <c r="Q219" s="1681">
        <f t="shared" si="56"/>
        <v>0</v>
      </c>
      <c r="R219" s="1682">
        <f t="shared" si="47"/>
        <v>0</v>
      </c>
      <c r="S219" s="1682">
        <f t="shared" si="57"/>
        <v>0</v>
      </c>
      <c r="T219" s="1682">
        <f t="shared" si="58"/>
        <v>1900</v>
      </c>
    </row>
    <row r="220" spans="2:20" s="283" customFormat="1" ht="13.8" x14ac:dyDescent="0.3">
      <c r="B220" s="758" cm="1">
        <f t="array" ref="B220">IF(active_refi=1,IF(ROW()-ROW($B$24)&lt;=$E$12*$E$13+refi_month,ROW()-ROW($B$24),0),IF(activeloan,IF(L219=0,0,IF(ROW()-ROW($B$24)&lt;=$D$12*$D$13,ROW()-ROW($B$24),0)),0))</f>
        <v>0</v>
      </c>
      <c r="C220" s="759">
        <f t="shared" si="48"/>
        <v>0</v>
      </c>
      <c r="D220" s="760">
        <f t="shared" si="49"/>
        <v>118970</v>
      </c>
      <c r="E220" s="760">
        <f t="shared" si="50"/>
        <v>0</v>
      </c>
      <c r="F220" s="760">
        <f t="shared" si="51"/>
        <v>0</v>
      </c>
      <c r="G220" s="340">
        <v>0</v>
      </c>
      <c r="H220" s="760">
        <f t="shared" si="52"/>
        <v>0</v>
      </c>
      <c r="I220" s="760">
        <f t="shared" si="59"/>
        <v>0</v>
      </c>
      <c r="J220" s="760">
        <f t="shared" si="53"/>
        <v>0</v>
      </c>
      <c r="K220" s="760">
        <f t="shared" si="54"/>
        <v>0</v>
      </c>
      <c r="L220" s="760">
        <f t="shared" si="55"/>
        <v>118970</v>
      </c>
      <c r="M220" s="760">
        <f>IFERROR(IF(L219=0,0,SUM($J$25:J220)),0)</f>
        <v>0</v>
      </c>
      <c r="N220" s="366">
        <f t="shared" si="45"/>
        <v>1.025603448275862</v>
      </c>
      <c r="O220" s="761">
        <f t="shared" si="46"/>
        <v>0</v>
      </c>
      <c r="P220" s="28"/>
      <c r="Q220" s="1681">
        <f t="shared" si="56"/>
        <v>0</v>
      </c>
      <c r="R220" s="1682">
        <f t="shared" si="47"/>
        <v>0</v>
      </c>
      <c r="S220" s="1682">
        <f t="shared" si="57"/>
        <v>0</v>
      </c>
      <c r="T220" s="1682">
        <f t="shared" si="58"/>
        <v>1900</v>
      </c>
    </row>
    <row r="221" spans="2:20" s="283" customFormat="1" ht="13.8" x14ac:dyDescent="0.3">
      <c r="B221" s="758" cm="1">
        <f t="array" ref="B221">IF(active_refi=1,IF(ROW()-ROW($B$24)&lt;=$E$12*$E$13+refi_month,ROW()-ROW($B$24),0),IF(activeloan,IF(L220=0,0,IF(ROW()-ROW($B$24)&lt;=$D$12*$D$13,ROW()-ROW($B$24),0)),0))</f>
        <v>0</v>
      </c>
      <c r="C221" s="759">
        <f t="shared" si="48"/>
        <v>0</v>
      </c>
      <c r="D221" s="760">
        <f t="shared" si="49"/>
        <v>118970</v>
      </c>
      <c r="E221" s="760">
        <f t="shared" si="50"/>
        <v>0</v>
      </c>
      <c r="F221" s="760">
        <f t="shared" si="51"/>
        <v>0</v>
      </c>
      <c r="G221" s="340">
        <v>0</v>
      </c>
      <c r="H221" s="760">
        <f t="shared" si="52"/>
        <v>0</v>
      </c>
      <c r="I221" s="760">
        <f t="shared" si="59"/>
        <v>0</v>
      </c>
      <c r="J221" s="760">
        <f t="shared" si="53"/>
        <v>0</v>
      </c>
      <c r="K221" s="760">
        <f t="shared" si="54"/>
        <v>0</v>
      </c>
      <c r="L221" s="760">
        <f t="shared" si="55"/>
        <v>118970</v>
      </c>
      <c r="M221" s="760">
        <f>IFERROR(IF(L220=0,0,SUM($J$25:J221)),0)</f>
        <v>0</v>
      </c>
      <c r="N221" s="366">
        <f t="shared" si="45"/>
        <v>1.025603448275862</v>
      </c>
      <c r="O221" s="761">
        <f t="shared" si="46"/>
        <v>0</v>
      </c>
      <c r="P221" s="28"/>
      <c r="Q221" s="1681">
        <f t="shared" si="56"/>
        <v>0</v>
      </c>
      <c r="R221" s="1682">
        <f t="shared" si="47"/>
        <v>0</v>
      </c>
      <c r="S221" s="1682">
        <f t="shared" si="57"/>
        <v>0</v>
      </c>
      <c r="T221" s="1682">
        <f t="shared" si="58"/>
        <v>1900</v>
      </c>
    </row>
    <row r="222" spans="2:20" s="283" customFormat="1" ht="13.8" x14ac:dyDescent="0.3">
      <c r="B222" s="758" cm="1">
        <f t="array" ref="B222">IF(active_refi=1,IF(ROW()-ROW($B$24)&lt;=$E$12*$E$13+refi_month,ROW()-ROW($B$24),0),IF(activeloan,IF(L221=0,0,IF(ROW()-ROW($B$24)&lt;=$D$12*$D$13,ROW()-ROW($B$24),0)),0))</f>
        <v>0</v>
      </c>
      <c r="C222" s="759">
        <f t="shared" si="48"/>
        <v>0</v>
      </c>
      <c r="D222" s="760">
        <f t="shared" si="49"/>
        <v>118970</v>
      </c>
      <c r="E222" s="760">
        <f t="shared" si="50"/>
        <v>0</v>
      </c>
      <c r="F222" s="760">
        <f t="shared" si="51"/>
        <v>0</v>
      </c>
      <c r="G222" s="340">
        <v>0</v>
      </c>
      <c r="H222" s="760">
        <f t="shared" si="52"/>
        <v>0</v>
      </c>
      <c r="I222" s="760">
        <f t="shared" si="59"/>
        <v>0</v>
      </c>
      <c r="J222" s="760">
        <f t="shared" si="53"/>
        <v>0</v>
      </c>
      <c r="K222" s="760">
        <f t="shared" si="54"/>
        <v>0</v>
      </c>
      <c r="L222" s="760">
        <f t="shared" si="55"/>
        <v>118970</v>
      </c>
      <c r="M222" s="760">
        <f>IFERROR(IF(L221=0,0,SUM($J$25:J222)),0)</f>
        <v>0</v>
      </c>
      <c r="N222" s="366">
        <f t="shared" si="45"/>
        <v>1.025603448275862</v>
      </c>
      <c r="O222" s="761">
        <f t="shared" si="46"/>
        <v>0</v>
      </c>
      <c r="P222" s="28"/>
      <c r="Q222" s="1681">
        <f t="shared" si="56"/>
        <v>0</v>
      </c>
      <c r="R222" s="1682">
        <f t="shared" si="47"/>
        <v>0</v>
      </c>
      <c r="S222" s="1682">
        <f t="shared" si="57"/>
        <v>0</v>
      </c>
      <c r="T222" s="1682">
        <f t="shared" si="58"/>
        <v>1900</v>
      </c>
    </row>
    <row r="223" spans="2:20" s="283" customFormat="1" ht="13.8" x14ac:dyDescent="0.3">
      <c r="B223" s="758" cm="1">
        <f t="array" ref="B223">IF(active_refi=1,IF(ROW()-ROW($B$24)&lt;=$E$12*$E$13+refi_month,ROW()-ROW($B$24),0),IF(activeloan,IF(L222=0,0,IF(ROW()-ROW($B$24)&lt;=$D$12*$D$13,ROW()-ROW($B$24),0)),0))</f>
        <v>0</v>
      </c>
      <c r="C223" s="759">
        <f t="shared" si="48"/>
        <v>0</v>
      </c>
      <c r="D223" s="760">
        <f t="shared" si="49"/>
        <v>118970</v>
      </c>
      <c r="E223" s="760">
        <f t="shared" si="50"/>
        <v>0</v>
      </c>
      <c r="F223" s="760">
        <f t="shared" si="51"/>
        <v>0</v>
      </c>
      <c r="G223" s="340">
        <v>0</v>
      </c>
      <c r="H223" s="760">
        <f t="shared" si="52"/>
        <v>0</v>
      </c>
      <c r="I223" s="760">
        <f t="shared" si="59"/>
        <v>0</v>
      </c>
      <c r="J223" s="760">
        <f t="shared" si="53"/>
        <v>0</v>
      </c>
      <c r="K223" s="760">
        <f t="shared" si="54"/>
        <v>0</v>
      </c>
      <c r="L223" s="760">
        <f t="shared" si="55"/>
        <v>118970</v>
      </c>
      <c r="M223" s="760">
        <f>IFERROR(IF(L222=0,0,SUM($J$25:J223)),0)</f>
        <v>0</v>
      </c>
      <c r="N223" s="366">
        <f t="shared" si="45"/>
        <v>1.025603448275862</v>
      </c>
      <c r="O223" s="761">
        <f t="shared" si="46"/>
        <v>0</v>
      </c>
      <c r="P223" s="28"/>
      <c r="Q223" s="1681">
        <f t="shared" si="56"/>
        <v>0</v>
      </c>
      <c r="R223" s="1682">
        <f t="shared" si="47"/>
        <v>0</v>
      </c>
      <c r="S223" s="1682">
        <f t="shared" si="57"/>
        <v>0</v>
      </c>
      <c r="T223" s="1682">
        <f t="shared" si="58"/>
        <v>1900</v>
      </c>
    </row>
    <row r="224" spans="2:20" s="283" customFormat="1" ht="13.8" x14ac:dyDescent="0.3">
      <c r="B224" s="758" cm="1">
        <f t="array" ref="B224">IF(active_refi=1,IF(ROW()-ROW($B$24)&lt;=$E$12*$E$13+refi_month,ROW()-ROW($B$24),0),IF(activeloan,IF(L223=0,0,IF(ROW()-ROW($B$24)&lt;=$D$12*$D$13,ROW()-ROW($B$24),0)),0))</f>
        <v>0</v>
      </c>
      <c r="C224" s="759">
        <f t="shared" si="48"/>
        <v>0</v>
      </c>
      <c r="D224" s="760">
        <f t="shared" si="49"/>
        <v>118970</v>
      </c>
      <c r="E224" s="760">
        <f t="shared" si="50"/>
        <v>0</v>
      </c>
      <c r="F224" s="760">
        <f t="shared" si="51"/>
        <v>0</v>
      </c>
      <c r="G224" s="340">
        <v>0</v>
      </c>
      <c r="H224" s="760">
        <f t="shared" si="52"/>
        <v>0</v>
      </c>
      <c r="I224" s="760">
        <f t="shared" si="59"/>
        <v>0</v>
      </c>
      <c r="J224" s="760">
        <f t="shared" si="53"/>
        <v>0</v>
      </c>
      <c r="K224" s="760">
        <f t="shared" si="54"/>
        <v>0</v>
      </c>
      <c r="L224" s="760">
        <f t="shared" si="55"/>
        <v>118970</v>
      </c>
      <c r="M224" s="760">
        <f>IFERROR(IF(L223=0,0,SUM($J$25:J224)),0)</f>
        <v>0</v>
      </c>
      <c r="N224" s="366">
        <f t="shared" si="45"/>
        <v>1.025603448275862</v>
      </c>
      <c r="O224" s="761">
        <f t="shared" si="46"/>
        <v>0</v>
      </c>
      <c r="P224" s="28"/>
      <c r="Q224" s="1681">
        <f t="shared" si="56"/>
        <v>0</v>
      </c>
      <c r="R224" s="1682">
        <f t="shared" si="47"/>
        <v>0</v>
      </c>
      <c r="S224" s="1682">
        <f t="shared" si="57"/>
        <v>0</v>
      </c>
      <c r="T224" s="1682">
        <f t="shared" si="58"/>
        <v>1900</v>
      </c>
    </row>
    <row r="225" spans="2:20" s="283" customFormat="1" ht="13.8" x14ac:dyDescent="0.3">
      <c r="B225" s="758" cm="1">
        <f t="array" ref="B225">IF(active_refi=1,IF(ROW()-ROW($B$24)&lt;=$E$12*$E$13+refi_month,ROW()-ROW($B$24),0),IF(activeloan,IF(L224=0,0,IF(ROW()-ROW($B$24)&lt;=$D$12*$D$13,ROW()-ROW($B$24),0)),0))</f>
        <v>0</v>
      </c>
      <c r="C225" s="759">
        <f t="shared" si="48"/>
        <v>0</v>
      </c>
      <c r="D225" s="760">
        <f t="shared" si="49"/>
        <v>118970</v>
      </c>
      <c r="E225" s="760">
        <f t="shared" si="50"/>
        <v>0</v>
      </c>
      <c r="F225" s="760">
        <f t="shared" si="51"/>
        <v>0</v>
      </c>
      <c r="G225" s="340">
        <v>0</v>
      </c>
      <c r="H225" s="760">
        <f t="shared" si="52"/>
        <v>0</v>
      </c>
      <c r="I225" s="760">
        <f t="shared" si="59"/>
        <v>0</v>
      </c>
      <c r="J225" s="760">
        <f t="shared" si="53"/>
        <v>0</v>
      </c>
      <c r="K225" s="760">
        <f t="shared" si="54"/>
        <v>0</v>
      </c>
      <c r="L225" s="760">
        <f t="shared" si="55"/>
        <v>118970</v>
      </c>
      <c r="M225" s="760">
        <f>IFERROR(IF(L224=0,0,SUM($J$25:J225)),0)</f>
        <v>0</v>
      </c>
      <c r="N225" s="366">
        <f t="shared" si="45"/>
        <v>1.025603448275862</v>
      </c>
      <c r="O225" s="761">
        <f t="shared" si="46"/>
        <v>0</v>
      </c>
      <c r="P225" s="28"/>
      <c r="Q225" s="1681">
        <f t="shared" si="56"/>
        <v>0</v>
      </c>
      <c r="R225" s="1682">
        <f t="shared" si="47"/>
        <v>0</v>
      </c>
      <c r="S225" s="1682">
        <f t="shared" si="57"/>
        <v>0</v>
      </c>
      <c r="T225" s="1682">
        <f t="shared" si="58"/>
        <v>1900</v>
      </c>
    </row>
    <row r="226" spans="2:20" s="283" customFormat="1" ht="13.8" x14ac:dyDescent="0.3">
      <c r="B226" s="758" cm="1">
        <f t="array" ref="B226">IF(active_refi=1,IF(ROW()-ROW($B$24)&lt;=$E$12*$E$13+refi_month,ROW()-ROW($B$24),0),IF(activeloan,IF(L225=0,0,IF(ROW()-ROW($B$24)&lt;=$D$12*$D$13,ROW()-ROW($B$24),0)),0))</f>
        <v>0</v>
      </c>
      <c r="C226" s="759">
        <f t="shared" si="48"/>
        <v>0</v>
      </c>
      <c r="D226" s="760">
        <f t="shared" si="49"/>
        <v>118970</v>
      </c>
      <c r="E226" s="760">
        <f t="shared" si="50"/>
        <v>0</v>
      </c>
      <c r="F226" s="760">
        <f t="shared" si="51"/>
        <v>0</v>
      </c>
      <c r="G226" s="340">
        <v>0</v>
      </c>
      <c r="H226" s="760">
        <f t="shared" si="52"/>
        <v>0</v>
      </c>
      <c r="I226" s="760">
        <f t="shared" si="59"/>
        <v>0</v>
      </c>
      <c r="J226" s="760">
        <f t="shared" si="53"/>
        <v>0</v>
      </c>
      <c r="K226" s="760">
        <f t="shared" si="54"/>
        <v>0</v>
      </c>
      <c r="L226" s="760">
        <f t="shared" si="55"/>
        <v>118970</v>
      </c>
      <c r="M226" s="760">
        <f>IFERROR(IF(L225=0,0,SUM($J$25:J226)),0)</f>
        <v>0</v>
      </c>
      <c r="N226" s="366">
        <f t="shared" si="45"/>
        <v>1.025603448275862</v>
      </c>
      <c r="O226" s="761">
        <f t="shared" si="46"/>
        <v>0</v>
      </c>
      <c r="P226" s="28"/>
      <c r="Q226" s="1681">
        <f t="shared" si="56"/>
        <v>0</v>
      </c>
      <c r="R226" s="1682">
        <f t="shared" si="47"/>
        <v>0</v>
      </c>
      <c r="S226" s="1682">
        <f t="shared" si="57"/>
        <v>0</v>
      </c>
      <c r="T226" s="1682">
        <f t="shared" si="58"/>
        <v>1900</v>
      </c>
    </row>
    <row r="227" spans="2:20" s="283" customFormat="1" ht="13.8" x14ac:dyDescent="0.3">
      <c r="B227" s="758" cm="1">
        <f t="array" ref="B227">IF(active_refi=1,IF(ROW()-ROW($B$24)&lt;=$E$12*$E$13+refi_month,ROW()-ROW($B$24),0),IF(activeloan,IF(L226=0,0,IF(ROW()-ROW($B$24)&lt;=$D$12*$D$13,ROW()-ROW($B$24),0)),0))</f>
        <v>0</v>
      </c>
      <c r="C227" s="759">
        <f t="shared" si="48"/>
        <v>0</v>
      </c>
      <c r="D227" s="760">
        <f t="shared" si="49"/>
        <v>118970</v>
      </c>
      <c r="E227" s="760">
        <f t="shared" si="50"/>
        <v>0</v>
      </c>
      <c r="F227" s="760">
        <f t="shared" si="51"/>
        <v>0</v>
      </c>
      <c r="G227" s="340">
        <v>0</v>
      </c>
      <c r="H227" s="760">
        <f t="shared" si="52"/>
        <v>0</v>
      </c>
      <c r="I227" s="760">
        <f t="shared" si="59"/>
        <v>0</v>
      </c>
      <c r="J227" s="760">
        <f t="shared" si="53"/>
        <v>0</v>
      </c>
      <c r="K227" s="760">
        <f t="shared" si="54"/>
        <v>0</v>
      </c>
      <c r="L227" s="760">
        <f t="shared" si="55"/>
        <v>118970</v>
      </c>
      <c r="M227" s="760">
        <f>IFERROR(IF(L226=0,0,SUM($J$25:J227)),0)</f>
        <v>0</v>
      </c>
      <c r="N227" s="366">
        <f t="shared" si="45"/>
        <v>1.025603448275862</v>
      </c>
      <c r="O227" s="761">
        <f t="shared" si="46"/>
        <v>0</v>
      </c>
      <c r="P227" s="28"/>
      <c r="Q227" s="1681">
        <f t="shared" si="56"/>
        <v>0</v>
      </c>
      <c r="R227" s="1682">
        <f t="shared" si="47"/>
        <v>0</v>
      </c>
      <c r="S227" s="1682">
        <f t="shared" si="57"/>
        <v>0</v>
      </c>
      <c r="T227" s="1682">
        <f t="shared" si="58"/>
        <v>1900</v>
      </c>
    </row>
    <row r="228" spans="2:20" s="283" customFormat="1" ht="13.8" x14ac:dyDescent="0.3">
      <c r="B228" s="758" cm="1">
        <f t="array" ref="B228">IF(active_refi=1,IF(ROW()-ROW($B$24)&lt;=$E$12*$E$13+refi_month,ROW()-ROW($B$24),0),IF(activeloan,IF(L227=0,0,IF(ROW()-ROW($B$24)&lt;=$D$12*$D$13,ROW()-ROW($B$24),0)),0))</f>
        <v>0</v>
      </c>
      <c r="C228" s="759">
        <f t="shared" si="48"/>
        <v>0</v>
      </c>
      <c r="D228" s="760">
        <f t="shared" si="49"/>
        <v>118970</v>
      </c>
      <c r="E228" s="760">
        <f t="shared" si="50"/>
        <v>0</v>
      </c>
      <c r="F228" s="760">
        <f t="shared" si="51"/>
        <v>0</v>
      </c>
      <c r="G228" s="340">
        <v>0</v>
      </c>
      <c r="H228" s="760">
        <f t="shared" si="52"/>
        <v>0</v>
      </c>
      <c r="I228" s="760">
        <f t="shared" si="59"/>
        <v>0</v>
      </c>
      <c r="J228" s="760">
        <f t="shared" si="53"/>
        <v>0</v>
      </c>
      <c r="K228" s="760">
        <f t="shared" si="54"/>
        <v>0</v>
      </c>
      <c r="L228" s="760">
        <f t="shared" si="55"/>
        <v>118970</v>
      </c>
      <c r="M228" s="760">
        <f>IFERROR(IF(L227=0,0,SUM($J$25:J228)),0)</f>
        <v>0</v>
      </c>
      <c r="N228" s="366">
        <f t="shared" si="45"/>
        <v>1.025603448275862</v>
      </c>
      <c r="O228" s="761">
        <f t="shared" si="46"/>
        <v>0</v>
      </c>
      <c r="P228" s="28"/>
      <c r="Q228" s="1681">
        <f t="shared" si="56"/>
        <v>0</v>
      </c>
      <c r="R228" s="1682">
        <f t="shared" si="47"/>
        <v>0</v>
      </c>
      <c r="S228" s="1682">
        <f t="shared" si="57"/>
        <v>0</v>
      </c>
      <c r="T228" s="1682">
        <f t="shared" si="58"/>
        <v>1900</v>
      </c>
    </row>
    <row r="229" spans="2:20" s="283" customFormat="1" ht="13.8" x14ac:dyDescent="0.3">
      <c r="B229" s="758" cm="1">
        <f t="array" ref="B229">IF(active_refi=1,IF(ROW()-ROW($B$24)&lt;=$E$12*$E$13+refi_month,ROW()-ROW($B$24),0),IF(activeloan,IF(L228=0,0,IF(ROW()-ROW($B$24)&lt;=$D$12*$D$13,ROW()-ROW($B$24),0)),0))</f>
        <v>0</v>
      </c>
      <c r="C229" s="759">
        <f t="shared" si="48"/>
        <v>0</v>
      </c>
      <c r="D229" s="760">
        <f t="shared" si="49"/>
        <v>118970</v>
      </c>
      <c r="E229" s="760">
        <f t="shared" si="50"/>
        <v>0</v>
      </c>
      <c r="F229" s="760">
        <f t="shared" si="51"/>
        <v>0</v>
      </c>
      <c r="G229" s="340">
        <v>0</v>
      </c>
      <c r="H229" s="760">
        <f t="shared" si="52"/>
        <v>0</v>
      </c>
      <c r="I229" s="760">
        <f t="shared" si="59"/>
        <v>0</v>
      </c>
      <c r="J229" s="760">
        <f t="shared" si="53"/>
        <v>0</v>
      </c>
      <c r="K229" s="760">
        <f t="shared" si="54"/>
        <v>0</v>
      </c>
      <c r="L229" s="760">
        <f t="shared" si="55"/>
        <v>118970</v>
      </c>
      <c r="M229" s="760">
        <f>IFERROR(IF(L228=0,0,SUM($J$25:J229)),0)</f>
        <v>0</v>
      </c>
      <c r="N229" s="366">
        <f t="shared" si="45"/>
        <v>1.025603448275862</v>
      </c>
      <c r="O229" s="761">
        <f t="shared" si="46"/>
        <v>0</v>
      </c>
      <c r="P229" s="28"/>
      <c r="Q229" s="1681">
        <f t="shared" si="56"/>
        <v>0</v>
      </c>
      <c r="R229" s="1682">
        <f t="shared" si="47"/>
        <v>0</v>
      </c>
      <c r="S229" s="1682">
        <f t="shared" si="57"/>
        <v>0</v>
      </c>
      <c r="T229" s="1682">
        <f t="shared" si="58"/>
        <v>1900</v>
      </c>
    </row>
    <row r="230" spans="2:20" s="283" customFormat="1" ht="13.8" x14ac:dyDescent="0.3">
      <c r="B230" s="758" cm="1">
        <f t="array" ref="B230">IF(active_refi=1,IF(ROW()-ROW($B$24)&lt;=$E$12*$E$13+refi_month,ROW()-ROW($B$24),0),IF(activeloan,IF(L229=0,0,IF(ROW()-ROW($B$24)&lt;=$D$12*$D$13,ROW()-ROW($B$24),0)),0))</f>
        <v>0</v>
      </c>
      <c r="C230" s="759">
        <f t="shared" si="48"/>
        <v>0</v>
      </c>
      <c r="D230" s="760">
        <f t="shared" si="49"/>
        <v>118970</v>
      </c>
      <c r="E230" s="760">
        <f t="shared" si="50"/>
        <v>0</v>
      </c>
      <c r="F230" s="760">
        <f t="shared" si="51"/>
        <v>0</v>
      </c>
      <c r="G230" s="340">
        <v>0</v>
      </c>
      <c r="H230" s="760">
        <f t="shared" si="52"/>
        <v>0</v>
      </c>
      <c r="I230" s="760">
        <f t="shared" si="59"/>
        <v>0</v>
      </c>
      <c r="J230" s="760">
        <f t="shared" si="53"/>
        <v>0</v>
      </c>
      <c r="K230" s="760">
        <f t="shared" si="54"/>
        <v>0</v>
      </c>
      <c r="L230" s="760">
        <f t="shared" si="55"/>
        <v>118970</v>
      </c>
      <c r="M230" s="760">
        <f>IFERROR(IF(L229=0,0,SUM($J$25:J230)),0)</f>
        <v>0</v>
      </c>
      <c r="N230" s="366">
        <f t="shared" si="45"/>
        <v>1.025603448275862</v>
      </c>
      <c r="O230" s="761">
        <f t="shared" si="46"/>
        <v>0</v>
      </c>
      <c r="P230" s="28"/>
      <c r="Q230" s="1681">
        <f t="shared" si="56"/>
        <v>0</v>
      </c>
      <c r="R230" s="1682">
        <f t="shared" si="47"/>
        <v>0</v>
      </c>
      <c r="S230" s="1682">
        <f t="shared" si="57"/>
        <v>0</v>
      </c>
      <c r="T230" s="1682">
        <f t="shared" si="58"/>
        <v>1900</v>
      </c>
    </row>
    <row r="231" spans="2:20" s="283" customFormat="1" ht="13.8" x14ac:dyDescent="0.3">
      <c r="B231" s="758" cm="1">
        <f t="array" ref="B231">IF(active_refi=1,IF(ROW()-ROW($B$24)&lt;=$E$12*$E$13+refi_month,ROW()-ROW($B$24),0),IF(activeloan,IF(L230=0,0,IF(ROW()-ROW($B$24)&lt;=$D$12*$D$13,ROW()-ROW($B$24),0)),0))</f>
        <v>0</v>
      </c>
      <c r="C231" s="759">
        <f t="shared" si="48"/>
        <v>0</v>
      </c>
      <c r="D231" s="760">
        <f t="shared" si="49"/>
        <v>118970</v>
      </c>
      <c r="E231" s="760">
        <f t="shared" si="50"/>
        <v>0</v>
      </c>
      <c r="F231" s="760">
        <f t="shared" si="51"/>
        <v>0</v>
      </c>
      <c r="G231" s="340">
        <v>0</v>
      </c>
      <c r="H231" s="760">
        <f t="shared" si="52"/>
        <v>0</v>
      </c>
      <c r="I231" s="760">
        <f t="shared" si="59"/>
        <v>0</v>
      </c>
      <c r="J231" s="760">
        <f t="shared" si="53"/>
        <v>0</v>
      </c>
      <c r="K231" s="760">
        <f t="shared" si="54"/>
        <v>0</v>
      </c>
      <c r="L231" s="760">
        <f t="shared" si="55"/>
        <v>118970</v>
      </c>
      <c r="M231" s="760">
        <f>IFERROR(IF(L230=0,0,SUM($J$25:J231)),0)</f>
        <v>0</v>
      </c>
      <c r="N231" s="366">
        <f t="shared" si="45"/>
        <v>1.025603448275862</v>
      </c>
      <c r="O231" s="761">
        <f t="shared" si="46"/>
        <v>0</v>
      </c>
      <c r="P231" s="28"/>
      <c r="Q231" s="1681">
        <f t="shared" si="56"/>
        <v>0</v>
      </c>
      <c r="R231" s="1682">
        <f t="shared" si="47"/>
        <v>0</v>
      </c>
      <c r="S231" s="1682">
        <f t="shared" si="57"/>
        <v>0</v>
      </c>
      <c r="T231" s="1682">
        <f t="shared" si="58"/>
        <v>1900</v>
      </c>
    </row>
    <row r="232" spans="2:20" s="283" customFormat="1" ht="13.8" x14ac:dyDescent="0.3">
      <c r="B232" s="758" cm="1">
        <f t="array" ref="B232">IF(active_refi=1,IF(ROW()-ROW($B$24)&lt;=$E$12*$E$13+refi_month,ROW()-ROW($B$24),0),IF(activeloan,IF(L231=0,0,IF(ROW()-ROW($B$24)&lt;=$D$12*$D$13,ROW()-ROW($B$24),0)),0))</f>
        <v>0</v>
      </c>
      <c r="C232" s="759">
        <f t="shared" si="48"/>
        <v>0</v>
      </c>
      <c r="D232" s="760">
        <f t="shared" si="49"/>
        <v>118970</v>
      </c>
      <c r="E232" s="760">
        <f t="shared" si="50"/>
        <v>0</v>
      </c>
      <c r="F232" s="760">
        <f t="shared" si="51"/>
        <v>0</v>
      </c>
      <c r="G232" s="340">
        <v>0</v>
      </c>
      <c r="H232" s="760">
        <f t="shared" si="52"/>
        <v>0</v>
      </c>
      <c r="I232" s="760">
        <f t="shared" si="59"/>
        <v>0</v>
      </c>
      <c r="J232" s="760">
        <f t="shared" si="53"/>
        <v>0</v>
      </c>
      <c r="K232" s="760">
        <f t="shared" si="54"/>
        <v>0</v>
      </c>
      <c r="L232" s="760">
        <f t="shared" si="55"/>
        <v>118970</v>
      </c>
      <c r="M232" s="760">
        <f>IFERROR(IF(L231=0,0,SUM($J$25:J232)),0)</f>
        <v>0</v>
      </c>
      <c r="N232" s="366">
        <f t="shared" si="45"/>
        <v>1.025603448275862</v>
      </c>
      <c r="O232" s="761">
        <f t="shared" si="46"/>
        <v>0</v>
      </c>
      <c r="P232" s="28"/>
      <c r="Q232" s="1681">
        <f t="shared" si="56"/>
        <v>0</v>
      </c>
      <c r="R232" s="1682">
        <f t="shared" si="47"/>
        <v>0</v>
      </c>
      <c r="S232" s="1682">
        <f t="shared" si="57"/>
        <v>0</v>
      </c>
      <c r="T232" s="1682">
        <f t="shared" si="58"/>
        <v>1900</v>
      </c>
    </row>
    <row r="233" spans="2:20" s="283" customFormat="1" ht="13.8" x14ac:dyDescent="0.3">
      <c r="B233" s="758" cm="1">
        <f t="array" ref="B233">IF(active_refi=1,IF(ROW()-ROW($B$24)&lt;=$E$12*$E$13+refi_month,ROW()-ROW($B$24),0),IF(activeloan,IF(L232=0,0,IF(ROW()-ROW($B$24)&lt;=$D$12*$D$13,ROW()-ROW($B$24),0)),0))</f>
        <v>0</v>
      </c>
      <c r="C233" s="759">
        <f t="shared" si="48"/>
        <v>0</v>
      </c>
      <c r="D233" s="760">
        <f t="shared" si="49"/>
        <v>118970</v>
      </c>
      <c r="E233" s="760">
        <f t="shared" si="50"/>
        <v>0</v>
      </c>
      <c r="F233" s="760">
        <f t="shared" si="51"/>
        <v>0</v>
      </c>
      <c r="G233" s="340">
        <v>0</v>
      </c>
      <c r="H233" s="760">
        <f t="shared" si="52"/>
        <v>0</v>
      </c>
      <c r="I233" s="760">
        <f t="shared" si="59"/>
        <v>0</v>
      </c>
      <c r="J233" s="760">
        <f t="shared" si="53"/>
        <v>0</v>
      </c>
      <c r="K233" s="760">
        <f t="shared" si="54"/>
        <v>0</v>
      </c>
      <c r="L233" s="760">
        <f t="shared" si="55"/>
        <v>118970</v>
      </c>
      <c r="M233" s="760">
        <f>IFERROR(IF(L232=0,0,SUM($J$25:J233)),0)</f>
        <v>0</v>
      </c>
      <c r="N233" s="366">
        <f t="shared" si="45"/>
        <v>1.025603448275862</v>
      </c>
      <c r="O233" s="761">
        <f t="shared" si="46"/>
        <v>0</v>
      </c>
      <c r="P233" s="28"/>
      <c r="Q233" s="1681">
        <f t="shared" si="56"/>
        <v>0</v>
      </c>
      <c r="R233" s="1682">
        <f t="shared" si="47"/>
        <v>0</v>
      </c>
      <c r="S233" s="1682">
        <f t="shared" si="57"/>
        <v>0</v>
      </c>
      <c r="T233" s="1682">
        <f t="shared" si="58"/>
        <v>1900</v>
      </c>
    </row>
    <row r="234" spans="2:20" s="283" customFormat="1" ht="13.8" x14ac:dyDescent="0.3">
      <c r="B234" s="758" cm="1">
        <f t="array" ref="B234">IF(active_refi=1,IF(ROW()-ROW($B$24)&lt;=$E$12*$E$13+refi_month,ROW()-ROW($B$24),0),IF(activeloan,IF(L233=0,0,IF(ROW()-ROW($B$24)&lt;=$D$12*$D$13,ROW()-ROW($B$24),0)),0))</f>
        <v>0</v>
      </c>
      <c r="C234" s="759">
        <f t="shared" si="48"/>
        <v>0</v>
      </c>
      <c r="D234" s="760">
        <f t="shared" si="49"/>
        <v>118970</v>
      </c>
      <c r="E234" s="760">
        <f t="shared" si="50"/>
        <v>0</v>
      </c>
      <c r="F234" s="760">
        <f t="shared" si="51"/>
        <v>0</v>
      </c>
      <c r="G234" s="340">
        <v>0</v>
      </c>
      <c r="H234" s="760">
        <f t="shared" si="52"/>
        <v>0</v>
      </c>
      <c r="I234" s="760">
        <f t="shared" si="59"/>
        <v>0</v>
      </c>
      <c r="J234" s="760">
        <f t="shared" si="53"/>
        <v>0</v>
      </c>
      <c r="K234" s="760">
        <f t="shared" si="54"/>
        <v>0</v>
      </c>
      <c r="L234" s="760">
        <f t="shared" si="55"/>
        <v>118970</v>
      </c>
      <c r="M234" s="760">
        <f>IFERROR(IF(L233=0,0,SUM($J$25:J234)),0)</f>
        <v>0</v>
      </c>
      <c r="N234" s="366">
        <f t="shared" si="45"/>
        <v>1.025603448275862</v>
      </c>
      <c r="O234" s="761">
        <f t="shared" si="46"/>
        <v>0</v>
      </c>
      <c r="P234" s="28"/>
      <c r="Q234" s="1681">
        <f t="shared" si="56"/>
        <v>0</v>
      </c>
      <c r="R234" s="1682">
        <f t="shared" si="47"/>
        <v>0</v>
      </c>
      <c r="S234" s="1682">
        <f t="shared" si="57"/>
        <v>0</v>
      </c>
      <c r="T234" s="1682">
        <f t="shared" si="58"/>
        <v>1900</v>
      </c>
    </row>
    <row r="235" spans="2:20" s="283" customFormat="1" ht="13.8" x14ac:dyDescent="0.3">
      <c r="B235" s="758" cm="1">
        <f t="array" ref="B235">IF(active_refi=1,IF(ROW()-ROW($B$24)&lt;=$E$12*$E$13+refi_month,ROW()-ROW($B$24),0),IF(activeloan,IF(L234=0,0,IF(ROW()-ROW($B$24)&lt;=$D$12*$D$13,ROW()-ROW($B$24),0)),0))</f>
        <v>0</v>
      </c>
      <c r="C235" s="759">
        <f t="shared" si="48"/>
        <v>0</v>
      </c>
      <c r="D235" s="760">
        <f t="shared" si="49"/>
        <v>118970</v>
      </c>
      <c r="E235" s="760">
        <f t="shared" si="50"/>
        <v>0</v>
      </c>
      <c r="F235" s="760">
        <f t="shared" si="51"/>
        <v>0</v>
      </c>
      <c r="G235" s="340">
        <v>0</v>
      </c>
      <c r="H235" s="760">
        <f t="shared" si="52"/>
        <v>0</v>
      </c>
      <c r="I235" s="760">
        <f t="shared" si="59"/>
        <v>0</v>
      </c>
      <c r="J235" s="760">
        <f t="shared" si="53"/>
        <v>0</v>
      </c>
      <c r="K235" s="760">
        <f t="shared" si="54"/>
        <v>0</v>
      </c>
      <c r="L235" s="760">
        <f t="shared" si="55"/>
        <v>118970</v>
      </c>
      <c r="M235" s="760">
        <f>IFERROR(IF(L234=0,0,SUM($J$25:J235)),0)</f>
        <v>0</v>
      </c>
      <c r="N235" s="366">
        <f t="shared" si="45"/>
        <v>1.025603448275862</v>
      </c>
      <c r="O235" s="761">
        <f t="shared" si="46"/>
        <v>0</v>
      </c>
      <c r="P235" s="28"/>
      <c r="Q235" s="1681">
        <f t="shared" si="56"/>
        <v>0</v>
      </c>
      <c r="R235" s="1682">
        <f t="shared" si="47"/>
        <v>0</v>
      </c>
      <c r="S235" s="1682">
        <f t="shared" si="57"/>
        <v>0</v>
      </c>
      <c r="T235" s="1682">
        <f t="shared" si="58"/>
        <v>1900</v>
      </c>
    </row>
    <row r="236" spans="2:20" s="283" customFormat="1" ht="13.8" x14ac:dyDescent="0.3">
      <c r="B236" s="758" cm="1">
        <f t="array" ref="B236">IF(active_refi=1,IF(ROW()-ROW($B$24)&lt;=$E$12*$E$13+refi_month,ROW()-ROW($B$24),0),IF(activeloan,IF(L235=0,0,IF(ROW()-ROW($B$24)&lt;=$D$12*$D$13,ROW()-ROW($B$24),0)),0))</f>
        <v>0</v>
      </c>
      <c r="C236" s="759">
        <f t="shared" si="48"/>
        <v>0</v>
      </c>
      <c r="D236" s="760">
        <f t="shared" si="49"/>
        <v>118970</v>
      </c>
      <c r="E236" s="760">
        <f t="shared" si="50"/>
        <v>0</v>
      </c>
      <c r="F236" s="760">
        <f t="shared" si="51"/>
        <v>0</v>
      </c>
      <c r="G236" s="340">
        <v>0</v>
      </c>
      <c r="H236" s="760">
        <f t="shared" si="52"/>
        <v>0</v>
      </c>
      <c r="I236" s="760">
        <f t="shared" si="59"/>
        <v>0</v>
      </c>
      <c r="J236" s="760">
        <f t="shared" si="53"/>
        <v>0</v>
      </c>
      <c r="K236" s="760">
        <f t="shared" si="54"/>
        <v>0</v>
      </c>
      <c r="L236" s="760">
        <f t="shared" si="55"/>
        <v>118970</v>
      </c>
      <c r="M236" s="760">
        <f>IFERROR(IF(L235=0,0,SUM($J$25:J236)),0)</f>
        <v>0</v>
      </c>
      <c r="N236" s="366">
        <f t="shared" si="45"/>
        <v>1.025603448275862</v>
      </c>
      <c r="O236" s="761">
        <f t="shared" si="46"/>
        <v>0</v>
      </c>
      <c r="P236" s="28"/>
      <c r="Q236" s="1681">
        <f t="shared" si="56"/>
        <v>0</v>
      </c>
      <c r="R236" s="1682">
        <f t="shared" si="47"/>
        <v>0</v>
      </c>
      <c r="S236" s="1682">
        <f t="shared" si="57"/>
        <v>0</v>
      </c>
      <c r="T236" s="1682">
        <f t="shared" si="58"/>
        <v>1900</v>
      </c>
    </row>
    <row r="237" spans="2:20" s="283" customFormat="1" ht="13.8" x14ac:dyDescent="0.3">
      <c r="B237" s="758" cm="1">
        <f t="array" ref="B237">IF(active_refi=1,IF(ROW()-ROW($B$24)&lt;=$E$12*$E$13+refi_month,ROW()-ROW($B$24),0),IF(activeloan,IF(L236=0,0,IF(ROW()-ROW($B$24)&lt;=$D$12*$D$13,ROW()-ROW($B$24),0)),0))</f>
        <v>0</v>
      </c>
      <c r="C237" s="759">
        <f t="shared" si="48"/>
        <v>0</v>
      </c>
      <c r="D237" s="760">
        <f t="shared" si="49"/>
        <v>118970</v>
      </c>
      <c r="E237" s="760">
        <f t="shared" si="50"/>
        <v>0</v>
      </c>
      <c r="F237" s="760">
        <f t="shared" si="51"/>
        <v>0</v>
      </c>
      <c r="G237" s="340">
        <v>0</v>
      </c>
      <c r="H237" s="760">
        <f t="shared" si="52"/>
        <v>0</v>
      </c>
      <c r="I237" s="760">
        <f t="shared" si="59"/>
        <v>0</v>
      </c>
      <c r="J237" s="760">
        <f t="shared" si="53"/>
        <v>0</v>
      </c>
      <c r="K237" s="760">
        <f t="shared" si="54"/>
        <v>0</v>
      </c>
      <c r="L237" s="760">
        <f t="shared" si="55"/>
        <v>118970</v>
      </c>
      <c r="M237" s="760">
        <f>IFERROR(IF(L236=0,0,SUM($J$25:J237)),0)</f>
        <v>0</v>
      </c>
      <c r="N237" s="366">
        <f t="shared" si="45"/>
        <v>1.025603448275862</v>
      </c>
      <c r="O237" s="761">
        <f t="shared" si="46"/>
        <v>0</v>
      </c>
      <c r="P237" s="28"/>
      <c r="Q237" s="1681">
        <f t="shared" si="56"/>
        <v>0</v>
      </c>
      <c r="R237" s="1682">
        <f t="shared" si="47"/>
        <v>0</v>
      </c>
      <c r="S237" s="1682">
        <f t="shared" si="57"/>
        <v>0</v>
      </c>
      <c r="T237" s="1682">
        <f t="shared" si="58"/>
        <v>1900</v>
      </c>
    </row>
    <row r="238" spans="2:20" s="283" customFormat="1" ht="13.8" x14ac:dyDescent="0.3">
      <c r="B238" s="758" cm="1">
        <f t="array" ref="B238">IF(active_refi=1,IF(ROW()-ROW($B$24)&lt;=$E$12*$E$13+refi_month,ROW()-ROW($B$24),0),IF(activeloan,IF(L237=0,0,IF(ROW()-ROW($B$24)&lt;=$D$12*$D$13,ROW()-ROW($B$24),0)),0))</f>
        <v>0</v>
      </c>
      <c r="C238" s="759">
        <f t="shared" si="48"/>
        <v>0</v>
      </c>
      <c r="D238" s="760">
        <f t="shared" si="49"/>
        <v>118970</v>
      </c>
      <c r="E238" s="760">
        <f t="shared" si="50"/>
        <v>0</v>
      </c>
      <c r="F238" s="760">
        <f t="shared" si="51"/>
        <v>0</v>
      </c>
      <c r="G238" s="340">
        <v>0</v>
      </c>
      <c r="H238" s="760">
        <f t="shared" si="52"/>
        <v>0</v>
      </c>
      <c r="I238" s="760">
        <f t="shared" si="59"/>
        <v>0</v>
      </c>
      <c r="J238" s="760">
        <f t="shared" si="53"/>
        <v>0</v>
      </c>
      <c r="K238" s="760">
        <f t="shared" si="54"/>
        <v>0</v>
      </c>
      <c r="L238" s="760">
        <f t="shared" si="55"/>
        <v>118970</v>
      </c>
      <c r="M238" s="760">
        <f>IFERROR(IF(L237=0,0,SUM($J$25:J238)),0)</f>
        <v>0</v>
      </c>
      <c r="N238" s="366">
        <f t="shared" si="45"/>
        <v>1.025603448275862</v>
      </c>
      <c r="O238" s="761">
        <f t="shared" si="46"/>
        <v>0</v>
      </c>
      <c r="P238" s="28"/>
      <c r="Q238" s="1681">
        <f t="shared" si="56"/>
        <v>0</v>
      </c>
      <c r="R238" s="1682">
        <f t="shared" si="47"/>
        <v>0</v>
      </c>
      <c r="S238" s="1682">
        <f t="shared" si="57"/>
        <v>0</v>
      </c>
      <c r="T238" s="1682">
        <f t="shared" si="58"/>
        <v>1900</v>
      </c>
    </row>
    <row r="239" spans="2:20" s="283" customFormat="1" ht="13.8" x14ac:dyDescent="0.3">
      <c r="B239" s="758" cm="1">
        <f t="array" ref="B239">IF(active_refi=1,IF(ROW()-ROW($B$24)&lt;=$E$12*$E$13+refi_month,ROW()-ROW($B$24),0),IF(activeloan,IF(L238=0,0,IF(ROW()-ROW($B$24)&lt;=$D$12*$D$13,ROW()-ROW($B$24),0)),0))</f>
        <v>0</v>
      </c>
      <c r="C239" s="759">
        <f t="shared" si="48"/>
        <v>0</v>
      </c>
      <c r="D239" s="760">
        <f t="shared" si="49"/>
        <v>118970</v>
      </c>
      <c r="E239" s="760">
        <f t="shared" si="50"/>
        <v>0</v>
      </c>
      <c r="F239" s="760">
        <f t="shared" si="51"/>
        <v>0</v>
      </c>
      <c r="G239" s="340">
        <v>0</v>
      </c>
      <c r="H239" s="760">
        <f t="shared" si="52"/>
        <v>0</v>
      </c>
      <c r="I239" s="760">
        <f t="shared" si="59"/>
        <v>0</v>
      </c>
      <c r="J239" s="760">
        <f t="shared" si="53"/>
        <v>0</v>
      </c>
      <c r="K239" s="760">
        <f t="shared" si="54"/>
        <v>0</v>
      </c>
      <c r="L239" s="760">
        <f t="shared" si="55"/>
        <v>118970</v>
      </c>
      <c r="M239" s="760">
        <f>IFERROR(IF(L238=0,0,SUM($J$25:J239)),0)</f>
        <v>0</v>
      </c>
      <c r="N239" s="366">
        <f t="shared" si="45"/>
        <v>1.025603448275862</v>
      </c>
      <c r="O239" s="761">
        <f t="shared" si="46"/>
        <v>0</v>
      </c>
      <c r="P239" s="28"/>
      <c r="Q239" s="1681">
        <f t="shared" si="56"/>
        <v>0</v>
      </c>
      <c r="R239" s="1682">
        <f t="shared" si="47"/>
        <v>0</v>
      </c>
      <c r="S239" s="1682">
        <f t="shared" si="57"/>
        <v>0</v>
      </c>
      <c r="T239" s="1682">
        <f t="shared" si="58"/>
        <v>1900</v>
      </c>
    </row>
    <row r="240" spans="2:20" s="283" customFormat="1" ht="13.8" x14ac:dyDescent="0.3">
      <c r="B240" s="758" cm="1">
        <f t="array" ref="B240">IF(active_refi=1,IF(ROW()-ROW($B$24)&lt;=$E$12*$E$13+refi_month,ROW()-ROW($B$24),0),IF(activeloan,IF(L239=0,0,IF(ROW()-ROW($B$24)&lt;=$D$12*$D$13,ROW()-ROW($B$24),0)),0))</f>
        <v>0</v>
      </c>
      <c r="C240" s="759">
        <f t="shared" si="48"/>
        <v>0</v>
      </c>
      <c r="D240" s="760">
        <f t="shared" si="49"/>
        <v>118970</v>
      </c>
      <c r="E240" s="760">
        <f t="shared" si="50"/>
        <v>0</v>
      </c>
      <c r="F240" s="760">
        <f t="shared" si="51"/>
        <v>0</v>
      </c>
      <c r="G240" s="340">
        <v>0</v>
      </c>
      <c r="H240" s="760">
        <f t="shared" si="52"/>
        <v>0</v>
      </c>
      <c r="I240" s="760">
        <f t="shared" si="59"/>
        <v>0</v>
      </c>
      <c r="J240" s="760">
        <f t="shared" si="53"/>
        <v>0</v>
      </c>
      <c r="K240" s="760">
        <f t="shared" si="54"/>
        <v>0</v>
      </c>
      <c r="L240" s="760">
        <f t="shared" si="55"/>
        <v>118970</v>
      </c>
      <c r="M240" s="760">
        <f>IFERROR(IF(L239=0,0,SUM($J$25:J240)),0)</f>
        <v>0</v>
      </c>
      <c r="N240" s="366">
        <f t="shared" si="45"/>
        <v>1.025603448275862</v>
      </c>
      <c r="O240" s="761">
        <f t="shared" si="46"/>
        <v>0</v>
      </c>
      <c r="P240" s="28"/>
      <c r="Q240" s="1681">
        <f t="shared" si="56"/>
        <v>0</v>
      </c>
      <c r="R240" s="1682">
        <f t="shared" si="47"/>
        <v>0</v>
      </c>
      <c r="S240" s="1682">
        <f t="shared" si="57"/>
        <v>0</v>
      </c>
      <c r="T240" s="1682">
        <f t="shared" si="58"/>
        <v>1900</v>
      </c>
    </row>
    <row r="241" spans="2:20" s="283" customFormat="1" ht="13.8" x14ac:dyDescent="0.3">
      <c r="B241" s="758" cm="1">
        <f t="array" ref="B241">IF(active_refi=1,IF(ROW()-ROW($B$24)&lt;=$E$12*$E$13+refi_month,ROW()-ROW($B$24),0),IF(activeloan,IF(L240=0,0,IF(ROW()-ROW($B$24)&lt;=$D$12*$D$13,ROW()-ROW($B$24),0)),0))</f>
        <v>0</v>
      </c>
      <c r="C241" s="759">
        <f t="shared" si="48"/>
        <v>0</v>
      </c>
      <c r="D241" s="760">
        <f t="shared" si="49"/>
        <v>118970</v>
      </c>
      <c r="E241" s="760">
        <f t="shared" si="50"/>
        <v>0</v>
      </c>
      <c r="F241" s="760">
        <f t="shared" si="51"/>
        <v>0</v>
      </c>
      <c r="G241" s="340">
        <v>0</v>
      </c>
      <c r="H241" s="760">
        <f t="shared" si="52"/>
        <v>0</v>
      </c>
      <c r="I241" s="760">
        <f t="shared" si="59"/>
        <v>0</v>
      </c>
      <c r="J241" s="760">
        <f t="shared" si="53"/>
        <v>0</v>
      </c>
      <c r="K241" s="760">
        <f t="shared" si="54"/>
        <v>0</v>
      </c>
      <c r="L241" s="760">
        <f t="shared" si="55"/>
        <v>118970</v>
      </c>
      <c r="M241" s="760">
        <f>IFERROR(IF(L240=0,0,SUM($J$25:J241)),0)</f>
        <v>0</v>
      </c>
      <c r="N241" s="366">
        <f t="shared" si="45"/>
        <v>1.025603448275862</v>
      </c>
      <c r="O241" s="761">
        <f t="shared" si="46"/>
        <v>0</v>
      </c>
      <c r="P241" s="28"/>
      <c r="Q241" s="1681">
        <f t="shared" si="56"/>
        <v>0</v>
      </c>
      <c r="R241" s="1682">
        <f t="shared" si="47"/>
        <v>0</v>
      </c>
      <c r="S241" s="1682">
        <f t="shared" si="57"/>
        <v>0</v>
      </c>
      <c r="T241" s="1682">
        <f t="shared" si="58"/>
        <v>1900</v>
      </c>
    </row>
    <row r="242" spans="2:20" s="283" customFormat="1" ht="13.8" x14ac:dyDescent="0.3">
      <c r="B242" s="758" cm="1">
        <f t="array" ref="B242">IF(active_refi=1,IF(ROW()-ROW($B$24)&lt;=$E$12*$E$13+refi_month,ROW()-ROW($B$24),0),IF(activeloan,IF(L241=0,0,IF(ROW()-ROW($B$24)&lt;=$D$12*$D$13,ROW()-ROW($B$24),0)),0))</f>
        <v>0</v>
      </c>
      <c r="C242" s="759">
        <f t="shared" si="48"/>
        <v>0</v>
      </c>
      <c r="D242" s="760">
        <f t="shared" si="49"/>
        <v>118970</v>
      </c>
      <c r="E242" s="760">
        <f t="shared" si="50"/>
        <v>0</v>
      </c>
      <c r="F242" s="760">
        <f t="shared" si="51"/>
        <v>0</v>
      </c>
      <c r="G242" s="340">
        <v>0</v>
      </c>
      <c r="H242" s="760">
        <f t="shared" si="52"/>
        <v>0</v>
      </c>
      <c r="I242" s="760">
        <f t="shared" si="59"/>
        <v>0</v>
      </c>
      <c r="J242" s="760">
        <f t="shared" si="53"/>
        <v>0</v>
      </c>
      <c r="K242" s="760">
        <f t="shared" si="54"/>
        <v>0</v>
      </c>
      <c r="L242" s="760">
        <f t="shared" si="55"/>
        <v>118970</v>
      </c>
      <c r="M242" s="760">
        <f>IFERROR(IF(L241=0,0,SUM($J$25:J242)),0)</f>
        <v>0</v>
      </c>
      <c r="N242" s="366">
        <f t="shared" si="45"/>
        <v>1.025603448275862</v>
      </c>
      <c r="O242" s="761">
        <f t="shared" si="46"/>
        <v>0</v>
      </c>
      <c r="P242" s="28"/>
      <c r="Q242" s="1681">
        <f t="shared" si="56"/>
        <v>0</v>
      </c>
      <c r="R242" s="1682">
        <f t="shared" si="47"/>
        <v>0</v>
      </c>
      <c r="S242" s="1682">
        <f t="shared" si="57"/>
        <v>0</v>
      </c>
      <c r="T242" s="1682">
        <f t="shared" si="58"/>
        <v>1900</v>
      </c>
    </row>
    <row r="243" spans="2:20" s="283" customFormat="1" ht="13.8" x14ac:dyDescent="0.3">
      <c r="B243" s="758" cm="1">
        <f t="array" ref="B243">IF(active_refi=1,IF(ROW()-ROW($B$24)&lt;=$E$12*$E$13+refi_month,ROW()-ROW($B$24),0),IF(activeloan,IF(L242=0,0,IF(ROW()-ROW($B$24)&lt;=$D$12*$D$13,ROW()-ROW($B$24),0)),0))</f>
        <v>0</v>
      </c>
      <c r="C243" s="759">
        <f t="shared" si="48"/>
        <v>0</v>
      </c>
      <c r="D243" s="760">
        <f t="shared" si="49"/>
        <v>118970</v>
      </c>
      <c r="E243" s="760">
        <f t="shared" si="50"/>
        <v>0</v>
      </c>
      <c r="F243" s="760">
        <f t="shared" si="51"/>
        <v>0</v>
      </c>
      <c r="G243" s="340">
        <v>0</v>
      </c>
      <c r="H243" s="760">
        <f t="shared" si="52"/>
        <v>0</v>
      </c>
      <c r="I243" s="760">
        <f t="shared" si="59"/>
        <v>0</v>
      </c>
      <c r="J243" s="760">
        <f t="shared" si="53"/>
        <v>0</v>
      </c>
      <c r="K243" s="760">
        <f t="shared" si="54"/>
        <v>0</v>
      </c>
      <c r="L243" s="760">
        <f t="shared" si="55"/>
        <v>118970</v>
      </c>
      <c r="M243" s="760">
        <f>IFERROR(IF(L242=0,0,SUM($J$25:J243)),0)</f>
        <v>0</v>
      </c>
      <c r="N243" s="366">
        <f t="shared" si="45"/>
        <v>1.025603448275862</v>
      </c>
      <c r="O243" s="761">
        <f t="shared" si="46"/>
        <v>0</v>
      </c>
      <c r="P243" s="28"/>
      <c r="Q243" s="1681">
        <f t="shared" si="56"/>
        <v>0</v>
      </c>
      <c r="R243" s="1682">
        <f t="shared" si="47"/>
        <v>0</v>
      </c>
      <c r="S243" s="1682">
        <f t="shared" si="57"/>
        <v>0</v>
      </c>
      <c r="T243" s="1682">
        <f t="shared" si="58"/>
        <v>1900</v>
      </c>
    </row>
    <row r="244" spans="2:20" s="283" customFormat="1" ht="13.8" x14ac:dyDescent="0.3">
      <c r="B244" s="758" cm="1">
        <f t="array" ref="B244">IF(active_refi=1,IF(ROW()-ROW($B$24)&lt;=$E$12*$E$13+refi_month,ROW()-ROW($B$24),0),IF(activeloan,IF(L243=0,0,IF(ROW()-ROW($B$24)&lt;=$D$12*$D$13,ROW()-ROW($B$24),0)),0))</f>
        <v>0</v>
      </c>
      <c r="C244" s="759">
        <f t="shared" si="48"/>
        <v>0</v>
      </c>
      <c r="D244" s="760">
        <f t="shared" si="49"/>
        <v>118970</v>
      </c>
      <c r="E244" s="760">
        <f t="shared" si="50"/>
        <v>0</v>
      </c>
      <c r="F244" s="760">
        <f t="shared" si="51"/>
        <v>0</v>
      </c>
      <c r="G244" s="340">
        <v>0</v>
      </c>
      <c r="H244" s="760">
        <f t="shared" si="52"/>
        <v>0</v>
      </c>
      <c r="I244" s="760">
        <f t="shared" si="59"/>
        <v>0</v>
      </c>
      <c r="J244" s="760">
        <f t="shared" si="53"/>
        <v>0</v>
      </c>
      <c r="K244" s="760">
        <f t="shared" si="54"/>
        <v>0</v>
      </c>
      <c r="L244" s="760">
        <f t="shared" si="55"/>
        <v>118970</v>
      </c>
      <c r="M244" s="760">
        <f>IFERROR(IF(L243=0,0,SUM($J$25:J244)),0)</f>
        <v>0</v>
      </c>
      <c r="N244" s="366">
        <f t="shared" si="45"/>
        <v>1.025603448275862</v>
      </c>
      <c r="O244" s="761">
        <f t="shared" si="46"/>
        <v>0</v>
      </c>
      <c r="P244" s="28"/>
      <c r="Q244" s="1681">
        <f t="shared" si="56"/>
        <v>0</v>
      </c>
      <c r="R244" s="1682">
        <f t="shared" si="47"/>
        <v>0</v>
      </c>
      <c r="S244" s="1682">
        <f t="shared" si="57"/>
        <v>0</v>
      </c>
      <c r="T244" s="1682">
        <f t="shared" si="58"/>
        <v>1900</v>
      </c>
    </row>
    <row r="245" spans="2:20" s="283" customFormat="1" ht="13.8" x14ac:dyDescent="0.3">
      <c r="B245" s="758" cm="1">
        <f t="array" ref="B245">IF(active_refi=1,IF(ROW()-ROW($B$24)&lt;=$E$12*$E$13+refi_month,ROW()-ROW($B$24),0),IF(activeloan,IF(L244=0,0,IF(ROW()-ROW($B$24)&lt;=$D$12*$D$13,ROW()-ROW($B$24),0)),0))</f>
        <v>0</v>
      </c>
      <c r="C245" s="759">
        <f t="shared" si="48"/>
        <v>0</v>
      </c>
      <c r="D245" s="760">
        <f t="shared" si="49"/>
        <v>118970</v>
      </c>
      <c r="E245" s="760">
        <f t="shared" si="50"/>
        <v>0</v>
      </c>
      <c r="F245" s="760">
        <f t="shared" si="51"/>
        <v>0</v>
      </c>
      <c r="G245" s="340">
        <v>0</v>
      </c>
      <c r="H245" s="760">
        <f t="shared" si="52"/>
        <v>0</v>
      </c>
      <c r="I245" s="760">
        <f t="shared" si="59"/>
        <v>0</v>
      </c>
      <c r="J245" s="760">
        <f t="shared" si="53"/>
        <v>0</v>
      </c>
      <c r="K245" s="760">
        <f t="shared" si="54"/>
        <v>0</v>
      </c>
      <c r="L245" s="760">
        <f t="shared" si="55"/>
        <v>118970</v>
      </c>
      <c r="M245" s="760">
        <f>IFERROR(IF(L244=0,0,SUM($J$25:J245)),0)</f>
        <v>0</v>
      </c>
      <c r="N245" s="366">
        <f t="shared" si="45"/>
        <v>1.025603448275862</v>
      </c>
      <c r="O245" s="761">
        <f t="shared" si="46"/>
        <v>0</v>
      </c>
      <c r="P245" s="28"/>
      <c r="Q245" s="1681">
        <f t="shared" si="56"/>
        <v>0</v>
      </c>
      <c r="R245" s="1682">
        <f t="shared" si="47"/>
        <v>0</v>
      </c>
      <c r="S245" s="1682">
        <f t="shared" si="57"/>
        <v>0</v>
      </c>
      <c r="T245" s="1682">
        <f t="shared" si="58"/>
        <v>1900</v>
      </c>
    </row>
    <row r="246" spans="2:20" s="283" customFormat="1" ht="13.8" x14ac:dyDescent="0.3">
      <c r="B246" s="758" cm="1">
        <f t="array" ref="B246">IF(active_refi=1,IF(ROW()-ROW($B$24)&lt;=$E$12*$E$13+refi_month,ROW()-ROW($B$24),0),IF(activeloan,IF(L245=0,0,IF(ROW()-ROW($B$24)&lt;=$D$12*$D$13,ROW()-ROW($B$24),0)),0))</f>
        <v>0</v>
      </c>
      <c r="C246" s="759">
        <f t="shared" si="48"/>
        <v>0</v>
      </c>
      <c r="D246" s="760">
        <f t="shared" si="49"/>
        <v>118970</v>
      </c>
      <c r="E246" s="760">
        <f t="shared" si="50"/>
        <v>0</v>
      </c>
      <c r="F246" s="760">
        <f t="shared" si="51"/>
        <v>0</v>
      </c>
      <c r="G246" s="340">
        <v>0</v>
      </c>
      <c r="H246" s="760">
        <f t="shared" si="52"/>
        <v>0</v>
      </c>
      <c r="I246" s="760">
        <f t="shared" si="59"/>
        <v>0</v>
      </c>
      <c r="J246" s="760">
        <f t="shared" si="53"/>
        <v>0</v>
      </c>
      <c r="K246" s="760">
        <f t="shared" si="54"/>
        <v>0</v>
      </c>
      <c r="L246" s="760">
        <f t="shared" si="55"/>
        <v>118970</v>
      </c>
      <c r="M246" s="760">
        <f>IFERROR(IF(L245=0,0,SUM($J$25:J246)),0)</f>
        <v>0</v>
      </c>
      <c r="N246" s="366">
        <f t="shared" si="45"/>
        <v>1.025603448275862</v>
      </c>
      <c r="O246" s="761">
        <f t="shared" si="46"/>
        <v>0</v>
      </c>
      <c r="P246" s="28"/>
      <c r="Q246" s="1681">
        <f t="shared" si="56"/>
        <v>0</v>
      </c>
      <c r="R246" s="1682">
        <f t="shared" si="47"/>
        <v>0</v>
      </c>
      <c r="S246" s="1682">
        <f t="shared" si="57"/>
        <v>0</v>
      </c>
      <c r="T246" s="1682">
        <f t="shared" si="58"/>
        <v>1900</v>
      </c>
    </row>
    <row r="247" spans="2:20" s="283" customFormat="1" ht="13.8" x14ac:dyDescent="0.3">
      <c r="B247" s="758" cm="1">
        <f t="array" ref="B247">IF(active_refi=1,IF(ROW()-ROW($B$24)&lt;=$E$12*$E$13+refi_month,ROW()-ROW($B$24),0),IF(activeloan,IF(L246=0,0,IF(ROW()-ROW($B$24)&lt;=$D$12*$D$13,ROW()-ROW($B$24),0)),0))</f>
        <v>0</v>
      </c>
      <c r="C247" s="759">
        <f t="shared" si="48"/>
        <v>0</v>
      </c>
      <c r="D247" s="760">
        <f t="shared" si="49"/>
        <v>118970</v>
      </c>
      <c r="E247" s="760">
        <f t="shared" si="50"/>
        <v>0</v>
      </c>
      <c r="F247" s="760">
        <f t="shared" si="51"/>
        <v>0</v>
      </c>
      <c r="G247" s="340">
        <v>0</v>
      </c>
      <c r="H247" s="760">
        <f t="shared" si="52"/>
        <v>0</v>
      </c>
      <c r="I247" s="760">
        <f t="shared" si="59"/>
        <v>0</v>
      </c>
      <c r="J247" s="760">
        <f t="shared" si="53"/>
        <v>0</v>
      </c>
      <c r="K247" s="760">
        <f t="shared" si="54"/>
        <v>0</v>
      </c>
      <c r="L247" s="760">
        <f t="shared" si="55"/>
        <v>118970</v>
      </c>
      <c r="M247" s="760">
        <f>IFERROR(IF(L246=0,0,SUM($J$25:J247)),0)</f>
        <v>0</v>
      </c>
      <c r="N247" s="366">
        <f t="shared" si="45"/>
        <v>1.025603448275862</v>
      </c>
      <c r="O247" s="761">
        <f t="shared" si="46"/>
        <v>0</v>
      </c>
      <c r="P247" s="28"/>
      <c r="Q247" s="1681">
        <f t="shared" si="56"/>
        <v>0</v>
      </c>
      <c r="R247" s="1682">
        <f t="shared" si="47"/>
        <v>0</v>
      </c>
      <c r="S247" s="1682">
        <f t="shared" si="57"/>
        <v>0</v>
      </c>
      <c r="T247" s="1682">
        <f t="shared" si="58"/>
        <v>1900</v>
      </c>
    </row>
    <row r="248" spans="2:20" s="283" customFormat="1" ht="13.8" x14ac:dyDescent="0.3">
      <c r="B248" s="758" cm="1">
        <f t="array" ref="B248">IF(active_refi=1,IF(ROW()-ROW($B$24)&lt;=$E$12*$E$13+refi_month,ROW()-ROW($B$24),0),IF(activeloan,IF(L247=0,0,IF(ROW()-ROW($B$24)&lt;=$D$12*$D$13,ROW()-ROW($B$24),0)),0))</f>
        <v>0</v>
      </c>
      <c r="C248" s="759">
        <f t="shared" si="48"/>
        <v>0</v>
      </c>
      <c r="D248" s="760">
        <f t="shared" si="49"/>
        <v>118970</v>
      </c>
      <c r="E248" s="760">
        <f t="shared" si="50"/>
        <v>0</v>
      </c>
      <c r="F248" s="760">
        <f t="shared" si="51"/>
        <v>0</v>
      </c>
      <c r="G248" s="340">
        <v>0</v>
      </c>
      <c r="H248" s="760">
        <f t="shared" si="52"/>
        <v>0</v>
      </c>
      <c r="I248" s="760">
        <f t="shared" si="59"/>
        <v>0</v>
      </c>
      <c r="J248" s="760">
        <f t="shared" si="53"/>
        <v>0</v>
      </c>
      <c r="K248" s="760">
        <f t="shared" si="54"/>
        <v>0</v>
      </c>
      <c r="L248" s="760">
        <f t="shared" si="55"/>
        <v>118970</v>
      </c>
      <c r="M248" s="760">
        <f>IFERROR(IF(L247=0,0,SUM($J$25:J248)),0)</f>
        <v>0</v>
      </c>
      <c r="N248" s="366">
        <f t="shared" si="45"/>
        <v>1.025603448275862</v>
      </c>
      <c r="O248" s="761">
        <f t="shared" si="46"/>
        <v>0</v>
      </c>
      <c r="P248" s="28"/>
      <c r="Q248" s="1681">
        <f t="shared" si="56"/>
        <v>0</v>
      </c>
      <c r="R248" s="1682">
        <f t="shared" si="47"/>
        <v>0</v>
      </c>
      <c r="S248" s="1682">
        <f t="shared" si="57"/>
        <v>0</v>
      </c>
      <c r="T248" s="1682">
        <f t="shared" si="58"/>
        <v>1900</v>
      </c>
    </row>
    <row r="249" spans="2:20" s="283" customFormat="1" ht="13.8" x14ac:dyDescent="0.3">
      <c r="B249" s="758" cm="1">
        <f t="array" ref="B249">IF(active_refi=1,IF(ROW()-ROW($B$24)&lt;=$E$12*$E$13+refi_month,ROW()-ROW($B$24),0),IF(activeloan,IF(L248=0,0,IF(ROW()-ROW($B$24)&lt;=$D$12*$D$13,ROW()-ROW($B$24),0)),0))</f>
        <v>0</v>
      </c>
      <c r="C249" s="759">
        <f t="shared" si="48"/>
        <v>0</v>
      </c>
      <c r="D249" s="760">
        <f t="shared" si="49"/>
        <v>118970</v>
      </c>
      <c r="E249" s="760">
        <f t="shared" si="50"/>
        <v>0</v>
      </c>
      <c r="F249" s="760">
        <f t="shared" si="51"/>
        <v>0</v>
      </c>
      <c r="G249" s="340">
        <v>0</v>
      </c>
      <c r="H249" s="760">
        <f t="shared" si="52"/>
        <v>0</v>
      </c>
      <c r="I249" s="760">
        <f t="shared" si="59"/>
        <v>0</v>
      </c>
      <c r="J249" s="760">
        <f t="shared" si="53"/>
        <v>0</v>
      </c>
      <c r="K249" s="760">
        <f t="shared" si="54"/>
        <v>0</v>
      </c>
      <c r="L249" s="760">
        <f t="shared" si="55"/>
        <v>118970</v>
      </c>
      <c r="M249" s="760">
        <f>IFERROR(IF(L248=0,0,SUM($J$25:J249)),0)</f>
        <v>0</v>
      </c>
      <c r="N249" s="366">
        <f t="shared" si="45"/>
        <v>1.025603448275862</v>
      </c>
      <c r="O249" s="761">
        <f t="shared" si="46"/>
        <v>0</v>
      </c>
      <c r="P249" s="28"/>
      <c r="Q249" s="1681">
        <f t="shared" si="56"/>
        <v>0</v>
      </c>
      <c r="R249" s="1682">
        <f t="shared" si="47"/>
        <v>0</v>
      </c>
      <c r="S249" s="1682">
        <f t="shared" si="57"/>
        <v>0</v>
      </c>
      <c r="T249" s="1682">
        <f t="shared" si="58"/>
        <v>1900</v>
      </c>
    </row>
    <row r="250" spans="2:20" s="283" customFormat="1" ht="13.8" x14ac:dyDescent="0.3">
      <c r="B250" s="758" cm="1">
        <f t="array" ref="B250">IF(active_refi=1,IF(ROW()-ROW($B$24)&lt;=$E$12*$E$13+refi_month,ROW()-ROW($B$24),0),IF(activeloan,IF(L249=0,0,IF(ROW()-ROW($B$24)&lt;=$D$12*$D$13,ROW()-ROW($B$24),0)),0))</f>
        <v>0</v>
      </c>
      <c r="C250" s="759">
        <f t="shared" si="48"/>
        <v>0</v>
      </c>
      <c r="D250" s="760">
        <f t="shared" si="49"/>
        <v>118970</v>
      </c>
      <c r="E250" s="760">
        <f t="shared" si="50"/>
        <v>0</v>
      </c>
      <c r="F250" s="760">
        <f t="shared" si="51"/>
        <v>0</v>
      </c>
      <c r="G250" s="340">
        <v>0</v>
      </c>
      <c r="H250" s="760">
        <f t="shared" si="52"/>
        <v>0</v>
      </c>
      <c r="I250" s="760">
        <f t="shared" si="59"/>
        <v>0</v>
      </c>
      <c r="J250" s="760">
        <f t="shared" si="53"/>
        <v>0</v>
      </c>
      <c r="K250" s="760">
        <f t="shared" si="54"/>
        <v>0</v>
      </c>
      <c r="L250" s="760">
        <f t="shared" si="55"/>
        <v>118970</v>
      </c>
      <c r="M250" s="760">
        <f>IFERROR(IF(L249=0,0,SUM($J$25:J250)),0)</f>
        <v>0</v>
      </c>
      <c r="N250" s="366">
        <f t="shared" si="45"/>
        <v>1.025603448275862</v>
      </c>
      <c r="O250" s="761">
        <f t="shared" si="46"/>
        <v>0</v>
      </c>
      <c r="P250" s="28"/>
      <c r="Q250" s="1681">
        <f t="shared" si="56"/>
        <v>0</v>
      </c>
      <c r="R250" s="1682">
        <f t="shared" si="47"/>
        <v>0</v>
      </c>
      <c r="S250" s="1682">
        <f t="shared" si="57"/>
        <v>0</v>
      </c>
      <c r="T250" s="1682">
        <f t="shared" si="58"/>
        <v>1900</v>
      </c>
    </row>
    <row r="251" spans="2:20" s="283" customFormat="1" ht="13.8" x14ac:dyDescent="0.3">
      <c r="B251" s="758" cm="1">
        <f t="array" ref="B251">IF(active_refi=1,IF(ROW()-ROW($B$24)&lt;=$E$12*$E$13+refi_month,ROW()-ROW($B$24),0),IF(activeloan,IF(L250=0,0,IF(ROW()-ROW($B$24)&lt;=$D$12*$D$13,ROW()-ROW($B$24),0)),0))</f>
        <v>0</v>
      </c>
      <c r="C251" s="759">
        <f t="shared" si="48"/>
        <v>0</v>
      </c>
      <c r="D251" s="760">
        <f t="shared" si="49"/>
        <v>118970</v>
      </c>
      <c r="E251" s="760">
        <f t="shared" si="50"/>
        <v>0</v>
      </c>
      <c r="F251" s="760">
        <f t="shared" si="51"/>
        <v>0</v>
      </c>
      <c r="G251" s="340">
        <v>0</v>
      </c>
      <c r="H251" s="760">
        <f t="shared" si="52"/>
        <v>0</v>
      </c>
      <c r="I251" s="760">
        <f t="shared" si="59"/>
        <v>0</v>
      </c>
      <c r="J251" s="760">
        <f t="shared" si="53"/>
        <v>0</v>
      </c>
      <c r="K251" s="760">
        <f t="shared" si="54"/>
        <v>0</v>
      </c>
      <c r="L251" s="760">
        <f t="shared" si="55"/>
        <v>118970</v>
      </c>
      <c r="M251" s="760">
        <f>IFERROR(IF(L250=0,0,SUM($J$25:J251)),0)</f>
        <v>0</v>
      </c>
      <c r="N251" s="366">
        <f t="shared" si="45"/>
        <v>1.025603448275862</v>
      </c>
      <c r="O251" s="761">
        <f t="shared" si="46"/>
        <v>0</v>
      </c>
      <c r="P251" s="28"/>
      <c r="Q251" s="1681">
        <f t="shared" si="56"/>
        <v>0</v>
      </c>
      <c r="R251" s="1682">
        <f t="shared" si="47"/>
        <v>0</v>
      </c>
      <c r="S251" s="1682">
        <f t="shared" si="57"/>
        <v>0</v>
      </c>
      <c r="T251" s="1682">
        <f t="shared" si="58"/>
        <v>1900</v>
      </c>
    </row>
    <row r="252" spans="2:20" s="283" customFormat="1" ht="13.8" x14ac:dyDescent="0.3">
      <c r="B252" s="758" cm="1">
        <f t="array" ref="B252">IF(active_refi=1,IF(ROW()-ROW($B$24)&lt;=$E$12*$E$13+refi_month,ROW()-ROW($B$24),0),IF(activeloan,IF(L251=0,0,IF(ROW()-ROW($B$24)&lt;=$D$12*$D$13,ROW()-ROW($B$24),0)),0))</f>
        <v>0</v>
      </c>
      <c r="C252" s="759">
        <f t="shared" si="48"/>
        <v>0</v>
      </c>
      <c r="D252" s="760">
        <f t="shared" si="49"/>
        <v>118970</v>
      </c>
      <c r="E252" s="760">
        <f t="shared" si="50"/>
        <v>0</v>
      </c>
      <c r="F252" s="760">
        <f t="shared" si="51"/>
        <v>0</v>
      </c>
      <c r="G252" s="340">
        <v>0</v>
      </c>
      <c r="H252" s="760">
        <f t="shared" si="52"/>
        <v>0</v>
      </c>
      <c r="I252" s="760">
        <f t="shared" si="59"/>
        <v>0</v>
      </c>
      <c r="J252" s="760">
        <f t="shared" si="53"/>
        <v>0</v>
      </c>
      <c r="K252" s="760">
        <f t="shared" si="54"/>
        <v>0</v>
      </c>
      <c r="L252" s="760">
        <f t="shared" si="55"/>
        <v>118970</v>
      </c>
      <c r="M252" s="760">
        <f>IFERROR(IF(L251=0,0,SUM($J$25:J252)),0)</f>
        <v>0</v>
      </c>
      <c r="N252" s="366">
        <f t="shared" si="45"/>
        <v>1.025603448275862</v>
      </c>
      <c r="O252" s="761">
        <f t="shared" si="46"/>
        <v>0</v>
      </c>
      <c r="P252" s="28"/>
      <c r="Q252" s="1681">
        <f t="shared" si="56"/>
        <v>0</v>
      </c>
      <c r="R252" s="1682">
        <f t="shared" si="47"/>
        <v>0</v>
      </c>
      <c r="S252" s="1682">
        <f t="shared" si="57"/>
        <v>0</v>
      </c>
      <c r="T252" s="1682">
        <f t="shared" si="58"/>
        <v>1900</v>
      </c>
    </row>
    <row r="253" spans="2:20" s="283" customFormat="1" ht="13.8" x14ac:dyDescent="0.3">
      <c r="B253" s="758" cm="1">
        <f t="array" ref="B253">IF(active_refi=1,IF(ROW()-ROW($B$24)&lt;=$E$12*$E$13+refi_month,ROW()-ROW($B$24),0),IF(activeloan,IF(L252=0,0,IF(ROW()-ROW($B$24)&lt;=$D$12*$D$13,ROW()-ROW($B$24),0)),0))</f>
        <v>0</v>
      </c>
      <c r="C253" s="759">
        <f t="shared" si="48"/>
        <v>0</v>
      </c>
      <c r="D253" s="760">
        <f t="shared" si="49"/>
        <v>118970</v>
      </c>
      <c r="E253" s="760">
        <f t="shared" si="50"/>
        <v>0</v>
      </c>
      <c r="F253" s="760">
        <f t="shared" si="51"/>
        <v>0</v>
      </c>
      <c r="G253" s="340">
        <v>0</v>
      </c>
      <c r="H253" s="760">
        <f t="shared" si="52"/>
        <v>0</v>
      </c>
      <c r="I253" s="760">
        <f t="shared" si="59"/>
        <v>0</v>
      </c>
      <c r="J253" s="760">
        <f t="shared" si="53"/>
        <v>0</v>
      </c>
      <c r="K253" s="760">
        <f t="shared" si="54"/>
        <v>0</v>
      </c>
      <c r="L253" s="760">
        <f t="shared" si="55"/>
        <v>118970</v>
      </c>
      <c r="M253" s="760">
        <f>IFERROR(IF(L252=0,0,SUM($J$25:J253)),0)</f>
        <v>0</v>
      </c>
      <c r="N253" s="366">
        <f t="shared" si="45"/>
        <v>1.025603448275862</v>
      </c>
      <c r="O253" s="761">
        <f t="shared" si="46"/>
        <v>0</v>
      </c>
      <c r="P253" s="28"/>
      <c r="Q253" s="1681">
        <f t="shared" si="56"/>
        <v>0</v>
      </c>
      <c r="R253" s="1682">
        <f t="shared" si="47"/>
        <v>0</v>
      </c>
      <c r="S253" s="1682">
        <f t="shared" si="57"/>
        <v>0</v>
      </c>
      <c r="T253" s="1682">
        <f t="shared" si="58"/>
        <v>1900</v>
      </c>
    </row>
    <row r="254" spans="2:20" s="283" customFormat="1" ht="13.8" x14ac:dyDescent="0.3">
      <c r="B254" s="758" cm="1">
        <f t="array" ref="B254">IF(active_refi=1,IF(ROW()-ROW($B$24)&lt;=$E$12*$E$13+refi_month,ROW()-ROW($B$24),0),IF(activeloan,IF(L253=0,0,IF(ROW()-ROW($B$24)&lt;=$D$12*$D$13,ROW()-ROW($B$24),0)),0))</f>
        <v>0</v>
      </c>
      <c r="C254" s="759">
        <f t="shared" si="48"/>
        <v>0</v>
      </c>
      <c r="D254" s="760">
        <f t="shared" si="49"/>
        <v>118970</v>
      </c>
      <c r="E254" s="760">
        <f t="shared" si="50"/>
        <v>0</v>
      </c>
      <c r="F254" s="760">
        <f t="shared" si="51"/>
        <v>0</v>
      </c>
      <c r="G254" s="340">
        <v>0</v>
      </c>
      <c r="H254" s="760">
        <f t="shared" si="52"/>
        <v>0</v>
      </c>
      <c r="I254" s="760">
        <f t="shared" si="59"/>
        <v>0</v>
      </c>
      <c r="J254" s="760">
        <f t="shared" si="53"/>
        <v>0</v>
      </c>
      <c r="K254" s="760">
        <f t="shared" si="54"/>
        <v>0</v>
      </c>
      <c r="L254" s="760">
        <f t="shared" si="55"/>
        <v>118970</v>
      </c>
      <c r="M254" s="760">
        <f>IFERROR(IF(L253=0,0,SUM($J$25:J254)),0)</f>
        <v>0</v>
      </c>
      <c r="N254" s="366">
        <f t="shared" si="45"/>
        <v>1.025603448275862</v>
      </c>
      <c r="O254" s="761">
        <f t="shared" si="46"/>
        <v>0</v>
      </c>
      <c r="P254" s="28"/>
      <c r="Q254" s="1681">
        <f t="shared" si="56"/>
        <v>0</v>
      </c>
      <c r="R254" s="1682">
        <f t="shared" si="47"/>
        <v>0</v>
      </c>
      <c r="S254" s="1682">
        <f t="shared" si="57"/>
        <v>0</v>
      </c>
      <c r="T254" s="1682">
        <f t="shared" si="58"/>
        <v>1900</v>
      </c>
    </row>
    <row r="255" spans="2:20" s="283" customFormat="1" ht="13.8" x14ac:dyDescent="0.3">
      <c r="B255" s="758" cm="1">
        <f t="array" ref="B255">IF(active_refi=1,IF(ROW()-ROW($B$24)&lt;=$E$12*$E$13+refi_month,ROW()-ROW($B$24),0),IF(activeloan,IF(L254=0,0,IF(ROW()-ROW($B$24)&lt;=$D$12*$D$13,ROW()-ROW($B$24),0)),0))</f>
        <v>0</v>
      </c>
      <c r="C255" s="759">
        <f t="shared" si="48"/>
        <v>0</v>
      </c>
      <c r="D255" s="760">
        <f t="shared" si="49"/>
        <v>118970</v>
      </c>
      <c r="E255" s="760">
        <f t="shared" si="50"/>
        <v>0</v>
      </c>
      <c r="F255" s="760">
        <f t="shared" si="51"/>
        <v>0</v>
      </c>
      <c r="G255" s="340">
        <v>0</v>
      </c>
      <c r="H255" s="760">
        <f t="shared" si="52"/>
        <v>0</v>
      </c>
      <c r="I255" s="760">
        <f t="shared" si="59"/>
        <v>0</v>
      </c>
      <c r="J255" s="760">
        <f t="shared" si="53"/>
        <v>0</v>
      </c>
      <c r="K255" s="760">
        <f t="shared" si="54"/>
        <v>0</v>
      </c>
      <c r="L255" s="760">
        <f t="shared" si="55"/>
        <v>118970</v>
      </c>
      <c r="M255" s="760">
        <f>IFERROR(IF(L254=0,0,SUM($J$25:J255)),0)</f>
        <v>0</v>
      </c>
      <c r="N255" s="366">
        <f t="shared" si="45"/>
        <v>1.025603448275862</v>
      </c>
      <c r="O255" s="761">
        <f t="shared" si="46"/>
        <v>0</v>
      </c>
      <c r="P255" s="28"/>
      <c r="Q255" s="1681">
        <f t="shared" si="56"/>
        <v>0</v>
      </c>
      <c r="R255" s="1682">
        <f t="shared" si="47"/>
        <v>0</v>
      </c>
      <c r="S255" s="1682">
        <f t="shared" si="57"/>
        <v>0</v>
      </c>
      <c r="T255" s="1682">
        <f t="shared" si="58"/>
        <v>1900</v>
      </c>
    </row>
    <row r="256" spans="2:20" s="283" customFormat="1" ht="13.8" x14ac:dyDescent="0.3">
      <c r="B256" s="758" cm="1">
        <f t="array" ref="B256">IF(active_refi=1,IF(ROW()-ROW($B$24)&lt;=$E$12*$E$13+refi_month,ROW()-ROW($B$24),0),IF(activeloan,IF(L255=0,0,IF(ROW()-ROW($B$24)&lt;=$D$12*$D$13,ROW()-ROW($B$24),0)),0))</f>
        <v>0</v>
      </c>
      <c r="C256" s="759">
        <f t="shared" si="48"/>
        <v>0</v>
      </c>
      <c r="D256" s="760">
        <f t="shared" si="49"/>
        <v>118970</v>
      </c>
      <c r="E256" s="760">
        <f t="shared" si="50"/>
        <v>0</v>
      </c>
      <c r="F256" s="760">
        <f t="shared" si="51"/>
        <v>0</v>
      </c>
      <c r="G256" s="340">
        <v>0</v>
      </c>
      <c r="H256" s="760">
        <f t="shared" si="52"/>
        <v>0</v>
      </c>
      <c r="I256" s="760">
        <f t="shared" si="59"/>
        <v>0</v>
      </c>
      <c r="J256" s="760">
        <f t="shared" si="53"/>
        <v>0</v>
      </c>
      <c r="K256" s="760">
        <f t="shared" si="54"/>
        <v>0</v>
      </c>
      <c r="L256" s="760">
        <f t="shared" si="55"/>
        <v>118970</v>
      </c>
      <c r="M256" s="760">
        <f>IFERROR(IF(L255=0,0,SUM($J$25:J256)),0)</f>
        <v>0</v>
      </c>
      <c r="N256" s="366">
        <f t="shared" si="45"/>
        <v>1.025603448275862</v>
      </c>
      <c r="O256" s="761">
        <f t="shared" si="46"/>
        <v>0</v>
      </c>
      <c r="P256" s="28"/>
      <c r="Q256" s="1681">
        <f t="shared" si="56"/>
        <v>0</v>
      </c>
      <c r="R256" s="1682">
        <f t="shared" si="47"/>
        <v>0</v>
      </c>
      <c r="S256" s="1682">
        <f t="shared" si="57"/>
        <v>0</v>
      </c>
      <c r="T256" s="1682">
        <f t="shared" si="58"/>
        <v>1900</v>
      </c>
    </row>
    <row r="257" spans="2:20" s="283" customFormat="1" ht="13.8" x14ac:dyDescent="0.3">
      <c r="B257" s="758" cm="1">
        <f t="array" ref="B257">IF(active_refi=1,IF(ROW()-ROW($B$24)&lt;=$E$12*$E$13+refi_month,ROW()-ROW($B$24),0),IF(activeloan,IF(L256=0,0,IF(ROW()-ROW($B$24)&lt;=$D$12*$D$13,ROW()-ROW($B$24),0)),0))</f>
        <v>0</v>
      </c>
      <c r="C257" s="759">
        <f t="shared" si="48"/>
        <v>0</v>
      </c>
      <c r="D257" s="760">
        <f t="shared" si="49"/>
        <v>118970</v>
      </c>
      <c r="E257" s="760">
        <f t="shared" si="50"/>
        <v>0</v>
      </c>
      <c r="F257" s="760">
        <f t="shared" si="51"/>
        <v>0</v>
      </c>
      <c r="G257" s="340">
        <v>0</v>
      </c>
      <c r="H257" s="760">
        <f t="shared" si="52"/>
        <v>0</v>
      </c>
      <c r="I257" s="760">
        <f t="shared" si="59"/>
        <v>0</v>
      </c>
      <c r="J257" s="760">
        <f t="shared" si="53"/>
        <v>0</v>
      </c>
      <c r="K257" s="760">
        <f t="shared" si="54"/>
        <v>0</v>
      </c>
      <c r="L257" s="760">
        <f t="shared" si="55"/>
        <v>118970</v>
      </c>
      <c r="M257" s="760">
        <f>IFERROR(IF(L256=0,0,SUM($J$25:J257)),0)</f>
        <v>0</v>
      </c>
      <c r="N257" s="366">
        <f t="shared" si="45"/>
        <v>1.025603448275862</v>
      </c>
      <c r="O257" s="761">
        <f t="shared" si="46"/>
        <v>0</v>
      </c>
      <c r="P257" s="28"/>
      <c r="Q257" s="1681">
        <f t="shared" si="56"/>
        <v>0</v>
      </c>
      <c r="R257" s="1682">
        <f t="shared" si="47"/>
        <v>0</v>
      </c>
      <c r="S257" s="1682">
        <f t="shared" si="57"/>
        <v>0</v>
      </c>
      <c r="T257" s="1682">
        <f t="shared" si="58"/>
        <v>1900</v>
      </c>
    </row>
    <row r="258" spans="2:20" s="283" customFormat="1" ht="13.8" x14ac:dyDescent="0.3">
      <c r="B258" s="758" cm="1">
        <f t="array" ref="B258">IF(active_refi=1,IF(ROW()-ROW($B$24)&lt;=$E$12*$E$13+refi_month,ROW()-ROW($B$24),0),IF(activeloan,IF(L257=0,0,IF(ROW()-ROW($B$24)&lt;=$D$12*$D$13,ROW()-ROW($B$24),0)),0))</f>
        <v>0</v>
      </c>
      <c r="C258" s="759">
        <f t="shared" si="48"/>
        <v>0</v>
      </c>
      <c r="D258" s="760">
        <f t="shared" si="49"/>
        <v>118970</v>
      </c>
      <c r="E258" s="760">
        <f t="shared" si="50"/>
        <v>0</v>
      </c>
      <c r="F258" s="760">
        <f t="shared" si="51"/>
        <v>0</v>
      </c>
      <c r="G258" s="340">
        <v>0</v>
      </c>
      <c r="H258" s="760">
        <f t="shared" si="52"/>
        <v>0</v>
      </c>
      <c r="I258" s="760">
        <f t="shared" si="59"/>
        <v>0</v>
      </c>
      <c r="J258" s="760">
        <f t="shared" si="53"/>
        <v>0</v>
      </c>
      <c r="K258" s="760">
        <f t="shared" si="54"/>
        <v>0</v>
      </c>
      <c r="L258" s="760">
        <f t="shared" si="55"/>
        <v>118970</v>
      </c>
      <c r="M258" s="760">
        <f>IFERROR(IF(L257=0,0,SUM($J$25:J258)),0)</f>
        <v>0</v>
      </c>
      <c r="N258" s="366">
        <f t="shared" si="45"/>
        <v>1.025603448275862</v>
      </c>
      <c r="O258" s="761">
        <f t="shared" si="46"/>
        <v>0</v>
      </c>
      <c r="P258" s="28"/>
      <c r="Q258" s="1681">
        <f t="shared" si="56"/>
        <v>0</v>
      </c>
      <c r="R258" s="1682">
        <f t="shared" si="47"/>
        <v>0</v>
      </c>
      <c r="S258" s="1682">
        <f t="shared" si="57"/>
        <v>0</v>
      </c>
      <c r="T258" s="1682">
        <f t="shared" si="58"/>
        <v>1900</v>
      </c>
    </row>
    <row r="259" spans="2:20" s="283" customFormat="1" ht="13.8" x14ac:dyDescent="0.3">
      <c r="B259" s="758" cm="1">
        <f t="array" ref="B259">IF(active_refi=1,IF(ROW()-ROW($B$24)&lt;=$E$12*$E$13+refi_month,ROW()-ROW($B$24),0),IF(activeloan,IF(L258=0,0,IF(ROW()-ROW($B$24)&lt;=$D$12*$D$13,ROW()-ROW($B$24),0)),0))</f>
        <v>0</v>
      </c>
      <c r="C259" s="759">
        <f t="shared" si="48"/>
        <v>0</v>
      </c>
      <c r="D259" s="760">
        <f t="shared" si="49"/>
        <v>118970</v>
      </c>
      <c r="E259" s="760">
        <f t="shared" si="50"/>
        <v>0</v>
      </c>
      <c r="F259" s="760">
        <f t="shared" si="51"/>
        <v>0</v>
      </c>
      <c r="G259" s="340">
        <v>0</v>
      </c>
      <c r="H259" s="760">
        <f t="shared" si="52"/>
        <v>0</v>
      </c>
      <c r="I259" s="760">
        <f t="shared" si="59"/>
        <v>0</v>
      </c>
      <c r="J259" s="760">
        <f t="shared" si="53"/>
        <v>0</v>
      </c>
      <c r="K259" s="760">
        <f t="shared" si="54"/>
        <v>0</v>
      </c>
      <c r="L259" s="760">
        <f t="shared" si="55"/>
        <v>118970</v>
      </c>
      <c r="M259" s="760">
        <f>IFERROR(IF(L258=0,0,SUM($J$25:J259)),0)</f>
        <v>0</v>
      </c>
      <c r="N259" s="366">
        <f t="shared" si="45"/>
        <v>1.025603448275862</v>
      </c>
      <c r="O259" s="761">
        <f t="shared" si="46"/>
        <v>0</v>
      </c>
      <c r="P259" s="28"/>
      <c r="Q259" s="1681">
        <f t="shared" si="56"/>
        <v>0</v>
      </c>
      <c r="R259" s="1682">
        <f t="shared" si="47"/>
        <v>0</v>
      </c>
      <c r="S259" s="1682">
        <f t="shared" si="57"/>
        <v>0</v>
      </c>
      <c r="T259" s="1682">
        <f t="shared" si="58"/>
        <v>1900</v>
      </c>
    </row>
    <row r="260" spans="2:20" s="283" customFormat="1" ht="13.8" x14ac:dyDescent="0.3">
      <c r="B260" s="758" cm="1">
        <f t="array" ref="B260">IF(active_refi=1,IF(ROW()-ROW($B$24)&lt;=$E$12*$E$13+refi_month,ROW()-ROW($B$24),0),IF(activeloan,IF(L259=0,0,IF(ROW()-ROW($B$24)&lt;=$D$12*$D$13,ROW()-ROW($B$24),0)),0))</f>
        <v>0</v>
      </c>
      <c r="C260" s="759">
        <f t="shared" si="48"/>
        <v>0</v>
      </c>
      <c r="D260" s="760">
        <f t="shared" si="49"/>
        <v>118970</v>
      </c>
      <c r="E260" s="760">
        <f t="shared" si="50"/>
        <v>0</v>
      </c>
      <c r="F260" s="760">
        <f t="shared" si="51"/>
        <v>0</v>
      </c>
      <c r="G260" s="340">
        <v>0</v>
      </c>
      <c r="H260" s="760">
        <f t="shared" si="52"/>
        <v>0</v>
      </c>
      <c r="I260" s="760">
        <f t="shared" si="59"/>
        <v>0</v>
      </c>
      <c r="J260" s="760">
        <f t="shared" si="53"/>
        <v>0</v>
      </c>
      <c r="K260" s="760">
        <f t="shared" si="54"/>
        <v>0</v>
      </c>
      <c r="L260" s="760">
        <f t="shared" si="55"/>
        <v>118970</v>
      </c>
      <c r="M260" s="760">
        <f>IFERROR(IF(L259=0,0,SUM($J$25:J260)),0)</f>
        <v>0</v>
      </c>
      <c r="N260" s="366">
        <f t="shared" si="45"/>
        <v>1.025603448275862</v>
      </c>
      <c r="O260" s="761">
        <f t="shared" si="46"/>
        <v>0</v>
      </c>
      <c r="P260" s="28"/>
      <c r="Q260" s="1681">
        <f t="shared" si="56"/>
        <v>0</v>
      </c>
      <c r="R260" s="1682">
        <f t="shared" si="47"/>
        <v>0</v>
      </c>
      <c r="S260" s="1682">
        <f t="shared" si="57"/>
        <v>0</v>
      </c>
      <c r="T260" s="1682">
        <f t="shared" si="58"/>
        <v>1900</v>
      </c>
    </row>
    <row r="261" spans="2:20" s="283" customFormat="1" ht="13.8" x14ac:dyDescent="0.3">
      <c r="B261" s="758" cm="1">
        <f t="array" ref="B261">IF(active_refi=1,IF(ROW()-ROW($B$24)&lt;=$E$12*$E$13+refi_month,ROW()-ROW($B$24),0),IF(activeloan,IF(L260=0,0,IF(ROW()-ROW($B$24)&lt;=$D$12*$D$13,ROW()-ROW($B$24),0)),0))</f>
        <v>0</v>
      </c>
      <c r="C261" s="759">
        <f t="shared" si="48"/>
        <v>0</v>
      </c>
      <c r="D261" s="760">
        <f t="shared" si="49"/>
        <v>118970</v>
      </c>
      <c r="E261" s="760">
        <f t="shared" si="50"/>
        <v>0</v>
      </c>
      <c r="F261" s="760">
        <f t="shared" si="51"/>
        <v>0</v>
      </c>
      <c r="G261" s="340">
        <v>0</v>
      </c>
      <c r="H261" s="760">
        <f t="shared" si="52"/>
        <v>0</v>
      </c>
      <c r="I261" s="760">
        <f t="shared" si="59"/>
        <v>0</v>
      </c>
      <c r="J261" s="760">
        <f t="shared" si="53"/>
        <v>0</v>
      </c>
      <c r="K261" s="760">
        <f t="shared" si="54"/>
        <v>0</v>
      </c>
      <c r="L261" s="760">
        <f t="shared" si="55"/>
        <v>118970</v>
      </c>
      <c r="M261" s="760">
        <f>IFERROR(IF(L260=0,0,SUM($J$25:J261)),0)</f>
        <v>0</v>
      </c>
      <c r="N261" s="366">
        <f t="shared" si="45"/>
        <v>1.025603448275862</v>
      </c>
      <c r="O261" s="761">
        <f t="shared" si="46"/>
        <v>0</v>
      </c>
      <c r="P261" s="28"/>
      <c r="Q261" s="1681">
        <f t="shared" si="56"/>
        <v>0</v>
      </c>
      <c r="R261" s="1682">
        <f t="shared" si="47"/>
        <v>0</v>
      </c>
      <c r="S261" s="1682">
        <f t="shared" si="57"/>
        <v>0</v>
      </c>
      <c r="T261" s="1682">
        <f t="shared" si="58"/>
        <v>1900</v>
      </c>
    </row>
    <row r="262" spans="2:20" s="283" customFormat="1" ht="13.8" x14ac:dyDescent="0.3">
      <c r="B262" s="758" cm="1">
        <f t="array" ref="B262">IF(active_refi=1,IF(ROW()-ROW($B$24)&lt;=$E$12*$E$13+refi_month,ROW()-ROW($B$24),0),IF(activeloan,IF(L261=0,0,IF(ROW()-ROW($B$24)&lt;=$D$12*$D$13,ROW()-ROW($B$24),0)),0))</f>
        <v>0</v>
      </c>
      <c r="C262" s="759">
        <f t="shared" si="48"/>
        <v>0</v>
      </c>
      <c r="D262" s="760">
        <f t="shared" si="49"/>
        <v>118970</v>
      </c>
      <c r="E262" s="760">
        <f t="shared" si="50"/>
        <v>0</v>
      </c>
      <c r="F262" s="760">
        <f t="shared" si="51"/>
        <v>0</v>
      </c>
      <c r="G262" s="340">
        <v>0</v>
      </c>
      <c r="H262" s="760">
        <f t="shared" si="52"/>
        <v>0</v>
      </c>
      <c r="I262" s="760">
        <f t="shared" si="59"/>
        <v>0</v>
      </c>
      <c r="J262" s="760">
        <f t="shared" si="53"/>
        <v>0</v>
      </c>
      <c r="K262" s="760">
        <f t="shared" si="54"/>
        <v>0</v>
      </c>
      <c r="L262" s="760">
        <f t="shared" si="55"/>
        <v>118970</v>
      </c>
      <c r="M262" s="760">
        <f>IFERROR(IF(L261=0,0,SUM($J$25:J262)),0)</f>
        <v>0</v>
      </c>
      <c r="N262" s="366">
        <f t="shared" si="45"/>
        <v>1.025603448275862</v>
      </c>
      <c r="O262" s="761">
        <f t="shared" si="46"/>
        <v>0</v>
      </c>
      <c r="P262" s="28"/>
      <c r="Q262" s="1681">
        <f t="shared" si="56"/>
        <v>0</v>
      </c>
      <c r="R262" s="1682">
        <f t="shared" si="47"/>
        <v>0</v>
      </c>
      <c r="S262" s="1682">
        <f t="shared" si="57"/>
        <v>0</v>
      </c>
      <c r="T262" s="1682">
        <f t="shared" si="58"/>
        <v>1900</v>
      </c>
    </row>
    <row r="263" spans="2:20" s="283" customFormat="1" ht="13.8" x14ac:dyDescent="0.3">
      <c r="B263" s="758" cm="1">
        <f t="array" ref="B263">IF(active_refi=1,IF(ROW()-ROW($B$24)&lt;=$E$12*$E$13+refi_month,ROW()-ROW($B$24),0),IF(activeloan,IF(L262=0,0,IF(ROW()-ROW($B$24)&lt;=$D$12*$D$13,ROW()-ROW($B$24),0)),0))</f>
        <v>0</v>
      </c>
      <c r="C263" s="759">
        <f t="shared" si="48"/>
        <v>0</v>
      </c>
      <c r="D263" s="760">
        <f t="shared" si="49"/>
        <v>118970</v>
      </c>
      <c r="E263" s="760">
        <f t="shared" si="50"/>
        <v>0</v>
      </c>
      <c r="F263" s="760">
        <f t="shared" si="51"/>
        <v>0</v>
      </c>
      <c r="G263" s="340">
        <v>0</v>
      </c>
      <c r="H263" s="760">
        <f t="shared" si="52"/>
        <v>0</v>
      </c>
      <c r="I263" s="760">
        <f t="shared" si="59"/>
        <v>0</v>
      </c>
      <c r="J263" s="760">
        <f t="shared" si="53"/>
        <v>0</v>
      </c>
      <c r="K263" s="760">
        <f t="shared" si="54"/>
        <v>0</v>
      </c>
      <c r="L263" s="760">
        <f t="shared" si="55"/>
        <v>118970</v>
      </c>
      <c r="M263" s="760">
        <f>IFERROR(IF(L262=0,0,SUM($J$25:J263)),0)</f>
        <v>0</v>
      </c>
      <c r="N263" s="366">
        <f t="shared" si="45"/>
        <v>1.025603448275862</v>
      </c>
      <c r="O263" s="761">
        <f t="shared" si="46"/>
        <v>0</v>
      </c>
      <c r="P263" s="28"/>
      <c r="Q263" s="1681">
        <f t="shared" si="56"/>
        <v>0</v>
      </c>
      <c r="R263" s="1682">
        <f t="shared" si="47"/>
        <v>0</v>
      </c>
      <c r="S263" s="1682">
        <f t="shared" si="57"/>
        <v>0</v>
      </c>
      <c r="T263" s="1682">
        <f t="shared" si="58"/>
        <v>1900</v>
      </c>
    </row>
    <row r="264" spans="2:20" s="283" customFormat="1" ht="13.8" x14ac:dyDescent="0.3">
      <c r="B264" s="758" cm="1">
        <f t="array" ref="B264">IF(active_refi=1,IF(ROW()-ROW($B$24)&lt;=$E$12*$E$13+refi_month,ROW()-ROW($B$24),0),IF(activeloan,IF(L263=0,0,IF(ROW()-ROW($B$24)&lt;=$D$12*$D$13,ROW()-ROW($B$24),0)),0))</f>
        <v>0</v>
      </c>
      <c r="C264" s="759">
        <f t="shared" si="48"/>
        <v>0</v>
      </c>
      <c r="D264" s="760">
        <f t="shared" si="49"/>
        <v>118970</v>
      </c>
      <c r="E264" s="760">
        <f t="shared" si="50"/>
        <v>0</v>
      </c>
      <c r="F264" s="760">
        <f t="shared" si="51"/>
        <v>0</v>
      </c>
      <c r="G264" s="340">
        <v>0</v>
      </c>
      <c r="H264" s="760">
        <f t="shared" si="52"/>
        <v>0</v>
      </c>
      <c r="I264" s="760">
        <f t="shared" si="59"/>
        <v>0</v>
      </c>
      <c r="J264" s="760">
        <f t="shared" si="53"/>
        <v>0</v>
      </c>
      <c r="K264" s="760">
        <f t="shared" si="54"/>
        <v>0</v>
      </c>
      <c r="L264" s="760">
        <f t="shared" si="55"/>
        <v>118970</v>
      </c>
      <c r="M264" s="760">
        <f>IFERROR(IF(L263=0,0,SUM($J$25:J264)),0)</f>
        <v>0</v>
      </c>
      <c r="N264" s="366">
        <f t="shared" si="45"/>
        <v>1.025603448275862</v>
      </c>
      <c r="O264" s="761">
        <f t="shared" si="46"/>
        <v>0</v>
      </c>
      <c r="P264" s="28"/>
      <c r="Q264" s="1681">
        <f t="shared" si="56"/>
        <v>0</v>
      </c>
      <c r="R264" s="1682">
        <f t="shared" si="47"/>
        <v>0</v>
      </c>
      <c r="S264" s="1682">
        <f t="shared" si="57"/>
        <v>0</v>
      </c>
      <c r="T264" s="1682">
        <f t="shared" si="58"/>
        <v>1900</v>
      </c>
    </row>
    <row r="265" spans="2:20" s="283" customFormat="1" ht="13.8" x14ac:dyDescent="0.3">
      <c r="B265" s="758" cm="1">
        <f t="array" ref="B265">IF(active_refi=1,IF(ROW()-ROW($B$24)&lt;=$E$12*$E$13+refi_month,ROW()-ROW($B$24),0),IF(activeloan,IF(L264=0,0,IF(ROW()-ROW($B$24)&lt;=$D$12*$D$13,ROW()-ROW($B$24),0)),0))</f>
        <v>0</v>
      </c>
      <c r="C265" s="759">
        <f t="shared" si="48"/>
        <v>0</v>
      </c>
      <c r="D265" s="760">
        <f t="shared" si="49"/>
        <v>118970</v>
      </c>
      <c r="E265" s="760">
        <f t="shared" si="50"/>
        <v>0</v>
      </c>
      <c r="F265" s="760">
        <f t="shared" si="51"/>
        <v>0</v>
      </c>
      <c r="G265" s="340">
        <v>0</v>
      </c>
      <c r="H265" s="760">
        <f t="shared" si="52"/>
        <v>0</v>
      </c>
      <c r="I265" s="760">
        <f t="shared" si="59"/>
        <v>0</v>
      </c>
      <c r="J265" s="760">
        <f t="shared" si="53"/>
        <v>0</v>
      </c>
      <c r="K265" s="760">
        <f t="shared" si="54"/>
        <v>0</v>
      </c>
      <c r="L265" s="760">
        <f t="shared" si="55"/>
        <v>118970</v>
      </c>
      <c r="M265" s="760">
        <f>IFERROR(IF(L264=0,0,SUM($J$25:J265)),0)</f>
        <v>0</v>
      </c>
      <c r="N265" s="366">
        <f t="shared" si="45"/>
        <v>1.025603448275862</v>
      </c>
      <c r="O265" s="761">
        <f t="shared" si="46"/>
        <v>0</v>
      </c>
      <c r="P265" s="28"/>
      <c r="Q265" s="1681">
        <f t="shared" si="56"/>
        <v>0</v>
      </c>
      <c r="R265" s="1682">
        <f t="shared" si="47"/>
        <v>0</v>
      </c>
      <c r="S265" s="1682">
        <f t="shared" si="57"/>
        <v>0</v>
      </c>
      <c r="T265" s="1682">
        <f t="shared" si="58"/>
        <v>1900</v>
      </c>
    </row>
    <row r="266" spans="2:20" s="283" customFormat="1" ht="13.8" x14ac:dyDescent="0.3">
      <c r="B266" s="758" cm="1">
        <f t="array" ref="B266">IF(active_refi=1,IF(ROW()-ROW($B$24)&lt;=$E$12*$E$13+refi_month,ROW()-ROW($B$24),0),IF(activeloan,IF(L265=0,0,IF(ROW()-ROW($B$24)&lt;=$D$12*$D$13,ROW()-ROW($B$24),0)),0))</f>
        <v>0</v>
      </c>
      <c r="C266" s="759">
        <f t="shared" si="48"/>
        <v>0</v>
      </c>
      <c r="D266" s="760">
        <f t="shared" si="49"/>
        <v>118970</v>
      </c>
      <c r="E266" s="760">
        <f t="shared" si="50"/>
        <v>0</v>
      </c>
      <c r="F266" s="760">
        <f t="shared" si="51"/>
        <v>0</v>
      </c>
      <c r="G266" s="340">
        <v>0</v>
      </c>
      <c r="H266" s="760">
        <f t="shared" si="52"/>
        <v>0</v>
      </c>
      <c r="I266" s="760">
        <f t="shared" si="59"/>
        <v>0</v>
      </c>
      <c r="J266" s="760">
        <f t="shared" si="53"/>
        <v>0</v>
      </c>
      <c r="K266" s="760">
        <f t="shared" si="54"/>
        <v>0</v>
      </c>
      <c r="L266" s="760">
        <f t="shared" si="55"/>
        <v>118970</v>
      </c>
      <c r="M266" s="760">
        <f>IFERROR(IF(L265=0,0,SUM($J$25:J266)),0)</f>
        <v>0</v>
      </c>
      <c r="N266" s="366">
        <f t="shared" si="45"/>
        <v>1.025603448275862</v>
      </c>
      <c r="O266" s="761">
        <f t="shared" si="46"/>
        <v>0</v>
      </c>
      <c r="P266" s="28"/>
      <c r="Q266" s="1681">
        <f t="shared" si="56"/>
        <v>0</v>
      </c>
      <c r="R266" s="1682">
        <f t="shared" si="47"/>
        <v>0</v>
      </c>
      <c r="S266" s="1682">
        <f t="shared" si="57"/>
        <v>0</v>
      </c>
      <c r="T266" s="1682">
        <f t="shared" si="58"/>
        <v>1900</v>
      </c>
    </row>
    <row r="267" spans="2:20" s="283" customFormat="1" ht="13.8" x14ac:dyDescent="0.3">
      <c r="B267" s="758" cm="1">
        <f t="array" ref="B267">IF(active_refi=1,IF(ROW()-ROW($B$24)&lt;=$E$12*$E$13+refi_month,ROW()-ROW($B$24),0),IF(activeloan,IF(L266=0,0,IF(ROW()-ROW($B$24)&lt;=$D$12*$D$13,ROW()-ROW($B$24),0)),0))</f>
        <v>0</v>
      </c>
      <c r="C267" s="759">
        <f t="shared" si="48"/>
        <v>0</v>
      </c>
      <c r="D267" s="760">
        <f t="shared" si="49"/>
        <v>118970</v>
      </c>
      <c r="E267" s="760">
        <f t="shared" si="50"/>
        <v>0</v>
      </c>
      <c r="F267" s="760">
        <f t="shared" si="51"/>
        <v>0</v>
      </c>
      <c r="G267" s="340">
        <v>0</v>
      </c>
      <c r="H267" s="760">
        <f t="shared" si="52"/>
        <v>0</v>
      </c>
      <c r="I267" s="760">
        <f t="shared" si="59"/>
        <v>0</v>
      </c>
      <c r="J267" s="760">
        <f t="shared" si="53"/>
        <v>0</v>
      </c>
      <c r="K267" s="760">
        <f t="shared" si="54"/>
        <v>0</v>
      </c>
      <c r="L267" s="760">
        <f t="shared" si="55"/>
        <v>118970</v>
      </c>
      <c r="M267" s="760">
        <f>IFERROR(IF(L266=0,0,SUM($J$25:J267)),0)</f>
        <v>0</v>
      </c>
      <c r="N267" s="366">
        <f t="shared" si="45"/>
        <v>1.025603448275862</v>
      </c>
      <c r="O267" s="761">
        <f t="shared" si="46"/>
        <v>0</v>
      </c>
      <c r="P267" s="28"/>
      <c r="Q267" s="1681">
        <f t="shared" si="56"/>
        <v>0</v>
      </c>
      <c r="R267" s="1682">
        <f t="shared" si="47"/>
        <v>0</v>
      </c>
      <c r="S267" s="1682">
        <f t="shared" si="57"/>
        <v>0</v>
      </c>
      <c r="T267" s="1682">
        <f t="shared" si="58"/>
        <v>1900</v>
      </c>
    </row>
    <row r="268" spans="2:20" s="283" customFormat="1" ht="13.8" x14ac:dyDescent="0.3">
      <c r="B268" s="758" cm="1">
        <f t="array" ref="B268">IF(active_refi=1,IF(ROW()-ROW($B$24)&lt;=$E$12*$E$13+refi_month,ROW()-ROW($B$24),0),IF(activeloan,IF(L267=0,0,IF(ROW()-ROW($B$24)&lt;=$D$12*$D$13,ROW()-ROW($B$24),0)),0))</f>
        <v>0</v>
      </c>
      <c r="C268" s="759">
        <f t="shared" si="48"/>
        <v>0</v>
      </c>
      <c r="D268" s="760">
        <f t="shared" si="49"/>
        <v>118970</v>
      </c>
      <c r="E268" s="760">
        <f t="shared" si="50"/>
        <v>0</v>
      </c>
      <c r="F268" s="760">
        <f t="shared" si="51"/>
        <v>0</v>
      </c>
      <c r="G268" s="340">
        <v>0</v>
      </c>
      <c r="H268" s="760">
        <f t="shared" si="52"/>
        <v>0</v>
      </c>
      <c r="I268" s="760">
        <f t="shared" si="59"/>
        <v>0</v>
      </c>
      <c r="J268" s="760">
        <f t="shared" si="53"/>
        <v>0</v>
      </c>
      <c r="K268" s="760">
        <f t="shared" si="54"/>
        <v>0</v>
      </c>
      <c r="L268" s="760">
        <f t="shared" si="55"/>
        <v>118970</v>
      </c>
      <c r="M268" s="760">
        <f>IFERROR(IF(L267=0,0,SUM($J$25:J268)),0)</f>
        <v>0</v>
      </c>
      <c r="N268" s="366">
        <f t="shared" si="45"/>
        <v>1.025603448275862</v>
      </c>
      <c r="O268" s="761">
        <f t="shared" si="46"/>
        <v>0</v>
      </c>
      <c r="P268" s="28"/>
      <c r="Q268" s="1681">
        <f t="shared" si="56"/>
        <v>0</v>
      </c>
      <c r="R268" s="1682">
        <f t="shared" si="47"/>
        <v>0</v>
      </c>
      <c r="S268" s="1682">
        <f t="shared" si="57"/>
        <v>0</v>
      </c>
      <c r="T268" s="1682">
        <f t="shared" si="58"/>
        <v>1900</v>
      </c>
    </row>
    <row r="269" spans="2:20" s="283" customFormat="1" ht="13.8" x14ac:dyDescent="0.3">
      <c r="B269" s="758" cm="1">
        <f t="array" ref="B269">IF(active_refi=1,IF(ROW()-ROW($B$24)&lt;=$E$12*$E$13+refi_month,ROW()-ROW($B$24),0),IF(activeloan,IF(L268=0,0,IF(ROW()-ROW($B$24)&lt;=$D$12*$D$13,ROW()-ROW($B$24),0)),0))</f>
        <v>0</v>
      </c>
      <c r="C269" s="759">
        <f t="shared" si="48"/>
        <v>0</v>
      </c>
      <c r="D269" s="760">
        <f t="shared" si="49"/>
        <v>118970</v>
      </c>
      <c r="E269" s="760">
        <f t="shared" si="50"/>
        <v>0</v>
      </c>
      <c r="F269" s="760">
        <f t="shared" si="51"/>
        <v>0</v>
      </c>
      <c r="G269" s="340">
        <v>0</v>
      </c>
      <c r="H269" s="760">
        <f t="shared" si="52"/>
        <v>0</v>
      </c>
      <c r="I269" s="760">
        <f t="shared" si="59"/>
        <v>0</v>
      </c>
      <c r="J269" s="760">
        <f t="shared" si="53"/>
        <v>0</v>
      </c>
      <c r="K269" s="760">
        <f t="shared" si="54"/>
        <v>0</v>
      </c>
      <c r="L269" s="760">
        <f t="shared" si="55"/>
        <v>118970</v>
      </c>
      <c r="M269" s="760">
        <f>IFERROR(IF(L268=0,0,SUM($J$25:J269)),0)</f>
        <v>0</v>
      </c>
      <c r="N269" s="366">
        <f t="shared" si="45"/>
        <v>1.025603448275862</v>
      </c>
      <c r="O269" s="761">
        <f t="shared" si="46"/>
        <v>0</v>
      </c>
      <c r="P269" s="28"/>
      <c r="Q269" s="1681">
        <f t="shared" si="56"/>
        <v>0</v>
      </c>
      <c r="R269" s="1682">
        <f t="shared" si="47"/>
        <v>0</v>
      </c>
      <c r="S269" s="1682">
        <f t="shared" si="57"/>
        <v>0</v>
      </c>
      <c r="T269" s="1682">
        <f t="shared" si="58"/>
        <v>1900</v>
      </c>
    </row>
    <row r="270" spans="2:20" s="283" customFormat="1" ht="13.8" x14ac:dyDescent="0.3">
      <c r="B270" s="758" cm="1">
        <f t="array" ref="B270">IF(active_refi=1,IF(ROW()-ROW($B$24)&lt;=$E$12*$E$13+refi_month,ROW()-ROW($B$24),0),IF(activeloan,IF(L269=0,0,IF(ROW()-ROW($B$24)&lt;=$D$12*$D$13,ROW()-ROW($B$24),0)),0))</f>
        <v>0</v>
      </c>
      <c r="C270" s="759">
        <f t="shared" si="48"/>
        <v>0</v>
      </c>
      <c r="D270" s="760">
        <f t="shared" si="49"/>
        <v>118970</v>
      </c>
      <c r="E270" s="760">
        <f t="shared" si="50"/>
        <v>0</v>
      </c>
      <c r="F270" s="760">
        <f t="shared" si="51"/>
        <v>0</v>
      </c>
      <c r="G270" s="340">
        <v>0</v>
      </c>
      <c r="H270" s="760">
        <f t="shared" si="52"/>
        <v>0</v>
      </c>
      <c r="I270" s="760">
        <f t="shared" si="59"/>
        <v>0</v>
      </c>
      <c r="J270" s="760">
        <f t="shared" si="53"/>
        <v>0</v>
      </c>
      <c r="K270" s="760">
        <f t="shared" si="54"/>
        <v>0</v>
      </c>
      <c r="L270" s="760">
        <f t="shared" si="55"/>
        <v>118970</v>
      </c>
      <c r="M270" s="760">
        <f>IFERROR(IF(L269=0,0,SUM($J$25:J270)),0)</f>
        <v>0</v>
      </c>
      <c r="N270" s="366">
        <f t="shared" si="45"/>
        <v>1.025603448275862</v>
      </c>
      <c r="O270" s="761">
        <f t="shared" si="46"/>
        <v>0</v>
      </c>
      <c r="P270" s="28"/>
      <c r="Q270" s="1681">
        <f t="shared" si="56"/>
        <v>0</v>
      </c>
      <c r="R270" s="1682">
        <f t="shared" si="47"/>
        <v>0</v>
      </c>
      <c r="S270" s="1682">
        <f t="shared" si="57"/>
        <v>0</v>
      </c>
      <c r="T270" s="1682">
        <f t="shared" si="58"/>
        <v>1900</v>
      </c>
    </row>
    <row r="271" spans="2:20" s="283" customFormat="1" ht="13.8" x14ac:dyDescent="0.3">
      <c r="B271" s="758" cm="1">
        <f t="array" ref="B271">IF(active_refi=1,IF(ROW()-ROW($B$24)&lt;=$E$12*$E$13+refi_month,ROW()-ROW($B$24),0),IF(activeloan,IF(L270=0,0,IF(ROW()-ROW($B$24)&lt;=$D$12*$D$13,ROW()-ROW($B$24),0)),0))</f>
        <v>0</v>
      </c>
      <c r="C271" s="759">
        <f t="shared" si="48"/>
        <v>0</v>
      </c>
      <c r="D271" s="760">
        <f t="shared" si="49"/>
        <v>118970</v>
      </c>
      <c r="E271" s="760">
        <f t="shared" si="50"/>
        <v>0</v>
      </c>
      <c r="F271" s="760">
        <f t="shared" si="51"/>
        <v>0</v>
      </c>
      <c r="G271" s="340">
        <v>0</v>
      </c>
      <c r="H271" s="760">
        <f t="shared" si="52"/>
        <v>0</v>
      </c>
      <c r="I271" s="760">
        <f t="shared" si="59"/>
        <v>0</v>
      </c>
      <c r="J271" s="760">
        <f t="shared" si="53"/>
        <v>0</v>
      </c>
      <c r="K271" s="760">
        <f t="shared" si="54"/>
        <v>0</v>
      </c>
      <c r="L271" s="760">
        <f t="shared" si="55"/>
        <v>118970</v>
      </c>
      <c r="M271" s="760">
        <f>IFERROR(IF(L270=0,0,SUM($J$25:J271)),0)</f>
        <v>0</v>
      </c>
      <c r="N271" s="366">
        <f t="shared" si="45"/>
        <v>1.025603448275862</v>
      </c>
      <c r="O271" s="761">
        <f t="shared" si="46"/>
        <v>0</v>
      </c>
      <c r="P271" s="28"/>
      <c r="Q271" s="1681">
        <f t="shared" si="56"/>
        <v>0</v>
      </c>
      <c r="R271" s="1682">
        <f t="shared" si="47"/>
        <v>0</v>
      </c>
      <c r="S271" s="1682">
        <f t="shared" si="57"/>
        <v>0</v>
      </c>
      <c r="T271" s="1682">
        <f t="shared" si="58"/>
        <v>1900</v>
      </c>
    </row>
    <row r="272" spans="2:20" s="283" customFormat="1" ht="13.8" x14ac:dyDescent="0.3">
      <c r="B272" s="758" cm="1">
        <f t="array" ref="B272">IF(active_refi=1,IF(ROW()-ROW($B$24)&lt;=$E$12*$E$13+refi_month,ROW()-ROW($B$24),0),IF(activeloan,IF(L271=0,0,IF(ROW()-ROW($B$24)&lt;=$D$12*$D$13,ROW()-ROW($B$24),0)),0))</f>
        <v>0</v>
      </c>
      <c r="C272" s="759">
        <f t="shared" si="48"/>
        <v>0</v>
      </c>
      <c r="D272" s="760">
        <f t="shared" si="49"/>
        <v>118970</v>
      </c>
      <c r="E272" s="760">
        <f t="shared" si="50"/>
        <v>0</v>
      </c>
      <c r="F272" s="760">
        <f t="shared" si="51"/>
        <v>0</v>
      </c>
      <c r="G272" s="340">
        <v>0</v>
      </c>
      <c r="H272" s="760">
        <f t="shared" si="52"/>
        <v>0</v>
      </c>
      <c r="I272" s="760">
        <f t="shared" si="59"/>
        <v>0</v>
      </c>
      <c r="J272" s="760">
        <f t="shared" si="53"/>
        <v>0</v>
      </c>
      <c r="K272" s="760">
        <f t="shared" si="54"/>
        <v>0</v>
      </c>
      <c r="L272" s="760">
        <f t="shared" si="55"/>
        <v>118970</v>
      </c>
      <c r="M272" s="760">
        <f>IFERROR(IF(L271=0,0,SUM($J$25:J272)),0)</f>
        <v>0</v>
      </c>
      <c r="N272" s="366">
        <f t="shared" si="45"/>
        <v>1.025603448275862</v>
      </c>
      <c r="O272" s="761">
        <f t="shared" si="46"/>
        <v>0</v>
      </c>
      <c r="P272" s="28"/>
      <c r="Q272" s="1681">
        <f t="shared" si="56"/>
        <v>0</v>
      </c>
      <c r="R272" s="1682">
        <f t="shared" si="47"/>
        <v>0</v>
      </c>
      <c r="S272" s="1682">
        <f t="shared" si="57"/>
        <v>0</v>
      </c>
      <c r="T272" s="1682">
        <f t="shared" si="58"/>
        <v>1900</v>
      </c>
    </row>
    <row r="273" spans="2:20" s="283" customFormat="1" ht="13.8" x14ac:dyDescent="0.3">
      <c r="B273" s="758" cm="1">
        <f t="array" ref="B273">IF(active_refi=1,IF(ROW()-ROW($B$24)&lt;=$E$12*$E$13+refi_month,ROW()-ROW($B$24),0),IF(activeloan,IF(L272=0,0,IF(ROW()-ROW($B$24)&lt;=$D$12*$D$13,ROW()-ROW($B$24),0)),0))</f>
        <v>0</v>
      </c>
      <c r="C273" s="759">
        <f t="shared" si="48"/>
        <v>0</v>
      </c>
      <c r="D273" s="760">
        <f t="shared" si="49"/>
        <v>118970</v>
      </c>
      <c r="E273" s="760">
        <f t="shared" si="50"/>
        <v>0</v>
      </c>
      <c r="F273" s="760">
        <f t="shared" si="51"/>
        <v>0</v>
      </c>
      <c r="G273" s="340">
        <v>0</v>
      </c>
      <c r="H273" s="760">
        <f t="shared" si="52"/>
        <v>0</v>
      </c>
      <c r="I273" s="760">
        <f t="shared" si="59"/>
        <v>0</v>
      </c>
      <c r="J273" s="760">
        <f t="shared" si="53"/>
        <v>0</v>
      </c>
      <c r="K273" s="760">
        <f t="shared" si="54"/>
        <v>0</v>
      </c>
      <c r="L273" s="760">
        <f t="shared" si="55"/>
        <v>118970</v>
      </c>
      <c r="M273" s="760">
        <f>IFERROR(IF(L272=0,0,SUM($J$25:J273)),0)</f>
        <v>0</v>
      </c>
      <c r="N273" s="366">
        <f t="shared" si="45"/>
        <v>1.025603448275862</v>
      </c>
      <c r="O273" s="761">
        <f t="shared" si="46"/>
        <v>0</v>
      </c>
      <c r="P273" s="28"/>
      <c r="Q273" s="1681">
        <f t="shared" si="56"/>
        <v>0</v>
      </c>
      <c r="R273" s="1682">
        <f t="shared" si="47"/>
        <v>0</v>
      </c>
      <c r="S273" s="1682">
        <f t="shared" si="57"/>
        <v>0</v>
      </c>
      <c r="T273" s="1682">
        <f t="shared" si="58"/>
        <v>1900</v>
      </c>
    </row>
    <row r="274" spans="2:20" s="283" customFormat="1" ht="13.8" x14ac:dyDescent="0.3">
      <c r="B274" s="758" cm="1">
        <f t="array" ref="B274">IF(active_refi=1,IF(ROW()-ROW($B$24)&lt;=$E$12*$E$13+refi_month,ROW()-ROW($B$24),0),IF(activeloan,IF(L273=0,0,IF(ROW()-ROW($B$24)&lt;=$D$12*$D$13,ROW()-ROW($B$24),0)),0))</f>
        <v>0</v>
      </c>
      <c r="C274" s="759">
        <f t="shared" si="48"/>
        <v>0</v>
      </c>
      <c r="D274" s="760">
        <f t="shared" si="49"/>
        <v>118970</v>
      </c>
      <c r="E274" s="760">
        <f t="shared" si="50"/>
        <v>0</v>
      </c>
      <c r="F274" s="760">
        <f t="shared" si="51"/>
        <v>0</v>
      </c>
      <c r="G274" s="340">
        <v>0</v>
      </c>
      <c r="H274" s="760">
        <f t="shared" si="52"/>
        <v>0</v>
      </c>
      <c r="I274" s="760">
        <f t="shared" si="59"/>
        <v>0</v>
      </c>
      <c r="J274" s="760">
        <f t="shared" si="53"/>
        <v>0</v>
      </c>
      <c r="K274" s="760">
        <f t="shared" si="54"/>
        <v>0</v>
      </c>
      <c r="L274" s="760">
        <f t="shared" si="55"/>
        <v>118970</v>
      </c>
      <c r="M274" s="760">
        <f>IFERROR(IF(L273=0,0,SUM($J$25:J274)),0)</f>
        <v>0</v>
      </c>
      <c r="N274" s="366">
        <f t="shared" si="45"/>
        <v>1.025603448275862</v>
      </c>
      <c r="O274" s="761">
        <f t="shared" si="46"/>
        <v>0</v>
      </c>
      <c r="P274" s="28"/>
      <c r="Q274" s="1681">
        <f t="shared" si="56"/>
        <v>0</v>
      </c>
      <c r="R274" s="1682">
        <f t="shared" si="47"/>
        <v>0</v>
      </c>
      <c r="S274" s="1682">
        <f t="shared" si="57"/>
        <v>0</v>
      </c>
      <c r="T274" s="1682">
        <f t="shared" si="58"/>
        <v>1900</v>
      </c>
    </row>
    <row r="275" spans="2:20" s="283" customFormat="1" ht="13.8" x14ac:dyDescent="0.3">
      <c r="B275" s="758" cm="1">
        <f t="array" ref="B275">IF(active_refi=1,IF(ROW()-ROW($B$24)&lt;=$E$12*$E$13+refi_month,ROW()-ROW($B$24),0),IF(activeloan,IF(L274=0,0,IF(ROW()-ROW($B$24)&lt;=$D$12*$D$13,ROW()-ROW($B$24),0)),0))</f>
        <v>0</v>
      </c>
      <c r="C275" s="759">
        <f t="shared" si="48"/>
        <v>0</v>
      </c>
      <c r="D275" s="760">
        <f t="shared" si="49"/>
        <v>118970</v>
      </c>
      <c r="E275" s="760">
        <f t="shared" si="50"/>
        <v>0</v>
      </c>
      <c r="F275" s="760">
        <f t="shared" si="51"/>
        <v>0</v>
      </c>
      <c r="G275" s="340">
        <v>0</v>
      </c>
      <c r="H275" s="760">
        <f t="shared" si="52"/>
        <v>0</v>
      </c>
      <c r="I275" s="760">
        <f t="shared" si="59"/>
        <v>0</v>
      </c>
      <c r="J275" s="760">
        <f t="shared" si="53"/>
        <v>0</v>
      </c>
      <c r="K275" s="760">
        <f t="shared" si="54"/>
        <v>0</v>
      </c>
      <c r="L275" s="760">
        <f t="shared" si="55"/>
        <v>118970</v>
      </c>
      <c r="M275" s="760">
        <f>IFERROR(IF(L274=0,0,SUM($J$25:J275)),0)</f>
        <v>0</v>
      </c>
      <c r="N275" s="366">
        <f t="shared" si="45"/>
        <v>1.025603448275862</v>
      </c>
      <c r="O275" s="761">
        <f t="shared" si="46"/>
        <v>0</v>
      </c>
      <c r="P275" s="28"/>
      <c r="Q275" s="1681">
        <f t="shared" si="56"/>
        <v>0</v>
      </c>
      <c r="R275" s="1682">
        <f t="shared" si="47"/>
        <v>0</v>
      </c>
      <c r="S275" s="1682">
        <f t="shared" si="57"/>
        <v>0</v>
      </c>
      <c r="T275" s="1682">
        <f t="shared" si="58"/>
        <v>1900</v>
      </c>
    </row>
    <row r="276" spans="2:20" s="283" customFormat="1" ht="13.8" x14ac:dyDescent="0.3">
      <c r="B276" s="758" cm="1">
        <f t="array" ref="B276">IF(active_refi=1,IF(ROW()-ROW($B$24)&lt;=$E$12*$E$13+refi_month,ROW()-ROW($B$24),0),IF(activeloan,IF(L275=0,0,IF(ROW()-ROW($B$24)&lt;=$D$12*$D$13,ROW()-ROW($B$24),0)),0))</f>
        <v>0</v>
      </c>
      <c r="C276" s="759">
        <f t="shared" si="48"/>
        <v>0</v>
      </c>
      <c r="D276" s="760">
        <f t="shared" si="49"/>
        <v>118970</v>
      </c>
      <c r="E276" s="760">
        <f t="shared" si="50"/>
        <v>0</v>
      </c>
      <c r="F276" s="760">
        <f t="shared" si="51"/>
        <v>0</v>
      </c>
      <c r="G276" s="340">
        <v>0</v>
      </c>
      <c r="H276" s="760">
        <f t="shared" si="52"/>
        <v>0</v>
      </c>
      <c r="I276" s="760">
        <f t="shared" si="59"/>
        <v>0</v>
      </c>
      <c r="J276" s="760">
        <f t="shared" si="53"/>
        <v>0</v>
      </c>
      <c r="K276" s="760">
        <f t="shared" si="54"/>
        <v>0</v>
      </c>
      <c r="L276" s="760">
        <f t="shared" si="55"/>
        <v>118970</v>
      </c>
      <c r="M276" s="760">
        <f>IFERROR(IF(L275=0,0,SUM($J$25:J276)),0)</f>
        <v>0</v>
      </c>
      <c r="N276" s="366">
        <f t="shared" si="45"/>
        <v>1.025603448275862</v>
      </c>
      <c r="O276" s="761">
        <f t="shared" si="46"/>
        <v>0</v>
      </c>
      <c r="P276" s="28"/>
      <c r="Q276" s="1681">
        <f t="shared" si="56"/>
        <v>0</v>
      </c>
      <c r="R276" s="1682">
        <f t="shared" si="47"/>
        <v>0</v>
      </c>
      <c r="S276" s="1682">
        <f t="shared" si="57"/>
        <v>0</v>
      </c>
      <c r="T276" s="1682">
        <f t="shared" si="58"/>
        <v>1900</v>
      </c>
    </row>
    <row r="277" spans="2:20" s="283" customFormat="1" ht="13.8" x14ac:dyDescent="0.3">
      <c r="B277" s="758" cm="1">
        <f t="array" ref="B277">IF(active_refi=1,IF(ROW()-ROW($B$24)&lt;=$E$12*$E$13+refi_month,ROW()-ROW($B$24),0),IF(activeloan,IF(L276=0,0,IF(ROW()-ROW($B$24)&lt;=$D$12*$D$13,ROW()-ROW($B$24),0)),0))</f>
        <v>0</v>
      </c>
      <c r="C277" s="759">
        <f t="shared" si="48"/>
        <v>0</v>
      </c>
      <c r="D277" s="760">
        <f t="shared" si="49"/>
        <v>118970</v>
      </c>
      <c r="E277" s="760">
        <f t="shared" si="50"/>
        <v>0</v>
      </c>
      <c r="F277" s="760">
        <f t="shared" si="51"/>
        <v>0</v>
      </c>
      <c r="G277" s="340">
        <v>0</v>
      </c>
      <c r="H277" s="760">
        <f t="shared" si="52"/>
        <v>0</v>
      </c>
      <c r="I277" s="760">
        <f t="shared" si="59"/>
        <v>0</v>
      </c>
      <c r="J277" s="760">
        <f t="shared" si="53"/>
        <v>0</v>
      </c>
      <c r="K277" s="760">
        <f t="shared" si="54"/>
        <v>0</v>
      </c>
      <c r="L277" s="760">
        <f t="shared" si="55"/>
        <v>118970</v>
      </c>
      <c r="M277" s="760">
        <f>IFERROR(IF(L276=0,0,SUM($J$25:J277)),0)</f>
        <v>0</v>
      </c>
      <c r="N277" s="366">
        <f t="shared" si="45"/>
        <v>1.025603448275862</v>
      </c>
      <c r="O277" s="761">
        <f t="shared" si="46"/>
        <v>0</v>
      </c>
      <c r="P277" s="28"/>
      <c r="Q277" s="1681">
        <f t="shared" si="56"/>
        <v>0</v>
      </c>
      <c r="R277" s="1682">
        <f t="shared" si="47"/>
        <v>0</v>
      </c>
      <c r="S277" s="1682">
        <f t="shared" si="57"/>
        <v>0</v>
      </c>
      <c r="T277" s="1682">
        <f t="shared" si="58"/>
        <v>1900</v>
      </c>
    </row>
    <row r="278" spans="2:20" s="283" customFormat="1" ht="13.8" x14ac:dyDescent="0.3">
      <c r="B278" s="758" cm="1">
        <f t="array" ref="B278">IF(active_refi=1,IF(ROW()-ROW($B$24)&lt;=$E$12*$E$13+refi_month,ROW()-ROW($B$24),0),IF(activeloan,IF(L277=0,0,IF(ROW()-ROW($B$24)&lt;=$D$12*$D$13,ROW()-ROW($B$24),0)),0))</f>
        <v>0</v>
      </c>
      <c r="C278" s="759">
        <f t="shared" si="48"/>
        <v>0</v>
      </c>
      <c r="D278" s="760">
        <f t="shared" si="49"/>
        <v>118970</v>
      </c>
      <c r="E278" s="760">
        <f t="shared" si="50"/>
        <v>0</v>
      </c>
      <c r="F278" s="760">
        <f t="shared" si="51"/>
        <v>0</v>
      </c>
      <c r="G278" s="340">
        <v>0</v>
      </c>
      <c r="H278" s="760">
        <f t="shared" si="52"/>
        <v>0</v>
      </c>
      <c r="I278" s="760">
        <f t="shared" si="59"/>
        <v>0</v>
      </c>
      <c r="J278" s="760">
        <f t="shared" si="53"/>
        <v>0</v>
      </c>
      <c r="K278" s="760">
        <f t="shared" si="54"/>
        <v>0</v>
      </c>
      <c r="L278" s="760">
        <f t="shared" si="55"/>
        <v>118970</v>
      </c>
      <c r="M278" s="760">
        <f>IFERROR(IF(L277=0,0,SUM($J$25:J278)),0)</f>
        <v>0</v>
      </c>
      <c r="N278" s="366">
        <f t="shared" si="45"/>
        <v>1.025603448275862</v>
      </c>
      <c r="O278" s="761">
        <f t="shared" si="46"/>
        <v>0</v>
      </c>
      <c r="P278" s="28"/>
      <c r="Q278" s="1681">
        <f t="shared" si="56"/>
        <v>0</v>
      </c>
      <c r="R278" s="1682">
        <f t="shared" si="47"/>
        <v>0</v>
      </c>
      <c r="S278" s="1682">
        <f t="shared" si="57"/>
        <v>0</v>
      </c>
      <c r="T278" s="1682">
        <f t="shared" si="58"/>
        <v>1900</v>
      </c>
    </row>
    <row r="279" spans="2:20" s="283" customFormat="1" ht="13.8" x14ac:dyDescent="0.3">
      <c r="B279" s="758" cm="1">
        <f t="array" ref="B279">IF(active_refi=1,IF(ROW()-ROW($B$24)&lt;=$E$12*$E$13+refi_month,ROW()-ROW($B$24),0),IF(activeloan,IF(L278=0,0,IF(ROW()-ROW($B$24)&lt;=$D$12*$D$13,ROW()-ROW($B$24),0)),0))</f>
        <v>0</v>
      </c>
      <c r="C279" s="759">
        <f t="shared" si="48"/>
        <v>0</v>
      </c>
      <c r="D279" s="760">
        <f t="shared" si="49"/>
        <v>118970</v>
      </c>
      <c r="E279" s="760">
        <f t="shared" si="50"/>
        <v>0</v>
      </c>
      <c r="F279" s="760">
        <f t="shared" si="51"/>
        <v>0</v>
      </c>
      <c r="G279" s="340">
        <v>0</v>
      </c>
      <c r="H279" s="760">
        <f t="shared" si="52"/>
        <v>0</v>
      </c>
      <c r="I279" s="760">
        <f t="shared" si="59"/>
        <v>0</v>
      </c>
      <c r="J279" s="760">
        <f t="shared" si="53"/>
        <v>0</v>
      </c>
      <c r="K279" s="760">
        <f t="shared" si="54"/>
        <v>0</v>
      </c>
      <c r="L279" s="760">
        <f t="shared" si="55"/>
        <v>118970</v>
      </c>
      <c r="M279" s="760">
        <f>IFERROR(IF(L278=0,0,SUM($J$25:J279)),0)</f>
        <v>0</v>
      </c>
      <c r="N279" s="366">
        <f t="shared" si="45"/>
        <v>1.025603448275862</v>
      </c>
      <c r="O279" s="761">
        <f t="shared" si="46"/>
        <v>0</v>
      </c>
      <c r="P279" s="28"/>
      <c r="Q279" s="1681">
        <f t="shared" si="56"/>
        <v>0</v>
      </c>
      <c r="R279" s="1682">
        <f t="shared" si="47"/>
        <v>0</v>
      </c>
      <c r="S279" s="1682">
        <f t="shared" si="57"/>
        <v>0</v>
      </c>
      <c r="T279" s="1682">
        <f t="shared" si="58"/>
        <v>1900</v>
      </c>
    </row>
    <row r="280" spans="2:20" s="283" customFormat="1" ht="13.8" x14ac:dyDescent="0.3">
      <c r="B280" s="758" cm="1">
        <f t="array" ref="B280">IF(active_refi=1,IF(ROW()-ROW($B$24)&lt;=$E$12*$E$13+refi_month,ROW()-ROW($B$24),0),IF(activeloan,IF(L279=0,0,IF(ROW()-ROW($B$24)&lt;=$D$12*$D$13,ROW()-ROW($B$24),0)),0))</f>
        <v>0</v>
      </c>
      <c r="C280" s="759">
        <f t="shared" si="48"/>
        <v>0</v>
      </c>
      <c r="D280" s="760">
        <f t="shared" si="49"/>
        <v>118970</v>
      </c>
      <c r="E280" s="760">
        <f t="shared" si="50"/>
        <v>0</v>
      </c>
      <c r="F280" s="760">
        <f t="shared" si="51"/>
        <v>0</v>
      </c>
      <c r="G280" s="340">
        <v>0</v>
      </c>
      <c r="H280" s="760">
        <f t="shared" si="52"/>
        <v>0</v>
      </c>
      <c r="I280" s="760">
        <f t="shared" si="59"/>
        <v>0</v>
      </c>
      <c r="J280" s="760">
        <f t="shared" si="53"/>
        <v>0</v>
      </c>
      <c r="K280" s="760">
        <f t="shared" si="54"/>
        <v>0</v>
      </c>
      <c r="L280" s="760">
        <f t="shared" si="55"/>
        <v>118970</v>
      </c>
      <c r="M280" s="760">
        <f>IFERROR(IF(L279=0,0,SUM($J$25:J280)),0)</f>
        <v>0</v>
      </c>
      <c r="N280" s="366">
        <f t="shared" si="45"/>
        <v>1.025603448275862</v>
      </c>
      <c r="O280" s="761">
        <f t="shared" si="46"/>
        <v>0</v>
      </c>
      <c r="P280" s="28"/>
      <c r="Q280" s="1681">
        <f t="shared" si="56"/>
        <v>0</v>
      </c>
      <c r="R280" s="1682">
        <f t="shared" si="47"/>
        <v>0</v>
      </c>
      <c r="S280" s="1682">
        <f t="shared" si="57"/>
        <v>0</v>
      </c>
      <c r="T280" s="1682">
        <f t="shared" si="58"/>
        <v>1900</v>
      </c>
    </row>
    <row r="281" spans="2:20" s="283" customFormat="1" ht="13.8" x14ac:dyDescent="0.3">
      <c r="B281" s="758" cm="1">
        <f t="array" ref="B281">IF(active_refi=1,IF(ROW()-ROW($B$24)&lt;=$E$12*$E$13+refi_month,ROW()-ROW($B$24),0),IF(activeloan,IF(L280=0,0,IF(ROW()-ROW($B$24)&lt;=$D$12*$D$13,ROW()-ROW($B$24),0)),0))</f>
        <v>0</v>
      </c>
      <c r="C281" s="759">
        <f t="shared" si="48"/>
        <v>0</v>
      </c>
      <c r="D281" s="760">
        <f t="shared" si="49"/>
        <v>118970</v>
      </c>
      <c r="E281" s="760">
        <f t="shared" si="50"/>
        <v>0</v>
      </c>
      <c r="F281" s="760">
        <f t="shared" si="51"/>
        <v>0</v>
      </c>
      <c r="G281" s="340">
        <v>0</v>
      </c>
      <c r="H281" s="760">
        <f t="shared" si="52"/>
        <v>0</v>
      </c>
      <c r="I281" s="760">
        <f t="shared" si="59"/>
        <v>0</v>
      </c>
      <c r="J281" s="760">
        <f t="shared" si="53"/>
        <v>0</v>
      </c>
      <c r="K281" s="760">
        <f t="shared" si="54"/>
        <v>0</v>
      </c>
      <c r="L281" s="760">
        <f t="shared" si="55"/>
        <v>118970</v>
      </c>
      <c r="M281" s="760">
        <f>IFERROR(IF(L280=0,0,SUM($J$25:J281)),0)</f>
        <v>0</v>
      </c>
      <c r="N281" s="366">
        <f t="shared" ref="N281:N344" si="60">IFERROR(L281/purchase_price,0)</f>
        <v>1.025603448275862</v>
      </c>
      <c r="O281" s="761">
        <f t="shared" ref="O281:O344" si="61">IFERROR(IF(active_refi=0,0,IF(B281&lt;$F$18,0,L281/refi_price)),0)</f>
        <v>0</v>
      </c>
      <c r="P281" s="28"/>
      <c r="Q281" s="1681">
        <f t="shared" si="56"/>
        <v>0</v>
      </c>
      <c r="R281" s="1682">
        <f t="shared" ref="R281:R344" si="62">IFERROR(IF(AND(B281&lt;=$J$19,B281&lt;&gt;0,B281&gt;=$J$18),IF(B281&lt;=$E$15*12+refi_month,J281,IF(OR(B281=$J$19,$J$10&gt;(1+$E$11/12)*D281),(1+$E$11/12)*D281,$J$10))+K281,0),0)</f>
        <v>0</v>
      </c>
      <c r="S281" s="1682">
        <f t="shared" si="57"/>
        <v>0</v>
      </c>
      <c r="T281" s="1682">
        <f t="shared" si="58"/>
        <v>1900</v>
      </c>
    </row>
    <row r="282" spans="2:20" s="283" customFormat="1" ht="13.8" x14ac:dyDescent="0.3">
      <c r="B282" s="758" cm="1">
        <f t="array" ref="B282">IF(active_refi=1,IF(ROW()-ROW($B$24)&lt;=$E$12*$E$13+refi_month,ROW()-ROW($B$24),0),IF(activeloan,IF(L281=0,0,IF(ROW()-ROW($B$24)&lt;=$D$12*$D$13,ROW()-ROW($B$24),0)),0))</f>
        <v>0</v>
      </c>
      <c r="C282" s="759">
        <f t="shared" ref="C282:C345" si="63">IF(B282&lt;&gt;0,EOMONTH(C281,1),0)</f>
        <v>0</v>
      </c>
      <c r="D282" s="760">
        <f t="shared" ref="D282:D345" si="64">IF(AND(B282=refi_month+1,active_refi),$E$10,L281)</f>
        <v>118970</v>
      </c>
      <c r="E282" s="760">
        <f t="shared" ref="E282:E345" si="65">S282</f>
        <v>0</v>
      </c>
      <c r="F282" s="760">
        <f t="shared" ref="F282:F345" si="66">IF(D282-(E282-J282-K282)&lt;0,0,IF(B282&lt;=$I$15,MAX(MIN(D282-(E282-J282-K282),$N$10),0),MAX(MIN(D282-(E282-J282-K282),$O$10),0)))</f>
        <v>0</v>
      </c>
      <c r="G282" s="340">
        <v>0</v>
      </c>
      <c r="H282" s="760">
        <f t="shared" ref="H282:H345" si="67">MIN(E282+F282+G282,D282+J282+K282)</f>
        <v>0</v>
      </c>
      <c r="I282" s="760">
        <f t="shared" si="59"/>
        <v>0</v>
      </c>
      <c r="J282" s="760">
        <f t="shared" ref="J282:J345" si="68">IFERROR(IF(B282&lt;=$I$19,$D$11/12*D282,$E$11/12*D282),0)</f>
        <v>0</v>
      </c>
      <c r="K282" s="760">
        <f t="shared" ref="K282:K345" si="69">IFERROR(IF(OR(B282&lt;=$F$18,active_refi=0),IF(N281&lt;=$D$18,0,$D$17*$D$10/12),IF(B282=$F$18+1,IF((D282/refi_price)&lt;=$E$18,0,$E$17*$E$10/12),IF(O281&lt;=$E$18,0,$E$17*$E$10/12))),0)</f>
        <v>0</v>
      </c>
      <c r="L282" s="760">
        <f t="shared" ref="L282:L345" si="70">IF(ROUND(D282-I282,4)=0,ROUND(D282-I282,4),D282-I282)</f>
        <v>118970</v>
      </c>
      <c r="M282" s="760">
        <f>IFERROR(IF(L281=0,0,SUM($J$25:J282)),0)</f>
        <v>0</v>
      </c>
      <c r="N282" s="366">
        <f t="shared" si="60"/>
        <v>1.025603448275862</v>
      </c>
      <c r="O282" s="761">
        <f t="shared" si="61"/>
        <v>0</v>
      </c>
      <c r="P282" s="28"/>
      <c r="Q282" s="1681">
        <f t="shared" ref="Q282:Q345" si="71">IFERROR(IF(AND(B282&lt;=$I$19,B282&lt;&gt;0),IF(AND(B282=$D$15*12,$D$15=$D$12),D282+J282,IF(B282&lt;=$D$15*12,J282,IF($I$10&gt;(1+$D$11/12)*D282,(1+$D$11/12)*D282,$I$10)))+K282,0),0)</f>
        <v>0</v>
      </c>
      <c r="R282" s="1682">
        <f t="shared" si="62"/>
        <v>0</v>
      </c>
      <c r="S282" s="1682">
        <f t="shared" ref="S282:S345" si="72">IF(B282&lt;=$I$19,Q282,IF(AND(B282&gt;=$J$18,B282&lt;=$J$19),R282,0))</f>
        <v>0</v>
      </c>
      <c r="T282" s="1682">
        <f t="shared" ref="T282:T345" si="73">YEAR(C282)</f>
        <v>1900</v>
      </c>
    </row>
    <row r="283" spans="2:20" s="283" customFormat="1" ht="13.8" x14ac:dyDescent="0.3">
      <c r="B283" s="758" cm="1">
        <f t="array" ref="B283">IF(active_refi=1,IF(ROW()-ROW($B$24)&lt;=$E$12*$E$13+refi_month,ROW()-ROW($B$24),0),IF(activeloan,IF(L282=0,0,IF(ROW()-ROW($B$24)&lt;=$D$12*$D$13,ROW()-ROW($B$24),0)),0))</f>
        <v>0</v>
      </c>
      <c r="C283" s="759">
        <f t="shared" si="63"/>
        <v>0</v>
      </c>
      <c r="D283" s="760">
        <f t="shared" si="64"/>
        <v>118970</v>
      </c>
      <c r="E283" s="760">
        <f t="shared" si="65"/>
        <v>0</v>
      </c>
      <c r="F283" s="760">
        <f t="shared" si="66"/>
        <v>0</v>
      </c>
      <c r="G283" s="340">
        <v>0</v>
      </c>
      <c r="H283" s="760">
        <f t="shared" si="67"/>
        <v>0</v>
      </c>
      <c r="I283" s="760">
        <f t="shared" ref="I283:I346" si="74">H283-J283-K283</f>
        <v>0</v>
      </c>
      <c r="J283" s="760">
        <f t="shared" si="68"/>
        <v>0</v>
      </c>
      <c r="K283" s="760">
        <f t="shared" si="69"/>
        <v>0</v>
      </c>
      <c r="L283" s="760">
        <f t="shared" si="70"/>
        <v>118970</v>
      </c>
      <c r="M283" s="760">
        <f>IFERROR(IF(L282=0,0,SUM($J$25:J283)),0)</f>
        <v>0</v>
      </c>
      <c r="N283" s="366">
        <f t="shared" si="60"/>
        <v>1.025603448275862</v>
      </c>
      <c r="O283" s="761">
        <f t="shared" si="61"/>
        <v>0</v>
      </c>
      <c r="P283" s="28"/>
      <c r="Q283" s="1681">
        <f t="shared" si="71"/>
        <v>0</v>
      </c>
      <c r="R283" s="1682">
        <f t="shared" si="62"/>
        <v>0</v>
      </c>
      <c r="S283" s="1682">
        <f t="shared" si="72"/>
        <v>0</v>
      </c>
      <c r="T283" s="1682">
        <f t="shared" si="73"/>
        <v>1900</v>
      </c>
    </row>
    <row r="284" spans="2:20" s="283" customFormat="1" ht="13.8" x14ac:dyDescent="0.3">
      <c r="B284" s="758" cm="1">
        <f t="array" ref="B284">IF(active_refi=1,IF(ROW()-ROW($B$24)&lt;=$E$12*$E$13+refi_month,ROW()-ROW($B$24),0),IF(activeloan,IF(L283=0,0,IF(ROW()-ROW($B$24)&lt;=$D$12*$D$13,ROW()-ROW($B$24),0)),0))</f>
        <v>0</v>
      </c>
      <c r="C284" s="759">
        <f t="shared" si="63"/>
        <v>0</v>
      </c>
      <c r="D284" s="760">
        <f t="shared" si="64"/>
        <v>118970</v>
      </c>
      <c r="E284" s="760">
        <f t="shared" si="65"/>
        <v>0</v>
      </c>
      <c r="F284" s="760">
        <f t="shared" si="66"/>
        <v>0</v>
      </c>
      <c r="G284" s="340">
        <v>0</v>
      </c>
      <c r="H284" s="760">
        <f t="shared" si="67"/>
        <v>0</v>
      </c>
      <c r="I284" s="760">
        <f t="shared" si="74"/>
        <v>0</v>
      </c>
      <c r="J284" s="760">
        <f t="shared" si="68"/>
        <v>0</v>
      </c>
      <c r="K284" s="760">
        <f t="shared" si="69"/>
        <v>0</v>
      </c>
      <c r="L284" s="760">
        <f t="shared" si="70"/>
        <v>118970</v>
      </c>
      <c r="M284" s="760">
        <f>IFERROR(IF(L283=0,0,SUM($J$25:J284)),0)</f>
        <v>0</v>
      </c>
      <c r="N284" s="366">
        <f t="shared" si="60"/>
        <v>1.025603448275862</v>
      </c>
      <c r="O284" s="761">
        <f t="shared" si="61"/>
        <v>0</v>
      </c>
      <c r="P284" s="28"/>
      <c r="Q284" s="1681">
        <f t="shared" si="71"/>
        <v>0</v>
      </c>
      <c r="R284" s="1682">
        <f t="shared" si="62"/>
        <v>0</v>
      </c>
      <c r="S284" s="1682">
        <f t="shared" si="72"/>
        <v>0</v>
      </c>
      <c r="T284" s="1682">
        <f t="shared" si="73"/>
        <v>1900</v>
      </c>
    </row>
    <row r="285" spans="2:20" s="283" customFormat="1" ht="13.8" x14ac:dyDescent="0.3">
      <c r="B285" s="758" cm="1">
        <f t="array" ref="B285">IF(active_refi=1,IF(ROW()-ROW($B$24)&lt;=$E$12*$E$13+refi_month,ROW()-ROW($B$24),0),IF(activeloan,IF(L284=0,0,IF(ROW()-ROW($B$24)&lt;=$D$12*$D$13,ROW()-ROW($B$24),0)),0))</f>
        <v>0</v>
      </c>
      <c r="C285" s="759">
        <f t="shared" si="63"/>
        <v>0</v>
      </c>
      <c r="D285" s="760">
        <f t="shared" si="64"/>
        <v>118970</v>
      </c>
      <c r="E285" s="760">
        <f t="shared" si="65"/>
        <v>0</v>
      </c>
      <c r="F285" s="760">
        <f t="shared" si="66"/>
        <v>0</v>
      </c>
      <c r="G285" s="340">
        <v>0</v>
      </c>
      <c r="H285" s="760">
        <f t="shared" si="67"/>
        <v>0</v>
      </c>
      <c r="I285" s="760">
        <f t="shared" si="74"/>
        <v>0</v>
      </c>
      <c r="J285" s="760">
        <f t="shared" si="68"/>
        <v>0</v>
      </c>
      <c r="K285" s="760">
        <f t="shared" si="69"/>
        <v>0</v>
      </c>
      <c r="L285" s="760">
        <f t="shared" si="70"/>
        <v>118970</v>
      </c>
      <c r="M285" s="760">
        <f>IFERROR(IF(L284=0,0,SUM($J$25:J285)),0)</f>
        <v>0</v>
      </c>
      <c r="N285" s="366">
        <f t="shared" si="60"/>
        <v>1.025603448275862</v>
      </c>
      <c r="O285" s="761">
        <f t="shared" si="61"/>
        <v>0</v>
      </c>
      <c r="P285" s="28"/>
      <c r="Q285" s="1681">
        <f t="shared" si="71"/>
        <v>0</v>
      </c>
      <c r="R285" s="1682">
        <f t="shared" si="62"/>
        <v>0</v>
      </c>
      <c r="S285" s="1682">
        <f t="shared" si="72"/>
        <v>0</v>
      </c>
      <c r="T285" s="1682">
        <f t="shared" si="73"/>
        <v>1900</v>
      </c>
    </row>
    <row r="286" spans="2:20" s="283" customFormat="1" ht="13.8" x14ac:dyDescent="0.3">
      <c r="B286" s="758" cm="1">
        <f t="array" ref="B286">IF(active_refi=1,IF(ROW()-ROW($B$24)&lt;=$E$12*$E$13+refi_month,ROW()-ROW($B$24),0),IF(activeloan,IF(L285=0,0,IF(ROW()-ROW($B$24)&lt;=$D$12*$D$13,ROW()-ROW($B$24),0)),0))</f>
        <v>0</v>
      </c>
      <c r="C286" s="759">
        <f t="shared" si="63"/>
        <v>0</v>
      </c>
      <c r="D286" s="760">
        <f t="shared" si="64"/>
        <v>118970</v>
      </c>
      <c r="E286" s="760">
        <f t="shared" si="65"/>
        <v>0</v>
      </c>
      <c r="F286" s="760">
        <f t="shared" si="66"/>
        <v>0</v>
      </c>
      <c r="G286" s="340">
        <v>0</v>
      </c>
      <c r="H286" s="760">
        <f t="shared" si="67"/>
        <v>0</v>
      </c>
      <c r="I286" s="760">
        <f t="shared" si="74"/>
        <v>0</v>
      </c>
      <c r="J286" s="760">
        <f t="shared" si="68"/>
        <v>0</v>
      </c>
      <c r="K286" s="760">
        <f t="shared" si="69"/>
        <v>0</v>
      </c>
      <c r="L286" s="760">
        <f t="shared" si="70"/>
        <v>118970</v>
      </c>
      <c r="M286" s="760">
        <f>IFERROR(IF(L285=0,0,SUM($J$25:J286)),0)</f>
        <v>0</v>
      </c>
      <c r="N286" s="366">
        <f t="shared" si="60"/>
        <v>1.025603448275862</v>
      </c>
      <c r="O286" s="761">
        <f t="shared" si="61"/>
        <v>0</v>
      </c>
      <c r="P286" s="28"/>
      <c r="Q286" s="1681">
        <f t="shared" si="71"/>
        <v>0</v>
      </c>
      <c r="R286" s="1682">
        <f t="shared" si="62"/>
        <v>0</v>
      </c>
      <c r="S286" s="1682">
        <f t="shared" si="72"/>
        <v>0</v>
      </c>
      <c r="T286" s="1682">
        <f t="shared" si="73"/>
        <v>1900</v>
      </c>
    </row>
    <row r="287" spans="2:20" s="283" customFormat="1" ht="13.8" x14ac:dyDescent="0.3">
      <c r="B287" s="758" cm="1">
        <f t="array" ref="B287">IF(active_refi=1,IF(ROW()-ROW($B$24)&lt;=$E$12*$E$13+refi_month,ROW()-ROW($B$24),0),IF(activeloan,IF(L286=0,0,IF(ROW()-ROW($B$24)&lt;=$D$12*$D$13,ROW()-ROW($B$24),0)),0))</f>
        <v>0</v>
      </c>
      <c r="C287" s="759">
        <f t="shared" si="63"/>
        <v>0</v>
      </c>
      <c r="D287" s="760">
        <f t="shared" si="64"/>
        <v>118970</v>
      </c>
      <c r="E287" s="760">
        <f t="shared" si="65"/>
        <v>0</v>
      </c>
      <c r="F287" s="760">
        <f t="shared" si="66"/>
        <v>0</v>
      </c>
      <c r="G287" s="340">
        <v>0</v>
      </c>
      <c r="H287" s="760">
        <f t="shared" si="67"/>
        <v>0</v>
      </c>
      <c r="I287" s="760">
        <f t="shared" si="74"/>
        <v>0</v>
      </c>
      <c r="J287" s="760">
        <f t="shared" si="68"/>
        <v>0</v>
      </c>
      <c r="K287" s="760">
        <f t="shared" si="69"/>
        <v>0</v>
      </c>
      <c r="L287" s="760">
        <f t="shared" si="70"/>
        <v>118970</v>
      </c>
      <c r="M287" s="760">
        <f>IFERROR(IF(L286=0,0,SUM($J$25:J287)),0)</f>
        <v>0</v>
      </c>
      <c r="N287" s="366">
        <f t="shared" si="60"/>
        <v>1.025603448275862</v>
      </c>
      <c r="O287" s="761">
        <f t="shared" si="61"/>
        <v>0</v>
      </c>
      <c r="P287" s="28"/>
      <c r="Q287" s="1681">
        <f t="shared" si="71"/>
        <v>0</v>
      </c>
      <c r="R287" s="1682">
        <f t="shared" si="62"/>
        <v>0</v>
      </c>
      <c r="S287" s="1682">
        <f t="shared" si="72"/>
        <v>0</v>
      </c>
      <c r="T287" s="1682">
        <f t="shared" si="73"/>
        <v>1900</v>
      </c>
    </row>
    <row r="288" spans="2:20" s="283" customFormat="1" ht="13.8" x14ac:dyDescent="0.3">
      <c r="B288" s="758" cm="1">
        <f t="array" ref="B288">IF(active_refi=1,IF(ROW()-ROW($B$24)&lt;=$E$12*$E$13+refi_month,ROW()-ROW($B$24),0),IF(activeloan,IF(L287=0,0,IF(ROW()-ROW($B$24)&lt;=$D$12*$D$13,ROW()-ROW($B$24),0)),0))</f>
        <v>0</v>
      </c>
      <c r="C288" s="759">
        <f t="shared" si="63"/>
        <v>0</v>
      </c>
      <c r="D288" s="760">
        <f t="shared" si="64"/>
        <v>118970</v>
      </c>
      <c r="E288" s="760">
        <f t="shared" si="65"/>
        <v>0</v>
      </c>
      <c r="F288" s="760">
        <f t="shared" si="66"/>
        <v>0</v>
      </c>
      <c r="G288" s="340">
        <v>0</v>
      </c>
      <c r="H288" s="760">
        <f t="shared" si="67"/>
        <v>0</v>
      </c>
      <c r="I288" s="760">
        <f t="shared" si="74"/>
        <v>0</v>
      </c>
      <c r="J288" s="760">
        <f t="shared" si="68"/>
        <v>0</v>
      </c>
      <c r="K288" s="760">
        <f t="shared" si="69"/>
        <v>0</v>
      </c>
      <c r="L288" s="760">
        <f t="shared" si="70"/>
        <v>118970</v>
      </c>
      <c r="M288" s="760">
        <f>IFERROR(IF(L287=0,0,SUM($J$25:J288)),0)</f>
        <v>0</v>
      </c>
      <c r="N288" s="366">
        <f t="shared" si="60"/>
        <v>1.025603448275862</v>
      </c>
      <c r="O288" s="761">
        <f t="shared" si="61"/>
        <v>0</v>
      </c>
      <c r="P288" s="28"/>
      <c r="Q288" s="1681">
        <f t="shared" si="71"/>
        <v>0</v>
      </c>
      <c r="R288" s="1682">
        <f t="shared" si="62"/>
        <v>0</v>
      </c>
      <c r="S288" s="1682">
        <f t="shared" si="72"/>
        <v>0</v>
      </c>
      <c r="T288" s="1682">
        <f t="shared" si="73"/>
        <v>1900</v>
      </c>
    </row>
    <row r="289" spans="2:20" s="283" customFormat="1" ht="13.8" x14ac:dyDescent="0.3">
      <c r="B289" s="758" cm="1">
        <f t="array" ref="B289">IF(active_refi=1,IF(ROW()-ROW($B$24)&lt;=$E$12*$E$13+refi_month,ROW()-ROW($B$24),0),IF(activeloan,IF(L288=0,0,IF(ROW()-ROW($B$24)&lt;=$D$12*$D$13,ROW()-ROW($B$24),0)),0))</f>
        <v>0</v>
      </c>
      <c r="C289" s="759">
        <f t="shared" si="63"/>
        <v>0</v>
      </c>
      <c r="D289" s="760">
        <f t="shared" si="64"/>
        <v>118970</v>
      </c>
      <c r="E289" s="760">
        <f t="shared" si="65"/>
        <v>0</v>
      </c>
      <c r="F289" s="760">
        <f t="shared" si="66"/>
        <v>0</v>
      </c>
      <c r="G289" s="340">
        <v>0</v>
      </c>
      <c r="H289" s="760">
        <f t="shared" si="67"/>
        <v>0</v>
      </c>
      <c r="I289" s="760">
        <f t="shared" si="74"/>
        <v>0</v>
      </c>
      <c r="J289" s="760">
        <f t="shared" si="68"/>
        <v>0</v>
      </c>
      <c r="K289" s="760">
        <f t="shared" si="69"/>
        <v>0</v>
      </c>
      <c r="L289" s="760">
        <f t="shared" si="70"/>
        <v>118970</v>
      </c>
      <c r="M289" s="760">
        <f>IFERROR(IF(L288=0,0,SUM($J$25:J289)),0)</f>
        <v>0</v>
      </c>
      <c r="N289" s="366">
        <f t="shared" si="60"/>
        <v>1.025603448275862</v>
      </c>
      <c r="O289" s="761">
        <f t="shared" si="61"/>
        <v>0</v>
      </c>
      <c r="P289" s="28"/>
      <c r="Q289" s="1681">
        <f t="shared" si="71"/>
        <v>0</v>
      </c>
      <c r="R289" s="1682">
        <f t="shared" si="62"/>
        <v>0</v>
      </c>
      <c r="S289" s="1682">
        <f t="shared" si="72"/>
        <v>0</v>
      </c>
      <c r="T289" s="1682">
        <f t="shared" si="73"/>
        <v>1900</v>
      </c>
    </row>
    <row r="290" spans="2:20" s="283" customFormat="1" ht="13.8" x14ac:dyDescent="0.3">
      <c r="B290" s="758" cm="1">
        <f t="array" ref="B290">IF(active_refi=1,IF(ROW()-ROW($B$24)&lt;=$E$12*$E$13+refi_month,ROW()-ROW($B$24),0),IF(activeloan,IF(L289=0,0,IF(ROW()-ROW($B$24)&lt;=$D$12*$D$13,ROW()-ROW($B$24),0)),0))</f>
        <v>0</v>
      </c>
      <c r="C290" s="759">
        <f t="shared" si="63"/>
        <v>0</v>
      </c>
      <c r="D290" s="760">
        <f t="shared" si="64"/>
        <v>118970</v>
      </c>
      <c r="E290" s="760">
        <f t="shared" si="65"/>
        <v>0</v>
      </c>
      <c r="F290" s="760">
        <f t="shared" si="66"/>
        <v>0</v>
      </c>
      <c r="G290" s="340">
        <v>0</v>
      </c>
      <c r="H290" s="760">
        <f t="shared" si="67"/>
        <v>0</v>
      </c>
      <c r="I290" s="760">
        <f t="shared" si="74"/>
        <v>0</v>
      </c>
      <c r="J290" s="760">
        <f t="shared" si="68"/>
        <v>0</v>
      </c>
      <c r="K290" s="760">
        <f t="shared" si="69"/>
        <v>0</v>
      </c>
      <c r="L290" s="760">
        <f t="shared" si="70"/>
        <v>118970</v>
      </c>
      <c r="M290" s="760">
        <f>IFERROR(IF(L289=0,0,SUM($J$25:J290)),0)</f>
        <v>0</v>
      </c>
      <c r="N290" s="366">
        <f t="shared" si="60"/>
        <v>1.025603448275862</v>
      </c>
      <c r="O290" s="761">
        <f t="shared" si="61"/>
        <v>0</v>
      </c>
      <c r="P290" s="28"/>
      <c r="Q290" s="1681">
        <f t="shared" si="71"/>
        <v>0</v>
      </c>
      <c r="R290" s="1682">
        <f t="shared" si="62"/>
        <v>0</v>
      </c>
      <c r="S290" s="1682">
        <f t="shared" si="72"/>
        <v>0</v>
      </c>
      <c r="T290" s="1682">
        <f t="shared" si="73"/>
        <v>1900</v>
      </c>
    </row>
    <row r="291" spans="2:20" s="283" customFormat="1" ht="13.8" x14ac:dyDescent="0.3">
      <c r="B291" s="758" cm="1">
        <f t="array" ref="B291">IF(active_refi=1,IF(ROW()-ROW($B$24)&lt;=$E$12*$E$13+refi_month,ROW()-ROW($B$24),0),IF(activeloan,IF(L290=0,0,IF(ROW()-ROW($B$24)&lt;=$D$12*$D$13,ROW()-ROW($B$24),0)),0))</f>
        <v>0</v>
      </c>
      <c r="C291" s="759">
        <f t="shared" si="63"/>
        <v>0</v>
      </c>
      <c r="D291" s="760">
        <f t="shared" si="64"/>
        <v>118970</v>
      </c>
      <c r="E291" s="760">
        <f t="shared" si="65"/>
        <v>0</v>
      </c>
      <c r="F291" s="760">
        <f t="shared" si="66"/>
        <v>0</v>
      </c>
      <c r="G291" s="340">
        <v>0</v>
      </c>
      <c r="H291" s="760">
        <f t="shared" si="67"/>
        <v>0</v>
      </c>
      <c r="I291" s="760">
        <f t="shared" si="74"/>
        <v>0</v>
      </c>
      <c r="J291" s="760">
        <f t="shared" si="68"/>
        <v>0</v>
      </c>
      <c r="K291" s="760">
        <f t="shared" si="69"/>
        <v>0</v>
      </c>
      <c r="L291" s="760">
        <f t="shared" si="70"/>
        <v>118970</v>
      </c>
      <c r="M291" s="760">
        <f>IFERROR(IF(L290=0,0,SUM($J$25:J291)),0)</f>
        <v>0</v>
      </c>
      <c r="N291" s="366">
        <f t="shared" si="60"/>
        <v>1.025603448275862</v>
      </c>
      <c r="O291" s="761">
        <f t="shared" si="61"/>
        <v>0</v>
      </c>
      <c r="P291" s="28"/>
      <c r="Q291" s="1681">
        <f t="shared" si="71"/>
        <v>0</v>
      </c>
      <c r="R291" s="1682">
        <f t="shared" si="62"/>
        <v>0</v>
      </c>
      <c r="S291" s="1682">
        <f t="shared" si="72"/>
        <v>0</v>
      </c>
      <c r="T291" s="1682">
        <f t="shared" si="73"/>
        <v>1900</v>
      </c>
    </row>
    <row r="292" spans="2:20" s="283" customFormat="1" ht="13.8" x14ac:dyDescent="0.3">
      <c r="B292" s="758" cm="1">
        <f t="array" ref="B292">IF(active_refi=1,IF(ROW()-ROW($B$24)&lt;=$E$12*$E$13+refi_month,ROW()-ROW($B$24),0),IF(activeloan,IF(L291=0,0,IF(ROW()-ROW($B$24)&lt;=$D$12*$D$13,ROW()-ROW($B$24),0)),0))</f>
        <v>0</v>
      </c>
      <c r="C292" s="759">
        <f t="shared" si="63"/>
        <v>0</v>
      </c>
      <c r="D292" s="760">
        <f t="shared" si="64"/>
        <v>118970</v>
      </c>
      <c r="E292" s="760">
        <f t="shared" si="65"/>
        <v>0</v>
      </c>
      <c r="F292" s="760">
        <f t="shared" si="66"/>
        <v>0</v>
      </c>
      <c r="G292" s="340">
        <v>0</v>
      </c>
      <c r="H292" s="760">
        <f t="shared" si="67"/>
        <v>0</v>
      </c>
      <c r="I292" s="760">
        <f t="shared" si="74"/>
        <v>0</v>
      </c>
      <c r="J292" s="760">
        <f t="shared" si="68"/>
        <v>0</v>
      </c>
      <c r="K292" s="760">
        <f t="shared" si="69"/>
        <v>0</v>
      </c>
      <c r="L292" s="760">
        <f t="shared" si="70"/>
        <v>118970</v>
      </c>
      <c r="M292" s="760">
        <f>IFERROR(IF(L291=0,0,SUM($J$25:J292)),0)</f>
        <v>0</v>
      </c>
      <c r="N292" s="366">
        <f t="shared" si="60"/>
        <v>1.025603448275862</v>
      </c>
      <c r="O292" s="761">
        <f t="shared" si="61"/>
        <v>0</v>
      </c>
      <c r="P292" s="28"/>
      <c r="Q292" s="1681">
        <f t="shared" si="71"/>
        <v>0</v>
      </c>
      <c r="R292" s="1682">
        <f t="shared" si="62"/>
        <v>0</v>
      </c>
      <c r="S292" s="1682">
        <f t="shared" si="72"/>
        <v>0</v>
      </c>
      <c r="T292" s="1682">
        <f t="shared" si="73"/>
        <v>1900</v>
      </c>
    </row>
    <row r="293" spans="2:20" s="283" customFormat="1" ht="13.8" x14ac:dyDescent="0.3">
      <c r="B293" s="758" cm="1">
        <f t="array" ref="B293">IF(active_refi=1,IF(ROW()-ROW($B$24)&lt;=$E$12*$E$13+refi_month,ROW()-ROW($B$24),0),IF(activeloan,IF(L292=0,0,IF(ROW()-ROW($B$24)&lt;=$D$12*$D$13,ROW()-ROW($B$24),0)),0))</f>
        <v>0</v>
      </c>
      <c r="C293" s="759">
        <f t="shared" si="63"/>
        <v>0</v>
      </c>
      <c r="D293" s="760">
        <f t="shared" si="64"/>
        <v>118970</v>
      </c>
      <c r="E293" s="760">
        <f t="shared" si="65"/>
        <v>0</v>
      </c>
      <c r="F293" s="760">
        <f t="shared" si="66"/>
        <v>0</v>
      </c>
      <c r="G293" s="340">
        <v>0</v>
      </c>
      <c r="H293" s="760">
        <f t="shared" si="67"/>
        <v>0</v>
      </c>
      <c r="I293" s="760">
        <f t="shared" si="74"/>
        <v>0</v>
      </c>
      <c r="J293" s="760">
        <f t="shared" si="68"/>
        <v>0</v>
      </c>
      <c r="K293" s="760">
        <f t="shared" si="69"/>
        <v>0</v>
      </c>
      <c r="L293" s="760">
        <f t="shared" si="70"/>
        <v>118970</v>
      </c>
      <c r="M293" s="760">
        <f>IFERROR(IF(L292=0,0,SUM($J$25:J293)),0)</f>
        <v>0</v>
      </c>
      <c r="N293" s="366">
        <f t="shared" si="60"/>
        <v>1.025603448275862</v>
      </c>
      <c r="O293" s="761">
        <f t="shared" si="61"/>
        <v>0</v>
      </c>
      <c r="P293" s="28"/>
      <c r="Q293" s="1681">
        <f t="shared" si="71"/>
        <v>0</v>
      </c>
      <c r="R293" s="1682">
        <f t="shared" si="62"/>
        <v>0</v>
      </c>
      <c r="S293" s="1682">
        <f t="shared" si="72"/>
        <v>0</v>
      </c>
      <c r="T293" s="1682">
        <f t="shared" si="73"/>
        <v>1900</v>
      </c>
    </row>
    <row r="294" spans="2:20" s="283" customFormat="1" ht="13.8" x14ac:dyDescent="0.3">
      <c r="B294" s="758" cm="1">
        <f t="array" ref="B294">IF(active_refi=1,IF(ROW()-ROW($B$24)&lt;=$E$12*$E$13+refi_month,ROW()-ROW($B$24),0),IF(activeloan,IF(L293=0,0,IF(ROW()-ROW($B$24)&lt;=$D$12*$D$13,ROW()-ROW($B$24),0)),0))</f>
        <v>0</v>
      </c>
      <c r="C294" s="759">
        <f t="shared" si="63"/>
        <v>0</v>
      </c>
      <c r="D294" s="760">
        <f t="shared" si="64"/>
        <v>118970</v>
      </c>
      <c r="E294" s="760">
        <f t="shared" si="65"/>
        <v>0</v>
      </c>
      <c r="F294" s="760">
        <f t="shared" si="66"/>
        <v>0</v>
      </c>
      <c r="G294" s="340">
        <v>0</v>
      </c>
      <c r="H294" s="760">
        <f t="shared" si="67"/>
        <v>0</v>
      </c>
      <c r="I294" s="760">
        <f t="shared" si="74"/>
        <v>0</v>
      </c>
      <c r="J294" s="760">
        <f t="shared" si="68"/>
        <v>0</v>
      </c>
      <c r="K294" s="760">
        <f t="shared" si="69"/>
        <v>0</v>
      </c>
      <c r="L294" s="760">
        <f t="shared" si="70"/>
        <v>118970</v>
      </c>
      <c r="M294" s="760">
        <f>IFERROR(IF(L293=0,0,SUM($J$25:J294)),0)</f>
        <v>0</v>
      </c>
      <c r="N294" s="366">
        <f t="shared" si="60"/>
        <v>1.025603448275862</v>
      </c>
      <c r="O294" s="761">
        <f t="shared" si="61"/>
        <v>0</v>
      </c>
      <c r="P294" s="28"/>
      <c r="Q294" s="1681">
        <f t="shared" si="71"/>
        <v>0</v>
      </c>
      <c r="R294" s="1682">
        <f t="shared" si="62"/>
        <v>0</v>
      </c>
      <c r="S294" s="1682">
        <f t="shared" si="72"/>
        <v>0</v>
      </c>
      <c r="T294" s="1682">
        <f t="shared" si="73"/>
        <v>1900</v>
      </c>
    </row>
    <row r="295" spans="2:20" s="283" customFormat="1" ht="13.8" x14ac:dyDescent="0.3">
      <c r="B295" s="758" cm="1">
        <f t="array" ref="B295">IF(active_refi=1,IF(ROW()-ROW($B$24)&lt;=$E$12*$E$13+refi_month,ROW()-ROW($B$24),0),IF(activeloan,IF(L294=0,0,IF(ROW()-ROW($B$24)&lt;=$D$12*$D$13,ROW()-ROW($B$24),0)),0))</f>
        <v>0</v>
      </c>
      <c r="C295" s="759">
        <f t="shared" si="63"/>
        <v>0</v>
      </c>
      <c r="D295" s="760">
        <f t="shared" si="64"/>
        <v>118970</v>
      </c>
      <c r="E295" s="760">
        <f t="shared" si="65"/>
        <v>0</v>
      </c>
      <c r="F295" s="760">
        <f t="shared" si="66"/>
        <v>0</v>
      </c>
      <c r="G295" s="340">
        <v>0</v>
      </c>
      <c r="H295" s="760">
        <f t="shared" si="67"/>
        <v>0</v>
      </c>
      <c r="I295" s="760">
        <f t="shared" si="74"/>
        <v>0</v>
      </c>
      <c r="J295" s="760">
        <f t="shared" si="68"/>
        <v>0</v>
      </c>
      <c r="K295" s="760">
        <f t="shared" si="69"/>
        <v>0</v>
      </c>
      <c r="L295" s="760">
        <f t="shared" si="70"/>
        <v>118970</v>
      </c>
      <c r="M295" s="760">
        <f>IFERROR(IF(L294=0,0,SUM($J$25:J295)),0)</f>
        <v>0</v>
      </c>
      <c r="N295" s="366">
        <f t="shared" si="60"/>
        <v>1.025603448275862</v>
      </c>
      <c r="O295" s="761">
        <f t="shared" si="61"/>
        <v>0</v>
      </c>
      <c r="P295" s="28"/>
      <c r="Q295" s="1681">
        <f t="shared" si="71"/>
        <v>0</v>
      </c>
      <c r="R295" s="1682">
        <f t="shared" si="62"/>
        <v>0</v>
      </c>
      <c r="S295" s="1682">
        <f t="shared" si="72"/>
        <v>0</v>
      </c>
      <c r="T295" s="1682">
        <f t="shared" si="73"/>
        <v>1900</v>
      </c>
    </row>
    <row r="296" spans="2:20" s="283" customFormat="1" ht="13.8" x14ac:dyDescent="0.3">
      <c r="B296" s="758" cm="1">
        <f t="array" ref="B296">IF(active_refi=1,IF(ROW()-ROW($B$24)&lt;=$E$12*$E$13+refi_month,ROW()-ROW($B$24),0),IF(activeloan,IF(L295=0,0,IF(ROW()-ROW($B$24)&lt;=$D$12*$D$13,ROW()-ROW($B$24),0)),0))</f>
        <v>0</v>
      </c>
      <c r="C296" s="759">
        <f t="shared" si="63"/>
        <v>0</v>
      </c>
      <c r="D296" s="760">
        <f t="shared" si="64"/>
        <v>118970</v>
      </c>
      <c r="E296" s="760">
        <f t="shared" si="65"/>
        <v>0</v>
      </c>
      <c r="F296" s="760">
        <f t="shared" si="66"/>
        <v>0</v>
      </c>
      <c r="G296" s="340">
        <v>0</v>
      </c>
      <c r="H296" s="760">
        <f t="shared" si="67"/>
        <v>0</v>
      </c>
      <c r="I296" s="760">
        <f t="shared" si="74"/>
        <v>0</v>
      </c>
      <c r="J296" s="760">
        <f t="shared" si="68"/>
        <v>0</v>
      </c>
      <c r="K296" s="760">
        <f t="shared" si="69"/>
        <v>0</v>
      </c>
      <c r="L296" s="760">
        <f t="shared" si="70"/>
        <v>118970</v>
      </c>
      <c r="M296" s="760">
        <f>IFERROR(IF(L295=0,0,SUM($J$25:J296)),0)</f>
        <v>0</v>
      </c>
      <c r="N296" s="366">
        <f t="shared" si="60"/>
        <v>1.025603448275862</v>
      </c>
      <c r="O296" s="761">
        <f t="shared" si="61"/>
        <v>0</v>
      </c>
      <c r="P296" s="28"/>
      <c r="Q296" s="1681">
        <f t="shared" si="71"/>
        <v>0</v>
      </c>
      <c r="R296" s="1682">
        <f t="shared" si="62"/>
        <v>0</v>
      </c>
      <c r="S296" s="1682">
        <f t="shared" si="72"/>
        <v>0</v>
      </c>
      <c r="T296" s="1682">
        <f t="shared" si="73"/>
        <v>1900</v>
      </c>
    </row>
    <row r="297" spans="2:20" s="283" customFormat="1" ht="13.8" x14ac:dyDescent="0.3">
      <c r="B297" s="758" cm="1">
        <f t="array" ref="B297">IF(active_refi=1,IF(ROW()-ROW($B$24)&lt;=$E$12*$E$13+refi_month,ROW()-ROW($B$24),0),IF(activeloan,IF(L296=0,0,IF(ROW()-ROW($B$24)&lt;=$D$12*$D$13,ROW()-ROW($B$24),0)),0))</f>
        <v>0</v>
      </c>
      <c r="C297" s="759">
        <f t="shared" si="63"/>
        <v>0</v>
      </c>
      <c r="D297" s="760">
        <f t="shared" si="64"/>
        <v>118970</v>
      </c>
      <c r="E297" s="760">
        <f t="shared" si="65"/>
        <v>0</v>
      </c>
      <c r="F297" s="760">
        <f t="shared" si="66"/>
        <v>0</v>
      </c>
      <c r="G297" s="340">
        <v>0</v>
      </c>
      <c r="H297" s="760">
        <f t="shared" si="67"/>
        <v>0</v>
      </c>
      <c r="I297" s="760">
        <f t="shared" si="74"/>
        <v>0</v>
      </c>
      <c r="J297" s="760">
        <f t="shared" si="68"/>
        <v>0</v>
      </c>
      <c r="K297" s="760">
        <f t="shared" si="69"/>
        <v>0</v>
      </c>
      <c r="L297" s="760">
        <f t="shared" si="70"/>
        <v>118970</v>
      </c>
      <c r="M297" s="760">
        <f>IFERROR(IF(L296=0,0,SUM($J$25:J297)),0)</f>
        <v>0</v>
      </c>
      <c r="N297" s="366">
        <f t="shared" si="60"/>
        <v>1.025603448275862</v>
      </c>
      <c r="O297" s="761">
        <f t="shared" si="61"/>
        <v>0</v>
      </c>
      <c r="P297" s="28"/>
      <c r="Q297" s="1681">
        <f t="shared" si="71"/>
        <v>0</v>
      </c>
      <c r="R297" s="1682">
        <f t="shared" si="62"/>
        <v>0</v>
      </c>
      <c r="S297" s="1682">
        <f t="shared" si="72"/>
        <v>0</v>
      </c>
      <c r="T297" s="1682">
        <f t="shared" si="73"/>
        <v>1900</v>
      </c>
    </row>
    <row r="298" spans="2:20" s="283" customFormat="1" ht="13.8" x14ac:dyDescent="0.3">
      <c r="B298" s="758" cm="1">
        <f t="array" ref="B298">IF(active_refi=1,IF(ROW()-ROW($B$24)&lt;=$E$12*$E$13+refi_month,ROW()-ROW($B$24),0),IF(activeloan,IF(L297=0,0,IF(ROW()-ROW($B$24)&lt;=$D$12*$D$13,ROW()-ROW($B$24),0)),0))</f>
        <v>0</v>
      </c>
      <c r="C298" s="759">
        <f t="shared" si="63"/>
        <v>0</v>
      </c>
      <c r="D298" s="760">
        <f t="shared" si="64"/>
        <v>118970</v>
      </c>
      <c r="E298" s="760">
        <f t="shared" si="65"/>
        <v>0</v>
      </c>
      <c r="F298" s="760">
        <f t="shared" si="66"/>
        <v>0</v>
      </c>
      <c r="G298" s="340">
        <v>0</v>
      </c>
      <c r="H298" s="760">
        <f t="shared" si="67"/>
        <v>0</v>
      </c>
      <c r="I298" s="760">
        <f t="shared" si="74"/>
        <v>0</v>
      </c>
      <c r="J298" s="760">
        <f t="shared" si="68"/>
        <v>0</v>
      </c>
      <c r="K298" s="760">
        <f t="shared" si="69"/>
        <v>0</v>
      </c>
      <c r="L298" s="760">
        <f t="shared" si="70"/>
        <v>118970</v>
      </c>
      <c r="M298" s="760">
        <f>IFERROR(IF(L297=0,0,SUM($J$25:J298)),0)</f>
        <v>0</v>
      </c>
      <c r="N298" s="366">
        <f t="shared" si="60"/>
        <v>1.025603448275862</v>
      </c>
      <c r="O298" s="761">
        <f t="shared" si="61"/>
        <v>0</v>
      </c>
      <c r="P298" s="28"/>
      <c r="Q298" s="1681">
        <f t="shared" si="71"/>
        <v>0</v>
      </c>
      <c r="R298" s="1682">
        <f t="shared" si="62"/>
        <v>0</v>
      </c>
      <c r="S298" s="1682">
        <f t="shared" si="72"/>
        <v>0</v>
      </c>
      <c r="T298" s="1682">
        <f t="shared" si="73"/>
        <v>1900</v>
      </c>
    </row>
    <row r="299" spans="2:20" s="283" customFormat="1" ht="13.8" x14ac:dyDescent="0.3">
      <c r="B299" s="758" cm="1">
        <f t="array" ref="B299">IF(active_refi=1,IF(ROW()-ROW($B$24)&lt;=$E$12*$E$13+refi_month,ROW()-ROW($B$24),0),IF(activeloan,IF(L298=0,0,IF(ROW()-ROW($B$24)&lt;=$D$12*$D$13,ROW()-ROW($B$24),0)),0))</f>
        <v>0</v>
      </c>
      <c r="C299" s="759">
        <f t="shared" si="63"/>
        <v>0</v>
      </c>
      <c r="D299" s="760">
        <f t="shared" si="64"/>
        <v>118970</v>
      </c>
      <c r="E299" s="760">
        <f t="shared" si="65"/>
        <v>0</v>
      </c>
      <c r="F299" s="760">
        <f t="shared" si="66"/>
        <v>0</v>
      </c>
      <c r="G299" s="340">
        <v>0</v>
      </c>
      <c r="H299" s="760">
        <f t="shared" si="67"/>
        <v>0</v>
      </c>
      <c r="I299" s="760">
        <f t="shared" si="74"/>
        <v>0</v>
      </c>
      <c r="J299" s="760">
        <f t="shared" si="68"/>
        <v>0</v>
      </c>
      <c r="K299" s="760">
        <f t="shared" si="69"/>
        <v>0</v>
      </c>
      <c r="L299" s="760">
        <f t="shared" si="70"/>
        <v>118970</v>
      </c>
      <c r="M299" s="760">
        <f>IFERROR(IF(L298=0,0,SUM($J$25:J299)),0)</f>
        <v>0</v>
      </c>
      <c r="N299" s="366">
        <f t="shared" si="60"/>
        <v>1.025603448275862</v>
      </c>
      <c r="O299" s="761">
        <f t="shared" si="61"/>
        <v>0</v>
      </c>
      <c r="P299" s="28"/>
      <c r="Q299" s="1681">
        <f t="shared" si="71"/>
        <v>0</v>
      </c>
      <c r="R299" s="1682">
        <f t="shared" si="62"/>
        <v>0</v>
      </c>
      <c r="S299" s="1682">
        <f t="shared" si="72"/>
        <v>0</v>
      </c>
      <c r="T299" s="1682">
        <f t="shared" si="73"/>
        <v>1900</v>
      </c>
    </row>
    <row r="300" spans="2:20" s="283" customFormat="1" ht="13.8" x14ac:dyDescent="0.3">
      <c r="B300" s="758" cm="1">
        <f t="array" ref="B300">IF(active_refi=1,IF(ROW()-ROW($B$24)&lt;=$E$12*$E$13+refi_month,ROW()-ROW($B$24),0),IF(activeloan,IF(L299=0,0,IF(ROW()-ROW($B$24)&lt;=$D$12*$D$13,ROW()-ROW($B$24),0)),0))</f>
        <v>0</v>
      </c>
      <c r="C300" s="759">
        <f t="shared" si="63"/>
        <v>0</v>
      </c>
      <c r="D300" s="760">
        <f t="shared" si="64"/>
        <v>118970</v>
      </c>
      <c r="E300" s="760">
        <f t="shared" si="65"/>
        <v>0</v>
      </c>
      <c r="F300" s="760">
        <f t="shared" si="66"/>
        <v>0</v>
      </c>
      <c r="G300" s="340">
        <v>0</v>
      </c>
      <c r="H300" s="760">
        <f t="shared" si="67"/>
        <v>0</v>
      </c>
      <c r="I300" s="760">
        <f t="shared" si="74"/>
        <v>0</v>
      </c>
      <c r="J300" s="760">
        <f t="shared" si="68"/>
        <v>0</v>
      </c>
      <c r="K300" s="760">
        <f t="shared" si="69"/>
        <v>0</v>
      </c>
      <c r="L300" s="760">
        <f t="shared" si="70"/>
        <v>118970</v>
      </c>
      <c r="M300" s="760">
        <f>IFERROR(IF(L299=0,0,SUM($J$25:J300)),0)</f>
        <v>0</v>
      </c>
      <c r="N300" s="366">
        <f t="shared" si="60"/>
        <v>1.025603448275862</v>
      </c>
      <c r="O300" s="761">
        <f t="shared" si="61"/>
        <v>0</v>
      </c>
      <c r="P300" s="28"/>
      <c r="Q300" s="1681">
        <f t="shared" si="71"/>
        <v>0</v>
      </c>
      <c r="R300" s="1682">
        <f t="shared" si="62"/>
        <v>0</v>
      </c>
      <c r="S300" s="1682">
        <f t="shared" si="72"/>
        <v>0</v>
      </c>
      <c r="T300" s="1682">
        <f t="shared" si="73"/>
        <v>1900</v>
      </c>
    </row>
    <row r="301" spans="2:20" s="283" customFormat="1" ht="13.8" x14ac:dyDescent="0.3">
      <c r="B301" s="758" cm="1">
        <f t="array" ref="B301">IF(active_refi=1,IF(ROW()-ROW($B$24)&lt;=$E$12*$E$13+refi_month,ROW()-ROW($B$24),0),IF(activeloan,IF(L300=0,0,IF(ROW()-ROW($B$24)&lt;=$D$12*$D$13,ROW()-ROW($B$24),0)),0))</f>
        <v>0</v>
      </c>
      <c r="C301" s="759">
        <f t="shared" si="63"/>
        <v>0</v>
      </c>
      <c r="D301" s="760">
        <f t="shared" si="64"/>
        <v>118970</v>
      </c>
      <c r="E301" s="760">
        <f t="shared" si="65"/>
        <v>0</v>
      </c>
      <c r="F301" s="760">
        <f t="shared" si="66"/>
        <v>0</v>
      </c>
      <c r="G301" s="340">
        <v>0</v>
      </c>
      <c r="H301" s="760">
        <f t="shared" si="67"/>
        <v>0</v>
      </c>
      <c r="I301" s="760">
        <f t="shared" si="74"/>
        <v>0</v>
      </c>
      <c r="J301" s="760">
        <f t="shared" si="68"/>
        <v>0</v>
      </c>
      <c r="K301" s="760">
        <f t="shared" si="69"/>
        <v>0</v>
      </c>
      <c r="L301" s="760">
        <f t="shared" si="70"/>
        <v>118970</v>
      </c>
      <c r="M301" s="760">
        <f>IFERROR(IF(L300=0,0,SUM($J$25:J301)),0)</f>
        <v>0</v>
      </c>
      <c r="N301" s="366">
        <f t="shared" si="60"/>
        <v>1.025603448275862</v>
      </c>
      <c r="O301" s="761">
        <f t="shared" si="61"/>
        <v>0</v>
      </c>
      <c r="P301" s="28"/>
      <c r="Q301" s="1681">
        <f t="shared" si="71"/>
        <v>0</v>
      </c>
      <c r="R301" s="1682">
        <f t="shared" si="62"/>
        <v>0</v>
      </c>
      <c r="S301" s="1682">
        <f t="shared" si="72"/>
        <v>0</v>
      </c>
      <c r="T301" s="1682">
        <f t="shared" si="73"/>
        <v>1900</v>
      </c>
    </row>
    <row r="302" spans="2:20" s="283" customFormat="1" ht="13.8" x14ac:dyDescent="0.3">
      <c r="B302" s="758" cm="1">
        <f t="array" ref="B302">IF(active_refi=1,IF(ROW()-ROW($B$24)&lt;=$E$12*$E$13+refi_month,ROW()-ROW($B$24),0),IF(activeloan,IF(L301=0,0,IF(ROW()-ROW($B$24)&lt;=$D$12*$D$13,ROW()-ROW($B$24),0)),0))</f>
        <v>0</v>
      </c>
      <c r="C302" s="759">
        <f t="shared" si="63"/>
        <v>0</v>
      </c>
      <c r="D302" s="760">
        <f t="shared" si="64"/>
        <v>118970</v>
      </c>
      <c r="E302" s="760">
        <f t="shared" si="65"/>
        <v>0</v>
      </c>
      <c r="F302" s="760">
        <f t="shared" si="66"/>
        <v>0</v>
      </c>
      <c r="G302" s="340">
        <v>0</v>
      </c>
      <c r="H302" s="760">
        <f t="shared" si="67"/>
        <v>0</v>
      </c>
      <c r="I302" s="760">
        <f t="shared" si="74"/>
        <v>0</v>
      </c>
      <c r="J302" s="760">
        <f t="shared" si="68"/>
        <v>0</v>
      </c>
      <c r="K302" s="760">
        <f t="shared" si="69"/>
        <v>0</v>
      </c>
      <c r="L302" s="760">
        <f t="shared" si="70"/>
        <v>118970</v>
      </c>
      <c r="M302" s="760">
        <f>IFERROR(IF(L301=0,0,SUM($J$25:J302)),0)</f>
        <v>0</v>
      </c>
      <c r="N302" s="366">
        <f t="shared" si="60"/>
        <v>1.025603448275862</v>
      </c>
      <c r="O302" s="761">
        <f t="shared" si="61"/>
        <v>0</v>
      </c>
      <c r="P302" s="28"/>
      <c r="Q302" s="1681">
        <f t="shared" si="71"/>
        <v>0</v>
      </c>
      <c r="R302" s="1682">
        <f t="shared" si="62"/>
        <v>0</v>
      </c>
      <c r="S302" s="1682">
        <f t="shared" si="72"/>
        <v>0</v>
      </c>
      <c r="T302" s="1682">
        <f t="shared" si="73"/>
        <v>1900</v>
      </c>
    </row>
    <row r="303" spans="2:20" s="283" customFormat="1" ht="13.8" x14ac:dyDescent="0.3">
      <c r="B303" s="758" cm="1">
        <f t="array" ref="B303">IF(active_refi=1,IF(ROW()-ROW($B$24)&lt;=$E$12*$E$13+refi_month,ROW()-ROW($B$24),0),IF(activeloan,IF(L302=0,0,IF(ROW()-ROW($B$24)&lt;=$D$12*$D$13,ROW()-ROW($B$24),0)),0))</f>
        <v>0</v>
      </c>
      <c r="C303" s="759">
        <f t="shared" si="63"/>
        <v>0</v>
      </c>
      <c r="D303" s="760">
        <f t="shared" si="64"/>
        <v>118970</v>
      </c>
      <c r="E303" s="760">
        <f t="shared" si="65"/>
        <v>0</v>
      </c>
      <c r="F303" s="760">
        <f t="shared" si="66"/>
        <v>0</v>
      </c>
      <c r="G303" s="340">
        <v>0</v>
      </c>
      <c r="H303" s="760">
        <f t="shared" si="67"/>
        <v>0</v>
      </c>
      <c r="I303" s="760">
        <f t="shared" si="74"/>
        <v>0</v>
      </c>
      <c r="J303" s="760">
        <f t="shared" si="68"/>
        <v>0</v>
      </c>
      <c r="K303" s="760">
        <f t="shared" si="69"/>
        <v>0</v>
      </c>
      <c r="L303" s="760">
        <f t="shared" si="70"/>
        <v>118970</v>
      </c>
      <c r="M303" s="760">
        <f>IFERROR(IF(L302=0,0,SUM($J$25:J303)),0)</f>
        <v>0</v>
      </c>
      <c r="N303" s="366">
        <f t="shared" si="60"/>
        <v>1.025603448275862</v>
      </c>
      <c r="O303" s="761">
        <f t="shared" si="61"/>
        <v>0</v>
      </c>
      <c r="P303" s="28"/>
      <c r="Q303" s="1681">
        <f t="shared" si="71"/>
        <v>0</v>
      </c>
      <c r="R303" s="1682">
        <f t="shared" si="62"/>
        <v>0</v>
      </c>
      <c r="S303" s="1682">
        <f t="shared" si="72"/>
        <v>0</v>
      </c>
      <c r="T303" s="1682">
        <f t="shared" si="73"/>
        <v>1900</v>
      </c>
    </row>
    <row r="304" spans="2:20" s="283" customFormat="1" ht="13.8" x14ac:dyDescent="0.3">
      <c r="B304" s="758" cm="1">
        <f t="array" ref="B304">IF(active_refi=1,IF(ROW()-ROW($B$24)&lt;=$E$12*$E$13+refi_month,ROW()-ROW($B$24),0),IF(activeloan,IF(L303=0,0,IF(ROW()-ROW($B$24)&lt;=$D$12*$D$13,ROW()-ROW($B$24),0)),0))</f>
        <v>0</v>
      </c>
      <c r="C304" s="759">
        <f t="shared" si="63"/>
        <v>0</v>
      </c>
      <c r="D304" s="760">
        <f t="shared" si="64"/>
        <v>118970</v>
      </c>
      <c r="E304" s="760">
        <f t="shared" si="65"/>
        <v>0</v>
      </c>
      <c r="F304" s="760">
        <f t="shared" si="66"/>
        <v>0</v>
      </c>
      <c r="G304" s="340">
        <v>0</v>
      </c>
      <c r="H304" s="760">
        <f t="shared" si="67"/>
        <v>0</v>
      </c>
      <c r="I304" s="760">
        <f t="shared" si="74"/>
        <v>0</v>
      </c>
      <c r="J304" s="760">
        <f t="shared" si="68"/>
        <v>0</v>
      </c>
      <c r="K304" s="760">
        <f t="shared" si="69"/>
        <v>0</v>
      </c>
      <c r="L304" s="760">
        <f t="shared" si="70"/>
        <v>118970</v>
      </c>
      <c r="M304" s="760">
        <f>IFERROR(IF(L303=0,0,SUM($J$25:J304)),0)</f>
        <v>0</v>
      </c>
      <c r="N304" s="366">
        <f t="shared" si="60"/>
        <v>1.025603448275862</v>
      </c>
      <c r="O304" s="761">
        <f t="shared" si="61"/>
        <v>0</v>
      </c>
      <c r="P304" s="28"/>
      <c r="Q304" s="1681">
        <f t="shared" si="71"/>
        <v>0</v>
      </c>
      <c r="R304" s="1682">
        <f t="shared" si="62"/>
        <v>0</v>
      </c>
      <c r="S304" s="1682">
        <f t="shared" si="72"/>
        <v>0</v>
      </c>
      <c r="T304" s="1682">
        <f t="shared" si="73"/>
        <v>1900</v>
      </c>
    </row>
    <row r="305" spans="2:20" s="283" customFormat="1" ht="13.8" x14ac:dyDescent="0.3">
      <c r="B305" s="758" cm="1">
        <f t="array" ref="B305">IF(active_refi=1,IF(ROW()-ROW($B$24)&lt;=$E$12*$E$13+refi_month,ROW()-ROW($B$24),0),IF(activeloan,IF(L304=0,0,IF(ROW()-ROW($B$24)&lt;=$D$12*$D$13,ROW()-ROW($B$24),0)),0))</f>
        <v>0</v>
      </c>
      <c r="C305" s="759">
        <f t="shared" si="63"/>
        <v>0</v>
      </c>
      <c r="D305" s="760">
        <f t="shared" si="64"/>
        <v>118970</v>
      </c>
      <c r="E305" s="760">
        <f t="shared" si="65"/>
        <v>0</v>
      </c>
      <c r="F305" s="760">
        <f t="shared" si="66"/>
        <v>0</v>
      </c>
      <c r="G305" s="340">
        <v>0</v>
      </c>
      <c r="H305" s="760">
        <f t="shared" si="67"/>
        <v>0</v>
      </c>
      <c r="I305" s="760">
        <f t="shared" si="74"/>
        <v>0</v>
      </c>
      <c r="J305" s="760">
        <f t="shared" si="68"/>
        <v>0</v>
      </c>
      <c r="K305" s="760">
        <f t="shared" si="69"/>
        <v>0</v>
      </c>
      <c r="L305" s="760">
        <f t="shared" si="70"/>
        <v>118970</v>
      </c>
      <c r="M305" s="760">
        <f>IFERROR(IF(L304=0,0,SUM($J$25:J305)),0)</f>
        <v>0</v>
      </c>
      <c r="N305" s="366">
        <f t="shared" si="60"/>
        <v>1.025603448275862</v>
      </c>
      <c r="O305" s="761">
        <f t="shared" si="61"/>
        <v>0</v>
      </c>
      <c r="P305" s="28"/>
      <c r="Q305" s="1681">
        <f t="shared" si="71"/>
        <v>0</v>
      </c>
      <c r="R305" s="1682">
        <f t="shared" si="62"/>
        <v>0</v>
      </c>
      <c r="S305" s="1682">
        <f t="shared" si="72"/>
        <v>0</v>
      </c>
      <c r="T305" s="1682">
        <f t="shared" si="73"/>
        <v>1900</v>
      </c>
    </row>
    <row r="306" spans="2:20" s="283" customFormat="1" ht="13.8" x14ac:dyDescent="0.3">
      <c r="B306" s="758" cm="1">
        <f t="array" ref="B306">IF(active_refi=1,IF(ROW()-ROW($B$24)&lt;=$E$12*$E$13+refi_month,ROW()-ROW($B$24),0),IF(activeloan,IF(L305=0,0,IF(ROW()-ROW($B$24)&lt;=$D$12*$D$13,ROW()-ROW($B$24),0)),0))</f>
        <v>0</v>
      </c>
      <c r="C306" s="759">
        <f t="shared" si="63"/>
        <v>0</v>
      </c>
      <c r="D306" s="760">
        <f t="shared" si="64"/>
        <v>118970</v>
      </c>
      <c r="E306" s="760">
        <f t="shared" si="65"/>
        <v>0</v>
      </c>
      <c r="F306" s="760">
        <f t="shared" si="66"/>
        <v>0</v>
      </c>
      <c r="G306" s="340">
        <v>0</v>
      </c>
      <c r="H306" s="760">
        <f t="shared" si="67"/>
        <v>0</v>
      </c>
      <c r="I306" s="760">
        <f t="shared" si="74"/>
        <v>0</v>
      </c>
      <c r="J306" s="760">
        <f t="shared" si="68"/>
        <v>0</v>
      </c>
      <c r="K306" s="760">
        <f t="shared" si="69"/>
        <v>0</v>
      </c>
      <c r="L306" s="760">
        <f t="shared" si="70"/>
        <v>118970</v>
      </c>
      <c r="M306" s="760">
        <f>IFERROR(IF(L305=0,0,SUM($J$25:J306)),0)</f>
        <v>0</v>
      </c>
      <c r="N306" s="366">
        <f t="shared" si="60"/>
        <v>1.025603448275862</v>
      </c>
      <c r="O306" s="761">
        <f t="shared" si="61"/>
        <v>0</v>
      </c>
      <c r="P306" s="28"/>
      <c r="Q306" s="1681">
        <f t="shared" si="71"/>
        <v>0</v>
      </c>
      <c r="R306" s="1682">
        <f t="shared" si="62"/>
        <v>0</v>
      </c>
      <c r="S306" s="1682">
        <f t="shared" si="72"/>
        <v>0</v>
      </c>
      <c r="T306" s="1682">
        <f t="shared" si="73"/>
        <v>1900</v>
      </c>
    </row>
    <row r="307" spans="2:20" s="283" customFormat="1" ht="13.8" x14ac:dyDescent="0.3">
      <c r="B307" s="758" cm="1">
        <f t="array" ref="B307">IF(active_refi=1,IF(ROW()-ROW($B$24)&lt;=$E$12*$E$13+refi_month,ROW()-ROW($B$24),0),IF(activeloan,IF(L306=0,0,IF(ROW()-ROW($B$24)&lt;=$D$12*$D$13,ROW()-ROW($B$24),0)),0))</f>
        <v>0</v>
      </c>
      <c r="C307" s="759">
        <f t="shared" si="63"/>
        <v>0</v>
      </c>
      <c r="D307" s="760">
        <f t="shared" si="64"/>
        <v>118970</v>
      </c>
      <c r="E307" s="760">
        <f t="shared" si="65"/>
        <v>0</v>
      </c>
      <c r="F307" s="760">
        <f t="shared" si="66"/>
        <v>0</v>
      </c>
      <c r="G307" s="340">
        <v>0</v>
      </c>
      <c r="H307" s="760">
        <f t="shared" si="67"/>
        <v>0</v>
      </c>
      <c r="I307" s="760">
        <f t="shared" si="74"/>
        <v>0</v>
      </c>
      <c r="J307" s="760">
        <f t="shared" si="68"/>
        <v>0</v>
      </c>
      <c r="K307" s="760">
        <f t="shared" si="69"/>
        <v>0</v>
      </c>
      <c r="L307" s="760">
        <f t="shared" si="70"/>
        <v>118970</v>
      </c>
      <c r="M307" s="760">
        <f>IFERROR(IF(L306=0,0,SUM($J$25:J307)),0)</f>
        <v>0</v>
      </c>
      <c r="N307" s="366">
        <f t="shared" si="60"/>
        <v>1.025603448275862</v>
      </c>
      <c r="O307" s="761">
        <f t="shared" si="61"/>
        <v>0</v>
      </c>
      <c r="P307" s="28"/>
      <c r="Q307" s="1681">
        <f t="shared" si="71"/>
        <v>0</v>
      </c>
      <c r="R307" s="1682">
        <f t="shared" si="62"/>
        <v>0</v>
      </c>
      <c r="S307" s="1682">
        <f t="shared" si="72"/>
        <v>0</v>
      </c>
      <c r="T307" s="1682">
        <f t="shared" si="73"/>
        <v>1900</v>
      </c>
    </row>
    <row r="308" spans="2:20" s="283" customFormat="1" ht="13.8" x14ac:dyDescent="0.3">
      <c r="B308" s="758" cm="1">
        <f t="array" ref="B308">IF(active_refi=1,IF(ROW()-ROW($B$24)&lt;=$E$12*$E$13+refi_month,ROW()-ROW($B$24),0),IF(activeloan,IF(L307=0,0,IF(ROW()-ROW($B$24)&lt;=$D$12*$D$13,ROW()-ROW($B$24),0)),0))</f>
        <v>0</v>
      </c>
      <c r="C308" s="759">
        <f t="shared" si="63"/>
        <v>0</v>
      </c>
      <c r="D308" s="760">
        <f t="shared" si="64"/>
        <v>118970</v>
      </c>
      <c r="E308" s="760">
        <f t="shared" si="65"/>
        <v>0</v>
      </c>
      <c r="F308" s="760">
        <f t="shared" si="66"/>
        <v>0</v>
      </c>
      <c r="G308" s="340">
        <v>0</v>
      </c>
      <c r="H308" s="760">
        <f t="shared" si="67"/>
        <v>0</v>
      </c>
      <c r="I308" s="760">
        <f t="shared" si="74"/>
        <v>0</v>
      </c>
      <c r="J308" s="760">
        <f t="shared" si="68"/>
        <v>0</v>
      </c>
      <c r="K308" s="760">
        <f t="shared" si="69"/>
        <v>0</v>
      </c>
      <c r="L308" s="760">
        <f t="shared" si="70"/>
        <v>118970</v>
      </c>
      <c r="M308" s="760">
        <f>IFERROR(IF(L307=0,0,SUM($J$25:J308)),0)</f>
        <v>0</v>
      </c>
      <c r="N308" s="366">
        <f t="shared" si="60"/>
        <v>1.025603448275862</v>
      </c>
      <c r="O308" s="761">
        <f t="shared" si="61"/>
        <v>0</v>
      </c>
      <c r="P308" s="28"/>
      <c r="Q308" s="1681">
        <f t="shared" si="71"/>
        <v>0</v>
      </c>
      <c r="R308" s="1682">
        <f t="shared" si="62"/>
        <v>0</v>
      </c>
      <c r="S308" s="1682">
        <f t="shared" si="72"/>
        <v>0</v>
      </c>
      <c r="T308" s="1682">
        <f t="shared" si="73"/>
        <v>1900</v>
      </c>
    </row>
    <row r="309" spans="2:20" s="283" customFormat="1" ht="13.8" x14ac:dyDescent="0.3">
      <c r="B309" s="758" cm="1">
        <f t="array" ref="B309">IF(active_refi=1,IF(ROW()-ROW($B$24)&lt;=$E$12*$E$13+refi_month,ROW()-ROW($B$24),0),IF(activeloan,IF(L308=0,0,IF(ROW()-ROW($B$24)&lt;=$D$12*$D$13,ROW()-ROW($B$24),0)),0))</f>
        <v>0</v>
      </c>
      <c r="C309" s="759">
        <f t="shared" si="63"/>
        <v>0</v>
      </c>
      <c r="D309" s="760">
        <f t="shared" si="64"/>
        <v>118970</v>
      </c>
      <c r="E309" s="760">
        <f t="shared" si="65"/>
        <v>0</v>
      </c>
      <c r="F309" s="760">
        <f t="shared" si="66"/>
        <v>0</v>
      </c>
      <c r="G309" s="340">
        <v>0</v>
      </c>
      <c r="H309" s="760">
        <f t="shared" si="67"/>
        <v>0</v>
      </c>
      <c r="I309" s="760">
        <f t="shared" si="74"/>
        <v>0</v>
      </c>
      <c r="J309" s="760">
        <f t="shared" si="68"/>
        <v>0</v>
      </c>
      <c r="K309" s="760">
        <f t="shared" si="69"/>
        <v>0</v>
      </c>
      <c r="L309" s="760">
        <f t="shared" si="70"/>
        <v>118970</v>
      </c>
      <c r="M309" s="760">
        <f>IFERROR(IF(L308=0,0,SUM($J$25:J309)),0)</f>
        <v>0</v>
      </c>
      <c r="N309" s="366">
        <f t="shared" si="60"/>
        <v>1.025603448275862</v>
      </c>
      <c r="O309" s="761">
        <f t="shared" si="61"/>
        <v>0</v>
      </c>
      <c r="P309" s="28"/>
      <c r="Q309" s="1681">
        <f t="shared" si="71"/>
        <v>0</v>
      </c>
      <c r="R309" s="1682">
        <f t="shared" si="62"/>
        <v>0</v>
      </c>
      <c r="S309" s="1682">
        <f t="shared" si="72"/>
        <v>0</v>
      </c>
      <c r="T309" s="1682">
        <f t="shared" si="73"/>
        <v>1900</v>
      </c>
    </row>
    <row r="310" spans="2:20" s="283" customFormat="1" ht="13.8" x14ac:dyDescent="0.3">
      <c r="B310" s="758" cm="1">
        <f t="array" ref="B310">IF(active_refi=1,IF(ROW()-ROW($B$24)&lt;=$E$12*$E$13+refi_month,ROW()-ROW($B$24),0),IF(activeloan,IF(L309=0,0,IF(ROW()-ROW($B$24)&lt;=$D$12*$D$13,ROW()-ROW($B$24),0)),0))</f>
        <v>0</v>
      </c>
      <c r="C310" s="759">
        <f t="shared" si="63"/>
        <v>0</v>
      </c>
      <c r="D310" s="760">
        <f t="shared" si="64"/>
        <v>118970</v>
      </c>
      <c r="E310" s="760">
        <f t="shared" si="65"/>
        <v>0</v>
      </c>
      <c r="F310" s="760">
        <f t="shared" si="66"/>
        <v>0</v>
      </c>
      <c r="G310" s="340">
        <v>0</v>
      </c>
      <c r="H310" s="760">
        <f t="shared" si="67"/>
        <v>0</v>
      </c>
      <c r="I310" s="760">
        <f t="shared" si="74"/>
        <v>0</v>
      </c>
      <c r="J310" s="760">
        <f t="shared" si="68"/>
        <v>0</v>
      </c>
      <c r="K310" s="760">
        <f t="shared" si="69"/>
        <v>0</v>
      </c>
      <c r="L310" s="760">
        <f t="shared" si="70"/>
        <v>118970</v>
      </c>
      <c r="M310" s="760">
        <f>IFERROR(IF(L309=0,0,SUM($J$25:J310)),0)</f>
        <v>0</v>
      </c>
      <c r="N310" s="366">
        <f t="shared" si="60"/>
        <v>1.025603448275862</v>
      </c>
      <c r="O310" s="761">
        <f t="shared" si="61"/>
        <v>0</v>
      </c>
      <c r="P310" s="28"/>
      <c r="Q310" s="1681">
        <f t="shared" si="71"/>
        <v>0</v>
      </c>
      <c r="R310" s="1682">
        <f t="shared" si="62"/>
        <v>0</v>
      </c>
      <c r="S310" s="1682">
        <f t="shared" si="72"/>
        <v>0</v>
      </c>
      <c r="T310" s="1682">
        <f t="shared" si="73"/>
        <v>1900</v>
      </c>
    </row>
    <row r="311" spans="2:20" s="283" customFormat="1" ht="13.8" x14ac:dyDescent="0.3">
      <c r="B311" s="758" cm="1">
        <f t="array" ref="B311">IF(active_refi=1,IF(ROW()-ROW($B$24)&lt;=$E$12*$E$13+refi_month,ROW()-ROW($B$24),0),IF(activeloan,IF(L310=0,0,IF(ROW()-ROW($B$24)&lt;=$D$12*$D$13,ROW()-ROW($B$24),0)),0))</f>
        <v>0</v>
      </c>
      <c r="C311" s="759">
        <f t="shared" si="63"/>
        <v>0</v>
      </c>
      <c r="D311" s="760">
        <f t="shared" si="64"/>
        <v>118970</v>
      </c>
      <c r="E311" s="760">
        <f t="shared" si="65"/>
        <v>0</v>
      </c>
      <c r="F311" s="760">
        <f t="shared" si="66"/>
        <v>0</v>
      </c>
      <c r="G311" s="340">
        <v>0</v>
      </c>
      <c r="H311" s="760">
        <f t="shared" si="67"/>
        <v>0</v>
      </c>
      <c r="I311" s="760">
        <f t="shared" si="74"/>
        <v>0</v>
      </c>
      <c r="J311" s="760">
        <f t="shared" si="68"/>
        <v>0</v>
      </c>
      <c r="K311" s="760">
        <f t="shared" si="69"/>
        <v>0</v>
      </c>
      <c r="L311" s="760">
        <f t="shared" si="70"/>
        <v>118970</v>
      </c>
      <c r="M311" s="760">
        <f>IFERROR(IF(L310=0,0,SUM($J$25:J311)),0)</f>
        <v>0</v>
      </c>
      <c r="N311" s="366">
        <f t="shared" si="60"/>
        <v>1.025603448275862</v>
      </c>
      <c r="O311" s="761">
        <f t="shared" si="61"/>
        <v>0</v>
      </c>
      <c r="P311" s="28"/>
      <c r="Q311" s="1681">
        <f t="shared" si="71"/>
        <v>0</v>
      </c>
      <c r="R311" s="1682">
        <f t="shared" si="62"/>
        <v>0</v>
      </c>
      <c r="S311" s="1682">
        <f t="shared" si="72"/>
        <v>0</v>
      </c>
      <c r="T311" s="1682">
        <f t="shared" si="73"/>
        <v>1900</v>
      </c>
    </row>
    <row r="312" spans="2:20" s="283" customFormat="1" ht="13.8" x14ac:dyDescent="0.3">
      <c r="B312" s="758" cm="1">
        <f t="array" ref="B312">IF(active_refi=1,IF(ROW()-ROW($B$24)&lt;=$E$12*$E$13+refi_month,ROW()-ROW($B$24),0),IF(activeloan,IF(L311=0,0,IF(ROW()-ROW($B$24)&lt;=$D$12*$D$13,ROW()-ROW($B$24),0)),0))</f>
        <v>0</v>
      </c>
      <c r="C312" s="759">
        <f t="shared" si="63"/>
        <v>0</v>
      </c>
      <c r="D312" s="760">
        <f t="shared" si="64"/>
        <v>118970</v>
      </c>
      <c r="E312" s="760">
        <f t="shared" si="65"/>
        <v>0</v>
      </c>
      <c r="F312" s="760">
        <f t="shared" si="66"/>
        <v>0</v>
      </c>
      <c r="G312" s="340">
        <v>0</v>
      </c>
      <c r="H312" s="760">
        <f t="shared" si="67"/>
        <v>0</v>
      </c>
      <c r="I312" s="760">
        <f t="shared" si="74"/>
        <v>0</v>
      </c>
      <c r="J312" s="760">
        <f t="shared" si="68"/>
        <v>0</v>
      </c>
      <c r="K312" s="760">
        <f t="shared" si="69"/>
        <v>0</v>
      </c>
      <c r="L312" s="760">
        <f t="shared" si="70"/>
        <v>118970</v>
      </c>
      <c r="M312" s="760">
        <f>IFERROR(IF(L311=0,0,SUM($J$25:J312)),0)</f>
        <v>0</v>
      </c>
      <c r="N312" s="366">
        <f t="shared" si="60"/>
        <v>1.025603448275862</v>
      </c>
      <c r="O312" s="761">
        <f t="shared" si="61"/>
        <v>0</v>
      </c>
      <c r="P312" s="28"/>
      <c r="Q312" s="1681">
        <f t="shared" si="71"/>
        <v>0</v>
      </c>
      <c r="R312" s="1682">
        <f t="shared" si="62"/>
        <v>0</v>
      </c>
      <c r="S312" s="1682">
        <f t="shared" si="72"/>
        <v>0</v>
      </c>
      <c r="T312" s="1682">
        <f t="shared" si="73"/>
        <v>1900</v>
      </c>
    </row>
    <row r="313" spans="2:20" s="283" customFormat="1" ht="13.8" x14ac:dyDescent="0.3">
      <c r="B313" s="758" cm="1">
        <f t="array" ref="B313">IF(active_refi=1,IF(ROW()-ROW($B$24)&lt;=$E$12*$E$13+refi_month,ROW()-ROW($B$24),0),IF(activeloan,IF(L312=0,0,IF(ROW()-ROW($B$24)&lt;=$D$12*$D$13,ROW()-ROW($B$24),0)),0))</f>
        <v>0</v>
      </c>
      <c r="C313" s="759">
        <f t="shared" si="63"/>
        <v>0</v>
      </c>
      <c r="D313" s="760">
        <f t="shared" si="64"/>
        <v>118970</v>
      </c>
      <c r="E313" s="760">
        <f t="shared" si="65"/>
        <v>0</v>
      </c>
      <c r="F313" s="760">
        <f t="shared" si="66"/>
        <v>0</v>
      </c>
      <c r="G313" s="340">
        <v>0</v>
      </c>
      <c r="H313" s="760">
        <f t="shared" si="67"/>
        <v>0</v>
      </c>
      <c r="I313" s="760">
        <f t="shared" si="74"/>
        <v>0</v>
      </c>
      <c r="J313" s="760">
        <f t="shared" si="68"/>
        <v>0</v>
      </c>
      <c r="K313" s="760">
        <f t="shared" si="69"/>
        <v>0</v>
      </c>
      <c r="L313" s="760">
        <f t="shared" si="70"/>
        <v>118970</v>
      </c>
      <c r="M313" s="760">
        <f>IFERROR(IF(L312=0,0,SUM($J$25:J313)),0)</f>
        <v>0</v>
      </c>
      <c r="N313" s="366">
        <f t="shared" si="60"/>
        <v>1.025603448275862</v>
      </c>
      <c r="O313" s="761">
        <f t="shared" si="61"/>
        <v>0</v>
      </c>
      <c r="P313" s="28"/>
      <c r="Q313" s="1681">
        <f t="shared" si="71"/>
        <v>0</v>
      </c>
      <c r="R313" s="1682">
        <f t="shared" si="62"/>
        <v>0</v>
      </c>
      <c r="S313" s="1682">
        <f t="shared" si="72"/>
        <v>0</v>
      </c>
      <c r="T313" s="1682">
        <f t="shared" si="73"/>
        <v>1900</v>
      </c>
    </row>
    <row r="314" spans="2:20" s="283" customFormat="1" ht="13.8" x14ac:dyDescent="0.3">
      <c r="B314" s="758" cm="1">
        <f t="array" ref="B314">IF(active_refi=1,IF(ROW()-ROW($B$24)&lt;=$E$12*$E$13+refi_month,ROW()-ROW($B$24),0),IF(activeloan,IF(L313=0,0,IF(ROW()-ROW($B$24)&lt;=$D$12*$D$13,ROW()-ROW($B$24),0)),0))</f>
        <v>0</v>
      </c>
      <c r="C314" s="759">
        <f t="shared" si="63"/>
        <v>0</v>
      </c>
      <c r="D314" s="760">
        <f t="shared" si="64"/>
        <v>118970</v>
      </c>
      <c r="E314" s="760">
        <f t="shared" si="65"/>
        <v>0</v>
      </c>
      <c r="F314" s="760">
        <f t="shared" si="66"/>
        <v>0</v>
      </c>
      <c r="G314" s="340">
        <v>0</v>
      </c>
      <c r="H314" s="760">
        <f t="shared" si="67"/>
        <v>0</v>
      </c>
      <c r="I314" s="760">
        <f t="shared" si="74"/>
        <v>0</v>
      </c>
      <c r="J314" s="760">
        <f t="shared" si="68"/>
        <v>0</v>
      </c>
      <c r="K314" s="760">
        <f t="shared" si="69"/>
        <v>0</v>
      </c>
      <c r="L314" s="760">
        <f t="shared" si="70"/>
        <v>118970</v>
      </c>
      <c r="M314" s="760">
        <f>IFERROR(IF(L313=0,0,SUM($J$25:J314)),0)</f>
        <v>0</v>
      </c>
      <c r="N314" s="366">
        <f t="shared" si="60"/>
        <v>1.025603448275862</v>
      </c>
      <c r="O314" s="761">
        <f t="shared" si="61"/>
        <v>0</v>
      </c>
      <c r="P314" s="28"/>
      <c r="Q314" s="1681">
        <f t="shared" si="71"/>
        <v>0</v>
      </c>
      <c r="R314" s="1682">
        <f t="shared" si="62"/>
        <v>0</v>
      </c>
      <c r="S314" s="1682">
        <f t="shared" si="72"/>
        <v>0</v>
      </c>
      <c r="T314" s="1682">
        <f t="shared" si="73"/>
        <v>1900</v>
      </c>
    </row>
    <row r="315" spans="2:20" s="283" customFormat="1" ht="13.8" x14ac:dyDescent="0.3">
      <c r="B315" s="758" cm="1">
        <f t="array" ref="B315">IF(active_refi=1,IF(ROW()-ROW($B$24)&lt;=$E$12*$E$13+refi_month,ROW()-ROW($B$24),0),IF(activeloan,IF(L314=0,0,IF(ROW()-ROW($B$24)&lt;=$D$12*$D$13,ROW()-ROW($B$24),0)),0))</f>
        <v>0</v>
      </c>
      <c r="C315" s="759">
        <f t="shared" si="63"/>
        <v>0</v>
      </c>
      <c r="D315" s="760">
        <f t="shared" si="64"/>
        <v>118970</v>
      </c>
      <c r="E315" s="760">
        <f t="shared" si="65"/>
        <v>0</v>
      </c>
      <c r="F315" s="760">
        <f t="shared" si="66"/>
        <v>0</v>
      </c>
      <c r="G315" s="340">
        <v>0</v>
      </c>
      <c r="H315" s="760">
        <f t="shared" si="67"/>
        <v>0</v>
      </c>
      <c r="I315" s="760">
        <f t="shared" si="74"/>
        <v>0</v>
      </c>
      <c r="J315" s="760">
        <f t="shared" si="68"/>
        <v>0</v>
      </c>
      <c r="K315" s="760">
        <f t="shared" si="69"/>
        <v>0</v>
      </c>
      <c r="L315" s="760">
        <f t="shared" si="70"/>
        <v>118970</v>
      </c>
      <c r="M315" s="760">
        <f>IFERROR(IF(L314=0,0,SUM($J$25:J315)),0)</f>
        <v>0</v>
      </c>
      <c r="N315" s="366">
        <f t="shared" si="60"/>
        <v>1.025603448275862</v>
      </c>
      <c r="O315" s="761">
        <f t="shared" si="61"/>
        <v>0</v>
      </c>
      <c r="P315" s="28"/>
      <c r="Q315" s="1681">
        <f t="shared" si="71"/>
        <v>0</v>
      </c>
      <c r="R315" s="1682">
        <f t="shared" si="62"/>
        <v>0</v>
      </c>
      <c r="S315" s="1682">
        <f t="shared" si="72"/>
        <v>0</v>
      </c>
      <c r="T315" s="1682">
        <f t="shared" si="73"/>
        <v>1900</v>
      </c>
    </row>
    <row r="316" spans="2:20" s="283" customFormat="1" ht="13.8" x14ac:dyDescent="0.3">
      <c r="B316" s="758" cm="1">
        <f t="array" ref="B316">IF(active_refi=1,IF(ROW()-ROW($B$24)&lt;=$E$12*$E$13+refi_month,ROW()-ROW($B$24),0),IF(activeloan,IF(L315=0,0,IF(ROW()-ROW($B$24)&lt;=$D$12*$D$13,ROW()-ROW($B$24),0)),0))</f>
        <v>0</v>
      </c>
      <c r="C316" s="759">
        <f t="shared" si="63"/>
        <v>0</v>
      </c>
      <c r="D316" s="760">
        <f t="shared" si="64"/>
        <v>118970</v>
      </c>
      <c r="E316" s="760">
        <f t="shared" si="65"/>
        <v>0</v>
      </c>
      <c r="F316" s="760">
        <f t="shared" si="66"/>
        <v>0</v>
      </c>
      <c r="G316" s="340">
        <v>0</v>
      </c>
      <c r="H316" s="760">
        <f t="shared" si="67"/>
        <v>0</v>
      </c>
      <c r="I316" s="760">
        <f t="shared" si="74"/>
        <v>0</v>
      </c>
      <c r="J316" s="760">
        <f t="shared" si="68"/>
        <v>0</v>
      </c>
      <c r="K316" s="760">
        <f t="shared" si="69"/>
        <v>0</v>
      </c>
      <c r="L316" s="760">
        <f t="shared" si="70"/>
        <v>118970</v>
      </c>
      <c r="M316" s="760">
        <f>IFERROR(IF(L315=0,0,SUM($J$25:J316)),0)</f>
        <v>0</v>
      </c>
      <c r="N316" s="366">
        <f t="shared" si="60"/>
        <v>1.025603448275862</v>
      </c>
      <c r="O316" s="761">
        <f t="shared" si="61"/>
        <v>0</v>
      </c>
      <c r="P316" s="28"/>
      <c r="Q316" s="1681">
        <f t="shared" si="71"/>
        <v>0</v>
      </c>
      <c r="R316" s="1682">
        <f t="shared" si="62"/>
        <v>0</v>
      </c>
      <c r="S316" s="1682">
        <f t="shared" si="72"/>
        <v>0</v>
      </c>
      <c r="T316" s="1682">
        <f t="shared" si="73"/>
        <v>1900</v>
      </c>
    </row>
    <row r="317" spans="2:20" s="283" customFormat="1" ht="13.8" x14ac:dyDescent="0.3">
      <c r="B317" s="758" cm="1">
        <f t="array" ref="B317">IF(active_refi=1,IF(ROW()-ROW($B$24)&lt;=$E$12*$E$13+refi_month,ROW()-ROW($B$24),0),IF(activeloan,IF(L316=0,0,IF(ROW()-ROW($B$24)&lt;=$D$12*$D$13,ROW()-ROW($B$24),0)),0))</f>
        <v>0</v>
      </c>
      <c r="C317" s="759">
        <f t="shared" si="63"/>
        <v>0</v>
      </c>
      <c r="D317" s="760">
        <f t="shared" si="64"/>
        <v>118970</v>
      </c>
      <c r="E317" s="760">
        <f t="shared" si="65"/>
        <v>0</v>
      </c>
      <c r="F317" s="760">
        <f t="shared" si="66"/>
        <v>0</v>
      </c>
      <c r="G317" s="340">
        <v>0</v>
      </c>
      <c r="H317" s="760">
        <f t="shared" si="67"/>
        <v>0</v>
      </c>
      <c r="I317" s="760">
        <f t="shared" si="74"/>
        <v>0</v>
      </c>
      <c r="J317" s="760">
        <f t="shared" si="68"/>
        <v>0</v>
      </c>
      <c r="K317" s="760">
        <f t="shared" si="69"/>
        <v>0</v>
      </c>
      <c r="L317" s="760">
        <f t="shared" si="70"/>
        <v>118970</v>
      </c>
      <c r="M317" s="760">
        <f>IFERROR(IF(L316=0,0,SUM($J$25:J317)),0)</f>
        <v>0</v>
      </c>
      <c r="N317" s="366">
        <f t="shared" si="60"/>
        <v>1.025603448275862</v>
      </c>
      <c r="O317" s="761">
        <f t="shared" si="61"/>
        <v>0</v>
      </c>
      <c r="P317" s="28"/>
      <c r="Q317" s="1681">
        <f t="shared" si="71"/>
        <v>0</v>
      </c>
      <c r="R317" s="1682">
        <f t="shared" si="62"/>
        <v>0</v>
      </c>
      <c r="S317" s="1682">
        <f t="shared" si="72"/>
        <v>0</v>
      </c>
      <c r="T317" s="1682">
        <f t="shared" si="73"/>
        <v>1900</v>
      </c>
    </row>
    <row r="318" spans="2:20" s="283" customFormat="1" ht="13.8" x14ac:dyDescent="0.3">
      <c r="B318" s="758" cm="1">
        <f t="array" ref="B318">IF(active_refi=1,IF(ROW()-ROW($B$24)&lt;=$E$12*$E$13+refi_month,ROW()-ROW($B$24),0),IF(activeloan,IF(L317=0,0,IF(ROW()-ROW($B$24)&lt;=$D$12*$D$13,ROW()-ROW($B$24),0)),0))</f>
        <v>0</v>
      </c>
      <c r="C318" s="759">
        <f t="shared" si="63"/>
        <v>0</v>
      </c>
      <c r="D318" s="760">
        <f t="shared" si="64"/>
        <v>118970</v>
      </c>
      <c r="E318" s="760">
        <f t="shared" si="65"/>
        <v>0</v>
      </c>
      <c r="F318" s="760">
        <f t="shared" si="66"/>
        <v>0</v>
      </c>
      <c r="G318" s="340">
        <v>0</v>
      </c>
      <c r="H318" s="760">
        <f t="shared" si="67"/>
        <v>0</v>
      </c>
      <c r="I318" s="760">
        <f t="shared" si="74"/>
        <v>0</v>
      </c>
      <c r="J318" s="760">
        <f t="shared" si="68"/>
        <v>0</v>
      </c>
      <c r="K318" s="760">
        <f t="shared" si="69"/>
        <v>0</v>
      </c>
      <c r="L318" s="760">
        <f t="shared" si="70"/>
        <v>118970</v>
      </c>
      <c r="M318" s="760">
        <f>IFERROR(IF(L317=0,0,SUM($J$25:J318)),0)</f>
        <v>0</v>
      </c>
      <c r="N318" s="366">
        <f t="shared" si="60"/>
        <v>1.025603448275862</v>
      </c>
      <c r="O318" s="761">
        <f t="shared" si="61"/>
        <v>0</v>
      </c>
      <c r="P318" s="28"/>
      <c r="Q318" s="1681">
        <f t="shared" si="71"/>
        <v>0</v>
      </c>
      <c r="R318" s="1682">
        <f t="shared" si="62"/>
        <v>0</v>
      </c>
      <c r="S318" s="1682">
        <f t="shared" si="72"/>
        <v>0</v>
      </c>
      <c r="T318" s="1682">
        <f t="shared" si="73"/>
        <v>1900</v>
      </c>
    </row>
    <row r="319" spans="2:20" s="283" customFormat="1" ht="13.8" x14ac:dyDescent="0.3">
      <c r="B319" s="758" cm="1">
        <f t="array" ref="B319">IF(active_refi=1,IF(ROW()-ROW($B$24)&lt;=$E$12*$E$13+refi_month,ROW()-ROW($B$24),0),IF(activeloan,IF(L318=0,0,IF(ROW()-ROW($B$24)&lt;=$D$12*$D$13,ROW()-ROW($B$24),0)),0))</f>
        <v>0</v>
      </c>
      <c r="C319" s="759">
        <f t="shared" si="63"/>
        <v>0</v>
      </c>
      <c r="D319" s="760">
        <f t="shared" si="64"/>
        <v>118970</v>
      </c>
      <c r="E319" s="760">
        <f t="shared" si="65"/>
        <v>0</v>
      </c>
      <c r="F319" s="760">
        <f t="shared" si="66"/>
        <v>0</v>
      </c>
      <c r="G319" s="340">
        <v>0</v>
      </c>
      <c r="H319" s="760">
        <f t="shared" si="67"/>
        <v>0</v>
      </c>
      <c r="I319" s="760">
        <f t="shared" si="74"/>
        <v>0</v>
      </c>
      <c r="J319" s="760">
        <f t="shared" si="68"/>
        <v>0</v>
      </c>
      <c r="K319" s="760">
        <f t="shared" si="69"/>
        <v>0</v>
      </c>
      <c r="L319" s="760">
        <f t="shared" si="70"/>
        <v>118970</v>
      </c>
      <c r="M319" s="760">
        <f>IFERROR(IF(L318=0,0,SUM($J$25:J319)),0)</f>
        <v>0</v>
      </c>
      <c r="N319" s="366">
        <f t="shared" si="60"/>
        <v>1.025603448275862</v>
      </c>
      <c r="O319" s="761">
        <f t="shared" si="61"/>
        <v>0</v>
      </c>
      <c r="P319" s="28"/>
      <c r="Q319" s="1681">
        <f t="shared" si="71"/>
        <v>0</v>
      </c>
      <c r="R319" s="1682">
        <f t="shared" si="62"/>
        <v>0</v>
      </c>
      <c r="S319" s="1682">
        <f t="shared" si="72"/>
        <v>0</v>
      </c>
      <c r="T319" s="1682">
        <f t="shared" si="73"/>
        <v>1900</v>
      </c>
    </row>
    <row r="320" spans="2:20" s="283" customFormat="1" ht="13.8" x14ac:dyDescent="0.3">
      <c r="B320" s="758" cm="1">
        <f t="array" ref="B320">IF(active_refi=1,IF(ROW()-ROW($B$24)&lt;=$E$12*$E$13+refi_month,ROW()-ROW($B$24),0),IF(activeloan,IF(L319=0,0,IF(ROW()-ROW($B$24)&lt;=$D$12*$D$13,ROW()-ROW($B$24),0)),0))</f>
        <v>0</v>
      </c>
      <c r="C320" s="759">
        <f t="shared" si="63"/>
        <v>0</v>
      </c>
      <c r="D320" s="760">
        <f t="shared" si="64"/>
        <v>118970</v>
      </c>
      <c r="E320" s="760">
        <f t="shared" si="65"/>
        <v>0</v>
      </c>
      <c r="F320" s="760">
        <f t="shared" si="66"/>
        <v>0</v>
      </c>
      <c r="G320" s="340">
        <v>0</v>
      </c>
      <c r="H320" s="760">
        <f t="shared" si="67"/>
        <v>0</v>
      </c>
      <c r="I320" s="760">
        <f t="shared" si="74"/>
        <v>0</v>
      </c>
      <c r="J320" s="760">
        <f t="shared" si="68"/>
        <v>0</v>
      </c>
      <c r="K320" s="760">
        <f t="shared" si="69"/>
        <v>0</v>
      </c>
      <c r="L320" s="760">
        <f t="shared" si="70"/>
        <v>118970</v>
      </c>
      <c r="M320" s="760">
        <f>IFERROR(IF(L319=0,0,SUM($J$25:J320)),0)</f>
        <v>0</v>
      </c>
      <c r="N320" s="366">
        <f t="shared" si="60"/>
        <v>1.025603448275862</v>
      </c>
      <c r="O320" s="761">
        <f t="shared" si="61"/>
        <v>0</v>
      </c>
      <c r="P320" s="28"/>
      <c r="Q320" s="1681">
        <f t="shared" si="71"/>
        <v>0</v>
      </c>
      <c r="R320" s="1682">
        <f t="shared" si="62"/>
        <v>0</v>
      </c>
      <c r="S320" s="1682">
        <f t="shared" si="72"/>
        <v>0</v>
      </c>
      <c r="T320" s="1682">
        <f t="shared" si="73"/>
        <v>1900</v>
      </c>
    </row>
    <row r="321" spans="2:20" s="283" customFormat="1" ht="13.8" x14ac:dyDescent="0.3">
      <c r="B321" s="758" cm="1">
        <f t="array" ref="B321">IF(active_refi=1,IF(ROW()-ROW($B$24)&lt;=$E$12*$E$13+refi_month,ROW()-ROW($B$24),0),IF(activeloan,IF(L320=0,0,IF(ROW()-ROW($B$24)&lt;=$D$12*$D$13,ROW()-ROW($B$24),0)),0))</f>
        <v>0</v>
      </c>
      <c r="C321" s="759">
        <f t="shared" si="63"/>
        <v>0</v>
      </c>
      <c r="D321" s="760">
        <f t="shared" si="64"/>
        <v>118970</v>
      </c>
      <c r="E321" s="760">
        <f t="shared" si="65"/>
        <v>0</v>
      </c>
      <c r="F321" s="760">
        <f t="shared" si="66"/>
        <v>0</v>
      </c>
      <c r="G321" s="340">
        <v>0</v>
      </c>
      <c r="H321" s="760">
        <f t="shared" si="67"/>
        <v>0</v>
      </c>
      <c r="I321" s="760">
        <f t="shared" si="74"/>
        <v>0</v>
      </c>
      <c r="J321" s="760">
        <f t="shared" si="68"/>
        <v>0</v>
      </c>
      <c r="K321" s="760">
        <f t="shared" si="69"/>
        <v>0</v>
      </c>
      <c r="L321" s="760">
        <f t="shared" si="70"/>
        <v>118970</v>
      </c>
      <c r="M321" s="760">
        <f>IFERROR(IF(L320=0,0,SUM($J$25:J321)),0)</f>
        <v>0</v>
      </c>
      <c r="N321" s="366">
        <f t="shared" si="60"/>
        <v>1.025603448275862</v>
      </c>
      <c r="O321" s="761">
        <f t="shared" si="61"/>
        <v>0</v>
      </c>
      <c r="P321" s="28"/>
      <c r="Q321" s="1681">
        <f t="shared" si="71"/>
        <v>0</v>
      </c>
      <c r="R321" s="1682">
        <f t="shared" si="62"/>
        <v>0</v>
      </c>
      <c r="S321" s="1682">
        <f t="shared" si="72"/>
        <v>0</v>
      </c>
      <c r="T321" s="1682">
        <f t="shared" si="73"/>
        <v>1900</v>
      </c>
    </row>
    <row r="322" spans="2:20" s="283" customFormat="1" ht="13.8" x14ac:dyDescent="0.3">
      <c r="B322" s="758" cm="1">
        <f t="array" ref="B322">IF(active_refi=1,IF(ROW()-ROW($B$24)&lt;=$E$12*$E$13+refi_month,ROW()-ROW($B$24),0),IF(activeloan,IF(L321=0,0,IF(ROW()-ROW($B$24)&lt;=$D$12*$D$13,ROW()-ROW($B$24),0)),0))</f>
        <v>0</v>
      </c>
      <c r="C322" s="759">
        <f t="shared" si="63"/>
        <v>0</v>
      </c>
      <c r="D322" s="760">
        <f t="shared" si="64"/>
        <v>118970</v>
      </c>
      <c r="E322" s="760">
        <f t="shared" si="65"/>
        <v>0</v>
      </c>
      <c r="F322" s="760">
        <f t="shared" si="66"/>
        <v>0</v>
      </c>
      <c r="G322" s="340">
        <v>0</v>
      </c>
      <c r="H322" s="760">
        <f t="shared" si="67"/>
        <v>0</v>
      </c>
      <c r="I322" s="760">
        <f t="shared" si="74"/>
        <v>0</v>
      </c>
      <c r="J322" s="760">
        <f t="shared" si="68"/>
        <v>0</v>
      </c>
      <c r="K322" s="760">
        <f t="shared" si="69"/>
        <v>0</v>
      </c>
      <c r="L322" s="760">
        <f t="shared" si="70"/>
        <v>118970</v>
      </c>
      <c r="M322" s="760">
        <f>IFERROR(IF(L321=0,0,SUM($J$25:J322)),0)</f>
        <v>0</v>
      </c>
      <c r="N322" s="366">
        <f t="shared" si="60"/>
        <v>1.025603448275862</v>
      </c>
      <c r="O322" s="761">
        <f t="shared" si="61"/>
        <v>0</v>
      </c>
      <c r="P322" s="28"/>
      <c r="Q322" s="1681">
        <f t="shared" si="71"/>
        <v>0</v>
      </c>
      <c r="R322" s="1682">
        <f t="shared" si="62"/>
        <v>0</v>
      </c>
      <c r="S322" s="1682">
        <f t="shared" si="72"/>
        <v>0</v>
      </c>
      <c r="T322" s="1682">
        <f t="shared" si="73"/>
        <v>1900</v>
      </c>
    </row>
    <row r="323" spans="2:20" s="283" customFormat="1" ht="13.8" x14ac:dyDescent="0.3">
      <c r="B323" s="758" cm="1">
        <f t="array" ref="B323">IF(active_refi=1,IF(ROW()-ROW($B$24)&lt;=$E$12*$E$13+refi_month,ROW()-ROW($B$24),0),IF(activeloan,IF(L322=0,0,IF(ROW()-ROW($B$24)&lt;=$D$12*$D$13,ROW()-ROW($B$24),0)),0))</f>
        <v>0</v>
      </c>
      <c r="C323" s="759">
        <f t="shared" si="63"/>
        <v>0</v>
      </c>
      <c r="D323" s="760">
        <f t="shared" si="64"/>
        <v>118970</v>
      </c>
      <c r="E323" s="760">
        <f t="shared" si="65"/>
        <v>0</v>
      </c>
      <c r="F323" s="760">
        <f t="shared" si="66"/>
        <v>0</v>
      </c>
      <c r="G323" s="340">
        <v>0</v>
      </c>
      <c r="H323" s="760">
        <f t="shared" si="67"/>
        <v>0</v>
      </c>
      <c r="I323" s="760">
        <f t="shared" si="74"/>
        <v>0</v>
      </c>
      <c r="J323" s="760">
        <f t="shared" si="68"/>
        <v>0</v>
      </c>
      <c r="K323" s="760">
        <f t="shared" si="69"/>
        <v>0</v>
      </c>
      <c r="L323" s="760">
        <f t="shared" si="70"/>
        <v>118970</v>
      </c>
      <c r="M323" s="760">
        <f>IFERROR(IF(L322=0,0,SUM($J$25:J323)),0)</f>
        <v>0</v>
      </c>
      <c r="N323" s="366">
        <f t="shared" si="60"/>
        <v>1.025603448275862</v>
      </c>
      <c r="O323" s="761">
        <f t="shared" si="61"/>
        <v>0</v>
      </c>
      <c r="P323" s="28"/>
      <c r="Q323" s="1681">
        <f t="shared" si="71"/>
        <v>0</v>
      </c>
      <c r="R323" s="1682">
        <f t="shared" si="62"/>
        <v>0</v>
      </c>
      <c r="S323" s="1682">
        <f t="shared" si="72"/>
        <v>0</v>
      </c>
      <c r="T323" s="1682">
        <f t="shared" si="73"/>
        <v>1900</v>
      </c>
    </row>
    <row r="324" spans="2:20" s="283" customFormat="1" ht="13.8" x14ac:dyDescent="0.3">
      <c r="B324" s="758" cm="1">
        <f t="array" ref="B324">IF(active_refi=1,IF(ROW()-ROW($B$24)&lt;=$E$12*$E$13+refi_month,ROW()-ROW($B$24),0),IF(activeloan,IF(L323=0,0,IF(ROW()-ROW($B$24)&lt;=$D$12*$D$13,ROW()-ROW($B$24),0)),0))</f>
        <v>0</v>
      </c>
      <c r="C324" s="759">
        <f t="shared" si="63"/>
        <v>0</v>
      </c>
      <c r="D324" s="760">
        <f t="shared" si="64"/>
        <v>118970</v>
      </c>
      <c r="E324" s="760">
        <f t="shared" si="65"/>
        <v>0</v>
      </c>
      <c r="F324" s="760">
        <f t="shared" si="66"/>
        <v>0</v>
      </c>
      <c r="G324" s="340">
        <v>0</v>
      </c>
      <c r="H324" s="760">
        <f t="shared" si="67"/>
        <v>0</v>
      </c>
      <c r="I324" s="760">
        <f t="shared" si="74"/>
        <v>0</v>
      </c>
      <c r="J324" s="760">
        <f t="shared" si="68"/>
        <v>0</v>
      </c>
      <c r="K324" s="760">
        <f t="shared" si="69"/>
        <v>0</v>
      </c>
      <c r="L324" s="760">
        <f t="shared" si="70"/>
        <v>118970</v>
      </c>
      <c r="M324" s="760">
        <f>IFERROR(IF(L323=0,0,SUM($J$25:J324)),0)</f>
        <v>0</v>
      </c>
      <c r="N324" s="366">
        <f t="shared" si="60"/>
        <v>1.025603448275862</v>
      </c>
      <c r="O324" s="761">
        <f t="shared" si="61"/>
        <v>0</v>
      </c>
      <c r="P324" s="28"/>
      <c r="Q324" s="1681">
        <f t="shared" si="71"/>
        <v>0</v>
      </c>
      <c r="R324" s="1682">
        <f t="shared" si="62"/>
        <v>0</v>
      </c>
      <c r="S324" s="1682">
        <f t="shared" si="72"/>
        <v>0</v>
      </c>
      <c r="T324" s="1682">
        <f t="shared" si="73"/>
        <v>1900</v>
      </c>
    </row>
    <row r="325" spans="2:20" s="283" customFormat="1" ht="13.8" x14ac:dyDescent="0.3">
      <c r="B325" s="758" cm="1">
        <f t="array" ref="B325">IF(active_refi=1,IF(ROW()-ROW($B$24)&lt;=$E$12*$E$13+refi_month,ROW()-ROW($B$24),0),IF(activeloan,IF(L324=0,0,IF(ROW()-ROW($B$24)&lt;=$D$12*$D$13,ROW()-ROW($B$24),0)),0))</f>
        <v>0</v>
      </c>
      <c r="C325" s="759">
        <f t="shared" si="63"/>
        <v>0</v>
      </c>
      <c r="D325" s="760">
        <f t="shared" si="64"/>
        <v>118970</v>
      </c>
      <c r="E325" s="760">
        <f t="shared" si="65"/>
        <v>0</v>
      </c>
      <c r="F325" s="760">
        <f t="shared" si="66"/>
        <v>0</v>
      </c>
      <c r="G325" s="340">
        <v>0</v>
      </c>
      <c r="H325" s="760">
        <f t="shared" si="67"/>
        <v>0</v>
      </c>
      <c r="I325" s="760">
        <f t="shared" si="74"/>
        <v>0</v>
      </c>
      <c r="J325" s="760">
        <f t="shared" si="68"/>
        <v>0</v>
      </c>
      <c r="K325" s="760">
        <f t="shared" si="69"/>
        <v>0</v>
      </c>
      <c r="L325" s="760">
        <f t="shared" si="70"/>
        <v>118970</v>
      </c>
      <c r="M325" s="760">
        <f>IFERROR(IF(L324=0,0,SUM($J$25:J325)),0)</f>
        <v>0</v>
      </c>
      <c r="N325" s="366">
        <f t="shared" si="60"/>
        <v>1.025603448275862</v>
      </c>
      <c r="O325" s="761">
        <f t="shared" si="61"/>
        <v>0</v>
      </c>
      <c r="P325" s="28"/>
      <c r="Q325" s="1681">
        <f t="shared" si="71"/>
        <v>0</v>
      </c>
      <c r="R325" s="1682">
        <f t="shared" si="62"/>
        <v>0</v>
      </c>
      <c r="S325" s="1682">
        <f t="shared" si="72"/>
        <v>0</v>
      </c>
      <c r="T325" s="1682">
        <f t="shared" si="73"/>
        <v>1900</v>
      </c>
    </row>
    <row r="326" spans="2:20" s="283" customFormat="1" ht="13.8" x14ac:dyDescent="0.3">
      <c r="B326" s="758" cm="1">
        <f t="array" ref="B326">IF(active_refi=1,IF(ROW()-ROW($B$24)&lt;=$E$12*$E$13+refi_month,ROW()-ROW($B$24),0),IF(activeloan,IF(L325=0,0,IF(ROW()-ROW($B$24)&lt;=$D$12*$D$13,ROW()-ROW($B$24),0)),0))</f>
        <v>0</v>
      </c>
      <c r="C326" s="759">
        <f t="shared" si="63"/>
        <v>0</v>
      </c>
      <c r="D326" s="760">
        <f t="shared" si="64"/>
        <v>118970</v>
      </c>
      <c r="E326" s="760">
        <f t="shared" si="65"/>
        <v>0</v>
      </c>
      <c r="F326" s="760">
        <f t="shared" si="66"/>
        <v>0</v>
      </c>
      <c r="G326" s="340">
        <v>0</v>
      </c>
      <c r="H326" s="760">
        <f t="shared" si="67"/>
        <v>0</v>
      </c>
      <c r="I326" s="760">
        <f t="shared" si="74"/>
        <v>0</v>
      </c>
      <c r="J326" s="760">
        <f t="shared" si="68"/>
        <v>0</v>
      </c>
      <c r="K326" s="760">
        <f t="shared" si="69"/>
        <v>0</v>
      </c>
      <c r="L326" s="760">
        <f t="shared" si="70"/>
        <v>118970</v>
      </c>
      <c r="M326" s="760">
        <f>IFERROR(IF(L325=0,0,SUM($J$25:J326)),0)</f>
        <v>0</v>
      </c>
      <c r="N326" s="366">
        <f t="shared" si="60"/>
        <v>1.025603448275862</v>
      </c>
      <c r="O326" s="761">
        <f t="shared" si="61"/>
        <v>0</v>
      </c>
      <c r="P326" s="28"/>
      <c r="Q326" s="1681">
        <f t="shared" si="71"/>
        <v>0</v>
      </c>
      <c r="R326" s="1682">
        <f t="shared" si="62"/>
        <v>0</v>
      </c>
      <c r="S326" s="1682">
        <f t="shared" si="72"/>
        <v>0</v>
      </c>
      <c r="T326" s="1682">
        <f t="shared" si="73"/>
        <v>1900</v>
      </c>
    </row>
    <row r="327" spans="2:20" s="283" customFormat="1" ht="13.8" x14ac:dyDescent="0.3">
      <c r="B327" s="758" cm="1">
        <f t="array" ref="B327">IF(active_refi=1,IF(ROW()-ROW($B$24)&lt;=$E$12*$E$13+refi_month,ROW()-ROW($B$24),0),IF(activeloan,IF(L326=0,0,IF(ROW()-ROW($B$24)&lt;=$D$12*$D$13,ROW()-ROW($B$24),0)),0))</f>
        <v>0</v>
      </c>
      <c r="C327" s="759">
        <f t="shared" si="63"/>
        <v>0</v>
      </c>
      <c r="D327" s="760">
        <f t="shared" si="64"/>
        <v>118970</v>
      </c>
      <c r="E327" s="760">
        <f t="shared" si="65"/>
        <v>0</v>
      </c>
      <c r="F327" s="760">
        <f t="shared" si="66"/>
        <v>0</v>
      </c>
      <c r="G327" s="340">
        <v>0</v>
      </c>
      <c r="H327" s="760">
        <f t="shared" si="67"/>
        <v>0</v>
      </c>
      <c r="I327" s="760">
        <f t="shared" si="74"/>
        <v>0</v>
      </c>
      <c r="J327" s="760">
        <f t="shared" si="68"/>
        <v>0</v>
      </c>
      <c r="K327" s="760">
        <f t="shared" si="69"/>
        <v>0</v>
      </c>
      <c r="L327" s="760">
        <f t="shared" si="70"/>
        <v>118970</v>
      </c>
      <c r="M327" s="760">
        <f>IFERROR(IF(L326=0,0,SUM($J$25:J327)),0)</f>
        <v>0</v>
      </c>
      <c r="N327" s="366">
        <f t="shared" si="60"/>
        <v>1.025603448275862</v>
      </c>
      <c r="O327" s="761">
        <f t="shared" si="61"/>
        <v>0</v>
      </c>
      <c r="P327" s="28"/>
      <c r="Q327" s="1681">
        <f t="shared" si="71"/>
        <v>0</v>
      </c>
      <c r="R327" s="1682">
        <f t="shared" si="62"/>
        <v>0</v>
      </c>
      <c r="S327" s="1682">
        <f t="shared" si="72"/>
        <v>0</v>
      </c>
      <c r="T327" s="1682">
        <f t="shared" si="73"/>
        <v>1900</v>
      </c>
    </row>
    <row r="328" spans="2:20" s="283" customFormat="1" ht="13.8" x14ac:dyDescent="0.3">
      <c r="B328" s="758" cm="1">
        <f t="array" ref="B328">IF(active_refi=1,IF(ROW()-ROW($B$24)&lt;=$E$12*$E$13+refi_month,ROW()-ROW($B$24),0),IF(activeloan,IF(L327=0,0,IF(ROW()-ROW($B$24)&lt;=$D$12*$D$13,ROW()-ROW($B$24),0)),0))</f>
        <v>0</v>
      </c>
      <c r="C328" s="759">
        <f t="shared" si="63"/>
        <v>0</v>
      </c>
      <c r="D328" s="760">
        <f t="shared" si="64"/>
        <v>118970</v>
      </c>
      <c r="E328" s="760">
        <f t="shared" si="65"/>
        <v>0</v>
      </c>
      <c r="F328" s="760">
        <f t="shared" si="66"/>
        <v>0</v>
      </c>
      <c r="G328" s="340">
        <v>0</v>
      </c>
      <c r="H328" s="760">
        <f t="shared" si="67"/>
        <v>0</v>
      </c>
      <c r="I328" s="760">
        <f t="shared" si="74"/>
        <v>0</v>
      </c>
      <c r="J328" s="760">
        <f t="shared" si="68"/>
        <v>0</v>
      </c>
      <c r="K328" s="760">
        <f t="shared" si="69"/>
        <v>0</v>
      </c>
      <c r="L328" s="760">
        <f t="shared" si="70"/>
        <v>118970</v>
      </c>
      <c r="M328" s="760">
        <f>IFERROR(IF(L327=0,0,SUM($J$25:J328)),0)</f>
        <v>0</v>
      </c>
      <c r="N328" s="366">
        <f t="shared" si="60"/>
        <v>1.025603448275862</v>
      </c>
      <c r="O328" s="761">
        <f t="shared" si="61"/>
        <v>0</v>
      </c>
      <c r="P328" s="28"/>
      <c r="Q328" s="1681">
        <f t="shared" si="71"/>
        <v>0</v>
      </c>
      <c r="R328" s="1682">
        <f t="shared" si="62"/>
        <v>0</v>
      </c>
      <c r="S328" s="1682">
        <f t="shared" si="72"/>
        <v>0</v>
      </c>
      <c r="T328" s="1682">
        <f t="shared" si="73"/>
        <v>1900</v>
      </c>
    </row>
    <row r="329" spans="2:20" s="283" customFormat="1" ht="13.8" x14ac:dyDescent="0.3">
      <c r="B329" s="758" cm="1">
        <f t="array" ref="B329">IF(active_refi=1,IF(ROW()-ROW($B$24)&lt;=$E$12*$E$13+refi_month,ROW()-ROW($B$24),0),IF(activeloan,IF(L328=0,0,IF(ROW()-ROW($B$24)&lt;=$D$12*$D$13,ROW()-ROW($B$24),0)),0))</f>
        <v>0</v>
      </c>
      <c r="C329" s="759">
        <f t="shared" si="63"/>
        <v>0</v>
      </c>
      <c r="D329" s="760">
        <f t="shared" si="64"/>
        <v>118970</v>
      </c>
      <c r="E329" s="760">
        <f t="shared" si="65"/>
        <v>0</v>
      </c>
      <c r="F329" s="760">
        <f t="shared" si="66"/>
        <v>0</v>
      </c>
      <c r="G329" s="340">
        <v>0</v>
      </c>
      <c r="H329" s="760">
        <f t="shared" si="67"/>
        <v>0</v>
      </c>
      <c r="I329" s="760">
        <f t="shared" si="74"/>
        <v>0</v>
      </c>
      <c r="J329" s="760">
        <f t="shared" si="68"/>
        <v>0</v>
      </c>
      <c r="K329" s="760">
        <f t="shared" si="69"/>
        <v>0</v>
      </c>
      <c r="L329" s="760">
        <f t="shared" si="70"/>
        <v>118970</v>
      </c>
      <c r="M329" s="760">
        <f>IFERROR(IF(L328=0,0,SUM($J$25:J329)),0)</f>
        <v>0</v>
      </c>
      <c r="N329" s="366">
        <f t="shared" si="60"/>
        <v>1.025603448275862</v>
      </c>
      <c r="O329" s="761">
        <f t="shared" si="61"/>
        <v>0</v>
      </c>
      <c r="P329" s="28"/>
      <c r="Q329" s="1681">
        <f t="shared" si="71"/>
        <v>0</v>
      </c>
      <c r="R329" s="1682">
        <f t="shared" si="62"/>
        <v>0</v>
      </c>
      <c r="S329" s="1682">
        <f t="shared" si="72"/>
        <v>0</v>
      </c>
      <c r="T329" s="1682">
        <f t="shared" si="73"/>
        <v>1900</v>
      </c>
    </row>
    <row r="330" spans="2:20" s="283" customFormat="1" ht="13.8" x14ac:dyDescent="0.3">
      <c r="B330" s="758" cm="1">
        <f t="array" ref="B330">IF(active_refi=1,IF(ROW()-ROW($B$24)&lt;=$E$12*$E$13+refi_month,ROW()-ROW($B$24),0),IF(activeloan,IF(L329=0,0,IF(ROW()-ROW($B$24)&lt;=$D$12*$D$13,ROW()-ROW($B$24),0)),0))</f>
        <v>0</v>
      </c>
      <c r="C330" s="759">
        <f t="shared" si="63"/>
        <v>0</v>
      </c>
      <c r="D330" s="760">
        <f t="shared" si="64"/>
        <v>118970</v>
      </c>
      <c r="E330" s="760">
        <f t="shared" si="65"/>
        <v>0</v>
      </c>
      <c r="F330" s="760">
        <f t="shared" si="66"/>
        <v>0</v>
      </c>
      <c r="G330" s="340">
        <v>0</v>
      </c>
      <c r="H330" s="760">
        <f t="shared" si="67"/>
        <v>0</v>
      </c>
      <c r="I330" s="760">
        <f t="shared" si="74"/>
        <v>0</v>
      </c>
      <c r="J330" s="760">
        <f t="shared" si="68"/>
        <v>0</v>
      </c>
      <c r="K330" s="760">
        <f t="shared" si="69"/>
        <v>0</v>
      </c>
      <c r="L330" s="760">
        <f t="shared" si="70"/>
        <v>118970</v>
      </c>
      <c r="M330" s="760">
        <f>IFERROR(IF(L329=0,0,SUM($J$25:J330)),0)</f>
        <v>0</v>
      </c>
      <c r="N330" s="366">
        <f t="shared" si="60"/>
        <v>1.025603448275862</v>
      </c>
      <c r="O330" s="761">
        <f t="shared" si="61"/>
        <v>0</v>
      </c>
      <c r="P330" s="28"/>
      <c r="Q330" s="1681">
        <f t="shared" si="71"/>
        <v>0</v>
      </c>
      <c r="R330" s="1682">
        <f t="shared" si="62"/>
        <v>0</v>
      </c>
      <c r="S330" s="1682">
        <f t="shared" si="72"/>
        <v>0</v>
      </c>
      <c r="T330" s="1682">
        <f t="shared" si="73"/>
        <v>1900</v>
      </c>
    </row>
    <row r="331" spans="2:20" s="283" customFormat="1" ht="13.8" x14ac:dyDescent="0.3">
      <c r="B331" s="758" cm="1">
        <f t="array" ref="B331">IF(active_refi=1,IF(ROW()-ROW($B$24)&lt;=$E$12*$E$13+refi_month,ROW()-ROW($B$24),0),IF(activeloan,IF(L330=0,0,IF(ROW()-ROW($B$24)&lt;=$D$12*$D$13,ROW()-ROW($B$24),0)),0))</f>
        <v>0</v>
      </c>
      <c r="C331" s="759">
        <f t="shared" si="63"/>
        <v>0</v>
      </c>
      <c r="D331" s="760">
        <f t="shared" si="64"/>
        <v>118970</v>
      </c>
      <c r="E331" s="760">
        <f t="shared" si="65"/>
        <v>0</v>
      </c>
      <c r="F331" s="760">
        <f t="shared" si="66"/>
        <v>0</v>
      </c>
      <c r="G331" s="340">
        <v>0</v>
      </c>
      <c r="H331" s="760">
        <f t="shared" si="67"/>
        <v>0</v>
      </c>
      <c r="I331" s="760">
        <f t="shared" si="74"/>
        <v>0</v>
      </c>
      <c r="J331" s="760">
        <f t="shared" si="68"/>
        <v>0</v>
      </c>
      <c r="K331" s="760">
        <f t="shared" si="69"/>
        <v>0</v>
      </c>
      <c r="L331" s="760">
        <f t="shared" si="70"/>
        <v>118970</v>
      </c>
      <c r="M331" s="760">
        <f>IFERROR(IF(L330=0,0,SUM($J$25:J331)),0)</f>
        <v>0</v>
      </c>
      <c r="N331" s="366">
        <f t="shared" si="60"/>
        <v>1.025603448275862</v>
      </c>
      <c r="O331" s="761">
        <f t="shared" si="61"/>
        <v>0</v>
      </c>
      <c r="P331" s="28"/>
      <c r="Q331" s="1681">
        <f t="shared" si="71"/>
        <v>0</v>
      </c>
      <c r="R331" s="1682">
        <f t="shared" si="62"/>
        <v>0</v>
      </c>
      <c r="S331" s="1682">
        <f t="shared" si="72"/>
        <v>0</v>
      </c>
      <c r="T331" s="1682">
        <f t="shared" si="73"/>
        <v>1900</v>
      </c>
    </row>
    <row r="332" spans="2:20" s="283" customFormat="1" ht="13.8" x14ac:dyDescent="0.3">
      <c r="B332" s="758" cm="1">
        <f t="array" ref="B332">IF(active_refi=1,IF(ROW()-ROW($B$24)&lt;=$E$12*$E$13+refi_month,ROW()-ROW($B$24),0),IF(activeloan,IF(L331=0,0,IF(ROW()-ROW($B$24)&lt;=$D$12*$D$13,ROW()-ROW($B$24),0)),0))</f>
        <v>0</v>
      </c>
      <c r="C332" s="759">
        <f t="shared" si="63"/>
        <v>0</v>
      </c>
      <c r="D332" s="760">
        <f t="shared" si="64"/>
        <v>118970</v>
      </c>
      <c r="E332" s="760">
        <f t="shared" si="65"/>
        <v>0</v>
      </c>
      <c r="F332" s="760">
        <f t="shared" si="66"/>
        <v>0</v>
      </c>
      <c r="G332" s="340">
        <v>0</v>
      </c>
      <c r="H332" s="760">
        <f t="shared" si="67"/>
        <v>0</v>
      </c>
      <c r="I332" s="760">
        <f t="shared" si="74"/>
        <v>0</v>
      </c>
      <c r="J332" s="760">
        <f t="shared" si="68"/>
        <v>0</v>
      </c>
      <c r="K332" s="760">
        <f t="shared" si="69"/>
        <v>0</v>
      </c>
      <c r="L332" s="760">
        <f t="shared" si="70"/>
        <v>118970</v>
      </c>
      <c r="M332" s="760">
        <f>IFERROR(IF(L331=0,0,SUM($J$25:J332)),0)</f>
        <v>0</v>
      </c>
      <c r="N332" s="366">
        <f t="shared" si="60"/>
        <v>1.025603448275862</v>
      </c>
      <c r="O332" s="761">
        <f t="shared" si="61"/>
        <v>0</v>
      </c>
      <c r="P332" s="28"/>
      <c r="Q332" s="1681">
        <f t="shared" si="71"/>
        <v>0</v>
      </c>
      <c r="R332" s="1682">
        <f t="shared" si="62"/>
        <v>0</v>
      </c>
      <c r="S332" s="1682">
        <f t="shared" si="72"/>
        <v>0</v>
      </c>
      <c r="T332" s="1682">
        <f t="shared" si="73"/>
        <v>1900</v>
      </c>
    </row>
    <row r="333" spans="2:20" s="283" customFormat="1" ht="13.8" x14ac:dyDescent="0.3">
      <c r="B333" s="758" cm="1">
        <f t="array" ref="B333">IF(active_refi=1,IF(ROW()-ROW($B$24)&lt;=$E$12*$E$13+refi_month,ROW()-ROW($B$24),0),IF(activeloan,IF(L332=0,0,IF(ROW()-ROW($B$24)&lt;=$D$12*$D$13,ROW()-ROW($B$24),0)),0))</f>
        <v>0</v>
      </c>
      <c r="C333" s="759">
        <f t="shared" si="63"/>
        <v>0</v>
      </c>
      <c r="D333" s="760">
        <f t="shared" si="64"/>
        <v>118970</v>
      </c>
      <c r="E333" s="760">
        <f t="shared" si="65"/>
        <v>0</v>
      </c>
      <c r="F333" s="760">
        <f t="shared" si="66"/>
        <v>0</v>
      </c>
      <c r="G333" s="340">
        <v>0</v>
      </c>
      <c r="H333" s="760">
        <f t="shared" si="67"/>
        <v>0</v>
      </c>
      <c r="I333" s="760">
        <f t="shared" si="74"/>
        <v>0</v>
      </c>
      <c r="J333" s="760">
        <f t="shared" si="68"/>
        <v>0</v>
      </c>
      <c r="K333" s="760">
        <f t="shared" si="69"/>
        <v>0</v>
      </c>
      <c r="L333" s="760">
        <f t="shared" si="70"/>
        <v>118970</v>
      </c>
      <c r="M333" s="760">
        <f>IFERROR(IF(L332=0,0,SUM($J$25:J333)),0)</f>
        <v>0</v>
      </c>
      <c r="N333" s="366">
        <f t="shared" si="60"/>
        <v>1.025603448275862</v>
      </c>
      <c r="O333" s="761">
        <f t="shared" si="61"/>
        <v>0</v>
      </c>
      <c r="P333" s="28"/>
      <c r="Q333" s="1681">
        <f t="shared" si="71"/>
        <v>0</v>
      </c>
      <c r="R333" s="1682">
        <f t="shared" si="62"/>
        <v>0</v>
      </c>
      <c r="S333" s="1682">
        <f t="shared" si="72"/>
        <v>0</v>
      </c>
      <c r="T333" s="1682">
        <f t="shared" si="73"/>
        <v>1900</v>
      </c>
    </row>
    <row r="334" spans="2:20" s="283" customFormat="1" ht="13.8" x14ac:dyDescent="0.3">
      <c r="B334" s="758" cm="1">
        <f t="array" ref="B334">IF(active_refi=1,IF(ROW()-ROW($B$24)&lt;=$E$12*$E$13+refi_month,ROW()-ROW($B$24),0),IF(activeloan,IF(L333=0,0,IF(ROW()-ROW($B$24)&lt;=$D$12*$D$13,ROW()-ROW($B$24),0)),0))</f>
        <v>0</v>
      </c>
      <c r="C334" s="759">
        <f t="shared" si="63"/>
        <v>0</v>
      </c>
      <c r="D334" s="760">
        <f t="shared" si="64"/>
        <v>118970</v>
      </c>
      <c r="E334" s="760">
        <f t="shared" si="65"/>
        <v>0</v>
      </c>
      <c r="F334" s="760">
        <f t="shared" si="66"/>
        <v>0</v>
      </c>
      <c r="G334" s="340">
        <v>0</v>
      </c>
      <c r="H334" s="760">
        <f t="shared" si="67"/>
        <v>0</v>
      </c>
      <c r="I334" s="760">
        <f t="shared" si="74"/>
        <v>0</v>
      </c>
      <c r="J334" s="760">
        <f t="shared" si="68"/>
        <v>0</v>
      </c>
      <c r="K334" s="760">
        <f t="shared" si="69"/>
        <v>0</v>
      </c>
      <c r="L334" s="760">
        <f t="shared" si="70"/>
        <v>118970</v>
      </c>
      <c r="M334" s="760">
        <f>IFERROR(IF(L333=0,0,SUM($J$25:J334)),0)</f>
        <v>0</v>
      </c>
      <c r="N334" s="366">
        <f t="shared" si="60"/>
        <v>1.025603448275862</v>
      </c>
      <c r="O334" s="761">
        <f t="shared" si="61"/>
        <v>0</v>
      </c>
      <c r="P334" s="28"/>
      <c r="Q334" s="1681">
        <f t="shared" si="71"/>
        <v>0</v>
      </c>
      <c r="R334" s="1682">
        <f t="shared" si="62"/>
        <v>0</v>
      </c>
      <c r="S334" s="1682">
        <f t="shared" si="72"/>
        <v>0</v>
      </c>
      <c r="T334" s="1682">
        <f t="shared" si="73"/>
        <v>1900</v>
      </c>
    </row>
    <row r="335" spans="2:20" s="283" customFormat="1" ht="13.8" x14ac:dyDescent="0.3">
      <c r="B335" s="758" cm="1">
        <f t="array" ref="B335">IF(active_refi=1,IF(ROW()-ROW($B$24)&lt;=$E$12*$E$13+refi_month,ROW()-ROW($B$24),0),IF(activeloan,IF(L334=0,0,IF(ROW()-ROW($B$24)&lt;=$D$12*$D$13,ROW()-ROW($B$24),0)),0))</f>
        <v>0</v>
      </c>
      <c r="C335" s="759">
        <f t="shared" si="63"/>
        <v>0</v>
      </c>
      <c r="D335" s="760">
        <f t="shared" si="64"/>
        <v>118970</v>
      </c>
      <c r="E335" s="760">
        <f t="shared" si="65"/>
        <v>0</v>
      </c>
      <c r="F335" s="760">
        <f t="shared" si="66"/>
        <v>0</v>
      </c>
      <c r="G335" s="340">
        <v>0</v>
      </c>
      <c r="H335" s="760">
        <f t="shared" si="67"/>
        <v>0</v>
      </c>
      <c r="I335" s="760">
        <f t="shared" si="74"/>
        <v>0</v>
      </c>
      <c r="J335" s="760">
        <f t="shared" si="68"/>
        <v>0</v>
      </c>
      <c r="K335" s="760">
        <f t="shared" si="69"/>
        <v>0</v>
      </c>
      <c r="L335" s="760">
        <f t="shared" si="70"/>
        <v>118970</v>
      </c>
      <c r="M335" s="760">
        <f>IFERROR(IF(L334=0,0,SUM($J$25:J335)),0)</f>
        <v>0</v>
      </c>
      <c r="N335" s="366">
        <f t="shared" si="60"/>
        <v>1.025603448275862</v>
      </c>
      <c r="O335" s="761">
        <f t="shared" si="61"/>
        <v>0</v>
      </c>
      <c r="P335" s="28"/>
      <c r="Q335" s="1681">
        <f t="shared" si="71"/>
        <v>0</v>
      </c>
      <c r="R335" s="1682">
        <f t="shared" si="62"/>
        <v>0</v>
      </c>
      <c r="S335" s="1682">
        <f t="shared" si="72"/>
        <v>0</v>
      </c>
      <c r="T335" s="1682">
        <f t="shared" si="73"/>
        <v>1900</v>
      </c>
    </row>
    <row r="336" spans="2:20" s="283" customFormat="1" ht="13.8" x14ac:dyDescent="0.3">
      <c r="B336" s="758" cm="1">
        <f t="array" ref="B336">IF(active_refi=1,IF(ROW()-ROW($B$24)&lt;=$E$12*$E$13+refi_month,ROW()-ROW($B$24),0),IF(activeloan,IF(L335=0,0,IF(ROW()-ROW($B$24)&lt;=$D$12*$D$13,ROW()-ROW($B$24),0)),0))</f>
        <v>0</v>
      </c>
      <c r="C336" s="759">
        <f t="shared" si="63"/>
        <v>0</v>
      </c>
      <c r="D336" s="760">
        <f t="shared" si="64"/>
        <v>118970</v>
      </c>
      <c r="E336" s="760">
        <f t="shared" si="65"/>
        <v>0</v>
      </c>
      <c r="F336" s="760">
        <f t="shared" si="66"/>
        <v>0</v>
      </c>
      <c r="G336" s="340">
        <v>0</v>
      </c>
      <c r="H336" s="760">
        <f t="shared" si="67"/>
        <v>0</v>
      </c>
      <c r="I336" s="760">
        <f t="shared" si="74"/>
        <v>0</v>
      </c>
      <c r="J336" s="760">
        <f t="shared" si="68"/>
        <v>0</v>
      </c>
      <c r="K336" s="760">
        <f t="shared" si="69"/>
        <v>0</v>
      </c>
      <c r="L336" s="760">
        <f t="shared" si="70"/>
        <v>118970</v>
      </c>
      <c r="M336" s="760">
        <f>IFERROR(IF(L335=0,0,SUM($J$25:J336)),0)</f>
        <v>0</v>
      </c>
      <c r="N336" s="366">
        <f t="shared" si="60"/>
        <v>1.025603448275862</v>
      </c>
      <c r="O336" s="761">
        <f t="shared" si="61"/>
        <v>0</v>
      </c>
      <c r="P336" s="28"/>
      <c r="Q336" s="1681">
        <f t="shared" si="71"/>
        <v>0</v>
      </c>
      <c r="R336" s="1682">
        <f t="shared" si="62"/>
        <v>0</v>
      </c>
      <c r="S336" s="1682">
        <f t="shared" si="72"/>
        <v>0</v>
      </c>
      <c r="T336" s="1682">
        <f t="shared" si="73"/>
        <v>1900</v>
      </c>
    </row>
    <row r="337" spans="2:20" s="283" customFormat="1" ht="13.8" x14ac:dyDescent="0.3">
      <c r="B337" s="758" cm="1">
        <f t="array" ref="B337">IF(active_refi=1,IF(ROW()-ROW($B$24)&lt;=$E$12*$E$13+refi_month,ROW()-ROW($B$24),0),IF(activeloan,IF(L336=0,0,IF(ROW()-ROW($B$24)&lt;=$D$12*$D$13,ROW()-ROW($B$24),0)),0))</f>
        <v>0</v>
      </c>
      <c r="C337" s="759">
        <f t="shared" si="63"/>
        <v>0</v>
      </c>
      <c r="D337" s="760">
        <f t="shared" si="64"/>
        <v>118970</v>
      </c>
      <c r="E337" s="760">
        <f t="shared" si="65"/>
        <v>0</v>
      </c>
      <c r="F337" s="760">
        <f t="shared" si="66"/>
        <v>0</v>
      </c>
      <c r="G337" s="340">
        <v>0</v>
      </c>
      <c r="H337" s="760">
        <f t="shared" si="67"/>
        <v>0</v>
      </c>
      <c r="I337" s="760">
        <f t="shared" si="74"/>
        <v>0</v>
      </c>
      <c r="J337" s="760">
        <f t="shared" si="68"/>
        <v>0</v>
      </c>
      <c r="K337" s="760">
        <f t="shared" si="69"/>
        <v>0</v>
      </c>
      <c r="L337" s="760">
        <f t="shared" si="70"/>
        <v>118970</v>
      </c>
      <c r="M337" s="760">
        <f>IFERROR(IF(L336=0,0,SUM($J$25:J337)),0)</f>
        <v>0</v>
      </c>
      <c r="N337" s="366">
        <f t="shared" si="60"/>
        <v>1.025603448275862</v>
      </c>
      <c r="O337" s="761">
        <f t="shared" si="61"/>
        <v>0</v>
      </c>
      <c r="P337" s="28"/>
      <c r="Q337" s="1681">
        <f t="shared" si="71"/>
        <v>0</v>
      </c>
      <c r="R337" s="1682">
        <f t="shared" si="62"/>
        <v>0</v>
      </c>
      <c r="S337" s="1682">
        <f t="shared" si="72"/>
        <v>0</v>
      </c>
      <c r="T337" s="1682">
        <f t="shared" si="73"/>
        <v>1900</v>
      </c>
    </row>
    <row r="338" spans="2:20" s="283" customFormat="1" ht="13.8" x14ac:dyDescent="0.3">
      <c r="B338" s="758" cm="1">
        <f t="array" ref="B338">IF(active_refi=1,IF(ROW()-ROW($B$24)&lt;=$E$12*$E$13+refi_month,ROW()-ROW($B$24),0),IF(activeloan,IF(L337=0,0,IF(ROW()-ROW($B$24)&lt;=$D$12*$D$13,ROW()-ROW($B$24),0)),0))</f>
        <v>0</v>
      </c>
      <c r="C338" s="759">
        <f t="shared" si="63"/>
        <v>0</v>
      </c>
      <c r="D338" s="760">
        <f t="shared" si="64"/>
        <v>118970</v>
      </c>
      <c r="E338" s="760">
        <f t="shared" si="65"/>
        <v>0</v>
      </c>
      <c r="F338" s="760">
        <f t="shared" si="66"/>
        <v>0</v>
      </c>
      <c r="G338" s="340">
        <v>0</v>
      </c>
      <c r="H338" s="760">
        <f t="shared" si="67"/>
        <v>0</v>
      </c>
      <c r="I338" s="760">
        <f t="shared" si="74"/>
        <v>0</v>
      </c>
      <c r="J338" s="760">
        <f t="shared" si="68"/>
        <v>0</v>
      </c>
      <c r="K338" s="760">
        <f t="shared" si="69"/>
        <v>0</v>
      </c>
      <c r="L338" s="760">
        <f t="shared" si="70"/>
        <v>118970</v>
      </c>
      <c r="M338" s="760">
        <f>IFERROR(IF(L337=0,0,SUM($J$25:J338)),0)</f>
        <v>0</v>
      </c>
      <c r="N338" s="366">
        <f t="shared" si="60"/>
        <v>1.025603448275862</v>
      </c>
      <c r="O338" s="761">
        <f t="shared" si="61"/>
        <v>0</v>
      </c>
      <c r="P338" s="28"/>
      <c r="Q338" s="1681">
        <f t="shared" si="71"/>
        <v>0</v>
      </c>
      <c r="R338" s="1682">
        <f t="shared" si="62"/>
        <v>0</v>
      </c>
      <c r="S338" s="1682">
        <f t="shared" si="72"/>
        <v>0</v>
      </c>
      <c r="T338" s="1682">
        <f t="shared" si="73"/>
        <v>1900</v>
      </c>
    </row>
    <row r="339" spans="2:20" s="283" customFormat="1" ht="13.8" x14ac:dyDescent="0.3">
      <c r="B339" s="758" cm="1">
        <f t="array" ref="B339">IF(active_refi=1,IF(ROW()-ROW($B$24)&lt;=$E$12*$E$13+refi_month,ROW()-ROW($B$24),0),IF(activeloan,IF(L338=0,0,IF(ROW()-ROW($B$24)&lt;=$D$12*$D$13,ROW()-ROW($B$24),0)),0))</f>
        <v>0</v>
      </c>
      <c r="C339" s="759">
        <f t="shared" si="63"/>
        <v>0</v>
      </c>
      <c r="D339" s="760">
        <f t="shared" si="64"/>
        <v>118970</v>
      </c>
      <c r="E339" s="760">
        <f t="shared" si="65"/>
        <v>0</v>
      </c>
      <c r="F339" s="760">
        <f t="shared" si="66"/>
        <v>0</v>
      </c>
      <c r="G339" s="340">
        <v>0</v>
      </c>
      <c r="H339" s="760">
        <f t="shared" si="67"/>
        <v>0</v>
      </c>
      <c r="I339" s="760">
        <f t="shared" si="74"/>
        <v>0</v>
      </c>
      <c r="J339" s="760">
        <f t="shared" si="68"/>
        <v>0</v>
      </c>
      <c r="K339" s="760">
        <f t="shared" si="69"/>
        <v>0</v>
      </c>
      <c r="L339" s="760">
        <f t="shared" si="70"/>
        <v>118970</v>
      </c>
      <c r="M339" s="760">
        <f>IFERROR(IF(L338=0,0,SUM($J$25:J339)),0)</f>
        <v>0</v>
      </c>
      <c r="N339" s="366">
        <f t="shared" si="60"/>
        <v>1.025603448275862</v>
      </c>
      <c r="O339" s="761">
        <f t="shared" si="61"/>
        <v>0</v>
      </c>
      <c r="P339" s="28"/>
      <c r="Q339" s="1681">
        <f t="shared" si="71"/>
        <v>0</v>
      </c>
      <c r="R339" s="1682">
        <f t="shared" si="62"/>
        <v>0</v>
      </c>
      <c r="S339" s="1682">
        <f t="shared" si="72"/>
        <v>0</v>
      </c>
      <c r="T339" s="1682">
        <f t="shared" si="73"/>
        <v>1900</v>
      </c>
    </row>
    <row r="340" spans="2:20" s="283" customFormat="1" ht="13.8" x14ac:dyDescent="0.3">
      <c r="B340" s="758" cm="1">
        <f t="array" ref="B340">IF(active_refi=1,IF(ROW()-ROW($B$24)&lt;=$E$12*$E$13+refi_month,ROW()-ROW($B$24),0),IF(activeloan,IF(L339=0,0,IF(ROW()-ROW($B$24)&lt;=$D$12*$D$13,ROW()-ROW($B$24),0)),0))</f>
        <v>0</v>
      </c>
      <c r="C340" s="759">
        <f t="shared" si="63"/>
        <v>0</v>
      </c>
      <c r="D340" s="760">
        <f t="shared" si="64"/>
        <v>118970</v>
      </c>
      <c r="E340" s="760">
        <f t="shared" si="65"/>
        <v>0</v>
      </c>
      <c r="F340" s="760">
        <f t="shared" si="66"/>
        <v>0</v>
      </c>
      <c r="G340" s="340">
        <v>0</v>
      </c>
      <c r="H340" s="760">
        <f t="shared" si="67"/>
        <v>0</v>
      </c>
      <c r="I340" s="760">
        <f t="shared" si="74"/>
        <v>0</v>
      </c>
      <c r="J340" s="760">
        <f t="shared" si="68"/>
        <v>0</v>
      </c>
      <c r="K340" s="760">
        <f t="shared" si="69"/>
        <v>0</v>
      </c>
      <c r="L340" s="760">
        <f t="shared" si="70"/>
        <v>118970</v>
      </c>
      <c r="M340" s="760">
        <f>IFERROR(IF(L339=0,0,SUM($J$25:J340)),0)</f>
        <v>0</v>
      </c>
      <c r="N340" s="366">
        <f t="shared" si="60"/>
        <v>1.025603448275862</v>
      </c>
      <c r="O340" s="761">
        <f t="shared" si="61"/>
        <v>0</v>
      </c>
      <c r="P340" s="28"/>
      <c r="Q340" s="1681">
        <f t="shared" si="71"/>
        <v>0</v>
      </c>
      <c r="R340" s="1682">
        <f t="shared" si="62"/>
        <v>0</v>
      </c>
      <c r="S340" s="1682">
        <f t="shared" si="72"/>
        <v>0</v>
      </c>
      <c r="T340" s="1682">
        <f t="shared" si="73"/>
        <v>1900</v>
      </c>
    </row>
    <row r="341" spans="2:20" s="283" customFormat="1" ht="13.8" x14ac:dyDescent="0.3">
      <c r="B341" s="758" cm="1">
        <f t="array" ref="B341">IF(active_refi=1,IF(ROW()-ROW($B$24)&lt;=$E$12*$E$13+refi_month,ROW()-ROW($B$24),0),IF(activeloan,IF(L340=0,0,IF(ROW()-ROW($B$24)&lt;=$D$12*$D$13,ROW()-ROW($B$24),0)),0))</f>
        <v>0</v>
      </c>
      <c r="C341" s="759">
        <f t="shared" si="63"/>
        <v>0</v>
      </c>
      <c r="D341" s="760">
        <f t="shared" si="64"/>
        <v>118970</v>
      </c>
      <c r="E341" s="760">
        <f t="shared" si="65"/>
        <v>0</v>
      </c>
      <c r="F341" s="760">
        <f t="shared" si="66"/>
        <v>0</v>
      </c>
      <c r="G341" s="340">
        <v>0</v>
      </c>
      <c r="H341" s="760">
        <f t="shared" si="67"/>
        <v>0</v>
      </c>
      <c r="I341" s="760">
        <f t="shared" si="74"/>
        <v>0</v>
      </c>
      <c r="J341" s="760">
        <f t="shared" si="68"/>
        <v>0</v>
      </c>
      <c r="K341" s="760">
        <f t="shared" si="69"/>
        <v>0</v>
      </c>
      <c r="L341" s="760">
        <f t="shared" si="70"/>
        <v>118970</v>
      </c>
      <c r="M341" s="760">
        <f>IFERROR(IF(L340=0,0,SUM($J$25:J341)),0)</f>
        <v>0</v>
      </c>
      <c r="N341" s="366">
        <f t="shared" si="60"/>
        <v>1.025603448275862</v>
      </c>
      <c r="O341" s="761">
        <f t="shared" si="61"/>
        <v>0</v>
      </c>
      <c r="P341" s="28"/>
      <c r="Q341" s="1681">
        <f t="shared" si="71"/>
        <v>0</v>
      </c>
      <c r="R341" s="1682">
        <f t="shared" si="62"/>
        <v>0</v>
      </c>
      <c r="S341" s="1682">
        <f t="shared" si="72"/>
        <v>0</v>
      </c>
      <c r="T341" s="1682">
        <f t="shared" si="73"/>
        <v>1900</v>
      </c>
    </row>
    <row r="342" spans="2:20" s="283" customFormat="1" ht="13.8" x14ac:dyDescent="0.3">
      <c r="B342" s="758" cm="1">
        <f t="array" ref="B342">IF(active_refi=1,IF(ROW()-ROW($B$24)&lt;=$E$12*$E$13+refi_month,ROW()-ROW($B$24),0),IF(activeloan,IF(L341=0,0,IF(ROW()-ROW($B$24)&lt;=$D$12*$D$13,ROW()-ROW($B$24),0)),0))</f>
        <v>0</v>
      </c>
      <c r="C342" s="759">
        <f t="shared" si="63"/>
        <v>0</v>
      </c>
      <c r="D342" s="760">
        <f t="shared" si="64"/>
        <v>118970</v>
      </c>
      <c r="E342" s="760">
        <f t="shared" si="65"/>
        <v>0</v>
      </c>
      <c r="F342" s="760">
        <f t="shared" si="66"/>
        <v>0</v>
      </c>
      <c r="G342" s="340">
        <v>0</v>
      </c>
      <c r="H342" s="760">
        <f t="shared" si="67"/>
        <v>0</v>
      </c>
      <c r="I342" s="760">
        <f t="shared" si="74"/>
        <v>0</v>
      </c>
      <c r="J342" s="760">
        <f t="shared" si="68"/>
        <v>0</v>
      </c>
      <c r="K342" s="760">
        <f t="shared" si="69"/>
        <v>0</v>
      </c>
      <c r="L342" s="760">
        <f t="shared" si="70"/>
        <v>118970</v>
      </c>
      <c r="M342" s="760">
        <f>IFERROR(IF(L341=0,0,SUM($J$25:J342)),0)</f>
        <v>0</v>
      </c>
      <c r="N342" s="366">
        <f t="shared" si="60"/>
        <v>1.025603448275862</v>
      </c>
      <c r="O342" s="761">
        <f t="shared" si="61"/>
        <v>0</v>
      </c>
      <c r="P342" s="28"/>
      <c r="Q342" s="1681">
        <f t="shared" si="71"/>
        <v>0</v>
      </c>
      <c r="R342" s="1682">
        <f t="shared" si="62"/>
        <v>0</v>
      </c>
      <c r="S342" s="1682">
        <f t="shared" si="72"/>
        <v>0</v>
      </c>
      <c r="T342" s="1682">
        <f t="shared" si="73"/>
        <v>1900</v>
      </c>
    </row>
    <row r="343" spans="2:20" s="283" customFormat="1" ht="13.8" x14ac:dyDescent="0.3">
      <c r="B343" s="758" cm="1">
        <f t="array" ref="B343">IF(active_refi=1,IF(ROW()-ROW($B$24)&lt;=$E$12*$E$13+refi_month,ROW()-ROW($B$24),0),IF(activeloan,IF(L342=0,0,IF(ROW()-ROW($B$24)&lt;=$D$12*$D$13,ROW()-ROW($B$24),0)),0))</f>
        <v>0</v>
      </c>
      <c r="C343" s="759">
        <f t="shared" si="63"/>
        <v>0</v>
      </c>
      <c r="D343" s="760">
        <f t="shared" si="64"/>
        <v>118970</v>
      </c>
      <c r="E343" s="760">
        <f t="shared" si="65"/>
        <v>0</v>
      </c>
      <c r="F343" s="760">
        <f t="shared" si="66"/>
        <v>0</v>
      </c>
      <c r="G343" s="340">
        <v>0</v>
      </c>
      <c r="H343" s="760">
        <f t="shared" si="67"/>
        <v>0</v>
      </c>
      <c r="I343" s="760">
        <f t="shared" si="74"/>
        <v>0</v>
      </c>
      <c r="J343" s="760">
        <f t="shared" si="68"/>
        <v>0</v>
      </c>
      <c r="K343" s="760">
        <f t="shared" si="69"/>
        <v>0</v>
      </c>
      <c r="L343" s="760">
        <f t="shared" si="70"/>
        <v>118970</v>
      </c>
      <c r="M343" s="760">
        <f>IFERROR(IF(L342=0,0,SUM($J$25:J343)),0)</f>
        <v>0</v>
      </c>
      <c r="N343" s="366">
        <f t="shared" si="60"/>
        <v>1.025603448275862</v>
      </c>
      <c r="O343" s="761">
        <f t="shared" si="61"/>
        <v>0</v>
      </c>
      <c r="P343" s="28"/>
      <c r="Q343" s="1681">
        <f t="shared" si="71"/>
        <v>0</v>
      </c>
      <c r="R343" s="1682">
        <f t="shared" si="62"/>
        <v>0</v>
      </c>
      <c r="S343" s="1682">
        <f t="shared" si="72"/>
        <v>0</v>
      </c>
      <c r="T343" s="1682">
        <f t="shared" si="73"/>
        <v>1900</v>
      </c>
    </row>
    <row r="344" spans="2:20" s="283" customFormat="1" ht="13.8" x14ac:dyDescent="0.3">
      <c r="B344" s="758" cm="1">
        <f t="array" ref="B344">IF(active_refi=1,IF(ROW()-ROW($B$24)&lt;=$E$12*$E$13+refi_month,ROW()-ROW($B$24),0),IF(activeloan,IF(L343=0,0,IF(ROW()-ROW($B$24)&lt;=$D$12*$D$13,ROW()-ROW($B$24),0)),0))</f>
        <v>0</v>
      </c>
      <c r="C344" s="759">
        <f t="shared" si="63"/>
        <v>0</v>
      </c>
      <c r="D344" s="760">
        <f t="shared" si="64"/>
        <v>118970</v>
      </c>
      <c r="E344" s="760">
        <f t="shared" si="65"/>
        <v>0</v>
      </c>
      <c r="F344" s="760">
        <f t="shared" si="66"/>
        <v>0</v>
      </c>
      <c r="G344" s="340">
        <v>0</v>
      </c>
      <c r="H344" s="760">
        <f t="shared" si="67"/>
        <v>0</v>
      </c>
      <c r="I344" s="760">
        <f t="shared" si="74"/>
        <v>0</v>
      </c>
      <c r="J344" s="760">
        <f t="shared" si="68"/>
        <v>0</v>
      </c>
      <c r="K344" s="760">
        <f t="shared" si="69"/>
        <v>0</v>
      </c>
      <c r="L344" s="760">
        <f t="shared" si="70"/>
        <v>118970</v>
      </c>
      <c r="M344" s="760">
        <f>IFERROR(IF(L343=0,0,SUM($J$25:J344)),0)</f>
        <v>0</v>
      </c>
      <c r="N344" s="366">
        <f t="shared" si="60"/>
        <v>1.025603448275862</v>
      </c>
      <c r="O344" s="761">
        <f t="shared" si="61"/>
        <v>0</v>
      </c>
      <c r="P344" s="28"/>
      <c r="Q344" s="1681">
        <f t="shared" si="71"/>
        <v>0</v>
      </c>
      <c r="R344" s="1682">
        <f t="shared" si="62"/>
        <v>0</v>
      </c>
      <c r="S344" s="1682">
        <f t="shared" si="72"/>
        <v>0</v>
      </c>
      <c r="T344" s="1682">
        <f t="shared" si="73"/>
        <v>1900</v>
      </c>
    </row>
    <row r="345" spans="2:20" s="283" customFormat="1" ht="13.8" x14ac:dyDescent="0.3">
      <c r="B345" s="758" cm="1">
        <f t="array" ref="B345">IF(active_refi=1,IF(ROW()-ROW($B$24)&lt;=$E$12*$E$13+refi_month,ROW()-ROW($B$24),0),IF(activeloan,IF(L344=0,0,IF(ROW()-ROW($B$24)&lt;=$D$12*$D$13,ROW()-ROW($B$24),0)),0))</f>
        <v>0</v>
      </c>
      <c r="C345" s="759">
        <f t="shared" si="63"/>
        <v>0</v>
      </c>
      <c r="D345" s="760">
        <f t="shared" si="64"/>
        <v>118970</v>
      </c>
      <c r="E345" s="760">
        <f t="shared" si="65"/>
        <v>0</v>
      </c>
      <c r="F345" s="760">
        <f t="shared" si="66"/>
        <v>0</v>
      </c>
      <c r="G345" s="340">
        <v>0</v>
      </c>
      <c r="H345" s="760">
        <f t="shared" si="67"/>
        <v>0</v>
      </c>
      <c r="I345" s="760">
        <f t="shared" si="74"/>
        <v>0</v>
      </c>
      <c r="J345" s="760">
        <f t="shared" si="68"/>
        <v>0</v>
      </c>
      <c r="K345" s="760">
        <f t="shared" si="69"/>
        <v>0</v>
      </c>
      <c r="L345" s="760">
        <f t="shared" si="70"/>
        <v>118970</v>
      </c>
      <c r="M345" s="760">
        <f>IFERROR(IF(L344=0,0,SUM($J$25:J345)),0)</f>
        <v>0</v>
      </c>
      <c r="N345" s="366">
        <f t="shared" ref="N345:N384" si="75">IFERROR(L345/purchase_price,0)</f>
        <v>1.025603448275862</v>
      </c>
      <c r="O345" s="761">
        <f t="shared" ref="O345:O384" si="76">IFERROR(IF(active_refi=0,0,IF(B345&lt;$F$18,0,L345/refi_price)),0)</f>
        <v>0</v>
      </c>
      <c r="P345" s="28"/>
      <c r="Q345" s="1681">
        <f t="shared" si="71"/>
        <v>0</v>
      </c>
      <c r="R345" s="1682">
        <f t="shared" ref="R345:R384" si="77">IFERROR(IF(AND(B345&lt;=$J$19,B345&lt;&gt;0,B345&gt;=$J$18),IF(B345&lt;=$E$15*12+refi_month,J345,IF(OR(B345=$J$19,$J$10&gt;(1+$E$11/12)*D345),(1+$E$11/12)*D345,$J$10))+K345,0),0)</f>
        <v>0</v>
      </c>
      <c r="S345" s="1682">
        <f t="shared" si="72"/>
        <v>0</v>
      </c>
      <c r="T345" s="1682">
        <f t="shared" si="73"/>
        <v>1900</v>
      </c>
    </row>
    <row r="346" spans="2:20" s="283" customFormat="1" ht="13.8" x14ac:dyDescent="0.3">
      <c r="B346" s="758" cm="1">
        <f t="array" ref="B346">IF(active_refi=1,IF(ROW()-ROW($B$24)&lt;=$E$12*$E$13+refi_month,ROW()-ROW($B$24),0),IF(activeloan,IF(L345=0,0,IF(ROW()-ROW($B$24)&lt;=$D$12*$D$13,ROW()-ROW($B$24),0)),0))</f>
        <v>0</v>
      </c>
      <c r="C346" s="759">
        <f t="shared" ref="C346:C384" si="78">IF(B346&lt;&gt;0,EOMONTH(C345,1),0)</f>
        <v>0</v>
      </c>
      <c r="D346" s="760">
        <f t="shared" ref="D346:D384" si="79">IF(AND(B346=refi_month+1,active_refi),$E$10,L345)</f>
        <v>118970</v>
      </c>
      <c r="E346" s="760">
        <f t="shared" ref="E346:E384" si="80">S346</f>
        <v>0</v>
      </c>
      <c r="F346" s="760">
        <f t="shared" ref="F346:F384" si="81">IF(D346-(E346-J346-K346)&lt;0,0,IF(B346&lt;=$I$15,MAX(MIN(D346-(E346-J346-K346),$N$10),0),MAX(MIN(D346-(E346-J346-K346),$O$10),0)))</f>
        <v>0</v>
      </c>
      <c r="G346" s="340">
        <v>0</v>
      </c>
      <c r="H346" s="760">
        <f t="shared" ref="H346:H384" si="82">MIN(E346+F346+G346,D346+J346+K346)</f>
        <v>0</v>
      </c>
      <c r="I346" s="760">
        <f t="shared" si="74"/>
        <v>0</v>
      </c>
      <c r="J346" s="760">
        <f t="shared" ref="J346:J384" si="83">IFERROR(IF(B346&lt;=$I$19,$D$11/12*D346,$E$11/12*D346),0)</f>
        <v>0</v>
      </c>
      <c r="K346" s="760">
        <f t="shared" ref="K346:K384" si="84">IFERROR(IF(OR(B346&lt;=$F$18,active_refi=0),IF(N345&lt;=$D$18,0,$D$17*$D$10/12),IF(B346=$F$18+1,IF((D346/refi_price)&lt;=$E$18,0,$E$17*$E$10/12),IF(O345&lt;=$E$18,0,$E$17*$E$10/12))),0)</f>
        <v>0</v>
      </c>
      <c r="L346" s="760">
        <f t="shared" ref="L346:L384" si="85">IF(ROUND(D346-I346,4)=0,ROUND(D346-I346,4),D346-I346)</f>
        <v>118970</v>
      </c>
      <c r="M346" s="760">
        <f>IFERROR(IF(L345=0,0,SUM($J$25:J346)),0)</f>
        <v>0</v>
      </c>
      <c r="N346" s="366">
        <f t="shared" si="75"/>
        <v>1.025603448275862</v>
      </c>
      <c r="O346" s="761">
        <f t="shared" si="76"/>
        <v>0</v>
      </c>
      <c r="P346" s="28"/>
      <c r="Q346" s="1681">
        <f t="shared" ref="Q346:Q384" si="86">IFERROR(IF(AND(B346&lt;=$I$19,B346&lt;&gt;0),IF(AND(B346=$D$15*12,$D$15=$D$12),D346+J346,IF(B346&lt;=$D$15*12,J346,IF($I$10&gt;(1+$D$11/12)*D346,(1+$D$11/12)*D346,$I$10)))+K346,0),0)</f>
        <v>0</v>
      </c>
      <c r="R346" s="1682">
        <f t="shared" si="77"/>
        <v>0</v>
      </c>
      <c r="S346" s="1682">
        <f t="shared" ref="S346:S384" si="87">IF(B346&lt;=$I$19,Q346,IF(AND(B346&gt;=$J$18,B346&lt;=$J$19),R346,0))</f>
        <v>0</v>
      </c>
      <c r="T346" s="1682">
        <f t="shared" ref="T346:T384" si="88">YEAR(C346)</f>
        <v>1900</v>
      </c>
    </row>
    <row r="347" spans="2:20" s="283" customFormat="1" ht="13.8" x14ac:dyDescent="0.3">
      <c r="B347" s="758" cm="1">
        <f t="array" ref="B347">IF(active_refi=1,IF(ROW()-ROW($B$24)&lt;=$E$12*$E$13+refi_month,ROW()-ROW($B$24),0),IF(activeloan,IF(L346=0,0,IF(ROW()-ROW($B$24)&lt;=$D$12*$D$13,ROW()-ROW($B$24),0)),0))</f>
        <v>0</v>
      </c>
      <c r="C347" s="759">
        <f t="shared" si="78"/>
        <v>0</v>
      </c>
      <c r="D347" s="760">
        <f t="shared" si="79"/>
        <v>118970</v>
      </c>
      <c r="E347" s="760">
        <f t="shared" si="80"/>
        <v>0</v>
      </c>
      <c r="F347" s="760">
        <f t="shared" si="81"/>
        <v>0</v>
      </c>
      <c r="G347" s="340">
        <v>0</v>
      </c>
      <c r="H347" s="760">
        <f t="shared" si="82"/>
        <v>0</v>
      </c>
      <c r="I347" s="760">
        <f t="shared" ref="I347:I384" si="89">H347-J347-K347</f>
        <v>0</v>
      </c>
      <c r="J347" s="760">
        <f t="shared" si="83"/>
        <v>0</v>
      </c>
      <c r="K347" s="760">
        <f t="shared" si="84"/>
        <v>0</v>
      </c>
      <c r="L347" s="760">
        <f t="shared" si="85"/>
        <v>118970</v>
      </c>
      <c r="M347" s="760">
        <f>IFERROR(IF(L346=0,0,SUM($J$25:J347)),0)</f>
        <v>0</v>
      </c>
      <c r="N347" s="366">
        <f t="shared" si="75"/>
        <v>1.025603448275862</v>
      </c>
      <c r="O347" s="761">
        <f t="shared" si="76"/>
        <v>0</v>
      </c>
      <c r="P347" s="28"/>
      <c r="Q347" s="1681">
        <f t="shared" si="86"/>
        <v>0</v>
      </c>
      <c r="R347" s="1682">
        <f t="shared" si="77"/>
        <v>0</v>
      </c>
      <c r="S347" s="1682">
        <f t="shared" si="87"/>
        <v>0</v>
      </c>
      <c r="T347" s="1682">
        <f t="shared" si="88"/>
        <v>1900</v>
      </c>
    </row>
    <row r="348" spans="2:20" s="283" customFormat="1" ht="13.8" x14ac:dyDescent="0.3">
      <c r="B348" s="758" cm="1">
        <f t="array" ref="B348">IF(active_refi=1,IF(ROW()-ROW($B$24)&lt;=$E$12*$E$13+refi_month,ROW()-ROW($B$24),0),IF(activeloan,IF(L347=0,0,IF(ROW()-ROW($B$24)&lt;=$D$12*$D$13,ROW()-ROW($B$24),0)),0))</f>
        <v>0</v>
      </c>
      <c r="C348" s="759">
        <f t="shared" si="78"/>
        <v>0</v>
      </c>
      <c r="D348" s="760">
        <f t="shared" si="79"/>
        <v>118970</v>
      </c>
      <c r="E348" s="760">
        <f t="shared" si="80"/>
        <v>0</v>
      </c>
      <c r="F348" s="760">
        <f t="shared" si="81"/>
        <v>0</v>
      </c>
      <c r="G348" s="340">
        <v>0</v>
      </c>
      <c r="H348" s="760">
        <f t="shared" si="82"/>
        <v>0</v>
      </c>
      <c r="I348" s="760">
        <f t="shared" si="89"/>
        <v>0</v>
      </c>
      <c r="J348" s="760">
        <f t="shared" si="83"/>
        <v>0</v>
      </c>
      <c r="K348" s="760">
        <f t="shared" si="84"/>
        <v>0</v>
      </c>
      <c r="L348" s="760">
        <f t="shared" si="85"/>
        <v>118970</v>
      </c>
      <c r="M348" s="760">
        <f>IFERROR(IF(L347=0,0,SUM($J$25:J348)),0)</f>
        <v>0</v>
      </c>
      <c r="N348" s="366">
        <f t="shared" si="75"/>
        <v>1.025603448275862</v>
      </c>
      <c r="O348" s="761">
        <f t="shared" si="76"/>
        <v>0</v>
      </c>
      <c r="P348" s="28"/>
      <c r="Q348" s="1681">
        <f t="shared" si="86"/>
        <v>0</v>
      </c>
      <c r="R348" s="1682">
        <f t="shared" si="77"/>
        <v>0</v>
      </c>
      <c r="S348" s="1682">
        <f t="shared" si="87"/>
        <v>0</v>
      </c>
      <c r="T348" s="1682">
        <f t="shared" si="88"/>
        <v>1900</v>
      </c>
    </row>
    <row r="349" spans="2:20" s="283" customFormat="1" ht="13.8" x14ac:dyDescent="0.3">
      <c r="B349" s="758" cm="1">
        <f t="array" ref="B349">IF(active_refi=1,IF(ROW()-ROW($B$24)&lt;=$E$12*$E$13+refi_month,ROW()-ROW($B$24),0),IF(activeloan,IF(L348=0,0,IF(ROW()-ROW($B$24)&lt;=$D$12*$D$13,ROW()-ROW($B$24),0)),0))</f>
        <v>0</v>
      </c>
      <c r="C349" s="759">
        <f t="shared" si="78"/>
        <v>0</v>
      </c>
      <c r="D349" s="760">
        <f t="shared" si="79"/>
        <v>118970</v>
      </c>
      <c r="E349" s="760">
        <f t="shared" si="80"/>
        <v>0</v>
      </c>
      <c r="F349" s="760">
        <f t="shared" si="81"/>
        <v>0</v>
      </c>
      <c r="G349" s="340">
        <v>0</v>
      </c>
      <c r="H349" s="760">
        <f t="shared" si="82"/>
        <v>0</v>
      </c>
      <c r="I349" s="760">
        <f t="shared" si="89"/>
        <v>0</v>
      </c>
      <c r="J349" s="760">
        <f t="shared" si="83"/>
        <v>0</v>
      </c>
      <c r="K349" s="760">
        <f t="shared" si="84"/>
        <v>0</v>
      </c>
      <c r="L349" s="760">
        <f t="shared" si="85"/>
        <v>118970</v>
      </c>
      <c r="M349" s="760">
        <f>IFERROR(IF(L348=0,0,SUM($J$25:J349)),0)</f>
        <v>0</v>
      </c>
      <c r="N349" s="366">
        <f t="shared" si="75"/>
        <v>1.025603448275862</v>
      </c>
      <c r="O349" s="761">
        <f t="shared" si="76"/>
        <v>0</v>
      </c>
      <c r="P349" s="28"/>
      <c r="Q349" s="1681">
        <f t="shared" si="86"/>
        <v>0</v>
      </c>
      <c r="R349" s="1682">
        <f t="shared" si="77"/>
        <v>0</v>
      </c>
      <c r="S349" s="1682">
        <f t="shared" si="87"/>
        <v>0</v>
      </c>
      <c r="T349" s="1682">
        <f t="shared" si="88"/>
        <v>1900</v>
      </c>
    </row>
    <row r="350" spans="2:20" s="283" customFormat="1" ht="13.8" x14ac:dyDescent="0.3">
      <c r="B350" s="758" cm="1">
        <f t="array" ref="B350">IF(active_refi=1,IF(ROW()-ROW($B$24)&lt;=$E$12*$E$13+refi_month,ROW()-ROW($B$24),0),IF(activeloan,IF(L349=0,0,IF(ROW()-ROW($B$24)&lt;=$D$12*$D$13,ROW()-ROW($B$24),0)),0))</f>
        <v>0</v>
      </c>
      <c r="C350" s="759">
        <f t="shared" si="78"/>
        <v>0</v>
      </c>
      <c r="D350" s="760">
        <f t="shared" si="79"/>
        <v>118970</v>
      </c>
      <c r="E350" s="760">
        <f t="shared" si="80"/>
        <v>0</v>
      </c>
      <c r="F350" s="760">
        <f t="shared" si="81"/>
        <v>0</v>
      </c>
      <c r="G350" s="340">
        <v>0</v>
      </c>
      <c r="H350" s="760">
        <f t="shared" si="82"/>
        <v>0</v>
      </c>
      <c r="I350" s="760">
        <f t="shared" si="89"/>
        <v>0</v>
      </c>
      <c r="J350" s="760">
        <f t="shared" si="83"/>
        <v>0</v>
      </c>
      <c r="K350" s="760">
        <f t="shared" si="84"/>
        <v>0</v>
      </c>
      <c r="L350" s="760">
        <f t="shared" si="85"/>
        <v>118970</v>
      </c>
      <c r="M350" s="760">
        <f>IFERROR(IF(L349=0,0,SUM($J$25:J350)),0)</f>
        <v>0</v>
      </c>
      <c r="N350" s="366">
        <f t="shared" si="75"/>
        <v>1.025603448275862</v>
      </c>
      <c r="O350" s="761">
        <f t="shared" si="76"/>
        <v>0</v>
      </c>
      <c r="P350" s="28"/>
      <c r="Q350" s="1681">
        <f t="shared" si="86"/>
        <v>0</v>
      </c>
      <c r="R350" s="1682">
        <f t="shared" si="77"/>
        <v>0</v>
      </c>
      <c r="S350" s="1682">
        <f t="shared" si="87"/>
        <v>0</v>
      </c>
      <c r="T350" s="1682">
        <f t="shared" si="88"/>
        <v>1900</v>
      </c>
    </row>
    <row r="351" spans="2:20" s="283" customFormat="1" ht="13.8" x14ac:dyDescent="0.3">
      <c r="B351" s="758" cm="1">
        <f t="array" ref="B351">IF(active_refi=1,IF(ROW()-ROW($B$24)&lt;=$E$12*$E$13+refi_month,ROW()-ROW($B$24),0),IF(activeloan,IF(L350=0,0,IF(ROW()-ROW($B$24)&lt;=$D$12*$D$13,ROW()-ROW($B$24),0)),0))</f>
        <v>0</v>
      </c>
      <c r="C351" s="759">
        <f t="shared" si="78"/>
        <v>0</v>
      </c>
      <c r="D351" s="760">
        <f t="shared" si="79"/>
        <v>118970</v>
      </c>
      <c r="E351" s="760">
        <f t="shared" si="80"/>
        <v>0</v>
      </c>
      <c r="F351" s="760">
        <f t="shared" si="81"/>
        <v>0</v>
      </c>
      <c r="G351" s="340">
        <v>0</v>
      </c>
      <c r="H351" s="760">
        <f t="shared" si="82"/>
        <v>0</v>
      </c>
      <c r="I351" s="760">
        <f t="shared" si="89"/>
        <v>0</v>
      </c>
      <c r="J351" s="760">
        <f t="shared" si="83"/>
        <v>0</v>
      </c>
      <c r="K351" s="760">
        <f t="shared" si="84"/>
        <v>0</v>
      </c>
      <c r="L351" s="760">
        <f t="shared" si="85"/>
        <v>118970</v>
      </c>
      <c r="M351" s="760">
        <f>IFERROR(IF(L350=0,0,SUM($J$25:J351)),0)</f>
        <v>0</v>
      </c>
      <c r="N351" s="366">
        <f t="shared" si="75"/>
        <v>1.025603448275862</v>
      </c>
      <c r="O351" s="761">
        <f t="shared" si="76"/>
        <v>0</v>
      </c>
      <c r="P351" s="28"/>
      <c r="Q351" s="1681">
        <f t="shared" si="86"/>
        <v>0</v>
      </c>
      <c r="R351" s="1682">
        <f t="shared" si="77"/>
        <v>0</v>
      </c>
      <c r="S351" s="1682">
        <f t="shared" si="87"/>
        <v>0</v>
      </c>
      <c r="T351" s="1682">
        <f t="shared" si="88"/>
        <v>1900</v>
      </c>
    </row>
    <row r="352" spans="2:20" s="283" customFormat="1" ht="13.8" x14ac:dyDescent="0.3">
      <c r="B352" s="758" cm="1">
        <f t="array" ref="B352">IF(active_refi=1,IF(ROW()-ROW($B$24)&lt;=$E$12*$E$13+refi_month,ROW()-ROW($B$24),0),IF(activeloan,IF(L351=0,0,IF(ROW()-ROW($B$24)&lt;=$D$12*$D$13,ROW()-ROW($B$24),0)),0))</f>
        <v>0</v>
      </c>
      <c r="C352" s="759">
        <f t="shared" si="78"/>
        <v>0</v>
      </c>
      <c r="D352" s="760">
        <f t="shared" si="79"/>
        <v>118970</v>
      </c>
      <c r="E352" s="760">
        <f t="shared" si="80"/>
        <v>0</v>
      </c>
      <c r="F352" s="760">
        <f t="shared" si="81"/>
        <v>0</v>
      </c>
      <c r="G352" s="340">
        <v>0</v>
      </c>
      <c r="H352" s="760">
        <f t="shared" si="82"/>
        <v>0</v>
      </c>
      <c r="I352" s="760">
        <f t="shared" si="89"/>
        <v>0</v>
      </c>
      <c r="J352" s="760">
        <f t="shared" si="83"/>
        <v>0</v>
      </c>
      <c r="K352" s="760">
        <f t="shared" si="84"/>
        <v>0</v>
      </c>
      <c r="L352" s="760">
        <f t="shared" si="85"/>
        <v>118970</v>
      </c>
      <c r="M352" s="760">
        <f>IFERROR(IF(L351=0,0,SUM($J$25:J352)),0)</f>
        <v>0</v>
      </c>
      <c r="N352" s="366">
        <f t="shared" si="75"/>
        <v>1.025603448275862</v>
      </c>
      <c r="O352" s="761">
        <f t="shared" si="76"/>
        <v>0</v>
      </c>
      <c r="P352" s="28"/>
      <c r="Q352" s="1681">
        <f t="shared" si="86"/>
        <v>0</v>
      </c>
      <c r="R352" s="1682">
        <f t="shared" si="77"/>
        <v>0</v>
      </c>
      <c r="S352" s="1682">
        <f t="shared" si="87"/>
        <v>0</v>
      </c>
      <c r="T352" s="1682">
        <f t="shared" si="88"/>
        <v>1900</v>
      </c>
    </row>
    <row r="353" spans="2:20" s="283" customFormat="1" ht="13.8" x14ac:dyDescent="0.3">
      <c r="B353" s="758" cm="1">
        <f t="array" ref="B353">IF(active_refi=1,IF(ROW()-ROW($B$24)&lt;=$E$12*$E$13+refi_month,ROW()-ROW($B$24),0),IF(activeloan,IF(L352=0,0,IF(ROW()-ROW($B$24)&lt;=$D$12*$D$13,ROW()-ROW($B$24),0)),0))</f>
        <v>0</v>
      </c>
      <c r="C353" s="759">
        <f t="shared" si="78"/>
        <v>0</v>
      </c>
      <c r="D353" s="760">
        <f t="shared" si="79"/>
        <v>118970</v>
      </c>
      <c r="E353" s="760">
        <f t="shared" si="80"/>
        <v>0</v>
      </c>
      <c r="F353" s="760">
        <f t="shared" si="81"/>
        <v>0</v>
      </c>
      <c r="G353" s="340">
        <v>0</v>
      </c>
      <c r="H353" s="760">
        <f t="shared" si="82"/>
        <v>0</v>
      </c>
      <c r="I353" s="760">
        <f t="shared" si="89"/>
        <v>0</v>
      </c>
      <c r="J353" s="760">
        <f t="shared" si="83"/>
        <v>0</v>
      </c>
      <c r="K353" s="760">
        <f t="shared" si="84"/>
        <v>0</v>
      </c>
      <c r="L353" s="760">
        <f t="shared" si="85"/>
        <v>118970</v>
      </c>
      <c r="M353" s="760">
        <f>IFERROR(IF(L352=0,0,SUM($J$25:J353)),0)</f>
        <v>0</v>
      </c>
      <c r="N353" s="366">
        <f t="shared" si="75"/>
        <v>1.025603448275862</v>
      </c>
      <c r="O353" s="761">
        <f t="shared" si="76"/>
        <v>0</v>
      </c>
      <c r="P353" s="28"/>
      <c r="Q353" s="1681">
        <f t="shared" si="86"/>
        <v>0</v>
      </c>
      <c r="R353" s="1682">
        <f t="shared" si="77"/>
        <v>0</v>
      </c>
      <c r="S353" s="1682">
        <f t="shared" si="87"/>
        <v>0</v>
      </c>
      <c r="T353" s="1682">
        <f t="shared" si="88"/>
        <v>1900</v>
      </c>
    </row>
    <row r="354" spans="2:20" s="283" customFormat="1" ht="13.8" x14ac:dyDescent="0.3">
      <c r="B354" s="758" cm="1">
        <f t="array" ref="B354">IF(active_refi=1,IF(ROW()-ROW($B$24)&lt;=$E$12*$E$13+refi_month,ROW()-ROW($B$24),0),IF(activeloan,IF(L353=0,0,IF(ROW()-ROW($B$24)&lt;=$D$12*$D$13,ROW()-ROW($B$24),0)),0))</f>
        <v>0</v>
      </c>
      <c r="C354" s="759">
        <f t="shared" si="78"/>
        <v>0</v>
      </c>
      <c r="D354" s="760">
        <f t="shared" si="79"/>
        <v>118970</v>
      </c>
      <c r="E354" s="760">
        <f t="shared" si="80"/>
        <v>0</v>
      </c>
      <c r="F354" s="760">
        <f t="shared" si="81"/>
        <v>0</v>
      </c>
      <c r="G354" s="340">
        <v>0</v>
      </c>
      <c r="H354" s="760">
        <f t="shared" si="82"/>
        <v>0</v>
      </c>
      <c r="I354" s="760">
        <f t="shared" si="89"/>
        <v>0</v>
      </c>
      <c r="J354" s="760">
        <f t="shared" si="83"/>
        <v>0</v>
      </c>
      <c r="K354" s="760">
        <f t="shared" si="84"/>
        <v>0</v>
      </c>
      <c r="L354" s="760">
        <f t="shared" si="85"/>
        <v>118970</v>
      </c>
      <c r="M354" s="760">
        <f>IFERROR(IF(L353=0,0,SUM($J$25:J354)),0)</f>
        <v>0</v>
      </c>
      <c r="N354" s="366">
        <f t="shared" si="75"/>
        <v>1.025603448275862</v>
      </c>
      <c r="O354" s="761">
        <f t="shared" si="76"/>
        <v>0</v>
      </c>
      <c r="P354" s="28"/>
      <c r="Q354" s="1681">
        <f t="shared" si="86"/>
        <v>0</v>
      </c>
      <c r="R354" s="1682">
        <f t="shared" si="77"/>
        <v>0</v>
      </c>
      <c r="S354" s="1682">
        <f t="shared" si="87"/>
        <v>0</v>
      </c>
      <c r="T354" s="1682">
        <f t="shared" si="88"/>
        <v>1900</v>
      </c>
    </row>
    <row r="355" spans="2:20" s="283" customFormat="1" ht="13.8" x14ac:dyDescent="0.3">
      <c r="B355" s="758" cm="1">
        <f t="array" ref="B355">IF(active_refi=1,IF(ROW()-ROW($B$24)&lt;=$E$12*$E$13+refi_month,ROW()-ROW($B$24),0),IF(activeloan,IF(L354=0,0,IF(ROW()-ROW($B$24)&lt;=$D$12*$D$13,ROW()-ROW($B$24),0)),0))</f>
        <v>0</v>
      </c>
      <c r="C355" s="759">
        <f t="shared" si="78"/>
        <v>0</v>
      </c>
      <c r="D355" s="760">
        <f t="shared" si="79"/>
        <v>118970</v>
      </c>
      <c r="E355" s="760">
        <f t="shared" si="80"/>
        <v>0</v>
      </c>
      <c r="F355" s="760">
        <f t="shared" si="81"/>
        <v>0</v>
      </c>
      <c r="G355" s="340">
        <v>0</v>
      </c>
      <c r="H355" s="760">
        <f t="shared" si="82"/>
        <v>0</v>
      </c>
      <c r="I355" s="760">
        <f t="shared" si="89"/>
        <v>0</v>
      </c>
      <c r="J355" s="760">
        <f t="shared" si="83"/>
        <v>0</v>
      </c>
      <c r="K355" s="760">
        <f t="shared" si="84"/>
        <v>0</v>
      </c>
      <c r="L355" s="760">
        <f t="shared" si="85"/>
        <v>118970</v>
      </c>
      <c r="M355" s="760">
        <f>IFERROR(IF(L354=0,0,SUM($J$25:J355)),0)</f>
        <v>0</v>
      </c>
      <c r="N355" s="366">
        <f t="shared" si="75"/>
        <v>1.025603448275862</v>
      </c>
      <c r="O355" s="761">
        <f t="shared" si="76"/>
        <v>0</v>
      </c>
      <c r="P355" s="28"/>
      <c r="Q355" s="1681">
        <f t="shared" si="86"/>
        <v>0</v>
      </c>
      <c r="R355" s="1682">
        <f t="shared" si="77"/>
        <v>0</v>
      </c>
      <c r="S355" s="1682">
        <f t="shared" si="87"/>
        <v>0</v>
      </c>
      <c r="T355" s="1682">
        <f t="shared" si="88"/>
        <v>1900</v>
      </c>
    </row>
    <row r="356" spans="2:20" s="283" customFormat="1" ht="13.8" x14ac:dyDescent="0.3">
      <c r="B356" s="758" cm="1">
        <f t="array" ref="B356">IF(active_refi=1,IF(ROW()-ROW($B$24)&lt;=$E$12*$E$13+refi_month,ROW()-ROW($B$24),0),IF(activeloan,IF(L355=0,0,IF(ROW()-ROW($B$24)&lt;=$D$12*$D$13,ROW()-ROW($B$24),0)),0))</f>
        <v>0</v>
      </c>
      <c r="C356" s="759">
        <f t="shared" si="78"/>
        <v>0</v>
      </c>
      <c r="D356" s="760">
        <f t="shared" si="79"/>
        <v>118970</v>
      </c>
      <c r="E356" s="760">
        <f t="shared" si="80"/>
        <v>0</v>
      </c>
      <c r="F356" s="760">
        <f t="shared" si="81"/>
        <v>0</v>
      </c>
      <c r="G356" s="340">
        <v>0</v>
      </c>
      <c r="H356" s="760">
        <f t="shared" si="82"/>
        <v>0</v>
      </c>
      <c r="I356" s="760">
        <f t="shared" si="89"/>
        <v>0</v>
      </c>
      <c r="J356" s="760">
        <f t="shared" si="83"/>
        <v>0</v>
      </c>
      <c r="K356" s="760">
        <f t="shared" si="84"/>
        <v>0</v>
      </c>
      <c r="L356" s="760">
        <f t="shared" si="85"/>
        <v>118970</v>
      </c>
      <c r="M356" s="760">
        <f>IFERROR(IF(L355=0,0,SUM($J$25:J356)),0)</f>
        <v>0</v>
      </c>
      <c r="N356" s="366">
        <f t="shared" si="75"/>
        <v>1.025603448275862</v>
      </c>
      <c r="O356" s="761">
        <f t="shared" si="76"/>
        <v>0</v>
      </c>
      <c r="P356" s="28"/>
      <c r="Q356" s="1681">
        <f t="shared" si="86"/>
        <v>0</v>
      </c>
      <c r="R356" s="1682">
        <f t="shared" si="77"/>
        <v>0</v>
      </c>
      <c r="S356" s="1682">
        <f t="shared" si="87"/>
        <v>0</v>
      </c>
      <c r="T356" s="1682">
        <f t="shared" si="88"/>
        <v>1900</v>
      </c>
    </row>
    <row r="357" spans="2:20" s="283" customFormat="1" ht="13.8" x14ac:dyDescent="0.3">
      <c r="B357" s="758" cm="1">
        <f t="array" ref="B357">IF(active_refi=1,IF(ROW()-ROW($B$24)&lt;=$E$12*$E$13+refi_month,ROW()-ROW($B$24),0),IF(activeloan,IF(L356=0,0,IF(ROW()-ROW($B$24)&lt;=$D$12*$D$13,ROW()-ROW($B$24),0)),0))</f>
        <v>0</v>
      </c>
      <c r="C357" s="759">
        <f t="shared" si="78"/>
        <v>0</v>
      </c>
      <c r="D357" s="760">
        <f t="shared" si="79"/>
        <v>118970</v>
      </c>
      <c r="E357" s="760">
        <f t="shared" si="80"/>
        <v>0</v>
      </c>
      <c r="F357" s="760">
        <f t="shared" si="81"/>
        <v>0</v>
      </c>
      <c r="G357" s="340">
        <v>0</v>
      </c>
      <c r="H357" s="760">
        <f t="shared" si="82"/>
        <v>0</v>
      </c>
      <c r="I357" s="760">
        <f t="shared" si="89"/>
        <v>0</v>
      </c>
      <c r="J357" s="760">
        <f t="shared" si="83"/>
        <v>0</v>
      </c>
      <c r="K357" s="760">
        <f t="shared" si="84"/>
        <v>0</v>
      </c>
      <c r="L357" s="760">
        <f t="shared" si="85"/>
        <v>118970</v>
      </c>
      <c r="M357" s="760">
        <f>IFERROR(IF(L356=0,0,SUM($J$25:J357)),0)</f>
        <v>0</v>
      </c>
      <c r="N357" s="366">
        <f t="shared" si="75"/>
        <v>1.025603448275862</v>
      </c>
      <c r="O357" s="761">
        <f t="shared" si="76"/>
        <v>0</v>
      </c>
      <c r="P357" s="28"/>
      <c r="Q357" s="1681">
        <f t="shared" si="86"/>
        <v>0</v>
      </c>
      <c r="R357" s="1682">
        <f t="shared" si="77"/>
        <v>0</v>
      </c>
      <c r="S357" s="1682">
        <f t="shared" si="87"/>
        <v>0</v>
      </c>
      <c r="T357" s="1682">
        <f t="shared" si="88"/>
        <v>1900</v>
      </c>
    </row>
    <row r="358" spans="2:20" s="283" customFormat="1" ht="13.8" x14ac:dyDescent="0.3">
      <c r="B358" s="758" cm="1">
        <f t="array" ref="B358">IF(active_refi=1,IF(ROW()-ROW($B$24)&lt;=$E$12*$E$13+refi_month,ROW()-ROW($B$24),0),IF(activeloan,IF(L357=0,0,IF(ROW()-ROW($B$24)&lt;=$D$12*$D$13,ROW()-ROW($B$24),0)),0))</f>
        <v>0</v>
      </c>
      <c r="C358" s="759">
        <f t="shared" si="78"/>
        <v>0</v>
      </c>
      <c r="D358" s="760">
        <f t="shared" si="79"/>
        <v>118970</v>
      </c>
      <c r="E358" s="760">
        <f t="shared" si="80"/>
        <v>0</v>
      </c>
      <c r="F358" s="760">
        <f t="shared" si="81"/>
        <v>0</v>
      </c>
      <c r="G358" s="340">
        <v>0</v>
      </c>
      <c r="H358" s="760">
        <f t="shared" si="82"/>
        <v>0</v>
      </c>
      <c r="I358" s="760">
        <f t="shared" si="89"/>
        <v>0</v>
      </c>
      <c r="J358" s="760">
        <f t="shared" si="83"/>
        <v>0</v>
      </c>
      <c r="K358" s="760">
        <f t="shared" si="84"/>
        <v>0</v>
      </c>
      <c r="L358" s="760">
        <f t="shared" si="85"/>
        <v>118970</v>
      </c>
      <c r="M358" s="760">
        <f>IFERROR(IF(L357=0,0,SUM($J$25:J358)),0)</f>
        <v>0</v>
      </c>
      <c r="N358" s="366">
        <f t="shared" si="75"/>
        <v>1.025603448275862</v>
      </c>
      <c r="O358" s="761">
        <f t="shared" si="76"/>
        <v>0</v>
      </c>
      <c r="P358" s="28"/>
      <c r="Q358" s="1681">
        <f t="shared" si="86"/>
        <v>0</v>
      </c>
      <c r="R358" s="1682">
        <f t="shared" si="77"/>
        <v>0</v>
      </c>
      <c r="S358" s="1682">
        <f t="shared" si="87"/>
        <v>0</v>
      </c>
      <c r="T358" s="1682">
        <f t="shared" si="88"/>
        <v>1900</v>
      </c>
    </row>
    <row r="359" spans="2:20" s="283" customFormat="1" ht="13.8" x14ac:dyDescent="0.3">
      <c r="B359" s="758" cm="1">
        <f t="array" ref="B359">IF(active_refi=1,IF(ROW()-ROW($B$24)&lt;=$E$12*$E$13+refi_month,ROW()-ROW($B$24),0),IF(activeloan,IF(L358=0,0,IF(ROW()-ROW($B$24)&lt;=$D$12*$D$13,ROW()-ROW($B$24),0)),0))</f>
        <v>0</v>
      </c>
      <c r="C359" s="759">
        <f t="shared" si="78"/>
        <v>0</v>
      </c>
      <c r="D359" s="760">
        <f t="shared" si="79"/>
        <v>118970</v>
      </c>
      <c r="E359" s="760">
        <f t="shared" si="80"/>
        <v>0</v>
      </c>
      <c r="F359" s="760">
        <f t="shared" si="81"/>
        <v>0</v>
      </c>
      <c r="G359" s="340">
        <v>0</v>
      </c>
      <c r="H359" s="760">
        <f t="shared" si="82"/>
        <v>0</v>
      </c>
      <c r="I359" s="760">
        <f t="shared" si="89"/>
        <v>0</v>
      </c>
      <c r="J359" s="760">
        <f t="shared" si="83"/>
        <v>0</v>
      </c>
      <c r="K359" s="760">
        <f t="shared" si="84"/>
        <v>0</v>
      </c>
      <c r="L359" s="760">
        <f t="shared" si="85"/>
        <v>118970</v>
      </c>
      <c r="M359" s="760">
        <f>IFERROR(IF(L358=0,0,SUM($J$25:J359)),0)</f>
        <v>0</v>
      </c>
      <c r="N359" s="366">
        <f t="shared" si="75"/>
        <v>1.025603448275862</v>
      </c>
      <c r="O359" s="761">
        <f t="shared" si="76"/>
        <v>0</v>
      </c>
      <c r="P359" s="28"/>
      <c r="Q359" s="1681">
        <f t="shared" si="86"/>
        <v>0</v>
      </c>
      <c r="R359" s="1682">
        <f t="shared" si="77"/>
        <v>0</v>
      </c>
      <c r="S359" s="1682">
        <f t="shared" si="87"/>
        <v>0</v>
      </c>
      <c r="T359" s="1682">
        <f t="shared" si="88"/>
        <v>1900</v>
      </c>
    </row>
    <row r="360" spans="2:20" s="283" customFormat="1" ht="13.8" x14ac:dyDescent="0.3">
      <c r="B360" s="758" cm="1">
        <f t="array" ref="B360">IF(active_refi=1,IF(ROW()-ROW($B$24)&lt;=$E$12*$E$13+refi_month,ROW()-ROW($B$24),0),IF(activeloan,IF(L359=0,0,IF(ROW()-ROW($B$24)&lt;=$D$12*$D$13,ROW()-ROW($B$24),0)),0))</f>
        <v>0</v>
      </c>
      <c r="C360" s="759">
        <f t="shared" si="78"/>
        <v>0</v>
      </c>
      <c r="D360" s="760">
        <f t="shared" si="79"/>
        <v>118970</v>
      </c>
      <c r="E360" s="760">
        <f t="shared" si="80"/>
        <v>0</v>
      </c>
      <c r="F360" s="760">
        <f t="shared" si="81"/>
        <v>0</v>
      </c>
      <c r="G360" s="340">
        <v>0</v>
      </c>
      <c r="H360" s="760">
        <f t="shared" si="82"/>
        <v>0</v>
      </c>
      <c r="I360" s="760">
        <f t="shared" si="89"/>
        <v>0</v>
      </c>
      <c r="J360" s="760">
        <f t="shared" si="83"/>
        <v>0</v>
      </c>
      <c r="K360" s="760">
        <f t="shared" si="84"/>
        <v>0</v>
      </c>
      <c r="L360" s="760">
        <f t="shared" si="85"/>
        <v>118970</v>
      </c>
      <c r="M360" s="760">
        <f>IFERROR(IF(L359=0,0,SUM($J$25:J360)),0)</f>
        <v>0</v>
      </c>
      <c r="N360" s="366">
        <f t="shared" si="75"/>
        <v>1.025603448275862</v>
      </c>
      <c r="O360" s="761">
        <f t="shared" si="76"/>
        <v>0</v>
      </c>
      <c r="P360" s="28"/>
      <c r="Q360" s="1681">
        <f t="shared" si="86"/>
        <v>0</v>
      </c>
      <c r="R360" s="1682">
        <f t="shared" si="77"/>
        <v>0</v>
      </c>
      <c r="S360" s="1682">
        <f t="shared" si="87"/>
        <v>0</v>
      </c>
      <c r="T360" s="1682">
        <f t="shared" si="88"/>
        <v>1900</v>
      </c>
    </row>
    <row r="361" spans="2:20" s="283" customFormat="1" ht="13.8" x14ac:dyDescent="0.3">
      <c r="B361" s="758" cm="1">
        <f t="array" ref="B361">IF(active_refi=1,IF(ROW()-ROW($B$24)&lt;=$E$12*$E$13+refi_month,ROW()-ROW($B$24),0),IF(activeloan,IF(L360=0,0,IF(ROW()-ROW($B$24)&lt;=$D$12*$D$13,ROW()-ROW($B$24),0)),0))</f>
        <v>0</v>
      </c>
      <c r="C361" s="759">
        <f t="shared" si="78"/>
        <v>0</v>
      </c>
      <c r="D361" s="760">
        <f t="shared" si="79"/>
        <v>118970</v>
      </c>
      <c r="E361" s="760">
        <f t="shared" si="80"/>
        <v>0</v>
      </c>
      <c r="F361" s="760">
        <f t="shared" si="81"/>
        <v>0</v>
      </c>
      <c r="G361" s="340">
        <v>0</v>
      </c>
      <c r="H361" s="760">
        <f t="shared" si="82"/>
        <v>0</v>
      </c>
      <c r="I361" s="760">
        <f t="shared" si="89"/>
        <v>0</v>
      </c>
      <c r="J361" s="760">
        <f t="shared" si="83"/>
        <v>0</v>
      </c>
      <c r="K361" s="760">
        <f t="shared" si="84"/>
        <v>0</v>
      </c>
      <c r="L361" s="760">
        <f t="shared" si="85"/>
        <v>118970</v>
      </c>
      <c r="M361" s="760">
        <f>IFERROR(IF(L360=0,0,SUM($J$25:J361)),0)</f>
        <v>0</v>
      </c>
      <c r="N361" s="366">
        <f t="shared" si="75"/>
        <v>1.025603448275862</v>
      </c>
      <c r="O361" s="761">
        <f t="shared" si="76"/>
        <v>0</v>
      </c>
      <c r="P361" s="28"/>
      <c r="Q361" s="1681">
        <f t="shared" si="86"/>
        <v>0</v>
      </c>
      <c r="R361" s="1682">
        <f t="shared" si="77"/>
        <v>0</v>
      </c>
      <c r="S361" s="1682">
        <f t="shared" si="87"/>
        <v>0</v>
      </c>
      <c r="T361" s="1682">
        <f t="shared" si="88"/>
        <v>1900</v>
      </c>
    </row>
    <row r="362" spans="2:20" s="283" customFormat="1" ht="13.8" x14ac:dyDescent="0.3">
      <c r="B362" s="758" cm="1">
        <f t="array" ref="B362">IF(active_refi=1,IF(ROW()-ROW($B$24)&lt;=$E$12*$E$13+refi_month,ROW()-ROW($B$24),0),IF(activeloan,IF(L361=0,0,IF(ROW()-ROW($B$24)&lt;=$D$12*$D$13,ROW()-ROW($B$24),0)),0))</f>
        <v>0</v>
      </c>
      <c r="C362" s="759">
        <f t="shared" si="78"/>
        <v>0</v>
      </c>
      <c r="D362" s="760">
        <f t="shared" si="79"/>
        <v>118970</v>
      </c>
      <c r="E362" s="760">
        <f t="shared" si="80"/>
        <v>0</v>
      </c>
      <c r="F362" s="760">
        <f t="shared" si="81"/>
        <v>0</v>
      </c>
      <c r="G362" s="340">
        <v>0</v>
      </c>
      <c r="H362" s="760">
        <f t="shared" si="82"/>
        <v>0</v>
      </c>
      <c r="I362" s="760">
        <f t="shared" si="89"/>
        <v>0</v>
      </c>
      <c r="J362" s="760">
        <f t="shared" si="83"/>
        <v>0</v>
      </c>
      <c r="K362" s="760">
        <f t="shared" si="84"/>
        <v>0</v>
      </c>
      <c r="L362" s="760">
        <f t="shared" si="85"/>
        <v>118970</v>
      </c>
      <c r="M362" s="760">
        <f>IFERROR(IF(L361=0,0,SUM($J$25:J362)),0)</f>
        <v>0</v>
      </c>
      <c r="N362" s="366">
        <f t="shared" si="75"/>
        <v>1.025603448275862</v>
      </c>
      <c r="O362" s="761">
        <f t="shared" si="76"/>
        <v>0</v>
      </c>
      <c r="P362" s="28"/>
      <c r="Q362" s="1681">
        <f t="shared" si="86"/>
        <v>0</v>
      </c>
      <c r="R362" s="1682">
        <f t="shared" si="77"/>
        <v>0</v>
      </c>
      <c r="S362" s="1682">
        <f t="shared" si="87"/>
        <v>0</v>
      </c>
      <c r="T362" s="1682">
        <f t="shared" si="88"/>
        <v>1900</v>
      </c>
    </row>
    <row r="363" spans="2:20" s="283" customFormat="1" ht="13.8" x14ac:dyDescent="0.3">
      <c r="B363" s="758" cm="1">
        <f t="array" ref="B363">IF(active_refi=1,IF(ROW()-ROW($B$24)&lt;=$E$12*$E$13+refi_month,ROW()-ROW($B$24),0),IF(activeloan,IF(L362=0,0,IF(ROW()-ROW($B$24)&lt;=$D$12*$D$13,ROW()-ROW($B$24),0)),0))</f>
        <v>0</v>
      </c>
      <c r="C363" s="759">
        <f t="shared" si="78"/>
        <v>0</v>
      </c>
      <c r="D363" s="760">
        <f t="shared" si="79"/>
        <v>118970</v>
      </c>
      <c r="E363" s="760">
        <f t="shared" si="80"/>
        <v>0</v>
      </c>
      <c r="F363" s="760">
        <f t="shared" si="81"/>
        <v>0</v>
      </c>
      <c r="G363" s="340">
        <v>0</v>
      </c>
      <c r="H363" s="760">
        <f t="shared" si="82"/>
        <v>0</v>
      </c>
      <c r="I363" s="760">
        <f t="shared" si="89"/>
        <v>0</v>
      </c>
      <c r="J363" s="760">
        <f t="shared" si="83"/>
        <v>0</v>
      </c>
      <c r="K363" s="760">
        <f t="shared" si="84"/>
        <v>0</v>
      </c>
      <c r="L363" s="760">
        <f t="shared" si="85"/>
        <v>118970</v>
      </c>
      <c r="M363" s="760">
        <f>IFERROR(IF(L362=0,0,SUM($J$25:J363)),0)</f>
        <v>0</v>
      </c>
      <c r="N363" s="366">
        <f t="shared" si="75"/>
        <v>1.025603448275862</v>
      </c>
      <c r="O363" s="761">
        <f t="shared" si="76"/>
        <v>0</v>
      </c>
      <c r="P363" s="28"/>
      <c r="Q363" s="1681">
        <f t="shared" si="86"/>
        <v>0</v>
      </c>
      <c r="R363" s="1682">
        <f t="shared" si="77"/>
        <v>0</v>
      </c>
      <c r="S363" s="1682">
        <f t="shared" si="87"/>
        <v>0</v>
      </c>
      <c r="T363" s="1682">
        <f t="shared" si="88"/>
        <v>1900</v>
      </c>
    </row>
    <row r="364" spans="2:20" s="283" customFormat="1" ht="13.8" x14ac:dyDescent="0.3">
      <c r="B364" s="758" cm="1">
        <f t="array" ref="B364">IF(active_refi=1,IF(ROW()-ROW($B$24)&lt;=$E$12*$E$13+refi_month,ROW()-ROW($B$24),0),IF(activeloan,IF(L363=0,0,IF(ROW()-ROW($B$24)&lt;=$D$12*$D$13,ROW()-ROW($B$24),0)),0))</f>
        <v>0</v>
      </c>
      <c r="C364" s="759">
        <f t="shared" si="78"/>
        <v>0</v>
      </c>
      <c r="D364" s="760">
        <f t="shared" si="79"/>
        <v>118970</v>
      </c>
      <c r="E364" s="760">
        <f t="shared" si="80"/>
        <v>0</v>
      </c>
      <c r="F364" s="760">
        <f t="shared" si="81"/>
        <v>0</v>
      </c>
      <c r="G364" s="340">
        <v>0</v>
      </c>
      <c r="H364" s="760">
        <f t="shared" si="82"/>
        <v>0</v>
      </c>
      <c r="I364" s="760">
        <f t="shared" si="89"/>
        <v>0</v>
      </c>
      <c r="J364" s="760">
        <f t="shared" si="83"/>
        <v>0</v>
      </c>
      <c r="K364" s="760">
        <f t="shared" si="84"/>
        <v>0</v>
      </c>
      <c r="L364" s="760">
        <f t="shared" si="85"/>
        <v>118970</v>
      </c>
      <c r="M364" s="760">
        <f>IFERROR(IF(L363=0,0,SUM($J$25:J364)),0)</f>
        <v>0</v>
      </c>
      <c r="N364" s="366">
        <f t="shared" si="75"/>
        <v>1.025603448275862</v>
      </c>
      <c r="O364" s="761">
        <f t="shared" si="76"/>
        <v>0</v>
      </c>
      <c r="P364" s="28"/>
      <c r="Q364" s="1681">
        <f t="shared" si="86"/>
        <v>0</v>
      </c>
      <c r="R364" s="1682">
        <f t="shared" si="77"/>
        <v>0</v>
      </c>
      <c r="S364" s="1682">
        <f t="shared" si="87"/>
        <v>0</v>
      </c>
      <c r="T364" s="1682">
        <f t="shared" si="88"/>
        <v>1900</v>
      </c>
    </row>
    <row r="365" spans="2:20" s="283" customFormat="1" ht="13.8" x14ac:dyDescent="0.3">
      <c r="B365" s="758" cm="1">
        <f t="array" ref="B365">IF(active_refi=1,IF(ROW()-ROW($B$24)&lt;=$E$12*$E$13+refi_month,ROW()-ROW($B$24),0),IF(activeloan,IF(L364=0,0,IF(ROW()-ROW($B$24)&lt;=$D$12*$D$13,ROW()-ROW($B$24),0)),0))</f>
        <v>0</v>
      </c>
      <c r="C365" s="759">
        <f t="shared" si="78"/>
        <v>0</v>
      </c>
      <c r="D365" s="760">
        <f t="shared" si="79"/>
        <v>118970</v>
      </c>
      <c r="E365" s="760">
        <f t="shared" si="80"/>
        <v>0</v>
      </c>
      <c r="F365" s="760">
        <f t="shared" si="81"/>
        <v>0</v>
      </c>
      <c r="G365" s="340">
        <v>0</v>
      </c>
      <c r="H365" s="760">
        <f t="shared" si="82"/>
        <v>0</v>
      </c>
      <c r="I365" s="760">
        <f t="shared" si="89"/>
        <v>0</v>
      </c>
      <c r="J365" s="760">
        <f t="shared" si="83"/>
        <v>0</v>
      </c>
      <c r="K365" s="760">
        <f t="shared" si="84"/>
        <v>0</v>
      </c>
      <c r="L365" s="760">
        <f t="shared" si="85"/>
        <v>118970</v>
      </c>
      <c r="M365" s="760">
        <f>IFERROR(IF(L364=0,0,SUM($J$25:J365)),0)</f>
        <v>0</v>
      </c>
      <c r="N365" s="366">
        <f t="shared" si="75"/>
        <v>1.025603448275862</v>
      </c>
      <c r="O365" s="761">
        <f t="shared" si="76"/>
        <v>0</v>
      </c>
      <c r="P365" s="28"/>
      <c r="Q365" s="1681">
        <f t="shared" si="86"/>
        <v>0</v>
      </c>
      <c r="R365" s="1682">
        <f t="shared" si="77"/>
        <v>0</v>
      </c>
      <c r="S365" s="1682">
        <f t="shared" si="87"/>
        <v>0</v>
      </c>
      <c r="T365" s="1682">
        <f t="shared" si="88"/>
        <v>1900</v>
      </c>
    </row>
    <row r="366" spans="2:20" s="283" customFormat="1" ht="13.8" x14ac:dyDescent="0.3">
      <c r="B366" s="758" cm="1">
        <f t="array" ref="B366">IF(active_refi=1,IF(ROW()-ROW($B$24)&lt;=$E$12*$E$13+refi_month,ROW()-ROW($B$24),0),IF(activeloan,IF(L365=0,0,IF(ROW()-ROW($B$24)&lt;=$D$12*$D$13,ROW()-ROW($B$24),0)),0))</f>
        <v>0</v>
      </c>
      <c r="C366" s="759">
        <f t="shared" si="78"/>
        <v>0</v>
      </c>
      <c r="D366" s="760">
        <f t="shared" si="79"/>
        <v>118970</v>
      </c>
      <c r="E366" s="760">
        <f t="shared" si="80"/>
        <v>0</v>
      </c>
      <c r="F366" s="760">
        <f t="shared" si="81"/>
        <v>0</v>
      </c>
      <c r="G366" s="340">
        <v>0</v>
      </c>
      <c r="H366" s="760">
        <f t="shared" si="82"/>
        <v>0</v>
      </c>
      <c r="I366" s="760">
        <f t="shared" si="89"/>
        <v>0</v>
      </c>
      <c r="J366" s="760">
        <f t="shared" si="83"/>
        <v>0</v>
      </c>
      <c r="K366" s="760">
        <f t="shared" si="84"/>
        <v>0</v>
      </c>
      <c r="L366" s="760">
        <f t="shared" si="85"/>
        <v>118970</v>
      </c>
      <c r="M366" s="760">
        <f>IFERROR(IF(L365=0,0,SUM($J$25:J366)),0)</f>
        <v>0</v>
      </c>
      <c r="N366" s="366">
        <f t="shared" si="75"/>
        <v>1.025603448275862</v>
      </c>
      <c r="O366" s="761">
        <f t="shared" si="76"/>
        <v>0</v>
      </c>
      <c r="P366" s="28"/>
      <c r="Q366" s="1681">
        <f t="shared" si="86"/>
        <v>0</v>
      </c>
      <c r="R366" s="1682">
        <f t="shared" si="77"/>
        <v>0</v>
      </c>
      <c r="S366" s="1682">
        <f t="shared" si="87"/>
        <v>0</v>
      </c>
      <c r="T366" s="1682">
        <f t="shared" si="88"/>
        <v>1900</v>
      </c>
    </row>
    <row r="367" spans="2:20" s="283" customFormat="1" ht="13.8" x14ac:dyDescent="0.3">
      <c r="B367" s="758" cm="1">
        <f t="array" ref="B367">IF(active_refi=1,IF(ROW()-ROW($B$24)&lt;=$E$12*$E$13+refi_month,ROW()-ROW($B$24),0),IF(activeloan,IF(L366=0,0,IF(ROW()-ROW($B$24)&lt;=$D$12*$D$13,ROW()-ROW($B$24),0)),0))</f>
        <v>0</v>
      </c>
      <c r="C367" s="759">
        <f t="shared" si="78"/>
        <v>0</v>
      </c>
      <c r="D367" s="760">
        <f t="shared" si="79"/>
        <v>118970</v>
      </c>
      <c r="E367" s="760">
        <f t="shared" si="80"/>
        <v>0</v>
      </c>
      <c r="F367" s="760">
        <f t="shared" si="81"/>
        <v>0</v>
      </c>
      <c r="G367" s="340">
        <v>0</v>
      </c>
      <c r="H367" s="760">
        <f t="shared" si="82"/>
        <v>0</v>
      </c>
      <c r="I367" s="760">
        <f t="shared" si="89"/>
        <v>0</v>
      </c>
      <c r="J367" s="760">
        <f t="shared" si="83"/>
        <v>0</v>
      </c>
      <c r="K367" s="760">
        <f t="shared" si="84"/>
        <v>0</v>
      </c>
      <c r="L367" s="760">
        <f t="shared" si="85"/>
        <v>118970</v>
      </c>
      <c r="M367" s="760">
        <f>IFERROR(IF(L366=0,0,SUM($J$25:J367)),0)</f>
        <v>0</v>
      </c>
      <c r="N367" s="366">
        <f t="shared" si="75"/>
        <v>1.025603448275862</v>
      </c>
      <c r="O367" s="761">
        <f t="shared" si="76"/>
        <v>0</v>
      </c>
      <c r="P367" s="28"/>
      <c r="Q367" s="1681">
        <f t="shared" si="86"/>
        <v>0</v>
      </c>
      <c r="R367" s="1682">
        <f t="shared" si="77"/>
        <v>0</v>
      </c>
      <c r="S367" s="1682">
        <f t="shared" si="87"/>
        <v>0</v>
      </c>
      <c r="T367" s="1682">
        <f t="shared" si="88"/>
        <v>1900</v>
      </c>
    </row>
    <row r="368" spans="2:20" s="283" customFormat="1" ht="13.8" x14ac:dyDescent="0.3">
      <c r="B368" s="758" cm="1">
        <f t="array" ref="B368">IF(active_refi=1,IF(ROW()-ROW($B$24)&lt;=$E$12*$E$13+refi_month,ROW()-ROW($B$24),0),IF(activeloan,IF(L367=0,0,IF(ROW()-ROW($B$24)&lt;=$D$12*$D$13,ROW()-ROW($B$24),0)),0))</f>
        <v>0</v>
      </c>
      <c r="C368" s="759">
        <f t="shared" si="78"/>
        <v>0</v>
      </c>
      <c r="D368" s="760">
        <f t="shared" si="79"/>
        <v>118970</v>
      </c>
      <c r="E368" s="760">
        <f t="shared" si="80"/>
        <v>0</v>
      </c>
      <c r="F368" s="760">
        <f t="shared" si="81"/>
        <v>0</v>
      </c>
      <c r="G368" s="340">
        <v>0</v>
      </c>
      <c r="H368" s="760">
        <f t="shared" si="82"/>
        <v>0</v>
      </c>
      <c r="I368" s="760">
        <f t="shared" si="89"/>
        <v>0</v>
      </c>
      <c r="J368" s="760">
        <f t="shared" si="83"/>
        <v>0</v>
      </c>
      <c r="K368" s="760">
        <f t="shared" si="84"/>
        <v>0</v>
      </c>
      <c r="L368" s="760">
        <f t="shared" si="85"/>
        <v>118970</v>
      </c>
      <c r="M368" s="760">
        <f>IFERROR(IF(L367=0,0,SUM($J$25:J368)),0)</f>
        <v>0</v>
      </c>
      <c r="N368" s="366">
        <f t="shared" si="75"/>
        <v>1.025603448275862</v>
      </c>
      <c r="O368" s="761">
        <f t="shared" si="76"/>
        <v>0</v>
      </c>
      <c r="P368" s="28"/>
      <c r="Q368" s="1681">
        <f t="shared" si="86"/>
        <v>0</v>
      </c>
      <c r="R368" s="1682">
        <f t="shared" si="77"/>
        <v>0</v>
      </c>
      <c r="S368" s="1682">
        <f t="shared" si="87"/>
        <v>0</v>
      </c>
      <c r="T368" s="1682">
        <f t="shared" si="88"/>
        <v>1900</v>
      </c>
    </row>
    <row r="369" spans="1:21" s="283" customFormat="1" ht="13.8" x14ac:dyDescent="0.3">
      <c r="B369" s="758" cm="1">
        <f t="array" ref="B369">IF(active_refi=1,IF(ROW()-ROW($B$24)&lt;=$E$12*$E$13+refi_month,ROW()-ROW($B$24),0),IF(activeloan,IF(L368=0,0,IF(ROW()-ROW($B$24)&lt;=$D$12*$D$13,ROW()-ROW($B$24),0)),0))</f>
        <v>0</v>
      </c>
      <c r="C369" s="759">
        <f t="shared" si="78"/>
        <v>0</v>
      </c>
      <c r="D369" s="760">
        <f t="shared" si="79"/>
        <v>118970</v>
      </c>
      <c r="E369" s="760">
        <f t="shared" si="80"/>
        <v>0</v>
      </c>
      <c r="F369" s="760">
        <f t="shared" si="81"/>
        <v>0</v>
      </c>
      <c r="G369" s="340">
        <v>0</v>
      </c>
      <c r="H369" s="760">
        <f t="shared" si="82"/>
        <v>0</v>
      </c>
      <c r="I369" s="760">
        <f t="shared" si="89"/>
        <v>0</v>
      </c>
      <c r="J369" s="760">
        <f t="shared" si="83"/>
        <v>0</v>
      </c>
      <c r="K369" s="760">
        <f t="shared" si="84"/>
        <v>0</v>
      </c>
      <c r="L369" s="760">
        <f t="shared" si="85"/>
        <v>118970</v>
      </c>
      <c r="M369" s="760">
        <f>IFERROR(IF(L368=0,0,SUM($J$25:J369)),0)</f>
        <v>0</v>
      </c>
      <c r="N369" s="366">
        <f t="shared" si="75"/>
        <v>1.025603448275862</v>
      </c>
      <c r="O369" s="761">
        <f t="shared" si="76"/>
        <v>0</v>
      </c>
      <c r="P369" s="28"/>
      <c r="Q369" s="1681">
        <f t="shared" si="86"/>
        <v>0</v>
      </c>
      <c r="R369" s="1682">
        <f t="shared" si="77"/>
        <v>0</v>
      </c>
      <c r="S369" s="1682">
        <f t="shared" si="87"/>
        <v>0</v>
      </c>
      <c r="T369" s="1682">
        <f t="shared" si="88"/>
        <v>1900</v>
      </c>
    </row>
    <row r="370" spans="1:21" s="283" customFormat="1" ht="13.8" x14ac:dyDescent="0.3">
      <c r="B370" s="758" cm="1">
        <f t="array" ref="B370">IF(active_refi=1,IF(ROW()-ROW($B$24)&lt;=$E$12*$E$13+refi_month,ROW()-ROW($B$24),0),IF(activeloan,IF(L369=0,0,IF(ROW()-ROW($B$24)&lt;=$D$12*$D$13,ROW()-ROW($B$24),0)),0))</f>
        <v>0</v>
      </c>
      <c r="C370" s="759">
        <f t="shared" si="78"/>
        <v>0</v>
      </c>
      <c r="D370" s="760">
        <f t="shared" si="79"/>
        <v>118970</v>
      </c>
      <c r="E370" s="760">
        <f t="shared" si="80"/>
        <v>0</v>
      </c>
      <c r="F370" s="760">
        <f t="shared" si="81"/>
        <v>0</v>
      </c>
      <c r="G370" s="340">
        <v>0</v>
      </c>
      <c r="H370" s="760">
        <f t="shared" si="82"/>
        <v>0</v>
      </c>
      <c r="I370" s="760">
        <f t="shared" si="89"/>
        <v>0</v>
      </c>
      <c r="J370" s="760">
        <f t="shared" si="83"/>
        <v>0</v>
      </c>
      <c r="K370" s="760">
        <f t="shared" si="84"/>
        <v>0</v>
      </c>
      <c r="L370" s="760">
        <f t="shared" si="85"/>
        <v>118970</v>
      </c>
      <c r="M370" s="760">
        <f>IFERROR(IF(L369=0,0,SUM($J$25:J370)),0)</f>
        <v>0</v>
      </c>
      <c r="N370" s="366">
        <f t="shared" si="75"/>
        <v>1.025603448275862</v>
      </c>
      <c r="O370" s="761">
        <f t="shared" si="76"/>
        <v>0</v>
      </c>
      <c r="P370" s="28"/>
      <c r="Q370" s="1681">
        <f t="shared" si="86"/>
        <v>0</v>
      </c>
      <c r="R370" s="1682">
        <f t="shared" si="77"/>
        <v>0</v>
      </c>
      <c r="S370" s="1682">
        <f t="shared" si="87"/>
        <v>0</v>
      </c>
      <c r="T370" s="1682">
        <f t="shared" si="88"/>
        <v>1900</v>
      </c>
    </row>
    <row r="371" spans="1:21" s="283" customFormat="1" ht="13.8" x14ac:dyDescent="0.3">
      <c r="B371" s="758" cm="1">
        <f t="array" ref="B371">IF(active_refi=1,IF(ROW()-ROW($B$24)&lt;=$E$12*$E$13+refi_month,ROW()-ROW($B$24),0),IF(activeloan,IF(L370=0,0,IF(ROW()-ROW($B$24)&lt;=$D$12*$D$13,ROW()-ROW($B$24),0)),0))</f>
        <v>0</v>
      </c>
      <c r="C371" s="759">
        <f t="shared" si="78"/>
        <v>0</v>
      </c>
      <c r="D371" s="760">
        <f t="shared" si="79"/>
        <v>118970</v>
      </c>
      <c r="E371" s="760">
        <f t="shared" si="80"/>
        <v>0</v>
      </c>
      <c r="F371" s="760">
        <f t="shared" si="81"/>
        <v>0</v>
      </c>
      <c r="G371" s="340">
        <v>0</v>
      </c>
      <c r="H371" s="760">
        <f t="shared" si="82"/>
        <v>0</v>
      </c>
      <c r="I371" s="760">
        <f t="shared" si="89"/>
        <v>0</v>
      </c>
      <c r="J371" s="760">
        <f t="shared" si="83"/>
        <v>0</v>
      </c>
      <c r="K371" s="760">
        <f t="shared" si="84"/>
        <v>0</v>
      </c>
      <c r="L371" s="760">
        <f t="shared" si="85"/>
        <v>118970</v>
      </c>
      <c r="M371" s="760">
        <f>IFERROR(IF(L370=0,0,SUM($J$25:J371)),0)</f>
        <v>0</v>
      </c>
      <c r="N371" s="366">
        <f t="shared" si="75"/>
        <v>1.025603448275862</v>
      </c>
      <c r="O371" s="761">
        <f t="shared" si="76"/>
        <v>0</v>
      </c>
      <c r="P371" s="28"/>
      <c r="Q371" s="1681">
        <f t="shared" si="86"/>
        <v>0</v>
      </c>
      <c r="R371" s="1682">
        <f t="shared" si="77"/>
        <v>0</v>
      </c>
      <c r="S371" s="1682">
        <f t="shared" si="87"/>
        <v>0</v>
      </c>
      <c r="T371" s="1682">
        <f t="shared" si="88"/>
        <v>1900</v>
      </c>
    </row>
    <row r="372" spans="1:21" s="283" customFormat="1" ht="13.8" x14ac:dyDescent="0.3">
      <c r="B372" s="758" cm="1">
        <f t="array" ref="B372">IF(active_refi=1,IF(ROW()-ROW($B$24)&lt;=$E$12*$E$13+refi_month,ROW()-ROW($B$24),0),IF(activeloan,IF(L371=0,0,IF(ROW()-ROW($B$24)&lt;=$D$12*$D$13,ROW()-ROW($B$24),0)),0))</f>
        <v>0</v>
      </c>
      <c r="C372" s="759">
        <f t="shared" si="78"/>
        <v>0</v>
      </c>
      <c r="D372" s="760">
        <f t="shared" si="79"/>
        <v>118970</v>
      </c>
      <c r="E372" s="760">
        <f t="shared" si="80"/>
        <v>0</v>
      </c>
      <c r="F372" s="760">
        <f t="shared" si="81"/>
        <v>0</v>
      </c>
      <c r="G372" s="340">
        <v>0</v>
      </c>
      <c r="H372" s="760">
        <f t="shared" si="82"/>
        <v>0</v>
      </c>
      <c r="I372" s="760">
        <f t="shared" si="89"/>
        <v>0</v>
      </c>
      <c r="J372" s="760">
        <f t="shared" si="83"/>
        <v>0</v>
      </c>
      <c r="K372" s="760">
        <f t="shared" si="84"/>
        <v>0</v>
      </c>
      <c r="L372" s="760">
        <f t="shared" si="85"/>
        <v>118970</v>
      </c>
      <c r="M372" s="760">
        <f>IFERROR(IF(L371=0,0,SUM($J$25:J372)),0)</f>
        <v>0</v>
      </c>
      <c r="N372" s="366">
        <f t="shared" si="75"/>
        <v>1.025603448275862</v>
      </c>
      <c r="O372" s="761">
        <f t="shared" si="76"/>
        <v>0</v>
      </c>
      <c r="P372" s="28"/>
      <c r="Q372" s="1681">
        <f t="shared" si="86"/>
        <v>0</v>
      </c>
      <c r="R372" s="1682">
        <f t="shared" si="77"/>
        <v>0</v>
      </c>
      <c r="S372" s="1682">
        <f t="shared" si="87"/>
        <v>0</v>
      </c>
      <c r="T372" s="1682">
        <f t="shared" si="88"/>
        <v>1900</v>
      </c>
    </row>
    <row r="373" spans="1:21" s="283" customFormat="1" ht="13.8" x14ac:dyDescent="0.3">
      <c r="B373" s="758" cm="1">
        <f t="array" ref="B373">IF(active_refi=1,IF(ROW()-ROW($B$24)&lt;=$E$12*$E$13+refi_month,ROW()-ROW($B$24),0),IF(activeloan,IF(L372=0,0,IF(ROW()-ROW($B$24)&lt;=$D$12*$D$13,ROW()-ROW($B$24),0)),0))</f>
        <v>0</v>
      </c>
      <c r="C373" s="759">
        <f t="shared" si="78"/>
        <v>0</v>
      </c>
      <c r="D373" s="760">
        <f t="shared" si="79"/>
        <v>118970</v>
      </c>
      <c r="E373" s="760">
        <f t="shared" si="80"/>
        <v>0</v>
      </c>
      <c r="F373" s="760">
        <f t="shared" si="81"/>
        <v>0</v>
      </c>
      <c r="G373" s="340">
        <v>0</v>
      </c>
      <c r="H373" s="760">
        <f t="shared" si="82"/>
        <v>0</v>
      </c>
      <c r="I373" s="760">
        <f t="shared" si="89"/>
        <v>0</v>
      </c>
      <c r="J373" s="760">
        <f t="shared" si="83"/>
        <v>0</v>
      </c>
      <c r="K373" s="760">
        <f t="shared" si="84"/>
        <v>0</v>
      </c>
      <c r="L373" s="760">
        <f t="shared" si="85"/>
        <v>118970</v>
      </c>
      <c r="M373" s="760">
        <f>IFERROR(IF(L372=0,0,SUM($J$25:J373)),0)</f>
        <v>0</v>
      </c>
      <c r="N373" s="366">
        <f t="shared" si="75"/>
        <v>1.025603448275862</v>
      </c>
      <c r="O373" s="761">
        <f t="shared" si="76"/>
        <v>0</v>
      </c>
      <c r="P373" s="28"/>
      <c r="Q373" s="1681">
        <f t="shared" si="86"/>
        <v>0</v>
      </c>
      <c r="R373" s="1682">
        <f t="shared" si="77"/>
        <v>0</v>
      </c>
      <c r="S373" s="1682">
        <f t="shared" si="87"/>
        <v>0</v>
      </c>
      <c r="T373" s="1682">
        <f t="shared" si="88"/>
        <v>1900</v>
      </c>
    </row>
    <row r="374" spans="1:21" s="283" customFormat="1" ht="13.8" x14ac:dyDescent="0.3">
      <c r="B374" s="758" cm="1">
        <f t="array" ref="B374">IF(active_refi=1,IF(ROW()-ROW($B$24)&lt;=$E$12*$E$13+refi_month,ROW()-ROW($B$24),0),IF(activeloan,IF(L373=0,0,IF(ROW()-ROW($B$24)&lt;=$D$12*$D$13,ROW()-ROW($B$24),0)),0))</f>
        <v>0</v>
      </c>
      <c r="C374" s="759">
        <f t="shared" si="78"/>
        <v>0</v>
      </c>
      <c r="D374" s="760">
        <f t="shared" si="79"/>
        <v>118970</v>
      </c>
      <c r="E374" s="760">
        <f t="shared" si="80"/>
        <v>0</v>
      </c>
      <c r="F374" s="760">
        <f t="shared" si="81"/>
        <v>0</v>
      </c>
      <c r="G374" s="340">
        <v>0</v>
      </c>
      <c r="H374" s="760">
        <f t="shared" si="82"/>
        <v>0</v>
      </c>
      <c r="I374" s="760">
        <f t="shared" si="89"/>
        <v>0</v>
      </c>
      <c r="J374" s="760">
        <f t="shared" si="83"/>
        <v>0</v>
      </c>
      <c r="K374" s="760">
        <f t="shared" si="84"/>
        <v>0</v>
      </c>
      <c r="L374" s="760">
        <f t="shared" si="85"/>
        <v>118970</v>
      </c>
      <c r="M374" s="760">
        <f>IFERROR(IF(L373=0,0,SUM($J$25:J374)),0)</f>
        <v>0</v>
      </c>
      <c r="N374" s="366">
        <f t="shared" si="75"/>
        <v>1.025603448275862</v>
      </c>
      <c r="O374" s="761">
        <f t="shared" si="76"/>
        <v>0</v>
      </c>
      <c r="P374" s="28"/>
      <c r="Q374" s="1681">
        <f t="shared" si="86"/>
        <v>0</v>
      </c>
      <c r="R374" s="1682">
        <f t="shared" si="77"/>
        <v>0</v>
      </c>
      <c r="S374" s="1682">
        <f t="shared" si="87"/>
        <v>0</v>
      </c>
      <c r="T374" s="1682">
        <f t="shared" si="88"/>
        <v>1900</v>
      </c>
    </row>
    <row r="375" spans="1:21" s="283" customFormat="1" ht="13.8" x14ac:dyDescent="0.3">
      <c r="B375" s="758" cm="1">
        <f t="array" ref="B375">IF(active_refi=1,IF(ROW()-ROW($B$24)&lt;=$E$12*$E$13+refi_month,ROW()-ROW($B$24),0),IF(activeloan,IF(L374=0,0,IF(ROW()-ROW($B$24)&lt;=$D$12*$D$13,ROW()-ROW($B$24),0)),0))</f>
        <v>0</v>
      </c>
      <c r="C375" s="759">
        <f t="shared" si="78"/>
        <v>0</v>
      </c>
      <c r="D375" s="760">
        <f t="shared" si="79"/>
        <v>118970</v>
      </c>
      <c r="E375" s="760">
        <f t="shared" si="80"/>
        <v>0</v>
      </c>
      <c r="F375" s="760">
        <f t="shared" si="81"/>
        <v>0</v>
      </c>
      <c r="G375" s="340">
        <v>0</v>
      </c>
      <c r="H375" s="760">
        <f t="shared" si="82"/>
        <v>0</v>
      </c>
      <c r="I375" s="760">
        <f t="shared" si="89"/>
        <v>0</v>
      </c>
      <c r="J375" s="760">
        <f t="shared" si="83"/>
        <v>0</v>
      </c>
      <c r="K375" s="760">
        <f t="shared" si="84"/>
        <v>0</v>
      </c>
      <c r="L375" s="760">
        <f t="shared" si="85"/>
        <v>118970</v>
      </c>
      <c r="M375" s="760">
        <f>IFERROR(IF(L374=0,0,SUM($J$25:J375)),0)</f>
        <v>0</v>
      </c>
      <c r="N375" s="366">
        <f t="shared" si="75"/>
        <v>1.025603448275862</v>
      </c>
      <c r="O375" s="761">
        <f t="shared" si="76"/>
        <v>0</v>
      </c>
      <c r="P375" s="28"/>
      <c r="Q375" s="1681">
        <f t="shared" si="86"/>
        <v>0</v>
      </c>
      <c r="R375" s="1682">
        <f t="shared" si="77"/>
        <v>0</v>
      </c>
      <c r="S375" s="1682">
        <f t="shared" si="87"/>
        <v>0</v>
      </c>
      <c r="T375" s="1682">
        <f t="shared" si="88"/>
        <v>1900</v>
      </c>
    </row>
    <row r="376" spans="1:21" s="283" customFormat="1" ht="13.8" x14ac:dyDescent="0.3">
      <c r="B376" s="758" cm="1">
        <f t="array" ref="B376">IF(active_refi=1,IF(ROW()-ROW($B$24)&lt;=$E$12*$E$13+refi_month,ROW()-ROW($B$24),0),IF(activeloan,IF(L375=0,0,IF(ROW()-ROW($B$24)&lt;=$D$12*$D$13,ROW()-ROW($B$24),0)),0))</f>
        <v>0</v>
      </c>
      <c r="C376" s="759">
        <f t="shared" si="78"/>
        <v>0</v>
      </c>
      <c r="D376" s="760">
        <f t="shared" si="79"/>
        <v>118970</v>
      </c>
      <c r="E376" s="760">
        <f t="shared" si="80"/>
        <v>0</v>
      </c>
      <c r="F376" s="760">
        <f t="shared" si="81"/>
        <v>0</v>
      </c>
      <c r="G376" s="340">
        <v>0</v>
      </c>
      <c r="H376" s="760">
        <f t="shared" si="82"/>
        <v>0</v>
      </c>
      <c r="I376" s="760">
        <f t="shared" si="89"/>
        <v>0</v>
      </c>
      <c r="J376" s="760">
        <f t="shared" si="83"/>
        <v>0</v>
      </c>
      <c r="K376" s="760">
        <f t="shared" si="84"/>
        <v>0</v>
      </c>
      <c r="L376" s="760">
        <f t="shared" si="85"/>
        <v>118970</v>
      </c>
      <c r="M376" s="760">
        <f>IFERROR(IF(L375=0,0,SUM($J$25:J376)),0)</f>
        <v>0</v>
      </c>
      <c r="N376" s="366">
        <f t="shared" si="75"/>
        <v>1.025603448275862</v>
      </c>
      <c r="O376" s="761">
        <f t="shared" si="76"/>
        <v>0</v>
      </c>
      <c r="P376" s="28"/>
      <c r="Q376" s="1681">
        <f t="shared" si="86"/>
        <v>0</v>
      </c>
      <c r="R376" s="1682">
        <f t="shared" si="77"/>
        <v>0</v>
      </c>
      <c r="S376" s="1682">
        <f t="shared" si="87"/>
        <v>0</v>
      </c>
      <c r="T376" s="1682">
        <f t="shared" si="88"/>
        <v>1900</v>
      </c>
    </row>
    <row r="377" spans="1:21" s="283" customFormat="1" ht="13.8" x14ac:dyDescent="0.3">
      <c r="B377" s="758" cm="1">
        <f t="array" ref="B377">IF(active_refi=1,IF(ROW()-ROW($B$24)&lt;=$E$12*$E$13+refi_month,ROW()-ROW($B$24),0),IF(activeloan,IF(L376=0,0,IF(ROW()-ROW($B$24)&lt;=$D$12*$D$13,ROW()-ROW($B$24),0)),0))</f>
        <v>0</v>
      </c>
      <c r="C377" s="759">
        <f t="shared" si="78"/>
        <v>0</v>
      </c>
      <c r="D377" s="760">
        <f t="shared" si="79"/>
        <v>118970</v>
      </c>
      <c r="E377" s="760">
        <f t="shared" si="80"/>
        <v>0</v>
      </c>
      <c r="F377" s="760">
        <f t="shared" si="81"/>
        <v>0</v>
      </c>
      <c r="G377" s="340">
        <v>0</v>
      </c>
      <c r="H377" s="760">
        <f t="shared" si="82"/>
        <v>0</v>
      </c>
      <c r="I377" s="760">
        <f t="shared" si="89"/>
        <v>0</v>
      </c>
      <c r="J377" s="760">
        <f t="shared" si="83"/>
        <v>0</v>
      </c>
      <c r="K377" s="760">
        <f t="shared" si="84"/>
        <v>0</v>
      </c>
      <c r="L377" s="760">
        <f t="shared" si="85"/>
        <v>118970</v>
      </c>
      <c r="M377" s="760">
        <f>IFERROR(IF(L376=0,0,SUM($J$25:J377)),0)</f>
        <v>0</v>
      </c>
      <c r="N377" s="366">
        <f t="shared" si="75"/>
        <v>1.025603448275862</v>
      </c>
      <c r="O377" s="761">
        <f t="shared" si="76"/>
        <v>0</v>
      </c>
      <c r="P377" s="28"/>
      <c r="Q377" s="1681">
        <f t="shared" si="86"/>
        <v>0</v>
      </c>
      <c r="R377" s="1682">
        <f t="shared" si="77"/>
        <v>0</v>
      </c>
      <c r="S377" s="1682">
        <f t="shared" si="87"/>
        <v>0</v>
      </c>
      <c r="T377" s="1682">
        <f t="shared" si="88"/>
        <v>1900</v>
      </c>
    </row>
    <row r="378" spans="1:21" s="283" customFormat="1" ht="13.8" x14ac:dyDescent="0.3">
      <c r="B378" s="758" cm="1">
        <f t="array" ref="B378">IF(active_refi=1,IF(ROW()-ROW($B$24)&lt;=$E$12*$E$13+refi_month,ROW()-ROW($B$24),0),IF(activeloan,IF(L377=0,0,IF(ROW()-ROW($B$24)&lt;=$D$12*$D$13,ROW()-ROW($B$24),0)),0))</f>
        <v>0</v>
      </c>
      <c r="C378" s="759">
        <f t="shared" si="78"/>
        <v>0</v>
      </c>
      <c r="D378" s="760">
        <f t="shared" si="79"/>
        <v>118970</v>
      </c>
      <c r="E378" s="760">
        <f t="shared" si="80"/>
        <v>0</v>
      </c>
      <c r="F378" s="760">
        <f t="shared" si="81"/>
        <v>0</v>
      </c>
      <c r="G378" s="340">
        <v>0</v>
      </c>
      <c r="H378" s="760">
        <f t="shared" si="82"/>
        <v>0</v>
      </c>
      <c r="I378" s="760">
        <f t="shared" si="89"/>
        <v>0</v>
      </c>
      <c r="J378" s="760">
        <f t="shared" si="83"/>
        <v>0</v>
      </c>
      <c r="K378" s="760">
        <f t="shared" si="84"/>
        <v>0</v>
      </c>
      <c r="L378" s="760">
        <f t="shared" si="85"/>
        <v>118970</v>
      </c>
      <c r="M378" s="760">
        <f>IFERROR(IF(L377=0,0,SUM($J$25:J378)),0)</f>
        <v>0</v>
      </c>
      <c r="N378" s="366">
        <f t="shared" si="75"/>
        <v>1.025603448275862</v>
      </c>
      <c r="O378" s="761">
        <f t="shared" si="76"/>
        <v>0</v>
      </c>
      <c r="P378" s="28"/>
      <c r="Q378" s="1681">
        <f t="shared" si="86"/>
        <v>0</v>
      </c>
      <c r="R378" s="1682">
        <f t="shared" si="77"/>
        <v>0</v>
      </c>
      <c r="S378" s="1682">
        <f t="shared" si="87"/>
        <v>0</v>
      </c>
      <c r="T378" s="1682">
        <f t="shared" si="88"/>
        <v>1900</v>
      </c>
    </row>
    <row r="379" spans="1:21" s="283" customFormat="1" ht="13.8" x14ac:dyDescent="0.3">
      <c r="B379" s="758" cm="1">
        <f t="array" ref="B379">IF(active_refi=1,IF(ROW()-ROW($B$24)&lt;=$E$12*$E$13+refi_month,ROW()-ROW($B$24),0),IF(activeloan,IF(L378=0,0,IF(ROW()-ROW($B$24)&lt;=$D$12*$D$13,ROW()-ROW($B$24),0)),0))</f>
        <v>0</v>
      </c>
      <c r="C379" s="759">
        <f t="shared" si="78"/>
        <v>0</v>
      </c>
      <c r="D379" s="760">
        <f t="shared" si="79"/>
        <v>118970</v>
      </c>
      <c r="E379" s="760">
        <f t="shared" si="80"/>
        <v>0</v>
      </c>
      <c r="F379" s="760">
        <f t="shared" si="81"/>
        <v>0</v>
      </c>
      <c r="G379" s="340">
        <v>0</v>
      </c>
      <c r="H379" s="760">
        <f t="shared" si="82"/>
        <v>0</v>
      </c>
      <c r="I379" s="760">
        <f t="shared" si="89"/>
        <v>0</v>
      </c>
      <c r="J379" s="760">
        <f t="shared" si="83"/>
        <v>0</v>
      </c>
      <c r="K379" s="760">
        <f t="shared" si="84"/>
        <v>0</v>
      </c>
      <c r="L379" s="760">
        <f t="shared" si="85"/>
        <v>118970</v>
      </c>
      <c r="M379" s="760">
        <f>IFERROR(IF(L378=0,0,SUM($J$25:J379)),0)</f>
        <v>0</v>
      </c>
      <c r="N379" s="366">
        <f t="shared" si="75"/>
        <v>1.025603448275862</v>
      </c>
      <c r="O379" s="761">
        <f t="shared" si="76"/>
        <v>0</v>
      </c>
      <c r="P379" s="28"/>
      <c r="Q379" s="1681">
        <f t="shared" si="86"/>
        <v>0</v>
      </c>
      <c r="R379" s="1682">
        <f t="shared" si="77"/>
        <v>0</v>
      </c>
      <c r="S379" s="1682">
        <f t="shared" si="87"/>
        <v>0</v>
      </c>
      <c r="T379" s="1682">
        <f t="shared" si="88"/>
        <v>1900</v>
      </c>
    </row>
    <row r="380" spans="1:21" s="283" customFormat="1" ht="13.8" x14ac:dyDescent="0.3">
      <c r="B380" s="758" cm="1">
        <f t="array" ref="B380">IF(active_refi=1,IF(ROW()-ROW($B$24)&lt;=$E$12*$E$13+refi_month,ROW()-ROW($B$24),0),IF(activeloan,IF(L379=0,0,IF(ROW()-ROW($B$24)&lt;=$D$12*$D$13,ROW()-ROW($B$24),0)),0))</f>
        <v>0</v>
      </c>
      <c r="C380" s="759">
        <f t="shared" si="78"/>
        <v>0</v>
      </c>
      <c r="D380" s="760">
        <f t="shared" si="79"/>
        <v>118970</v>
      </c>
      <c r="E380" s="760">
        <f t="shared" si="80"/>
        <v>0</v>
      </c>
      <c r="F380" s="760">
        <f t="shared" si="81"/>
        <v>0</v>
      </c>
      <c r="G380" s="340">
        <v>0</v>
      </c>
      <c r="H380" s="760">
        <f t="shared" si="82"/>
        <v>0</v>
      </c>
      <c r="I380" s="760">
        <f t="shared" si="89"/>
        <v>0</v>
      </c>
      <c r="J380" s="760">
        <f t="shared" si="83"/>
        <v>0</v>
      </c>
      <c r="K380" s="760">
        <f t="shared" si="84"/>
        <v>0</v>
      </c>
      <c r="L380" s="760">
        <f t="shared" si="85"/>
        <v>118970</v>
      </c>
      <c r="M380" s="760">
        <f>IFERROR(IF(L379=0,0,SUM($J$25:J380)),0)</f>
        <v>0</v>
      </c>
      <c r="N380" s="366">
        <f t="shared" si="75"/>
        <v>1.025603448275862</v>
      </c>
      <c r="O380" s="761">
        <f t="shared" si="76"/>
        <v>0</v>
      </c>
      <c r="P380" s="28"/>
      <c r="Q380" s="1681">
        <f t="shared" si="86"/>
        <v>0</v>
      </c>
      <c r="R380" s="1682">
        <f t="shared" si="77"/>
        <v>0</v>
      </c>
      <c r="S380" s="1682">
        <f t="shared" si="87"/>
        <v>0</v>
      </c>
      <c r="T380" s="1682">
        <f t="shared" si="88"/>
        <v>1900</v>
      </c>
    </row>
    <row r="381" spans="1:21" s="283" customFormat="1" ht="13.8" x14ac:dyDescent="0.3">
      <c r="B381" s="758" cm="1">
        <f t="array" ref="B381">IF(active_refi=1,IF(ROW()-ROW($B$24)&lt;=$E$12*$E$13+refi_month,ROW()-ROW($B$24),0),IF(activeloan,IF(L380=0,0,IF(ROW()-ROW($B$24)&lt;=$D$12*$D$13,ROW()-ROW($B$24),0)),0))</f>
        <v>0</v>
      </c>
      <c r="C381" s="759">
        <f t="shared" si="78"/>
        <v>0</v>
      </c>
      <c r="D381" s="760">
        <f t="shared" si="79"/>
        <v>118970</v>
      </c>
      <c r="E381" s="760">
        <f t="shared" si="80"/>
        <v>0</v>
      </c>
      <c r="F381" s="760">
        <f t="shared" si="81"/>
        <v>0</v>
      </c>
      <c r="G381" s="340">
        <v>0</v>
      </c>
      <c r="H381" s="760">
        <f t="shared" si="82"/>
        <v>0</v>
      </c>
      <c r="I381" s="760">
        <f t="shared" si="89"/>
        <v>0</v>
      </c>
      <c r="J381" s="760">
        <f t="shared" si="83"/>
        <v>0</v>
      </c>
      <c r="K381" s="760">
        <f t="shared" si="84"/>
        <v>0</v>
      </c>
      <c r="L381" s="760">
        <f t="shared" si="85"/>
        <v>118970</v>
      </c>
      <c r="M381" s="760">
        <f>IFERROR(IF(L380=0,0,SUM($J$25:J381)),0)</f>
        <v>0</v>
      </c>
      <c r="N381" s="366">
        <f t="shared" si="75"/>
        <v>1.025603448275862</v>
      </c>
      <c r="O381" s="761">
        <f t="shared" si="76"/>
        <v>0</v>
      </c>
      <c r="P381" s="28"/>
      <c r="Q381" s="1681">
        <f t="shared" si="86"/>
        <v>0</v>
      </c>
      <c r="R381" s="1682">
        <f t="shared" si="77"/>
        <v>0</v>
      </c>
      <c r="S381" s="1682">
        <f t="shared" si="87"/>
        <v>0</v>
      </c>
      <c r="T381" s="1682">
        <f t="shared" si="88"/>
        <v>1900</v>
      </c>
    </row>
    <row r="382" spans="1:21" s="283" customFormat="1" ht="13.8" x14ac:dyDescent="0.3">
      <c r="B382" s="758" cm="1">
        <f t="array" ref="B382">IF(active_refi=1,IF(ROW()-ROW($B$24)&lt;=$E$12*$E$13+refi_month,ROW()-ROW($B$24),0),IF(activeloan,IF(L381=0,0,IF(ROW()-ROW($B$24)&lt;=$D$12*$D$13,ROW()-ROW($B$24),0)),0))</f>
        <v>0</v>
      </c>
      <c r="C382" s="759">
        <f t="shared" si="78"/>
        <v>0</v>
      </c>
      <c r="D382" s="760">
        <f t="shared" si="79"/>
        <v>118970</v>
      </c>
      <c r="E382" s="760">
        <f t="shared" si="80"/>
        <v>0</v>
      </c>
      <c r="F382" s="760">
        <f t="shared" si="81"/>
        <v>0</v>
      </c>
      <c r="G382" s="340">
        <v>0</v>
      </c>
      <c r="H382" s="760">
        <f t="shared" si="82"/>
        <v>0</v>
      </c>
      <c r="I382" s="760">
        <f t="shared" si="89"/>
        <v>0</v>
      </c>
      <c r="J382" s="760">
        <f t="shared" si="83"/>
        <v>0</v>
      </c>
      <c r="K382" s="760">
        <f t="shared" si="84"/>
        <v>0</v>
      </c>
      <c r="L382" s="760">
        <f t="shared" si="85"/>
        <v>118970</v>
      </c>
      <c r="M382" s="760">
        <f>IFERROR(IF(L381=0,0,SUM($J$25:J382)),0)</f>
        <v>0</v>
      </c>
      <c r="N382" s="366">
        <f t="shared" si="75"/>
        <v>1.025603448275862</v>
      </c>
      <c r="O382" s="761">
        <f t="shared" si="76"/>
        <v>0</v>
      </c>
      <c r="P382" s="28"/>
      <c r="Q382" s="1681">
        <f t="shared" si="86"/>
        <v>0</v>
      </c>
      <c r="R382" s="1682">
        <f t="shared" si="77"/>
        <v>0</v>
      </c>
      <c r="S382" s="1682">
        <f t="shared" si="87"/>
        <v>0</v>
      </c>
      <c r="T382" s="1682">
        <f t="shared" si="88"/>
        <v>1900</v>
      </c>
    </row>
    <row r="383" spans="1:21" s="283" customFormat="1" ht="13.8" x14ac:dyDescent="0.3">
      <c r="B383" s="758" cm="1">
        <f t="array" ref="B383">IF(active_refi=1,IF(ROW()-ROW($B$24)&lt;=$E$12*$E$13+refi_month,ROW()-ROW($B$24),0),IF(activeloan,IF(L382=0,0,IF(ROW()-ROW($B$24)&lt;=$D$12*$D$13,ROW()-ROW($B$24),0)),0))</f>
        <v>0</v>
      </c>
      <c r="C383" s="759">
        <f t="shared" si="78"/>
        <v>0</v>
      </c>
      <c r="D383" s="760">
        <f t="shared" si="79"/>
        <v>118970</v>
      </c>
      <c r="E383" s="760">
        <f t="shared" si="80"/>
        <v>0</v>
      </c>
      <c r="F383" s="760">
        <f t="shared" si="81"/>
        <v>0</v>
      </c>
      <c r="G383" s="340">
        <v>0</v>
      </c>
      <c r="H383" s="760">
        <f t="shared" si="82"/>
        <v>0</v>
      </c>
      <c r="I383" s="760">
        <f t="shared" si="89"/>
        <v>0</v>
      </c>
      <c r="J383" s="760">
        <f t="shared" si="83"/>
        <v>0</v>
      </c>
      <c r="K383" s="760">
        <f t="shared" si="84"/>
        <v>0</v>
      </c>
      <c r="L383" s="760">
        <f t="shared" si="85"/>
        <v>118970</v>
      </c>
      <c r="M383" s="760">
        <f>IFERROR(IF(L382=0,0,SUM($J$25:J383)),0)</f>
        <v>0</v>
      </c>
      <c r="N383" s="366">
        <f t="shared" si="75"/>
        <v>1.025603448275862</v>
      </c>
      <c r="O383" s="761">
        <f t="shared" si="76"/>
        <v>0</v>
      </c>
      <c r="P383" s="28"/>
      <c r="Q383" s="1681">
        <f t="shared" si="86"/>
        <v>0</v>
      </c>
      <c r="R383" s="1682">
        <f t="shared" si="77"/>
        <v>0</v>
      </c>
      <c r="S383" s="1682">
        <f t="shared" si="87"/>
        <v>0</v>
      </c>
      <c r="T383" s="1682">
        <f t="shared" si="88"/>
        <v>1900</v>
      </c>
    </row>
    <row r="384" spans="1:21" ht="13.8" x14ac:dyDescent="0.25">
      <c r="A384" s="283"/>
      <c r="B384" s="758" cm="1">
        <f t="array" ref="B384">IF(active_refi=1,IF(ROW()-ROW($B$24)&lt;=$E$12*$E$13+refi_month,ROW()-ROW($B$24),0),IF(activeloan,IF(L383=0,0,IF(ROW()-ROW($B$24)&lt;=$D$12*$D$13,ROW()-ROW($B$24),0)),0))</f>
        <v>0</v>
      </c>
      <c r="C384" s="759">
        <f t="shared" si="78"/>
        <v>0</v>
      </c>
      <c r="D384" s="760">
        <f t="shared" si="79"/>
        <v>118970</v>
      </c>
      <c r="E384" s="760">
        <f t="shared" si="80"/>
        <v>0</v>
      </c>
      <c r="F384" s="760">
        <f t="shared" si="81"/>
        <v>0</v>
      </c>
      <c r="G384" s="340">
        <v>0</v>
      </c>
      <c r="H384" s="760">
        <f t="shared" si="82"/>
        <v>0</v>
      </c>
      <c r="I384" s="760">
        <f t="shared" si="89"/>
        <v>0</v>
      </c>
      <c r="J384" s="760">
        <f t="shared" si="83"/>
        <v>0</v>
      </c>
      <c r="K384" s="760">
        <f t="shared" si="84"/>
        <v>0</v>
      </c>
      <c r="L384" s="760">
        <f t="shared" si="85"/>
        <v>118970</v>
      </c>
      <c r="M384" s="760">
        <f>IFERROR(IF(L383=0,0,SUM($J$25:J384)),0)</f>
        <v>0</v>
      </c>
      <c r="N384" s="366">
        <f t="shared" si="75"/>
        <v>1.025603448275862</v>
      </c>
      <c r="O384" s="761">
        <f t="shared" si="76"/>
        <v>0</v>
      </c>
      <c r="P384" s="28"/>
      <c r="Q384" s="1681">
        <f t="shared" si="86"/>
        <v>0</v>
      </c>
      <c r="R384" s="1682">
        <f t="shared" si="77"/>
        <v>0</v>
      </c>
      <c r="S384" s="1682">
        <f t="shared" si="87"/>
        <v>0</v>
      </c>
      <c r="T384" s="1682">
        <f t="shared" si="88"/>
        <v>1900</v>
      </c>
      <c r="U384" s="283"/>
    </row>
    <row r="385" spans="1:21" ht="13.8" x14ac:dyDescent="0.25">
      <c r="A385" s="283"/>
      <c r="B385" s="762"/>
      <c r="C385" s="763"/>
      <c r="D385" s="764"/>
      <c r="E385" s="763"/>
      <c r="F385" s="763"/>
      <c r="G385" s="763"/>
      <c r="H385" s="763"/>
      <c r="I385" s="763"/>
      <c r="J385" s="763"/>
      <c r="K385" s="763"/>
      <c r="L385" s="763"/>
      <c r="M385" s="763"/>
      <c r="N385" s="763"/>
      <c r="O385" s="765"/>
      <c r="P385" s="28"/>
      <c r="Q385" s="1681"/>
      <c r="R385" s="1682"/>
      <c r="S385" s="1682"/>
      <c r="T385" s="1682"/>
      <c r="U385" s="283"/>
    </row>
    <row r="386" spans="1:21" s="332" customFormat="1" ht="15" customHeight="1" x14ac:dyDescent="0.25">
      <c r="A386" s="274"/>
      <c r="B386" s="317" t="str">
        <f>DISCLAIMER!$A$35</f>
        <v>© 2025 by WinsWithMike.com or Michael Forsberg Nampa, Idaho. All rights reserved</v>
      </c>
      <c r="C386" s="276"/>
      <c r="D386" s="276"/>
      <c r="E386" s="276"/>
      <c r="F386" s="276"/>
      <c r="G386" s="276"/>
      <c r="H386" s="276"/>
      <c r="I386" s="276"/>
      <c r="J386" s="276"/>
      <c r="K386" s="276"/>
      <c r="L386" s="276"/>
      <c r="M386" s="276"/>
      <c r="N386" s="276"/>
      <c r="O386" s="276"/>
      <c r="P386" s="276"/>
      <c r="Q386" s="329"/>
      <c r="R386" s="329"/>
      <c r="S386" s="329"/>
      <c r="T386" s="329"/>
      <c r="U386" s="274"/>
    </row>
    <row r="387" spans="1:21" ht="13.8" hidden="1" x14ac:dyDescent="0.25">
      <c r="B387" s="276"/>
      <c r="C387" s="276"/>
      <c r="D387" s="276"/>
      <c r="E387" s="276"/>
      <c r="F387" s="276"/>
      <c r="G387" s="276"/>
      <c r="H387" s="276"/>
      <c r="I387" s="276"/>
      <c r="J387" s="276"/>
      <c r="K387" s="276"/>
      <c r="L387" s="276"/>
      <c r="M387" s="276"/>
      <c r="N387" s="276"/>
      <c r="O387" s="276"/>
      <c r="P387" s="276"/>
    </row>
    <row r="388" spans="1:21" ht="13.8" hidden="1" x14ac:dyDescent="0.25">
      <c r="A388" s="675" t="str">
        <f>DISCLAIMER!A35</f>
        <v>© 2025 by WinsWithMike.com or Michael Forsberg Nampa, Idaho. All rights reserved</v>
      </c>
      <c r="B388" s="766"/>
      <c r="C388" s="766"/>
      <c r="D388" s="766"/>
      <c r="E388" s="766"/>
      <c r="F388" s="766"/>
      <c r="G388" s="766"/>
      <c r="H388" s="767"/>
      <c r="I388" s="767"/>
      <c r="J388" s="767"/>
      <c r="K388" s="767"/>
      <c r="L388" s="767"/>
      <c r="M388" s="767"/>
      <c r="N388" s="767"/>
      <c r="O388" s="767"/>
      <c r="P388" s="332"/>
      <c r="U388" s="332"/>
    </row>
    <row r="389" spans="1:21" ht="13.8" hidden="1" x14ac:dyDescent="0.25">
      <c r="A389" s="1"/>
      <c r="B389" s="1"/>
      <c r="C389" s="1"/>
      <c r="D389" s="1"/>
      <c r="E389" s="1"/>
      <c r="F389" s="1"/>
      <c r="G389" s="1"/>
      <c r="H389" s="1"/>
      <c r="I389" s="1"/>
      <c r="J389" s="1"/>
      <c r="K389" s="1"/>
      <c r="L389" s="1"/>
      <c r="M389" s="1"/>
      <c r="N389" s="1"/>
      <c r="O389" s="1"/>
    </row>
    <row r="390" spans="1:21" ht="13.8" hidden="1" x14ac:dyDescent="0.25">
      <c r="A390" s="1"/>
      <c r="B390" s="1"/>
      <c r="C390" s="1"/>
      <c r="D390" s="1"/>
      <c r="E390" s="1"/>
      <c r="F390" s="1"/>
      <c r="G390" s="1"/>
      <c r="H390" s="1"/>
      <c r="I390" s="1"/>
      <c r="J390" s="1"/>
      <c r="K390" s="1"/>
      <c r="L390" s="1"/>
      <c r="M390" s="1"/>
      <c r="N390" s="1"/>
      <c r="O390" s="1"/>
    </row>
    <row r="391" spans="1:21" ht="13.8" hidden="1" x14ac:dyDescent="0.25">
      <c r="A391" s="1"/>
      <c r="B391" s="1"/>
      <c r="C391" s="1"/>
      <c r="D391" s="1"/>
      <c r="E391" s="1"/>
      <c r="F391" s="1"/>
      <c r="G391" s="1"/>
      <c r="H391" s="1"/>
      <c r="I391" s="1"/>
      <c r="J391" s="1"/>
      <c r="K391" s="1"/>
      <c r="L391" s="1"/>
      <c r="M391" s="1"/>
      <c r="N391" s="1"/>
      <c r="O391" s="1"/>
    </row>
    <row r="392" spans="1:21" ht="13.8" hidden="1" x14ac:dyDescent="0.25">
      <c r="A392" s="1"/>
      <c r="B392" s="1"/>
      <c r="C392" s="1"/>
      <c r="D392" s="1"/>
      <c r="E392" s="1"/>
      <c r="F392" s="1"/>
      <c r="G392" s="1"/>
      <c r="H392" s="1"/>
      <c r="I392" s="1"/>
      <c r="J392" s="1"/>
      <c r="K392" s="1"/>
      <c r="L392" s="1"/>
      <c r="M392" s="1"/>
      <c r="N392" s="1"/>
      <c r="O392" s="1"/>
    </row>
    <row r="393" spans="1:21" ht="14.25" customHeight="1" x14ac:dyDescent="0.25">
      <c r="A393" s="1"/>
      <c r="B393" s="1"/>
      <c r="C393" s="1"/>
      <c r="D393" s="1"/>
      <c r="E393" s="1"/>
      <c r="F393" s="1"/>
      <c r="G393" s="1"/>
      <c r="H393" s="1"/>
      <c r="I393" s="1"/>
      <c r="J393" s="1"/>
      <c r="K393" s="1"/>
      <c r="L393" s="1"/>
      <c r="M393" s="1"/>
      <c r="N393" s="1"/>
      <c r="O393" s="1"/>
    </row>
    <row r="394" spans="1:21" ht="14.25" customHeight="1" x14ac:dyDescent="0.25">
      <c r="A394" s="1"/>
      <c r="B394" s="1"/>
      <c r="C394" s="1"/>
      <c r="D394" s="1"/>
      <c r="E394" s="1"/>
      <c r="F394" s="1"/>
      <c r="G394" s="1"/>
      <c r="H394" s="1"/>
      <c r="I394" s="1"/>
      <c r="J394" s="1"/>
      <c r="K394" s="1"/>
      <c r="L394" s="1"/>
      <c r="M394" s="1"/>
      <c r="N394" s="1"/>
      <c r="O394" s="1"/>
    </row>
  </sheetData>
  <sheetProtection sheet="1" objects="1" scenarios="1" selectLockedCells="1"/>
  <mergeCells count="13">
    <mergeCell ref="O22:O23"/>
    <mergeCell ref="H22:H23"/>
    <mergeCell ref="I22:I23"/>
    <mergeCell ref="F22:G22"/>
    <mergeCell ref="B22:B23"/>
    <mergeCell ref="C22:C23"/>
    <mergeCell ref="D22:D23"/>
    <mergeCell ref="E22:E23"/>
    <mergeCell ref="J22:J23"/>
    <mergeCell ref="K22:K23"/>
    <mergeCell ref="L22:L23"/>
    <mergeCell ref="M22:M23"/>
    <mergeCell ref="N22:N23"/>
  </mergeCells>
  <conditionalFormatting sqref="B25:F384">
    <cfRule type="expression" dxfId="247" priority="10">
      <formula>MOD(ROW(),2)=0</formula>
    </cfRule>
  </conditionalFormatting>
  <conditionalFormatting sqref="B385:N385">
    <cfRule type="expression" dxfId="246" priority="8">
      <formula>MOD(ROW(),2)=0</formula>
    </cfRule>
  </conditionalFormatting>
  <conditionalFormatting sqref="H25:N384">
    <cfRule type="expression" dxfId="245" priority="4">
      <formula>MOD(ROW(),2)=0</formula>
    </cfRule>
  </conditionalFormatting>
  <conditionalFormatting sqref="O25:O385">
    <cfRule type="expression" dxfId="244" priority="2">
      <formula>MOD(ROW(),2)=0</formula>
    </cfRule>
  </conditionalFormatting>
  <dataValidations count="3">
    <dataValidation type="decimal" operator="greaterThanOrEqual" allowBlank="1" showInputMessage="1" showErrorMessage="1" sqref="G25:G384" xr:uid="{B8B73B1B-C0A6-43FA-B034-55404FE7C181}">
      <formula1>0</formula1>
    </dataValidation>
    <dataValidation allowBlank="1" showInputMessage="1" showErrorMessage="1" promptTitle="Interests Saved" prompt="Total amount of interests saved over the life of the loan, compared to a scenario assuming no extra prepayment. Only applicable when no Interest-Only Period is activated." sqref="K14" xr:uid="{2216BB4A-1BD9-4257-A5DA-DDCD3E3426A4}"/>
    <dataValidation allowBlank="1" showInputMessage="1" showErrorMessage="1" promptTitle="Optional Monthly Prepayment" prompt="Enter your amount here for recurring &amp; identical monthly mortgage prepayments. For custom prepayment amounts (month by month), please enter your figure in the &quot;Custom&quot; column of the &quot;Optional Prepayment &quot; section below." sqref="K10" xr:uid="{742D4811-8369-461F-9E3B-E2D56F267E5E}"/>
  </dataValidations>
  <pageMargins left="0.7" right="0.7" top="0.75" bottom="0.75" header="0.3" footer="0.3"/>
  <pageSetup scale="41" fitToHeight="0" orientation="portrait" r:id="rId1"/>
  <rowBreaks count="3" manualBreakCount="3">
    <brk id="114" max="15" man="1"/>
    <brk id="234" max="15" man="1"/>
    <brk id="354" max="15" man="1"/>
  </row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59CB8-239E-4CC1-8FE5-EE55B1822DF2}">
  <sheetPr codeName="Sheet31">
    <tabColor theme="1" tint="0.499984740745262"/>
  </sheetPr>
  <dimension ref="A1:U77"/>
  <sheetViews>
    <sheetView workbookViewId="0">
      <pane ySplit="8" topLeftCell="A9" activePane="bottomLeft" state="frozen"/>
      <selection pane="bottomLeft" activeCell="A9" sqref="A9"/>
    </sheetView>
  </sheetViews>
  <sheetFormatPr defaultRowHeight="14.4" x14ac:dyDescent="0.3"/>
  <cols>
    <col min="1" max="1" width="41" bestFit="1" customWidth="1"/>
    <col min="2" max="2" width="24.44140625" bestFit="1" customWidth="1"/>
    <col min="3" max="3" width="24.21875" customWidth="1"/>
    <col min="4" max="4" width="14.109375" customWidth="1"/>
    <col min="5" max="5" width="9.44140625" customWidth="1"/>
    <col min="6" max="6" width="11.33203125" customWidth="1"/>
    <col min="7" max="7" width="11.109375" bestFit="1" customWidth="1"/>
    <col min="8" max="8" width="12.21875" style="2080" bestFit="1" customWidth="1"/>
    <col min="9" max="9" width="10.5546875" style="2080" bestFit="1" customWidth="1"/>
    <col min="10" max="10" width="16" style="1886" customWidth="1"/>
    <col min="11" max="11" width="12.6640625" style="2080" bestFit="1" customWidth="1"/>
    <col min="12" max="12" width="13.33203125" style="2080" bestFit="1" customWidth="1"/>
    <col min="13" max="13" width="17.88671875" style="2080" customWidth="1"/>
    <col min="14" max="14" width="11.88671875" customWidth="1"/>
    <col min="15" max="15" width="14.5546875" style="1886" customWidth="1"/>
    <col min="16" max="16" width="9" style="1886" bestFit="1" customWidth="1"/>
    <col min="17" max="17" width="12.6640625" customWidth="1"/>
    <col min="19" max="19" width="9" bestFit="1" customWidth="1"/>
    <col min="20" max="20" width="11.5546875" customWidth="1"/>
    <col min="21" max="21" width="11" customWidth="1"/>
  </cols>
  <sheetData>
    <row r="1" spans="1:21" s="2074" customFormat="1" ht="30" customHeight="1" x14ac:dyDescent="0.3">
      <c r="A1" s="2073" t="s">
        <v>2672</v>
      </c>
    </row>
    <row r="2" spans="1:21" s="2074" customFormat="1" ht="30" customHeight="1" x14ac:dyDescent="0.3">
      <c r="A2" s="2075" t="s">
        <v>2673</v>
      </c>
    </row>
    <row r="3" spans="1:21" s="1858" customFormat="1" ht="20.100000000000001" customHeight="1" x14ac:dyDescent="0.3">
      <c r="A3" s="2045"/>
      <c r="B3" s="2045" t="str">
        <f>DISCLAIMER!$A$35</f>
        <v>© 2025 by WinsWithMike.com or Michael Forsberg Nampa, Idaho. All rights reserved</v>
      </c>
      <c r="C3" s="2045"/>
      <c r="D3" s="2045" t="s">
        <v>2651</v>
      </c>
      <c r="E3" s="2045"/>
      <c r="F3" s="2072" t="s">
        <v>2671</v>
      </c>
      <c r="G3" s="2045"/>
      <c r="H3" s="2045"/>
      <c r="I3" s="2045"/>
      <c r="J3" s="2045"/>
      <c r="K3" s="2045"/>
      <c r="L3" s="2044"/>
      <c r="M3" s="2045"/>
      <c r="N3" s="2045"/>
      <c r="O3" s="2045"/>
      <c r="P3" s="2045"/>
      <c r="Q3" s="2045"/>
      <c r="R3" s="2045"/>
      <c r="S3" s="2045"/>
      <c r="T3" s="2045"/>
      <c r="U3" s="2045"/>
    </row>
    <row r="4" spans="1:21" s="2047" customFormat="1" x14ac:dyDescent="0.3">
      <c r="A4" s="2046" t="s">
        <v>2662</v>
      </c>
      <c r="B4" s="2047">
        <f>IFERROR(COUNTIF(D9:D1003,"*Google*"),0)</f>
        <v>59</v>
      </c>
      <c r="C4" s="2048" t="s">
        <v>2265</v>
      </c>
      <c r="D4" s="2047">
        <f>IFERROR(COUNTIF(G8:G1003,"*BINGO*"),0)</f>
        <v>10</v>
      </c>
      <c r="H4" s="2047" t="s">
        <v>2663</v>
      </c>
      <c r="I4" s="2047" t="s">
        <v>20</v>
      </c>
      <c r="J4" s="2047" t="s">
        <v>2664</v>
      </c>
    </row>
    <row r="5" spans="1:21" s="2047" customFormat="1" x14ac:dyDescent="0.3">
      <c r="A5" s="2046" t="s">
        <v>2665</v>
      </c>
      <c r="B5" s="2047">
        <f>IFERROR(COUNTIF(D10:D1004,"*SAMSUNG*"),0)</f>
        <v>7</v>
      </c>
      <c r="C5" s="2048" t="s">
        <v>2285</v>
      </c>
      <c r="D5" s="2047">
        <f>IFERROR(COUNTIF(G9:G1004,"*SLOTS*"),0)</f>
        <v>14</v>
      </c>
      <c r="H5" s="2047" t="s">
        <v>2666</v>
      </c>
      <c r="I5" s="2047" t="s">
        <v>2667</v>
      </c>
      <c r="J5" s="2047" t="s">
        <v>294</v>
      </c>
      <c r="L5" s="2047" t="s">
        <v>1009</v>
      </c>
      <c r="M5" s="2047" t="s">
        <v>2668</v>
      </c>
      <c r="N5" s="2047" t="s">
        <v>2249</v>
      </c>
    </row>
    <row r="6" spans="1:21" s="2047" customFormat="1" x14ac:dyDescent="0.3">
      <c r="A6" s="2046" t="s">
        <v>2669</v>
      </c>
      <c r="B6" s="2047">
        <f>IFERROR(COUNTIF(D13:D1005,"*WINDOWS*"),0)</f>
        <v>5</v>
      </c>
      <c r="C6" s="2048" t="s">
        <v>2237</v>
      </c>
      <c r="D6" s="2047">
        <f>IFERROR(COUNTIF(G10:G1005,"*SOLITAIRE*"),0)</f>
        <v>9</v>
      </c>
      <c r="G6" s="2047" t="s">
        <v>20</v>
      </c>
      <c r="H6" s="2049">
        <f>COUNT(B8:B1003)+COUNTIF(M8:M1003,"&gt;0")</f>
        <v>0</v>
      </c>
      <c r="I6" s="2050">
        <f>(SUM(I8:I1003))/60</f>
        <v>0</v>
      </c>
      <c r="J6" s="2051">
        <f>SUM(J8:J1003)</f>
        <v>0</v>
      </c>
      <c r="K6" s="2054"/>
      <c r="L6" s="2052">
        <f>SUM(L8:L1003)</f>
        <v>0</v>
      </c>
      <c r="M6" s="2051">
        <f>SUM(M8:M1003)</f>
        <v>0</v>
      </c>
      <c r="N6" s="2051">
        <f>SUM(N8:N1003)</f>
        <v>0</v>
      </c>
    </row>
    <row r="7" spans="1:21" s="2053" customFormat="1" ht="5.4" customHeight="1" x14ac:dyDescent="0.3"/>
    <row r="8" spans="1:21" s="1886" customFormat="1" ht="58.8" customHeight="1" x14ac:dyDescent="0.3">
      <c r="A8" s="2043" t="s">
        <v>2633</v>
      </c>
      <c r="B8" s="1886" t="s">
        <v>2232</v>
      </c>
      <c r="C8" s="2055" t="s">
        <v>2233</v>
      </c>
      <c r="D8" s="1886" t="s">
        <v>2246</v>
      </c>
      <c r="E8" s="1886" t="s">
        <v>2373</v>
      </c>
      <c r="F8" s="1886" t="s">
        <v>2271</v>
      </c>
      <c r="G8" s="1886" t="s">
        <v>2231</v>
      </c>
      <c r="H8" s="1913" t="s">
        <v>2654</v>
      </c>
      <c r="I8" s="1913" t="s">
        <v>2645</v>
      </c>
      <c r="J8" s="2056" t="s">
        <v>294</v>
      </c>
      <c r="K8" s="2057" t="s">
        <v>2241</v>
      </c>
      <c r="L8" s="1914" t="s">
        <v>2652</v>
      </c>
      <c r="M8" s="2058" t="s">
        <v>2302</v>
      </c>
      <c r="N8" s="2058" t="s">
        <v>1009</v>
      </c>
      <c r="O8" s="2059" t="s">
        <v>2372</v>
      </c>
      <c r="P8" s="1886" t="s">
        <v>2249</v>
      </c>
      <c r="Q8" s="1913" t="s">
        <v>2635</v>
      </c>
      <c r="R8" s="1886" t="s">
        <v>2276</v>
      </c>
      <c r="S8" s="2060" t="s">
        <v>2370</v>
      </c>
      <c r="T8" s="1886" t="s">
        <v>2292</v>
      </c>
      <c r="U8" s="1886" t="s">
        <v>2293</v>
      </c>
    </row>
    <row r="9" spans="1:21" s="2060" customFormat="1" ht="41.4" x14ac:dyDescent="0.3">
      <c r="A9" s="2061" t="s">
        <v>2234</v>
      </c>
      <c r="B9" s="2062" t="s">
        <v>2392</v>
      </c>
      <c r="C9" s="2063" t="s">
        <v>2328</v>
      </c>
      <c r="D9" s="2063" t="s">
        <v>2248</v>
      </c>
      <c r="E9" s="2064" t="s">
        <v>2250</v>
      </c>
      <c r="F9" s="2064" t="s">
        <v>2236</v>
      </c>
      <c r="G9" s="2064" t="s">
        <v>2285</v>
      </c>
      <c r="H9" s="2064" t="s">
        <v>2262</v>
      </c>
      <c r="I9" s="2064"/>
      <c r="J9" s="2065"/>
      <c r="K9" s="2065">
        <v>1000</v>
      </c>
      <c r="L9" s="2064" t="s">
        <v>2371</v>
      </c>
      <c r="M9" s="2065"/>
      <c r="N9" s="2065"/>
      <c r="O9" s="2065">
        <f t="shared" ref="O9:O40" si="0">M9-N9</f>
        <v>0</v>
      </c>
      <c r="P9" s="2066" t="s">
        <v>2250</v>
      </c>
      <c r="Q9" s="2065"/>
      <c r="R9" s="2064"/>
      <c r="S9" s="2064">
        <v>0</v>
      </c>
      <c r="T9" s="2064"/>
      <c r="U9" s="2064"/>
    </row>
    <row r="10" spans="1:21" s="2060" customFormat="1" ht="27.6" x14ac:dyDescent="0.3">
      <c r="A10" s="2061" t="s">
        <v>2229</v>
      </c>
      <c r="B10" s="2062" t="s">
        <v>2268</v>
      </c>
      <c r="C10" s="2063" t="s">
        <v>2387</v>
      </c>
      <c r="D10" s="2063" t="s">
        <v>2245</v>
      </c>
      <c r="E10" s="2064" t="s">
        <v>2250</v>
      </c>
      <c r="F10" s="2064"/>
      <c r="G10" s="2064" t="s">
        <v>2265</v>
      </c>
      <c r="H10" s="2064" t="s">
        <v>2262</v>
      </c>
      <c r="I10" s="2064"/>
      <c r="J10" s="2065"/>
      <c r="K10" s="2065">
        <v>300</v>
      </c>
      <c r="L10" s="2064" t="s">
        <v>2670</v>
      </c>
      <c r="M10" s="2065"/>
      <c r="N10" s="2065"/>
      <c r="O10" s="2065">
        <f t="shared" si="0"/>
        <v>0</v>
      </c>
      <c r="P10" s="2066" t="s">
        <v>2250</v>
      </c>
      <c r="Q10" s="2065"/>
      <c r="R10" s="2064" t="s">
        <v>2250</v>
      </c>
      <c r="S10" s="2066">
        <v>0</v>
      </c>
      <c r="T10" s="2064"/>
      <c r="U10" s="2064"/>
    </row>
    <row r="11" spans="1:21" s="2060" customFormat="1" ht="55.2" x14ac:dyDescent="0.3">
      <c r="A11" s="2061" t="s">
        <v>2229</v>
      </c>
      <c r="B11" s="2061" t="s">
        <v>2642</v>
      </c>
      <c r="C11" s="2061" t="s">
        <v>2634</v>
      </c>
      <c r="D11" s="2063" t="s">
        <v>2248</v>
      </c>
      <c r="E11" s="2066" t="s">
        <v>2250</v>
      </c>
      <c r="F11" s="2066" t="s">
        <v>2236</v>
      </c>
      <c r="G11" s="2066" t="s">
        <v>2285</v>
      </c>
      <c r="H11" s="2066" t="s">
        <v>2262</v>
      </c>
      <c r="I11" s="2066"/>
      <c r="J11" s="2065"/>
      <c r="K11" s="2065">
        <v>1000</v>
      </c>
      <c r="L11" s="2066" t="s">
        <v>2639</v>
      </c>
      <c r="M11" s="2065"/>
      <c r="N11" s="2065"/>
      <c r="O11" s="2067">
        <f t="shared" si="0"/>
        <v>0</v>
      </c>
      <c r="P11" s="2066" t="s">
        <v>2250</v>
      </c>
      <c r="Q11" s="2065"/>
      <c r="R11" s="2066"/>
      <c r="S11" s="2066">
        <v>0</v>
      </c>
      <c r="T11" s="2066"/>
      <c r="U11" s="2066"/>
    </row>
    <row r="12" spans="1:21" s="2060" customFormat="1" ht="27.6" x14ac:dyDescent="0.3">
      <c r="A12" s="2061" t="s">
        <v>2234</v>
      </c>
      <c r="B12" s="2061" t="s">
        <v>2228</v>
      </c>
      <c r="C12" s="2061" t="s">
        <v>2229</v>
      </c>
      <c r="D12" s="2063" t="s">
        <v>2248</v>
      </c>
      <c r="E12" s="2066" t="s">
        <v>2250</v>
      </c>
      <c r="F12" s="2066"/>
      <c r="G12" s="2066" t="s">
        <v>2230</v>
      </c>
      <c r="H12" s="2066" t="s">
        <v>2262</v>
      </c>
      <c r="I12" s="2066"/>
      <c r="J12" s="2065"/>
      <c r="K12" s="2065">
        <v>500</v>
      </c>
      <c r="L12" s="2066" t="s">
        <v>2376</v>
      </c>
      <c r="M12" s="2065"/>
      <c r="N12" s="2065"/>
      <c r="O12" s="2067">
        <f t="shared" si="0"/>
        <v>0</v>
      </c>
      <c r="P12" s="2066" t="s">
        <v>2250</v>
      </c>
      <c r="Q12" s="2065"/>
      <c r="R12" s="2066"/>
      <c r="S12" s="2064">
        <v>0</v>
      </c>
      <c r="T12" s="2066"/>
      <c r="U12" s="2066"/>
    </row>
    <row r="13" spans="1:21" s="2060" customFormat="1" ht="69" x14ac:dyDescent="0.3">
      <c r="A13" s="2064"/>
      <c r="B13" s="2062" t="s">
        <v>2300</v>
      </c>
      <c r="C13" s="2063" t="s">
        <v>2301</v>
      </c>
      <c r="D13" s="2063" t="s">
        <v>2248</v>
      </c>
      <c r="E13" s="2064" t="s">
        <v>2250</v>
      </c>
      <c r="F13" s="2064" t="s">
        <v>2236</v>
      </c>
      <c r="G13" s="2064" t="s">
        <v>2303</v>
      </c>
      <c r="H13" s="2064" t="s">
        <v>2262</v>
      </c>
      <c r="I13" s="2064"/>
      <c r="J13" s="2065"/>
      <c r="K13" s="2065">
        <v>1000</v>
      </c>
      <c r="L13" s="2064" t="s">
        <v>2377</v>
      </c>
      <c r="M13" s="2065"/>
      <c r="N13" s="2065"/>
      <c r="O13" s="2065">
        <f t="shared" si="0"/>
        <v>0</v>
      </c>
      <c r="P13" s="2065"/>
      <c r="Q13" s="2065"/>
      <c r="R13" s="2064" t="s">
        <v>2250</v>
      </c>
      <c r="S13" s="2064">
        <v>0</v>
      </c>
      <c r="T13" s="2064"/>
      <c r="U13" s="2064"/>
    </row>
    <row r="14" spans="1:21" s="2060" customFormat="1" ht="27.6" x14ac:dyDescent="0.3">
      <c r="A14" s="2064"/>
      <c r="B14" s="2062" t="s">
        <v>2268</v>
      </c>
      <c r="C14" s="2063" t="s">
        <v>2387</v>
      </c>
      <c r="D14" s="2064" t="s">
        <v>2655</v>
      </c>
      <c r="E14" s="2064" t="s">
        <v>2250</v>
      </c>
      <c r="F14" s="2064"/>
      <c r="G14" s="2064" t="s">
        <v>2265</v>
      </c>
      <c r="H14" s="2064" t="s">
        <v>2262</v>
      </c>
      <c r="I14" s="2064"/>
      <c r="J14" s="2065"/>
      <c r="K14" s="2065">
        <v>300</v>
      </c>
      <c r="L14" s="2064" t="s">
        <v>2239</v>
      </c>
      <c r="M14" s="2065"/>
      <c r="N14" s="2065"/>
      <c r="O14" s="2065">
        <f t="shared" si="0"/>
        <v>0</v>
      </c>
      <c r="P14" s="2066" t="s">
        <v>2250</v>
      </c>
      <c r="Q14" s="2065"/>
      <c r="R14" s="2064" t="s">
        <v>2250</v>
      </c>
      <c r="S14" s="2066">
        <v>0</v>
      </c>
      <c r="T14" s="2064"/>
      <c r="U14" s="2064"/>
    </row>
    <row r="15" spans="1:21" s="2060" customFormat="1" ht="27.6" customHeight="1" x14ac:dyDescent="0.25">
      <c r="A15" s="2061" t="s">
        <v>2229</v>
      </c>
      <c r="B15" s="2061" t="s">
        <v>2636</v>
      </c>
      <c r="C15" s="2061" t="s">
        <v>2637</v>
      </c>
      <c r="D15" s="2076" t="s">
        <v>2248</v>
      </c>
      <c r="E15" s="2066" t="s">
        <v>2250</v>
      </c>
      <c r="F15" s="2066" t="s">
        <v>2236</v>
      </c>
      <c r="G15" s="2066" t="s">
        <v>2638</v>
      </c>
      <c r="H15" s="2066" t="s">
        <v>2262</v>
      </c>
      <c r="I15" s="2066"/>
      <c r="J15" s="2065"/>
      <c r="K15" s="2065">
        <v>1000</v>
      </c>
      <c r="L15" s="2066" t="s">
        <v>2653</v>
      </c>
      <c r="M15" s="2065"/>
      <c r="N15" s="2065"/>
      <c r="O15" s="2067">
        <f t="shared" si="0"/>
        <v>0</v>
      </c>
      <c r="P15" s="2066" t="s">
        <v>2250</v>
      </c>
      <c r="Q15" s="2065"/>
      <c r="R15" s="2066"/>
      <c r="S15" s="2066">
        <v>0</v>
      </c>
      <c r="T15" s="2066"/>
      <c r="U15" s="2066"/>
    </row>
    <row r="16" spans="1:21" s="2060" customFormat="1" ht="14.4" customHeight="1" x14ac:dyDescent="0.3">
      <c r="A16" s="2061" t="s">
        <v>2229</v>
      </c>
      <c r="B16" s="2061" t="s">
        <v>2630</v>
      </c>
      <c r="C16" s="2061" t="s">
        <v>2631</v>
      </c>
      <c r="D16" s="2063" t="s">
        <v>2248</v>
      </c>
      <c r="E16" s="2066" t="s">
        <v>2250</v>
      </c>
      <c r="F16" s="2066"/>
      <c r="G16" s="2066" t="s">
        <v>2319</v>
      </c>
      <c r="H16" s="2066" t="s">
        <v>2262</v>
      </c>
      <c r="I16" s="2066"/>
      <c r="J16" s="2065"/>
      <c r="K16" s="2065">
        <v>1000</v>
      </c>
      <c r="L16" s="2066" t="s">
        <v>2632</v>
      </c>
      <c r="M16" s="2065"/>
      <c r="N16" s="2065"/>
      <c r="O16" s="2067">
        <f t="shared" si="0"/>
        <v>0</v>
      </c>
      <c r="P16" s="2066" t="s">
        <v>2250</v>
      </c>
      <c r="Q16" s="2065"/>
      <c r="R16" s="2066"/>
      <c r="S16" s="2066">
        <v>0</v>
      </c>
      <c r="T16" s="2066"/>
      <c r="U16" s="2066"/>
    </row>
    <row r="17" spans="1:21" s="2060" customFormat="1" ht="14.4" customHeight="1" x14ac:dyDescent="0.3">
      <c r="A17" s="2064"/>
      <c r="B17" s="2062" t="s">
        <v>2366</v>
      </c>
      <c r="C17" s="2063" t="s">
        <v>2367</v>
      </c>
      <c r="D17" s="2063" t="s">
        <v>2248</v>
      </c>
      <c r="E17" s="2064" t="s">
        <v>2250</v>
      </c>
      <c r="F17" s="2064"/>
      <c r="G17" s="2064" t="s">
        <v>2319</v>
      </c>
      <c r="H17" s="2064" t="s">
        <v>2262</v>
      </c>
      <c r="I17" s="2064"/>
      <c r="J17" s="2065"/>
      <c r="K17" s="2065">
        <v>1000</v>
      </c>
      <c r="L17" s="2064" t="s">
        <v>2368</v>
      </c>
      <c r="M17" s="2065"/>
      <c r="N17" s="2065"/>
      <c r="O17" s="2065">
        <f t="shared" si="0"/>
        <v>0</v>
      </c>
      <c r="P17" s="2065"/>
      <c r="Q17" s="2065"/>
      <c r="R17" s="2064"/>
      <c r="S17" s="2064">
        <v>0</v>
      </c>
      <c r="T17" s="2064"/>
      <c r="U17" s="2064"/>
    </row>
    <row r="18" spans="1:21" s="2060" customFormat="1" ht="14.4" customHeight="1" x14ac:dyDescent="0.3">
      <c r="A18" s="2064"/>
      <c r="B18" s="2062" t="s">
        <v>2308</v>
      </c>
      <c r="C18" s="2063" t="s">
        <v>2311</v>
      </c>
      <c r="D18" s="2063" t="s">
        <v>2248</v>
      </c>
      <c r="E18" s="2064" t="s">
        <v>2250</v>
      </c>
      <c r="F18" s="2064" t="s">
        <v>2236</v>
      </c>
      <c r="G18" s="2064" t="s">
        <v>2309</v>
      </c>
      <c r="H18" s="2064" t="s">
        <v>2262</v>
      </c>
      <c r="I18" s="2064"/>
      <c r="J18" s="2065"/>
      <c r="K18" s="2065">
        <v>300</v>
      </c>
      <c r="L18" s="2064" t="s">
        <v>2310</v>
      </c>
      <c r="M18" s="2065"/>
      <c r="N18" s="2065"/>
      <c r="O18" s="2065">
        <f t="shared" si="0"/>
        <v>0</v>
      </c>
      <c r="P18" s="2065"/>
      <c r="Q18" s="2065"/>
      <c r="R18" s="2064" t="s">
        <v>2250</v>
      </c>
      <c r="S18" s="2064">
        <v>0</v>
      </c>
      <c r="T18" s="2064"/>
      <c r="U18" s="2064"/>
    </row>
    <row r="19" spans="1:21" s="2060" customFormat="1" ht="14.4" customHeight="1" x14ac:dyDescent="0.3">
      <c r="A19" s="2064"/>
      <c r="B19" s="2062" t="s">
        <v>2360</v>
      </c>
      <c r="C19" s="2063" t="s">
        <v>2361</v>
      </c>
      <c r="D19" s="2063" t="s">
        <v>2248</v>
      </c>
      <c r="E19" s="2064" t="s">
        <v>2250</v>
      </c>
      <c r="F19" s="2064" t="s">
        <v>2236</v>
      </c>
      <c r="G19" s="2064" t="s">
        <v>2285</v>
      </c>
      <c r="H19" s="2064" t="s">
        <v>2262</v>
      </c>
      <c r="I19" s="2064"/>
      <c r="J19" s="2065"/>
      <c r="K19" s="2065">
        <v>500</v>
      </c>
      <c r="L19" s="2064" t="s">
        <v>2239</v>
      </c>
      <c r="M19" s="2065"/>
      <c r="N19" s="2065"/>
      <c r="O19" s="2065">
        <f t="shared" si="0"/>
        <v>0</v>
      </c>
      <c r="P19" s="2065"/>
      <c r="Q19" s="2065"/>
      <c r="R19" s="2064"/>
      <c r="S19" s="2064">
        <v>0</v>
      </c>
      <c r="T19" s="2064"/>
      <c r="U19" s="2064"/>
    </row>
    <row r="20" spans="1:21" s="2060" customFormat="1" ht="27.6" x14ac:dyDescent="0.3">
      <c r="A20" s="2061" t="s">
        <v>2643</v>
      </c>
      <c r="B20" s="2062" t="s">
        <v>2257</v>
      </c>
      <c r="C20" s="2063" t="s">
        <v>2318</v>
      </c>
      <c r="D20" s="2063" t="s">
        <v>2248</v>
      </c>
      <c r="E20" s="2064" t="s">
        <v>2250</v>
      </c>
      <c r="F20" s="2064" t="s">
        <v>2251</v>
      </c>
      <c r="G20" s="2064" t="s">
        <v>2319</v>
      </c>
      <c r="H20" s="2064" t="s">
        <v>2262</v>
      </c>
      <c r="I20" s="2064"/>
      <c r="J20" s="2065"/>
      <c r="K20" s="2065"/>
      <c r="L20" s="2064" t="s">
        <v>2320</v>
      </c>
      <c r="M20" s="2065"/>
      <c r="N20" s="2065"/>
      <c r="O20" s="2065">
        <f t="shared" si="0"/>
        <v>0</v>
      </c>
      <c r="P20" s="2065">
        <f>0.05+0.12</f>
        <v>0.16999999999999998</v>
      </c>
      <c r="Q20" s="2065"/>
      <c r="R20" s="2064"/>
      <c r="S20" s="2064">
        <v>0</v>
      </c>
      <c r="T20" s="2064"/>
      <c r="U20" s="2064"/>
    </row>
    <row r="21" spans="1:21" s="2060" customFormat="1" ht="27.6" x14ac:dyDescent="0.3">
      <c r="A21" s="2061" t="s">
        <v>2643</v>
      </c>
      <c r="B21" s="2061" t="s">
        <v>2257</v>
      </c>
      <c r="C21" s="2061" t="s">
        <v>2327</v>
      </c>
      <c r="D21" s="2066" t="s">
        <v>2380</v>
      </c>
      <c r="E21" s="2066" t="s">
        <v>2250</v>
      </c>
      <c r="F21" s="2066" t="s">
        <v>2322</v>
      </c>
      <c r="G21" s="2066" t="s">
        <v>2244</v>
      </c>
      <c r="H21" s="2066" t="s">
        <v>2262</v>
      </c>
      <c r="I21" s="2066"/>
      <c r="J21" s="2065"/>
      <c r="K21" s="2065">
        <v>0</v>
      </c>
      <c r="L21" s="2066"/>
      <c r="M21" s="2065"/>
      <c r="N21" s="2065"/>
      <c r="O21" s="2067">
        <f t="shared" si="0"/>
        <v>0</v>
      </c>
      <c r="P21" s="2066" t="s">
        <v>1149</v>
      </c>
      <c r="Q21" s="2065"/>
      <c r="R21" s="2066"/>
      <c r="S21" s="2066">
        <v>0</v>
      </c>
      <c r="T21" s="2066"/>
      <c r="U21" s="2066"/>
    </row>
    <row r="22" spans="1:21" s="2060" customFormat="1" x14ac:dyDescent="0.3">
      <c r="A22" s="2061"/>
      <c r="B22" s="2061" t="s">
        <v>2278</v>
      </c>
      <c r="C22" s="2061" t="s">
        <v>2279</v>
      </c>
      <c r="D22" s="2063" t="s">
        <v>2248</v>
      </c>
      <c r="E22" s="2066" t="s">
        <v>2250</v>
      </c>
      <c r="F22" s="2066" t="s">
        <v>2236</v>
      </c>
      <c r="G22" s="2066"/>
      <c r="H22" s="2066" t="s">
        <v>2262</v>
      </c>
      <c r="I22" s="2066"/>
      <c r="J22" s="2065"/>
      <c r="K22" s="2065">
        <v>0</v>
      </c>
      <c r="L22" s="2066"/>
      <c r="M22" s="2065"/>
      <c r="N22" s="2065"/>
      <c r="O22" s="2067">
        <f t="shared" si="0"/>
        <v>0</v>
      </c>
      <c r="P22" s="2066" t="s">
        <v>2250</v>
      </c>
      <c r="Q22" s="2065"/>
      <c r="R22" s="2066"/>
      <c r="S22" s="2066">
        <v>0</v>
      </c>
      <c r="T22" s="2066"/>
      <c r="U22" s="2066"/>
    </row>
    <row r="23" spans="1:21" s="2060" customFormat="1" ht="69" customHeight="1" x14ac:dyDescent="0.25">
      <c r="A23" s="2061" t="s">
        <v>2229</v>
      </c>
      <c r="B23" s="2068" t="s">
        <v>2644</v>
      </c>
      <c r="C23" s="2061" t="s">
        <v>2274</v>
      </c>
      <c r="D23" s="2076" t="s">
        <v>2248</v>
      </c>
      <c r="E23" s="2066" t="s">
        <v>2250</v>
      </c>
      <c r="F23" s="2066" t="s">
        <v>2275</v>
      </c>
      <c r="G23" s="2066" t="s">
        <v>2265</v>
      </c>
      <c r="H23" s="2066" t="s">
        <v>2262</v>
      </c>
      <c r="I23" s="2066"/>
      <c r="J23" s="2065"/>
      <c r="K23" s="2065">
        <v>0</v>
      </c>
      <c r="L23" s="2066"/>
      <c r="M23" s="2065"/>
      <c r="N23" s="2065"/>
      <c r="O23" s="2067">
        <f t="shared" si="0"/>
        <v>0</v>
      </c>
      <c r="P23" s="2066"/>
      <c r="Q23" s="2065"/>
      <c r="R23" s="2066"/>
      <c r="S23" s="2066">
        <v>2</v>
      </c>
      <c r="T23" s="2066"/>
      <c r="U23" s="2066"/>
    </row>
    <row r="24" spans="1:21" s="2060" customFormat="1" ht="55.2" x14ac:dyDescent="0.3">
      <c r="A24" s="2061" t="s">
        <v>2229</v>
      </c>
      <c r="B24" s="2061" t="s">
        <v>2640</v>
      </c>
      <c r="C24" s="2061" t="s">
        <v>2641</v>
      </c>
      <c r="D24" s="2063" t="s">
        <v>2248</v>
      </c>
      <c r="E24" s="2066" t="s">
        <v>2250</v>
      </c>
      <c r="F24" s="2066"/>
      <c r="G24" s="2066" t="s">
        <v>2309</v>
      </c>
      <c r="H24" s="2066" t="s">
        <v>2262</v>
      </c>
      <c r="I24" s="2066"/>
      <c r="J24" s="2065"/>
      <c r="K24" s="2065">
        <v>1000</v>
      </c>
      <c r="L24" s="2066" t="s">
        <v>2649</v>
      </c>
      <c r="M24" s="2065"/>
      <c r="N24" s="2065"/>
      <c r="O24" s="2067">
        <f t="shared" si="0"/>
        <v>0</v>
      </c>
      <c r="P24" s="2066" t="s">
        <v>2250</v>
      </c>
      <c r="Q24" s="2065"/>
      <c r="R24" s="2066"/>
      <c r="S24" s="2066">
        <v>0</v>
      </c>
      <c r="T24" s="2066"/>
      <c r="U24" s="2066"/>
    </row>
    <row r="25" spans="1:21" s="2060" customFormat="1" ht="27.6" x14ac:dyDescent="0.3">
      <c r="A25" s="2061"/>
      <c r="B25" s="2061" t="s">
        <v>2340</v>
      </c>
      <c r="C25" s="2061" t="s">
        <v>2341</v>
      </c>
      <c r="D25" s="2063" t="s">
        <v>2248</v>
      </c>
      <c r="E25" s="2066" t="s">
        <v>2250</v>
      </c>
      <c r="F25" s="2066"/>
      <c r="G25" s="2066" t="s">
        <v>2280</v>
      </c>
      <c r="H25" s="2066" t="s">
        <v>2262</v>
      </c>
      <c r="I25" s="2066"/>
      <c r="J25" s="2065"/>
      <c r="K25" s="2065">
        <v>0</v>
      </c>
      <c r="L25" s="2066"/>
      <c r="M25" s="2065"/>
      <c r="N25" s="2065"/>
      <c r="O25" s="2067">
        <f t="shared" si="0"/>
        <v>0</v>
      </c>
      <c r="P25" s="2066" t="s">
        <v>2250</v>
      </c>
      <c r="Q25" s="2065"/>
      <c r="R25" s="2066"/>
      <c r="S25" s="2066">
        <v>0</v>
      </c>
      <c r="T25" s="2066"/>
      <c r="U25" s="2066"/>
    </row>
    <row r="26" spans="1:21" s="2060" customFormat="1" ht="41.4" x14ac:dyDescent="0.3">
      <c r="A26" s="2061" t="s">
        <v>2234</v>
      </c>
      <c r="B26" s="2061" t="s">
        <v>2391</v>
      </c>
      <c r="C26" s="2061" t="s">
        <v>2650</v>
      </c>
      <c r="D26" s="2063" t="s">
        <v>2245</v>
      </c>
      <c r="E26" s="2066" t="s">
        <v>2250</v>
      </c>
      <c r="F26" s="2066"/>
      <c r="G26" s="2066" t="s">
        <v>2244</v>
      </c>
      <c r="H26" s="2066"/>
      <c r="I26" s="2066"/>
      <c r="J26" s="2065"/>
      <c r="K26" s="2065">
        <v>0</v>
      </c>
      <c r="L26" s="2066"/>
      <c r="M26" s="2065"/>
      <c r="N26" s="2065"/>
      <c r="O26" s="2067">
        <f t="shared" si="0"/>
        <v>0</v>
      </c>
      <c r="P26" s="2066" t="s">
        <v>2250</v>
      </c>
      <c r="Q26" s="2065"/>
      <c r="R26" s="2066"/>
      <c r="S26" s="2066">
        <v>0</v>
      </c>
      <c r="T26" s="2066"/>
      <c r="U26" s="2066"/>
    </row>
    <row r="27" spans="1:21" s="2060" customFormat="1" ht="41.4" x14ac:dyDescent="0.3">
      <c r="A27" s="2061"/>
      <c r="B27" s="2064" t="s">
        <v>2227</v>
      </c>
      <c r="C27" s="2070" t="s">
        <v>2674</v>
      </c>
      <c r="D27" s="2064" t="s">
        <v>2378</v>
      </c>
      <c r="E27" s="2066" t="s">
        <v>2250</v>
      </c>
      <c r="F27" s="2066"/>
      <c r="G27" s="2066" t="s">
        <v>2230</v>
      </c>
      <c r="H27" s="2066" t="s">
        <v>2262</v>
      </c>
      <c r="I27" s="2066"/>
      <c r="J27" s="2065"/>
      <c r="K27" s="2065">
        <v>0</v>
      </c>
      <c r="L27" s="2066"/>
      <c r="M27" s="2065"/>
      <c r="N27" s="2065"/>
      <c r="O27" s="2067">
        <f t="shared" si="0"/>
        <v>0</v>
      </c>
      <c r="P27" s="2066" t="s">
        <v>2250</v>
      </c>
      <c r="Q27" s="2065"/>
      <c r="R27" s="2066"/>
      <c r="S27" s="2066">
        <v>2</v>
      </c>
      <c r="T27" s="2066"/>
      <c r="U27" s="2066"/>
    </row>
    <row r="28" spans="1:21" s="2060" customFormat="1" ht="27.6" x14ac:dyDescent="0.3">
      <c r="A28" s="2061" t="s">
        <v>2229</v>
      </c>
      <c r="B28" s="2061" t="s">
        <v>2647</v>
      </c>
      <c r="C28" s="2061" t="s">
        <v>2648</v>
      </c>
      <c r="D28" s="2063" t="s">
        <v>2248</v>
      </c>
      <c r="E28" s="2066" t="s">
        <v>2250</v>
      </c>
      <c r="F28" s="2066"/>
      <c r="G28" s="2066" t="s">
        <v>2285</v>
      </c>
      <c r="H28" s="2066" t="s">
        <v>2262</v>
      </c>
      <c r="I28" s="2066"/>
      <c r="J28" s="2065"/>
      <c r="K28" s="2065">
        <v>0</v>
      </c>
      <c r="L28" s="2066"/>
      <c r="M28" s="2065"/>
      <c r="N28" s="2065"/>
      <c r="O28" s="2067">
        <f t="shared" si="0"/>
        <v>0</v>
      </c>
      <c r="P28" s="2066" t="s">
        <v>2250</v>
      </c>
      <c r="Q28" s="2065"/>
      <c r="R28" s="2066"/>
      <c r="S28" s="2066">
        <v>0</v>
      </c>
      <c r="T28" s="2066"/>
      <c r="U28" s="2066"/>
    </row>
    <row r="29" spans="1:21" s="2060" customFormat="1" ht="27.6" x14ac:dyDescent="0.3">
      <c r="A29" s="2061"/>
      <c r="B29" s="2069" t="s">
        <v>2395</v>
      </c>
      <c r="C29" s="2069" t="s">
        <v>2396</v>
      </c>
      <c r="D29" s="2063" t="s">
        <v>2248</v>
      </c>
      <c r="E29" s="2066" t="s">
        <v>2250</v>
      </c>
      <c r="F29" s="2066"/>
      <c r="G29" s="2066" t="s">
        <v>2280</v>
      </c>
      <c r="H29" s="2066" t="s">
        <v>2262</v>
      </c>
      <c r="I29" s="2066"/>
      <c r="J29" s="2065"/>
      <c r="K29" s="2065">
        <v>0</v>
      </c>
      <c r="L29" s="2066" t="s">
        <v>2277</v>
      </c>
      <c r="M29" s="2065"/>
      <c r="N29" s="2065"/>
      <c r="O29" s="2067">
        <f t="shared" si="0"/>
        <v>0</v>
      </c>
      <c r="P29" s="2066" t="s">
        <v>2250</v>
      </c>
      <c r="Q29" s="2065"/>
      <c r="R29" s="2066"/>
      <c r="S29" s="2066">
        <v>0</v>
      </c>
      <c r="T29" s="2066"/>
      <c r="U29" s="2066"/>
    </row>
    <row r="30" spans="1:21" s="2060" customFormat="1" ht="27.6" x14ac:dyDescent="0.3">
      <c r="A30" s="2061"/>
      <c r="B30" s="2061" t="s">
        <v>2247</v>
      </c>
      <c r="C30" s="2061" t="s">
        <v>2365</v>
      </c>
      <c r="D30" s="2063" t="s">
        <v>2248</v>
      </c>
      <c r="E30" s="2066" t="s">
        <v>2250</v>
      </c>
      <c r="F30" s="2066"/>
      <c r="G30" s="2066" t="s">
        <v>2319</v>
      </c>
      <c r="H30" s="2066" t="s">
        <v>2262</v>
      </c>
      <c r="I30" s="2066"/>
      <c r="J30" s="2065"/>
      <c r="K30" s="2065">
        <v>0</v>
      </c>
      <c r="L30" s="2066" t="s">
        <v>2364</v>
      </c>
      <c r="M30" s="2065"/>
      <c r="N30" s="2065"/>
      <c r="O30" s="2067">
        <f t="shared" si="0"/>
        <v>0</v>
      </c>
      <c r="P30" s="2066" t="s">
        <v>2250</v>
      </c>
      <c r="Q30" s="2065"/>
      <c r="R30" s="2066"/>
      <c r="S30" s="2066">
        <v>0</v>
      </c>
      <c r="T30" s="2066"/>
      <c r="U30" s="2066"/>
    </row>
    <row r="31" spans="1:21" s="2060" customFormat="1" x14ac:dyDescent="0.3">
      <c r="A31" s="2061" t="s">
        <v>2643</v>
      </c>
      <c r="B31" s="2061" t="s">
        <v>2257</v>
      </c>
      <c r="C31" s="2061" t="s">
        <v>2324</v>
      </c>
      <c r="D31" s="2063" t="s">
        <v>2248</v>
      </c>
      <c r="E31" s="2066" t="s">
        <v>2250</v>
      </c>
      <c r="F31" s="2066" t="s">
        <v>2251</v>
      </c>
      <c r="G31" s="2066" t="s">
        <v>2325</v>
      </c>
      <c r="H31" s="2066" t="s">
        <v>2262</v>
      </c>
      <c r="I31" s="2066"/>
      <c r="J31" s="2065"/>
      <c r="K31" s="2065">
        <v>0</v>
      </c>
      <c r="L31" s="2066"/>
      <c r="M31" s="2065"/>
      <c r="N31" s="2065"/>
      <c r="O31" s="2067">
        <f t="shared" si="0"/>
        <v>0</v>
      </c>
      <c r="P31" s="2066" t="s">
        <v>1149</v>
      </c>
      <c r="Q31" s="2065"/>
      <c r="R31" s="2066"/>
      <c r="S31" s="2066">
        <v>0</v>
      </c>
      <c r="T31" s="2066"/>
      <c r="U31" s="2066"/>
    </row>
    <row r="32" spans="1:21" s="2060" customFormat="1" x14ac:dyDescent="0.3">
      <c r="A32" s="2061" t="s">
        <v>2234</v>
      </c>
      <c r="B32" s="2061" t="s">
        <v>2234</v>
      </c>
      <c r="C32" s="2061" t="s">
        <v>2382</v>
      </c>
      <c r="D32" s="2063" t="s">
        <v>2248</v>
      </c>
      <c r="E32" s="2066" t="s">
        <v>2250</v>
      </c>
      <c r="F32" s="2066"/>
      <c r="G32" s="2066" t="s">
        <v>2235</v>
      </c>
      <c r="H32" s="2066"/>
      <c r="I32" s="2066"/>
      <c r="J32" s="2065"/>
      <c r="K32" s="2065">
        <v>0</v>
      </c>
      <c r="L32" s="2066"/>
      <c r="M32" s="2065"/>
      <c r="N32" s="2065"/>
      <c r="O32" s="2067">
        <f t="shared" si="0"/>
        <v>0</v>
      </c>
      <c r="P32" s="2066" t="s">
        <v>2250</v>
      </c>
      <c r="Q32" s="2065"/>
      <c r="R32" s="2066"/>
      <c r="S32" s="2066">
        <v>0</v>
      </c>
      <c r="T32" s="2066"/>
      <c r="U32" s="2066"/>
    </row>
    <row r="33" spans="1:21" s="2060" customFormat="1" ht="27.6" x14ac:dyDescent="0.3">
      <c r="A33" s="2061"/>
      <c r="B33" s="2061" t="s">
        <v>2386</v>
      </c>
      <c r="C33" s="2061" t="s">
        <v>2374</v>
      </c>
      <c r="D33" s="2063" t="s">
        <v>2248</v>
      </c>
      <c r="E33" s="2066" t="s">
        <v>2250</v>
      </c>
      <c r="F33" s="2066" t="s">
        <v>2236</v>
      </c>
      <c r="G33" s="2066" t="s">
        <v>2375</v>
      </c>
      <c r="H33" s="2066"/>
      <c r="I33" s="2066"/>
      <c r="J33" s="2065"/>
      <c r="K33" s="2065">
        <v>0</v>
      </c>
      <c r="L33" s="2066"/>
      <c r="M33" s="2065"/>
      <c r="N33" s="2065"/>
      <c r="O33" s="2067">
        <f t="shared" si="0"/>
        <v>0</v>
      </c>
      <c r="P33" s="2066"/>
      <c r="Q33" s="2065"/>
      <c r="R33" s="2066"/>
      <c r="S33" s="2066">
        <v>0</v>
      </c>
      <c r="T33" s="2066"/>
      <c r="U33" s="2066"/>
    </row>
    <row r="34" spans="1:21" s="2060" customFormat="1" ht="27.6" x14ac:dyDescent="0.3">
      <c r="A34" s="2061" t="s">
        <v>2234</v>
      </c>
      <c r="B34" s="2061" t="s">
        <v>2242</v>
      </c>
      <c r="C34" s="2061" t="s">
        <v>2243</v>
      </c>
      <c r="D34" s="2063" t="s">
        <v>2248</v>
      </c>
      <c r="E34" s="2066" t="s">
        <v>2250</v>
      </c>
      <c r="F34" s="2066"/>
      <c r="G34" s="2066" t="s">
        <v>2237</v>
      </c>
      <c r="H34" s="2066"/>
      <c r="I34" s="2066"/>
      <c r="J34" s="2065"/>
      <c r="K34" s="2065">
        <v>0</v>
      </c>
      <c r="L34" s="2066"/>
      <c r="M34" s="2065"/>
      <c r="N34" s="2065"/>
      <c r="O34" s="2067">
        <f t="shared" si="0"/>
        <v>0</v>
      </c>
      <c r="P34" s="2066" t="s">
        <v>2250</v>
      </c>
      <c r="Q34" s="2065"/>
      <c r="R34" s="2066"/>
      <c r="S34" s="2066">
        <v>0</v>
      </c>
      <c r="T34" s="2066"/>
      <c r="U34" s="2066"/>
    </row>
    <row r="35" spans="1:21" s="2060" customFormat="1" ht="27.6" x14ac:dyDescent="0.3">
      <c r="A35" s="2061" t="s">
        <v>2643</v>
      </c>
      <c r="B35" s="2061" t="s">
        <v>2384</v>
      </c>
      <c r="C35" s="2061" t="s">
        <v>2385</v>
      </c>
      <c r="D35" s="2063" t="s">
        <v>2248</v>
      </c>
      <c r="E35" s="2066" t="s">
        <v>2250</v>
      </c>
      <c r="F35" s="2066"/>
      <c r="G35" s="2066" t="s">
        <v>2251</v>
      </c>
      <c r="H35" s="2066"/>
      <c r="I35" s="2066"/>
      <c r="J35" s="2065"/>
      <c r="K35" s="2065">
        <v>0</v>
      </c>
      <c r="L35" s="2066" t="s">
        <v>2251</v>
      </c>
      <c r="M35" s="2065"/>
      <c r="N35" s="2065"/>
      <c r="O35" s="2067">
        <f t="shared" si="0"/>
        <v>0</v>
      </c>
      <c r="P35" s="2066" t="s">
        <v>2250</v>
      </c>
      <c r="Q35" s="2065"/>
      <c r="R35" s="2066"/>
      <c r="S35" s="2066">
        <v>0</v>
      </c>
      <c r="T35" s="2066"/>
      <c r="U35" s="2066"/>
    </row>
    <row r="36" spans="1:21" s="2060" customFormat="1" ht="27.6" x14ac:dyDescent="0.3">
      <c r="A36" s="2061"/>
      <c r="B36" s="2061" t="s">
        <v>2253</v>
      </c>
      <c r="C36" s="2061" t="s">
        <v>2254</v>
      </c>
      <c r="D36" s="2063" t="s">
        <v>2248</v>
      </c>
      <c r="E36" s="2066" t="s">
        <v>2250</v>
      </c>
      <c r="F36" s="2066"/>
      <c r="G36" s="2066" t="s">
        <v>2237</v>
      </c>
      <c r="H36" s="2066"/>
      <c r="I36" s="2066"/>
      <c r="J36" s="2065"/>
      <c r="K36" s="2065">
        <v>0</v>
      </c>
      <c r="L36" s="2066"/>
      <c r="M36" s="2065"/>
      <c r="N36" s="2065"/>
      <c r="O36" s="2067">
        <f t="shared" si="0"/>
        <v>0</v>
      </c>
      <c r="P36" s="2066" t="s">
        <v>2250</v>
      </c>
      <c r="Q36" s="2065"/>
      <c r="R36" s="2066"/>
      <c r="S36" s="2066">
        <v>0</v>
      </c>
      <c r="T36" s="2066"/>
      <c r="U36" s="2066"/>
    </row>
    <row r="37" spans="1:21" s="2060" customFormat="1" x14ac:dyDescent="0.3">
      <c r="A37" s="2061" t="s">
        <v>2643</v>
      </c>
      <c r="B37" s="2061" t="s">
        <v>2257</v>
      </c>
      <c r="C37" s="2061" t="s">
        <v>2256</v>
      </c>
      <c r="D37" s="2063" t="s">
        <v>2248</v>
      </c>
      <c r="E37" s="2066" t="s">
        <v>2250</v>
      </c>
      <c r="F37" s="2066"/>
      <c r="G37" s="2066" t="s">
        <v>2237</v>
      </c>
      <c r="H37" s="2066" t="s">
        <v>2238</v>
      </c>
      <c r="I37" s="2066"/>
      <c r="J37" s="2065"/>
      <c r="K37" s="2065">
        <v>0</v>
      </c>
      <c r="L37" s="2066"/>
      <c r="M37" s="2065"/>
      <c r="N37" s="2065"/>
      <c r="O37" s="2067">
        <f t="shared" si="0"/>
        <v>0</v>
      </c>
      <c r="P37" s="2066" t="s">
        <v>2250</v>
      </c>
      <c r="Q37" s="2065"/>
      <c r="R37" s="2066"/>
      <c r="S37" s="2066">
        <v>0</v>
      </c>
      <c r="T37" s="2066"/>
      <c r="U37" s="2066"/>
    </row>
    <row r="38" spans="1:21" s="2060" customFormat="1" x14ac:dyDescent="0.3">
      <c r="A38" s="2061" t="s">
        <v>2643</v>
      </c>
      <c r="B38" s="2061" t="s">
        <v>2257</v>
      </c>
      <c r="C38" s="2061" t="s">
        <v>2260</v>
      </c>
      <c r="D38" s="2063" t="s">
        <v>2248</v>
      </c>
      <c r="E38" s="2066" t="s">
        <v>2250</v>
      </c>
      <c r="F38" s="2066"/>
      <c r="G38" s="2066" t="s">
        <v>2261</v>
      </c>
      <c r="H38" s="2066" t="s">
        <v>2262</v>
      </c>
      <c r="I38" s="2066"/>
      <c r="J38" s="2065"/>
      <c r="K38" s="2065">
        <v>0</v>
      </c>
      <c r="L38" s="2066"/>
      <c r="M38" s="2065"/>
      <c r="N38" s="2065"/>
      <c r="O38" s="2067">
        <f t="shared" si="0"/>
        <v>0</v>
      </c>
      <c r="P38" s="2066" t="s">
        <v>2250</v>
      </c>
      <c r="Q38" s="2065"/>
      <c r="R38" s="2066"/>
      <c r="S38" s="2066">
        <v>0</v>
      </c>
      <c r="T38" s="2066"/>
      <c r="U38" s="2066"/>
    </row>
    <row r="39" spans="1:21" s="2060" customFormat="1" x14ac:dyDescent="0.3">
      <c r="A39" s="2061"/>
      <c r="B39" s="2066" t="s">
        <v>2288</v>
      </c>
      <c r="C39" s="2066" t="s">
        <v>2289</v>
      </c>
      <c r="D39" s="2063" t="s">
        <v>2248</v>
      </c>
      <c r="E39" s="2066" t="s">
        <v>2250</v>
      </c>
      <c r="F39" s="2066" t="s">
        <v>2236</v>
      </c>
      <c r="G39" s="2066" t="s">
        <v>2285</v>
      </c>
      <c r="H39" s="2066" t="s">
        <v>2262</v>
      </c>
      <c r="I39" s="2066"/>
      <c r="J39" s="2065"/>
      <c r="K39" s="2065">
        <v>0</v>
      </c>
      <c r="L39" s="2066"/>
      <c r="M39" s="2065"/>
      <c r="N39" s="2065"/>
      <c r="O39" s="2067">
        <f t="shared" si="0"/>
        <v>0</v>
      </c>
      <c r="P39" s="2066" t="s">
        <v>1149</v>
      </c>
      <c r="Q39" s="2065"/>
      <c r="R39" s="2066"/>
      <c r="S39" s="2066">
        <v>1</v>
      </c>
      <c r="T39" s="2066"/>
      <c r="U39" s="2066"/>
    </row>
    <row r="40" spans="1:21" s="2060" customFormat="1" x14ac:dyDescent="0.3">
      <c r="A40" s="2061" t="s">
        <v>2643</v>
      </c>
      <c r="B40" s="2061" t="s">
        <v>2257</v>
      </c>
      <c r="C40" s="2061" t="s">
        <v>2321</v>
      </c>
      <c r="D40" s="2063" t="s">
        <v>2248</v>
      </c>
      <c r="E40" s="2066" t="s">
        <v>2250</v>
      </c>
      <c r="F40" s="2066" t="s">
        <v>2323</v>
      </c>
      <c r="G40" s="2066" t="s">
        <v>2326</v>
      </c>
      <c r="H40" s="2066" t="s">
        <v>2262</v>
      </c>
      <c r="I40" s="2066"/>
      <c r="J40" s="2065"/>
      <c r="K40" s="2065">
        <v>0</v>
      </c>
      <c r="L40" s="2066" t="s">
        <v>2369</v>
      </c>
      <c r="M40" s="2065"/>
      <c r="N40" s="2065"/>
      <c r="O40" s="2067">
        <f t="shared" si="0"/>
        <v>0</v>
      </c>
      <c r="P40" s="2066" t="s">
        <v>2250</v>
      </c>
      <c r="Q40" s="2065"/>
      <c r="R40" s="2066"/>
      <c r="S40" s="2066">
        <v>0</v>
      </c>
      <c r="T40" s="2066"/>
      <c r="U40" s="2066"/>
    </row>
    <row r="41" spans="1:21" s="2060" customFormat="1" ht="27.6" x14ac:dyDescent="0.3">
      <c r="A41" s="2061"/>
      <c r="B41" s="2061" t="s">
        <v>2290</v>
      </c>
      <c r="C41" s="2061" t="s">
        <v>2291</v>
      </c>
      <c r="D41" s="2066" t="s">
        <v>2380</v>
      </c>
      <c r="E41" s="2066" t="s">
        <v>2250</v>
      </c>
      <c r="F41" s="2066"/>
      <c r="G41" s="2066" t="s">
        <v>2285</v>
      </c>
      <c r="H41" s="2066" t="s">
        <v>2262</v>
      </c>
      <c r="I41" s="2066"/>
      <c r="J41" s="2065"/>
      <c r="K41" s="2065">
        <v>0</v>
      </c>
      <c r="L41" s="2064" t="s">
        <v>2660</v>
      </c>
      <c r="M41" s="2065"/>
      <c r="N41" s="2065"/>
      <c r="O41" s="2067">
        <f t="shared" ref="O41:O72" si="1">M41-N41</f>
        <v>0</v>
      </c>
      <c r="P41" s="2066" t="s">
        <v>2661</v>
      </c>
      <c r="Q41" s="2065"/>
      <c r="R41" s="2066" t="s">
        <v>2250</v>
      </c>
      <c r="S41" s="2066">
        <v>0</v>
      </c>
      <c r="T41" s="2066"/>
      <c r="U41" s="2066"/>
    </row>
    <row r="42" spans="1:21" s="2060" customFormat="1" ht="27.6" x14ac:dyDescent="0.3">
      <c r="A42" s="2064"/>
      <c r="B42" s="2062" t="s">
        <v>2313</v>
      </c>
      <c r="C42" s="2063" t="s">
        <v>2314</v>
      </c>
      <c r="D42" s="2063" t="s">
        <v>2248</v>
      </c>
      <c r="E42" s="2064" t="s">
        <v>2250</v>
      </c>
      <c r="F42" s="2064"/>
      <c r="G42" s="2064" t="s">
        <v>2244</v>
      </c>
      <c r="H42" s="2064" t="s">
        <v>2262</v>
      </c>
      <c r="I42" s="2064"/>
      <c r="J42" s="2065"/>
      <c r="K42" s="2065">
        <v>1000</v>
      </c>
      <c r="L42" s="2064"/>
      <c r="M42" s="2065"/>
      <c r="N42" s="2065"/>
      <c r="O42" s="2065">
        <f t="shared" si="1"/>
        <v>0</v>
      </c>
      <c r="P42" s="2066" t="s">
        <v>2250</v>
      </c>
      <c r="Q42" s="2065"/>
      <c r="R42" s="2064"/>
      <c r="S42" s="2066">
        <v>0</v>
      </c>
      <c r="T42" s="2064"/>
      <c r="U42" s="2064"/>
    </row>
    <row r="43" spans="1:21" s="2043" customFormat="1" x14ac:dyDescent="0.3">
      <c r="A43" s="2064"/>
      <c r="B43" s="2062" t="s">
        <v>2345</v>
      </c>
      <c r="C43" s="2063" t="s">
        <v>2346</v>
      </c>
      <c r="D43" s="2063" t="s">
        <v>2248</v>
      </c>
      <c r="E43" s="2064" t="s">
        <v>2250</v>
      </c>
      <c r="F43" s="2064"/>
      <c r="G43" s="2064" t="s">
        <v>2316</v>
      </c>
      <c r="H43" s="2064" t="s">
        <v>2262</v>
      </c>
      <c r="I43" s="2064"/>
      <c r="J43" s="2065"/>
      <c r="K43" s="2065"/>
      <c r="L43" s="2064" t="s">
        <v>2317</v>
      </c>
      <c r="M43" s="2065"/>
      <c r="N43" s="2065"/>
      <c r="O43" s="2065">
        <f t="shared" si="1"/>
        <v>0</v>
      </c>
      <c r="P43" s="2066" t="s">
        <v>2250</v>
      </c>
      <c r="Q43" s="2065"/>
      <c r="R43" s="2064"/>
      <c r="S43" s="2066">
        <v>0</v>
      </c>
      <c r="T43" s="2064"/>
      <c r="U43" s="2064"/>
    </row>
    <row r="44" spans="1:21" s="2043" customFormat="1" x14ac:dyDescent="0.3">
      <c r="A44" s="2064"/>
      <c r="B44" s="2062" t="s">
        <v>2342</v>
      </c>
      <c r="C44" s="2063" t="s">
        <v>2656</v>
      </c>
      <c r="D44" s="2063" t="s">
        <v>2248</v>
      </c>
      <c r="E44" s="2064" t="s">
        <v>2250</v>
      </c>
      <c r="F44" s="2064" t="s">
        <v>2236</v>
      </c>
      <c r="G44" s="2064" t="s">
        <v>2265</v>
      </c>
      <c r="H44" s="2064" t="s">
        <v>2262</v>
      </c>
      <c r="I44" s="2064"/>
      <c r="J44" s="2065"/>
      <c r="K44" s="2065">
        <v>500</v>
      </c>
      <c r="L44" s="2064" t="s">
        <v>2239</v>
      </c>
      <c r="M44" s="2065"/>
      <c r="N44" s="2065"/>
      <c r="O44" s="2065">
        <f t="shared" si="1"/>
        <v>0</v>
      </c>
      <c r="P44" s="2065"/>
      <c r="Q44" s="2065"/>
      <c r="R44" s="2064" t="s">
        <v>2250</v>
      </c>
      <c r="S44" s="2064">
        <v>0</v>
      </c>
      <c r="T44" s="2064"/>
      <c r="U44" s="2064"/>
    </row>
    <row r="45" spans="1:21" s="2043" customFormat="1" x14ac:dyDescent="0.3">
      <c r="A45" s="2064"/>
      <c r="B45" s="2062" t="s">
        <v>2269</v>
      </c>
      <c r="C45" s="2063" t="s">
        <v>2270</v>
      </c>
      <c r="D45" s="2063" t="s">
        <v>2248</v>
      </c>
      <c r="E45" s="2064" t="s">
        <v>2250</v>
      </c>
      <c r="F45" s="2064" t="s">
        <v>2236</v>
      </c>
      <c r="G45" s="2064" t="s">
        <v>2265</v>
      </c>
      <c r="H45" s="2064" t="s">
        <v>2238</v>
      </c>
      <c r="I45" s="2064"/>
      <c r="J45" s="2065"/>
      <c r="K45" s="2065">
        <v>40</v>
      </c>
      <c r="L45" s="2064" t="s">
        <v>2239</v>
      </c>
      <c r="M45" s="2065"/>
      <c r="N45" s="2065"/>
      <c r="O45" s="2065">
        <f t="shared" si="1"/>
        <v>0</v>
      </c>
      <c r="P45" s="2066" t="s">
        <v>2250</v>
      </c>
      <c r="Q45" s="2065"/>
      <c r="R45" s="2064"/>
      <c r="S45" s="2066">
        <v>0</v>
      </c>
      <c r="T45" s="2064"/>
      <c r="U45" s="2064"/>
    </row>
    <row r="46" spans="1:21" s="2043" customFormat="1" ht="14.4" customHeight="1" x14ac:dyDescent="0.25">
      <c r="A46" s="2064"/>
      <c r="B46" s="2062" t="s">
        <v>2263</v>
      </c>
      <c r="C46" s="2063" t="s">
        <v>2264</v>
      </c>
      <c r="D46" s="2076" t="s">
        <v>2248</v>
      </c>
      <c r="E46" s="2064" t="s">
        <v>2250</v>
      </c>
      <c r="F46" s="2064"/>
      <c r="G46" s="2064" t="s">
        <v>2265</v>
      </c>
      <c r="H46" s="2064" t="s">
        <v>2238</v>
      </c>
      <c r="I46" s="2064"/>
      <c r="J46" s="2065"/>
      <c r="K46" s="2065">
        <v>30</v>
      </c>
      <c r="L46" s="2064" t="s">
        <v>2239</v>
      </c>
      <c r="M46" s="2065"/>
      <c r="N46" s="2065"/>
      <c r="O46" s="2065">
        <f t="shared" si="1"/>
        <v>0</v>
      </c>
      <c r="P46" s="2065"/>
      <c r="Q46" s="2065"/>
      <c r="R46" s="2064"/>
      <c r="S46" s="2064">
        <v>0</v>
      </c>
      <c r="T46" s="2064"/>
      <c r="U46" s="2064"/>
    </row>
    <row r="47" spans="1:21" s="2043" customFormat="1" ht="14.4" customHeight="1" x14ac:dyDescent="0.25">
      <c r="A47" s="2064"/>
      <c r="B47" s="2062" t="s">
        <v>2272</v>
      </c>
      <c r="C47" s="2063" t="s">
        <v>2273</v>
      </c>
      <c r="D47" s="2076" t="s">
        <v>2248</v>
      </c>
      <c r="E47" s="2064" t="s">
        <v>2250</v>
      </c>
      <c r="F47" s="2064"/>
      <c r="G47" s="2064" t="s">
        <v>2265</v>
      </c>
      <c r="H47" s="2064" t="s">
        <v>2262</v>
      </c>
      <c r="I47" s="2064"/>
      <c r="J47" s="2065"/>
      <c r="K47" s="2065">
        <v>1000</v>
      </c>
      <c r="L47" s="2064" t="s">
        <v>2239</v>
      </c>
      <c r="M47" s="2065"/>
      <c r="N47" s="2065"/>
      <c r="O47" s="2065">
        <f t="shared" si="1"/>
        <v>0</v>
      </c>
      <c r="P47" s="2065"/>
      <c r="Q47" s="2065"/>
      <c r="R47" s="2064"/>
      <c r="S47" s="2064">
        <v>0</v>
      </c>
      <c r="T47" s="2064"/>
      <c r="U47" s="2064"/>
    </row>
    <row r="48" spans="1:21" s="2043" customFormat="1" x14ac:dyDescent="0.3">
      <c r="A48" s="2064"/>
      <c r="B48" s="2062" t="s">
        <v>2335</v>
      </c>
      <c r="C48" s="2063" t="s">
        <v>2336</v>
      </c>
      <c r="D48" s="2063" t="s">
        <v>2248</v>
      </c>
      <c r="E48" s="2064" t="s">
        <v>2250</v>
      </c>
      <c r="F48" s="2064"/>
      <c r="G48" s="2064" t="s">
        <v>2337</v>
      </c>
      <c r="H48" s="2064" t="s">
        <v>2262</v>
      </c>
      <c r="I48" s="2064"/>
      <c r="J48" s="2065"/>
      <c r="K48" s="2065">
        <v>1000</v>
      </c>
      <c r="L48" s="2064" t="s">
        <v>2239</v>
      </c>
      <c r="M48" s="2065"/>
      <c r="N48" s="2065"/>
      <c r="O48" s="2065">
        <f t="shared" si="1"/>
        <v>0</v>
      </c>
      <c r="P48" s="2065"/>
      <c r="Q48" s="2065"/>
      <c r="R48" s="2064"/>
      <c r="S48" s="2064">
        <v>0</v>
      </c>
      <c r="T48" s="2064"/>
      <c r="U48" s="2064"/>
    </row>
    <row r="49" spans="1:21" s="2043" customFormat="1" x14ac:dyDescent="0.3">
      <c r="A49" s="2064"/>
      <c r="B49" s="2062" t="s">
        <v>2379</v>
      </c>
      <c r="C49" s="2063" t="s">
        <v>2312</v>
      </c>
      <c r="D49" s="2063" t="s">
        <v>2248</v>
      </c>
      <c r="E49" s="2064" t="s">
        <v>2250</v>
      </c>
      <c r="F49" s="2064" t="s">
        <v>2236</v>
      </c>
      <c r="G49" s="2064" t="s">
        <v>2244</v>
      </c>
      <c r="H49" s="2064" t="s">
        <v>2238</v>
      </c>
      <c r="I49" s="2064"/>
      <c r="J49" s="2065"/>
      <c r="K49" s="2065">
        <v>40</v>
      </c>
      <c r="L49" s="2066" t="s">
        <v>2646</v>
      </c>
      <c r="M49" s="2065"/>
      <c r="N49" s="2065"/>
      <c r="O49" s="2065">
        <f t="shared" si="1"/>
        <v>0</v>
      </c>
      <c r="P49" s="2065"/>
      <c r="Q49" s="2065"/>
      <c r="R49" s="2064"/>
      <c r="S49" s="2064">
        <v>0</v>
      </c>
      <c r="T49" s="2064"/>
      <c r="U49" s="2064"/>
    </row>
    <row r="50" spans="1:21" s="2043" customFormat="1" x14ac:dyDescent="0.3">
      <c r="A50" s="2064"/>
      <c r="B50" s="2062" t="s">
        <v>2296</v>
      </c>
      <c r="C50" s="2063" t="s">
        <v>2297</v>
      </c>
      <c r="D50" s="2063" t="s">
        <v>2248</v>
      </c>
      <c r="E50" s="2064" t="s">
        <v>2250</v>
      </c>
      <c r="F50" s="2064" t="s">
        <v>2236</v>
      </c>
      <c r="G50" s="2064" t="s">
        <v>2285</v>
      </c>
      <c r="H50" s="2064" t="s">
        <v>2262</v>
      </c>
      <c r="I50" s="2064"/>
      <c r="J50" s="2065"/>
      <c r="K50" s="2065">
        <v>35</v>
      </c>
      <c r="L50" s="2064" t="s">
        <v>2239</v>
      </c>
      <c r="M50" s="2065"/>
      <c r="N50" s="2065"/>
      <c r="O50" s="2065">
        <f t="shared" si="1"/>
        <v>0</v>
      </c>
      <c r="P50" s="2065"/>
      <c r="Q50" s="2065"/>
      <c r="R50" s="2064"/>
      <c r="S50" s="2064">
        <v>0</v>
      </c>
      <c r="T50" s="2064"/>
      <c r="U50" s="2064"/>
    </row>
    <row r="51" spans="1:21" s="2043" customFormat="1" ht="27.6" x14ac:dyDescent="0.3">
      <c r="A51" s="2064"/>
      <c r="B51" s="2062" t="s">
        <v>2362</v>
      </c>
      <c r="C51" s="2063" t="s">
        <v>2363</v>
      </c>
      <c r="D51" s="2063" t="s">
        <v>2248</v>
      </c>
      <c r="E51" s="2064" t="s">
        <v>2250</v>
      </c>
      <c r="F51" s="2064"/>
      <c r="G51" s="2064" t="s">
        <v>2319</v>
      </c>
      <c r="H51" s="2064" t="s">
        <v>2262</v>
      </c>
      <c r="I51" s="2064"/>
      <c r="J51" s="2065"/>
      <c r="K51" s="2065"/>
      <c r="L51" s="2064" t="s">
        <v>2364</v>
      </c>
      <c r="M51" s="2065"/>
      <c r="N51" s="2065"/>
      <c r="O51" s="2065">
        <f t="shared" si="1"/>
        <v>0</v>
      </c>
      <c r="P51" s="2065"/>
      <c r="Q51" s="2065"/>
      <c r="R51" s="2064"/>
      <c r="S51" s="2064">
        <v>0</v>
      </c>
      <c r="T51" s="2064"/>
      <c r="U51" s="2064"/>
    </row>
    <row r="52" spans="1:21" s="2043" customFormat="1" x14ac:dyDescent="0.3">
      <c r="A52" s="2064"/>
      <c r="B52" s="2062" t="s">
        <v>2331</v>
      </c>
      <c r="C52" s="2063" t="s">
        <v>2332</v>
      </c>
      <c r="D52" s="2063" t="s">
        <v>2248</v>
      </c>
      <c r="E52" s="2064" t="s">
        <v>2250</v>
      </c>
      <c r="F52" s="2064" t="s">
        <v>2236</v>
      </c>
      <c r="G52" s="2064" t="s">
        <v>2237</v>
      </c>
      <c r="H52" s="2064" t="s">
        <v>2262</v>
      </c>
      <c r="I52" s="2064"/>
      <c r="J52" s="2065"/>
      <c r="K52" s="2065">
        <v>1000</v>
      </c>
      <c r="L52" s="2064" t="s">
        <v>2239</v>
      </c>
      <c r="M52" s="2065"/>
      <c r="N52" s="2065"/>
      <c r="O52" s="2065">
        <f t="shared" si="1"/>
        <v>0</v>
      </c>
      <c r="P52" s="2065"/>
      <c r="Q52" s="2065"/>
      <c r="R52" s="2064"/>
      <c r="S52" s="2064">
        <v>0</v>
      </c>
      <c r="T52" s="2064"/>
      <c r="U52" s="2064"/>
    </row>
    <row r="53" spans="1:21" s="2043" customFormat="1" x14ac:dyDescent="0.3">
      <c r="A53" s="2064"/>
      <c r="B53" s="2062" t="s">
        <v>2351</v>
      </c>
      <c r="C53" s="2063" t="s">
        <v>2352</v>
      </c>
      <c r="D53" s="2063" t="s">
        <v>2248</v>
      </c>
      <c r="E53" s="2064" t="s">
        <v>2250</v>
      </c>
      <c r="F53" s="2064"/>
      <c r="G53" s="2064" t="s">
        <v>2280</v>
      </c>
      <c r="H53" s="2064" t="s">
        <v>2262</v>
      </c>
      <c r="I53" s="2064"/>
      <c r="J53" s="2065"/>
      <c r="K53" s="2065"/>
      <c r="L53" s="2064" t="s">
        <v>2353</v>
      </c>
      <c r="M53" s="2065"/>
      <c r="N53" s="2065"/>
      <c r="O53" s="2065">
        <f t="shared" si="1"/>
        <v>0</v>
      </c>
      <c r="P53" s="2065"/>
      <c r="Q53" s="2065"/>
      <c r="R53" s="2064"/>
      <c r="S53" s="2064">
        <v>0</v>
      </c>
      <c r="T53" s="2064"/>
      <c r="U53" s="2064"/>
    </row>
    <row r="54" spans="1:21" s="2043" customFormat="1" ht="27.6" x14ac:dyDescent="0.3">
      <c r="A54" s="2064"/>
      <c r="B54" s="2062" t="s">
        <v>2286</v>
      </c>
      <c r="C54" s="2063" t="s">
        <v>2287</v>
      </c>
      <c r="D54" s="2063" t="s">
        <v>2248</v>
      </c>
      <c r="E54" s="2064" t="s">
        <v>2250</v>
      </c>
      <c r="F54" s="2064"/>
      <c r="G54" s="2064" t="s">
        <v>2285</v>
      </c>
      <c r="H54" s="2064" t="s">
        <v>2262</v>
      </c>
      <c r="I54" s="2064"/>
      <c r="J54" s="2065"/>
      <c r="K54" s="2065">
        <v>500</v>
      </c>
      <c r="L54" s="2064" t="s">
        <v>2239</v>
      </c>
      <c r="M54" s="2065"/>
      <c r="N54" s="2065"/>
      <c r="O54" s="2065">
        <f t="shared" si="1"/>
        <v>0</v>
      </c>
      <c r="P54" s="2065"/>
      <c r="Q54" s="2065"/>
      <c r="R54" s="2064"/>
      <c r="S54" s="2064">
        <v>0</v>
      </c>
      <c r="T54" s="2064"/>
      <c r="U54" s="2064"/>
    </row>
    <row r="55" spans="1:21" s="2043" customFormat="1" ht="27.6" x14ac:dyDescent="0.3">
      <c r="A55" s="2064"/>
      <c r="B55" s="2062" t="s">
        <v>2294</v>
      </c>
      <c r="C55" s="2063" t="s">
        <v>2295</v>
      </c>
      <c r="D55" s="2063" t="s">
        <v>2248</v>
      </c>
      <c r="E55" s="2064" t="s">
        <v>2250</v>
      </c>
      <c r="F55" s="2064" t="s">
        <v>2236</v>
      </c>
      <c r="G55" s="2064" t="s">
        <v>2285</v>
      </c>
      <c r="H55" s="2064" t="s">
        <v>2262</v>
      </c>
      <c r="I55" s="2064"/>
      <c r="J55" s="2065"/>
      <c r="K55" s="2065">
        <v>35</v>
      </c>
      <c r="L55" s="2064" t="s">
        <v>2239</v>
      </c>
      <c r="M55" s="2065"/>
      <c r="N55" s="2065"/>
      <c r="O55" s="2065">
        <f t="shared" si="1"/>
        <v>0</v>
      </c>
      <c r="P55" s="2065"/>
      <c r="Q55" s="2065"/>
      <c r="R55" s="2064"/>
      <c r="S55" s="2064">
        <v>0</v>
      </c>
      <c r="T55" s="2064"/>
      <c r="U55" s="2064" t="s">
        <v>2659</v>
      </c>
    </row>
    <row r="56" spans="1:21" s="2043" customFormat="1" x14ac:dyDescent="0.3">
      <c r="A56" s="2064"/>
      <c r="B56" s="2062" t="s">
        <v>2343</v>
      </c>
      <c r="C56" s="2063" t="s">
        <v>2344</v>
      </c>
      <c r="D56" s="2063" t="s">
        <v>2248</v>
      </c>
      <c r="E56" s="2064" t="s">
        <v>2250</v>
      </c>
      <c r="F56" s="2064" t="s">
        <v>2236</v>
      </c>
      <c r="G56" s="2064" t="s">
        <v>2309</v>
      </c>
      <c r="H56" s="2064" t="s">
        <v>2262</v>
      </c>
      <c r="I56" s="2064"/>
      <c r="J56" s="2065"/>
      <c r="K56" s="2065">
        <v>1000</v>
      </c>
      <c r="L56" s="2064" t="s">
        <v>2239</v>
      </c>
      <c r="M56" s="2065"/>
      <c r="N56" s="2065"/>
      <c r="O56" s="2065">
        <f t="shared" si="1"/>
        <v>0</v>
      </c>
      <c r="P56" s="2065"/>
      <c r="Q56" s="2065"/>
      <c r="R56" s="2064"/>
      <c r="S56" s="2064">
        <v>0</v>
      </c>
      <c r="T56" s="2064"/>
      <c r="U56" s="2064"/>
    </row>
    <row r="57" spans="1:21" s="2043" customFormat="1" x14ac:dyDescent="0.3">
      <c r="A57" s="2064"/>
      <c r="B57" s="2062" t="s">
        <v>2354</v>
      </c>
      <c r="C57" s="2063" t="s">
        <v>2355</v>
      </c>
      <c r="D57" s="2063" t="s">
        <v>2248</v>
      </c>
      <c r="E57" s="2064" t="s">
        <v>2250</v>
      </c>
      <c r="F57" s="2064"/>
      <c r="G57" s="2064" t="s">
        <v>2285</v>
      </c>
      <c r="H57" s="2064" t="s">
        <v>2262</v>
      </c>
      <c r="I57" s="2064"/>
      <c r="J57" s="2065"/>
      <c r="K57" s="2065">
        <v>1000</v>
      </c>
      <c r="L57" s="2071" t="s">
        <v>2356</v>
      </c>
      <c r="M57" s="2065"/>
      <c r="N57" s="2065"/>
      <c r="O57" s="2065">
        <f t="shared" si="1"/>
        <v>0</v>
      </c>
      <c r="P57" s="2065"/>
      <c r="Q57" s="2065"/>
      <c r="R57" s="2064"/>
      <c r="S57" s="2064">
        <v>0</v>
      </c>
      <c r="T57" s="2064"/>
      <c r="U57" s="2064"/>
    </row>
    <row r="58" spans="1:21" s="2043" customFormat="1" ht="27.6" x14ac:dyDescent="0.3">
      <c r="A58" s="2064"/>
      <c r="B58" s="2062" t="s">
        <v>2388</v>
      </c>
      <c r="C58" s="2063" t="s">
        <v>2284</v>
      </c>
      <c r="D58" s="2063" t="s">
        <v>2248</v>
      </c>
      <c r="E58" s="2064" t="s">
        <v>2250</v>
      </c>
      <c r="F58" s="2064"/>
      <c r="G58" s="2064" t="s">
        <v>2285</v>
      </c>
      <c r="H58" s="2064" t="s">
        <v>2262</v>
      </c>
      <c r="I58" s="2064"/>
      <c r="J58" s="2065"/>
      <c r="K58" s="2065">
        <v>500</v>
      </c>
      <c r="L58" s="2064" t="s">
        <v>2239</v>
      </c>
      <c r="M58" s="2065"/>
      <c r="N58" s="2065"/>
      <c r="O58" s="2065">
        <f t="shared" si="1"/>
        <v>0</v>
      </c>
      <c r="P58" s="2065"/>
      <c r="Q58" s="2065"/>
      <c r="R58" s="2064"/>
      <c r="S58" s="2064">
        <v>0</v>
      </c>
      <c r="T58" s="2064"/>
      <c r="U58" s="2064"/>
    </row>
    <row r="59" spans="1:21" s="2043" customFormat="1" x14ac:dyDescent="0.3">
      <c r="A59" s="2064"/>
      <c r="B59" s="2062" t="s">
        <v>2298</v>
      </c>
      <c r="C59" s="2063" t="s">
        <v>2299</v>
      </c>
      <c r="D59" s="2063" t="s">
        <v>2248</v>
      </c>
      <c r="E59" s="2064" t="s">
        <v>2250</v>
      </c>
      <c r="F59" s="2064"/>
      <c r="G59" s="2064" t="s">
        <v>2285</v>
      </c>
      <c r="H59" s="2064" t="s">
        <v>2262</v>
      </c>
      <c r="I59" s="2064"/>
      <c r="J59" s="2065"/>
      <c r="K59" s="2065">
        <v>300</v>
      </c>
      <c r="L59" s="2064" t="s">
        <v>2239</v>
      </c>
      <c r="M59" s="2065"/>
      <c r="N59" s="2065"/>
      <c r="O59" s="2065">
        <f t="shared" si="1"/>
        <v>0</v>
      </c>
      <c r="P59" s="2065"/>
      <c r="Q59" s="2065"/>
      <c r="R59" s="2064"/>
      <c r="S59" s="2064">
        <v>0</v>
      </c>
      <c r="T59" s="2064"/>
      <c r="U59" s="2064"/>
    </row>
    <row r="60" spans="1:21" s="2043" customFormat="1" x14ac:dyDescent="0.3">
      <c r="A60" s="2062" t="s">
        <v>2268</v>
      </c>
      <c r="B60" s="2077" t="s">
        <v>2675</v>
      </c>
      <c r="C60" s="2063" t="s">
        <v>2676</v>
      </c>
      <c r="D60" s="2063" t="s">
        <v>2248</v>
      </c>
      <c r="E60" s="2064"/>
      <c r="F60" s="2064"/>
      <c r="G60" s="2064"/>
      <c r="H60" s="2064"/>
      <c r="I60" s="2064"/>
      <c r="J60" s="2065"/>
      <c r="K60" s="2065"/>
      <c r="L60" s="2064"/>
      <c r="M60" s="2065"/>
      <c r="N60" s="2065"/>
      <c r="O60" s="2065">
        <f t="shared" si="1"/>
        <v>0</v>
      </c>
      <c r="P60" s="2067"/>
      <c r="Q60" s="2065"/>
      <c r="R60" s="2064"/>
      <c r="S60" s="2066"/>
      <c r="T60" s="2064"/>
      <c r="U60" s="2064"/>
    </row>
    <row r="61" spans="1:21" s="2043" customFormat="1" x14ac:dyDescent="0.3">
      <c r="A61" s="2064"/>
      <c r="B61" s="2062" t="s">
        <v>2259</v>
      </c>
      <c r="C61" s="2063" t="s">
        <v>2258</v>
      </c>
      <c r="D61" s="2063" t="s">
        <v>2248</v>
      </c>
      <c r="E61" s="2064" t="s">
        <v>2250</v>
      </c>
      <c r="F61" s="2064"/>
      <c r="G61" s="2064" t="s">
        <v>2237</v>
      </c>
      <c r="H61" s="2064" t="s">
        <v>2262</v>
      </c>
      <c r="I61" s="2064"/>
      <c r="J61" s="2065"/>
      <c r="K61" s="2065">
        <v>1000</v>
      </c>
      <c r="L61" s="2064" t="s">
        <v>2239</v>
      </c>
      <c r="M61" s="2065"/>
      <c r="N61" s="2065"/>
      <c r="O61" s="2065">
        <f t="shared" si="1"/>
        <v>0</v>
      </c>
      <c r="P61" s="2065"/>
      <c r="Q61" s="2065"/>
      <c r="R61" s="2064"/>
      <c r="S61" s="2064">
        <v>0</v>
      </c>
      <c r="T61" s="2064"/>
      <c r="U61" s="2064"/>
    </row>
    <row r="62" spans="1:21" s="2043" customFormat="1" x14ac:dyDescent="0.3">
      <c r="A62" s="2064"/>
      <c r="B62" s="2062" t="s">
        <v>2357</v>
      </c>
      <c r="C62" s="2063" t="s">
        <v>2358</v>
      </c>
      <c r="D62" s="2063" t="s">
        <v>2248</v>
      </c>
      <c r="E62" s="2064" t="s">
        <v>2250</v>
      </c>
      <c r="F62" s="2064" t="s">
        <v>2236</v>
      </c>
      <c r="G62" s="2064" t="s">
        <v>2285</v>
      </c>
      <c r="H62" s="2064" t="s">
        <v>2262</v>
      </c>
      <c r="I62" s="2064"/>
      <c r="J62" s="2065"/>
      <c r="K62" s="2065">
        <v>100</v>
      </c>
      <c r="L62" s="2064" t="s">
        <v>2359</v>
      </c>
      <c r="M62" s="2065"/>
      <c r="N62" s="2065"/>
      <c r="O62" s="2065">
        <f t="shared" si="1"/>
        <v>0</v>
      </c>
      <c r="P62" s="2065"/>
      <c r="Q62" s="2065"/>
      <c r="R62" s="2064"/>
      <c r="S62" s="2064">
        <v>0</v>
      </c>
      <c r="T62" s="2064"/>
      <c r="U62" s="2064"/>
    </row>
    <row r="63" spans="1:21" s="2043" customFormat="1" x14ac:dyDescent="0.3">
      <c r="A63" s="2064"/>
      <c r="B63" s="2062" t="s">
        <v>2333</v>
      </c>
      <c r="C63" s="2063" t="s">
        <v>2334</v>
      </c>
      <c r="D63" s="2063" t="s">
        <v>2248</v>
      </c>
      <c r="E63" s="2064" t="s">
        <v>2250</v>
      </c>
      <c r="F63" s="2064"/>
      <c r="G63" s="2064" t="s">
        <v>2657</v>
      </c>
      <c r="H63" s="2064" t="s">
        <v>2262</v>
      </c>
      <c r="I63" s="2064"/>
      <c r="J63" s="2065"/>
      <c r="K63" s="2065" t="s">
        <v>2658</v>
      </c>
      <c r="L63" s="2064"/>
      <c r="M63" s="2065"/>
      <c r="N63" s="2065"/>
      <c r="O63" s="2065">
        <f t="shared" si="1"/>
        <v>0</v>
      </c>
      <c r="P63" s="2065"/>
      <c r="Q63" s="2065"/>
      <c r="R63" s="2064"/>
      <c r="S63" s="2064">
        <v>0</v>
      </c>
      <c r="T63" s="2064"/>
      <c r="U63" s="2064"/>
    </row>
    <row r="64" spans="1:21" s="2043" customFormat="1" x14ac:dyDescent="0.3">
      <c r="A64" s="2064"/>
      <c r="B64" s="2062" t="s">
        <v>2347</v>
      </c>
      <c r="C64" s="2063" t="s">
        <v>2348</v>
      </c>
      <c r="D64" s="2063" t="s">
        <v>2248</v>
      </c>
      <c r="E64" s="2064" t="s">
        <v>2250</v>
      </c>
      <c r="F64" s="2064"/>
      <c r="G64" s="2064" t="s">
        <v>2285</v>
      </c>
      <c r="H64" s="2064" t="s">
        <v>2262</v>
      </c>
      <c r="I64" s="2064"/>
      <c r="J64" s="2065"/>
      <c r="K64" s="2065">
        <v>1000</v>
      </c>
      <c r="L64" s="2064"/>
      <c r="M64" s="2065"/>
      <c r="N64" s="2065"/>
      <c r="O64" s="2065">
        <f t="shared" si="1"/>
        <v>0</v>
      </c>
      <c r="P64" s="2065"/>
      <c r="Q64" s="2065"/>
      <c r="R64" s="2064"/>
      <c r="S64" s="2064">
        <v>5</v>
      </c>
      <c r="T64" s="2064"/>
      <c r="U64" s="2064"/>
    </row>
    <row r="65" spans="1:21" s="2043" customFormat="1" ht="41.4" x14ac:dyDescent="0.3">
      <c r="A65" s="2064"/>
      <c r="B65" s="2062" t="s">
        <v>2393</v>
      </c>
      <c r="C65" s="2063" t="s">
        <v>2267</v>
      </c>
      <c r="D65" s="2063" t="s">
        <v>2245</v>
      </c>
      <c r="E65" s="2064" t="s">
        <v>2250</v>
      </c>
      <c r="F65" s="2064"/>
      <c r="G65" s="2064" t="s">
        <v>2265</v>
      </c>
      <c r="H65" s="2064" t="s">
        <v>2238</v>
      </c>
      <c r="I65" s="2064"/>
      <c r="J65" s="2065"/>
      <c r="K65" s="2065">
        <v>40</v>
      </c>
      <c r="L65" s="2064" t="s">
        <v>2239</v>
      </c>
      <c r="M65" s="2065"/>
      <c r="N65" s="2065"/>
      <c r="O65" s="2065">
        <f t="shared" si="1"/>
        <v>0</v>
      </c>
      <c r="P65" s="2065"/>
      <c r="Q65" s="2065"/>
      <c r="R65" s="2064"/>
      <c r="S65" s="2064">
        <v>0</v>
      </c>
      <c r="T65" s="2064"/>
      <c r="U65" s="2064"/>
    </row>
    <row r="66" spans="1:21" s="2043" customFormat="1" x14ac:dyDescent="0.3">
      <c r="A66" s="2064"/>
      <c r="B66" s="2062" t="s">
        <v>2315</v>
      </c>
      <c r="C66" s="2063" t="s">
        <v>2381</v>
      </c>
      <c r="D66" s="2063" t="s">
        <v>2248</v>
      </c>
      <c r="E66" s="2064" t="s">
        <v>2250</v>
      </c>
      <c r="F66" s="2064"/>
      <c r="G66" s="2064" t="s">
        <v>2316</v>
      </c>
      <c r="H66" s="2064" t="s">
        <v>2262</v>
      </c>
      <c r="I66" s="2064"/>
      <c r="J66" s="2065"/>
      <c r="K66" s="2065"/>
      <c r="L66" s="2064" t="s">
        <v>2317</v>
      </c>
      <c r="M66" s="2065"/>
      <c r="N66" s="2065"/>
      <c r="O66" s="2065">
        <f t="shared" si="1"/>
        <v>0</v>
      </c>
      <c r="P66" s="2065"/>
      <c r="Q66" s="2065"/>
      <c r="R66" s="2064"/>
      <c r="S66" s="2064">
        <v>0</v>
      </c>
      <c r="T66" s="2064"/>
      <c r="U66" s="2064"/>
    </row>
    <row r="67" spans="1:21" s="2043" customFormat="1" ht="27.6" x14ac:dyDescent="0.3">
      <c r="A67" s="2064"/>
      <c r="B67" s="2062" t="s">
        <v>2304</v>
      </c>
      <c r="C67" s="2063" t="s">
        <v>2305</v>
      </c>
      <c r="D67" s="2063" t="s">
        <v>2248</v>
      </c>
      <c r="E67" s="2064" t="s">
        <v>2250</v>
      </c>
      <c r="F67" s="2064" t="s">
        <v>2236</v>
      </c>
      <c r="G67" s="2064" t="s">
        <v>2306</v>
      </c>
      <c r="H67" s="2064" t="s">
        <v>2262</v>
      </c>
      <c r="I67" s="2064"/>
      <c r="J67" s="2065"/>
      <c r="K67" s="2065"/>
      <c r="L67" s="2064" t="s">
        <v>2307</v>
      </c>
      <c r="M67" s="2065"/>
      <c r="N67" s="2065"/>
      <c r="O67" s="2065">
        <f t="shared" si="1"/>
        <v>0</v>
      </c>
      <c r="P67" s="2065"/>
      <c r="Q67" s="2065"/>
      <c r="R67" s="2064"/>
      <c r="S67" s="2064">
        <v>0</v>
      </c>
      <c r="T67" s="2064"/>
      <c r="U67" s="2064"/>
    </row>
    <row r="68" spans="1:21" s="2043" customFormat="1" x14ac:dyDescent="0.3">
      <c r="A68" s="2064"/>
      <c r="B68" s="2062" t="s">
        <v>2281</v>
      </c>
      <c r="C68" s="2063" t="s">
        <v>2282</v>
      </c>
      <c r="D68" s="2063" t="s">
        <v>2248</v>
      </c>
      <c r="E68" s="2064" t="s">
        <v>2250</v>
      </c>
      <c r="F68" s="2064" t="s">
        <v>2236</v>
      </c>
      <c r="G68" s="2064" t="s">
        <v>2283</v>
      </c>
      <c r="H68" s="2064" t="s">
        <v>2262</v>
      </c>
      <c r="I68" s="2064"/>
      <c r="J68" s="2065"/>
      <c r="K68" s="2065">
        <v>1000</v>
      </c>
      <c r="L68" s="2064" t="s">
        <v>2239</v>
      </c>
      <c r="M68" s="2065"/>
      <c r="N68" s="2065"/>
      <c r="O68" s="2065">
        <f t="shared" si="1"/>
        <v>0</v>
      </c>
      <c r="P68" s="2065"/>
      <c r="Q68" s="2065"/>
      <c r="R68" s="2064"/>
      <c r="S68" s="2064">
        <v>0</v>
      </c>
      <c r="T68" s="2064"/>
      <c r="U68" s="2064"/>
    </row>
    <row r="69" spans="1:21" s="2043" customFormat="1" ht="41.4" x14ac:dyDescent="0.3">
      <c r="A69" s="2062" t="s">
        <v>2268</v>
      </c>
      <c r="B69" s="2062" t="s">
        <v>2389</v>
      </c>
      <c r="C69" s="2078" t="s">
        <v>2677</v>
      </c>
      <c r="D69" s="2063" t="s">
        <v>2245</v>
      </c>
      <c r="E69" s="2064" t="s">
        <v>2250</v>
      </c>
      <c r="F69" s="2064"/>
      <c r="G69" s="2064"/>
      <c r="H69" s="2064"/>
      <c r="I69" s="2064"/>
      <c r="J69" s="2065"/>
      <c r="K69" s="2065"/>
      <c r="L69" s="2064"/>
      <c r="M69" s="2065"/>
      <c r="N69" s="2065"/>
      <c r="O69" s="2065">
        <f t="shared" si="1"/>
        <v>0</v>
      </c>
      <c r="P69" s="2067"/>
      <c r="Q69" s="2065"/>
      <c r="R69" s="2064"/>
      <c r="S69" s="2066"/>
      <c r="T69" s="2064"/>
      <c r="U69" s="2064"/>
    </row>
    <row r="70" spans="1:21" s="2043" customFormat="1" x14ac:dyDescent="0.3">
      <c r="A70" s="2064"/>
      <c r="B70" s="2062" t="s">
        <v>2338</v>
      </c>
      <c r="C70" s="2063" t="s">
        <v>2339</v>
      </c>
      <c r="D70" s="2063" t="s">
        <v>2248</v>
      </c>
      <c r="E70" s="2064" t="s">
        <v>2250</v>
      </c>
      <c r="F70" s="2064"/>
      <c r="G70" s="2064" t="s">
        <v>2237</v>
      </c>
      <c r="H70" s="2064" t="s">
        <v>2238</v>
      </c>
      <c r="I70" s="2064"/>
      <c r="J70" s="2065"/>
      <c r="K70" s="2065">
        <v>40</v>
      </c>
      <c r="L70" s="2064" t="s">
        <v>2239</v>
      </c>
      <c r="M70" s="2065"/>
      <c r="N70" s="2065"/>
      <c r="O70" s="2065">
        <f t="shared" si="1"/>
        <v>0</v>
      </c>
      <c r="P70" s="2065"/>
      <c r="Q70" s="2065"/>
      <c r="R70" s="2064"/>
      <c r="S70" s="2064">
        <v>0</v>
      </c>
      <c r="T70" s="2064"/>
      <c r="U70" s="2064"/>
    </row>
    <row r="71" spans="1:21" s="2043" customFormat="1" ht="27.6" x14ac:dyDescent="0.3">
      <c r="A71" s="2064"/>
      <c r="B71" s="2062" t="s">
        <v>2383</v>
      </c>
      <c r="C71" s="2063" t="s">
        <v>2329</v>
      </c>
      <c r="D71" s="2063" t="s">
        <v>2245</v>
      </c>
      <c r="E71" s="2064" t="s">
        <v>2250</v>
      </c>
      <c r="F71" s="2064" t="s">
        <v>2330</v>
      </c>
      <c r="G71" s="2064" t="s">
        <v>2319</v>
      </c>
      <c r="H71" s="2064" t="s">
        <v>2262</v>
      </c>
      <c r="I71" s="2064"/>
      <c r="J71" s="2065"/>
      <c r="K71" s="2065">
        <v>20</v>
      </c>
      <c r="L71" s="2064"/>
      <c r="M71" s="2065"/>
      <c r="N71" s="2065"/>
      <c r="O71" s="2065">
        <f t="shared" si="1"/>
        <v>0</v>
      </c>
      <c r="P71" s="2065"/>
      <c r="Q71" s="2065"/>
      <c r="R71" s="2064"/>
      <c r="S71" s="2064">
        <v>0</v>
      </c>
      <c r="T71" s="2064"/>
      <c r="U71" s="2064"/>
    </row>
    <row r="72" spans="1:21" s="2043" customFormat="1" ht="27.6" x14ac:dyDescent="0.3">
      <c r="A72" s="2064"/>
      <c r="B72" s="2062" t="s">
        <v>2349</v>
      </c>
      <c r="C72" s="2062" t="s">
        <v>2350</v>
      </c>
      <c r="D72" s="2063" t="s">
        <v>2248</v>
      </c>
      <c r="E72" s="2064" t="s">
        <v>2250</v>
      </c>
      <c r="F72" s="2064"/>
      <c r="G72" s="2064" t="s">
        <v>2280</v>
      </c>
      <c r="H72" s="2064" t="s">
        <v>2262</v>
      </c>
      <c r="I72" s="2064"/>
      <c r="J72" s="2065"/>
      <c r="K72" s="2065">
        <v>300</v>
      </c>
      <c r="L72" s="2064" t="s">
        <v>2239</v>
      </c>
      <c r="M72" s="2065"/>
      <c r="N72" s="2065"/>
      <c r="O72" s="2065">
        <f t="shared" si="1"/>
        <v>0</v>
      </c>
      <c r="P72" s="2065"/>
      <c r="Q72" s="2065"/>
      <c r="R72" s="2064"/>
      <c r="S72" s="2064">
        <v>0</v>
      </c>
      <c r="T72" s="2064"/>
      <c r="U72" s="2064"/>
    </row>
    <row r="73" spans="1:21" s="2043" customFormat="1" ht="27.6" x14ac:dyDescent="0.3">
      <c r="A73" s="2061" t="s">
        <v>2234</v>
      </c>
      <c r="B73" s="2064" t="s">
        <v>2392</v>
      </c>
      <c r="C73" s="2063" t="s">
        <v>2350</v>
      </c>
      <c r="D73" s="2063" t="s">
        <v>2248</v>
      </c>
      <c r="E73" s="2064" t="s">
        <v>2250</v>
      </c>
      <c r="F73" s="2064" t="s">
        <v>2236</v>
      </c>
      <c r="G73" s="2064" t="s">
        <v>2265</v>
      </c>
      <c r="H73" s="2064" t="s">
        <v>2262</v>
      </c>
      <c r="I73" s="2064"/>
      <c r="J73" s="2065"/>
      <c r="K73" s="2065"/>
      <c r="L73" s="2064"/>
      <c r="M73" s="2065"/>
      <c r="N73" s="2065"/>
      <c r="O73" s="2065"/>
      <c r="P73" s="2065"/>
      <c r="Q73" s="2065"/>
      <c r="R73" s="2064"/>
      <c r="S73" s="2064">
        <v>0</v>
      </c>
      <c r="T73" s="2064"/>
      <c r="U73" s="2064"/>
    </row>
    <row r="74" spans="1:21" s="2043" customFormat="1" ht="41.4" x14ac:dyDescent="0.3">
      <c r="A74" s="2061"/>
      <c r="B74" s="2062" t="s">
        <v>2389</v>
      </c>
      <c r="C74" s="2063" t="s">
        <v>2252</v>
      </c>
      <c r="D74" s="2063" t="s">
        <v>2245</v>
      </c>
      <c r="E74" s="2064" t="s">
        <v>2250</v>
      </c>
      <c r="F74" s="2064" t="s">
        <v>2236</v>
      </c>
      <c r="G74" s="2064" t="s">
        <v>2237</v>
      </c>
      <c r="H74" s="2064" t="s">
        <v>2238</v>
      </c>
      <c r="I74" s="2064"/>
      <c r="J74" s="2065"/>
      <c r="K74" s="2065">
        <v>40</v>
      </c>
      <c r="L74" s="2064" t="s">
        <v>2239</v>
      </c>
      <c r="M74" s="2065"/>
      <c r="N74" s="2065"/>
      <c r="O74" s="2065">
        <f>M74-N74</f>
        <v>0</v>
      </c>
      <c r="P74" s="2065"/>
      <c r="Q74" s="2065"/>
      <c r="R74" s="2064"/>
      <c r="S74" s="2064">
        <v>0</v>
      </c>
      <c r="T74" s="2064"/>
      <c r="U74" s="2064"/>
    </row>
    <row r="75" spans="1:21" s="2043" customFormat="1" x14ac:dyDescent="0.3">
      <c r="A75" s="2064"/>
      <c r="B75" s="2062" t="s">
        <v>2266</v>
      </c>
      <c r="C75" s="2063" t="s">
        <v>2255</v>
      </c>
      <c r="D75" s="2062" t="s">
        <v>2390</v>
      </c>
      <c r="E75" s="2064" t="s">
        <v>2250</v>
      </c>
      <c r="F75" s="2064"/>
      <c r="G75" s="2064" t="s">
        <v>2237</v>
      </c>
      <c r="H75" s="2064" t="s">
        <v>2238</v>
      </c>
      <c r="I75" s="2064"/>
      <c r="J75" s="2065"/>
      <c r="K75" s="2065">
        <v>40</v>
      </c>
      <c r="L75" s="2064" t="s">
        <v>2240</v>
      </c>
      <c r="M75" s="2065"/>
      <c r="N75" s="2065"/>
      <c r="O75" s="2065">
        <f>M75-N75</f>
        <v>0</v>
      </c>
      <c r="P75" s="2065"/>
      <c r="Q75" s="2065"/>
      <c r="R75" s="2064"/>
      <c r="S75" s="2064">
        <v>0</v>
      </c>
      <c r="T75" s="2064"/>
      <c r="U75" s="2064"/>
    </row>
    <row r="76" spans="1:21" s="2043" customFormat="1" ht="41.4" x14ac:dyDescent="0.3">
      <c r="A76" s="2064"/>
      <c r="B76" s="2062" t="s">
        <v>2397</v>
      </c>
      <c r="C76" s="2070" t="s">
        <v>2394</v>
      </c>
      <c r="D76" s="2064" t="s">
        <v>2380</v>
      </c>
      <c r="E76" s="2064" t="s">
        <v>2250</v>
      </c>
      <c r="F76" s="2064"/>
      <c r="G76" s="2064" t="s">
        <v>2237</v>
      </c>
      <c r="H76" s="2064" t="s">
        <v>2238</v>
      </c>
      <c r="I76" s="2064"/>
      <c r="J76" s="2065"/>
      <c r="K76" s="2065">
        <v>40</v>
      </c>
      <c r="L76" s="2064" t="s">
        <v>2239</v>
      </c>
      <c r="M76" s="2065"/>
      <c r="N76" s="2065"/>
      <c r="O76" s="2065">
        <f>M76-N76</f>
        <v>0</v>
      </c>
      <c r="P76" s="2065"/>
      <c r="Q76" s="2065"/>
      <c r="R76" s="2064"/>
      <c r="S76" s="2064">
        <v>0</v>
      </c>
      <c r="T76" s="2064"/>
      <c r="U76" s="2064"/>
    </row>
    <row r="77" spans="1:21" s="2043" customFormat="1" ht="27.6" customHeight="1" x14ac:dyDescent="0.25">
      <c r="A77" s="2061" t="s">
        <v>2229</v>
      </c>
      <c r="B77" s="2068" t="s">
        <v>2644</v>
      </c>
      <c r="C77" s="2063" t="s">
        <v>2274</v>
      </c>
      <c r="D77" s="2079" t="s">
        <v>2655</v>
      </c>
      <c r="E77" s="2064" t="s">
        <v>2250</v>
      </c>
      <c r="F77" s="2064" t="s">
        <v>2275</v>
      </c>
      <c r="G77" s="2064" t="s">
        <v>2265</v>
      </c>
      <c r="H77" s="2064"/>
      <c r="I77" s="2064"/>
      <c r="J77" s="2065"/>
      <c r="K77" s="2065"/>
      <c r="L77" s="2064"/>
      <c r="M77" s="2065"/>
      <c r="N77" s="2065"/>
      <c r="O77" s="2065">
        <f>M77-N77</f>
        <v>0</v>
      </c>
      <c r="P77" s="2065"/>
      <c r="Q77" s="2065"/>
      <c r="R77" s="2064"/>
      <c r="S77" s="2064">
        <v>2</v>
      </c>
      <c r="T77" s="2064"/>
      <c r="U77" s="2064"/>
    </row>
  </sheetData>
  <sheetProtection sheet="1" objects="1" scenarios="1" selectLockedCells="1"/>
  <autoFilter ref="A8:U73" xr:uid="{40C59CB8-239E-4CC1-8FE5-EE55B1822DF2}">
    <sortState xmlns:xlrd2="http://schemas.microsoft.com/office/spreadsheetml/2017/richdata2" ref="A9:U73">
      <sortCondition ref="B8:B73"/>
    </sortState>
  </autoFilter>
  <conditionalFormatting sqref="O44:O77 O9:P42 Q9:Q77">
    <cfRule type="cellIs" dxfId="243" priority="7" operator="lessThan">
      <formula>0</formula>
    </cfRule>
    <cfRule type="cellIs" dxfId="242" priority="8" operator="greaterThan">
      <formula>0</formula>
    </cfRule>
  </conditionalFormatting>
  <conditionalFormatting sqref="O8">
    <cfRule type="cellIs" dxfId="241" priority="5" operator="lessThan">
      <formula>0</formula>
    </cfRule>
    <cfRule type="cellIs" dxfId="240" priority="6" operator="greaterThan">
      <formula>0</formula>
    </cfRule>
  </conditionalFormatting>
  <conditionalFormatting sqref="M9:N77">
    <cfRule type="cellIs" dxfId="239" priority="3" operator="lessThan">
      <formula>0</formula>
    </cfRule>
    <cfRule type="cellIs" dxfId="238" priority="4" operator="greaterThan">
      <formula>0</formula>
    </cfRule>
  </conditionalFormatting>
  <conditionalFormatting sqref="J9:K77">
    <cfRule type="cellIs" dxfId="237" priority="1" operator="lessThan">
      <formula>0</formula>
    </cfRule>
    <cfRule type="cellIs" dxfId="236" priority="2" operator="greaterThan">
      <formula>0</formula>
    </cfRule>
  </conditionalFormatting>
  <dataValidations count="1">
    <dataValidation allowBlank="1" showInputMessage="1" showErrorMessage="1" prompt="Create a balance sheet in this workbook. Enter Assets &amp; Liabilities in each worksheet. Total Assets, Total Liabilities, &amp; Balance are automatically calculated in this worksheet" sqref="A4:A7" xr:uid="{BF169A19-666A-4D69-B7E6-7117B378A190}"/>
  </dataValidations>
  <hyperlinks>
    <hyperlink ref="B51" r:id="rId1" xr:uid="{C8CD12FC-955A-4157-915C-4C2668E5B493}"/>
    <hyperlink ref="B71" r:id="rId2" display="Honeygain" xr:uid="{4F230420-4ED3-4190-BC39-144972BED1D1}"/>
    <hyperlink ref="B54" r:id="rId3" xr:uid="{8493A050-981C-480C-A659-586391F90435}"/>
    <hyperlink ref="B68" r:id="rId4" xr:uid="{99E8A52E-6F1D-4234-9E7F-CE9D06AD5FD6}"/>
    <hyperlink ref="B49" r:id="rId5" xr:uid="{641251A5-BFAC-435C-81C4-19D8867EBAEB}"/>
    <hyperlink ref="B42" r:id="rId6" xr:uid="{810E73AC-36F6-4512-8257-168C9379E037}"/>
    <hyperlink ref="B10" r:id="rId7" xr:uid="{6F811943-C616-417A-BC45-ECB30DA9E9C6}"/>
    <hyperlink ref="B43" r:id="rId8" xr:uid="{4251589F-6797-4943-97E6-00A93F66CDBA}"/>
    <hyperlink ref="B45" r:id="rId9" xr:uid="{7CDB48A8-AD24-4FF8-8218-45B06FBC8F8D}"/>
    <hyperlink ref="B53" r:id="rId10" xr:uid="{ACCA9730-08E6-4928-9242-0F34ED739AD9}"/>
    <hyperlink ref="B44" r:id="rId11" xr:uid="{E948065A-58F4-425C-BF11-943722FD0FF8}"/>
    <hyperlink ref="B63" r:id="rId12" xr:uid="{C645ED2C-E1DB-413A-8CCB-97B7FC3A4241}"/>
    <hyperlink ref="B70" r:id="rId13" xr:uid="{FF004685-A74A-4E91-AA18-6FFE72127876}"/>
    <hyperlink ref="B52" r:id="rId14" xr:uid="{4C1AF1D7-F849-41D0-B728-D6BD821807F7}"/>
    <hyperlink ref="B13" r:id="rId15" xr:uid="{52CF0BDF-86B3-4958-A821-7047A09F410E}"/>
    <hyperlink ref="B62" r:id="rId16" xr:uid="{8C4DFDEE-BE91-4CA7-BE2A-7E970E409E95}"/>
    <hyperlink ref="B58" r:id="rId17" xr:uid="{95A35801-9C8B-4016-AD39-9CF5AD500659}"/>
    <hyperlink ref="B50" r:id="rId18" xr:uid="{40842040-69A6-4DBF-BACE-E095C522F798}"/>
    <hyperlink ref="B57" r:id="rId19" xr:uid="{A68D5548-F4CD-49FE-B5DC-CA48FF5C9D28}"/>
    <hyperlink ref="B55" r:id="rId20" xr:uid="{5159D85C-31DA-4ACF-9D73-264BF6BE4C8C}"/>
    <hyperlink ref="B18" r:id="rId21" xr:uid="{5501F64C-9A4B-4A0C-8213-AC332DFDF893}"/>
    <hyperlink ref="B20" r:id="rId22" xr:uid="{DAE7D9C1-8780-4A5E-92A2-EDF1A49BE194}"/>
    <hyperlink ref="B17" r:id="rId23" xr:uid="{3788D1B8-76AB-4426-A3E6-ADBF7842AD06}"/>
    <hyperlink ref="C72" r:id="rId24" xr:uid="{A31612FA-A9D8-4B03-978F-666B9C6467E7}"/>
    <hyperlink ref="B72" r:id="rId25" xr:uid="{B038E32D-112B-47C2-838F-7D2DF2BE32DF}"/>
    <hyperlink ref="B66" r:id="rId26" xr:uid="{039323EA-91C9-4AC3-97FB-0306B536C25A}"/>
    <hyperlink ref="B59" r:id="rId27" xr:uid="{BECF194C-993A-47FF-9F78-55DA58E95C9E}"/>
    <hyperlink ref="B56" r:id="rId28" xr:uid="{6C934101-8BB6-4782-B981-8B07FBEDCC5F}"/>
    <hyperlink ref="B74" r:id="rId29" display="Gimica GmbH" xr:uid="{DEFF9B5D-1ABD-49E1-AE33-0979551BFA94}"/>
    <hyperlink ref="B46" r:id="rId30" xr:uid="{2ECECDC6-A3A5-4456-AC83-CC96F0D2715D}"/>
    <hyperlink ref="B75" r:id="rId31" xr:uid="{22C30859-105C-49A9-AED4-67088D311160}"/>
    <hyperlink ref="D75" r:id="rId32" xr:uid="{0442D123-9907-4BB0-B6F0-86D2B0B71116}"/>
    <hyperlink ref="B61" r:id="rId33" xr:uid="{ACC0AE25-3112-40E0-98B2-FAAC62F55444}"/>
    <hyperlink ref="B9" r:id="rId34" xr:uid="{9B1F2D9C-556F-4A9C-B3B5-A0F1C6AD4796}"/>
    <hyperlink ref="B64" r:id="rId35" xr:uid="{1FE35625-0AC1-4941-8ADE-CCA9A5E3EA5E}"/>
    <hyperlink ref="B47" r:id="rId36" xr:uid="{9A8E1B0A-D966-4EBE-802B-77B767F88E4E}"/>
    <hyperlink ref="B65" r:id="rId37" xr:uid="{3FAE568C-CE00-4CCB-A03A-1CE025157D1F}"/>
    <hyperlink ref="B19" r:id="rId38" xr:uid="{F5487EAD-0D95-4E86-A224-111EF2798A79}"/>
    <hyperlink ref="B48" r:id="rId39" xr:uid="{2FB801CD-F955-4F6F-9D12-69905ABDD24D}"/>
    <hyperlink ref="B76" r:id="rId40" display="Unity" xr:uid="{021CFE10-6954-4CEB-8314-2620D32D5FE8}"/>
    <hyperlink ref="B67" r:id="rId41" xr:uid="{6B7536D3-90A9-4942-BBBC-B47F04AA0649}"/>
    <hyperlink ref="C42" r:id="rId42" display="https://play.google.com/store/search?q=Animal%20Match%20Party%3A%20Earn%20Cash&amp;c=apps&amp;hl=en-US" xr:uid="{6D474937-2F11-441E-9D09-9B3BF3119AC6}"/>
    <hyperlink ref="C43" r:id="rId43" display="https://play.google.com/store/search?q=Billiards%20Talent%202048&amp;c=apps&amp;hl=en-US" xr:uid="{11C8FDE0-BC0E-4E18-8022-261F2CEA46BF}"/>
    <hyperlink ref="C44" r:id="rId44" display="https://play.google.com/store/search?q=bingo%20bonus&amp;c=apps&amp;hl=en-US" xr:uid="{B25C170A-946A-4903-B842-11C6A2BD58BE}"/>
    <hyperlink ref="C45" r:id="rId45" display="https://play.google.com/store/search?q=Bingo%20Crown&amp;c=apps&amp;hl=en-US" xr:uid="{4150E830-83D3-47D6-946E-248552F22299}"/>
    <hyperlink ref="C46" r:id="rId46" display="https://play.google.com/store/search?q=Bingo%20Legends&amp;c=apps&amp;hl=en-US" xr:uid="{F5891E56-DEC5-4F33-A86E-31C43F1B792A}"/>
    <hyperlink ref="C47" r:id="rId47" display="https://play.google.com/store/apps/details?id=com.dealer.bingo.game&amp;hl=en-US" xr:uid="{53D729AA-94E5-4707-9305-300DECCDA833}"/>
    <hyperlink ref="C10" r:id="rId48" display="https://play.google.com/store/apps/details?id=com.MoneyBingo.LuckyRewards.CashGame.RealMoney&amp;hl=en-US" xr:uid="{648DB796-C9BA-4325-8C57-033595F1934E}"/>
    <hyperlink ref="C65" r:id="rId49" display="https://totalsolutionapp.com/gamedetail1.html" xr:uid="{A08A2C5A-88FF-4B38-9FFE-DA8A51FCD14B}"/>
    <hyperlink ref="C48" r:id="rId50" display="https://play.google.com/store/search?q=Block%20Puzzle%20Relax&amp;c=apps&amp;hl=en-US" xr:uid="{D3380667-0417-49B7-AD77-C20EDBFBC29D}"/>
    <hyperlink ref="C49" r:id="rId51" display="https://play.google.com/store/apps/details?id=com.agedstudio.bubble.magic.puzzle.game.classic&amp;hl=en-US" xr:uid="{71976864-990C-46A5-9F92-EFC3EDF1620F}"/>
    <hyperlink ref="C13" r:id="rId52" display="https://play.google.com/store/search?q=business%20journey&amp;c=apps&amp;hl=en-US" xr:uid="{3EEACAD0-6085-4621-A61C-420C573C6285}"/>
    <hyperlink ref="C50" r:id="rId53" display="https://play.google.com/store/search?q=Catch%26Spin%3ABass%20Fishing&amp;c=apps&amp;hl=en-US" xr:uid="{1B710F28-AF2E-46C5-891A-76B9C182DBAC}"/>
    <hyperlink ref="C19" r:id="rId54" display="https://play.google.com/store/search?q=Copper%20Boom&amp;c=apps&amp;hl=en-US" xr:uid="{7CD92567-5B35-4FBB-81F2-D425B35C406E}"/>
    <hyperlink ref="C51" r:id="rId55" display="https://play.google.com/store/search?q=Crazy%20Cash&amp;c=apps&amp;hl=en-US" xr:uid="{53AE2E8D-5763-40BA-8C73-CB11FCBCD3EA}"/>
    <hyperlink ref="C9" r:id="rId56" display="https://play.google.com/store/apps/details?id=com.dozer.coin.pu8sher&amp;hl=en-US&amp;pli=1" xr:uid="{091D53C8-0B52-496B-B5F5-AB9F03440BB1}"/>
    <hyperlink ref="C52" r:id="rId57" display="https://play.google.com/store/search?q=Dream%20Card%20Solitaire%203D&amp;c=apps&amp;hl=en-US" xr:uid="{C0EA88BD-0306-456A-A8EC-D04DA4F35934}"/>
    <hyperlink ref="C53" r:id="rId58" display="https://play.google.com/store/search?q=Egg%20Tile%20Match%20Earn&amp;c=apps&amp;hl=en-US" xr:uid="{351F8A0F-020E-46E0-8D52-0135509DEFBA}"/>
    <hyperlink ref="C54" r:id="rId59" display="https://play.google.com/store/search?q=fortune+clover+slot+game+reviews&amp;c=apps&amp;hl=en-US" xr:uid="{5E97FCAE-101E-4B2D-95B4-95CC4163B629}"/>
    <hyperlink ref="C55" r:id="rId60" display="https://play.google.com/store/search?q=Frosty%20Reel%20Challenge&amp;c=apps&amp;hl=en-US" xr:uid="{ABF8FECB-3DB4-48EF-AA85-BB1CAC871981}"/>
    <hyperlink ref="C56" r:id="rId61" display="https://play.google.com/store/search?q=gold+frenzy&amp;c=apps&amp;hl=en-US" xr:uid="{6C5A3A11-B533-4510-A51C-CEC4EE0F1804}"/>
    <hyperlink ref="C57" r:id="rId62" display="https://play.google.com/store/search?q=golden+dragon+blessing&amp;c=apps&amp;hl=en-US" xr:uid="{63A8AA3E-5B59-4702-89FC-8B56661037DE}"/>
    <hyperlink ref="C58" r:id="rId63" display="https://play.google.com/store/apps/details?id=com.templequest.relicspin.hieroglyph.golden&amp;hl=en-US" xr:uid="{4C189F82-12C8-4AAB-A323-062F6E5C82FF}"/>
    <hyperlink ref="C59" r:id="rId64" display="https://play.google.com/store/search?q=Golden%20Tree%20Fortunes&amp;c=apps&amp;hl=en-US" xr:uid="{90B4F3EF-246B-4FF4-AE61-BE31E5AA5388}"/>
    <hyperlink ref="C71" r:id="rId65" display="https://r.honeygain.me/MLFOR9D359" xr:uid="{FB622BD0-7C71-4E75-AD14-D124A4043ADD}"/>
    <hyperlink ref="C61" r:id="rId66" display="https://play.google.com/store/search?q=Joyful%20Solitaire%20Challenge&amp;c=apps&amp;hl=en-US" xr:uid="{AC369986-EC8E-4CB5-954C-38D48D1046C1}"/>
    <hyperlink ref="C20" r:id="rId67" display="https://play.google.com/store/search?q=JustPlay%3A%20Earn%20Money%20or%20Donate&amp;c=apps&amp;hl=en-US" xr:uid="{A10CDE02-8D3D-4317-A8A4-1FD42C7A2DA4}"/>
    <hyperlink ref="C62" r:id="rId68" display="https://play.google.com/store/search?q=Lake%20Big%20Bass&amp;c=apps&amp;hl=en-US" xr:uid="{03E3B727-84C3-4457-8029-4D4CDFEB0D28}"/>
    <hyperlink ref="C63" r:id="rId69" display="https://play.google.com/store/search?q=Logic%20Car%20Challenge&amp;c=apps&amp;hl=en-US" xr:uid="{FF29B025-2CD9-46CC-9A81-89CFFE996E55}"/>
    <hyperlink ref="C64" r:id="rId70" display="https://play.google.com/store/search?q=Luxury%20Vault%20Slots&amp;c=apps&amp;hl=en-US" xr:uid="{E0CDD7D3-4798-4EEA-84A3-F4F076869DAE}"/>
    <hyperlink ref="C66" r:id="rId71" display="https://play.google.com/store/apps/developer?id=Lakeseal+Bulls&amp;hl=en-US" xr:uid="{7DB1147C-E37A-4384-81B5-AE7888411EC0}"/>
    <hyperlink ref="C67" r:id="rId72" display="https://play.google.com/store/search?q=Pool%20Journey&amp;c=apps&amp;hl=en-US" xr:uid="{81B0DAC1-640F-4A12-84B7-5E4D0EF721B6}"/>
    <hyperlink ref="C68" r:id="rId73" display="https://play.google.com/store/search?q=Push%20The%20Coin&amp;c=apps&amp;hl=en-US" xr:uid="{AFD40FD0-358A-47FC-86D2-13A1A3CA8707}"/>
    <hyperlink ref="C18" r:id="rId74" display="https://play.google.com/store/search?q=scratch%20for%20luck&amp;c=apps&amp;hl=en-US" xr:uid="{0BB56B2D-AADF-4BE7-80C1-CD5C35C1358D}"/>
    <hyperlink ref="C74" r:id="rId75" display="https://galaxystore.samsung.com/detail/com.winrealcash.solitairedash.game" xr:uid="{5D4AF82D-167B-43E2-B70F-EF52806759A4}"/>
    <hyperlink ref="C75" r:id="rId76" display="https://www.appbrain.com/app/solitaire-delight/com.solitairedelight.joy.game" xr:uid="{FEBB9E0E-9FE5-431D-9C39-33E3F285A2C7}"/>
    <hyperlink ref="C70" r:id="rId77" display="https://play.google.com/store/apps/details?id=com.fatman.games.solitaire.oasis&amp;hl=en-US" xr:uid="{51B0367C-552F-46CF-B576-18798EF7A1AA}"/>
    <hyperlink ref="C17" r:id="rId78" display="https://play.google.com/store/search?q=Water%20Sorting%20Expedition&amp;c=apps&amp;hl=en-US" xr:uid="{98B016AB-5EEB-4D70-90E9-81192CE6B90F}"/>
    <hyperlink ref="C73" r:id="rId79" display="https://play.google.com/store/search?q=woody+cube+sort+color+puzzle&amp;c=apps&amp;hl=en-US" xr:uid="{33C396D1-A0B5-46F1-9935-DB0F0BE9610B}"/>
    <hyperlink ref="B14" r:id="rId80" xr:uid="{E81745ED-F4B9-4268-8794-133302AF823E}"/>
    <hyperlink ref="C14" r:id="rId81" display="https://play.google.com/store/apps/details?id=com.MoneyBingo.LuckyRewards.CashGame.RealMoney&amp;hl=en-US" xr:uid="{8A5D4E6E-B1B6-4283-902D-5DCB1067B3D4}"/>
    <hyperlink ref="C77" r:id="rId82" display="https://play.google.com/store/search?q=Bingo%20Mania%3A%20Lucky%20Win&amp;c=apps&amp;hl=en-US" xr:uid="{E490C9A8-D07C-4E86-B0BD-5C3A10EDDE43}"/>
    <hyperlink ref="C12" r:id="rId83" xr:uid="{7AD99BE1-F25B-423D-969B-548DD55B162B}"/>
    <hyperlink ref="C23" r:id="rId84" xr:uid="{A0017853-6BE8-4870-8F96-67CC8EDBDE4D}"/>
    <hyperlink ref="C26" r:id="rId85" display="Bubble Cash" xr:uid="{7453ABE7-8384-448A-B8E1-E6644A8A2148}"/>
    <hyperlink ref="C30" r:id="rId86" xr:uid="{F7F0C407-E5DF-4DF5-8034-7FB209E7AC7F}"/>
    <hyperlink ref="C32" r:id="rId87" display="Play to Earn" xr:uid="{C5F25EB6-1C24-4A98-B1C1-AF5D8CF37B63}"/>
    <hyperlink ref="B32" r:id="rId88" xr:uid="{CE2141E9-8614-433B-8681-F914C627D62C}"/>
    <hyperlink ref="B30" r:id="rId89" xr:uid="{B8CCE52D-3E99-4D3E-A7E9-60241B96C025}"/>
    <hyperlink ref="C35" r:id="rId90" xr:uid="{5D4C7218-0311-45CC-914D-737E213DF2A2}"/>
    <hyperlink ref="B35" r:id="rId91" xr:uid="{514E2C02-A8CF-4553-9F08-0313AFEBD644}"/>
    <hyperlink ref="C33" r:id="rId92" xr:uid="{0B1A1D76-5621-4F4B-BDCF-DF45F2959C8B}"/>
    <hyperlink ref="B33" r:id="rId93" xr:uid="{C72ADBDC-FF6A-40B6-8884-512EB94D8408}"/>
    <hyperlink ref="B31" r:id="rId94" xr:uid="{F83647B1-9FA4-459B-8E1C-F8B18B883076}"/>
    <hyperlink ref="C31" r:id="rId95" xr:uid="{A8727A71-D778-4611-B17D-A8EBBD8D5DCD}"/>
    <hyperlink ref="C37" r:id="rId96" xr:uid="{4F7EED45-34D8-484E-9EFF-8443ED8E0945}"/>
    <hyperlink ref="C38" r:id="rId97" xr:uid="{8A52ADE6-A6D6-48CB-BCB6-DF36B15034A7}"/>
    <hyperlink ref="C40" r:id="rId98" xr:uid="{7045BE0E-04F4-47A5-9EC2-E178F95118D7}"/>
    <hyperlink ref="B22" r:id="rId99" xr:uid="{6B26DF6C-55AD-4F5B-BE9D-21852C5725F6}"/>
    <hyperlink ref="C22" r:id="rId100" xr:uid="{F252425E-8F73-4E57-B25C-EAB5DFCCEAC9}"/>
    <hyperlink ref="C36" r:id="rId101" xr:uid="{DB044FD6-1AA9-4D9A-A728-36E3309A902E}"/>
    <hyperlink ref="B36" r:id="rId102" xr:uid="{5529E21F-B490-4012-BBA5-663A1E355A09}"/>
    <hyperlink ref="C25" r:id="rId103" xr:uid="{1727362F-CFDE-4A2D-9DC3-3F2A4E2F9D4B}"/>
    <hyperlink ref="B25" r:id="rId104" xr:uid="{F27E8C1C-A2D1-4F0C-9540-0A18D7F878DD}"/>
    <hyperlink ref="B26" r:id="rId105" display="Papaya Gaming Ltd." xr:uid="{6598A566-63A0-4037-A348-0865E561AF3B}"/>
    <hyperlink ref="C34" r:id="rId106" xr:uid="{E372A5CF-8CCD-4330-8F69-21B5EBE97434}"/>
    <hyperlink ref="B34" r:id="rId107" xr:uid="{BE55F64E-2517-476B-A832-74E7126BDD25}"/>
    <hyperlink ref="B12" r:id="rId108" xr:uid="{99052C8F-2BF6-40BE-904C-210F16868B69}"/>
    <hyperlink ref="B41" r:id="rId109" xr:uid="{B51BC29F-85F4-47A8-8A56-CE8ED672D147}"/>
    <hyperlink ref="C41" r:id="rId110" xr:uid="{5F58BB3B-1A08-4F06-A706-F996DCD69DAD}"/>
    <hyperlink ref="B16" r:id="rId111" xr:uid="{4C2B25AB-990D-405D-94D1-D52D18C3741E}"/>
    <hyperlink ref="C16" r:id="rId112" xr:uid="{B5585359-1236-4074-9213-EF0797FB8515}"/>
    <hyperlink ref="A16" r:id="rId113" xr:uid="{CE000A71-3833-48F3-A79B-41781CA152F3}"/>
    <hyperlink ref="B11" r:id="rId114" location=":~:text=Olympus%20Slots:%20Goddess%20Wins%20Download%20APK%201.0.1%20(113.9,Wins%201.0.1%20(2)" display="Unum bersahaja" xr:uid="{791778CD-E559-48A4-BFEC-5E1101AA9CA7}"/>
    <hyperlink ref="C11" r:id="rId115" location=":~:text=Olympus%20Slots:%20Goddess%20Wins%20Download%20APK%201.0.1%20(113.9,Wins%201.0.1%20(2)" xr:uid="{9558F4A3-CEE0-48A5-B3DA-CF456600F9B7}"/>
    <hyperlink ref="A11" r:id="rId116" xr:uid="{40F35789-CB0D-48B4-A6B7-95203D353589}"/>
    <hyperlink ref="A15" r:id="rId117" xr:uid="{61042EEC-252E-44CB-9166-04C2E5931253}"/>
    <hyperlink ref="C15" r:id="rId118" xr:uid="{BA162C48-D224-476B-B7A5-E923C785CAAC}"/>
    <hyperlink ref="B15" r:id="rId119" xr:uid="{F58F7CE9-778C-481B-9F7D-78B84ADE5C45}"/>
    <hyperlink ref="A24" r:id="rId120" xr:uid="{6BEA084F-AF76-43B7-B839-33CE33CCCEBC}"/>
    <hyperlink ref="C24" r:id="rId121" xr:uid="{F08748CE-2492-4ADF-8D5D-8BD4F91FC575}"/>
    <hyperlink ref="B24" r:id="rId122" xr:uid="{E12B584E-DF4C-4120-9C3C-211B1AE539A3}"/>
    <hyperlink ref="A35" r:id="rId123" display="JustPlay" xr:uid="{C0C151AB-D9AE-493E-8664-F428F1A00CD6}"/>
    <hyperlink ref="A32" r:id="rId124" xr:uid="{32C162AF-4A1C-4FFC-B595-F348E2C9F45C}"/>
    <hyperlink ref="A39" r:id="rId125" display="PlayWell Team" xr:uid="{FE7067D8-8B83-4DD7-AAD5-E02292023E8E}"/>
    <hyperlink ref="A41" r:id="rId126" display="PlayWell Team" xr:uid="{C9473D50-D8D9-4DD7-AF21-B2023CE433E3}"/>
    <hyperlink ref="B23" r:id="rId127" xr:uid="{ADCE335D-F708-4F88-B6C5-08F7DEC12394}"/>
    <hyperlink ref="C28" r:id="rId128" xr:uid="{04170778-0B5D-4D32-976E-7E180A038BE9}"/>
    <hyperlink ref="B28" r:id="rId129" xr:uid="{B360BDDA-2AFB-42B7-AAD8-19E712FB42C5}"/>
    <hyperlink ref="A28" r:id="rId130" xr:uid="{77DD8776-537B-44E2-BBBE-4B4BB512E148}"/>
    <hyperlink ref="A21" r:id="rId131" display="JustPlay" xr:uid="{58BAC42C-96BB-4CD8-ABF7-BB8CC93AD91C}"/>
    <hyperlink ref="B21" r:id="rId132" xr:uid="{40B8180C-4FB6-4237-9364-0CF5898746C6}"/>
    <hyperlink ref="C21" r:id="rId133" xr:uid="{4DB38E1C-BFB9-464F-86D9-6C1A21E56E5E}"/>
    <hyperlink ref="A20" r:id="rId134" display="JustPlay" xr:uid="{2749780B-0F01-4A7A-A377-9EBFD687A0DB}"/>
    <hyperlink ref="A69" r:id="rId135" xr:uid="{6055AB79-E6AB-443D-8046-ABB419CA4B15}"/>
    <hyperlink ref="B69" r:id="rId136" xr:uid="{671FB6E5-C5E8-4F9E-950F-BBA8B27774F2}"/>
    <hyperlink ref="C69" r:id="rId137" xr:uid="{98B4F02C-2570-4806-AAC7-CB7C25853B81}"/>
    <hyperlink ref="A10" r:id="rId138" xr:uid="{36DDCBE6-7C49-40CF-87D1-5BC2BB02B269}"/>
    <hyperlink ref="A60" r:id="rId139" xr:uid="{F6CF5462-5392-4AC0-922D-2DC59C800D68}"/>
    <hyperlink ref="C60" r:id="rId140" xr:uid="{F5396027-A7DF-4F3D-B68C-49317E2C482E}"/>
    <hyperlink ref="B60" r:id="rId141" xr:uid="{DEC9C253-0862-41C1-9214-F5BB755EABDC}"/>
    <hyperlink ref="D9" r:id="rId142" xr:uid="{CFC24824-B404-45C6-AE5B-241168138F17}"/>
    <hyperlink ref="D11:D14" r:id="rId143" display="Google Play" xr:uid="{C285E6DB-36E9-47C8-9F82-57180CE135EB}"/>
    <hyperlink ref="D22:D25" r:id="rId144" display="Google Play" xr:uid="{0800054A-1829-448E-BBF0-B6186F0BE3DD}"/>
    <hyperlink ref="D28:D29" r:id="rId145" display="Google Play" xr:uid="{78A6A2D0-838E-4F50-9075-3A951BD9CF32}"/>
    <hyperlink ref="D31:D49" r:id="rId146" display="Google Play" xr:uid="{F4DF8812-A2FD-416B-AE84-D3C5ABE4F2C3}"/>
    <hyperlink ref="D51:D59" r:id="rId147" display="Google Play" xr:uid="{5DF5E1EA-70C6-42CB-8D63-C5E1A10DAFF3}"/>
    <hyperlink ref="D61:D63" r:id="rId148" display="Google Play" xr:uid="{5235DC4A-5AB7-4A28-8323-737FFABAA0A3}"/>
    <hyperlink ref="D75:D77" r:id="rId149" display="Google Play" xr:uid="{559011CE-A9F2-4F43-B35F-A4C8CFC734D6}"/>
    <hyperlink ref="B77" r:id="rId150" xr:uid="{D6954633-AAB6-4978-ADDC-40CABFAF7099}"/>
    <hyperlink ref="A18:A19" r:id="rId151" display="Good Charge" xr:uid="{88762FE5-5075-46A6-98C2-326F3511ECA3}"/>
    <hyperlink ref="D77" r:id="rId152" xr:uid="{2477A9D9-EDB8-4677-ABF6-1FAD65608F6D}"/>
    <hyperlink ref="D10" r:id="rId153" xr:uid="{78729514-F7A1-4140-B08F-42385FDB4868}"/>
    <hyperlink ref="D26" r:id="rId154" xr:uid="{AE8880EB-818D-464B-A33B-0ECED92AE4DD}"/>
    <hyperlink ref="D65" r:id="rId155" xr:uid="{5F4CF3DE-BCBA-415A-BBD4-F1D572529EAE}"/>
    <hyperlink ref="D69" r:id="rId156" xr:uid="{2BBBF4D2-EE68-461C-BC12-09D0F51C89A9}"/>
    <hyperlink ref="D71" r:id="rId157" xr:uid="{91323A4D-B85D-4B7E-96A5-6898A36DFFAE}"/>
    <hyperlink ref="D74" r:id="rId158" xr:uid="{DEC05941-AD7E-482C-8BBD-1A1948E3A3A2}"/>
    <hyperlink ref="A2" r:id="rId159" display="as of 20250920 Set Aside 1-3 hours/day; Thank me later with a tip?" xr:uid="{C03287BC-9D04-4987-9245-02912F71F9FD}"/>
  </hyperlinks>
  <pageMargins left="0.7" right="0.7" top="0.75" bottom="0.75" header="0.3" footer="0.3"/>
  <drawing r:id="rId160"/>
  <legacyDrawing r:id="rId16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20270-4429-4BB4-9271-4224868FCC78}">
  <sheetPr codeName="Sheet32">
    <tabColor theme="1" tint="0.499984740745262"/>
  </sheetPr>
  <dimension ref="A1:U25"/>
  <sheetViews>
    <sheetView workbookViewId="0">
      <pane ySplit="4" topLeftCell="A5" activePane="bottomLeft" state="frozen"/>
      <selection pane="bottomLeft" activeCell="A5" sqref="A5"/>
    </sheetView>
  </sheetViews>
  <sheetFormatPr defaultRowHeight="14.4" x14ac:dyDescent="0.3"/>
  <cols>
    <col min="1" max="1" width="27.109375" style="154" bestFit="1" customWidth="1"/>
    <col min="2" max="16384" width="8.88671875" style="154"/>
  </cols>
  <sheetData>
    <row r="1" spans="1:21" s="1996" customFormat="1" ht="21" x14ac:dyDescent="0.4">
      <c r="A1" s="1685" t="s">
        <v>2617</v>
      </c>
      <c r="B1" s="1685"/>
      <c r="C1" s="1685"/>
      <c r="D1" s="1685"/>
      <c r="E1" s="1685"/>
      <c r="F1" s="1685"/>
      <c r="G1" s="1685"/>
      <c r="H1" s="1685"/>
      <c r="I1" s="1685"/>
      <c r="J1" s="1685"/>
      <c r="K1" s="1685"/>
      <c r="L1" s="1685"/>
      <c r="M1" s="1685"/>
      <c r="N1" s="1685"/>
      <c r="O1" s="1685"/>
      <c r="P1" s="1685"/>
      <c r="Q1" s="1685"/>
      <c r="R1" s="1685"/>
      <c r="S1" s="1685"/>
      <c r="T1" s="1685"/>
      <c r="U1" s="1685"/>
    </row>
    <row r="2" spans="1:21" s="271" customFormat="1" ht="40.799999999999997" customHeight="1" x14ac:dyDescent="0.3">
      <c r="A2" s="1685"/>
      <c r="B2" s="1685"/>
      <c r="C2" s="1685"/>
      <c r="D2" s="1685"/>
      <c r="E2" s="1685"/>
      <c r="F2" s="1685"/>
      <c r="G2" s="1685"/>
      <c r="H2" s="1685"/>
      <c r="I2" s="1685"/>
      <c r="J2" s="1685"/>
      <c r="K2" s="1685"/>
      <c r="L2" s="1685"/>
      <c r="M2" s="1685"/>
      <c r="N2" s="1685"/>
      <c r="O2" s="1685"/>
      <c r="P2" s="1685"/>
      <c r="Q2" s="1685"/>
      <c r="R2" s="1685"/>
      <c r="S2" s="1685"/>
      <c r="T2" s="1685"/>
      <c r="U2" s="1685"/>
    </row>
    <row r="3" spans="1:21" s="1503" customFormat="1" x14ac:dyDescent="0.3">
      <c r="A3" s="283"/>
      <c r="B3" s="1963"/>
      <c r="C3" s="283"/>
      <c r="D3" s="283"/>
      <c r="E3" s="283"/>
      <c r="F3" s="283"/>
      <c r="G3" s="283"/>
      <c r="H3" s="283"/>
      <c r="I3" s="283"/>
      <c r="J3" s="283"/>
      <c r="K3" s="283"/>
      <c r="L3" s="283"/>
      <c r="M3" s="283"/>
      <c r="N3" s="283"/>
      <c r="O3" s="283"/>
      <c r="P3" s="283"/>
      <c r="Q3" s="283"/>
      <c r="R3" s="283"/>
      <c r="S3" s="283"/>
      <c r="T3" s="283"/>
      <c r="U3" s="283"/>
    </row>
    <row r="4" spans="1:21" s="1503" customFormat="1" x14ac:dyDescent="0.3">
      <c r="A4" s="521" t="s">
        <v>2616</v>
      </c>
      <c r="B4" s="521"/>
      <c r="C4" s="521"/>
      <c r="D4" s="521"/>
      <c r="E4" s="521"/>
      <c r="F4" s="521"/>
      <c r="G4" s="521"/>
      <c r="H4" s="521"/>
      <c r="I4" s="521"/>
      <c r="J4" s="521"/>
      <c r="K4" s="521"/>
      <c r="L4" s="521"/>
      <c r="M4" s="521"/>
      <c r="N4" s="521"/>
      <c r="O4" s="521"/>
      <c r="P4" s="521"/>
      <c r="Q4" s="521"/>
      <c r="R4" s="521"/>
      <c r="S4" s="521"/>
      <c r="T4" s="521"/>
      <c r="U4" s="521"/>
    </row>
    <row r="5" spans="1:21" x14ac:dyDescent="0.3">
      <c r="A5" s="1875" t="s">
        <v>2399</v>
      </c>
      <c r="B5" s="1875"/>
      <c r="C5" s="1875"/>
      <c r="D5" s="1875"/>
      <c r="E5" s="1875"/>
      <c r="F5" s="1875"/>
      <c r="G5" s="1875"/>
      <c r="H5" s="1875"/>
      <c r="I5" s="1875"/>
      <c r="J5" s="1875"/>
      <c r="K5" s="1875"/>
      <c r="L5" s="1875"/>
      <c r="M5" s="1875"/>
      <c r="N5" s="1875"/>
      <c r="O5" s="1875"/>
      <c r="P5" s="1875"/>
      <c r="Q5" s="1875"/>
      <c r="R5" s="1875"/>
      <c r="S5" s="1875"/>
      <c r="T5" s="1875"/>
      <c r="U5" s="1875"/>
    </row>
    <row r="6" spans="1:21" x14ac:dyDescent="0.3">
      <c r="A6" s="1875" t="s">
        <v>2400</v>
      </c>
      <c r="B6" s="1875" t="s">
        <v>2401</v>
      </c>
      <c r="C6" s="1875" t="s">
        <v>2402</v>
      </c>
      <c r="D6" s="1875" t="s">
        <v>2403</v>
      </c>
      <c r="E6" s="1875"/>
      <c r="F6" s="1999" t="s">
        <v>2404</v>
      </c>
      <c r="G6" s="1875"/>
      <c r="H6" s="1875"/>
      <c r="I6" s="1875"/>
      <c r="J6" s="1875"/>
      <c r="K6" s="1875"/>
      <c r="L6" s="1875"/>
      <c r="M6" s="1875"/>
      <c r="N6" s="1875"/>
      <c r="O6" s="1875"/>
      <c r="P6" s="1875"/>
      <c r="Q6" s="1875"/>
      <c r="R6" s="1875"/>
      <c r="S6" s="1875"/>
      <c r="T6" s="1875"/>
      <c r="U6" s="1875"/>
    </row>
    <row r="7" spans="1:21" x14ac:dyDescent="0.3">
      <c r="A7" s="1875" t="s">
        <v>2405</v>
      </c>
      <c r="B7" s="2000">
        <v>30</v>
      </c>
      <c r="C7" s="2000">
        <v>30</v>
      </c>
      <c r="D7" s="2000">
        <v>30</v>
      </c>
      <c r="E7" s="1875"/>
      <c r="F7" s="2001" t="s">
        <v>2406</v>
      </c>
      <c r="G7" s="1875"/>
      <c r="H7" s="1875"/>
      <c r="I7" s="1875"/>
      <c r="J7" s="1875"/>
      <c r="K7" s="1875"/>
      <c r="L7" s="1875"/>
      <c r="M7" s="1875"/>
      <c r="N7" s="1875"/>
      <c r="O7" s="1875"/>
      <c r="P7" s="1875"/>
      <c r="Q7" s="1875"/>
      <c r="R7" s="1875"/>
      <c r="S7" s="1875"/>
      <c r="T7" s="1875"/>
      <c r="U7" s="1875"/>
    </row>
    <row r="8" spans="1:21" x14ac:dyDescent="0.3">
      <c r="A8" s="1875" t="s">
        <v>2407</v>
      </c>
      <c r="B8" s="2001">
        <f>420*0.655</f>
        <v>275.10000000000002</v>
      </c>
      <c r="C8" s="2001">
        <f t="shared" ref="C8:D8" si="0">420*0.655</f>
        <v>275.10000000000002</v>
      </c>
      <c r="D8" s="2001">
        <f t="shared" si="0"/>
        <v>275.10000000000002</v>
      </c>
      <c r="E8" s="1875"/>
      <c r="F8" s="2002" t="s">
        <v>2408</v>
      </c>
      <c r="G8" s="1875"/>
      <c r="H8" s="1875"/>
      <c r="I8" s="1875"/>
      <c r="J8" s="1875"/>
      <c r="K8" s="1875"/>
      <c r="L8" s="1875"/>
      <c r="M8" s="1875"/>
      <c r="N8" s="1875"/>
      <c r="O8" s="1875"/>
      <c r="P8" s="1875"/>
      <c r="Q8" s="1875"/>
      <c r="R8" s="1875"/>
      <c r="S8" s="1875"/>
      <c r="T8" s="1875"/>
      <c r="U8" s="1875"/>
    </row>
    <row r="9" spans="1:21" x14ac:dyDescent="0.3">
      <c r="A9" s="1875" t="s">
        <v>2409</v>
      </c>
      <c r="B9" s="2001">
        <v>65</v>
      </c>
      <c r="C9" s="2001">
        <v>65</v>
      </c>
      <c r="D9" s="2001">
        <v>65</v>
      </c>
      <c r="E9" s="1875"/>
      <c r="F9" s="1875"/>
      <c r="G9" s="1875"/>
      <c r="H9" s="1875"/>
      <c r="I9" s="1875"/>
      <c r="J9" s="1875"/>
      <c r="K9" s="1875"/>
      <c r="L9" s="1875"/>
      <c r="M9" s="1875"/>
      <c r="N9" s="1875"/>
      <c r="O9" s="1875"/>
      <c r="P9" s="1875"/>
      <c r="Q9" s="1875"/>
      <c r="R9" s="1875"/>
      <c r="S9" s="1875"/>
      <c r="T9" s="1875"/>
      <c r="U9" s="1875"/>
    </row>
    <row r="10" spans="1:21" x14ac:dyDescent="0.3">
      <c r="A10" s="1875" t="s">
        <v>2410</v>
      </c>
      <c r="B10" s="1875">
        <v>446</v>
      </c>
      <c r="C10" s="1875"/>
      <c r="D10" s="1875"/>
      <c r="E10" s="1875"/>
      <c r="F10" s="1875"/>
      <c r="G10" s="1875"/>
      <c r="H10" s="1875"/>
      <c r="I10" s="1875"/>
      <c r="J10" s="1875"/>
      <c r="K10" s="1875"/>
      <c r="L10" s="1875"/>
      <c r="M10" s="1875"/>
      <c r="N10" s="1875"/>
      <c r="O10" s="1875"/>
      <c r="P10" s="1875"/>
      <c r="Q10" s="1875"/>
      <c r="R10" s="1875"/>
      <c r="S10" s="1875"/>
      <c r="T10" s="1875"/>
      <c r="U10" s="1875"/>
    </row>
    <row r="11" spans="1:21" x14ac:dyDescent="0.3">
      <c r="A11" s="1875" t="s">
        <v>2411</v>
      </c>
      <c r="B11" s="2001">
        <v>200</v>
      </c>
      <c r="C11" s="2001">
        <v>200</v>
      </c>
      <c r="D11" s="2001">
        <v>200</v>
      </c>
      <c r="E11" s="1875"/>
      <c r="F11" s="1875"/>
      <c r="G11" s="1875"/>
      <c r="H11" s="1875"/>
      <c r="I11" s="1875"/>
      <c r="J11" s="1875"/>
      <c r="K11" s="1875"/>
      <c r="L11" s="1875"/>
      <c r="M11" s="1875"/>
      <c r="N11" s="1875"/>
      <c r="O11" s="1875"/>
      <c r="P11" s="1875"/>
      <c r="Q11" s="1875"/>
      <c r="R11" s="1875"/>
      <c r="S11" s="1875"/>
      <c r="T11" s="1875"/>
      <c r="U11" s="1875"/>
    </row>
    <row r="12" spans="1:21" x14ac:dyDescent="0.3">
      <c r="A12" s="1875" t="s">
        <v>2412</v>
      </c>
      <c r="B12" s="1875">
        <f>1604-420</f>
        <v>1184</v>
      </c>
      <c r="C12" s="1875">
        <f>B12-420</f>
        <v>764</v>
      </c>
      <c r="D12" s="1875">
        <f>C12-420</f>
        <v>344</v>
      </c>
      <c r="E12" s="1875"/>
      <c r="F12" s="1875"/>
      <c r="G12" s="1875"/>
      <c r="H12" s="1875"/>
      <c r="I12" s="1875"/>
      <c r="J12" s="1875"/>
      <c r="K12" s="1875"/>
      <c r="L12" s="1875"/>
      <c r="M12" s="1875"/>
      <c r="N12" s="1875"/>
      <c r="O12" s="1875"/>
      <c r="P12" s="1875"/>
      <c r="Q12" s="1875"/>
      <c r="R12" s="1875"/>
      <c r="S12" s="1875"/>
      <c r="T12" s="1875"/>
      <c r="U12" s="1875"/>
    </row>
    <row r="13" spans="1:21" x14ac:dyDescent="0.3">
      <c r="A13" s="1875"/>
      <c r="B13" s="1875"/>
      <c r="C13" s="1875"/>
      <c r="D13" s="1875"/>
      <c r="E13" s="1875"/>
      <c r="F13" s="1875"/>
      <c r="G13" s="1875"/>
      <c r="H13" s="1875"/>
      <c r="I13" s="1875"/>
      <c r="J13" s="1875"/>
      <c r="K13" s="1875"/>
      <c r="L13" s="1875"/>
      <c r="M13" s="1875"/>
      <c r="N13" s="1875"/>
      <c r="O13" s="1875"/>
      <c r="P13" s="1875"/>
      <c r="Q13" s="1875"/>
      <c r="R13" s="1875"/>
      <c r="S13" s="1875"/>
      <c r="T13" s="1875"/>
      <c r="U13" s="1875"/>
    </row>
    <row r="14" spans="1:21" x14ac:dyDescent="0.3">
      <c r="A14" s="1875" t="s">
        <v>2413</v>
      </c>
      <c r="B14" s="1875"/>
      <c r="C14" s="1875"/>
      <c r="D14" s="1875"/>
      <c r="E14" s="1875"/>
      <c r="F14" s="1875"/>
      <c r="G14" s="1875"/>
      <c r="H14" s="1875"/>
      <c r="I14" s="1875"/>
      <c r="J14" s="1875"/>
      <c r="K14" s="1875"/>
      <c r="L14" s="1875"/>
      <c r="M14" s="1875"/>
      <c r="N14" s="1875"/>
      <c r="O14" s="1875"/>
      <c r="P14" s="1875"/>
      <c r="Q14" s="1875"/>
      <c r="R14" s="1875"/>
      <c r="S14" s="1875"/>
      <c r="T14" s="1875"/>
      <c r="U14" s="1875"/>
    </row>
    <row r="15" spans="1:21" x14ac:dyDescent="0.3">
      <c r="A15" s="1875" t="s">
        <v>2400</v>
      </c>
      <c r="B15" s="1875" t="s">
        <v>2401</v>
      </c>
      <c r="C15" s="1875" t="s">
        <v>2402</v>
      </c>
      <c r="D15" s="1875" t="s">
        <v>2403</v>
      </c>
      <c r="E15" s="1875" t="s">
        <v>2414</v>
      </c>
      <c r="F15" s="1875" t="s">
        <v>2415</v>
      </c>
      <c r="G15" s="1875" t="s">
        <v>2416</v>
      </c>
      <c r="H15" s="1875" t="s">
        <v>2417</v>
      </c>
      <c r="I15" s="1875" t="s">
        <v>2418</v>
      </c>
      <c r="J15" s="1875" t="s">
        <v>2419</v>
      </c>
      <c r="K15" s="1875"/>
      <c r="L15" s="1875"/>
      <c r="M15" s="1875"/>
      <c r="N15" s="1875"/>
      <c r="O15" s="1875"/>
      <c r="P15" s="1875"/>
      <c r="Q15" s="1875"/>
      <c r="R15" s="1875"/>
      <c r="S15" s="1875"/>
      <c r="T15" s="1875"/>
      <c r="U15" s="1875"/>
    </row>
    <row r="16" spans="1:21" x14ac:dyDescent="0.3">
      <c r="A16" s="1875" t="s">
        <v>2405</v>
      </c>
      <c r="B16" s="2000">
        <v>30</v>
      </c>
      <c r="C16" s="2000">
        <v>30</v>
      </c>
      <c r="D16" s="2000">
        <v>30</v>
      </c>
      <c r="E16" s="2000">
        <v>30</v>
      </c>
      <c r="F16" s="2000">
        <v>30</v>
      </c>
      <c r="G16" s="2000">
        <v>30</v>
      </c>
      <c r="H16" s="2000">
        <v>30</v>
      </c>
      <c r="I16" s="2000">
        <v>30</v>
      </c>
      <c r="J16" s="2000">
        <v>30</v>
      </c>
      <c r="K16" s="1875"/>
      <c r="L16" s="1875"/>
      <c r="M16" s="1875"/>
      <c r="N16" s="1875"/>
      <c r="O16" s="1875"/>
      <c r="P16" s="1875"/>
      <c r="Q16" s="1875"/>
      <c r="R16" s="1875"/>
      <c r="S16" s="1875"/>
      <c r="T16" s="1875"/>
      <c r="U16" s="1875"/>
    </row>
    <row r="17" spans="1:21" x14ac:dyDescent="0.3">
      <c r="A17" s="1875" t="s">
        <v>2407</v>
      </c>
      <c r="B17" s="2001">
        <f>25*0.65</f>
        <v>16.25</v>
      </c>
      <c r="C17" s="1875"/>
      <c r="D17" s="1875"/>
      <c r="E17" s="1875"/>
      <c r="F17" s="1875"/>
      <c r="G17" s="1875"/>
      <c r="H17" s="2001">
        <f>420*0.655</f>
        <v>275.10000000000002</v>
      </c>
      <c r="I17" s="2001">
        <f t="shared" ref="I17:J17" si="1">420*0.655</f>
        <v>275.10000000000002</v>
      </c>
      <c r="J17" s="2001">
        <f t="shared" si="1"/>
        <v>275.10000000000002</v>
      </c>
      <c r="K17" s="1875"/>
      <c r="L17" s="1875"/>
      <c r="M17" s="1875"/>
      <c r="N17" s="1875"/>
      <c r="O17" s="1875"/>
      <c r="P17" s="1875"/>
      <c r="Q17" s="1875"/>
      <c r="R17" s="1875"/>
      <c r="S17" s="1875"/>
      <c r="T17" s="1875"/>
      <c r="U17" s="1875"/>
    </row>
    <row r="18" spans="1:21" x14ac:dyDescent="0.3">
      <c r="A18" s="1875" t="s">
        <v>2420</v>
      </c>
      <c r="B18" s="2001">
        <v>8</v>
      </c>
      <c r="C18" s="2001">
        <v>8</v>
      </c>
      <c r="D18" s="2001">
        <v>8</v>
      </c>
      <c r="E18" s="2001">
        <v>8</v>
      </c>
      <c r="F18" s="2001">
        <v>8</v>
      </c>
      <c r="G18" s="2001">
        <v>8</v>
      </c>
      <c r="H18" s="2001">
        <v>8</v>
      </c>
      <c r="I18" s="2001">
        <v>8</v>
      </c>
      <c r="J18" s="2001">
        <v>8</v>
      </c>
      <c r="K18" s="1875"/>
      <c r="L18" s="1875"/>
      <c r="M18" s="1875"/>
      <c r="N18" s="1875"/>
      <c r="O18" s="1875"/>
      <c r="P18" s="1875"/>
      <c r="Q18" s="1875"/>
      <c r="R18" s="1875"/>
      <c r="S18" s="1875"/>
      <c r="T18" s="1875"/>
      <c r="U18" s="1875"/>
    </row>
    <row r="19" spans="1:21" x14ac:dyDescent="0.3">
      <c r="A19" s="1875" t="s">
        <v>2409</v>
      </c>
      <c r="B19" s="1875"/>
      <c r="C19" s="1875"/>
      <c r="D19" s="1875"/>
      <c r="E19" s="1875"/>
      <c r="F19" s="1875"/>
      <c r="G19" s="1875"/>
      <c r="H19" s="2001">
        <v>65</v>
      </c>
      <c r="I19" s="2001">
        <v>65</v>
      </c>
      <c r="J19" s="2001">
        <v>65</v>
      </c>
      <c r="K19" s="1875"/>
      <c r="L19" s="1875"/>
      <c r="M19" s="1875"/>
      <c r="N19" s="1875"/>
      <c r="O19" s="1875"/>
      <c r="P19" s="1875"/>
      <c r="Q19" s="1875"/>
      <c r="R19" s="1875"/>
      <c r="S19" s="1875"/>
      <c r="T19" s="1875"/>
      <c r="U19" s="1875"/>
    </row>
    <row r="20" spans="1:21" x14ac:dyDescent="0.3">
      <c r="A20" s="1875" t="s">
        <v>2410</v>
      </c>
      <c r="B20" s="1875">
        <v>446</v>
      </c>
      <c r="C20" s="1875"/>
      <c r="D20" s="1875"/>
      <c r="E20" s="1875"/>
      <c r="F20" s="1875"/>
      <c r="G20" s="1875"/>
      <c r="H20" s="1875"/>
      <c r="I20" s="1875"/>
      <c r="J20" s="1875"/>
      <c r="K20" s="1875"/>
      <c r="L20" s="1875"/>
      <c r="M20" s="1875"/>
      <c r="N20" s="1875"/>
      <c r="O20" s="1875"/>
      <c r="P20" s="1875"/>
      <c r="Q20" s="1875"/>
      <c r="R20" s="1875"/>
      <c r="S20" s="1875"/>
      <c r="T20" s="1875"/>
      <c r="U20" s="1875"/>
    </row>
    <row r="21" spans="1:21" x14ac:dyDescent="0.3">
      <c r="A21" s="1875" t="s">
        <v>2421</v>
      </c>
      <c r="B21" s="1875"/>
      <c r="C21" s="1875"/>
      <c r="D21" s="1875"/>
      <c r="E21" s="1875"/>
      <c r="F21" s="1875"/>
      <c r="G21" s="1875"/>
      <c r="H21" s="2001">
        <v>250</v>
      </c>
      <c r="I21" s="2001">
        <v>250</v>
      </c>
      <c r="J21" s="2001">
        <v>250</v>
      </c>
      <c r="K21" s="1875"/>
      <c r="L21" s="1875"/>
      <c r="M21" s="1875"/>
      <c r="N21" s="1875"/>
      <c r="O21" s="1875"/>
      <c r="P21" s="1875"/>
      <c r="Q21" s="1875"/>
      <c r="R21" s="1875"/>
      <c r="S21" s="1875"/>
      <c r="T21" s="1875"/>
      <c r="U21" s="1875"/>
    </row>
    <row r="22" spans="1:21" x14ac:dyDescent="0.3">
      <c r="A22" s="1875" t="s">
        <v>2412</v>
      </c>
      <c r="B22" s="1875"/>
      <c r="C22" s="1875"/>
      <c r="D22" s="1875"/>
      <c r="E22" s="1875"/>
      <c r="F22" s="1875"/>
      <c r="G22" s="1875"/>
      <c r="H22" s="1875">
        <v>420</v>
      </c>
      <c r="I22" s="1875">
        <v>420</v>
      </c>
      <c r="J22" s="1875">
        <v>344</v>
      </c>
      <c r="K22" s="1875"/>
      <c r="L22" s="1875"/>
      <c r="M22" s="1875"/>
      <c r="N22" s="1875"/>
      <c r="O22" s="1875"/>
      <c r="P22" s="1875"/>
      <c r="Q22" s="1875"/>
      <c r="R22" s="1875"/>
      <c r="S22" s="1875"/>
      <c r="T22" s="1875"/>
      <c r="U22" s="1875"/>
    </row>
    <row r="23" spans="1:21" x14ac:dyDescent="0.3">
      <c r="A23" s="1995"/>
      <c r="B23" s="1995"/>
      <c r="C23" s="1995"/>
      <c r="D23" s="1995"/>
      <c r="E23" s="1995"/>
      <c r="F23" s="1995"/>
      <c r="G23" s="1995"/>
      <c r="H23" s="1995"/>
      <c r="I23" s="1995"/>
      <c r="J23" s="1995"/>
      <c r="K23" s="1995"/>
      <c r="L23" s="1995"/>
      <c r="M23" s="1995"/>
      <c r="N23" s="1995"/>
      <c r="O23" s="1995"/>
      <c r="P23" s="1995"/>
      <c r="Q23" s="1995"/>
      <c r="R23" s="1995"/>
      <c r="S23" s="330"/>
      <c r="T23" s="330"/>
      <c r="U23" s="330"/>
    </row>
    <row r="24" spans="1:21" x14ac:dyDescent="0.3">
      <c r="A24" s="1997"/>
      <c r="B24" s="1997"/>
      <c r="C24" s="1997"/>
      <c r="D24" s="1997"/>
      <c r="E24" s="1997"/>
      <c r="F24" s="1997"/>
      <c r="G24" s="1997"/>
      <c r="H24" s="1997"/>
      <c r="I24" s="1997"/>
      <c r="J24" s="1997"/>
      <c r="K24" s="1997"/>
      <c r="L24" s="1997"/>
      <c r="M24" s="1997"/>
      <c r="N24" s="1997"/>
      <c r="O24" s="1997"/>
      <c r="P24" s="1997"/>
      <c r="Q24" s="1997"/>
      <c r="R24" s="1997"/>
      <c r="S24" s="1998"/>
      <c r="T24" s="1998"/>
      <c r="U24" s="1998"/>
    </row>
    <row r="25" spans="1:21" x14ac:dyDescent="0.3">
      <c r="A25" s="283"/>
      <c r="B25" s="283" t="str">
        <f>DISCLAIMER!$A$35</f>
        <v>© 2025 by WinsWithMike.com or Michael Forsberg Nampa, Idaho. All rights reserved</v>
      </c>
      <c r="C25" s="283"/>
      <c r="D25" s="283"/>
      <c r="E25" s="283"/>
      <c r="F25" s="283"/>
      <c r="G25" s="283"/>
      <c r="H25" s="283"/>
      <c r="I25" s="283"/>
      <c r="J25" s="283"/>
      <c r="K25" s="283"/>
      <c r="L25" s="283"/>
      <c r="M25" s="283"/>
      <c r="N25" s="283"/>
      <c r="O25" s="283"/>
      <c r="P25" s="283"/>
      <c r="Q25" s="283"/>
      <c r="R25" s="283"/>
    </row>
  </sheetData>
  <sheetProtection sheet="1" objects="1" scenarios="1" insertRows="0" deleteRows="0" selectLockedCells="1" autoFilter="0" pivotTables="0"/>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74B96-9E07-439B-94E2-6C994E6AFB8E}">
  <sheetPr codeName="Sheet34">
    <tabColor theme="3" tint="0.499984740745262"/>
    <pageSetUpPr autoPageBreaks="0" fitToPage="1"/>
  </sheetPr>
  <dimension ref="A1:O19"/>
  <sheetViews>
    <sheetView showGridLines="0" workbookViewId="0">
      <pane ySplit="2" topLeftCell="A3" activePane="bottomLeft" state="frozen"/>
      <selection pane="bottomLeft" activeCell="A3" sqref="A3"/>
    </sheetView>
  </sheetViews>
  <sheetFormatPr defaultColWidth="11.44140625" defaultRowHeight="30" customHeight="1" x14ac:dyDescent="0.3"/>
  <cols>
    <col min="1" max="1" width="3.44140625" style="1821" customWidth="1"/>
    <col min="2" max="2" width="52.109375" style="1821" customWidth="1"/>
    <col min="3" max="4" width="22.77734375" style="1821" customWidth="1"/>
    <col min="5" max="5" width="3.44140625" style="1821" customWidth="1"/>
    <col min="6" max="6" width="11.44140625" style="1821"/>
    <col min="7" max="7" width="14.6640625" style="1821" bestFit="1" customWidth="1"/>
    <col min="8" max="16384" width="11.44140625" style="1821"/>
  </cols>
  <sheetData>
    <row r="1" spans="1:15" s="1685" customFormat="1" ht="30" customHeight="1" x14ac:dyDescent="0.3">
      <c r="A1" s="1685" t="s">
        <v>2398</v>
      </c>
    </row>
    <row r="2" spans="1:15" s="1685" customFormat="1" ht="30" customHeight="1" x14ac:dyDescent="0.3"/>
    <row r="3" spans="1:15" ht="20.100000000000001" customHeight="1" x14ac:dyDescent="0.3">
      <c r="A3" s="1859"/>
      <c r="B3" s="1859"/>
      <c r="C3" s="1859"/>
      <c r="D3" s="1859"/>
      <c r="E3" s="1859"/>
      <c r="F3" s="1859"/>
      <c r="G3" s="1859"/>
      <c r="H3" s="1859"/>
      <c r="I3" s="1859"/>
      <c r="J3" s="1859"/>
      <c r="K3" s="1859"/>
      <c r="L3" s="1859"/>
      <c r="M3" s="1859"/>
      <c r="N3" s="1859"/>
      <c r="O3" s="1859"/>
    </row>
    <row r="4" spans="1:15" ht="46.2" x14ac:dyDescent="0.85">
      <c r="A4" s="1822"/>
      <c r="B4" s="1839"/>
      <c r="C4" s="1822"/>
      <c r="D4" s="1822"/>
      <c r="E4" s="1822"/>
      <c r="F4" s="2082" t="s">
        <v>364</v>
      </c>
      <c r="G4" s="2082"/>
      <c r="H4" s="2082"/>
      <c r="I4" s="2082"/>
      <c r="J4" s="2082"/>
      <c r="K4" s="2082"/>
      <c r="L4" s="2082"/>
      <c r="M4" s="1859"/>
      <c r="N4" s="1859"/>
      <c r="O4" s="1859"/>
    </row>
    <row r="5" spans="1:15" s="1829" customFormat="1" ht="15.6" x14ac:dyDescent="0.25">
      <c r="A5" s="1830"/>
      <c r="B5" s="1838"/>
      <c r="C5" s="1837" t="str">
        <f ca="1">"FY-"&amp;YEAR(TODAY())-1</f>
        <v>FY-2024</v>
      </c>
      <c r="D5" s="1836" t="str">
        <f ca="1">"FY-"&amp;YEAR(TODAY())</f>
        <v>FY-2025</v>
      </c>
      <c r="E5" s="1830"/>
      <c r="F5" s="1810"/>
      <c r="G5" s="1811"/>
      <c r="H5" s="1811"/>
      <c r="I5" s="1811"/>
      <c r="J5" s="1811"/>
      <c r="K5" s="1812"/>
      <c r="L5" s="1812"/>
      <c r="M5" s="1859"/>
      <c r="N5" s="1859"/>
      <c r="O5" s="1859"/>
    </row>
    <row r="6" spans="1:15" s="1829" customFormat="1" ht="30" customHeight="1" x14ac:dyDescent="0.25">
      <c r="A6" s="1830"/>
      <c r="B6" s="1835" t="s">
        <v>1203</v>
      </c>
      <c r="C6" s="1834" t="s">
        <v>1202</v>
      </c>
      <c r="D6" s="1833" t="s">
        <v>1201</v>
      </c>
      <c r="E6" s="1830"/>
      <c r="F6" s="1810"/>
      <c r="G6" s="1813" t="s">
        <v>365</v>
      </c>
      <c r="H6" s="1810" t="s">
        <v>1180</v>
      </c>
      <c r="I6" s="1810"/>
      <c r="J6" s="1810"/>
      <c r="K6" s="1812"/>
      <c r="L6" s="1812"/>
      <c r="M6" s="1859"/>
      <c r="N6" s="1859"/>
      <c r="O6" s="1859"/>
    </row>
    <row r="7" spans="1:15" s="1829" customFormat="1" ht="30" customHeight="1" x14ac:dyDescent="0.25">
      <c r="A7" s="1830"/>
      <c r="B7" s="1857" t="s">
        <v>1200</v>
      </c>
      <c r="C7" s="1832">
        <f>SUMIFS(Assets[PRIOR YEAR],Assets[ASSET TYPE],Dashboard[[#This Row],[ASSET TYPE]])+SUMIFS(Liabilities[PRIOR YEAR],Liabilities[LIABILITY TYPE],Dashboard[[#This Row],[ASSET TYPE]])</f>
        <v>0</v>
      </c>
      <c r="D7" s="1831">
        <f>SUMIFS(Assets[CURRENT YEAR
from ''FINANCIAL STATEMENT'' tab],Assets[ASSET TYPE],Dashboard[[#This Row],[ASSET TYPE]])+SUMIFS(Liabilities[CURRENT YEAR
from ''FINANCIAL STATEMENT'' tab],Liabilities[LIABILITY TYPE],Dashboard[[#This Row],[ASSET TYPE]])</f>
        <v>501960</v>
      </c>
      <c r="E7" s="1830"/>
      <c r="F7" s="1810"/>
      <c r="G7" s="1813" t="s">
        <v>366</v>
      </c>
      <c r="H7" s="1810" t="s">
        <v>1134</v>
      </c>
      <c r="I7" s="1810"/>
      <c r="J7" s="1810"/>
      <c r="K7" s="1812"/>
      <c r="L7" s="1812"/>
      <c r="M7" s="1859"/>
      <c r="N7" s="1859"/>
      <c r="O7" s="1859"/>
    </row>
    <row r="8" spans="1:15" s="1829" customFormat="1" ht="30" customHeight="1" x14ac:dyDescent="0.25">
      <c r="A8" s="1830"/>
      <c r="B8" s="1857" t="s">
        <v>1199</v>
      </c>
      <c r="C8" s="1832">
        <f>SUMIFS(Assets[PRIOR YEAR],Assets[ASSET TYPE],Dashboard[[#This Row],[ASSET TYPE]])+SUMIFS(Liabilities[PRIOR YEAR],Liabilities[LIABILITY TYPE],Dashboard[[#This Row],[ASSET TYPE]])</f>
        <v>0</v>
      </c>
      <c r="D8" s="1831">
        <f>SUMIFS(Assets[CURRENT YEAR
from ''FINANCIAL STATEMENT'' tab],Assets[ASSET TYPE],Dashboard[[#This Row],[ASSET TYPE]])+SUMIFS(Liabilities[CURRENT YEAR
from ''FINANCIAL STATEMENT'' tab],Liabilities[LIABILITY TYPE],Dashboard[[#This Row],[ASSET TYPE]])</f>
        <v>378132</v>
      </c>
      <c r="E8" s="1830"/>
      <c r="F8" s="1810"/>
      <c r="G8" s="1813" t="s">
        <v>516</v>
      </c>
      <c r="H8" s="1814" t="s">
        <v>1186</v>
      </c>
      <c r="I8" s="1810"/>
      <c r="J8" s="1810"/>
      <c r="K8" s="1812"/>
      <c r="L8" s="1812"/>
      <c r="M8" s="1859"/>
      <c r="N8" s="1859"/>
      <c r="O8" s="1859"/>
    </row>
    <row r="9" spans="1:15" s="1829" customFormat="1" ht="30" customHeight="1" x14ac:dyDescent="0.25">
      <c r="A9" s="1830"/>
      <c r="B9" s="1857" t="s">
        <v>1198</v>
      </c>
      <c r="C9" s="1832">
        <f>SUMIFS(Assets[PRIOR YEAR],Assets[ASSET TYPE],Dashboard[[#This Row],[ASSET TYPE]])+SUMIFS(Liabilities[PRIOR YEAR],Liabilities[LIABILITY TYPE],Dashboard[[#This Row],[ASSET TYPE]])</f>
        <v>0</v>
      </c>
      <c r="D9" s="1831">
        <f>SUMIFS(Assets[CURRENT YEAR
from ''FINANCIAL STATEMENT'' tab],Assets[ASSET TYPE],Dashboard[[#This Row],[ASSET TYPE]])+SUMIFS(Liabilities[CURRENT YEAR
from ''FINANCIAL STATEMENT'' tab],Liabilities[LIABILITY TYPE],Dashboard[[#This Row],[ASSET TYPE]])</f>
        <v>2000</v>
      </c>
      <c r="E9" s="1830"/>
      <c r="F9" s="1810"/>
      <c r="G9" s="1813" t="s">
        <v>367</v>
      </c>
      <c r="H9" s="1810" t="s">
        <v>1185</v>
      </c>
      <c r="I9" s="1810"/>
      <c r="J9" s="1810"/>
      <c r="K9" s="1812"/>
      <c r="L9" s="1812"/>
      <c r="M9" s="1859"/>
      <c r="N9" s="1859"/>
      <c r="O9" s="1859"/>
    </row>
    <row r="10" spans="1:15" s="1829" customFormat="1" ht="30" customHeight="1" x14ac:dyDescent="0.25">
      <c r="A10" s="1830"/>
      <c r="B10" s="1857" t="s">
        <v>1197</v>
      </c>
      <c r="C10" s="1832">
        <f>SUMIFS(Assets[PRIOR YEAR],Assets[ASSET TYPE],Dashboard[[#This Row],[ASSET TYPE]])+SUMIFS(Liabilities[PRIOR YEAR],Liabilities[LIABILITY TYPE],Dashboard[[#This Row],[ASSET TYPE]])</f>
        <v>0</v>
      </c>
      <c r="D10" s="1831">
        <f>SUMIFS(Assets[CURRENT YEAR
from ''FINANCIAL STATEMENT'' tab],Assets[ASSET TYPE],Dashboard[[#This Row],[ASSET TYPE]])+SUMIFS(Liabilities[CURRENT YEAR
from ''FINANCIAL STATEMENT'' tab],Liabilities[LIABILITY TYPE],Dashboard[[#This Row],[ASSET TYPE]])</f>
        <v>-102805.75</v>
      </c>
      <c r="E10" s="1830"/>
      <c r="F10" s="1810"/>
      <c r="G10" s="1813" t="s">
        <v>522</v>
      </c>
      <c r="H10" s="1815" t="s">
        <v>1189</v>
      </c>
      <c r="I10" s="1812"/>
      <c r="J10" s="1810"/>
      <c r="K10" s="1812"/>
      <c r="L10" s="1812"/>
      <c r="M10" s="1859"/>
      <c r="N10" s="1859"/>
      <c r="O10" s="1859"/>
    </row>
    <row r="11" spans="1:15" s="1829" customFormat="1" ht="30" customHeight="1" x14ac:dyDescent="0.25">
      <c r="A11" s="1830"/>
      <c r="B11" s="1857" t="s">
        <v>1196</v>
      </c>
      <c r="C11" s="1832">
        <f>SUMIFS(Assets[PRIOR YEAR],Assets[ASSET TYPE],Dashboard[[#This Row],[ASSET TYPE]])+SUMIFS(Liabilities[PRIOR YEAR],Liabilities[LIABILITY TYPE],Dashboard[[#This Row],[ASSET TYPE]])</f>
        <v>0</v>
      </c>
      <c r="D11" s="1831">
        <f>SUMIFS(Assets[CURRENT YEAR
from ''FINANCIAL STATEMENT'' tab],Assets[ASSET TYPE],Dashboard[[#This Row],[ASSET TYPE]])+SUMIFS(Liabilities[CURRENT YEAR
from ''FINANCIAL STATEMENT'' tab],Liabilities[LIABILITY TYPE],Dashboard[[#This Row],[ASSET TYPE]])</f>
        <v>-220149</v>
      </c>
      <c r="E11" s="1830"/>
      <c r="F11" s="1810"/>
      <c r="G11" s="1813"/>
      <c r="H11" s="1813"/>
      <c r="I11" s="1812"/>
      <c r="J11" s="1810"/>
      <c r="K11" s="1812"/>
      <c r="L11" s="1812"/>
      <c r="M11" s="1859"/>
      <c r="N11" s="1859"/>
      <c r="O11" s="1859"/>
    </row>
    <row r="12" spans="1:15" s="1829" customFormat="1" ht="30" customHeight="1" x14ac:dyDescent="0.3">
      <c r="A12" s="1830"/>
      <c r="B12" s="1857" t="s">
        <v>1195</v>
      </c>
      <c r="C12" s="1832">
        <f>SUMIFS(Assets[PRIOR YEAR],Assets[ASSET TYPE],Dashboard[[#This Row],[ASSET TYPE]])+SUMIFS(Liabilities[PRIOR YEAR],Liabilities[LIABILITY TYPE],Dashboard[[#This Row],[ASSET TYPE]])</f>
        <v>0</v>
      </c>
      <c r="D12" s="1831">
        <f>SUMIFS(Assets[CURRENT YEAR
from ''FINANCIAL STATEMENT'' tab],Assets[ASSET TYPE],Dashboard[[#This Row],[ASSET TYPE]])+SUMIFS(Liabilities[CURRENT YEAR
from ''FINANCIAL STATEMENT'' tab],Liabilities[LIABILITY TYPE],Dashboard[[#This Row],[ASSET TYPE]])</f>
        <v>0</v>
      </c>
      <c r="E12" s="1830"/>
      <c r="F12" s="2082" t="s">
        <v>1187</v>
      </c>
      <c r="G12" s="2082"/>
      <c r="H12" s="2082"/>
      <c r="I12" s="2082"/>
      <c r="J12" s="2082"/>
      <c r="K12" s="2082"/>
      <c r="L12" s="2082"/>
      <c r="M12" s="1859"/>
      <c r="N12" s="1859"/>
      <c r="O12" s="1859"/>
    </row>
    <row r="13" spans="1:15" ht="30" customHeight="1" x14ac:dyDescent="0.3">
      <c r="A13" s="1822"/>
      <c r="B13" s="1828" t="s">
        <v>1194</v>
      </c>
      <c r="C13" s="1827">
        <f>Assets[[#Totals],[PRIOR YEAR]]</f>
        <v>0</v>
      </c>
      <c r="D13" s="1826">
        <f>Assets[[#Totals],[CURRENT YEAR
from ''FINANCIAL STATEMENT'' tab]]</f>
        <v>882092</v>
      </c>
      <c r="E13" s="1822"/>
      <c r="F13" s="1859"/>
      <c r="G13" s="1859"/>
      <c r="H13" s="1859"/>
      <c r="I13" s="1859"/>
      <c r="J13" s="1859"/>
      <c r="K13" s="1859"/>
      <c r="L13" s="1859"/>
      <c r="M13" s="1859"/>
      <c r="N13" s="1859"/>
      <c r="O13" s="1859"/>
    </row>
    <row r="14" spans="1:15" ht="30" customHeight="1" x14ac:dyDescent="0.3">
      <c r="A14" s="1822"/>
      <c r="B14" s="1828" t="s">
        <v>1193</v>
      </c>
      <c r="C14" s="1827">
        <f>Liabilities[[#Totals],[PRIOR YEAR]]</f>
        <v>0</v>
      </c>
      <c r="D14" s="1826">
        <f>Liabilities[[#Totals],[CURRENT YEAR
from ''FINANCIAL STATEMENT'' tab]]</f>
        <v>-322954.75</v>
      </c>
      <c r="E14" s="1822"/>
      <c r="F14" s="1859"/>
      <c r="G14" s="1859"/>
      <c r="H14" s="1859"/>
      <c r="I14" s="1859"/>
      <c r="J14" s="1859"/>
      <c r="K14" s="1859"/>
      <c r="L14" s="1859"/>
      <c r="M14" s="1859"/>
      <c r="N14" s="1859"/>
      <c r="O14" s="1859"/>
    </row>
    <row r="15" spans="1:15" ht="30" customHeight="1" x14ac:dyDescent="0.3">
      <c r="A15" s="1822"/>
      <c r="B15" s="1825" t="s">
        <v>1192</v>
      </c>
      <c r="C15" s="1824">
        <f>C13-C14</f>
        <v>0</v>
      </c>
      <c r="D15" s="1823">
        <f>D13-D14</f>
        <v>1205046.75</v>
      </c>
      <c r="E15" s="1822"/>
      <c r="F15" s="1859"/>
      <c r="G15" s="1859"/>
      <c r="H15" s="1859"/>
      <c r="I15" s="1859"/>
      <c r="J15" s="1859"/>
      <c r="K15" s="1859"/>
      <c r="L15" s="1859"/>
      <c r="M15" s="1859"/>
      <c r="N15" s="1859"/>
      <c r="O15" s="1859"/>
    </row>
    <row r="16" spans="1:15" ht="30" customHeight="1" x14ac:dyDescent="0.3">
      <c r="A16" s="1822"/>
      <c r="B16" s="1822"/>
      <c r="C16" s="1822"/>
      <c r="D16" s="1822"/>
      <c r="E16" s="1822"/>
      <c r="F16" s="1859"/>
      <c r="G16" s="1859"/>
      <c r="H16" s="1859"/>
      <c r="I16" s="1859"/>
      <c r="J16" s="1859"/>
      <c r="K16" s="1859"/>
      <c r="L16" s="1859"/>
      <c r="M16" s="1859"/>
      <c r="N16" s="1859"/>
      <c r="O16" s="1859"/>
    </row>
    <row r="17" spans="1:15" ht="30" customHeight="1" x14ac:dyDescent="0.3">
      <c r="A17" s="1859"/>
      <c r="B17" s="1859"/>
      <c r="C17" s="1859"/>
      <c r="D17" s="1859"/>
      <c r="E17" s="1859"/>
      <c r="F17" s="1859"/>
      <c r="G17" s="1859"/>
      <c r="H17" s="1859"/>
      <c r="I17" s="1859"/>
      <c r="J17" s="1859"/>
      <c r="K17" s="1859"/>
      <c r="L17" s="1859"/>
      <c r="M17" s="1859"/>
      <c r="N17" s="1859"/>
      <c r="O17" s="1859"/>
    </row>
    <row r="18" spans="1:15" ht="30" customHeight="1" x14ac:dyDescent="0.3">
      <c r="A18" s="1859"/>
      <c r="B18" s="1859"/>
      <c r="C18" s="1859"/>
      <c r="D18" s="1859"/>
      <c r="E18" s="1859"/>
      <c r="F18" s="1859"/>
      <c r="G18" s="1859"/>
      <c r="H18" s="1859"/>
      <c r="I18" s="1859"/>
      <c r="J18" s="1859"/>
      <c r="K18" s="1859"/>
      <c r="L18" s="1859"/>
      <c r="M18" s="1859"/>
      <c r="N18" s="1859"/>
      <c r="O18" s="1859"/>
    </row>
    <row r="19" spans="1:15" ht="30" customHeight="1" x14ac:dyDescent="0.3">
      <c r="A19" s="1859"/>
      <c r="B19" s="1859" t="str">
        <f>DISCLAIMER!$A$35</f>
        <v>© 2025 by WinsWithMike.com or Michael Forsberg Nampa, Idaho. All rights reserved</v>
      </c>
      <c r="C19" s="1859"/>
      <c r="D19" s="1859"/>
      <c r="E19" s="1859"/>
      <c r="F19" s="1859"/>
      <c r="G19" s="1859"/>
      <c r="H19" s="1859"/>
      <c r="I19" s="1859"/>
      <c r="J19" s="1859"/>
      <c r="K19" s="1859"/>
      <c r="L19" s="1859"/>
      <c r="M19" s="1859"/>
      <c r="N19" s="1859"/>
      <c r="O19" s="1859"/>
    </row>
  </sheetData>
  <sheetProtection sheet="1" selectLockedCells="1"/>
  <mergeCells count="2">
    <mergeCell ref="F4:L4"/>
    <mergeCell ref="F12:L12"/>
  </mergeCells>
  <conditionalFormatting sqref="C14">
    <cfRule type="expression" dxfId="235" priority="1">
      <formula>$C$14&gt;$C$13</formula>
    </cfRule>
    <cfRule type="expression" dxfId="234" priority="2">
      <formula>$C$14&lt;$C$13</formula>
    </cfRule>
    <cfRule type="expression" dxfId="233" priority="3">
      <formula>$C$14=$C$13</formula>
    </cfRule>
  </conditionalFormatting>
  <conditionalFormatting sqref="D14">
    <cfRule type="expression" dxfId="232" priority="5">
      <formula>$D$14&gt;$D$13</formula>
    </cfRule>
    <cfRule type="expression" dxfId="231" priority="6">
      <formula>$D$14&lt;$D$13</formula>
    </cfRule>
    <cfRule type="expression" dxfId="230" priority="7">
      <formula>$D$14=$D$13</formula>
    </cfRule>
  </conditionalFormatting>
  <dataValidations count="9">
    <dataValidation allowBlank="1" showInputMessage="1" showErrorMessage="1" prompt="Enter comparison year 2 in this cell" sqref="D5" xr:uid="{00000000-0002-0000-0000-000005000000}"/>
    <dataValidation allowBlank="1" showInputMessage="1" showErrorMessage="1" prompt="Enter comparison year 1 in this cell" sqref="C5" xr:uid="{00000000-0002-0000-0000-000008000000}"/>
    <dataValidation allowBlank="1" showInputMessage="1" showErrorMessage="1" prompt="Values for the above year from the Assets and Liabilities worksheets are automatically updated in this column under this heading" sqref="C6:D6" xr:uid="{00000000-0002-0000-0000-00000A000000}"/>
    <dataValidation allowBlank="1" showInputMessage="1" showErrorMessage="1" prompt="Select Asset Type in this column. Year comparison values will automatically update. Press ALT+DOWN ARROW to open the drop-down list, then ENTER to make selection" sqref="B6" xr:uid="{00000000-0002-0000-0000-000007000000}"/>
    <dataValidation type="list" errorStyle="warning" allowBlank="1" showInputMessage="1" showErrorMessage="1" error="Select entry from the list. Select CANCEL, then press ALT+DOWN ARROW to open the drop-down list, then ENTER to make selection" sqref="B7:B12" xr:uid="{00000000-0002-0000-0000-000006000000}">
      <formula1>INDIRECT("Categories[Categories]")</formula1>
    </dataValidation>
    <dataValidation allowBlank="1" showInputMessage="1" showErrorMessage="1" prompt="Title of this worksheet is in this cell" sqref="B4" xr:uid="{2433C562-383A-45CA-A491-DF0DEAACB64A}"/>
    <dataValidation allowBlank="1" showInputMessage="1" showErrorMessage="1" prompt="Balance is automatically calculated in cells at right" sqref="B15" xr:uid="{00000000-0002-0000-0000-000003000000}"/>
    <dataValidation allowBlank="1" showInputMessage="1" showErrorMessage="1" prompt="Total Liabilities &amp; Stockholder Equity are automatically calculated in cells at right. Flag turns green to indicate zero or positive balance, and red to indicate negative balance" sqref="B14" xr:uid="{00000000-0002-0000-0000-000002000000}"/>
    <dataValidation allowBlank="1" showInputMessage="1" showErrorMessage="1" prompt="Total Assets are automatically calculated in cells at right" sqref="B13" xr:uid="{00000000-0002-0000-0000-000001000000}"/>
  </dataValidations>
  <printOptions horizontalCentered="1"/>
  <pageMargins left="0.7" right="0.7" top="0.75" bottom="0.75" header="0.3" footer="0.3"/>
  <pageSetup scale="92" fitToHeight="0" orientation="portrait" r:id="rId1"/>
  <headerFooter differentFirst="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iconSet" priority="4" id="{1901AEB7-6F37-4C88-BB8E-7C87629AED95}">
            <x14:iconSet iconSet="3Flags" custom="1">
              <x14:cfvo type="percent">
                <xm:f>0</xm:f>
              </x14:cfvo>
              <x14:cfvo type="num">
                <xm:f>$C$13</xm:f>
              </x14:cfvo>
              <x14:cfvo type="num" gte="0">
                <xm:f>$C$13</xm:f>
              </x14:cfvo>
              <x14:cfIcon iconSet="3Flags" iconId="0"/>
              <x14:cfIcon iconSet="3Flags" iconId="2"/>
              <x14:cfIcon iconSet="3Flags" iconId="0"/>
            </x14:iconSet>
          </x14:cfRule>
          <xm:sqref>C14</xm:sqref>
        </x14:conditionalFormatting>
        <x14:conditionalFormatting xmlns:xm="http://schemas.microsoft.com/office/excel/2006/main">
          <x14:cfRule type="iconSet" priority="8" id="{976084AE-7886-49D5-B96B-193140260C71}">
            <x14:iconSet iconSet="3Flags" custom="1">
              <x14:cfvo type="percent">
                <xm:f>0</xm:f>
              </x14:cfvo>
              <x14:cfvo type="num">
                <xm:f>$D$13</xm:f>
              </x14:cfvo>
              <x14:cfvo type="num" gte="0">
                <xm:f>$D$13</xm:f>
              </x14:cfvo>
              <x14:cfIcon iconSet="3Flags" iconId="0"/>
              <x14:cfIcon iconSet="3Flags" iconId="2"/>
              <x14:cfIcon iconSet="3Flags" iconId="0"/>
            </x14:iconSet>
          </x14:cfRule>
          <xm:sqref>D14</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784FF-6B0B-423D-843E-7DB80DB2DFBE}">
  <sheetPr codeName="Sheet6"/>
  <dimension ref="B2:AG60"/>
  <sheetViews>
    <sheetView showGridLines="0" showRowColHeaders="0" workbookViewId="0">
      <selection activeCell="F39" sqref="F39"/>
    </sheetView>
  </sheetViews>
  <sheetFormatPr defaultRowHeight="14.4" x14ac:dyDescent="0.3"/>
  <cols>
    <col min="2" max="2" width="18.109375" bestFit="1" customWidth="1"/>
    <col min="3" max="3" width="10.33203125" customWidth="1"/>
    <col min="5" max="5" width="23.44140625" bestFit="1" customWidth="1"/>
    <col min="6" max="6" width="11.6640625" customWidth="1"/>
    <col min="8" max="8" width="9.109375" customWidth="1"/>
  </cols>
  <sheetData>
    <row r="2" spans="2:33" x14ac:dyDescent="0.3">
      <c r="B2" t="s">
        <v>95</v>
      </c>
    </row>
    <row r="3" spans="2:33" x14ac:dyDescent="0.3">
      <c r="C3">
        <f>FORECASTS!E7</f>
        <v>1</v>
      </c>
      <c r="D3">
        <f>FORECASTS!F7</f>
        <v>2</v>
      </c>
      <c r="E3">
        <f>FORECASTS!G7</f>
        <v>3</v>
      </c>
      <c r="F3">
        <f>FORECASTS!H7</f>
        <v>4</v>
      </c>
      <c r="G3">
        <f>FORECASTS!I7</f>
        <v>5</v>
      </c>
      <c r="H3">
        <f>FORECASTS!J7</f>
        <v>6</v>
      </c>
      <c r="I3">
        <f>FORECASTS!K7</f>
        <v>7</v>
      </c>
      <c r="J3">
        <f>FORECASTS!L7</f>
        <v>8</v>
      </c>
      <c r="K3">
        <f>FORECASTS!M7</f>
        <v>9</v>
      </c>
      <c r="L3">
        <f>FORECASTS!N7</f>
        <v>10</v>
      </c>
      <c r="M3">
        <f>FORECASTS!O7</f>
        <v>11</v>
      </c>
      <c r="N3">
        <f>FORECASTS!P7</f>
        <v>12</v>
      </c>
      <c r="O3">
        <f>FORECASTS!Q7</f>
        <v>13</v>
      </c>
      <c r="P3">
        <f>FORECASTS!R7</f>
        <v>14</v>
      </c>
      <c r="Q3">
        <f>FORECASTS!S7</f>
        <v>15</v>
      </c>
      <c r="R3">
        <f>FORECASTS!T7</f>
        <v>16</v>
      </c>
      <c r="S3">
        <f>FORECASTS!U7</f>
        <v>17</v>
      </c>
      <c r="T3">
        <f>FORECASTS!V7</f>
        <v>18</v>
      </c>
      <c r="U3">
        <f>FORECASTS!W7</f>
        <v>19</v>
      </c>
      <c r="V3">
        <f>FORECASTS!X7</f>
        <v>20</v>
      </c>
      <c r="W3">
        <f>FORECASTS!Y7</f>
        <v>21</v>
      </c>
      <c r="X3">
        <f>FORECASTS!Z7</f>
        <v>22</v>
      </c>
      <c r="Y3">
        <f>FORECASTS!AA7</f>
        <v>23</v>
      </c>
      <c r="Z3">
        <f>FORECASTS!AB7</f>
        <v>24</v>
      </c>
      <c r="AA3">
        <f>FORECASTS!AC7</f>
        <v>25</v>
      </c>
      <c r="AB3">
        <f>FORECASTS!AD7</f>
        <v>26</v>
      </c>
      <c r="AC3">
        <f>FORECASTS!AE7</f>
        <v>27</v>
      </c>
      <c r="AD3">
        <f>FORECASTS!AF7</f>
        <v>28</v>
      </c>
      <c r="AE3">
        <f>FORECASTS!AG7</f>
        <v>29</v>
      </c>
      <c r="AF3">
        <f>FORECASTS!AH7</f>
        <v>30</v>
      </c>
      <c r="AG3">
        <f>FORECASTS!AI7</f>
        <v>31</v>
      </c>
    </row>
    <row r="4" spans="2:33" x14ac:dyDescent="0.3">
      <c r="B4" t="s">
        <v>94</v>
      </c>
      <c r="C4" s="31">
        <f>DEBT!D17</f>
        <v>0</v>
      </c>
      <c r="D4" s="31">
        <f>DEBT!E17</f>
        <v>0</v>
      </c>
      <c r="E4" s="31">
        <f>DEBT!F17</f>
        <v>0</v>
      </c>
      <c r="F4" s="31">
        <f>DEBT!G17</f>
        <v>0</v>
      </c>
      <c r="G4" s="31">
        <f>DEBT!H17</f>
        <v>0</v>
      </c>
      <c r="H4" s="31">
        <f>DEBT!I17</f>
        <v>0</v>
      </c>
      <c r="I4" s="31">
        <f>DEBT!J17</f>
        <v>0</v>
      </c>
      <c r="J4" s="31">
        <f>DEBT!K17</f>
        <v>0</v>
      </c>
      <c r="K4" s="31">
        <f>DEBT!L17</f>
        <v>0</v>
      </c>
      <c r="L4" s="31">
        <f>DEBT!M17</f>
        <v>0</v>
      </c>
      <c r="M4" s="31">
        <f>DEBT!N17</f>
        <v>0</v>
      </c>
      <c r="N4" s="31">
        <f>DEBT!O17</f>
        <v>0</v>
      </c>
      <c r="O4" s="31">
        <f>DEBT!P17</f>
        <v>0</v>
      </c>
      <c r="P4" s="31">
        <f>DEBT!Q17</f>
        <v>0</v>
      </c>
      <c r="Q4" s="31">
        <f>DEBT!R17</f>
        <v>0</v>
      </c>
      <c r="R4" s="31">
        <f>DEBT!S17</f>
        <v>0</v>
      </c>
      <c r="S4" s="31">
        <f>DEBT!T17</f>
        <v>0</v>
      </c>
      <c r="T4" s="31">
        <f>DEBT!U17</f>
        <v>0</v>
      </c>
      <c r="U4" s="31">
        <f>DEBT!V17</f>
        <v>0</v>
      </c>
      <c r="V4" s="31">
        <f>DEBT!W17</f>
        <v>0</v>
      </c>
      <c r="W4" s="31">
        <f>DEBT!X17</f>
        <v>0</v>
      </c>
      <c r="X4" s="31">
        <f>DEBT!Y17</f>
        <v>0</v>
      </c>
      <c r="Y4" s="31">
        <f>DEBT!Z17</f>
        <v>0</v>
      </c>
      <c r="Z4" s="31">
        <f>DEBT!AA17</f>
        <v>0</v>
      </c>
      <c r="AA4" s="31">
        <f>DEBT!AB17</f>
        <v>0</v>
      </c>
      <c r="AB4" s="31">
        <f>DEBT!AC17</f>
        <v>0</v>
      </c>
      <c r="AC4" s="31">
        <f>DEBT!AD17</f>
        <v>0</v>
      </c>
      <c r="AD4" s="31">
        <f>DEBT!AE17</f>
        <v>0</v>
      </c>
      <c r="AE4" s="31">
        <f>DEBT!AF17</f>
        <v>0</v>
      </c>
      <c r="AF4" s="31">
        <f>DEBT!AG17</f>
        <v>0</v>
      </c>
      <c r="AG4" s="31">
        <f>DEBT!AH17</f>
        <v>0</v>
      </c>
    </row>
    <row r="5" spans="2:33" x14ac:dyDescent="0.3">
      <c r="B5" t="s">
        <v>93</v>
      </c>
      <c r="C5" s="31">
        <f>C6-C4</f>
        <v>347250.41095890407</v>
      </c>
      <c r="D5" s="31">
        <f t="shared" ref="D5:AF5" si="0">D6-D4</f>
        <v>0</v>
      </c>
      <c r="E5" s="31">
        <f t="shared" si="0"/>
        <v>0</v>
      </c>
      <c r="F5" s="31">
        <f t="shared" si="0"/>
        <v>0</v>
      </c>
      <c r="G5" s="31">
        <f t="shared" si="0"/>
        <v>0</v>
      </c>
      <c r="H5" s="31">
        <f t="shared" si="0"/>
        <v>0</v>
      </c>
      <c r="I5" s="31">
        <f t="shared" si="0"/>
        <v>0</v>
      </c>
      <c r="J5" s="31">
        <f t="shared" si="0"/>
        <v>0</v>
      </c>
      <c r="K5" s="31">
        <f t="shared" si="0"/>
        <v>0</v>
      </c>
      <c r="L5" s="31">
        <f t="shared" si="0"/>
        <v>0</v>
      </c>
      <c r="M5" s="31">
        <f t="shared" si="0"/>
        <v>0</v>
      </c>
      <c r="N5" s="31">
        <f t="shared" si="0"/>
        <v>0</v>
      </c>
      <c r="O5" s="31">
        <f t="shared" si="0"/>
        <v>0</v>
      </c>
      <c r="P5" s="31">
        <f t="shared" si="0"/>
        <v>0</v>
      </c>
      <c r="Q5" s="31">
        <f t="shared" si="0"/>
        <v>0</v>
      </c>
      <c r="R5" s="31">
        <f t="shared" si="0"/>
        <v>0</v>
      </c>
      <c r="S5" s="31">
        <f t="shared" si="0"/>
        <v>0</v>
      </c>
      <c r="T5" s="31">
        <f t="shared" si="0"/>
        <v>0</v>
      </c>
      <c r="U5" s="31">
        <f t="shared" si="0"/>
        <v>0</v>
      </c>
      <c r="V5" s="31">
        <f t="shared" si="0"/>
        <v>0</v>
      </c>
      <c r="W5" s="31">
        <f t="shared" si="0"/>
        <v>0</v>
      </c>
      <c r="X5" s="31">
        <f t="shared" si="0"/>
        <v>0</v>
      </c>
      <c r="Y5" s="31">
        <f t="shared" si="0"/>
        <v>0</v>
      </c>
      <c r="Z5" s="31">
        <f t="shared" si="0"/>
        <v>0</v>
      </c>
      <c r="AA5" s="31">
        <f t="shared" si="0"/>
        <v>0</v>
      </c>
      <c r="AB5" s="31">
        <f t="shared" si="0"/>
        <v>0</v>
      </c>
      <c r="AC5" s="31">
        <f t="shared" si="0"/>
        <v>0</v>
      </c>
      <c r="AD5" s="31">
        <f t="shared" si="0"/>
        <v>0</v>
      </c>
      <c r="AE5" s="31">
        <f t="shared" si="0"/>
        <v>0</v>
      </c>
      <c r="AF5" s="31">
        <f t="shared" si="0"/>
        <v>0</v>
      </c>
      <c r="AG5" s="31">
        <f>AG6-AG4</f>
        <v>0</v>
      </c>
    </row>
    <row r="6" spans="2:33" x14ac:dyDescent="0.3">
      <c r="B6" t="s">
        <v>45</v>
      </c>
      <c r="C6" s="31">
        <f>FORECASTS!E122</f>
        <v>347250.41095890407</v>
      </c>
      <c r="D6" s="31">
        <f>FORECASTS!F122</f>
        <v>0</v>
      </c>
      <c r="E6" s="31">
        <f>FORECASTS!G122</f>
        <v>0</v>
      </c>
      <c r="F6" s="31">
        <f>FORECASTS!H122</f>
        <v>0</v>
      </c>
      <c r="G6" s="31">
        <f>FORECASTS!I122</f>
        <v>0</v>
      </c>
      <c r="H6" s="31">
        <f>FORECASTS!J122</f>
        <v>0</v>
      </c>
      <c r="I6" s="31">
        <f>FORECASTS!K122</f>
        <v>0</v>
      </c>
      <c r="J6" s="31">
        <f>FORECASTS!L122</f>
        <v>0</v>
      </c>
      <c r="K6" s="31">
        <f>FORECASTS!M122</f>
        <v>0</v>
      </c>
      <c r="L6" s="31">
        <f>FORECASTS!N122</f>
        <v>0</v>
      </c>
      <c r="M6" s="31">
        <f>FORECASTS!O122</f>
        <v>0</v>
      </c>
      <c r="N6" s="31">
        <f>FORECASTS!P122</f>
        <v>0</v>
      </c>
      <c r="O6" s="31">
        <f>FORECASTS!Q122</f>
        <v>0</v>
      </c>
      <c r="P6" s="31">
        <f>FORECASTS!R122</f>
        <v>0</v>
      </c>
      <c r="Q6" s="31">
        <f>FORECASTS!S122</f>
        <v>0</v>
      </c>
      <c r="R6" s="31">
        <f>FORECASTS!T122</f>
        <v>0</v>
      </c>
      <c r="S6" s="31">
        <f>FORECASTS!U122</f>
        <v>0</v>
      </c>
      <c r="T6" s="31">
        <f>FORECASTS!V122</f>
        <v>0</v>
      </c>
      <c r="U6" s="31">
        <f>FORECASTS!W122</f>
        <v>0</v>
      </c>
      <c r="V6" s="31">
        <f>FORECASTS!X122</f>
        <v>0</v>
      </c>
      <c r="W6" s="31">
        <f>FORECASTS!Y122</f>
        <v>0</v>
      </c>
      <c r="X6" s="31">
        <f>FORECASTS!Z122</f>
        <v>0</v>
      </c>
      <c r="Y6" s="31">
        <f>FORECASTS!AA122</f>
        <v>0</v>
      </c>
      <c r="Z6" s="31">
        <f>FORECASTS!AB122</f>
        <v>0</v>
      </c>
      <c r="AA6" s="31">
        <f>FORECASTS!AC122</f>
        <v>0</v>
      </c>
      <c r="AB6" s="31">
        <f>FORECASTS!AD122</f>
        <v>0</v>
      </c>
      <c r="AC6" s="31">
        <f>FORECASTS!AE122</f>
        <v>0</v>
      </c>
      <c r="AD6" s="31">
        <f>FORECASTS!AF122</f>
        <v>0</v>
      </c>
      <c r="AE6" s="31">
        <f>FORECASTS!AG122</f>
        <v>0</v>
      </c>
      <c r="AF6" s="31">
        <f>FORECASTS!AH122</f>
        <v>0</v>
      </c>
      <c r="AG6" s="31">
        <f>FORECASTS!AI122</f>
        <v>0</v>
      </c>
    </row>
    <row r="7" spans="2:33" x14ac:dyDescent="0.3">
      <c r="I7" s="30"/>
      <c r="J7" s="30"/>
      <c r="K7" s="30"/>
      <c r="L7" s="30"/>
      <c r="M7" s="30"/>
      <c r="N7" s="30"/>
      <c r="O7" s="30"/>
      <c r="P7" s="30"/>
      <c r="Q7" s="30"/>
      <c r="R7" s="30"/>
      <c r="S7" s="30"/>
      <c r="T7" s="30"/>
      <c r="U7" s="30"/>
      <c r="V7" s="30"/>
      <c r="W7" s="30"/>
      <c r="X7" s="30"/>
      <c r="Y7" s="30"/>
      <c r="Z7" s="30"/>
      <c r="AA7" s="30"/>
      <c r="AB7" s="30"/>
      <c r="AC7" s="30"/>
      <c r="AD7" s="30"/>
      <c r="AE7" s="30"/>
      <c r="AF7" s="30"/>
    </row>
    <row r="8" spans="2:33" x14ac:dyDescent="0.3">
      <c r="I8" s="30"/>
      <c r="J8" s="30"/>
      <c r="K8" s="30"/>
      <c r="L8" s="30"/>
      <c r="M8" s="30"/>
      <c r="N8" s="30"/>
      <c r="O8" s="30"/>
      <c r="P8" s="30"/>
      <c r="Q8" s="30"/>
      <c r="R8" s="30"/>
      <c r="S8" s="30"/>
      <c r="T8" s="30"/>
      <c r="U8" s="30"/>
      <c r="V8" s="30"/>
      <c r="W8" s="30"/>
      <c r="X8" s="30"/>
      <c r="Y8" s="30"/>
      <c r="Z8" s="30"/>
      <c r="AA8" s="30"/>
      <c r="AB8" s="30"/>
      <c r="AC8" s="30"/>
      <c r="AD8" s="30"/>
      <c r="AE8" s="30"/>
      <c r="AF8" s="30"/>
    </row>
    <row r="35" spans="5:6" x14ac:dyDescent="0.3">
      <c r="E35" s="123" t="str">
        <f>'EXPENSES (R)'!B35</f>
        <v>Non Op. Expense 2</v>
      </c>
      <c r="F35" s="124">
        <f>'EXPENSES (R)'!O35</f>
        <v>0</v>
      </c>
    </row>
    <row r="36" spans="5:6" x14ac:dyDescent="0.3">
      <c r="E36" s="123" t="str">
        <f>'EXPENSES (R)'!B34</f>
        <v>Non Op. Expense 1</v>
      </c>
      <c r="F36" s="124">
        <f>'EXPENSES (R)'!O34</f>
        <v>0</v>
      </c>
    </row>
    <row r="37" spans="5:6" x14ac:dyDescent="0.3">
      <c r="E37" s="123" t="str">
        <f>'EXPENSES (R)'!B33</f>
        <v>Custom Op. Expense 2</v>
      </c>
      <c r="F37" s="124">
        <f>'EXPENSES (R)'!O33</f>
        <v>0</v>
      </c>
    </row>
    <row r="38" spans="5:6" x14ac:dyDescent="0.3">
      <c r="E38" s="123" t="str">
        <f>'EXPENSES (R)'!B32</f>
        <v>Custom Op. Expense 1</v>
      </c>
      <c r="F38" s="124">
        <f>'EXPENSES (R)'!O32</f>
        <v>0</v>
      </c>
    </row>
    <row r="39" spans="5:6" x14ac:dyDescent="0.3">
      <c r="E39" s="123" t="str">
        <f>'EXPENSES (R)'!B31</f>
        <v>Capital Expenditures</v>
      </c>
      <c r="F39" s="124">
        <f>'EXPENSES (R)'!O31</f>
        <v>0</v>
      </c>
    </row>
    <row r="40" spans="5:6" x14ac:dyDescent="0.3">
      <c r="E40" s="123" t="str">
        <f>'EXPENSES (R)'!B30</f>
        <v>Miscellaneous (Variable)</v>
      </c>
      <c r="F40" s="124">
        <f>'EXPENSES (R)'!O30</f>
        <v>0</v>
      </c>
    </row>
    <row r="41" spans="5:6" x14ac:dyDescent="0.3">
      <c r="E41" s="123" t="str">
        <f>'EXPENSES (R)'!B29</f>
        <v>Other Cost 2</v>
      </c>
      <c r="F41" s="124">
        <f>'EXPENSES (R)'!O29</f>
        <v>0</v>
      </c>
    </row>
    <row r="42" spans="5:6" x14ac:dyDescent="0.3">
      <c r="E42" s="123" t="str">
        <f>'EXPENSES (R)'!B28</f>
        <v>Other Cost 1</v>
      </c>
      <c r="F42" s="124">
        <f>'EXPENSES (R)'!O28</f>
        <v>0</v>
      </c>
    </row>
    <row r="43" spans="5:6" x14ac:dyDescent="0.3">
      <c r="E43" s="123" t="str">
        <f>'EXPENSES (R)'!B27</f>
        <v>Advertising</v>
      </c>
      <c r="F43" s="124">
        <f>'EXPENSES (R)'!O27</f>
        <v>0</v>
      </c>
    </row>
    <row r="44" spans="5:6" x14ac:dyDescent="0.3">
      <c r="E44" s="123" t="str">
        <f>'EXPENSES (R)'!B26</f>
        <v>Legal</v>
      </c>
      <c r="F44" s="124">
        <f>'EXPENSES (R)'!O26</f>
        <v>0</v>
      </c>
    </row>
    <row r="45" spans="5:6" x14ac:dyDescent="0.3">
      <c r="E45" s="123" t="str">
        <f>'EXPENSES (R)'!B25</f>
        <v>Rent Insurance</v>
      </c>
      <c r="F45" s="124">
        <f>'EXPENSES (R)'!O25</f>
        <v>0</v>
      </c>
    </row>
    <row r="46" spans="5:6" x14ac:dyDescent="0.3">
      <c r="E46" s="123" t="str">
        <f>'EXPENSES (R)'!B24</f>
        <v>Vacancy Insurance</v>
      </c>
      <c r="F46" s="124">
        <f>'EXPENSES (R)'!O24</f>
        <v>0</v>
      </c>
    </row>
    <row r="47" spans="5:6" x14ac:dyDescent="0.3">
      <c r="E47" s="123" t="str">
        <f>'EXPENSES (R)'!B23</f>
        <v xml:space="preserve">Property Management </v>
      </c>
      <c r="F47" s="124">
        <f>'EXPENSES (R)'!O23</f>
        <v>0</v>
      </c>
    </row>
    <row r="48" spans="5:6" x14ac:dyDescent="0.3">
      <c r="E48" s="123" t="str">
        <f>'EXPENSES (R)'!B22</f>
        <v>Repairs &amp; Maintenance</v>
      </c>
      <c r="F48" s="124">
        <f>'EXPENSES (R)'!O22</f>
        <v>0</v>
      </c>
    </row>
    <row r="49" spans="5:6" x14ac:dyDescent="0.3">
      <c r="E49" s="123" t="str">
        <f>'EXPENSES (R)'!B21</f>
        <v>Accounting</v>
      </c>
      <c r="F49" s="124">
        <f>'EXPENSES (R)'!O21</f>
        <v>0</v>
      </c>
    </row>
    <row r="50" spans="5:6" x14ac:dyDescent="0.3">
      <c r="E50" s="123" t="str">
        <f>'EXPENSES (R)'!B20</f>
        <v>Security</v>
      </c>
      <c r="F50" s="124">
        <f>'EXPENSES (R)'!O20</f>
        <v>0</v>
      </c>
    </row>
    <row r="51" spans="5:6" x14ac:dyDescent="0.3">
      <c r="E51" s="123" t="str">
        <f>'EXPENSES (R)'!B19</f>
        <v>Irrigation</v>
      </c>
      <c r="F51" s="124">
        <f>'EXPENSES (R)'!O19</f>
        <v>0</v>
      </c>
    </row>
    <row r="52" spans="5:6" x14ac:dyDescent="0.3">
      <c r="E52" s="123" t="str">
        <f>'EXPENSES (R)'!B18</f>
        <v>Property Insurance + Tax</v>
      </c>
      <c r="F52" s="124">
        <f>'EXPENSES (R)'!O18</f>
        <v>0</v>
      </c>
    </row>
    <row r="53" spans="5:6" x14ac:dyDescent="0.3">
      <c r="E53" s="123" t="str">
        <f>'EXPENSES (R)'!B17</f>
        <v>Internet</v>
      </c>
      <c r="F53" s="124">
        <f>'EXPENSES (R)'!O17</f>
        <v>0</v>
      </c>
    </row>
    <row r="54" spans="5:6" x14ac:dyDescent="0.3">
      <c r="E54" s="123" t="str">
        <f>'EXPENSES (R)'!B16</f>
        <v>Phone</v>
      </c>
      <c r="F54" s="124">
        <f>'EXPENSES (R)'!O16</f>
        <v>0</v>
      </c>
    </row>
    <row r="55" spans="5:6" x14ac:dyDescent="0.3">
      <c r="E55" s="123" t="str">
        <f>'EXPENSES (R)'!B15</f>
        <v>Water Utilities</v>
      </c>
      <c r="F55" s="124">
        <f>'EXPENSES (R)'!O15</f>
        <v>0</v>
      </c>
    </row>
    <row r="56" spans="5:6" x14ac:dyDescent="0.3">
      <c r="E56" s="123" t="str">
        <f>'EXPENSES (R)'!B14</f>
        <v>Gas Utilities</v>
      </c>
      <c r="F56" s="124">
        <f>'EXPENSES (R)'!O14</f>
        <v>0</v>
      </c>
    </row>
    <row r="57" spans="5:6" x14ac:dyDescent="0.3">
      <c r="E57" s="123" t="str">
        <f>'EXPENSES (R)'!B13</f>
        <v>Electrical Utilities</v>
      </c>
      <c r="F57" s="124">
        <f>'EXPENSES (R)'!O13</f>
        <v>0</v>
      </c>
    </row>
    <row r="59" spans="5:6" x14ac:dyDescent="0.3">
      <c r="E59" t="s">
        <v>213</v>
      </c>
    </row>
    <row r="60" spans="5:6" x14ac:dyDescent="0.3">
      <c r="E60" s="123" t="s">
        <v>164</v>
      </c>
      <c r="F60" s="485"/>
    </row>
  </sheetData>
  <pageMargins left="0.7" right="0.7" top="0.75" bottom="0.75" header="0.3" footer="0.3"/>
  <drawing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E4B12-280A-451A-AE5E-6E2BC23ECC9B}">
  <sheetPr codeName="Sheet35">
    <tabColor theme="3" tint="0.499984740745262"/>
    <pageSetUpPr autoPageBreaks="0" fitToPage="1"/>
  </sheetPr>
  <dimension ref="A1:N19"/>
  <sheetViews>
    <sheetView showGridLines="0" zoomScaleNormal="100" workbookViewId="0">
      <pane xSplit="1" ySplit="5" topLeftCell="B9" activePane="bottomRight" state="frozen"/>
      <selection pane="topRight" activeCell="B1" sqref="B1"/>
      <selection pane="bottomLeft" activeCell="A6" sqref="A6"/>
      <selection pane="bottomRight" activeCell="A3" sqref="A3"/>
    </sheetView>
  </sheetViews>
  <sheetFormatPr defaultColWidth="11.44140625" defaultRowHeight="30" customHeight="1" x14ac:dyDescent="0.3"/>
  <cols>
    <col min="1" max="1" width="3.44140625" style="1821" customWidth="1"/>
    <col min="2" max="2" width="32.5546875" style="1821" customWidth="1"/>
    <col min="3" max="3" width="44.77734375" style="1821" customWidth="1"/>
    <col min="4" max="5" width="22.77734375" style="1821" customWidth="1"/>
    <col min="6" max="6" width="3.44140625" style="1821" customWidth="1"/>
    <col min="7" max="7" width="11.44140625" style="1821"/>
    <col min="8" max="8" width="14.6640625" style="1821" bestFit="1" customWidth="1"/>
    <col min="9" max="16384" width="11.44140625" style="1821"/>
  </cols>
  <sheetData>
    <row r="1" spans="1:14" s="1685" customFormat="1" ht="30" customHeight="1" x14ac:dyDescent="0.3">
      <c r="A1" s="1685" t="s">
        <v>2224</v>
      </c>
    </row>
    <row r="2" spans="1:14" s="1685" customFormat="1" ht="30" customHeight="1" x14ac:dyDescent="0.3"/>
    <row r="3" spans="1:14" ht="20.100000000000001" customHeight="1" x14ac:dyDescent="0.3">
      <c r="A3" s="1859"/>
      <c r="B3" s="1859"/>
      <c r="C3" s="1859"/>
      <c r="D3" s="1859"/>
      <c r="E3" s="1859"/>
      <c r="F3" s="1859"/>
      <c r="G3" s="1859"/>
      <c r="H3" s="1859"/>
      <c r="I3" s="1859"/>
      <c r="J3" s="1859"/>
      <c r="K3" s="1859"/>
      <c r="L3" s="1859"/>
      <c r="M3" s="1859"/>
      <c r="N3" s="1859"/>
    </row>
    <row r="4" spans="1:14" s="1840" customFormat="1" ht="15.6" x14ac:dyDescent="0.3">
      <c r="A4" s="1841"/>
      <c r="B4" s="1844"/>
      <c r="C4" s="1844"/>
      <c r="D4" s="1837" t="str">
        <f ca="1">FY_YEAR</f>
        <v>FY-2024</v>
      </c>
      <c r="E4" s="1836" t="str">
        <f ca="1">FY_YEAR_2</f>
        <v>FY-2025</v>
      </c>
      <c r="F4" s="1841"/>
      <c r="G4" s="2082" t="s">
        <v>364</v>
      </c>
      <c r="H4" s="2082"/>
      <c r="I4" s="2082"/>
      <c r="J4" s="2082"/>
      <c r="K4" s="2082"/>
      <c r="L4" s="2082"/>
      <c r="M4" s="2082"/>
      <c r="N4" s="1859"/>
    </row>
    <row r="5" spans="1:14" s="1840" customFormat="1" ht="36" x14ac:dyDescent="0.25">
      <c r="A5" s="1841"/>
      <c r="B5" s="1843" t="s">
        <v>1203</v>
      </c>
      <c r="C5" s="1843" t="s">
        <v>1205</v>
      </c>
      <c r="D5" s="1842" t="s">
        <v>1202</v>
      </c>
      <c r="E5" s="1934" t="s">
        <v>2545</v>
      </c>
      <c r="F5" s="1841"/>
      <c r="G5" s="1810"/>
      <c r="H5" s="1811"/>
      <c r="I5" s="1811"/>
      <c r="J5" s="1811"/>
      <c r="K5" s="1811"/>
      <c r="L5" s="1812"/>
      <c r="M5" s="1812"/>
      <c r="N5" s="1859"/>
    </row>
    <row r="6" spans="1:14" s="1840" customFormat="1" ht="30" customHeight="1" x14ac:dyDescent="0.25">
      <c r="A6" s="1841"/>
      <c r="B6" s="1848" t="s">
        <v>1200</v>
      </c>
      <c r="C6" s="1848" t="s">
        <v>2567</v>
      </c>
      <c r="D6" s="1931"/>
      <c r="E6" s="1932">
        <f>'FINANCIAL STATEMENT'!C59</f>
        <v>121500</v>
      </c>
      <c r="F6" s="1841"/>
      <c r="G6" s="1810"/>
      <c r="H6" s="1813" t="s">
        <v>365</v>
      </c>
      <c r="I6" s="1810" t="s">
        <v>1180</v>
      </c>
      <c r="J6" s="1810"/>
      <c r="K6" s="1810"/>
      <c r="L6" s="1812"/>
      <c r="M6" s="1812"/>
      <c r="N6" s="1859"/>
    </row>
    <row r="7" spans="1:14" s="1840" customFormat="1" ht="30" customHeight="1" x14ac:dyDescent="0.25">
      <c r="A7" s="1841"/>
      <c r="B7" s="1848" t="s">
        <v>1200</v>
      </c>
      <c r="C7" s="1848" t="s">
        <v>2604</v>
      </c>
      <c r="D7" s="1931"/>
      <c r="E7" s="1878">
        <f>'FINANCIAL STATEMENT'!C60+'FINANCIAL STATEMENT'!C67</f>
        <v>64400</v>
      </c>
      <c r="F7" s="1841"/>
      <c r="G7" s="1810"/>
      <c r="H7" s="1813" t="s">
        <v>366</v>
      </c>
      <c r="I7" s="1810" t="s">
        <v>1134</v>
      </c>
      <c r="J7" s="1810"/>
      <c r="K7" s="1810"/>
      <c r="L7" s="1812"/>
      <c r="M7" s="1812"/>
      <c r="N7" s="1859"/>
    </row>
    <row r="8" spans="1:14" s="1840" customFormat="1" ht="30" customHeight="1" x14ac:dyDescent="0.25">
      <c r="A8" s="1841"/>
      <c r="B8" s="1848" t="s">
        <v>1200</v>
      </c>
      <c r="C8" s="1848" t="s">
        <v>2557</v>
      </c>
      <c r="D8" s="1931"/>
      <c r="E8" s="1932">
        <f>'FINANCIAL STATEMENT'!C76</f>
        <v>297560</v>
      </c>
      <c r="F8" s="1841"/>
      <c r="G8" s="1810"/>
      <c r="H8" s="1813" t="s">
        <v>516</v>
      </c>
      <c r="I8" s="1814" t="s">
        <v>1186</v>
      </c>
      <c r="J8" s="1810"/>
      <c r="K8" s="1810"/>
      <c r="L8" s="1812"/>
      <c r="M8" s="1812"/>
      <c r="N8" s="1859"/>
    </row>
    <row r="9" spans="1:14" s="1840" customFormat="1" ht="30" customHeight="1" x14ac:dyDescent="0.25">
      <c r="A9" s="1841"/>
      <c r="B9" s="1848" t="s">
        <v>1200</v>
      </c>
      <c r="C9" s="1848" t="s">
        <v>2569</v>
      </c>
      <c r="D9" s="1931"/>
      <c r="E9" s="1932">
        <f>'FINANCIAL STATEMENT'!C61</f>
        <v>2000</v>
      </c>
      <c r="F9" s="1841"/>
      <c r="G9" s="1810"/>
      <c r="H9" s="1813" t="s">
        <v>367</v>
      </c>
      <c r="I9" s="1810" t="s">
        <v>1185</v>
      </c>
      <c r="J9" s="1810"/>
      <c r="K9" s="1810"/>
      <c r="L9" s="1812"/>
      <c r="M9" s="1812"/>
      <c r="N9" s="1859"/>
    </row>
    <row r="10" spans="1:14" s="1840" customFormat="1" ht="30" customHeight="1" x14ac:dyDescent="0.25">
      <c r="A10" s="1841"/>
      <c r="B10" s="1848" t="s">
        <v>1200</v>
      </c>
      <c r="C10" s="1848" t="s">
        <v>2568</v>
      </c>
      <c r="D10" s="1931"/>
      <c r="E10" s="1932">
        <f>'FINANCIAL STATEMENT'!C62</f>
        <v>16500</v>
      </c>
      <c r="F10" s="1841"/>
      <c r="G10" s="1810"/>
      <c r="H10" s="1813" t="s">
        <v>522</v>
      </c>
      <c r="I10" s="1815" t="s">
        <v>1189</v>
      </c>
      <c r="J10" s="1812"/>
      <c r="K10" s="1810"/>
      <c r="L10" s="1812"/>
      <c r="M10" s="1812"/>
      <c r="N10" s="1859"/>
    </row>
    <row r="11" spans="1:14" s="1840" customFormat="1" ht="30" customHeight="1" x14ac:dyDescent="0.25">
      <c r="A11" s="1841"/>
      <c r="B11" s="1848" t="s">
        <v>1199</v>
      </c>
      <c r="C11" s="1848" t="s">
        <v>2573</v>
      </c>
      <c r="D11" s="1931"/>
      <c r="E11" s="1932">
        <f>'FINANCIAL STATEMENT'!C63</f>
        <v>330000</v>
      </c>
      <c r="F11" s="1841"/>
      <c r="G11" s="1810"/>
      <c r="H11" s="1813"/>
      <c r="I11" s="1813"/>
      <c r="J11" s="1812"/>
      <c r="K11" s="1810"/>
      <c r="L11" s="1812"/>
      <c r="M11" s="1812"/>
      <c r="N11" s="1859"/>
    </row>
    <row r="12" spans="1:14" s="1840" customFormat="1" ht="30" customHeight="1" x14ac:dyDescent="0.3">
      <c r="A12" s="1841"/>
      <c r="B12" s="1848" t="s">
        <v>1199</v>
      </c>
      <c r="C12" s="1848" t="s">
        <v>2570</v>
      </c>
      <c r="D12" s="1931"/>
      <c r="E12" s="1932">
        <f>'FINANCIAL STATEMENT'!C65</f>
        <v>66000</v>
      </c>
      <c r="F12" s="1841"/>
      <c r="G12" s="2082" t="s">
        <v>1187</v>
      </c>
      <c r="H12" s="2082"/>
      <c r="I12" s="2082"/>
      <c r="J12" s="2082"/>
      <c r="K12" s="2082"/>
      <c r="L12" s="2082"/>
      <c r="M12" s="2082"/>
      <c r="N12" s="1859"/>
    </row>
    <row r="13" spans="1:14" s="1840" customFormat="1" ht="30" customHeight="1" x14ac:dyDescent="0.3">
      <c r="A13" s="1822"/>
      <c r="B13" s="1848" t="s">
        <v>1199</v>
      </c>
      <c r="C13" s="1848" t="s">
        <v>2571</v>
      </c>
      <c r="D13" s="1931"/>
      <c r="E13" s="1932">
        <f>'FINANCIAL STATEMENT'!C66</f>
        <v>1200</v>
      </c>
      <c r="F13" s="1822"/>
      <c r="G13" s="1859"/>
      <c r="H13" s="1859"/>
      <c r="I13" s="1859"/>
      <c r="J13" s="1859"/>
      <c r="K13" s="1859"/>
      <c r="L13" s="1859"/>
      <c r="M13" s="1859"/>
      <c r="N13" s="1859"/>
    </row>
    <row r="14" spans="1:14" ht="30" customHeight="1" x14ac:dyDescent="0.3">
      <c r="A14" s="1841"/>
      <c r="B14" s="1848" t="s">
        <v>1199</v>
      </c>
      <c r="C14" s="1848" t="s">
        <v>1204</v>
      </c>
      <c r="D14" s="1931"/>
      <c r="E14" s="1932">
        <f>'FINANCIAL STATEMENT'!C68</f>
        <v>-19068</v>
      </c>
      <c r="F14" s="1841"/>
      <c r="G14" s="1859"/>
      <c r="H14" s="1859"/>
      <c r="I14" s="1859"/>
      <c r="J14" s="1859"/>
      <c r="K14" s="1859"/>
      <c r="L14" s="1859"/>
      <c r="M14" s="1859"/>
      <c r="N14" s="1859"/>
    </row>
    <row r="15" spans="1:14" s="1840" customFormat="1" ht="30" customHeight="1" x14ac:dyDescent="0.3">
      <c r="A15" s="1841"/>
      <c r="B15" s="1848" t="s">
        <v>1198</v>
      </c>
      <c r="C15" s="1848" t="s">
        <v>2547</v>
      </c>
      <c r="D15" s="1931"/>
      <c r="E15" s="1932">
        <f>'FINANCIAL STATEMENT'!C69</f>
        <v>2000</v>
      </c>
      <c r="F15" s="1841"/>
      <c r="G15" s="1859"/>
      <c r="H15" s="1859"/>
      <c r="I15" s="1859"/>
      <c r="J15" s="1859"/>
      <c r="K15" s="1859"/>
      <c r="L15" s="1859"/>
      <c r="M15" s="1859"/>
      <c r="N15" s="1859"/>
    </row>
    <row r="16" spans="1:14" s="1840" customFormat="1" ht="30" customHeight="1" x14ac:dyDescent="0.3">
      <c r="A16" s="1822"/>
      <c r="B16" s="1936" t="s">
        <v>1194</v>
      </c>
      <c r="C16" s="1936"/>
      <c r="D16" s="1937">
        <f>SUBTOTAL(109,Assets[PRIOR YEAR])</f>
        <v>0</v>
      </c>
      <c r="E16" s="1938">
        <f>SUBTOTAL(109,Assets[CURRENT YEAR
from ''FINANCIAL STATEMENT'' tab])</f>
        <v>882092</v>
      </c>
      <c r="F16" s="1822"/>
      <c r="G16" s="1859"/>
      <c r="H16" s="1859"/>
      <c r="I16" s="1859"/>
      <c r="J16" s="1859"/>
      <c r="K16" s="1859"/>
      <c r="L16" s="1859"/>
      <c r="M16" s="1859"/>
      <c r="N16" s="1859"/>
    </row>
    <row r="17" spans="1:14" ht="30" customHeight="1" x14ac:dyDescent="0.3">
      <c r="A17" s="1822"/>
      <c r="B17" s="1822"/>
      <c r="C17" s="1822"/>
      <c r="D17" s="1822"/>
      <c r="E17" s="1822"/>
      <c r="F17" s="1822"/>
      <c r="G17" s="1859"/>
      <c r="H17" s="1859"/>
      <c r="I17" s="1859"/>
      <c r="J17" s="1859"/>
      <c r="K17" s="1859"/>
      <c r="L17" s="1859"/>
      <c r="M17" s="1859"/>
      <c r="N17" s="1859"/>
    </row>
    <row r="18" spans="1:14" ht="30" customHeight="1" x14ac:dyDescent="0.3">
      <c r="A18" s="1859"/>
      <c r="B18" s="1859"/>
      <c r="C18" s="1859"/>
      <c r="D18" s="1859"/>
      <c r="E18" s="1859"/>
      <c r="F18" s="1859"/>
      <c r="G18" s="1859"/>
      <c r="H18" s="1859"/>
      <c r="I18" s="1859"/>
      <c r="J18" s="1859"/>
      <c r="K18" s="1859"/>
      <c r="L18" s="1859"/>
      <c r="M18" s="1859"/>
      <c r="N18" s="1859"/>
    </row>
    <row r="19" spans="1:14" ht="30" customHeight="1" x14ac:dyDescent="0.3">
      <c r="A19" s="1859"/>
      <c r="B19" s="1859" t="str">
        <f>DISCLAIMER!$A$35</f>
        <v>© 2025 by WinsWithMike.com or Michael Forsberg Nampa, Idaho. All rights reserved</v>
      </c>
      <c r="C19" s="1859"/>
      <c r="D19" s="1859"/>
      <c r="E19" s="1859"/>
      <c r="F19" s="1859"/>
      <c r="G19" s="1859"/>
      <c r="H19" s="1859"/>
      <c r="I19" s="1859"/>
      <c r="J19" s="1859"/>
      <c r="K19" s="1859"/>
      <c r="L19" s="1859"/>
      <c r="M19" s="1859"/>
      <c r="N19" s="1859"/>
    </row>
  </sheetData>
  <sheetProtection sheet="1" selectLockedCells="1"/>
  <mergeCells count="2">
    <mergeCell ref="G4:M4"/>
    <mergeCell ref="G12:M12"/>
  </mergeCells>
  <conditionalFormatting sqref="E6 E8:E15">
    <cfRule type="cellIs" dxfId="223" priority="7" operator="lessThan">
      <formula>0</formula>
    </cfRule>
    <cfRule type="cellIs" dxfId="222" priority="8" operator="equal">
      <formula>0</formula>
    </cfRule>
    <cfRule type="cellIs" dxfId="221" priority="9" operator="greaterThan">
      <formula>0</formula>
    </cfRule>
  </conditionalFormatting>
  <conditionalFormatting sqref="D6:D15">
    <cfRule type="cellIs" dxfId="220" priority="4" operator="equal">
      <formula>0</formula>
    </cfRule>
    <cfRule type="cellIs" dxfId="219" priority="5" operator="lessThan">
      <formula>0</formula>
    </cfRule>
    <cfRule type="cellIs" dxfId="218" priority="6" operator="greaterThan">
      <formula>0</formula>
    </cfRule>
  </conditionalFormatting>
  <conditionalFormatting sqref="E7">
    <cfRule type="cellIs" dxfId="217" priority="1" operator="lessThan">
      <formula>0</formula>
    </cfRule>
    <cfRule type="cellIs" dxfId="216" priority="2" operator="equal">
      <formula>0</formula>
    </cfRule>
    <cfRule type="cellIs" dxfId="215" priority="3" operator="greaterThan">
      <formula>0</formula>
    </cfRule>
  </conditionalFormatting>
  <dataValidations count="6">
    <dataValidation allowBlank="1" showInputMessage="1" showErrorMessage="1" prompt="Comparison year 1 is automatically updated in this cell" sqref="D4" xr:uid="{00000000-0002-0000-0100-000009000000}"/>
    <dataValidation allowBlank="1" showInputMessage="1" showErrorMessage="1" prompt="Comparison year 2 is automatically updated in this cell" sqref="E4" xr:uid="{00000000-0002-0000-0100-000008000000}"/>
    <dataValidation type="list" errorStyle="warning" allowBlank="1" showInputMessage="1" showErrorMessage="1" error="Select entry from the list. Select CANCEL, then press ALT+DOWN ARROW to open the drop-down list, then ENTER to make selection" sqref="B6:B15" xr:uid="{00000000-0002-0000-0100-000005000000}">
      <formula1>INDIRECT("Categories[Categories]")</formula1>
    </dataValidation>
    <dataValidation allowBlank="1" showInputMessage="1" showErrorMessage="1" prompt="Enter Asset amounts for the above year in this column under this heading" sqref="D5:E5" xr:uid="{00000000-0002-0000-0100-000004000000}"/>
    <dataValidation allowBlank="1" showInputMessage="1" showErrorMessage="1" prompt="Select Asset Type in this column under this heading. Press ALT+DOWN ARROW to open the drop-down list, then ENTER to make selection. Use heading filters to find specific entries" sqref="B5" xr:uid="{00000000-0002-0000-0100-000003000000}"/>
    <dataValidation allowBlank="1" showInputMessage="1" showErrorMessage="1" prompt="Enter Description in this column under this heading" sqref="C5" xr:uid="{00000000-0002-0000-0100-000002000000}"/>
  </dataValidations>
  <printOptions horizontalCentered="1"/>
  <pageMargins left="0.7" right="0.7" top="0.75" bottom="0.75" header="0.3" footer="0.3"/>
  <pageSetup scale="74" fitToHeight="0" orientation="portrait" r:id="rId1"/>
  <headerFooter differentFirst="1"/>
  <drawing r:id="rId2"/>
  <legacyDrawing r:id="rId3"/>
  <tableParts count="1">
    <tablePart r:id="rId4"/>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46E31-9778-4FFF-9258-1D3E48E44A43}">
  <sheetPr codeName="Sheet36">
    <tabColor theme="3" tint="0.499984740745262"/>
    <pageSetUpPr autoPageBreaks="0" fitToPage="1"/>
  </sheetPr>
  <dimension ref="A1:O19"/>
  <sheetViews>
    <sheetView showGridLines="0" workbookViewId="0">
      <pane ySplit="2" topLeftCell="A3" activePane="bottomLeft" state="frozen"/>
      <selection pane="bottomLeft" activeCell="A3" sqref="A3"/>
    </sheetView>
  </sheetViews>
  <sheetFormatPr defaultColWidth="11.44140625" defaultRowHeight="30" customHeight="1" x14ac:dyDescent="0.3"/>
  <cols>
    <col min="1" max="1" width="3.44140625" style="1821" customWidth="1"/>
    <col min="2" max="2" width="32.5546875" style="1821" customWidth="1"/>
    <col min="3" max="3" width="44.77734375" style="1821" customWidth="1"/>
    <col min="4" max="5" width="22.77734375" style="1845" customWidth="1"/>
    <col min="6" max="6" width="3.44140625" style="1821" customWidth="1"/>
    <col min="7" max="7" width="11.44140625" style="1821"/>
    <col min="8" max="8" width="14.6640625" style="1821" bestFit="1" customWidth="1"/>
    <col min="9" max="16384" width="11.44140625" style="1821"/>
  </cols>
  <sheetData>
    <row r="1" spans="1:15" s="1685" customFormat="1" ht="30" customHeight="1" x14ac:dyDescent="0.3">
      <c r="A1" s="1685" t="s">
        <v>2225</v>
      </c>
    </row>
    <row r="2" spans="1:15" s="1685" customFormat="1" ht="30" customHeight="1" x14ac:dyDescent="0.3"/>
    <row r="3" spans="1:15" ht="20.100000000000001" customHeight="1" x14ac:dyDescent="0.3">
      <c r="A3" s="1859"/>
      <c r="B3" s="1859"/>
      <c r="C3" s="1859"/>
      <c r="D3" s="1859"/>
      <c r="E3" s="1859"/>
      <c r="F3" s="1859"/>
      <c r="G3" s="1859"/>
      <c r="H3" s="1859"/>
      <c r="I3" s="1859"/>
      <c r="J3" s="1859"/>
      <c r="K3" s="1859"/>
      <c r="L3" s="1859"/>
      <c r="M3" s="1859"/>
      <c r="N3" s="1859"/>
      <c r="O3" s="1859"/>
    </row>
    <row r="4" spans="1:15" s="1840" customFormat="1" ht="15.6" x14ac:dyDescent="0.3">
      <c r="A4" s="1841"/>
      <c r="B4" s="1847"/>
      <c r="C4" s="1847"/>
      <c r="D4" s="1837" t="str">
        <f ca="1">FY_YEAR</f>
        <v>FY-2024</v>
      </c>
      <c r="E4" s="1836" t="str">
        <f ca="1">FY_YEAR_2</f>
        <v>FY-2025</v>
      </c>
      <c r="F4" s="1841"/>
      <c r="G4" s="2082" t="s">
        <v>364</v>
      </c>
      <c r="H4" s="2082"/>
      <c r="I4" s="2082"/>
      <c r="J4" s="2082"/>
      <c r="K4" s="2082"/>
      <c r="L4" s="2082"/>
      <c r="M4" s="2082"/>
      <c r="N4" s="1859"/>
      <c r="O4" s="1859"/>
    </row>
    <row r="5" spans="1:15" s="1840" customFormat="1" ht="36" x14ac:dyDescent="0.25">
      <c r="A5" s="1841"/>
      <c r="B5" s="1843" t="s">
        <v>1214</v>
      </c>
      <c r="C5" s="1846" t="s">
        <v>1205</v>
      </c>
      <c r="D5" s="1842" t="s">
        <v>1202</v>
      </c>
      <c r="E5" s="1933" t="s">
        <v>2545</v>
      </c>
      <c r="F5" s="1841"/>
      <c r="G5" s="1810"/>
      <c r="H5" s="1811"/>
      <c r="I5" s="1811"/>
      <c r="J5" s="1811"/>
      <c r="K5" s="1811"/>
      <c r="L5" s="1812"/>
      <c r="M5" s="1812"/>
      <c r="N5" s="1859"/>
      <c r="O5" s="1859"/>
    </row>
    <row r="6" spans="1:15" s="1840" customFormat="1" ht="30" customHeight="1" x14ac:dyDescent="0.25">
      <c r="A6" s="1841"/>
      <c r="B6" s="1848" t="s">
        <v>1197</v>
      </c>
      <c r="C6" s="1850" t="s">
        <v>1213</v>
      </c>
      <c r="D6" s="1849"/>
      <c r="E6" s="1932">
        <f>'FINANCIAL STATEMENT'!H55+'FINANCIAL STATEMENT'!H56+'FINANCIAL STATEMENT'!H57+'FINANCIAL STATEMENT'!H59+'FINANCIAL STATEMENT'!H60</f>
        <v>-102112</v>
      </c>
      <c r="F6" s="1841"/>
      <c r="G6" s="1810"/>
      <c r="H6" s="1813" t="s">
        <v>365</v>
      </c>
      <c r="I6" s="1810" t="s">
        <v>1180</v>
      </c>
      <c r="J6" s="1810"/>
      <c r="K6" s="1810"/>
      <c r="L6" s="1812"/>
      <c r="M6" s="1812"/>
      <c r="N6" s="1859"/>
      <c r="O6" s="1859"/>
    </row>
    <row r="7" spans="1:15" s="1840" customFormat="1" ht="30" customHeight="1" x14ac:dyDescent="0.25">
      <c r="A7" s="1841"/>
      <c r="B7" s="1848" t="s">
        <v>1197</v>
      </c>
      <c r="C7" s="1850" t="s">
        <v>1212</v>
      </c>
      <c r="D7" s="1849"/>
      <c r="E7" s="1932">
        <f>'FINANCIAL STATEMENT'!H62</f>
        <v>0</v>
      </c>
      <c r="F7" s="1841"/>
      <c r="G7" s="1810"/>
      <c r="H7" s="1813" t="s">
        <v>366</v>
      </c>
      <c r="I7" s="1810" t="s">
        <v>1134</v>
      </c>
      <c r="J7" s="1810"/>
      <c r="K7" s="1810"/>
      <c r="L7" s="1812"/>
      <c r="M7" s="1812"/>
      <c r="N7" s="1859"/>
      <c r="O7" s="1859"/>
    </row>
    <row r="8" spans="1:15" s="1840" customFormat="1" ht="30" customHeight="1" x14ac:dyDescent="0.25">
      <c r="A8" s="1841"/>
      <c r="B8" s="1848" t="s">
        <v>1197</v>
      </c>
      <c r="C8" s="1850" t="s">
        <v>1211</v>
      </c>
      <c r="D8" s="1849"/>
      <c r="E8" s="1932">
        <f>'FINANCIAL STATEMENT'!H63</f>
        <v>0</v>
      </c>
      <c r="F8" s="1841"/>
      <c r="G8" s="1810"/>
      <c r="H8" s="1813" t="s">
        <v>516</v>
      </c>
      <c r="I8" s="1814" t="s">
        <v>1186</v>
      </c>
      <c r="J8" s="1810"/>
      <c r="K8" s="1810"/>
      <c r="L8" s="1812"/>
      <c r="M8" s="1812"/>
      <c r="N8" s="1859"/>
      <c r="O8" s="1859"/>
    </row>
    <row r="9" spans="1:15" s="1840" customFormat="1" ht="30" customHeight="1" x14ac:dyDescent="0.25">
      <c r="A9" s="1841"/>
      <c r="B9" s="1848" t="s">
        <v>1197</v>
      </c>
      <c r="C9" s="1850" t="s">
        <v>1210</v>
      </c>
      <c r="D9" s="1849"/>
      <c r="E9" s="1932">
        <f>'FINANCIAL STATEMENT'!H61</f>
        <v>-693.75</v>
      </c>
      <c r="F9" s="1841"/>
      <c r="G9" s="1810"/>
      <c r="H9" s="1813" t="s">
        <v>367</v>
      </c>
      <c r="I9" s="1810" t="s">
        <v>1185</v>
      </c>
      <c r="J9" s="1810"/>
      <c r="K9" s="1810"/>
      <c r="L9" s="1812"/>
      <c r="M9" s="1812"/>
      <c r="N9" s="1859"/>
      <c r="O9" s="1859"/>
    </row>
    <row r="10" spans="1:15" s="1840" customFormat="1" ht="30" customHeight="1" x14ac:dyDescent="0.25">
      <c r="A10" s="1841"/>
      <c r="B10" s="1848" t="s">
        <v>1197</v>
      </c>
      <c r="C10" s="1850" t="s">
        <v>1209</v>
      </c>
      <c r="D10" s="1849"/>
      <c r="E10" s="1932"/>
      <c r="F10" s="1841"/>
      <c r="G10" s="1810"/>
      <c r="H10" s="1813" t="s">
        <v>522</v>
      </c>
      <c r="I10" s="1815" t="s">
        <v>1189</v>
      </c>
      <c r="J10" s="1812"/>
      <c r="K10" s="1810"/>
      <c r="L10" s="1812"/>
      <c r="M10" s="1812"/>
      <c r="N10" s="1859"/>
      <c r="O10" s="1859"/>
    </row>
    <row r="11" spans="1:15" s="1840" customFormat="1" ht="30" customHeight="1" x14ac:dyDescent="0.25">
      <c r="A11" s="1841"/>
      <c r="B11" s="1848" t="s">
        <v>1196</v>
      </c>
      <c r="C11" s="1850" t="s">
        <v>1208</v>
      </c>
      <c r="D11" s="1849"/>
      <c r="E11" s="1932">
        <f>'FINANCIAL STATEMENT'!H58</f>
        <v>-220149</v>
      </c>
      <c r="F11" s="1841"/>
      <c r="G11" s="1810"/>
      <c r="H11" s="1813"/>
      <c r="I11" s="1813"/>
      <c r="J11" s="1812"/>
      <c r="K11" s="1810"/>
      <c r="L11" s="1812"/>
      <c r="M11" s="1812"/>
      <c r="N11" s="1859"/>
      <c r="O11" s="1859"/>
    </row>
    <row r="12" spans="1:15" s="1840" customFormat="1" ht="30" customHeight="1" x14ac:dyDescent="0.3">
      <c r="A12" s="1841"/>
      <c r="B12" s="1848" t="s">
        <v>1195</v>
      </c>
      <c r="C12" s="1850" t="s">
        <v>1207</v>
      </c>
      <c r="D12" s="1849"/>
      <c r="E12" s="1932"/>
      <c r="F12" s="1841"/>
      <c r="G12" s="2082" t="s">
        <v>1187</v>
      </c>
      <c r="H12" s="2082"/>
      <c r="I12" s="2082"/>
      <c r="J12" s="2082"/>
      <c r="K12" s="2082"/>
      <c r="L12" s="2082"/>
      <c r="M12" s="2082"/>
      <c r="N12" s="1859"/>
      <c r="O12" s="1859"/>
    </row>
    <row r="13" spans="1:15" s="1840" customFormat="1" ht="30" customHeight="1" x14ac:dyDescent="0.3">
      <c r="A13" s="1822"/>
      <c r="B13" s="1848" t="s">
        <v>1195</v>
      </c>
      <c r="C13" s="1850" t="s">
        <v>1206</v>
      </c>
      <c r="D13" s="1849"/>
      <c r="E13" s="1932"/>
      <c r="F13" s="1822"/>
      <c r="G13" s="1859"/>
      <c r="H13" s="1859"/>
      <c r="I13" s="1859"/>
      <c r="J13" s="1859"/>
      <c r="K13" s="1859"/>
      <c r="L13" s="1859"/>
      <c r="M13" s="1859"/>
      <c r="N13" s="1859"/>
      <c r="O13" s="1859"/>
    </row>
    <row r="14" spans="1:15" ht="30" customHeight="1" x14ac:dyDescent="0.3">
      <c r="A14" s="1841"/>
      <c r="B14" s="1850"/>
      <c r="C14" s="1850"/>
      <c r="D14" s="1946"/>
      <c r="E14" s="1932"/>
      <c r="F14" s="1841"/>
      <c r="G14" s="1859"/>
      <c r="H14" s="1859"/>
      <c r="I14" s="1859"/>
      <c r="J14" s="1859"/>
      <c r="K14" s="1859"/>
      <c r="L14" s="1859"/>
      <c r="M14" s="1859"/>
      <c r="N14" s="1859"/>
      <c r="O14" s="1859"/>
    </row>
    <row r="15" spans="1:15" s="1840" customFormat="1" ht="30" customHeight="1" x14ac:dyDescent="0.3">
      <c r="A15" s="1822"/>
      <c r="B15" s="1850"/>
      <c r="C15" s="1850"/>
      <c r="D15" s="1946"/>
      <c r="E15" s="1932"/>
      <c r="F15" s="1822"/>
      <c r="G15" s="1859"/>
      <c r="H15" s="1859"/>
      <c r="I15" s="1859"/>
      <c r="J15" s="1859"/>
      <c r="K15" s="1859"/>
      <c r="L15" s="1859"/>
      <c r="M15" s="1859"/>
      <c r="N15" s="1859"/>
      <c r="O15" s="1859"/>
    </row>
    <row r="16" spans="1:15" ht="30" customHeight="1" x14ac:dyDescent="0.3">
      <c r="B16" s="1947" t="s">
        <v>1193</v>
      </c>
      <c r="C16" s="1936"/>
      <c r="D16" s="1937">
        <f>SUBTOTAL(109,Liabilities[PRIOR YEAR])</f>
        <v>0</v>
      </c>
      <c r="E16" s="1938">
        <f>SUBTOTAL(109,Liabilities[CURRENT YEAR
from ''FINANCIAL STATEMENT'' tab])</f>
        <v>-322954.75</v>
      </c>
      <c r="F16" s="1859"/>
      <c r="G16" s="1859"/>
      <c r="H16" s="1859"/>
      <c r="I16" s="1859"/>
      <c r="J16" s="1859"/>
      <c r="K16" s="1859"/>
      <c r="L16" s="1859"/>
      <c r="M16" s="1859"/>
      <c r="N16" s="1859"/>
      <c r="O16" s="1859"/>
    </row>
    <row r="17" spans="2:15" ht="30" customHeight="1" x14ac:dyDescent="0.3">
      <c r="B17" s="1859"/>
      <c r="C17" s="1859"/>
      <c r="D17" s="1859"/>
      <c r="E17" s="1859"/>
      <c r="F17" s="1859"/>
      <c r="G17" s="1859"/>
      <c r="H17" s="1859"/>
      <c r="I17" s="1859"/>
      <c r="J17" s="1859"/>
      <c r="K17" s="1859"/>
      <c r="L17" s="1859"/>
      <c r="M17" s="1859"/>
      <c r="N17" s="1859"/>
      <c r="O17" s="1859"/>
    </row>
    <row r="18" spans="2:15" ht="30" customHeight="1" x14ac:dyDescent="0.3">
      <c r="B18" s="1859"/>
      <c r="C18" s="1859"/>
      <c r="D18" s="1859"/>
      <c r="E18" s="1859"/>
      <c r="F18" s="1859"/>
      <c r="G18" s="1859"/>
      <c r="H18" s="1859"/>
      <c r="I18" s="1859"/>
      <c r="J18" s="1859"/>
      <c r="K18" s="1859"/>
      <c r="L18" s="1859"/>
      <c r="M18" s="1859"/>
      <c r="N18" s="1859"/>
      <c r="O18" s="1859"/>
    </row>
    <row r="19" spans="2:15" ht="30" customHeight="1" x14ac:dyDescent="0.3">
      <c r="B19" s="1859" t="str">
        <f>DISCLAIMER!$A$35</f>
        <v>© 2025 by WinsWithMike.com or Michael Forsberg Nampa, Idaho. All rights reserved</v>
      </c>
      <c r="C19" s="1859"/>
      <c r="D19" s="1859"/>
      <c r="E19" s="1859"/>
      <c r="F19" s="1859"/>
      <c r="G19" s="1859"/>
      <c r="H19" s="1859"/>
      <c r="I19" s="1859"/>
      <c r="J19" s="1859"/>
      <c r="K19" s="1859"/>
      <c r="L19" s="1859"/>
      <c r="M19" s="1859"/>
      <c r="N19" s="1859"/>
      <c r="O19" s="1859"/>
    </row>
  </sheetData>
  <sheetProtection sheet="1" selectLockedCells="1"/>
  <mergeCells count="2">
    <mergeCell ref="G4:M4"/>
    <mergeCell ref="G12:M12"/>
  </mergeCells>
  <conditionalFormatting sqref="E6:E15">
    <cfRule type="cellIs" dxfId="203" priority="4" operator="lessThan">
      <formula>0</formula>
    </cfRule>
    <cfRule type="cellIs" dxfId="202" priority="5" operator="equal">
      <formula>0</formula>
    </cfRule>
    <cfRule type="cellIs" dxfId="201" priority="6" operator="greaterThan">
      <formula>0</formula>
    </cfRule>
  </conditionalFormatting>
  <dataValidations count="6">
    <dataValidation allowBlank="1" showInputMessage="1" showErrorMessage="1" prompt="Enter Liability amounts for the above year in this column under this heading" sqref="D5:E5" xr:uid="{00000000-0002-0000-0200-000008000000}"/>
    <dataValidation allowBlank="1" showInputMessage="1" showErrorMessage="1" prompt="Comparison year 1 is automatically updated in this cell" sqref="D4" xr:uid="{00000000-0002-0000-0200-000007000000}"/>
    <dataValidation allowBlank="1" showInputMessage="1" showErrorMessage="1" prompt="Comparison year 2 is automatically updated in this cell" sqref="E4" xr:uid="{00000000-0002-0000-0200-000006000000}"/>
    <dataValidation type="list" errorStyle="warning" allowBlank="1" showInputMessage="1" showErrorMessage="1" error="Select entry from the list. Select CANCEL, then press ALT+DOWN ARROW to open the drop-down list, then ENTER to make selection" sqref="B6:B15" xr:uid="{00000000-0002-0000-0200-000004000000}">
      <formula1>INDIRECT("Categories[Categories]")</formula1>
    </dataValidation>
    <dataValidation allowBlank="1" showInputMessage="1" showErrorMessage="1" prompt="Select Liability Type in this column under this heading. Press ALT+DOWN ARROW to open the drop-down list, then ENTER to make selection. Use heading filters to find specific entries" sqref="B5" xr:uid="{00000000-0002-0000-0200-000003000000}"/>
    <dataValidation allowBlank="1" showInputMessage="1" showErrorMessage="1" prompt="Enter Description in this column under this heading" sqref="C5" xr:uid="{00000000-0002-0000-0200-000002000000}"/>
  </dataValidations>
  <printOptions horizontalCentered="1"/>
  <pageMargins left="0.7" right="0.7" top="0.75" bottom="0.75" header="0.3" footer="0.3"/>
  <pageSetup scale="74" fitToHeight="0" orientation="portrait" r:id="rId1"/>
  <headerFooter differentFirst="1"/>
  <drawing r:id="rId2"/>
  <legacyDrawing r:id="rId3"/>
  <tableParts count="1">
    <tablePart r:id="rId4"/>
  </tablePar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CA79E-5686-40F2-95DA-234269BFFAD6}">
  <sheetPr codeName="Sheet37">
    <tabColor theme="3" tint="0.499984740745262"/>
    <pageSetUpPr autoPageBreaks="0" fitToPage="1"/>
  </sheetPr>
  <dimension ref="A1:AB41"/>
  <sheetViews>
    <sheetView showGridLines="0" workbookViewId="0">
      <pane xSplit="1" ySplit="5" topLeftCell="B6" activePane="bottomRight" state="frozen"/>
      <selection pane="topRight" activeCell="B1" sqref="B1"/>
      <selection pane="bottomLeft" activeCell="A6" sqref="A6"/>
      <selection pane="bottomRight" activeCell="A3" sqref="A3"/>
    </sheetView>
  </sheetViews>
  <sheetFormatPr defaultColWidth="11.44140625" defaultRowHeight="30" customHeight="1" x14ac:dyDescent="0.3"/>
  <cols>
    <col min="1" max="1" width="3.44140625" style="1821" customWidth="1"/>
    <col min="2" max="2" width="38.21875" style="1821" bestFit="1" customWidth="1"/>
    <col min="3" max="4" width="1.77734375" style="1821" customWidth="1"/>
    <col min="5" max="5" width="10.109375" style="1821" customWidth="1"/>
    <col min="6" max="6" width="37.21875" style="1821" customWidth="1"/>
    <col min="7" max="7" width="2.77734375" style="1821" customWidth="1"/>
    <col min="8" max="8" width="42.6640625" style="1821" bestFit="1" customWidth="1"/>
    <col min="9" max="9" width="2.77734375" style="1821" customWidth="1"/>
    <col min="10" max="16384" width="11.44140625" style="1821"/>
  </cols>
  <sheetData>
    <row r="1" spans="1:28" s="1685" customFormat="1" ht="30" customHeight="1" x14ac:dyDescent="0.3">
      <c r="A1" s="1685" t="s">
        <v>2223</v>
      </c>
    </row>
    <row r="2" spans="1:28" s="1685" customFormat="1" ht="30" customHeight="1" x14ac:dyDescent="0.3"/>
    <row r="3" spans="1:28" ht="20.100000000000001" customHeight="1" x14ac:dyDescent="0.3">
      <c r="A3" s="1859"/>
      <c r="B3" s="1943" t="s">
        <v>2585</v>
      </c>
      <c r="C3" s="1859"/>
      <c r="D3" s="1859"/>
      <c r="E3" s="1859"/>
      <c r="F3" s="1859"/>
      <c r="G3" s="1859"/>
      <c r="H3" s="1859"/>
      <c r="I3" s="1859"/>
      <c r="J3" s="1859"/>
      <c r="K3" s="1859"/>
      <c r="L3" s="1859"/>
      <c r="M3" s="1859"/>
      <c r="N3" s="1859"/>
      <c r="O3" s="1859"/>
      <c r="P3" s="1859"/>
      <c r="Q3" s="1859"/>
      <c r="R3" s="1859"/>
    </row>
    <row r="4" spans="1:28" s="1840" customFormat="1" ht="14.4" x14ac:dyDescent="0.3">
      <c r="A4" s="1841"/>
      <c r="B4" s="1841"/>
      <c r="C4" s="1841"/>
      <c r="D4" s="1841"/>
      <c r="E4" s="1841"/>
      <c r="F4" s="1841"/>
      <c r="G4" s="1841"/>
      <c r="H4" s="1841"/>
      <c r="I4" s="1841"/>
      <c r="J4" s="1841"/>
      <c r="K4" s="1841"/>
      <c r="L4" s="1841"/>
      <c r="M4" s="1841"/>
      <c r="N4" s="1841"/>
      <c r="O4" s="1841"/>
      <c r="P4" s="1841"/>
      <c r="Q4" s="1841"/>
      <c r="R4" s="1841"/>
      <c r="S4" s="1841"/>
      <c r="T4" s="1841"/>
      <c r="U4" s="1841"/>
      <c r="V4" s="1859"/>
      <c r="W4" s="1859"/>
      <c r="X4" s="1859"/>
      <c r="Y4" s="1859"/>
      <c r="Z4" s="1859"/>
      <c r="AA4" s="1859"/>
      <c r="AB4" s="1859"/>
    </row>
    <row r="5" spans="1:28" s="1840" customFormat="1" ht="30" customHeight="1" x14ac:dyDescent="0.3">
      <c r="A5" s="1841"/>
      <c r="B5" s="1843" t="s">
        <v>2583</v>
      </c>
      <c r="C5" s="1841"/>
      <c r="D5" s="1841"/>
      <c r="E5" s="1941" t="s">
        <v>369</v>
      </c>
      <c r="F5" s="1843" t="s">
        <v>2582</v>
      </c>
      <c r="G5" s="1939"/>
      <c r="H5" s="1942" t="s">
        <v>2584</v>
      </c>
      <c r="I5" s="1939"/>
      <c r="J5" s="1843"/>
      <c r="K5" s="1843"/>
      <c r="L5" s="1843"/>
      <c r="M5" s="1843"/>
      <c r="N5" s="1843"/>
      <c r="O5" s="2082" t="s">
        <v>364</v>
      </c>
      <c r="P5" s="2082"/>
      <c r="Q5" s="2082"/>
      <c r="R5" s="2082"/>
      <c r="S5" s="2082"/>
      <c r="T5" s="2082"/>
      <c r="U5" s="2082"/>
      <c r="V5" s="1859"/>
      <c r="W5" s="1859"/>
      <c r="X5" s="1859"/>
      <c r="Y5" s="1859"/>
      <c r="Z5" s="1859"/>
      <c r="AA5" s="1859"/>
      <c r="AB5" s="1859"/>
    </row>
    <row r="6" spans="1:28" s="1840" customFormat="1" ht="30" customHeight="1" x14ac:dyDescent="0.25">
      <c r="A6" s="1841"/>
      <c r="B6" s="1848" t="s">
        <v>1200</v>
      </c>
      <c r="C6" s="1841"/>
      <c r="D6" s="1841"/>
      <c r="E6" s="1848" t="s">
        <v>2430</v>
      </c>
      <c r="F6" s="1848" t="s">
        <v>2576</v>
      </c>
      <c r="G6" s="1940"/>
      <c r="H6" s="1848" t="s">
        <v>2487</v>
      </c>
      <c r="I6" s="1940"/>
      <c r="J6" s="1848"/>
      <c r="K6" s="1848"/>
      <c r="L6" s="1848"/>
      <c r="M6" s="1848"/>
      <c r="N6" s="1848"/>
      <c r="O6" s="1810"/>
      <c r="P6" s="1811"/>
      <c r="Q6" s="1811"/>
      <c r="R6" s="1811"/>
      <c r="S6" s="1811"/>
      <c r="T6" s="1812"/>
      <c r="U6" s="1812"/>
      <c r="V6" s="1859"/>
      <c r="W6" s="1859"/>
      <c r="X6" s="1859"/>
      <c r="Y6" s="1859"/>
      <c r="Z6" s="1859"/>
      <c r="AA6" s="1859"/>
      <c r="AB6" s="1859"/>
    </row>
    <row r="7" spans="1:28" s="1840" customFormat="1" ht="30" customHeight="1" x14ac:dyDescent="0.25">
      <c r="A7" s="1841"/>
      <c r="B7" s="1848" t="s">
        <v>1199</v>
      </c>
      <c r="C7" s="1841"/>
      <c r="D7" s="1841"/>
      <c r="E7" s="1848" t="s">
        <v>2540</v>
      </c>
      <c r="F7" s="1848" t="s">
        <v>2578</v>
      </c>
      <c r="G7" s="1940"/>
      <c r="H7" s="1848" t="s">
        <v>2488</v>
      </c>
      <c r="I7" s="1940"/>
      <c r="J7" s="1848"/>
      <c r="K7" s="1848"/>
      <c r="L7" s="1848"/>
      <c r="M7" s="1848"/>
      <c r="N7" s="1848"/>
      <c r="O7" s="1810"/>
      <c r="P7" s="1813" t="s">
        <v>365</v>
      </c>
      <c r="Q7" s="1810" t="s">
        <v>1180</v>
      </c>
      <c r="R7" s="1810"/>
      <c r="S7" s="1810"/>
      <c r="T7" s="1812"/>
      <c r="U7" s="1812"/>
      <c r="V7" s="1859"/>
      <c r="W7" s="1859"/>
      <c r="X7" s="1859"/>
      <c r="Y7" s="1859"/>
      <c r="Z7" s="1859"/>
      <c r="AA7" s="1859"/>
      <c r="AB7" s="1859"/>
    </row>
    <row r="8" spans="1:28" s="1840" customFormat="1" ht="30" customHeight="1" x14ac:dyDescent="0.25">
      <c r="A8" s="1841"/>
      <c r="B8" s="1848" t="s">
        <v>1198</v>
      </c>
      <c r="C8" s="1841"/>
      <c r="D8" s="1841"/>
      <c r="E8" s="1848" t="s">
        <v>2435</v>
      </c>
      <c r="F8" s="1848" t="s">
        <v>2577</v>
      </c>
      <c r="G8" s="1940"/>
      <c r="H8" s="1848" t="s">
        <v>2489</v>
      </c>
      <c r="I8" s="1940"/>
      <c r="J8" s="1848"/>
      <c r="K8" s="1848"/>
      <c r="L8" s="1848"/>
      <c r="M8" s="1848"/>
      <c r="N8" s="1848"/>
      <c r="O8" s="1810"/>
      <c r="P8" s="1813" t="s">
        <v>366</v>
      </c>
      <c r="Q8" s="1810" t="s">
        <v>1134</v>
      </c>
      <c r="R8" s="1810"/>
      <c r="S8" s="1810"/>
      <c r="T8" s="1812"/>
      <c r="U8" s="1812"/>
      <c r="V8" s="1859"/>
      <c r="W8" s="1859"/>
      <c r="X8" s="1859"/>
      <c r="Y8" s="1859"/>
      <c r="Z8" s="1859"/>
      <c r="AA8" s="1859"/>
      <c r="AB8" s="1859"/>
    </row>
    <row r="9" spans="1:28" s="1840" customFormat="1" ht="30" customHeight="1" x14ac:dyDescent="0.25">
      <c r="A9" s="1841"/>
      <c r="B9" s="1848" t="s">
        <v>1197</v>
      </c>
      <c r="C9" s="1841"/>
      <c r="D9" s="1841"/>
      <c r="E9" s="1848" t="s">
        <v>2437</v>
      </c>
      <c r="F9" s="1848" t="s">
        <v>2579</v>
      </c>
      <c r="G9" s="1940"/>
      <c r="H9" s="1848" t="s">
        <v>2589</v>
      </c>
      <c r="I9" s="1940"/>
      <c r="J9" s="1848"/>
      <c r="K9" s="1848"/>
      <c r="L9" s="1848"/>
      <c r="M9" s="1848"/>
      <c r="N9" s="1848"/>
      <c r="O9" s="1810"/>
      <c r="P9" s="1813" t="s">
        <v>516</v>
      </c>
      <c r="Q9" s="1814" t="s">
        <v>1186</v>
      </c>
      <c r="R9" s="1810"/>
      <c r="S9" s="1810"/>
      <c r="T9" s="1812"/>
      <c r="U9" s="1812"/>
      <c r="V9" s="1859"/>
      <c r="W9" s="1859"/>
      <c r="X9" s="1859"/>
      <c r="Y9" s="1859"/>
      <c r="Z9" s="1859"/>
      <c r="AA9" s="1859"/>
      <c r="AB9" s="1859"/>
    </row>
    <row r="10" spans="1:28" s="1840" customFormat="1" ht="30" customHeight="1" x14ac:dyDescent="0.25">
      <c r="A10" s="1841"/>
      <c r="B10" s="1848" t="s">
        <v>1196</v>
      </c>
      <c r="C10" s="1841"/>
      <c r="D10" s="1841"/>
      <c r="E10" s="1848" t="s">
        <v>2432</v>
      </c>
      <c r="F10" s="1848" t="s">
        <v>2575</v>
      </c>
      <c r="G10" s="1940"/>
      <c r="H10" s="1848" t="s">
        <v>2552</v>
      </c>
      <c r="I10" s="1940"/>
      <c r="J10" s="1848"/>
      <c r="K10" s="1848"/>
      <c r="L10" s="1848"/>
      <c r="M10" s="1848"/>
      <c r="N10" s="1848"/>
      <c r="O10" s="1810"/>
      <c r="P10" s="1813" t="s">
        <v>367</v>
      </c>
      <c r="Q10" s="1810" t="s">
        <v>1185</v>
      </c>
      <c r="R10" s="1810"/>
      <c r="S10" s="1810"/>
      <c r="T10" s="1812"/>
      <c r="U10" s="1812"/>
      <c r="V10" s="1859"/>
      <c r="W10" s="1859"/>
      <c r="X10" s="1859"/>
      <c r="Y10" s="1859"/>
      <c r="Z10" s="1859"/>
      <c r="AA10" s="1859"/>
      <c r="AB10" s="1859"/>
    </row>
    <row r="11" spans="1:28" s="1840" customFormat="1" ht="30" customHeight="1" x14ac:dyDescent="0.25">
      <c r="A11" s="1841"/>
      <c r="B11" s="1848" t="s">
        <v>1195</v>
      </c>
      <c r="C11" s="1841"/>
      <c r="D11" s="1841"/>
      <c r="E11" s="1848" t="s">
        <v>2539</v>
      </c>
      <c r="F11" s="1848" t="s">
        <v>2580</v>
      </c>
      <c r="G11" s="1940"/>
      <c r="H11" s="1848" t="s">
        <v>2558</v>
      </c>
      <c r="I11" s="1940"/>
      <c r="J11" s="1848"/>
      <c r="K11" s="1848"/>
      <c r="L11" s="1848"/>
      <c r="M11" s="1848"/>
      <c r="N11" s="1848"/>
      <c r="O11" s="1810"/>
      <c r="P11" s="1813" t="s">
        <v>522</v>
      </c>
      <c r="Q11" s="1815" t="s">
        <v>1189</v>
      </c>
      <c r="R11" s="1812"/>
      <c r="S11" s="1810"/>
      <c r="T11" s="1812"/>
      <c r="U11" s="1812"/>
      <c r="V11" s="1859"/>
      <c r="W11" s="1859"/>
      <c r="X11" s="1859"/>
      <c r="Y11" s="1859"/>
      <c r="Z11" s="1859"/>
      <c r="AA11" s="1859"/>
      <c r="AB11" s="1859"/>
    </row>
    <row r="12" spans="1:28" s="1840" customFormat="1" ht="30" customHeight="1" x14ac:dyDescent="0.25">
      <c r="A12" s="1841"/>
      <c r="B12" s="1822"/>
      <c r="C12" s="1841"/>
      <c r="D12" s="1841"/>
      <c r="E12" s="1822"/>
      <c r="F12" s="1822"/>
      <c r="G12" s="1841"/>
      <c r="H12" s="1848" t="s">
        <v>2564</v>
      </c>
      <c r="I12" s="1841"/>
      <c r="J12" s="1841"/>
      <c r="K12" s="1841"/>
      <c r="L12" s="1841"/>
      <c r="M12" s="1841"/>
      <c r="N12" s="1841"/>
      <c r="O12" s="1810"/>
      <c r="P12" s="1813"/>
      <c r="Q12" s="1813"/>
      <c r="R12" s="1812"/>
      <c r="S12" s="1810"/>
      <c r="T12" s="1812"/>
      <c r="U12" s="1812"/>
      <c r="V12" s="1859"/>
      <c r="W12" s="1859"/>
      <c r="X12" s="1859"/>
      <c r="Y12" s="1859"/>
      <c r="Z12" s="1859"/>
      <c r="AA12" s="1859"/>
      <c r="AB12" s="1859"/>
    </row>
    <row r="13" spans="1:28" ht="30" customHeight="1" x14ac:dyDescent="0.3">
      <c r="A13" s="1859"/>
      <c r="B13" s="1859"/>
      <c r="C13" s="1859"/>
      <c r="D13" s="1859"/>
      <c r="E13" s="1859"/>
      <c r="F13" s="1859"/>
      <c r="G13" s="1841"/>
      <c r="H13" s="1848" t="s">
        <v>2490</v>
      </c>
      <c r="I13" s="1841"/>
      <c r="J13" s="1859"/>
      <c r="K13" s="1859"/>
      <c r="L13" s="1859"/>
      <c r="M13" s="1859"/>
      <c r="N13" s="1859"/>
      <c r="O13" s="1859"/>
      <c r="P13" s="1859"/>
      <c r="Q13" s="1859"/>
      <c r="R13" s="1859"/>
      <c r="S13" s="1859"/>
      <c r="T13" s="1859"/>
      <c r="U13" s="1859"/>
      <c r="V13" s="1859"/>
      <c r="W13" s="1859"/>
      <c r="X13" s="1859"/>
      <c r="Y13" s="1859"/>
    </row>
    <row r="14" spans="1:28" ht="30" customHeight="1" x14ac:dyDescent="0.3">
      <c r="A14" s="1859"/>
      <c r="B14" s="1859"/>
      <c r="C14" s="1859"/>
      <c r="D14" s="1859"/>
      <c r="E14" s="1859"/>
      <c r="F14" s="1859"/>
      <c r="G14" s="1841"/>
      <c r="H14" s="1848" t="s">
        <v>2572</v>
      </c>
      <c r="I14" s="1841"/>
      <c r="J14" s="1859"/>
      <c r="K14" s="1859"/>
      <c r="L14" s="1859"/>
      <c r="M14" s="1859"/>
      <c r="N14" s="1859"/>
      <c r="O14" s="1859"/>
      <c r="P14" s="1859"/>
      <c r="Q14" s="1859"/>
      <c r="R14" s="1859"/>
      <c r="S14" s="1859"/>
      <c r="T14" s="1859"/>
      <c r="U14" s="1859"/>
      <c r="V14" s="1859"/>
      <c r="W14" s="1859"/>
      <c r="X14" s="1859"/>
      <c r="Y14" s="1859"/>
    </row>
    <row r="15" spans="1:28" ht="30" customHeight="1" x14ac:dyDescent="0.3">
      <c r="A15" s="1859"/>
      <c r="B15" s="1859"/>
      <c r="C15" s="1859"/>
      <c r="D15" s="1859"/>
      <c r="E15" s="1859"/>
      <c r="F15" s="1859"/>
      <c r="G15" s="1841"/>
      <c r="H15" s="1848" t="s">
        <v>2516</v>
      </c>
      <c r="I15" s="1841"/>
      <c r="J15" s="1859"/>
      <c r="K15" s="1859"/>
      <c r="L15" s="1859"/>
      <c r="M15" s="1859"/>
      <c r="N15" s="1859"/>
      <c r="O15" s="1859"/>
      <c r="P15" s="1859"/>
      <c r="Q15" s="1859"/>
      <c r="R15" s="1859"/>
    </row>
    <row r="16" spans="1:28" ht="30" customHeight="1" x14ac:dyDescent="0.3">
      <c r="A16" s="1859"/>
      <c r="B16" s="1859"/>
      <c r="C16" s="1859"/>
      <c r="D16" s="1859"/>
      <c r="E16" s="1859"/>
      <c r="F16" s="1859"/>
      <c r="G16" s="1841"/>
      <c r="H16" s="1848" t="s">
        <v>2517</v>
      </c>
      <c r="I16" s="1841"/>
      <c r="J16" s="1859"/>
      <c r="K16" s="1859"/>
      <c r="L16" s="1859"/>
      <c r="M16" s="1859"/>
      <c r="N16" s="1859"/>
      <c r="O16" s="1859"/>
      <c r="P16" s="1859"/>
      <c r="Q16" s="1859"/>
      <c r="R16" s="1859"/>
    </row>
    <row r="17" spans="1:18" ht="30" customHeight="1" x14ac:dyDescent="0.3">
      <c r="A17" s="1859"/>
      <c r="B17" s="1859"/>
      <c r="C17" s="1859"/>
      <c r="D17" s="1859"/>
      <c r="E17" s="1859"/>
      <c r="F17" s="1859"/>
      <c r="G17" s="1841"/>
      <c r="H17" s="1848" t="s">
        <v>2486</v>
      </c>
      <c r="I17" s="1841"/>
      <c r="J17" s="1859"/>
      <c r="K17" s="1859"/>
      <c r="L17" s="1859"/>
      <c r="M17" s="1859"/>
      <c r="N17" s="1859"/>
      <c r="O17" s="1859"/>
      <c r="P17" s="1859"/>
      <c r="Q17" s="1859"/>
      <c r="R17" s="1859"/>
    </row>
    <row r="18" spans="1:18" ht="30" customHeight="1" x14ac:dyDescent="0.3">
      <c r="A18" s="1859"/>
      <c r="B18" s="1859"/>
      <c r="C18" s="1859"/>
      <c r="D18" s="1859"/>
      <c r="E18" s="1859"/>
      <c r="F18" s="1859"/>
      <c r="G18" s="1841"/>
      <c r="H18" s="1848" t="s">
        <v>2502</v>
      </c>
      <c r="I18" s="1841"/>
      <c r="J18" s="1859"/>
      <c r="K18" s="1859"/>
      <c r="L18" s="1859"/>
      <c r="M18" s="1859"/>
      <c r="N18" s="1859"/>
      <c r="O18" s="1859"/>
      <c r="P18" s="1859"/>
      <c r="Q18" s="1859"/>
      <c r="R18" s="1859"/>
    </row>
    <row r="19" spans="1:18" ht="30" customHeight="1" x14ac:dyDescent="0.3">
      <c r="A19" s="1859" t="str">
        <f>DISCLAIMER!$A$35</f>
        <v>© 2025 by WinsWithMike.com or Michael Forsberg Nampa, Idaho. All rights reserved</v>
      </c>
      <c r="B19" s="1859"/>
      <c r="C19" s="1859"/>
      <c r="D19" s="1859"/>
      <c r="E19" s="1859"/>
      <c r="F19" s="1859"/>
      <c r="G19" s="1841"/>
      <c r="H19" s="1848" t="s">
        <v>2503</v>
      </c>
      <c r="I19" s="1841"/>
      <c r="J19" s="1859"/>
      <c r="K19" s="1859"/>
      <c r="L19" s="1859"/>
      <c r="M19" s="1859"/>
      <c r="N19" s="1859"/>
      <c r="O19" s="1859"/>
      <c r="P19" s="1859"/>
      <c r="Q19" s="1859"/>
      <c r="R19" s="1859"/>
    </row>
    <row r="20" spans="1:18" ht="30" customHeight="1" x14ac:dyDescent="0.3">
      <c r="A20" s="1859"/>
      <c r="B20" s="1859"/>
      <c r="C20" s="1859"/>
      <c r="D20" s="1859"/>
      <c r="E20" s="1859"/>
      <c r="F20" s="1859"/>
      <c r="G20" s="1841"/>
      <c r="H20" s="1848" t="s">
        <v>2504</v>
      </c>
      <c r="I20" s="1841"/>
      <c r="J20" s="1859"/>
      <c r="K20" s="1859"/>
      <c r="L20" s="1859"/>
      <c r="M20" s="1859"/>
      <c r="N20" s="1859"/>
      <c r="O20" s="1859"/>
      <c r="P20" s="1859"/>
      <c r="Q20" s="1859"/>
      <c r="R20" s="1859"/>
    </row>
    <row r="21" spans="1:18" ht="30" customHeight="1" x14ac:dyDescent="0.3">
      <c r="G21" s="1841"/>
      <c r="H21" s="1848" t="s">
        <v>2554</v>
      </c>
      <c r="I21" s="1841"/>
    </row>
    <row r="22" spans="1:18" ht="30" customHeight="1" x14ac:dyDescent="0.3">
      <c r="G22" s="1841"/>
      <c r="H22" s="1848" t="s">
        <v>2553</v>
      </c>
      <c r="I22" s="1841"/>
    </row>
    <row r="23" spans="1:18" ht="30" customHeight="1" x14ac:dyDescent="0.3">
      <c r="G23" s="1841"/>
      <c r="H23" s="1848" t="s">
        <v>2591</v>
      </c>
      <c r="I23" s="1841"/>
    </row>
    <row r="24" spans="1:18" ht="30" customHeight="1" x14ac:dyDescent="0.3">
      <c r="G24" s="1841"/>
      <c r="H24" s="1848" t="s">
        <v>2491</v>
      </c>
      <c r="I24" s="1841"/>
    </row>
    <row r="25" spans="1:18" ht="30" customHeight="1" x14ac:dyDescent="0.3">
      <c r="G25" s="1841"/>
      <c r="H25" s="1848" t="s">
        <v>2492</v>
      </c>
      <c r="I25" s="1841"/>
    </row>
    <row r="26" spans="1:18" ht="30" customHeight="1" x14ac:dyDescent="0.3">
      <c r="G26" s="1841"/>
      <c r="H26" s="1848" t="s">
        <v>2493</v>
      </c>
      <c r="I26" s="1841"/>
    </row>
    <row r="27" spans="1:18" ht="30" customHeight="1" x14ac:dyDescent="0.3">
      <c r="G27" s="1841"/>
      <c r="H27" s="1848" t="s">
        <v>2519</v>
      </c>
      <c r="I27" s="1841"/>
    </row>
    <row r="28" spans="1:18" ht="30" customHeight="1" x14ac:dyDescent="0.3">
      <c r="G28" s="1841"/>
      <c r="H28" s="1848" t="s">
        <v>2494</v>
      </c>
      <c r="I28" s="1841"/>
    </row>
    <row r="29" spans="1:18" ht="30" customHeight="1" x14ac:dyDescent="0.3">
      <c r="G29" s="1841"/>
      <c r="H29" s="1848" t="s">
        <v>2588</v>
      </c>
      <c r="I29" s="1841"/>
    </row>
    <row r="30" spans="1:18" ht="30" customHeight="1" x14ac:dyDescent="0.3">
      <c r="G30" s="1841"/>
      <c r="H30" s="1848" t="s">
        <v>2495</v>
      </c>
      <c r="I30" s="1841"/>
    </row>
    <row r="31" spans="1:18" ht="30" customHeight="1" x14ac:dyDescent="0.3">
      <c r="G31" s="1841"/>
      <c r="H31" s="1848" t="s">
        <v>2467</v>
      </c>
      <c r="I31" s="1841"/>
    </row>
    <row r="32" spans="1:18" ht="30" customHeight="1" x14ac:dyDescent="0.3">
      <c r="G32" s="1841"/>
      <c r="H32" s="1848" t="s">
        <v>2546</v>
      </c>
      <c r="I32" s="1841"/>
    </row>
    <row r="33" spans="7:9" ht="30" customHeight="1" x14ac:dyDescent="0.3">
      <c r="G33" s="1841"/>
      <c r="H33" s="1848" t="s">
        <v>2514</v>
      </c>
      <c r="I33" s="1841"/>
    </row>
    <row r="34" spans="7:9" ht="30" customHeight="1" x14ac:dyDescent="0.3">
      <c r="G34" s="1841"/>
      <c r="H34" s="1848" t="s">
        <v>2515</v>
      </c>
      <c r="I34" s="1841"/>
    </row>
    <row r="35" spans="7:9" ht="30" customHeight="1" x14ac:dyDescent="0.3">
      <c r="G35" s="1841"/>
      <c r="H35" s="1848" t="s">
        <v>2496</v>
      </c>
      <c r="I35" s="1841"/>
    </row>
    <row r="36" spans="7:9" ht="30" customHeight="1" x14ac:dyDescent="0.3">
      <c r="G36" s="1841"/>
      <c r="H36" s="1848" t="s">
        <v>2497</v>
      </c>
      <c r="I36" s="1841"/>
    </row>
    <row r="37" spans="7:9" ht="30" customHeight="1" x14ac:dyDescent="0.3">
      <c r="G37" s="1841"/>
      <c r="H37" s="1848" t="s">
        <v>2498</v>
      </c>
      <c r="I37" s="1841"/>
    </row>
    <row r="38" spans="7:9" ht="30" customHeight="1" x14ac:dyDescent="0.3">
      <c r="G38" s="1841"/>
      <c r="H38" s="1848" t="s">
        <v>2499</v>
      </c>
      <c r="I38" s="1841"/>
    </row>
    <row r="39" spans="7:9" ht="30" customHeight="1" x14ac:dyDescent="0.3">
      <c r="G39" s="1841"/>
      <c r="H39" s="1848" t="s">
        <v>2500</v>
      </c>
      <c r="I39" s="1841"/>
    </row>
    <row r="40" spans="7:9" ht="30" customHeight="1" x14ac:dyDescent="0.3">
      <c r="G40" s="1841"/>
      <c r="H40" s="1848" t="s">
        <v>2501</v>
      </c>
      <c r="I40" s="1841"/>
    </row>
    <row r="41" spans="7:9" ht="30" customHeight="1" x14ac:dyDescent="0.3">
      <c r="G41" s="1841"/>
      <c r="H41" s="1841"/>
      <c r="I41" s="1841"/>
    </row>
  </sheetData>
  <sheetProtection sheet="1" selectLockedCells="1"/>
  <mergeCells count="1">
    <mergeCell ref="O5:U5"/>
  </mergeCells>
  <dataValidations count="1">
    <dataValidation allowBlank="1" showInputMessage="1" showErrorMessage="1" prompt="Enter Categories in this column under this heading" sqref="B5 E5:N5" xr:uid="{00000000-0002-0000-0300-000002000000}"/>
  </dataValidations>
  <printOptions horizontalCentered="1"/>
  <pageMargins left="0.7" right="0.7" top="0.75" bottom="0.75" header="0.3" footer="0.3"/>
  <pageSetup fitToHeight="0" orientation="portrait" r:id="rId1"/>
  <headerFooter differentFirst="1"/>
  <drawing r:id="rId2"/>
  <legacyDrawing r:id="rId3"/>
  <tableParts count="2">
    <tablePart r:id="rId4"/>
    <tablePart r:id="rId5"/>
  </tablePar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86458-FF63-4157-BB42-D1B841C600EC}">
  <sheetPr codeName="Sheet21">
    <tabColor theme="9" tint="0.79998168889431442"/>
    <pageSetUpPr fitToPage="1"/>
  </sheetPr>
  <dimension ref="A1:DW62"/>
  <sheetViews>
    <sheetView showGridLines="0" showRowColHeaders="0" zoomScaleNormal="100" zoomScaleSheetLayoutView="85" workbookViewId="0">
      <pane ySplit="5" topLeftCell="A6" activePane="bottomLeft" state="frozen"/>
      <selection pane="bottomLeft" activeCell="C1" sqref="C1"/>
    </sheetView>
  </sheetViews>
  <sheetFormatPr defaultColWidth="9.109375" defaultRowHeight="13.8" x14ac:dyDescent="0.3"/>
  <cols>
    <col min="1" max="1" width="2.88671875" style="93" customWidth="1"/>
    <col min="2" max="2" width="25.6640625" style="93" customWidth="1"/>
    <col min="3" max="3" width="12.88671875" style="93" customWidth="1"/>
    <col min="4" max="4" width="10" style="93" customWidth="1"/>
    <col min="5" max="5" width="9.6640625" style="93" bestFit="1" customWidth="1"/>
    <col min="6" max="6" width="2.44140625" style="93" customWidth="1"/>
    <col min="7" max="7" width="10" style="93" customWidth="1"/>
    <col min="8" max="8" width="9.109375" style="93" customWidth="1"/>
    <col min="9" max="126" width="10" style="93" customWidth="1"/>
    <col min="127" max="16384" width="9.109375" style="93"/>
  </cols>
  <sheetData>
    <row r="1" spans="1:127" s="1244" customFormat="1" ht="30" customHeight="1" x14ac:dyDescent="0.25">
      <c r="A1" s="1685" t="s">
        <v>973</v>
      </c>
    </row>
    <row r="2" spans="1:127" s="673" customFormat="1" ht="18.75" customHeight="1" x14ac:dyDescent="0.25">
      <c r="A2" s="1685"/>
      <c r="B2" s="1244"/>
      <c r="C2" s="1244"/>
      <c r="D2" s="1244"/>
      <c r="E2" s="1244"/>
      <c r="F2" s="1244"/>
      <c r="G2" s="1244"/>
      <c r="H2" s="1244"/>
      <c r="I2" s="1244"/>
      <c r="J2" s="1244"/>
      <c r="K2" s="1244"/>
      <c r="L2" s="1244"/>
      <c r="M2" s="1244"/>
      <c r="N2" s="1244"/>
      <c r="O2" s="1244"/>
      <c r="P2" s="1244"/>
      <c r="Q2" s="1244"/>
      <c r="R2" s="1244"/>
      <c r="S2" s="1244"/>
      <c r="T2" s="1244"/>
      <c r="U2" s="1244"/>
      <c r="V2" s="1244"/>
      <c r="W2" s="1244"/>
      <c r="X2" s="1244"/>
      <c r="Y2" s="1244"/>
      <c r="Z2" s="1244"/>
      <c r="AA2" s="1244"/>
      <c r="AB2" s="1244"/>
      <c r="AC2" s="1244"/>
      <c r="AD2" s="1244"/>
      <c r="AE2" s="1244"/>
      <c r="AF2" s="1244"/>
      <c r="AG2" s="1244"/>
      <c r="AH2" s="1244"/>
      <c r="AI2" s="1244"/>
      <c r="AJ2" s="1244"/>
      <c r="AK2" s="1244"/>
      <c r="AL2" s="1244"/>
      <c r="AM2" s="1244"/>
      <c r="AN2" s="1244"/>
      <c r="AO2" s="1244"/>
      <c r="AP2" s="1244"/>
      <c r="AQ2" s="1244"/>
      <c r="AR2" s="1244"/>
      <c r="AS2" s="1244"/>
      <c r="AT2" s="1244"/>
      <c r="AU2" s="1244"/>
      <c r="AV2" s="1244"/>
      <c r="AW2" s="1244"/>
      <c r="AX2" s="1244"/>
      <c r="AY2" s="1244"/>
      <c r="AZ2" s="1244"/>
      <c r="BA2" s="1244"/>
      <c r="BB2" s="1244"/>
      <c r="BC2" s="1244"/>
      <c r="BD2" s="1244"/>
      <c r="BE2" s="1244"/>
      <c r="BF2" s="1244"/>
      <c r="BG2" s="1244"/>
      <c r="BH2" s="1244"/>
      <c r="BI2" s="1244"/>
      <c r="BJ2" s="1244"/>
      <c r="BK2" s="1244"/>
      <c r="BL2" s="1244"/>
      <c r="BM2" s="1244"/>
      <c r="BN2" s="1244"/>
      <c r="BO2" s="1244"/>
      <c r="BP2" s="1244"/>
      <c r="BQ2" s="1244"/>
      <c r="BR2" s="1244"/>
      <c r="BS2" s="1244"/>
      <c r="BT2" s="1244"/>
      <c r="BU2" s="1244"/>
      <c r="BV2" s="1244"/>
      <c r="BW2" s="1244"/>
      <c r="BX2" s="1244"/>
      <c r="BY2" s="1244"/>
      <c r="BZ2" s="1244"/>
      <c r="CA2" s="1244"/>
      <c r="CB2" s="1244"/>
      <c r="CC2" s="1244"/>
      <c r="CD2" s="1244"/>
      <c r="CE2" s="1244"/>
      <c r="CF2" s="1244"/>
      <c r="CG2" s="1244"/>
      <c r="CH2" s="1244"/>
      <c r="CI2" s="1244"/>
      <c r="CJ2" s="1244"/>
      <c r="CK2" s="1244"/>
      <c r="CL2" s="1244"/>
      <c r="CM2" s="1244"/>
      <c r="CN2" s="1244"/>
      <c r="CO2" s="1244"/>
      <c r="CP2" s="1244"/>
      <c r="CQ2" s="1244"/>
      <c r="CR2" s="1244"/>
      <c r="CS2" s="1244"/>
      <c r="CT2" s="1244"/>
      <c r="CU2" s="1244"/>
      <c r="CV2" s="1244"/>
      <c r="CW2" s="1244"/>
      <c r="CX2" s="1244"/>
      <c r="CY2" s="1244"/>
      <c r="CZ2" s="1244"/>
      <c r="DA2" s="1244"/>
      <c r="DB2" s="1244"/>
      <c r="DC2" s="1244"/>
      <c r="DD2" s="1244"/>
      <c r="DE2" s="1244"/>
      <c r="DF2" s="1244"/>
      <c r="DG2" s="1244"/>
      <c r="DH2" s="1244"/>
      <c r="DI2" s="1244"/>
      <c r="DJ2" s="1244"/>
      <c r="DK2" s="1244"/>
      <c r="DL2" s="1244"/>
      <c r="DM2" s="1244"/>
      <c r="DN2" s="1244"/>
      <c r="DO2" s="1244"/>
      <c r="DP2" s="1244"/>
      <c r="DQ2" s="1244"/>
      <c r="DR2" s="1244"/>
      <c r="DS2" s="1244"/>
      <c r="DT2" s="1244"/>
      <c r="DU2" s="1244"/>
      <c r="DV2" s="1244"/>
      <c r="DW2" s="1244"/>
    </row>
    <row r="3" spans="1:127" s="96" customFormat="1" ht="15" customHeight="1" x14ac:dyDescent="0.25">
      <c r="A3" s="1685"/>
      <c r="B3" s="1244"/>
      <c r="C3" s="1244"/>
      <c r="D3" s="1244"/>
      <c r="E3" s="1244"/>
      <c r="F3" s="1244"/>
      <c r="G3" s="1244"/>
      <c r="H3" s="1244"/>
      <c r="I3" s="1244"/>
      <c r="J3" s="1244"/>
      <c r="K3" s="1244"/>
      <c r="L3" s="1244"/>
      <c r="M3" s="1244"/>
      <c r="N3" s="1244"/>
      <c r="O3" s="1244"/>
      <c r="P3" s="1244"/>
      <c r="Q3" s="1244"/>
      <c r="R3" s="1244"/>
      <c r="S3" s="1244"/>
      <c r="T3" s="1244"/>
      <c r="U3" s="1244"/>
      <c r="V3" s="1244"/>
      <c r="W3" s="1244"/>
      <c r="X3" s="1244"/>
      <c r="Y3" s="1244"/>
      <c r="Z3" s="1244"/>
      <c r="AA3" s="1244"/>
      <c r="AB3" s="1244"/>
      <c r="AC3" s="1244"/>
      <c r="AD3" s="1244"/>
      <c r="AE3" s="1244"/>
      <c r="AF3" s="1244"/>
      <c r="AG3" s="1244"/>
      <c r="AH3" s="1244"/>
      <c r="AI3" s="1244"/>
      <c r="AJ3" s="1244"/>
      <c r="AK3" s="1244"/>
      <c r="AL3" s="1244"/>
      <c r="AM3" s="1244"/>
      <c r="AN3" s="1244"/>
      <c r="AO3" s="1244"/>
      <c r="AP3" s="1244"/>
      <c r="AQ3" s="1244"/>
      <c r="AR3" s="1244"/>
      <c r="AS3" s="1244"/>
      <c r="AT3" s="1244"/>
      <c r="AU3" s="1244"/>
      <c r="AV3" s="1244"/>
      <c r="AW3" s="1244"/>
      <c r="AX3" s="1244"/>
      <c r="AY3" s="1244"/>
      <c r="AZ3" s="1244"/>
      <c r="BA3" s="1244"/>
      <c r="BB3" s="1244"/>
      <c r="BC3" s="1244"/>
      <c r="BD3" s="1244"/>
      <c r="BE3" s="1244"/>
      <c r="BF3" s="1244"/>
      <c r="BG3" s="1244"/>
      <c r="BH3" s="1244"/>
      <c r="BI3" s="1244"/>
      <c r="BJ3" s="1244"/>
      <c r="BK3" s="1244"/>
      <c r="BL3" s="1244"/>
      <c r="BM3" s="1244"/>
      <c r="BN3" s="1244"/>
      <c r="BO3" s="1244"/>
      <c r="BP3" s="1244"/>
      <c r="BQ3" s="1244"/>
      <c r="BR3" s="1244"/>
      <c r="BS3" s="1244"/>
      <c r="BT3" s="1244"/>
      <c r="BU3" s="1244"/>
      <c r="BV3" s="1244"/>
      <c r="BW3" s="1244"/>
      <c r="BX3" s="1244"/>
      <c r="BY3" s="1244"/>
      <c r="BZ3" s="1244"/>
      <c r="CA3" s="1244"/>
      <c r="CB3" s="1244"/>
      <c r="CC3" s="1244"/>
      <c r="CD3" s="1244"/>
      <c r="CE3" s="1244"/>
      <c r="CF3" s="1244"/>
      <c r="CG3" s="1244"/>
      <c r="CH3" s="1244"/>
      <c r="CI3" s="1244"/>
      <c r="CJ3" s="1244"/>
      <c r="CK3" s="1244"/>
      <c r="CL3" s="1244"/>
      <c r="CM3" s="1244"/>
      <c r="CN3" s="1244"/>
      <c r="CO3" s="1244"/>
      <c r="CP3" s="1244"/>
      <c r="CQ3" s="1244"/>
      <c r="CR3" s="1244"/>
      <c r="CS3" s="1244"/>
      <c r="CT3" s="1244"/>
      <c r="CU3" s="1244"/>
      <c r="CV3" s="1244"/>
      <c r="CW3" s="1244"/>
      <c r="CX3" s="1244"/>
      <c r="CY3" s="1244"/>
      <c r="CZ3" s="1244"/>
      <c r="DA3" s="1244"/>
      <c r="DB3" s="1244"/>
      <c r="DC3" s="1244"/>
      <c r="DD3" s="1244"/>
      <c r="DE3" s="1244"/>
      <c r="DF3" s="1244"/>
      <c r="DG3" s="1244"/>
      <c r="DH3" s="1244"/>
      <c r="DI3" s="1244"/>
      <c r="DJ3" s="1244"/>
      <c r="DK3" s="1244"/>
      <c r="DL3" s="1244"/>
      <c r="DM3" s="1244"/>
      <c r="DN3" s="1244"/>
      <c r="DO3" s="1244"/>
      <c r="DP3" s="1244"/>
      <c r="DQ3" s="1244"/>
      <c r="DR3" s="1244"/>
      <c r="DS3" s="1244"/>
      <c r="DT3" s="1244"/>
      <c r="DU3" s="1244"/>
      <c r="DV3" s="1244"/>
      <c r="DW3" s="1244"/>
    </row>
    <row r="4" spans="1:127" ht="15" customHeight="1" x14ac:dyDescent="0.25">
      <c r="A4" s="1685"/>
      <c r="B4" s="1244"/>
      <c r="C4" s="1244"/>
      <c r="D4" s="1244"/>
      <c r="E4" s="1244"/>
      <c r="F4" s="1244"/>
      <c r="G4" s="1244"/>
      <c r="H4" s="1244"/>
      <c r="I4" s="1244"/>
      <c r="J4" s="1244"/>
      <c r="K4" s="1244"/>
      <c r="L4" s="1244"/>
      <c r="M4" s="1244"/>
      <c r="N4" s="1244"/>
      <c r="O4" s="1244"/>
      <c r="P4" s="1244"/>
      <c r="Q4" s="1244"/>
      <c r="R4" s="1244"/>
      <c r="S4" s="1244"/>
      <c r="T4" s="1244"/>
      <c r="U4" s="1244"/>
      <c r="V4" s="1244"/>
      <c r="W4" s="1244"/>
      <c r="X4" s="1244"/>
      <c r="Y4" s="1244"/>
      <c r="Z4" s="1244"/>
      <c r="AA4" s="1244"/>
      <c r="AB4" s="1244"/>
      <c r="AC4" s="1244"/>
      <c r="AD4" s="1244"/>
      <c r="AE4" s="1244"/>
      <c r="AF4" s="1244"/>
      <c r="AG4" s="1244"/>
      <c r="AH4" s="1244"/>
      <c r="AI4" s="1244"/>
      <c r="AJ4" s="1244"/>
      <c r="AK4" s="1244"/>
      <c r="AL4" s="1244"/>
      <c r="AM4" s="1244"/>
      <c r="AN4" s="1244"/>
      <c r="AO4" s="1244"/>
      <c r="AP4" s="1244"/>
      <c r="AQ4" s="1244"/>
      <c r="AR4" s="1244"/>
      <c r="AS4" s="1244"/>
      <c r="AT4" s="1244"/>
      <c r="AU4" s="1244"/>
      <c r="AV4" s="1244"/>
      <c r="AW4" s="1244"/>
      <c r="AX4" s="1244"/>
      <c r="AY4" s="1244"/>
      <c r="AZ4" s="1244"/>
      <c r="BA4" s="1244"/>
      <c r="BB4" s="1244"/>
      <c r="BC4" s="1244"/>
      <c r="BD4" s="1244"/>
      <c r="BE4" s="1244"/>
      <c r="BF4" s="1244"/>
      <c r="BG4" s="1244"/>
      <c r="BH4" s="1244"/>
      <c r="BI4" s="1244"/>
      <c r="BJ4" s="1244"/>
      <c r="BK4" s="1244"/>
      <c r="BL4" s="1244"/>
      <c r="BM4" s="1244"/>
      <c r="BN4" s="1244"/>
      <c r="BO4" s="1244"/>
      <c r="BP4" s="1244"/>
      <c r="BQ4" s="1244"/>
      <c r="BR4" s="1244"/>
      <c r="BS4" s="1244"/>
      <c r="BT4" s="1244"/>
      <c r="BU4" s="1244"/>
      <c r="BV4" s="1244"/>
      <c r="BW4" s="1244"/>
      <c r="BX4" s="1244"/>
      <c r="BY4" s="1244"/>
      <c r="BZ4" s="1244"/>
      <c r="CA4" s="1244"/>
      <c r="CB4" s="1244"/>
      <c r="CC4" s="1244"/>
      <c r="CD4" s="1244"/>
      <c r="CE4" s="1244"/>
      <c r="CF4" s="1244"/>
      <c r="CG4" s="1244"/>
      <c r="CH4" s="1244"/>
      <c r="CI4" s="1244"/>
      <c r="CJ4" s="1244"/>
      <c r="CK4" s="1244"/>
      <c r="CL4" s="1244"/>
      <c r="CM4" s="1244"/>
      <c r="CN4" s="1244"/>
      <c r="CO4" s="1244"/>
      <c r="CP4" s="1244"/>
      <c r="CQ4" s="1244"/>
      <c r="CR4" s="1244"/>
      <c r="CS4" s="1244"/>
      <c r="CT4" s="1244"/>
      <c r="CU4" s="1244"/>
      <c r="CV4" s="1244"/>
      <c r="CW4" s="1244"/>
      <c r="CX4" s="1244"/>
      <c r="CY4" s="1244"/>
      <c r="CZ4" s="1244"/>
      <c r="DA4" s="1244"/>
      <c r="DB4" s="1244"/>
      <c r="DC4" s="1244"/>
      <c r="DD4" s="1244"/>
      <c r="DE4" s="1244"/>
      <c r="DF4" s="1244"/>
      <c r="DG4" s="1244"/>
      <c r="DH4" s="1244"/>
      <c r="DI4" s="1244"/>
      <c r="DJ4" s="1244"/>
      <c r="DK4" s="1244"/>
      <c r="DL4" s="1244"/>
      <c r="DM4" s="1244"/>
      <c r="DN4" s="1244"/>
      <c r="DO4" s="1244"/>
      <c r="DP4" s="1244"/>
      <c r="DQ4" s="1244"/>
      <c r="DR4" s="1244"/>
      <c r="DS4" s="1244"/>
      <c r="DT4" s="1244"/>
      <c r="DU4" s="1244"/>
      <c r="DV4" s="1244"/>
      <c r="DW4" s="1244"/>
    </row>
    <row r="5" spans="1:127" s="1000" customFormat="1" ht="18.75" customHeight="1" x14ac:dyDescent="0.3">
      <c r="A5" s="1651">
        <f>MATCH(C5,HIDE5!B23:B24,0)</f>
        <v>1</v>
      </c>
      <c r="B5" s="1009" t="s">
        <v>976</v>
      </c>
      <c r="C5" s="1708" t="s">
        <v>979</v>
      </c>
      <c r="D5" s="1709"/>
      <c r="E5" s="1650">
        <f>CHOOSE(A5,purchase_date,D5)</f>
        <v>45870</v>
      </c>
      <c r="F5" s="673"/>
      <c r="G5" s="1087">
        <f>G8</f>
        <v>45870</v>
      </c>
      <c r="H5" s="1087">
        <f t="shared" ref="H5:BN5" si="0">H8</f>
        <v>45901</v>
      </c>
      <c r="I5" s="1087">
        <f t="shared" si="0"/>
        <v>45931</v>
      </c>
      <c r="J5" s="1087">
        <f t="shared" si="0"/>
        <v>45962</v>
      </c>
      <c r="K5" s="1087">
        <f t="shared" si="0"/>
        <v>45992</v>
      </c>
      <c r="L5" s="1087">
        <f t="shared" si="0"/>
        <v>46023</v>
      </c>
      <c r="M5" s="1087">
        <f t="shared" si="0"/>
        <v>46054</v>
      </c>
      <c r="N5" s="1087">
        <f t="shared" si="0"/>
        <v>46082</v>
      </c>
      <c r="O5" s="1087">
        <f t="shared" si="0"/>
        <v>46113</v>
      </c>
      <c r="P5" s="1087">
        <f t="shared" si="0"/>
        <v>46143</v>
      </c>
      <c r="Q5" s="1087">
        <f t="shared" si="0"/>
        <v>46174</v>
      </c>
      <c r="R5" s="1087">
        <f t="shared" si="0"/>
        <v>46204</v>
      </c>
      <c r="S5" s="1087">
        <f t="shared" si="0"/>
        <v>46235</v>
      </c>
      <c r="T5" s="1087">
        <f t="shared" si="0"/>
        <v>46266</v>
      </c>
      <c r="U5" s="1087">
        <f t="shared" si="0"/>
        <v>46296</v>
      </c>
      <c r="V5" s="1087">
        <f t="shared" si="0"/>
        <v>46327</v>
      </c>
      <c r="W5" s="1087">
        <f t="shared" si="0"/>
        <v>46357</v>
      </c>
      <c r="X5" s="1087">
        <f t="shared" si="0"/>
        <v>46388</v>
      </c>
      <c r="Y5" s="1087">
        <f t="shared" si="0"/>
        <v>46419</v>
      </c>
      <c r="Z5" s="1087">
        <f t="shared" si="0"/>
        <v>46447</v>
      </c>
      <c r="AA5" s="1087">
        <f t="shared" si="0"/>
        <v>46478</v>
      </c>
      <c r="AB5" s="1087">
        <f t="shared" si="0"/>
        <v>46508</v>
      </c>
      <c r="AC5" s="1087">
        <f t="shared" si="0"/>
        <v>46539</v>
      </c>
      <c r="AD5" s="1087">
        <f t="shared" si="0"/>
        <v>46569</v>
      </c>
      <c r="AE5" s="1087">
        <f t="shared" si="0"/>
        <v>46600</v>
      </c>
      <c r="AF5" s="1087">
        <f t="shared" si="0"/>
        <v>46631</v>
      </c>
      <c r="AG5" s="1087">
        <f t="shared" si="0"/>
        <v>46661</v>
      </c>
      <c r="AH5" s="1087">
        <f t="shared" si="0"/>
        <v>46692</v>
      </c>
      <c r="AI5" s="1087">
        <f t="shared" si="0"/>
        <v>46722</v>
      </c>
      <c r="AJ5" s="1087">
        <f t="shared" si="0"/>
        <v>46753</v>
      </c>
      <c r="AK5" s="1087">
        <f t="shared" si="0"/>
        <v>46784</v>
      </c>
      <c r="AL5" s="1087">
        <f t="shared" si="0"/>
        <v>46813</v>
      </c>
      <c r="AM5" s="1087">
        <f t="shared" si="0"/>
        <v>46844</v>
      </c>
      <c r="AN5" s="1087">
        <f t="shared" si="0"/>
        <v>46874</v>
      </c>
      <c r="AO5" s="1087">
        <f t="shared" si="0"/>
        <v>46905</v>
      </c>
      <c r="AP5" s="1087">
        <f t="shared" si="0"/>
        <v>46935</v>
      </c>
      <c r="AQ5" s="1087">
        <f t="shared" si="0"/>
        <v>46966</v>
      </c>
      <c r="AR5" s="1087">
        <f t="shared" si="0"/>
        <v>46997</v>
      </c>
      <c r="AS5" s="1087">
        <f t="shared" si="0"/>
        <v>47027</v>
      </c>
      <c r="AT5" s="1087">
        <f t="shared" si="0"/>
        <v>47058</v>
      </c>
      <c r="AU5" s="1087">
        <f t="shared" si="0"/>
        <v>47088</v>
      </c>
      <c r="AV5" s="1087">
        <f t="shared" si="0"/>
        <v>47119</v>
      </c>
      <c r="AW5" s="1087">
        <f t="shared" si="0"/>
        <v>47150</v>
      </c>
      <c r="AX5" s="1087">
        <f t="shared" si="0"/>
        <v>47178</v>
      </c>
      <c r="AY5" s="1087">
        <f t="shared" si="0"/>
        <v>47209</v>
      </c>
      <c r="AZ5" s="1087">
        <f t="shared" si="0"/>
        <v>47239</v>
      </c>
      <c r="BA5" s="1087">
        <f t="shared" si="0"/>
        <v>47270</v>
      </c>
      <c r="BB5" s="1087">
        <f t="shared" si="0"/>
        <v>47300</v>
      </c>
      <c r="BC5" s="1087">
        <f t="shared" si="0"/>
        <v>47331</v>
      </c>
      <c r="BD5" s="1087">
        <f t="shared" si="0"/>
        <v>47362</v>
      </c>
      <c r="BE5" s="1087">
        <f t="shared" si="0"/>
        <v>47392</v>
      </c>
      <c r="BF5" s="1087">
        <f t="shared" si="0"/>
        <v>47423</v>
      </c>
      <c r="BG5" s="1087">
        <f t="shared" si="0"/>
        <v>47453</v>
      </c>
      <c r="BH5" s="1087">
        <f t="shared" si="0"/>
        <v>47484</v>
      </c>
      <c r="BI5" s="1087">
        <f t="shared" si="0"/>
        <v>47515</v>
      </c>
      <c r="BJ5" s="1087">
        <f t="shared" si="0"/>
        <v>47543</v>
      </c>
      <c r="BK5" s="1087">
        <f t="shared" si="0"/>
        <v>47574</v>
      </c>
      <c r="BL5" s="1087">
        <f t="shared" si="0"/>
        <v>47604</v>
      </c>
      <c r="BM5" s="1087">
        <f t="shared" si="0"/>
        <v>47635</v>
      </c>
      <c r="BN5" s="1087">
        <f t="shared" si="0"/>
        <v>47665</v>
      </c>
      <c r="BO5" s="1087">
        <f t="shared" ref="BO5:DV5" si="1">BO8</f>
        <v>47696</v>
      </c>
      <c r="BP5" s="1087">
        <f t="shared" si="1"/>
        <v>47727</v>
      </c>
      <c r="BQ5" s="1087">
        <f t="shared" si="1"/>
        <v>47757</v>
      </c>
      <c r="BR5" s="1087">
        <f t="shared" si="1"/>
        <v>47788</v>
      </c>
      <c r="BS5" s="1087">
        <f t="shared" si="1"/>
        <v>47818</v>
      </c>
      <c r="BT5" s="1087">
        <f t="shared" si="1"/>
        <v>47849</v>
      </c>
      <c r="BU5" s="1087">
        <f t="shared" si="1"/>
        <v>47880</v>
      </c>
      <c r="BV5" s="1087">
        <f t="shared" si="1"/>
        <v>47908</v>
      </c>
      <c r="BW5" s="1087">
        <f t="shared" si="1"/>
        <v>47939</v>
      </c>
      <c r="BX5" s="1087">
        <f t="shared" si="1"/>
        <v>47969</v>
      </c>
      <c r="BY5" s="1087">
        <f t="shared" si="1"/>
        <v>48000</v>
      </c>
      <c r="BZ5" s="1087">
        <f t="shared" si="1"/>
        <v>48030</v>
      </c>
      <c r="CA5" s="1087">
        <f t="shared" si="1"/>
        <v>48061</v>
      </c>
      <c r="CB5" s="1087">
        <f t="shared" si="1"/>
        <v>48092</v>
      </c>
      <c r="CC5" s="1087">
        <f t="shared" si="1"/>
        <v>48122</v>
      </c>
      <c r="CD5" s="1087">
        <f t="shared" si="1"/>
        <v>48153</v>
      </c>
      <c r="CE5" s="1087">
        <f t="shared" si="1"/>
        <v>48183</v>
      </c>
      <c r="CF5" s="1087">
        <f t="shared" si="1"/>
        <v>48214</v>
      </c>
      <c r="CG5" s="1087">
        <f t="shared" si="1"/>
        <v>48245</v>
      </c>
      <c r="CH5" s="1087">
        <f t="shared" si="1"/>
        <v>48274</v>
      </c>
      <c r="CI5" s="1087">
        <f t="shared" si="1"/>
        <v>48305</v>
      </c>
      <c r="CJ5" s="1087">
        <f t="shared" si="1"/>
        <v>48335</v>
      </c>
      <c r="CK5" s="1087">
        <f t="shared" si="1"/>
        <v>48366</v>
      </c>
      <c r="CL5" s="1087">
        <f t="shared" si="1"/>
        <v>48396</v>
      </c>
      <c r="CM5" s="1087">
        <f t="shared" si="1"/>
        <v>48427</v>
      </c>
      <c r="CN5" s="1087">
        <f t="shared" si="1"/>
        <v>48458</v>
      </c>
      <c r="CO5" s="1087">
        <f t="shared" si="1"/>
        <v>48488</v>
      </c>
      <c r="CP5" s="1087">
        <f t="shared" si="1"/>
        <v>48519</v>
      </c>
      <c r="CQ5" s="1087">
        <f t="shared" si="1"/>
        <v>48549</v>
      </c>
      <c r="CR5" s="1087">
        <f t="shared" si="1"/>
        <v>48580</v>
      </c>
      <c r="CS5" s="1087">
        <f t="shared" si="1"/>
        <v>48611</v>
      </c>
      <c r="CT5" s="1087">
        <f t="shared" si="1"/>
        <v>48639</v>
      </c>
      <c r="CU5" s="1087">
        <f t="shared" si="1"/>
        <v>48670</v>
      </c>
      <c r="CV5" s="1087">
        <f t="shared" si="1"/>
        <v>48700</v>
      </c>
      <c r="CW5" s="1087">
        <f t="shared" si="1"/>
        <v>48731</v>
      </c>
      <c r="CX5" s="1087">
        <f t="shared" si="1"/>
        <v>48761</v>
      </c>
      <c r="CY5" s="1087">
        <f t="shared" si="1"/>
        <v>48792</v>
      </c>
      <c r="CZ5" s="1087">
        <f t="shared" si="1"/>
        <v>48823</v>
      </c>
      <c r="DA5" s="1087">
        <f t="shared" si="1"/>
        <v>48853</v>
      </c>
      <c r="DB5" s="1087">
        <f t="shared" si="1"/>
        <v>48884</v>
      </c>
      <c r="DC5" s="1087">
        <f t="shared" si="1"/>
        <v>48914</v>
      </c>
      <c r="DD5" s="1087">
        <f t="shared" si="1"/>
        <v>48945</v>
      </c>
      <c r="DE5" s="1087">
        <f t="shared" si="1"/>
        <v>48976</v>
      </c>
      <c r="DF5" s="1087">
        <f t="shared" si="1"/>
        <v>49004</v>
      </c>
      <c r="DG5" s="1087">
        <f t="shared" si="1"/>
        <v>49035</v>
      </c>
      <c r="DH5" s="1087">
        <f t="shared" si="1"/>
        <v>49065</v>
      </c>
      <c r="DI5" s="1087">
        <f t="shared" si="1"/>
        <v>49096</v>
      </c>
      <c r="DJ5" s="1087">
        <f t="shared" si="1"/>
        <v>49126</v>
      </c>
      <c r="DK5" s="1087">
        <f t="shared" si="1"/>
        <v>49157</v>
      </c>
      <c r="DL5" s="1087">
        <f t="shared" si="1"/>
        <v>49188</v>
      </c>
      <c r="DM5" s="1087">
        <f t="shared" si="1"/>
        <v>49218</v>
      </c>
      <c r="DN5" s="1087">
        <f t="shared" si="1"/>
        <v>49249</v>
      </c>
      <c r="DO5" s="1087">
        <f t="shared" si="1"/>
        <v>49279</v>
      </c>
      <c r="DP5" s="1087">
        <f t="shared" si="1"/>
        <v>49310</v>
      </c>
      <c r="DQ5" s="1087">
        <f t="shared" si="1"/>
        <v>49341</v>
      </c>
      <c r="DR5" s="1087">
        <f t="shared" si="1"/>
        <v>49369</v>
      </c>
      <c r="DS5" s="1087">
        <f t="shared" si="1"/>
        <v>49400</v>
      </c>
      <c r="DT5" s="1087">
        <f t="shared" si="1"/>
        <v>49430</v>
      </c>
      <c r="DU5" s="1087">
        <f t="shared" si="1"/>
        <v>49461</v>
      </c>
      <c r="DV5" s="1087">
        <f t="shared" si="1"/>
        <v>49491</v>
      </c>
      <c r="DW5" s="673"/>
    </row>
    <row r="6" spans="1:127" s="1000" customFormat="1" ht="15" customHeight="1" x14ac:dyDescent="0.3">
      <c r="A6" s="1863"/>
      <c r="B6" s="96"/>
      <c r="C6" s="96"/>
      <c r="D6" s="96"/>
      <c r="E6" s="96"/>
      <c r="F6" s="96"/>
      <c r="G6" s="1239">
        <f>MONTH(G8)</f>
        <v>8</v>
      </c>
      <c r="H6" s="1239">
        <f t="shared" ref="H6:BS6" si="2">MONTH(H8)</f>
        <v>9</v>
      </c>
      <c r="I6" s="1239">
        <f t="shared" si="2"/>
        <v>10</v>
      </c>
      <c r="J6" s="1239">
        <f t="shared" si="2"/>
        <v>11</v>
      </c>
      <c r="K6" s="1239">
        <f t="shared" si="2"/>
        <v>12</v>
      </c>
      <c r="L6" s="1239">
        <f t="shared" si="2"/>
        <v>1</v>
      </c>
      <c r="M6" s="1239">
        <f t="shared" si="2"/>
        <v>2</v>
      </c>
      <c r="N6" s="1239">
        <f t="shared" si="2"/>
        <v>3</v>
      </c>
      <c r="O6" s="1239">
        <f t="shared" si="2"/>
        <v>4</v>
      </c>
      <c r="P6" s="1239">
        <f t="shared" si="2"/>
        <v>5</v>
      </c>
      <c r="Q6" s="1239">
        <f t="shared" si="2"/>
        <v>6</v>
      </c>
      <c r="R6" s="1239">
        <f t="shared" si="2"/>
        <v>7</v>
      </c>
      <c r="S6" s="1239">
        <f t="shared" si="2"/>
        <v>8</v>
      </c>
      <c r="T6" s="1239">
        <f t="shared" si="2"/>
        <v>9</v>
      </c>
      <c r="U6" s="1239">
        <f t="shared" si="2"/>
        <v>10</v>
      </c>
      <c r="V6" s="1239">
        <f t="shared" si="2"/>
        <v>11</v>
      </c>
      <c r="W6" s="1239">
        <f t="shared" si="2"/>
        <v>12</v>
      </c>
      <c r="X6" s="1239">
        <f t="shared" si="2"/>
        <v>1</v>
      </c>
      <c r="Y6" s="1239">
        <f t="shared" si="2"/>
        <v>2</v>
      </c>
      <c r="Z6" s="1239">
        <f t="shared" si="2"/>
        <v>3</v>
      </c>
      <c r="AA6" s="1239">
        <f t="shared" si="2"/>
        <v>4</v>
      </c>
      <c r="AB6" s="1239">
        <f t="shared" si="2"/>
        <v>5</v>
      </c>
      <c r="AC6" s="1239">
        <f t="shared" si="2"/>
        <v>6</v>
      </c>
      <c r="AD6" s="1239">
        <f t="shared" si="2"/>
        <v>7</v>
      </c>
      <c r="AE6" s="1239">
        <f t="shared" si="2"/>
        <v>8</v>
      </c>
      <c r="AF6" s="1239">
        <f t="shared" si="2"/>
        <v>9</v>
      </c>
      <c r="AG6" s="1239">
        <f t="shared" si="2"/>
        <v>10</v>
      </c>
      <c r="AH6" s="1239">
        <f t="shared" si="2"/>
        <v>11</v>
      </c>
      <c r="AI6" s="1239">
        <f t="shared" si="2"/>
        <v>12</v>
      </c>
      <c r="AJ6" s="1239">
        <f t="shared" si="2"/>
        <v>1</v>
      </c>
      <c r="AK6" s="1239">
        <f t="shared" si="2"/>
        <v>2</v>
      </c>
      <c r="AL6" s="1239">
        <f t="shared" si="2"/>
        <v>3</v>
      </c>
      <c r="AM6" s="1239">
        <f t="shared" si="2"/>
        <v>4</v>
      </c>
      <c r="AN6" s="1239">
        <f t="shared" si="2"/>
        <v>5</v>
      </c>
      <c r="AO6" s="1239">
        <f t="shared" si="2"/>
        <v>6</v>
      </c>
      <c r="AP6" s="1239">
        <f t="shared" si="2"/>
        <v>7</v>
      </c>
      <c r="AQ6" s="1239">
        <f t="shared" si="2"/>
        <v>8</v>
      </c>
      <c r="AR6" s="1239">
        <f t="shared" si="2"/>
        <v>9</v>
      </c>
      <c r="AS6" s="1239">
        <f t="shared" si="2"/>
        <v>10</v>
      </c>
      <c r="AT6" s="1239">
        <f t="shared" si="2"/>
        <v>11</v>
      </c>
      <c r="AU6" s="1239">
        <f t="shared" si="2"/>
        <v>12</v>
      </c>
      <c r="AV6" s="1239">
        <f t="shared" si="2"/>
        <v>1</v>
      </c>
      <c r="AW6" s="1239">
        <f t="shared" si="2"/>
        <v>2</v>
      </c>
      <c r="AX6" s="1239">
        <f t="shared" si="2"/>
        <v>3</v>
      </c>
      <c r="AY6" s="1239">
        <f t="shared" si="2"/>
        <v>4</v>
      </c>
      <c r="AZ6" s="1239">
        <f t="shared" si="2"/>
        <v>5</v>
      </c>
      <c r="BA6" s="1239">
        <f t="shared" si="2"/>
        <v>6</v>
      </c>
      <c r="BB6" s="1239">
        <f t="shared" si="2"/>
        <v>7</v>
      </c>
      <c r="BC6" s="1239">
        <f t="shared" si="2"/>
        <v>8</v>
      </c>
      <c r="BD6" s="1239">
        <f t="shared" si="2"/>
        <v>9</v>
      </c>
      <c r="BE6" s="1239">
        <f t="shared" si="2"/>
        <v>10</v>
      </c>
      <c r="BF6" s="1239">
        <f t="shared" si="2"/>
        <v>11</v>
      </c>
      <c r="BG6" s="1239">
        <f t="shared" si="2"/>
        <v>12</v>
      </c>
      <c r="BH6" s="1239">
        <f t="shared" si="2"/>
        <v>1</v>
      </c>
      <c r="BI6" s="1239">
        <f t="shared" si="2"/>
        <v>2</v>
      </c>
      <c r="BJ6" s="1239">
        <f t="shared" si="2"/>
        <v>3</v>
      </c>
      <c r="BK6" s="1239">
        <f t="shared" si="2"/>
        <v>4</v>
      </c>
      <c r="BL6" s="1239">
        <f t="shared" si="2"/>
        <v>5</v>
      </c>
      <c r="BM6" s="1239">
        <f t="shared" si="2"/>
        <v>6</v>
      </c>
      <c r="BN6" s="1239">
        <f t="shared" si="2"/>
        <v>7</v>
      </c>
      <c r="BO6" s="1239">
        <f t="shared" si="2"/>
        <v>8</v>
      </c>
      <c r="BP6" s="1239">
        <f t="shared" si="2"/>
        <v>9</v>
      </c>
      <c r="BQ6" s="1239">
        <f t="shared" si="2"/>
        <v>10</v>
      </c>
      <c r="BR6" s="1239">
        <f t="shared" si="2"/>
        <v>11</v>
      </c>
      <c r="BS6" s="1239">
        <f t="shared" si="2"/>
        <v>12</v>
      </c>
      <c r="BT6" s="1239">
        <f t="shared" ref="BT6:DV6" si="3">MONTH(BT8)</f>
        <v>1</v>
      </c>
      <c r="BU6" s="1239">
        <f t="shared" si="3"/>
        <v>2</v>
      </c>
      <c r="BV6" s="1239">
        <f t="shared" si="3"/>
        <v>3</v>
      </c>
      <c r="BW6" s="1239">
        <f t="shared" si="3"/>
        <v>4</v>
      </c>
      <c r="BX6" s="1239">
        <f t="shared" si="3"/>
        <v>5</v>
      </c>
      <c r="BY6" s="1239">
        <f t="shared" si="3"/>
        <v>6</v>
      </c>
      <c r="BZ6" s="1239">
        <f t="shared" si="3"/>
        <v>7</v>
      </c>
      <c r="CA6" s="1239">
        <f t="shared" si="3"/>
        <v>8</v>
      </c>
      <c r="CB6" s="1239">
        <f t="shared" si="3"/>
        <v>9</v>
      </c>
      <c r="CC6" s="1239">
        <f t="shared" si="3"/>
        <v>10</v>
      </c>
      <c r="CD6" s="1239">
        <f t="shared" si="3"/>
        <v>11</v>
      </c>
      <c r="CE6" s="1239">
        <f t="shared" si="3"/>
        <v>12</v>
      </c>
      <c r="CF6" s="1239">
        <f t="shared" si="3"/>
        <v>1</v>
      </c>
      <c r="CG6" s="1239">
        <f t="shared" si="3"/>
        <v>2</v>
      </c>
      <c r="CH6" s="1239">
        <f t="shared" si="3"/>
        <v>3</v>
      </c>
      <c r="CI6" s="1239">
        <f t="shared" si="3"/>
        <v>4</v>
      </c>
      <c r="CJ6" s="1239">
        <f t="shared" si="3"/>
        <v>5</v>
      </c>
      <c r="CK6" s="1239">
        <f t="shared" si="3"/>
        <v>6</v>
      </c>
      <c r="CL6" s="1239">
        <f t="shared" si="3"/>
        <v>7</v>
      </c>
      <c r="CM6" s="1239">
        <f t="shared" si="3"/>
        <v>8</v>
      </c>
      <c r="CN6" s="1239">
        <f t="shared" si="3"/>
        <v>9</v>
      </c>
      <c r="CO6" s="1239">
        <f t="shared" si="3"/>
        <v>10</v>
      </c>
      <c r="CP6" s="1239">
        <f t="shared" si="3"/>
        <v>11</v>
      </c>
      <c r="CQ6" s="1239">
        <f t="shared" si="3"/>
        <v>12</v>
      </c>
      <c r="CR6" s="1239">
        <f t="shared" si="3"/>
        <v>1</v>
      </c>
      <c r="CS6" s="1239">
        <f t="shared" si="3"/>
        <v>2</v>
      </c>
      <c r="CT6" s="1239">
        <f t="shared" si="3"/>
        <v>3</v>
      </c>
      <c r="CU6" s="1239">
        <f t="shared" si="3"/>
        <v>4</v>
      </c>
      <c r="CV6" s="1239">
        <f t="shared" si="3"/>
        <v>5</v>
      </c>
      <c r="CW6" s="1239">
        <f t="shared" si="3"/>
        <v>6</v>
      </c>
      <c r="CX6" s="1239">
        <f t="shared" si="3"/>
        <v>7</v>
      </c>
      <c r="CY6" s="1239">
        <f t="shared" si="3"/>
        <v>8</v>
      </c>
      <c r="CZ6" s="1239">
        <f t="shared" si="3"/>
        <v>9</v>
      </c>
      <c r="DA6" s="1239">
        <f t="shared" si="3"/>
        <v>10</v>
      </c>
      <c r="DB6" s="1239">
        <f t="shared" si="3"/>
        <v>11</v>
      </c>
      <c r="DC6" s="1239">
        <f t="shared" si="3"/>
        <v>12</v>
      </c>
      <c r="DD6" s="1239">
        <f t="shared" si="3"/>
        <v>1</v>
      </c>
      <c r="DE6" s="1239">
        <f t="shared" si="3"/>
        <v>2</v>
      </c>
      <c r="DF6" s="1239">
        <f t="shared" si="3"/>
        <v>3</v>
      </c>
      <c r="DG6" s="1239">
        <f t="shared" si="3"/>
        <v>4</v>
      </c>
      <c r="DH6" s="1239">
        <f t="shared" si="3"/>
        <v>5</v>
      </c>
      <c r="DI6" s="1239">
        <f t="shared" si="3"/>
        <v>6</v>
      </c>
      <c r="DJ6" s="1239">
        <f t="shared" si="3"/>
        <v>7</v>
      </c>
      <c r="DK6" s="1239">
        <f t="shared" si="3"/>
        <v>8</v>
      </c>
      <c r="DL6" s="1239">
        <f t="shared" si="3"/>
        <v>9</v>
      </c>
      <c r="DM6" s="1239">
        <f t="shared" si="3"/>
        <v>10</v>
      </c>
      <c r="DN6" s="1239">
        <f t="shared" si="3"/>
        <v>11</v>
      </c>
      <c r="DO6" s="1239">
        <f t="shared" si="3"/>
        <v>12</v>
      </c>
      <c r="DP6" s="1239">
        <f t="shared" si="3"/>
        <v>1</v>
      </c>
      <c r="DQ6" s="1239">
        <f t="shared" si="3"/>
        <v>2</v>
      </c>
      <c r="DR6" s="1239">
        <f t="shared" si="3"/>
        <v>3</v>
      </c>
      <c r="DS6" s="1239">
        <f t="shared" si="3"/>
        <v>4</v>
      </c>
      <c r="DT6" s="1239">
        <f t="shared" si="3"/>
        <v>5</v>
      </c>
      <c r="DU6" s="1239">
        <f t="shared" si="3"/>
        <v>6</v>
      </c>
      <c r="DV6" s="1239">
        <f t="shared" si="3"/>
        <v>7</v>
      </c>
      <c r="DW6" s="96"/>
    </row>
    <row r="7" spans="1:127" ht="15" customHeight="1" x14ac:dyDescent="0.3">
      <c r="B7" s="1017"/>
      <c r="C7" s="1049" t="s">
        <v>974</v>
      </c>
      <c r="D7" s="1710"/>
      <c r="G7" s="1683">
        <f t="shared" ref="G7:AL7" si="4">YEAR(G8)</f>
        <v>2025</v>
      </c>
      <c r="H7" s="1683">
        <f t="shared" si="4"/>
        <v>2025</v>
      </c>
      <c r="I7" s="1683">
        <f t="shared" si="4"/>
        <v>2025</v>
      </c>
      <c r="J7" s="1683">
        <f t="shared" si="4"/>
        <v>2025</v>
      </c>
      <c r="K7" s="1683">
        <f t="shared" si="4"/>
        <v>2025</v>
      </c>
      <c r="L7" s="1683">
        <f t="shared" si="4"/>
        <v>2026</v>
      </c>
      <c r="M7" s="1683">
        <f t="shared" si="4"/>
        <v>2026</v>
      </c>
      <c r="N7" s="1683">
        <f t="shared" si="4"/>
        <v>2026</v>
      </c>
      <c r="O7" s="1683">
        <f t="shared" si="4"/>
        <v>2026</v>
      </c>
      <c r="P7" s="1683">
        <f t="shared" si="4"/>
        <v>2026</v>
      </c>
      <c r="Q7" s="1683">
        <f t="shared" si="4"/>
        <v>2026</v>
      </c>
      <c r="R7" s="1683">
        <f t="shared" si="4"/>
        <v>2026</v>
      </c>
      <c r="S7" s="1683">
        <f t="shared" si="4"/>
        <v>2026</v>
      </c>
      <c r="T7" s="1683">
        <f t="shared" si="4"/>
        <v>2026</v>
      </c>
      <c r="U7" s="1683">
        <f t="shared" si="4"/>
        <v>2026</v>
      </c>
      <c r="V7" s="1683">
        <f t="shared" si="4"/>
        <v>2026</v>
      </c>
      <c r="W7" s="1683">
        <f t="shared" si="4"/>
        <v>2026</v>
      </c>
      <c r="X7" s="1683">
        <f t="shared" si="4"/>
        <v>2027</v>
      </c>
      <c r="Y7" s="1683">
        <f t="shared" si="4"/>
        <v>2027</v>
      </c>
      <c r="Z7" s="1683">
        <f t="shared" si="4"/>
        <v>2027</v>
      </c>
      <c r="AA7" s="1683">
        <f t="shared" si="4"/>
        <v>2027</v>
      </c>
      <c r="AB7" s="1683">
        <f t="shared" si="4"/>
        <v>2027</v>
      </c>
      <c r="AC7" s="1683">
        <f t="shared" si="4"/>
        <v>2027</v>
      </c>
      <c r="AD7" s="1683">
        <f t="shared" si="4"/>
        <v>2027</v>
      </c>
      <c r="AE7" s="1683">
        <f t="shared" si="4"/>
        <v>2027</v>
      </c>
      <c r="AF7" s="1683">
        <f t="shared" si="4"/>
        <v>2027</v>
      </c>
      <c r="AG7" s="1683">
        <f t="shared" si="4"/>
        <v>2027</v>
      </c>
      <c r="AH7" s="1683">
        <f t="shared" si="4"/>
        <v>2027</v>
      </c>
      <c r="AI7" s="1683">
        <f t="shared" si="4"/>
        <v>2027</v>
      </c>
      <c r="AJ7" s="1683">
        <f t="shared" si="4"/>
        <v>2028</v>
      </c>
      <c r="AK7" s="1683">
        <f t="shared" si="4"/>
        <v>2028</v>
      </c>
      <c r="AL7" s="1683">
        <f t="shared" si="4"/>
        <v>2028</v>
      </c>
      <c r="AM7" s="1683">
        <f t="shared" ref="AM7:BN7" si="5">YEAR(AM8)</f>
        <v>2028</v>
      </c>
      <c r="AN7" s="1683">
        <f t="shared" si="5"/>
        <v>2028</v>
      </c>
      <c r="AO7" s="1683">
        <f t="shared" si="5"/>
        <v>2028</v>
      </c>
      <c r="AP7" s="1683">
        <f t="shared" si="5"/>
        <v>2028</v>
      </c>
      <c r="AQ7" s="1683">
        <f t="shared" si="5"/>
        <v>2028</v>
      </c>
      <c r="AR7" s="1683">
        <f t="shared" si="5"/>
        <v>2028</v>
      </c>
      <c r="AS7" s="1683">
        <f t="shared" si="5"/>
        <v>2028</v>
      </c>
      <c r="AT7" s="1683">
        <f t="shared" si="5"/>
        <v>2028</v>
      </c>
      <c r="AU7" s="1683">
        <f t="shared" si="5"/>
        <v>2028</v>
      </c>
      <c r="AV7" s="1683">
        <f t="shared" si="5"/>
        <v>2029</v>
      </c>
      <c r="AW7" s="1683">
        <f t="shared" si="5"/>
        <v>2029</v>
      </c>
      <c r="AX7" s="1683">
        <f t="shared" si="5"/>
        <v>2029</v>
      </c>
      <c r="AY7" s="1683">
        <f t="shared" si="5"/>
        <v>2029</v>
      </c>
      <c r="AZ7" s="1683">
        <f t="shared" si="5"/>
        <v>2029</v>
      </c>
      <c r="BA7" s="1683">
        <f t="shared" si="5"/>
        <v>2029</v>
      </c>
      <c r="BB7" s="1683">
        <f t="shared" si="5"/>
        <v>2029</v>
      </c>
      <c r="BC7" s="1683">
        <f t="shared" si="5"/>
        <v>2029</v>
      </c>
      <c r="BD7" s="1683">
        <f t="shared" si="5"/>
        <v>2029</v>
      </c>
      <c r="BE7" s="1683">
        <f t="shared" si="5"/>
        <v>2029</v>
      </c>
      <c r="BF7" s="1683">
        <f t="shared" si="5"/>
        <v>2029</v>
      </c>
      <c r="BG7" s="1683">
        <f t="shared" si="5"/>
        <v>2029</v>
      </c>
      <c r="BH7" s="1683">
        <f t="shared" si="5"/>
        <v>2030</v>
      </c>
      <c r="BI7" s="1683">
        <f t="shared" si="5"/>
        <v>2030</v>
      </c>
      <c r="BJ7" s="1683">
        <f t="shared" si="5"/>
        <v>2030</v>
      </c>
      <c r="BK7" s="1683">
        <f t="shared" si="5"/>
        <v>2030</v>
      </c>
      <c r="BL7" s="1683">
        <f t="shared" si="5"/>
        <v>2030</v>
      </c>
      <c r="BM7" s="1683">
        <f t="shared" si="5"/>
        <v>2030</v>
      </c>
      <c r="BN7" s="1683">
        <f t="shared" si="5"/>
        <v>2030</v>
      </c>
      <c r="BO7" s="1683">
        <f t="shared" ref="BO7:DV7" si="6">YEAR(BO8)</f>
        <v>2030</v>
      </c>
      <c r="BP7" s="1683">
        <f t="shared" si="6"/>
        <v>2030</v>
      </c>
      <c r="BQ7" s="1683">
        <f t="shared" si="6"/>
        <v>2030</v>
      </c>
      <c r="BR7" s="1683">
        <f t="shared" si="6"/>
        <v>2030</v>
      </c>
      <c r="BS7" s="1683">
        <f t="shared" si="6"/>
        <v>2030</v>
      </c>
      <c r="BT7" s="1683">
        <f t="shared" si="6"/>
        <v>2031</v>
      </c>
      <c r="BU7" s="1683">
        <f t="shared" si="6"/>
        <v>2031</v>
      </c>
      <c r="BV7" s="1683">
        <f t="shared" si="6"/>
        <v>2031</v>
      </c>
      <c r="BW7" s="1683">
        <f t="shared" si="6"/>
        <v>2031</v>
      </c>
      <c r="BX7" s="1683">
        <f t="shared" si="6"/>
        <v>2031</v>
      </c>
      <c r="BY7" s="1683">
        <f t="shared" si="6"/>
        <v>2031</v>
      </c>
      <c r="BZ7" s="1683">
        <f t="shared" si="6"/>
        <v>2031</v>
      </c>
      <c r="CA7" s="1683">
        <f t="shared" si="6"/>
        <v>2031</v>
      </c>
      <c r="CB7" s="1683">
        <f t="shared" si="6"/>
        <v>2031</v>
      </c>
      <c r="CC7" s="1683">
        <f t="shared" si="6"/>
        <v>2031</v>
      </c>
      <c r="CD7" s="1683">
        <f t="shared" si="6"/>
        <v>2031</v>
      </c>
      <c r="CE7" s="1683">
        <f t="shared" si="6"/>
        <v>2031</v>
      </c>
      <c r="CF7" s="1683">
        <f t="shared" si="6"/>
        <v>2032</v>
      </c>
      <c r="CG7" s="1683">
        <f t="shared" si="6"/>
        <v>2032</v>
      </c>
      <c r="CH7" s="1683">
        <f t="shared" si="6"/>
        <v>2032</v>
      </c>
      <c r="CI7" s="1683">
        <f t="shared" si="6"/>
        <v>2032</v>
      </c>
      <c r="CJ7" s="1683">
        <f t="shared" si="6"/>
        <v>2032</v>
      </c>
      <c r="CK7" s="1683">
        <f t="shared" si="6"/>
        <v>2032</v>
      </c>
      <c r="CL7" s="1683">
        <f t="shared" si="6"/>
        <v>2032</v>
      </c>
      <c r="CM7" s="1683">
        <f t="shared" si="6"/>
        <v>2032</v>
      </c>
      <c r="CN7" s="1683">
        <f t="shared" si="6"/>
        <v>2032</v>
      </c>
      <c r="CO7" s="1683">
        <f t="shared" si="6"/>
        <v>2032</v>
      </c>
      <c r="CP7" s="1683">
        <f t="shared" si="6"/>
        <v>2032</v>
      </c>
      <c r="CQ7" s="1683">
        <f t="shared" si="6"/>
        <v>2032</v>
      </c>
      <c r="CR7" s="1683">
        <f t="shared" si="6"/>
        <v>2033</v>
      </c>
      <c r="CS7" s="1683">
        <f t="shared" si="6"/>
        <v>2033</v>
      </c>
      <c r="CT7" s="1683">
        <f t="shared" si="6"/>
        <v>2033</v>
      </c>
      <c r="CU7" s="1683">
        <f t="shared" si="6"/>
        <v>2033</v>
      </c>
      <c r="CV7" s="1683">
        <f t="shared" si="6"/>
        <v>2033</v>
      </c>
      <c r="CW7" s="1683">
        <f t="shared" si="6"/>
        <v>2033</v>
      </c>
      <c r="CX7" s="1683">
        <f t="shared" si="6"/>
        <v>2033</v>
      </c>
      <c r="CY7" s="1683">
        <f t="shared" si="6"/>
        <v>2033</v>
      </c>
      <c r="CZ7" s="1683">
        <f t="shared" si="6"/>
        <v>2033</v>
      </c>
      <c r="DA7" s="1683">
        <f t="shared" si="6"/>
        <v>2033</v>
      </c>
      <c r="DB7" s="1683">
        <f t="shared" si="6"/>
        <v>2033</v>
      </c>
      <c r="DC7" s="1683">
        <f t="shared" si="6"/>
        <v>2033</v>
      </c>
      <c r="DD7" s="1683">
        <f t="shared" si="6"/>
        <v>2034</v>
      </c>
      <c r="DE7" s="1683">
        <f t="shared" si="6"/>
        <v>2034</v>
      </c>
      <c r="DF7" s="1683">
        <f t="shared" si="6"/>
        <v>2034</v>
      </c>
      <c r="DG7" s="1683">
        <f t="shared" si="6"/>
        <v>2034</v>
      </c>
      <c r="DH7" s="1683">
        <f t="shared" si="6"/>
        <v>2034</v>
      </c>
      <c r="DI7" s="1683">
        <f t="shared" si="6"/>
        <v>2034</v>
      </c>
      <c r="DJ7" s="1683">
        <f t="shared" si="6"/>
        <v>2034</v>
      </c>
      <c r="DK7" s="1683">
        <f t="shared" si="6"/>
        <v>2034</v>
      </c>
      <c r="DL7" s="1683">
        <f t="shared" si="6"/>
        <v>2034</v>
      </c>
      <c r="DM7" s="1683">
        <f t="shared" si="6"/>
        <v>2034</v>
      </c>
      <c r="DN7" s="1683">
        <f t="shared" si="6"/>
        <v>2034</v>
      </c>
      <c r="DO7" s="1683">
        <f t="shared" si="6"/>
        <v>2034</v>
      </c>
      <c r="DP7" s="1683">
        <f t="shared" si="6"/>
        <v>2035</v>
      </c>
      <c r="DQ7" s="1683">
        <f t="shared" si="6"/>
        <v>2035</v>
      </c>
      <c r="DR7" s="1683">
        <f t="shared" si="6"/>
        <v>2035</v>
      </c>
      <c r="DS7" s="1683">
        <f t="shared" si="6"/>
        <v>2035</v>
      </c>
      <c r="DT7" s="1683">
        <f t="shared" si="6"/>
        <v>2035</v>
      </c>
      <c r="DU7" s="1683">
        <f t="shared" si="6"/>
        <v>2035</v>
      </c>
      <c r="DV7" s="1683">
        <f t="shared" si="6"/>
        <v>2035</v>
      </c>
    </row>
    <row r="8" spans="1:127" s="1000" customFormat="1" ht="15" customHeight="1" x14ac:dyDescent="0.3">
      <c r="B8" s="1010" t="s">
        <v>633</v>
      </c>
      <c r="C8" s="1011" t="s">
        <v>20</v>
      </c>
      <c r="D8" s="1011" t="s">
        <v>570</v>
      </c>
      <c r="E8" s="1011" t="s">
        <v>975</v>
      </c>
      <c r="F8" s="1011"/>
      <c r="G8" s="1050">
        <f>CHOOSE(A5,purchase_date,D5)</f>
        <v>45870</v>
      </c>
      <c r="H8" s="1050">
        <f t="shared" ref="H8:AL8" si="7">EDATE(G8,1)</f>
        <v>45901</v>
      </c>
      <c r="I8" s="1050">
        <f t="shared" si="7"/>
        <v>45931</v>
      </c>
      <c r="J8" s="1050">
        <f t="shared" si="7"/>
        <v>45962</v>
      </c>
      <c r="K8" s="1050">
        <f t="shared" si="7"/>
        <v>45992</v>
      </c>
      <c r="L8" s="1050">
        <f t="shared" si="7"/>
        <v>46023</v>
      </c>
      <c r="M8" s="1050">
        <f t="shared" si="7"/>
        <v>46054</v>
      </c>
      <c r="N8" s="1050">
        <f t="shared" si="7"/>
        <v>46082</v>
      </c>
      <c r="O8" s="1050">
        <f t="shared" si="7"/>
        <v>46113</v>
      </c>
      <c r="P8" s="1050">
        <f t="shared" si="7"/>
        <v>46143</v>
      </c>
      <c r="Q8" s="1050">
        <f t="shared" si="7"/>
        <v>46174</v>
      </c>
      <c r="R8" s="1050">
        <f t="shared" si="7"/>
        <v>46204</v>
      </c>
      <c r="S8" s="1050">
        <f t="shared" si="7"/>
        <v>46235</v>
      </c>
      <c r="T8" s="1050">
        <f t="shared" si="7"/>
        <v>46266</v>
      </c>
      <c r="U8" s="1050">
        <f t="shared" si="7"/>
        <v>46296</v>
      </c>
      <c r="V8" s="1050">
        <f t="shared" si="7"/>
        <v>46327</v>
      </c>
      <c r="W8" s="1050">
        <f t="shared" si="7"/>
        <v>46357</v>
      </c>
      <c r="X8" s="1050">
        <f t="shared" si="7"/>
        <v>46388</v>
      </c>
      <c r="Y8" s="1050">
        <f t="shared" si="7"/>
        <v>46419</v>
      </c>
      <c r="Z8" s="1050">
        <f t="shared" si="7"/>
        <v>46447</v>
      </c>
      <c r="AA8" s="1050">
        <f t="shared" si="7"/>
        <v>46478</v>
      </c>
      <c r="AB8" s="1050">
        <f t="shared" si="7"/>
        <v>46508</v>
      </c>
      <c r="AC8" s="1050">
        <f t="shared" si="7"/>
        <v>46539</v>
      </c>
      <c r="AD8" s="1050">
        <f t="shared" si="7"/>
        <v>46569</v>
      </c>
      <c r="AE8" s="1050">
        <f t="shared" si="7"/>
        <v>46600</v>
      </c>
      <c r="AF8" s="1050">
        <f t="shared" si="7"/>
        <v>46631</v>
      </c>
      <c r="AG8" s="1050">
        <f t="shared" si="7"/>
        <v>46661</v>
      </c>
      <c r="AH8" s="1050">
        <f t="shared" si="7"/>
        <v>46692</v>
      </c>
      <c r="AI8" s="1050">
        <f t="shared" si="7"/>
        <v>46722</v>
      </c>
      <c r="AJ8" s="1050">
        <f t="shared" si="7"/>
        <v>46753</v>
      </c>
      <c r="AK8" s="1050">
        <f t="shared" si="7"/>
        <v>46784</v>
      </c>
      <c r="AL8" s="1050">
        <f t="shared" si="7"/>
        <v>46813</v>
      </c>
      <c r="AM8" s="1050">
        <f t="shared" ref="AM8:BN8" si="8">EDATE(AL8,1)</f>
        <v>46844</v>
      </c>
      <c r="AN8" s="1050">
        <f t="shared" si="8"/>
        <v>46874</v>
      </c>
      <c r="AO8" s="1050">
        <f t="shared" si="8"/>
        <v>46905</v>
      </c>
      <c r="AP8" s="1050">
        <f t="shared" si="8"/>
        <v>46935</v>
      </c>
      <c r="AQ8" s="1050">
        <f t="shared" si="8"/>
        <v>46966</v>
      </c>
      <c r="AR8" s="1050">
        <f t="shared" si="8"/>
        <v>46997</v>
      </c>
      <c r="AS8" s="1050">
        <f t="shared" si="8"/>
        <v>47027</v>
      </c>
      <c r="AT8" s="1050">
        <f t="shared" si="8"/>
        <v>47058</v>
      </c>
      <c r="AU8" s="1050">
        <f t="shared" si="8"/>
        <v>47088</v>
      </c>
      <c r="AV8" s="1050">
        <f t="shared" si="8"/>
        <v>47119</v>
      </c>
      <c r="AW8" s="1050">
        <f t="shared" si="8"/>
        <v>47150</v>
      </c>
      <c r="AX8" s="1050">
        <f t="shared" si="8"/>
        <v>47178</v>
      </c>
      <c r="AY8" s="1050">
        <f t="shared" si="8"/>
        <v>47209</v>
      </c>
      <c r="AZ8" s="1050">
        <f t="shared" si="8"/>
        <v>47239</v>
      </c>
      <c r="BA8" s="1050">
        <f t="shared" si="8"/>
        <v>47270</v>
      </c>
      <c r="BB8" s="1050">
        <f t="shared" si="8"/>
        <v>47300</v>
      </c>
      <c r="BC8" s="1050">
        <f t="shared" si="8"/>
        <v>47331</v>
      </c>
      <c r="BD8" s="1050">
        <f t="shared" si="8"/>
        <v>47362</v>
      </c>
      <c r="BE8" s="1050">
        <f t="shared" si="8"/>
        <v>47392</v>
      </c>
      <c r="BF8" s="1050">
        <f t="shared" si="8"/>
        <v>47423</v>
      </c>
      <c r="BG8" s="1050">
        <f t="shared" si="8"/>
        <v>47453</v>
      </c>
      <c r="BH8" s="1050">
        <f t="shared" si="8"/>
        <v>47484</v>
      </c>
      <c r="BI8" s="1050">
        <f t="shared" si="8"/>
        <v>47515</v>
      </c>
      <c r="BJ8" s="1050">
        <f t="shared" si="8"/>
        <v>47543</v>
      </c>
      <c r="BK8" s="1050">
        <f t="shared" si="8"/>
        <v>47574</v>
      </c>
      <c r="BL8" s="1050">
        <f t="shared" si="8"/>
        <v>47604</v>
      </c>
      <c r="BM8" s="1050">
        <f t="shared" si="8"/>
        <v>47635</v>
      </c>
      <c r="BN8" s="1050">
        <f t="shared" si="8"/>
        <v>47665</v>
      </c>
      <c r="BO8" s="1050">
        <f t="shared" ref="BO8:CT8" si="9">EDATE(BN8,1)</f>
        <v>47696</v>
      </c>
      <c r="BP8" s="1050">
        <f t="shared" si="9"/>
        <v>47727</v>
      </c>
      <c r="BQ8" s="1050">
        <f t="shared" si="9"/>
        <v>47757</v>
      </c>
      <c r="BR8" s="1050">
        <f t="shared" si="9"/>
        <v>47788</v>
      </c>
      <c r="BS8" s="1050">
        <f t="shared" si="9"/>
        <v>47818</v>
      </c>
      <c r="BT8" s="1050">
        <f t="shared" si="9"/>
        <v>47849</v>
      </c>
      <c r="BU8" s="1050">
        <f t="shared" si="9"/>
        <v>47880</v>
      </c>
      <c r="BV8" s="1050">
        <f t="shared" si="9"/>
        <v>47908</v>
      </c>
      <c r="BW8" s="1050">
        <f t="shared" si="9"/>
        <v>47939</v>
      </c>
      <c r="BX8" s="1050">
        <f t="shared" si="9"/>
        <v>47969</v>
      </c>
      <c r="BY8" s="1050">
        <f t="shared" si="9"/>
        <v>48000</v>
      </c>
      <c r="BZ8" s="1050">
        <f t="shared" si="9"/>
        <v>48030</v>
      </c>
      <c r="CA8" s="1050">
        <f t="shared" si="9"/>
        <v>48061</v>
      </c>
      <c r="CB8" s="1050">
        <f t="shared" si="9"/>
        <v>48092</v>
      </c>
      <c r="CC8" s="1050">
        <f t="shared" si="9"/>
        <v>48122</v>
      </c>
      <c r="CD8" s="1050">
        <f t="shared" si="9"/>
        <v>48153</v>
      </c>
      <c r="CE8" s="1050">
        <f t="shared" si="9"/>
        <v>48183</v>
      </c>
      <c r="CF8" s="1050">
        <f t="shared" si="9"/>
        <v>48214</v>
      </c>
      <c r="CG8" s="1050">
        <f t="shared" si="9"/>
        <v>48245</v>
      </c>
      <c r="CH8" s="1050">
        <f t="shared" si="9"/>
        <v>48274</v>
      </c>
      <c r="CI8" s="1050">
        <f t="shared" si="9"/>
        <v>48305</v>
      </c>
      <c r="CJ8" s="1050">
        <f t="shared" si="9"/>
        <v>48335</v>
      </c>
      <c r="CK8" s="1050">
        <f t="shared" si="9"/>
        <v>48366</v>
      </c>
      <c r="CL8" s="1050">
        <f t="shared" si="9"/>
        <v>48396</v>
      </c>
      <c r="CM8" s="1050">
        <f t="shared" si="9"/>
        <v>48427</v>
      </c>
      <c r="CN8" s="1050">
        <f t="shared" si="9"/>
        <v>48458</v>
      </c>
      <c r="CO8" s="1050">
        <f t="shared" si="9"/>
        <v>48488</v>
      </c>
      <c r="CP8" s="1050">
        <f t="shared" si="9"/>
        <v>48519</v>
      </c>
      <c r="CQ8" s="1050">
        <f t="shared" si="9"/>
        <v>48549</v>
      </c>
      <c r="CR8" s="1050">
        <f t="shared" si="9"/>
        <v>48580</v>
      </c>
      <c r="CS8" s="1050">
        <f t="shared" si="9"/>
        <v>48611</v>
      </c>
      <c r="CT8" s="1050">
        <f t="shared" si="9"/>
        <v>48639</v>
      </c>
      <c r="CU8" s="1050">
        <f t="shared" ref="CU8:DV8" si="10">EDATE(CT8,1)</f>
        <v>48670</v>
      </c>
      <c r="CV8" s="1050">
        <f t="shared" si="10"/>
        <v>48700</v>
      </c>
      <c r="CW8" s="1050">
        <f t="shared" si="10"/>
        <v>48731</v>
      </c>
      <c r="CX8" s="1050">
        <f t="shared" si="10"/>
        <v>48761</v>
      </c>
      <c r="CY8" s="1050">
        <f t="shared" si="10"/>
        <v>48792</v>
      </c>
      <c r="CZ8" s="1050">
        <f t="shared" si="10"/>
        <v>48823</v>
      </c>
      <c r="DA8" s="1050">
        <f t="shared" si="10"/>
        <v>48853</v>
      </c>
      <c r="DB8" s="1050">
        <f t="shared" si="10"/>
        <v>48884</v>
      </c>
      <c r="DC8" s="1050">
        <f t="shared" si="10"/>
        <v>48914</v>
      </c>
      <c r="DD8" s="1050">
        <f t="shared" si="10"/>
        <v>48945</v>
      </c>
      <c r="DE8" s="1050">
        <f t="shared" si="10"/>
        <v>48976</v>
      </c>
      <c r="DF8" s="1050">
        <f t="shared" si="10"/>
        <v>49004</v>
      </c>
      <c r="DG8" s="1050">
        <f t="shared" si="10"/>
        <v>49035</v>
      </c>
      <c r="DH8" s="1050">
        <f t="shared" si="10"/>
        <v>49065</v>
      </c>
      <c r="DI8" s="1050">
        <f t="shared" si="10"/>
        <v>49096</v>
      </c>
      <c r="DJ8" s="1050">
        <f t="shared" si="10"/>
        <v>49126</v>
      </c>
      <c r="DK8" s="1050">
        <f t="shared" si="10"/>
        <v>49157</v>
      </c>
      <c r="DL8" s="1050">
        <f t="shared" si="10"/>
        <v>49188</v>
      </c>
      <c r="DM8" s="1050">
        <f t="shared" si="10"/>
        <v>49218</v>
      </c>
      <c r="DN8" s="1050">
        <f t="shared" si="10"/>
        <v>49249</v>
      </c>
      <c r="DO8" s="1050">
        <f t="shared" si="10"/>
        <v>49279</v>
      </c>
      <c r="DP8" s="1050">
        <f t="shared" si="10"/>
        <v>49310</v>
      </c>
      <c r="DQ8" s="1050">
        <f t="shared" si="10"/>
        <v>49341</v>
      </c>
      <c r="DR8" s="1050">
        <f t="shared" si="10"/>
        <v>49369</v>
      </c>
      <c r="DS8" s="1050">
        <f t="shared" si="10"/>
        <v>49400</v>
      </c>
      <c r="DT8" s="1050">
        <f t="shared" si="10"/>
        <v>49430</v>
      </c>
      <c r="DU8" s="1050">
        <f t="shared" si="10"/>
        <v>49461</v>
      </c>
      <c r="DV8" s="1051">
        <f t="shared" si="10"/>
        <v>49491</v>
      </c>
    </row>
    <row r="9" spans="1:127" s="1001" customFormat="1" ht="15" customHeight="1" x14ac:dyDescent="0.3">
      <c r="A9" s="1000"/>
      <c r="B9" s="957"/>
      <c r="C9" s="1027">
        <f>D7</f>
        <v>0</v>
      </c>
      <c r="D9" s="1034" t="s">
        <v>10</v>
      </c>
      <c r="E9" s="1016">
        <f>C9</f>
        <v>0</v>
      </c>
      <c r="F9" s="84"/>
      <c r="G9" s="1000"/>
      <c r="H9" s="1000"/>
      <c r="I9" s="1000"/>
      <c r="J9" s="1000"/>
      <c r="K9" s="1000"/>
      <c r="L9" s="1000"/>
      <c r="M9" s="1000"/>
      <c r="N9" s="1000"/>
      <c r="O9" s="1000"/>
      <c r="P9" s="1000"/>
      <c r="Q9" s="1000"/>
      <c r="R9" s="1000"/>
      <c r="S9" s="1000"/>
      <c r="T9" s="1000"/>
      <c r="U9" s="1000"/>
      <c r="V9" s="1000"/>
      <c r="W9" s="1000"/>
      <c r="X9" s="1000"/>
      <c r="Y9" s="1000"/>
      <c r="Z9" s="1000"/>
      <c r="AA9" s="1000"/>
      <c r="AB9" s="1000"/>
      <c r="AC9" s="1000"/>
      <c r="AD9" s="1000"/>
      <c r="AE9" s="1000"/>
      <c r="AF9" s="1000"/>
      <c r="AG9" s="1000"/>
      <c r="AH9" s="1000"/>
      <c r="AI9" s="1000"/>
      <c r="AJ9" s="1000"/>
      <c r="AK9" s="1000"/>
      <c r="AL9" s="1000"/>
      <c r="AM9" s="1000"/>
      <c r="AN9" s="1000"/>
      <c r="AO9" s="1000"/>
      <c r="AP9" s="1000"/>
      <c r="AQ9" s="1000"/>
      <c r="AR9" s="1000"/>
      <c r="AS9" s="1000"/>
      <c r="AT9" s="1000"/>
      <c r="AU9" s="1000"/>
      <c r="AV9" s="1000"/>
      <c r="AW9" s="1000"/>
      <c r="AX9" s="1000"/>
      <c r="AY9" s="1000"/>
      <c r="AZ9" s="1000"/>
      <c r="BA9" s="1000"/>
      <c r="BB9" s="1000"/>
      <c r="BC9" s="1000"/>
      <c r="BD9" s="1000"/>
      <c r="BE9" s="1000"/>
      <c r="BF9" s="1000"/>
      <c r="BG9" s="1000"/>
      <c r="BH9" s="1000"/>
      <c r="BI9" s="1000"/>
      <c r="BJ9" s="1000"/>
      <c r="BK9" s="1000"/>
      <c r="BL9" s="1000"/>
      <c r="BM9" s="1000"/>
      <c r="BN9" s="1000"/>
      <c r="BO9" s="1000"/>
      <c r="BP9" s="1000"/>
      <c r="BQ9" s="1000"/>
      <c r="BR9" s="1000"/>
      <c r="BS9" s="1000"/>
      <c r="BT9" s="1000"/>
      <c r="BU9" s="1000"/>
      <c r="BV9" s="1000"/>
      <c r="BW9" s="1000"/>
      <c r="BX9" s="1000"/>
      <c r="BY9" s="1000"/>
      <c r="BZ9" s="1000"/>
      <c r="CA9" s="1000"/>
      <c r="CB9" s="1000"/>
      <c r="CC9" s="1000"/>
      <c r="CD9" s="1000"/>
      <c r="CE9" s="1000"/>
      <c r="CF9" s="1000"/>
      <c r="CG9" s="1000"/>
      <c r="CH9" s="1000"/>
      <c r="CI9" s="1000"/>
      <c r="CJ9" s="1000"/>
      <c r="CK9" s="1000"/>
      <c r="CL9" s="1000"/>
      <c r="CM9" s="1000"/>
      <c r="CN9" s="1000"/>
      <c r="CO9" s="1000"/>
      <c r="CP9" s="1000"/>
      <c r="CQ9" s="1000"/>
      <c r="CR9" s="1000"/>
      <c r="CS9" s="1000"/>
      <c r="CT9" s="1000"/>
      <c r="CU9" s="1000"/>
      <c r="CV9" s="1000"/>
      <c r="CW9" s="1000"/>
      <c r="CX9" s="1000"/>
      <c r="CY9" s="1000"/>
      <c r="CZ9" s="1000"/>
      <c r="DA9" s="1000"/>
      <c r="DB9" s="1000"/>
      <c r="DC9" s="1000"/>
      <c r="DD9" s="1000"/>
      <c r="DE9" s="1000"/>
      <c r="DF9" s="1000"/>
      <c r="DG9" s="1000"/>
      <c r="DH9" s="1000"/>
      <c r="DI9" s="1000"/>
      <c r="DJ9" s="1000"/>
      <c r="DK9" s="1000"/>
      <c r="DL9" s="1000"/>
      <c r="DM9" s="1000"/>
      <c r="DN9" s="1000"/>
      <c r="DO9" s="1000"/>
      <c r="DP9" s="1000"/>
      <c r="DQ9" s="1000"/>
      <c r="DR9" s="1000"/>
      <c r="DS9" s="1000"/>
      <c r="DT9" s="1000"/>
      <c r="DU9" s="1000"/>
      <c r="DV9" s="1000"/>
      <c r="DW9" s="1000"/>
    </row>
    <row r="10" spans="1:127" s="1019" customFormat="1" ht="15" customHeight="1" x14ac:dyDescent="0.3">
      <c r="A10" s="93"/>
      <c r="B10" s="24"/>
      <c r="C10" s="1028"/>
      <c r="D10" s="867"/>
      <c r="E10" s="1043"/>
      <c r="F10" s="96"/>
      <c r="G10" s="960"/>
      <c r="H10" s="961"/>
      <c r="I10" s="962"/>
      <c r="J10" s="14"/>
      <c r="K10" s="14"/>
      <c r="L10" s="14"/>
      <c r="M10" s="14"/>
      <c r="N10" s="14"/>
      <c r="O10" s="14"/>
      <c r="P10" s="1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93"/>
    </row>
    <row r="11" spans="1:127" s="1001" customFormat="1" ht="15" customHeight="1" x14ac:dyDescent="0.3">
      <c r="A11" s="1000"/>
      <c r="B11" s="334" t="s">
        <v>569</v>
      </c>
      <c r="C11" s="1029">
        <f>IFERROR(SUMIF($G$7:$DV$7,$D$7,G11:DV11),0)</f>
        <v>0</v>
      </c>
      <c r="D11" s="1014">
        <f>IFERROR(AVERAGEIF($G$7:$DV$7,$D$7,G11:DV11),0)</f>
        <v>0</v>
      </c>
      <c r="E11" s="1012">
        <f>IFERROR(SUMIF($G$7:$DV$7,$D$7,G11:DV11)/COUNTIFS($G$7:$DV$7,$D$7,G11:DV11,"&lt;&gt;")*12,0)</f>
        <v>0</v>
      </c>
      <c r="F11" s="966"/>
      <c r="G11" s="1711"/>
      <c r="H11" s="1712"/>
      <c r="I11" s="1712"/>
      <c r="J11" s="1712"/>
      <c r="K11" s="1712"/>
      <c r="L11" s="1712"/>
      <c r="M11" s="1712"/>
      <c r="N11" s="1712"/>
      <c r="O11" s="1712"/>
      <c r="P11" s="1712"/>
      <c r="Q11" s="1712"/>
      <c r="R11" s="1712"/>
      <c r="S11" s="1712"/>
      <c r="T11" s="1712"/>
      <c r="U11" s="1712"/>
      <c r="V11" s="1712"/>
      <c r="W11" s="1712"/>
      <c r="X11" s="1712"/>
      <c r="Y11" s="1712"/>
      <c r="Z11" s="1712"/>
      <c r="AA11" s="1712"/>
      <c r="AB11" s="1712"/>
      <c r="AC11" s="1712"/>
      <c r="AD11" s="1712"/>
      <c r="AE11" s="1712"/>
      <c r="AF11" s="1712"/>
      <c r="AG11" s="1712"/>
      <c r="AH11" s="1712"/>
      <c r="AI11" s="1712"/>
      <c r="AJ11" s="1712"/>
      <c r="AK11" s="1712"/>
      <c r="AL11" s="1712"/>
      <c r="AM11" s="1712"/>
      <c r="AN11" s="1712"/>
      <c r="AO11" s="1712"/>
      <c r="AP11" s="1712"/>
      <c r="AQ11" s="1712"/>
      <c r="AR11" s="1712"/>
      <c r="AS11" s="1712"/>
      <c r="AT11" s="1712"/>
      <c r="AU11" s="1712"/>
      <c r="AV11" s="1712"/>
      <c r="AW11" s="1712"/>
      <c r="AX11" s="1712"/>
      <c r="AY11" s="1712"/>
      <c r="AZ11" s="1712"/>
      <c r="BA11" s="1712"/>
      <c r="BB11" s="1712"/>
      <c r="BC11" s="1712"/>
      <c r="BD11" s="1712"/>
      <c r="BE11" s="1712"/>
      <c r="BF11" s="1712"/>
      <c r="BG11" s="1712"/>
      <c r="BH11" s="1712"/>
      <c r="BI11" s="1712"/>
      <c r="BJ11" s="1712"/>
      <c r="BK11" s="1712"/>
      <c r="BL11" s="1712"/>
      <c r="BM11" s="1712"/>
      <c r="BN11" s="1713"/>
      <c r="BO11" s="1713"/>
      <c r="BP11" s="1713"/>
      <c r="BQ11" s="1713"/>
      <c r="BR11" s="1713"/>
      <c r="BS11" s="1713"/>
      <c r="BT11" s="1713"/>
      <c r="BU11" s="1713"/>
      <c r="BV11" s="1713"/>
      <c r="BW11" s="1713"/>
      <c r="BX11" s="1713"/>
      <c r="BY11" s="1713"/>
      <c r="BZ11" s="1713"/>
      <c r="CA11" s="1713"/>
      <c r="CB11" s="1713"/>
      <c r="CC11" s="1713"/>
      <c r="CD11" s="1713"/>
      <c r="CE11" s="1713"/>
      <c r="CF11" s="1713"/>
      <c r="CG11" s="1713"/>
      <c r="CH11" s="1713"/>
      <c r="CI11" s="1713"/>
      <c r="CJ11" s="1713"/>
      <c r="CK11" s="1713"/>
      <c r="CL11" s="1713"/>
      <c r="CM11" s="1713"/>
      <c r="CN11" s="1713"/>
      <c r="CO11" s="1713"/>
      <c r="CP11" s="1713"/>
      <c r="CQ11" s="1713"/>
      <c r="CR11" s="1713"/>
      <c r="CS11" s="1713"/>
      <c r="CT11" s="1713"/>
      <c r="CU11" s="1713"/>
      <c r="CV11" s="1713"/>
      <c r="CW11" s="1713"/>
      <c r="CX11" s="1713"/>
      <c r="CY11" s="1713"/>
      <c r="CZ11" s="1713"/>
      <c r="DA11" s="1713"/>
      <c r="DB11" s="1713"/>
      <c r="DC11" s="1713"/>
      <c r="DD11" s="1713"/>
      <c r="DE11" s="1713"/>
      <c r="DF11" s="1713"/>
      <c r="DG11" s="1713"/>
      <c r="DH11" s="1713"/>
      <c r="DI11" s="1713"/>
      <c r="DJ11" s="1713"/>
      <c r="DK11" s="1713"/>
      <c r="DL11" s="1713"/>
      <c r="DM11" s="1713"/>
      <c r="DN11" s="1713"/>
      <c r="DO11" s="1713"/>
      <c r="DP11" s="1713"/>
      <c r="DQ11" s="1713"/>
      <c r="DR11" s="1713"/>
      <c r="DS11" s="1713"/>
      <c r="DT11" s="1713"/>
      <c r="DU11" s="1713"/>
      <c r="DV11" s="1713"/>
      <c r="DW11" s="1000"/>
    </row>
    <row r="12" spans="1:127" s="1001" customFormat="1" ht="7.5" customHeight="1" x14ac:dyDescent="0.3">
      <c r="B12" s="995" t="s">
        <v>544</v>
      </c>
      <c r="C12" s="1030"/>
      <c r="D12" s="1089">
        <f>IFERROR(D11/((365+IF(MOD(D7,4),0,1))/12),0)</f>
        <v>0</v>
      </c>
      <c r="E12" s="1044"/>
      <c r="F12" s="1005"/>
      <c r="G12" s="993">
        <f t="shared" ref="G12:AL12" si="11">IFERROR(G11/DAY(EOMONTH(G8,0)),0)</f>
        <v>0</v>
      </c>
      <c r="H12" s="994">
        <f t="shared" si="11"/>
        <v>0</v>
      </c>
      <c r="I12" s="993">
        <f t="shared" si="11"/>
        <v>0</v>
      </c>
      <c r="J12" s="993">
        <f t="shared" si="11"/>
        <v>0</v>
      </c>
      <c r="K12" s="993">
        <f t="shared" si="11"/>
        <v>0</v>
      </c>
      <c r="L12" s="993">
        <f t="shared" si="11"/>
        <v>0</v>
      </c>
      <c r="M12" s="993">
        <f t="shared" si="11"/>
        <v>0</v>
      </c>
      <c r="N12" s="993">
        <f t="shared" si="11"/>
        <v>0</v>
      </c>
      <c r="O12" s="993">
        <f t="shared" si="11"/>
        <v>0</v>
      </c>
      <c r="P12" s="993">
        <f t="shared" si="11"/>
        <v>0</v>
      </c>
      <c r="Q12" s="993">
        <f t="shared" si="11"/>
        <v>0</v>
      </c>
      <c r="R12" s="993">
        <f t="shared" si="11"/>
        <v>0</v>
      </c>
      <c r="S12" s="993">
        <f t="shared" si="11"/>
        <v>0</v>
      </c>
      <c r="T12" s="993">
        <f t="shared" si="11"/>
        <v>0</v>
      </c>
      <c r="U12" s="993">
        <f t="shared" si="11"/>
        <v>0</v>
      </c>
      <c r="V12" s="993">
        <f t="shared" si="11"/>
        <v>0</v>
      </c>
      <c r="W12" s="993">
        <f t="shared" si="11"/>
        <v>0</v>
      </c>
      <c r="X12" s="993">
        <f t="shared" si="11"/>
        <v>0</v>
      </c>
      <c r="Y12" s="993">
        <f t="shared" si="11"/>
        <v>0</v>
      </c>
      <c r="Z12" s="993">
        <f t="shared" si="11"/>
        <v>0</v>
      </c>
      <c r="AA12" s="993">
        <f t="shared" si="11"/>
        <v>0</v>
      </c>
      <c r="AB12" s="993">
        <f t="shared" si="11"/>
        <v>0</v>
      </c>
      <c r="AC12" s="993">
        <f t="shared" si="11"/>
        <v>0</v>
      </c>
      <c r="AD12" s="993">
        <f t="shared" si="11"/>
        <v>0</v>
      </c>
      <c r="AE12" s="993">
        <f t="shared" si="11"/>
        <v>0</v>
      </c>
      <c r="AF12" s="993">
        <f t="shared" si="11"/>
        <v>0</v>
      </c>
      <c r="AG12" s="993">
        <f t="shared" si="11"/>
        <v>0</v>
      </c>
      <c r="AH12" s="993">
        <f t="shared" si="11"/>
        <v>0</v>
      </c>
      <c r="AI12" s="993">
        <f t="shared" si="11"/>
        <v>0</v>
      </c>
      <c r="AJ12" s="993">
        <f t="shared" si="11"/>
        <v>0</v>
      </c>
      <c r="AK12" s="993">
        <f t="shared" si="11"/>
        <v>0</v>
      </c>
      <c r="AL12" s="993">
        <f t="shared" si="11"/>
        <v>0</v>
      </c>
      <c r="AM12" s="993">
        <f t="shared" ref="AM12:BN12" si="12">IFERROR(AM11/DAY(EOMONTH(AM8,0)),0)</f>
        <v>0</v>
      </c>
      <c r="AN12" s="993">
        <f t="shared" si="12"/>
        <v>0</v>
      </c>
      <c r="AO12" s="993">
        <f t="shared" si="12"/>
        <v>0</v>
      </c>
      <c r="AP12" s="993">
        <f t="shared" si="12"/>
        <v>0</v>
      </c>
      <c r="AQ12" s="993">
        <f t="shared" si="12"/>
        <v>0</v>
      </c>
      <c r="AR12" s="993">
        <f t="shared" si="12"/>
        <v>0</v>
      </c>
      <c r="AS12" s="993">
        <f t="shared" si="12"/>
        <v>0</v>
      </c>
      <c r="AT12" s="993">
        <f t="shared" si="12"/>
        <v>0</v>
      </c>
      <c r="AU12" s="993">
        <f t="shared" si="12"/>
        <v>0</v>
      </c>
      <c r="AV12" s="993">
        <f t="shared" si="12"/>
        <v>0</v>
      </c>
      <c r="AW12" s="993">
        <f t="shared" si="12"/>
        <v>0</v>
      </c>
      <c r="AX12" s="993">
        <f t="shared" si="12"/>
        <v>0</v>
      </c>
      <c r="AY12" s="993">
        <f t="shared" si="12"/>
        <v>0</v>
      </c>
      <c r="AZ12" s="993">
        <f t="shared" si="12"/>
        <v>0</v>
      </c>
      <c r="BA12" s="993">
        <f t="shared" si="12"/>
        <v>0</v>
      </c>
      <c r="BB12" s="993">
        <f t="shared" si="12"/>
        <v>0</v>
      </c>
      <c r="BC12" s="993">
        <f t="shared" si="12"/>
        <v>0</v>
      </c>
      <c r="BD12" s="993">
        <f t="shared" si="12"/>
        <v>0</v>
      </c>
      <c r="BE12" s="993">
        <f t="shared" si="12"/>
        <v>0</v>
      </c>
      <c r="BF12" s="993">
        <f t="shared" si="12"/>
        <v>0</v>
      </c>
      <c r="BG12" s="993">
        <f t="shared" si="12"/>
        <v>0</v>
      </c>
      <c r="BH12" s="993">
        <f t="shared" si="12"/>
        <v>0</v>
      </c>
      <c r="BI12" s="993">
        <f t="shared" si="12"/>
        <v>0</v>
      </c>
      <c r="BJ12" s="993">
        <f t="shared" si="12"/>
        <v>0</v>
      </c>
      <c r="BK12" s="993">
        <f t="shared" si="12"/>
        <v>0</v>
      </c>
      <c r="BL12" s="993">
        <f t="shared" si="12"/>
        <v>0</v>
      </c>
      <c r="BM12" s="993">
        <f t="shared" si="12"/>
        <v>0</v>
      </c>
      <c r="BN12" s="993">
        <f t="shared" si="12"/>
        <v>0</v>
      </c>
      <c r="BO12" s="993">
        <f t="shared" ref="BO12:DV12" si="13">IFERROR(BO11/DAY(EOMONTH(BO8,0)),0)</f>
        <v>0</v>
      </c>
      <c r="BP12" s="993">
        <f t="shared" si="13"/>
        <v>0</v>
      </c>
      <c r="BQ12" s="993">
        <f t="shared" si="13"/>
        <v>0</v>
      </c>
      <c r="BR12" s="993">
        <f t="shared" si="13"/>
        <v>0</v>
      </c>
      <c r="BS12" s="993">
        <f t="shared" si="13"/>
        <v>0</v>
      </c>
      <c r="BT12" s="993">
        <f t="shared" si="13"/>
        <v>0</v>
      </c>
      <c r="BU12" s="993">
        <f t="shared" si="13"/>
        <v>0</v>
      </c>
      <c r="BV12" s="993">
        <f t="shared" si="13"/>
        <v>0</v>
      </c>
      <c r="BW12" s="993">
        <f t="shared" si="13"/>
        <v>0</v>
      </c>
      <c r="BX12" s="993">
        <f t="shared" si="13"/>
        <v>0</v>
      </c>
      <c r="BY12" s="993">
        <f t="shared" si="13"/>
        <v>0</v>
      </c>
      <c r="BZ12" s="993">
        <f t="shared" si="13"/>
        <v>0</v>
      </c>
      <c r="CA12" s="993">
        <f t="shared" si="13"/>
        <v>0</v>
      </c>
      <c r="CB12" s="993">
        <f t="shared" si="13"/>
        <v>0</v>
      </c>
      <c r="CC12" s="993">
        <f t="shared" si="13"/>
        <v>0</v>
      </c>
      <c r="CD12" s="993">
        <f t="shared" si="13"/>
        <v>0</v>
      </c>
      <c r="CE12" s="993">
        <f t="shared" si="13"/>
        <v>0</v>
      </c>
      <c r="CF12" s="993">
        <f t="shared" si="13"/>
        <v>0</v>
      </c>
      <c r="CG12" s="993">
        <f t="shared" si="13"/>
        <v>0</v>
      </c>
      <c r="CH12" s="993">
        <f t="shared" si="13"/>
        <v>0</v>
      </c>
      <c r="CI12" s="993">
        <f t="shared" si="13"/>
        <v>0</v>
      </c>
      <c r="CJ12" s="993">
        <f t="shared" si="13"/>
        <v>0</v>
      </c>
      <c r="CK12" s="993">
        <f t="shared" si="13"/>
        <v>0</v>
      </c>
      <c r="CL12" s="993">
        <f t="shared" si="13"/>
        <v>0</v>
      </c>
      <c r="CM12" s="993">
        <f t="shared" si="13"/>
        <v>0</v>
      </c>
      <c r="CN12" s="993">
        <f t="shared" si="13"/>
        <v>0</v>
      </c>
      <c r="CO12" s="993">
        <f t="shared" si="13"/>
        <v>0</v>
      </c>
      <c r="CP12" s="993">
        <f t="shared" si="13"/>
        <v>0</v>
      </c>
      <c r="CQ12" s="993">
        <f t="shared" si="13"/>
        <v>0</v>
      </c>
      <c r="CR12" s="993">
        <f t="shared" si="13"/>
        <v>0</v>
      </c>
      <c r="CS12" s="993">
        <f t="shared" si="13"/>
        <v>0</v>
      </c>
      <c r="CT12" s="993">
        <f t="shared" si="13"/>
        <v>0</v>
      </c>
      <c r="CU12" s="993">
        <f t="shared" si="13"/>
        <v>0</v>
      </c>
      <c r="CV12" s="993">
        <f t="shared" si="13"/>
        <v>0</v>
      </c>
      <c r="CW12" s="993">
        <f t="shared" si="13"/>
        <v>0</v>
      </c>
      <c r="CX12" s="993">
        <f t="shared" si="13"/>
        <v>0</v>
      </c>
      <c r="CY12" s="993">
        <f t="shared" si="13"/>
        <v>0</v>
      </c>
      <c r="CZ12" s="993">
        <f t="shared" si="13"/>
        <v>0</v>
      </c>
      <c r="DA12" s="993">
        <f t="shared" si="13"/>
        <v>0</v>
      </c>
      <c r="DB12" s="993">
        <f t="shared" si="13"/>
        <v>0</v>
      </c>
      <c r="DC12" s="993">
        <f t="shared" si="13"/>
        <v>0</v>
      </c>
      <c r="DD12" s="993">
        <f t="shared" si="13"/>
        <v>0</v>
      </c>
      <c r="DE12" s="993">
        <f t="shared" si="13"/>
        <v>0</v>
      </c>
      <c r="DF12" s="993">
        <f t="shared" si="13"/>
        <v>0</v>
      </c>
      <c r="DG12" s="993">
        <f t="shared" si="13"/>
        <v>0</v>
      </c>
      <c r="DH12" s="993">
        <f t="shared" si="13"/>
        <v>0</v>
      </c>
      <c r="DI12" s="993">
        <f t="shared" si="13"/>
        <v>0</v>
      </c>
      <c r="DJ12" s="993">
        <f t="shared" si="13"/>
        <v>0</v>
      </c>
      <c r="DK12" s="993">
        <f t="shared" si="13"/>
        <v>0</v>
      </c>
      <c r="DL12" s="993">
        <f t="shared" si="13"/>
        <v>0</v>
      </c>
      <c r="DM12" s="993">
        <f t="shared" si="13"/>
        <v>0</v>
      </c>
      <c r="DN12" s="993">
        <f t="shared" si="13"/>
        <v>0</v>
      </c>
      <c r="DO12" s="993">
        <f t="shared" si="13"/>
        <v>0</v>
      </c>
      <c r="DP12" s="993">
        <f t="shared" si="13"/>
        <v>0</v>
      </c>
      <c r="DQ12" s="993">
        <f t="shared" si="13"/>
        <v>0</v>
      </c>
      <c r="DR12" s="993">
        <f t="shared" si="13"/>
        <v>0</v>
      </c>
      <c r="DS12" s="993">
        <f t="shared" si="13"/>
        <v>0</v>
      </c>
      <c r="DT12" s="993">
        <f t="shared" si="13"/>
        <v>0</v>
      </c>
      <c r="DU12" s="993">
        <f t="shared" si="13"/>
        <v>0</v>
      </c>
      <c r="DV12" s="993">
        <f t="shared" si="13"/>
        <v>0</v>
      </c>
    </row>
    <row r="13" spans="1:127" s="1000" customFormat="1" ht="15" customHeight="1" x14ac:dyDescent="0.3">
      <c r="A13" s="1026"/>
      <c r="B13" s="1076" t="s">
        <v>467</v>
      </c>
      <c r="C13" s="1077">
        <f>IFERROR(SUMIF($G$7:$DV$7,$D$7,G13:DV13),0)</f>
        <v>0</v>
      </c>
      <c r="D13" s="1078">
        <f>IFERROR(AVERAGEIF($G$7:$DV$7,$D$7,G13:DV13),0)</f>
        <v>0</v>
      </c>
      <c r="E13" s="1079">
        <f>IFERROR(SUMIF($G$7:$BN$7,$D$7,G13:BN13)/COUNTIFS($G$7:$BN$7,$D$7,G13:BN13,"&lt;&gt;")*12,0)</f>
        <v>0</v>
      </c>
      <c r="F13" s="1080"/>
      <c r="G13" s="1714"/>
      <c r="H13" s="1714"/>
      <c r="I13" s="1714"/>
      <c r="J13" s="1714"/>
      <c r="K13" s="1714"/>
      <c r="L13" s="1714"/>
      <c r="M13" s="1714"/>
      <c r="N13" s="1714"/>
      <c r="O13" s="1714"/>
      <c r="P13" s="1714"/>
      <c r="Q13" s="1714"/>
      <c r="R13" s="1714"/>
      <c r="S13" s="1714"/>
      <c r="T13" s="1714"/>
      <c r="U13" s="1714"/>
      <c r="V13" s="1714"/>
      <c r="W13" s="1714"/>
      <c r="X13" s="1714"/>
      <c r="Y13" s="1714"/>
      <c r="Z13" s="1714"/>
      <c r="AA13" s="1714"/>
      <c r="AB13" s="1714"/>
      <c r="AC13" s="1714"/>
      <c r="AD13" s="1714"/>
      <c r="AE13" s="1714"/>
      <c r="AF13" s="1714"/>
      <c r="AG13" s="1714"/>
      <c r="AH13" s="1714"/>
      <c r="AI13" s="1714"/>
      <c r="AJ13" s="1714"/>
      <c r="AK13" s="1714"/>
      <c r="AL13" s="1714"/>
      <c r="AM13" s="1714"/>
      <c r="AN13" s="1714"/>
      <c r="AO13" s="1714"/>
      <c r="AP13" s="1714"/>
      <c r="AQ13" s="1714"/>
      <c r="AR13" s="1714"/>
      <c r="AS13" s="1714"/>
      <c r="AT13" s="1714"/>
      <c r="AU13" s="1714"/>
      <c r="AV13" s="1714"/>
      <c r="AW13" s="1714"/>
      <c r="AX13" s="1714"/>
      <c r="AY13" s="1714"/>
      <c r="AZ13" s="1714"/>
      <c r="BA13" s="1714"/>
      <c r="BB13" s="1714"/>
      <c r="BC13" s="1714"/>
      <c r="BD13" s="1714"/>
      <c r="BE13" s="1714"/>
      <c r="BF13" s="1714"/>
      <c r="BG13" s="1714"/>
      <c r="BH13" s="1714"/>
      <c r="BI13" s="1714"/>
      <c r="BJ13" s="1714"/>
      <c r="BK13" s="1714"/>
      <c r="BL13" s="1714"/>
      <c r="BM13" s="1714"/>
      <c r="BN13" s="1714"/>
      <c r="BO13" s="1714"/>
      <c r="BP13" s="1714"/>
      <c r="BQ13" s="1714"/>
      <c r="BR13" s="1714"/>
      <c r="BS13" s="1714"/>
      <c r="BT13" s="1714"/>
      <c r="BU13" s="1714"/>
      <c r="BV13" s="1714"/>
      <c r="BW13" s="1714"/>
      <c r="BX13" s="1714"/>
      <c r="BY13" s="1714"/>
      <c r="BZ13" s="1714"/>
      <c r="CA13" s="1714"/>
      <c r="CB13" s="1714"/>
      <c r="CC13" s="1714"/>
      <c r="CD13" s="1714"/>
      <c r="CE13" s="1714"/>
      <c r="CF13" s="1714"/>
      <c r="CG13" s="1714"/>
      <c r="CH13" s="1714"/>
      <c r="CI13" s="1714"/>
      <c r="CJ13" s="1714"/>
      <c r="CK13" s="1714"/>
      <c r="CL13" s="1714"/>
      <c r="CM13" s="1714"/>
      <c r="CN13" s="1714"/>
      <c r="CO13" s="1714"/>
      <c r="CP13" s="1714"/>
      <c r="CQ13" s="1714"/>
      <c r="CR13" s="1714"/>
      <c r="CS13" s="1714"/>
      <c r="CT13" s="1714"/>
      <c r="CU13" s="1714"/>
      <c r="CV13" s="1714"/>
      <c r="CW13" s="1714"/>
      <c r="CX13" s="1714"/>
      <c r="CY13" s="1714"/>
      <c r="CZ13" s="1714"/>
      <c r="DA13" s="1714"/>
      <c r="DB13" s="1714"/>
      <c r="DC13" s="1714"/>
      <c r="DD13" s="1714"/>
      <c r="DE13" s="1714"/>
      <c r="DF13" s="1714"/>
      <c r="DG13" s="1714"/>
      <c r="DH13" s="1714"/>
      <c r="DI13" s="1714"/>
      <c r="DJ13" s="1714"/>
      <c r="DK13" s="1714"/>
      <c r="DL13" s="1714"/>
      <c r="DM13" s="1714"/>
      <c r="DN13" s="1714"/>
      <c r="DO13" s="1714"/>
      <c r="DP13" s="1714"/>
      <c r="DQ13" s="1714"/>
      <c r="DR13" s="1714"/>
      <c r="DS13" s="1714"/>
      <c r="DT13" s="1714"/>
      <c r="DU13" s="1714"/>
      <c r="DV13" s="1715"/>
      <c r="DW13" s="1019"/>
    </row>
    <row r="14" spans="1:127" s="1000" customFormat="1" ht="15" customHeight="1" x14ac:dyDescent="0.3">
      <c r="A14" s="1001"/>
      <c r="B14" s="996" t="s">
        <v>972</v>
      </c>
      <c r="C14" s="1030"/>
      <c r="D14" s="1007"/>
      <c r="E14" s="1045"/>
      <c r="F14" s="1005"/>
      <c r="G14" s="991" t="str">
        <f>IFERROR(G13/G11,"")</f>
        <v/>
      </c>
      <c r="H14" s="992" t="str">
        <f t="shared" ref="H14:AL14" si="14">IFERROR(H13/H11,"")</f>
        <v/>
      </c>
      <c r="I14" s="991" t="str">
        <f t="shared" si="14"/>
        <v/>
      </c>
      <c r="J14" s="991" t="str">
        <f t="shared" si="14"/>
        <v/>
      </c>
      <c r="K14" s="991" t="str">
        <f t="shared" si="14"/>
        <v/>
      </c>
      <c r="L14" s="991" t="str">
        <f t="shared" si="14"/>
        <v/>
      </c>
      <c r="M14" s="991" t="str">
        <f t="shared" si="14"/>
        <v/>
      </c>
      <c r="N14" s="991" t="str">
        <f t="shared" si="14"/>
        <v/>
      </c>
      <c r="O14" s="991" t="str">
        <f t="shared" si="14"/>
        <v/>
      </c>
      <c r="P14" s="991" t="str">
        <f t="shared" si="14"/>
        <v/>
      </c>
      <c r="Q14" s="991" t="str">
        <f t="shared" si="14"/>
        <v/>
      </c>
      <c r="R14" s="991" t="str">
        <f t="shared" si="14"/>
        <v/>
      </c>
      <c r="S14" s="991" t="str">
        <f t="shared" si="14"/>
        <v/>
      </c>
      <c r="T14" s="991" t="str">
        <f t="shared" si="14"/>
        <v/>
      </c>
      <c r="U14" s="991" t="str">
        <f t="shared" si="14"/>
        <v/>
      </c>
      <c r="V14" s="991" t="str">
        <f t="shared" si="14"/>
        <v/>
      </c>
      <c r="W14" s="991" t="str">
        <f t="shared" si="14"/>
        <v/>
      </c>
      <c r="X14" s="991" t="str">
        <f t="shared" si="14"/>
        <v/>
      </c>
      <c r="Y14" s="991" t="str">
        <f t="shared" si="14"/>
        <v/>
      </c>
      <c r="Z14" s="991" t="str">
        <f t="shared" si="14"/>
        <v/>
      </c>
      <c r="AA14" s="991" t="str">
        <f t="shared" si="14"/>
        <v/>
      </c>
      <c r="AB14" s="991" t="str">
        <f t="shared" si="14"/>
        <v/>
      </c>
      <c r="AC14" s="991" t="str">
        <f t="shared" si="14"/>
        <v/>
      </c>
      <c r="AD14" s="991" t="str">
        <f t="shared" si="14"/>
        <v/>
      </c>
      <c r="AE14" s="991" t="str">
        <f t="shared" si="14"/>
        <v/>
      </c>
      <c r="AF14" s="991" t="str">
        <f t="shared" si="14"/>
        <v/>
      </c>
      <c r="AG14" s="991" t="str">
        <f t="shared" si="14"/>
        <v/>
      </c>
      <c r="AH14" s="991" t="str">
        <f t="shared" si="14"/>
        <v/>
      </c>
      <c r="AI14" s="991" t="str">
        <f t="shared" si="14"/>
        <v/>
      </c>
      <c r="AJ14" s="991" t="str">
        <f t="shared" si="14"/>
        <v/>
      </c>
      <c r="AK14" s="991" t="str">
        <f t="shared" si="14"/>
        <v/>
      </c>
      <c r="AL14" s="991" t="str">
        <f t="shared" si="14"/>
        <v/>
      </c>
      <c r="AM14" s="991" t="str">
        <f t="shared" ref="AM14:BN14" si="15">IFERROR(AM13/AM11,"")</f>
        <v/>
      </c>
      <c r="AN14" s="991" t="str">
        <f t="shared" si="15"/>
        <v/>
      </c>
      <c r="AO14" s="991" t="str">
        <f t="shared" si="15"/>
        <v/>
      </c>
      <c r="AP14" s="991" t="str">
        <f t="shared" si="15"/>
        <v/>
      </c>
      <c r="AQ14" s="991" t="str">
        <f t="shared" si="15"/>
        <v/>
      </c>
      <c r="AR14" s="991" t="str">
        <f t="shared" si="15"/>
        <v/>
      </c>
      <c r="AS14" s="991" t="str">
        <f t="shared" si="15"/>
        <v/>
      </c>
      <c r="AT14" s="991" t="str">
        <f t="shared" si="15"/>
        <v/>
      </c>
      <c r="AU14" s="991" t="str">
        <f t="shared" si="15"/>
        <v/>
      </c>
      <c r="AV14" s="991" t="str">
        <f t="shared" si="15"/>
        <v/>
      </c>
      <c r="AW14" s="991" t="str">
        <f t="shared" si="15"/>
        <v/>
      </c>
      <c r="AX14" s="991" t="str">
        <f t="shared" si="15"/>
        <v/>
      </c>
      <c r="AY14" s="991" t="str">
        <f t="shared" si="15"/>
        <v/>
      </c>
      <c r="AZ14" s="991" t="str">
        <f t="shared" si="15"/>
        <v/>
      </c>
      <c r="BA14" s="991" t="str">
        <f t="shared" si="15"/>
        <v/>
      </c>
      <c r="BB14" s="991" t="str">
        <f t="shared" si="15"/>
        <v/>
      </c>
      <c r="BC14" s="991" t="str">
        <f t="shared" si="15"/>
        <v/>
      </c>
      <c r="BD14" s="991" t="str">
        <f t="shared" si="15"/>
        <v/>
      </c>
      <c r="BE14" s="991" t="str">
        <f t="shared" si="15"/>
        <v/>
      </c>
      <c r="BF14" s="991" t="str">
        <f t="shared" si="15"/>
        <v/>
      </c>
      <c r="BG14" s="991" t="str">
        <f t="shared" si="15"/>
        <v/>
      </c>
      <c r="BH14" s="991" t="str">
        <f t="shared" si="15"/>
        <v/>
      </c>
      <c r="BI14" s="991" t="str">
        <f t="shared" si="15"/>
        <v/>
      </c>
      <c r="BJ14" s="991" t="str">
        <f t="shared" si="15"/>
        <v/>
      </c>
      <c r="BK14" s="991" t="str">
        <f t="shared" si="15"/>
        <v/>
      </c>
      <c r="BL14" s="991" t="str">
        <f t="shared" si="15"/>
        <v/>
      </c>
      <c r="BM14" s="991" t="str">
        <f t="shared" si="15"/>
        <v/>
      </c>
      <c r="BN14" s="991" t="str">
        <f t="shared" si="15"/>
        <v/>
      </c>
      <c r="BO14" s="991" t="str">
        <f t="shared" ref="BO14:CT14" si="16">IFERROR(BO13/BO11,"")</f>
        <v/>
      </c>
      <c r="BP14" s="991" t="str">
        <f t="shared" si="16"/>
        <v/>
      </c>
      <c r="BQ14" s="991" t="str">
        <f t="shared" si="16"/>
        <v/>
      </c>
      <c r="BR14" s="991" t="str">
        <f t="shared" si="16"/>
        <v/>
      </c>
      <c r="BS14" s="991" t="str">
        <f t="shared" si="16"/>
        <v/>
      </c>
      <c r="BT14" s="991" t="str">
        <f t="shared" si="16"/>
        <v/>
      </c>
      <c r="BU14" s="991" t="str">
        <f t="shared" si="16"/>
        <v/>
      </c>
      <c r="BV14" s="991" t="str">
        <f t="shared" si="16"/>
        <v/>
      </c>
      <c r="BW14" s="991" t="str">
        <f t="shared" si="16"/>
        <v/>
      </c>
      <c r="BX14" s="991" t="str">
        <f t="shared" si="16"/>
        <v/>
      </c>
      <c r="BY14" s="991" t="str">
        <f t="shared" si="16"/>
        <v/>
      </c>
      <c r="BZ14" s="991" t="str">
        <f t="shared" si="16"/>
        <v/>
      </c>
      <c r="CA14" s="991" t="str">
        <f t="shared" si="16"/>
        <v/>
      </c>
      <c r="CB14" s="991" t="str">
        <f t="shared" si="16"/>
        <v/>
      </c>
      <c r="CC14" s="991" t="str">
        <f t="shared" si="16"/>
        <v/>
      </c>
      <c r="CD14" s="991" t="str">
        <f t="shared" si="16"/>
        <v/>
      </c>
      <c r="CE14" s="991" t="str">
        <f t="shared" si="16"/>
        <v/>
      </c>
      <c r="CF14" s="991" t="str">
        <f t="shared" si="16"/>
        <v/>
      </c>
      <c r="CG14" s="991" t="str">
        <f t="shared" si="16"/>
        <v/>
      </c>
      <c r="CH14" s="991" t="str">
        <f t="shared" si="16"/>
        <v/>
      </c>
      <c r="CI14" s="991" t="str">
        <f t="shared" si="16"/>
        <v/>
      </c>
      <c r="CJ14" s="991" t="str">
        <f t="shared" si="16"/>
        <v/>
      </c>
      <c r="CK14" s="991" t="str">
        <f t="shared" si="16"/>
        <v/>
      </c>
      <c r="CL14" s="991" t="str">
        <f t="shared" si="16"/>
        <v/>
      </c>
      <c r="CM14" s="991" t="str">
        <f t="shared" si="16"/>
        <v/>
      </c>
      <c r="CN14" s="991" t="str">
        <f t="shared" si="16"/>
        <v/>
      </c>
      <c r="CO14" s="991" t="str">
        <f t="shared" si="16"/>
        <v/>
      </c>
      <c r="CP14" s="991" t="str">
        <f t="shared" si="16"/>
        <v/>
      </c>
      <c r="CQ14" s="991" t="str">
        <f t="shared" si="16"/>
        <v/>
      </c>
      <c r="CR14" s="991" t="str">
        <f t="shared" si="16"/>
        <v/>
      </c>
      <c r="CS14" s="991" t="str">
        <f t="shared" si="16"/>
        <v/>
      </c>
      <c r="CT14" s="991" t="str">
        <f t="shared" si="16"/>
        <v/>
      </c>
      <c r="CU14" s="991" t="str">
        <f t="shared" ref="CU14:DV14" si="17">IFERROR(CU13/CU11,"")</f>
        <v/>
      </c>
      <c r="CV14" s="991" t="str">
        <f t="shared" si="17"/>
        <v/>
      </c>
      <c r="CW14" s="991" t="str">
        <f t="shared" si="17"/>
        <v/>
      </c>
      <c r="CX14" s="991" t="str">
        <f t="shared" si="17"/>
        <v/>
      </c>
      <c r="CY14" s="991" t="str">
        <f t="shared" si="17"/>
        <v/>
      </c>
      <c r="CZ14" s="991" t="str">
        <f t="shared" si="17"/>
        <v/>
      </c>
      <c r="DA14" s="991" t="str">
        <f t="shared" si="17"/>
        <v/>
      </c>
      <c r="DB14" s="991" t="str">
        <f t="shared" si="17"/>
        <v/>
      </c>
      <c r="DC14" s="991" t="str">
        <f t="shared" si="17"/>
        <v/>
      </c>
      <c r="DD14" s="991" t="str">
        <f t="shared" si="17"/>
        <v/>
      </c>
      <c r="DE14" s="991" t="str">
        <f t="shared" si="17"/>
        <v/>
      </c>
      <c r="DF14" s="991" t="str">
        <f t="shared" si="17"/>
        <v/>
      </c>
      <c r="DG14" s="991" t="str">
        <f t="shared" si="17"/>
        <v/>
      </c>
      <c r="DH14" s="991" t="str">
        <f t="shared" si="17"/>
        <v/>
      </c>
      <c r="DI14" s="991" t="str">
        <f t="shared" si="17"/>
        <v/>
      </c>
      <c r="DJ14" s="991" t="str">
        <f t="shared" si="17"/>
        <v/>
      </c>
      <c r="DK14" s="991" t="str">
        <f t="shared" si="17"/>
        <v/>
      </c>
      <c r="DL14" s="991" t="str">
        <f t="shared" si="17"/>
        <v/>
      </c>
      <c r="DM14" s="991" t="str">
        <f t="shared" si="17"/>
        <v/>
      </c>
      <c r="DN14" s="991" t="str">
        <f t="shared" si="17"/>
        <v/>
      </c>
      <c r="DO14" s="991" t="str">
        <f t="shared" si="17"/>
        <v/>
      </c>
      <c r="DP14" s="991" t="str">
        <f t="shared" si="17"/>
        <v/>
      </c>
      <c r="DQ14" s="991" t="str">
        <f t="shared" si="17"/>
        <v/>
      </c>
      <c r="DR14" s="991" t="str">
        <f t="shared" si="17"/>
        <v/>
      </c>
      <c r="DS14" s="991" t="str">
        <f t="shared" si="17"/>
        <v/>
      </c>
      <c r="DT14" s="991" t="str">
        <f t="shared" si="17"/>
        <v/>
      </c>
      <c r="DU14" s="991" t="str">
        <f t="shared" si="17"/>
        <v/>
      </c>
      <c r="DV14" s="991" t="str">
        <f t="shared" si="17"/>
        <v/>
      </c>
      <c r="DW14" s="1001"/>
    </row>
    <row r="15" spans="1:127" s="1000" customFormat="1" ht="15" customHeight="1" x14ac:dyDescent="0.3">
      <c r="A15" s="1001"/>
      <c r="B15" s="996"/>
      <c r="C15" s="1030"/>
      <c r="D15" s="1007"/>
      <c r="E15" s="1045"/>
      <c r="F15" s="1005"/>
      <c r="G15" s="991"/>
      <c r="H15" s="992"/>
      <c r="I15" s="991"/>
      <c r="J15" s="991"/>
      <c r="K15" s="991"/>
      <c r="L15" s="991"/>
      <c r="M15" s="991"/>
      <c r="N15" s="991"/>
      <c r="O15" s="991"/>
      <c r="P15" s="991"/>
      <c r="Q15" s="991"/>
      <c r="R15" s="991"/>
      <c r="S15" s="991"/>
      <c r="T15" s="991"/>
      <c r="U15" s="991"/>
      <c r="V15" s="991"/>
      <c r="W15" s="991"/>
      <c r="X15" s="991"/>
      <c r="Y15" s="991"/>
      <c r="Z15" s="991"/>
      <c r="AA15" s="991"/>
      <c r="AB15" s="991"/>
      <c r="AC15" s="991"/>
      <c r="AD15" s="991"/>
      <c r="AE15" s="991"/>
      <c r="AF15" s="991"/>
      <c r="AG15" s="991"/>
      <c r="AH15" s="991"/>
      <c r="AI15" s="991"/>
      <c r="AJ15" s="991"/>
      <c r="AK15" s="991"/>
      <c r="AL15" s="991"/>
      <c r="AM15" s="991"/>
      <c r="AN15" s="991"/>
      <c r="AO15" s="991"/>
      <c r="AP15" s="991"/>
      <c r="AQ15" s="991"/>
      <c r="AR15" s="991"/>
      <c r="AS15" s="991"/>
      <c r="AT15" s="991"/>
      <c r="AU15" s="991"/>
      <c r="AV15" s="991"/>
      <c r="AW15" s="991"/>
      <c r="AX15" s="991"/>
      <c r="AY15" s="991"/>
      <c r="AZ15" s="991"/>
      <c r="BA15" s="991"/>
      <c r="BB15" s="991"/>
      <c r="BC15" s="991"/>
      <c r="BD15" s="991"/>
      <c r="BE15" s="991"/>
      <c r="BF15" s="991"/>
      <c r="BG15" s="991"/>
      <c r="BH15" s="991"/>
      <c r="BI15" s="991"/>
      <c r="BJ15" s="991"/>
      <c r="BK15" s="991"/>
      <c r="BL15" s="991"/>
      <c r="BM15" s="991"/>
      <c r="BN15" s="991"/>
      <c r="BO15" s="991"/>
      <c r="BP15" s="991"/>
      <c r="BQ15" s="991"/>
      <c r="BR15" s="991"/>
      <c r="BS15" s="991"/>
      <c r="BT15" s="991"/>
      <c r="BU15" s="991"/>
      <c r="BV15" s="991"/>
      <c r="BW15" s="991"/>
      <c r="BX15" s="991"/>
      <c r="BY15" s="991"/>
      <c r="BZ15" s="991"/>
      <c r="CA15" s="991"/>
      <c r="CB15" s="991"/>
      <c r="CC15" s="991"/>
      <c r="CD15" s="991"/>
      <c r="CE15" s="991"/>
      <c r="CF15" s="991"/>
      <c r="CG15" s="991"/>
      <c r="CH15" s="991"/>
      <c r="CI15" s="991"/>
      <c r="CJ15" s="991"/>
      <c r="CK15" s="991"/>
      <c r="CL15" s="991"/>
      <c r="CM15" s="991"/>
      <c r="CN15" s="991"/>
      <c r="CO15" s="991"/>
      <c r="CP15" s="991"/>
      <c r="CQ15" s="991"/>
      <c r="CR15" s="991"/>
      <c r="CS15" s="991"/>
      <c r="CT15" s="991"/>
      <c r="CU15" s="991"/>
      <c r="CV15" s="991"/>
      <c r="CW15" s="991"/>
      <c r="CX15" s="991"/>
      <c r="CY15" s="991"/>
      <c r="CZ15" s="991"/>
      <c r="DA15" s="991"/>
      <c r="DB15" s="991"/>
      <c r="DC15" s="991"/>
      <c r="DD15" s="991"/>
      <c r="DE15" s="991"/>
      <c r="DF15" s="991"/>
      <c r="DG15" s="991"/>
      <c r="DH15" s="991"/>
      <c r="DI15" s="991"/>
      <c r="DJ15" s="991"/>
      <c r="DK15" s="991"/>
      <c r="DL15" s="991"/>
      <c r="DM15" s="991"/>
      <c r="DN15" s="991"/>
      <c r="DO15" s="991"/>
      <c r="DP15" s="991"/>
      <c r="DQ15" s="991"/>
      <c r="DR15" s="991"/>
      <c r="DS15" s="991"/>
      <c r="DT15" s="991"/>
      <c r="DU15" s="991"/>
      <c r="DV15" s="991"/>
      <c r="DW15" s="1001"/>
    </row>
    <row r="16" spans="1:127" s="1002" customFormat="1" ht="18.75" customHeight="1" x14ac:dyDescent="0.3">
      <c r="A16" s="1000"/>
      <c r="B16" s="334" t="s">
        <v>134</v>
      </c>
      <c r="C16" s="1029">
        <f>IFERROR(SUMIF($G$7:$DV$7,$D$7,G16:DV16),0)</f>
        <v>0</v>
      </c>
      <c r="D16" s="1014">
        <f>IFERROR(AVERAGEIF($G$7:$DV$7,$D$7,G16:DV16),0)</f>
        <v>0</v>
      </c>
      <c r="E16" s="1012">
        <f>IFERROR(SUMIF($G$7:$DV$7,$D$7,G16:DV16)/COUNTIFS($G$7:$DV$7,$D$7,G16:DV16,"&lt;&gt;")*12,0)</f>
        <v>0</v>
      </c>
      <c r="F16" s="309"/>
      <c r="G16" s="1711"/>
      <c r="H16" s="1712"/>
      <c r="I16" s="1712"/>
      <c r="J16" s="1712"/>
      <c r="K16" s="1712"/>
      <c r="L16" s="1712"/>
      <c r="M16" s="1712"/>
      <c r="N16" s="1712"/>
      <c r="O16" s="1712"/>
      <c r="P16" s="1712"/>
      <c r="Q16" s="1712"/>
      <c r="R16" s="1712"/>
      <c r="S16" s="1712"/>
      <c r="T16" s="1712"/>
      <c r="U16" s="1712"/>
      <c r="V16" s="1712"/>
      <c r="W16" s="1712"/>
      <c r="X16" s="1712"/>
      <c r="Y16" s="1712"/>
      <c r="Z16" s="1712"/>
      <c r="AA16" s="1712"/>
      <c r="AB16" s="1712"/>
      <c r="AC16" s="1712"/>
      <c r="AD16" s="1712"/>
      <c r="AE16" s="1712"/>
      <c r="AF16" s="1712"/>
      <c r="AG16" s="1712"/>
      <c r="AH16" s="1712"/>
      <c r="AI16" s="1712"/>
      <c r="AJ16" s="1712"/>
      <c r="AK16" s="1712"/>
      <c r="AL16" s="1712"/>
      <c r="AM16" s="1712"/>
      <c r="AN16" s="1712"/>
      <c r="AO16" s="1712"/>
      <c r="AP16" s="1712"/>
      <c r="AQ16" s="1712"/>
      <c r="AR16" s="1712"/>
      <c r="AS16" s="1712"/>
      <c r="AT16" s="1712"/>
      <c r="AU16" s="1712"/>
      <c r="AV16" s="1712"/>
      <c r="AW16" s="1712"/>
      <c r="AX16" s="1712"/>
      <c r="AY16" s="1712"/>
      <c r="AZ16" s="1712"/>
      <c r="BA16" s="1712"/>
      <c r="BB16" s="1712"/>
      <c r="BC16" s="1712"/>
      <c r="BD16" s="1712"/>
      <c r="BE16" s="1712"/>
      <c r="BF16" s="1712"/>
      <c r="BG16" s="1712"/>
      <c r="BH16" s="1712"/>
      <c r="BI16" s="1712"/>
      <c r="BJ16" s="1712"/>
      <c r="BK16" s="1712"/>
      <c r="BL16" s="1712"/>
      <c r="BM16" s="1712"/>
      <c r="BN16" s="1713"/>
      <c r="BO16" s="1713"/>
      <c r="BP16" s="1713"/>
      <c r="BQ16" s="1713"/>
      <c r="BR16" s="1713"/>
      <c r="BS16" s="1713"/>
      <c r="BT16" s="1713"/>
      <c r="BU16" s="1713"/>
      <c r="BV16" s="1713"/>
      <c r="BW16" s="1713"/>
      <c r="BX16" s="1713"/>
      <c r="BY16" s="1713"/>
      <c r="BZ16" s="1713"/>
      <c r="CA16" s="1713"/>
      <c r="CB16" s="1713"/>
      <c r="CC16" s="1713"/>
      <c r="CD16" s="1713"/>
      <c r="CE16" s="1713"/>
      <c r="CF16" s="1713"/>
      <c r="CG16" s="1713"/>
      <c r="CH16" s="1713"/>
      <c r="CI16" s="1713"/>
      <c r="CJ16" s="1713"/>
      <c r="CK16" s="1713"/>
      <c r="CL16" s="1713"/>
      <c r="CM16" s="1713"/>
      <c r="CN16" s="1713"/>
      <c r="CO16" s="1713"/>
      <c r="CP16" s="1713"/>
      <c r="CQ16" s="1713"/>
      <c r="CR16" s="1713"/>
      <c r="CS16" s="1713"/>
      <c r="CT16" s="1713"/>
      <c r="CU16" s="1713"/>
      <c r="CV16" s="1713"/>
      <c r="CW16" s="1713"/>
      <c r="CX16" s="1713"/>
      <c r="CY16" s="1713"/>
      <c r="CZ16" s="1713"/>
      <c r="DA16" s="1713"/>
      <c r="DB16" s="1713"/>
      <c r="DC16" s="1713"/>
      <c r="DD16" s="1713"/>
      <c r="DE16" s="1713"/>
      <c r="DF16" s="1713"/>
      <c r="DG16" s="1713"/>
      <c r="DH16" s="1713"/>
      <c r="DI16" s="1713"/>
      <c r="DJ16" s="1713"/>
      <c r="DK16" s="1713"/>
      <c r="DL16" s="1713"/>
      <c r="DM16" s="1713"/>
      <c r="DN16" s="1713"/>
      <c r="DO16" s="1713"/>
      <c r="DP16" s="1713"/>
      <c r="DQ16" s="1713"/>
      <c r="DR16" s="1713"/>
      <c r="DS16" s="1713"/>
      <c r="DT16" s="1713"/>
      <c r="DU16" s="1713"/>
      <c r="DV16" s="1713"/>
      <c r="DW16" s="1000"/>
    </row>
    <row r="17" spans="1:127" s="1000" customFormat="1" ht="15" customHeight="1" x14ac:dyDescent="0.3">
      <c r="B17" s="334" t="str">
        <f>FORECASTS!B23</f>
        <v>Additional Guest Fee</v>
      </c>
      <c r="C17" s="1029">
        <f>IFERROR(SUMIF($G$7:$DV$7,$D$7,G17:DV17),0)</f>
        <v>0</v>
      </c>
      <c r="D17" s="1014">
        <f>IFERROR(AVERAGEIF($G$7:$DV$7,$D$7,G17:DV17),0)</f>
        <v>0</v>
      </c>
      <c r="E17" s="1012">
        <f>IFERROR(SUMIF($G$7:$DV$7,$D$7,G17:DV17)/COUNTIFS($G$7:$DV$7,$D$7,G17:DV17,"&lt;&gt;")*12,0)</f>
        <v>0</v>
      </c>
      <c r="F17" s="309"/>
      <c r="G17" s="1711"/>
      <c r="H17" s="1712"/>
      <c r="I17" s="1712"/>
      <c r="J17" s="1712"/>
      <c r="K17" s="1712"/>
      <c r="L17" s="1712"/>
      <c r="M17" s="1712"/>
      <c r="N17" s="1712"/>
      <c r="O17" s="1712"/>
      <c r="P17" s="1712"/>
      <c r="Q17" s="1712"/>
      <c r="R17" s="1712"/>
      <c r="S17" s="1712"/>
      <c r="T17" s="1712"/>
      <c r="U17" s="1712"/>
      <c r="V17" s="1712"/>
      <c r="W17" s="1712"/>
      <c r="X17" s="1712"/>
      <c r="Y17" s="1712"/>
      <c r="Z17" s="1712"/>
      <c r="AA17" s="1712"/>
      <c r="AB17" s="1712"/>
      <c r="AC17" s="1712"/>
      <c r="AD17" s="1712"/>
      <c r="AE17" s="1712"/>
      <c r="AF17" s="1712"/>
      <c r="AG17" s="1712"/>
      <c r="AH17" s="1712"/>
      <c r="AI17" s="1712"/>
      <c r="AJ17" s="1712"/>
      <c r="AK17" s="1712"/>
      <c r="AL17" s="1712"/>
      <c r="AM17" s="1712"/>
      <c r="AN17" s="1712"/>
      <c r="AO17" s="1712"/>
      <c r="AP17" s="1712"/>
      <c r="AQ17" s="1712"/>
      <c r="AR17" s="1712"/>
      <c r="AS17" s="1712"/>
      <c r="AT17" s="1712"/>
      <c r="AU17" s="1712"/>
      <c r="AV17" s="1712"/>
      <c r="AW17" s="1712"/>
      <c r="AX17" s="1712"/>
      <c r="AY17" s="1712"/>
      <c r="AZ17" s="1712"/>
      <c r="BA17" s="1712"/>
      <c r="BB17" s="1712"/>
      <c r="BC17" s="1712"/>
      <c r="BD17" s="1712"/>
      <c r="BE17" s="1712"/>
      <c r="BF17" s="1712"/>
      <c r="BG17" s="1712"/>
      <c r="BH17" s="1712"/>
      <c r="BI17" s="1712"/>
      <c r="BJ17" s="1712"/>
      <c r="BK17" s="1712"/>
      <c r="BL17" s="1712"/>
      <c r="BM17" s="1712"/>
      <c r="BN17" s="1712"/>
      <c r="BO17" s="1712"/>
      <c r="BP17" s="1712"/>
      <c r="BQ17" s="1712"/>
      <c r="BR17" s="1712"/>
      <c r="BS17" s="1712"/>
      <c r="BT17" s="1712"/>
      <c r="BU17" s="1712"/>
      <c r="BV17" s="1712"/>
      <c r="BW17" s="1712"/>
      <c r="BX17" s="1712"/>
      <c r="BY17" s="1712"/>
      <c r="BZ17" s="1712"/>
      <c r="CA17" s="1712"/>
      <c r="CB17" s="1712"/>
      <c r="CC17" s="1712"/>
      <c r="CD17" s="1712"/>
      <c r="CE17" s="1712"/>
      <c r="CF17" s="1712"/>
      <c r="CG17" s="1712"/>
      <c r="CH17" s="1712"/>
      <c r="CI17" s="1712"/>
      <c r="CJ17" s="1712"/>
      <c r="CK17" s="1712"/>
      <c r="CL17" s="1712"/>
      <c r="CM17" s="1712"/>
      <c r="CN17" s="1712"/>
      <c r="CO17" s="1712"/>
      <c r="CP17" s="1712"/>
      <c r="CQ17" s="1712"/>
      <c r="CR17" s="1712"/>
      <c r="CS17" s="1712"/>
      <c r="CT17" s="1712"/>
      <c r="CU17" s="1712"/>
      <c r="CV17" s="1712"/>
      <c r="CW17" s="1712"/>
      <c r="CX17" s="1712"/>
      <c r="CY17" s="1712"/>
      <c r="CZ17" s="1712"/>
      <c r="DA17" s="1712"/>
      <c r="DB17" s="1712"/>
      <c r="DC17" s="1712"/>
      <c r="DD17" s="1712"/>
      <c r="DE17" s="1712"/>
      <c r="DF17" s="1712"/>
      <c r="DG17" s="1712"/>
      <c r="DH17" s="1712"/>
      <c r="DI17" s="1712"/>
      <c r="DJ17" s="1712"/>
      <c r="DK17" s="1712"/>
      <c r="DL17" s="1712"/>
      <c r="DM17" s="1712"/>
      <c r="DN17" s="1712"/>
      <c r="DO17" s="1712"/>
      <c r="DP17" s="1712"/>
      <c r="DQ17" s="1712"/>
      <c r="DR17" s="1712"/>
      <c r="DS17" s="1712"/>
      <c r="DT17" s="1712"/>
      <c r="DU17" s="1712"/>
      <c r="DV17" s="1712"/>
    </row>
    <row r="18" spans="1:127" s="1000" customFormat="1" ht="15" customHeight="1" x14ac:dyDescent="0.3">
      <c r="B18" s="334" t="s">
        <v>576</v>
      </c>
      <c r="C18" s="1029">
        <f>IFERROR(SUMIF($G$7:$DV$7,$D$7,G18:DV18),0)</f>
        <v>0</v>
      </c>
      <c r="D18" s="1014">
        <f>IFERROR(AVERAGEIF($G$7:$DV$7,$D$7,G18:DV18),0)</f>
        <v>0</v>
      </c>
      <c r="E18" s="1012">
        <f>IFERROR(SUMIF($G$7:$DV$7,$D$7,G18:DV18)/COUNTIFS($G$7:$DV$7,$D$7,G18:DV18,"&lt;&gt;")*12,0)</f>
        <v>0</v>
      </c>
      <c r="F18" s="309"/>
      <c r="G18" s="1711"/>
      <c r="H18" s="1711"/>
      <c r="I18" s="1711"/>
      <c r="J18" s="1711"/>
      <c r="K18" s="1711"/>
      <c r="L18" s="1711"/>
      <c r="M18" s="1711"/>
      <c r="N18" s="1711"/>
      <c r="O18" s="1711"/>
      <c r="P18" s="1711"/>
      <c r="Q18" s="1711"/>
      <c r="R18" s="1711"/>
      <c r="S18" s="1711"/>
      <c r="T18" s="1712"/>
      <c r="U18" s="1712"/>
      <c r="V18" s="1712"/>
      <c r="W18" s="1712"/>
      <c r="X18" s="1712"/>
      <c r="Y18" s="1712"/>
      <c r="Z18" s="1712"/>
      <c r="AA18" s="1712"/>
      <c r="AB18" s="1712"/>
      <c r="AC18" s="1712"/>
      <c r="AD18" s="1712"/>
      <c r="AE18" s="1712"/>
      <c r="AF18" s="1712"/>
      <c r="AG18" s="1712"/>
      <c r="AH18" s="1712"/>
      <c r="AI18" s="1712"/>
      <c r="AJ18" s="1712"/>
      <c r="AK18" s="1712"/>
      <c r="AL18" s="1712"/>
      <c r="AM18" s="1712"/>
      <c r="AN18" s="1712"/>
      <c r="AO18" s="1712"/>
      <c r="AP18" s="1712"/>
      <c r="AQ18" s="1712"/>
      <c r="AR18" s="1712"/>
      <c r="AS18" s="1712"/>
      <c r="AT18" s="1712"/>
      <c r="AU18" s="1712"/>
      <c r="AV18" s="1712"/>
      <c r="AW18" s="1712"/>
      <c r="AX18" s="1712"/>
      <c r="AY18" s="1712"/>
      <c r="AZ18" s="1712"/>
      <c r="BA18" s="1712"/>
      <c r="BB18" s="1712"/>
      <c r="BC18" s="1712"/>
      <c r="BD18" s="1712"/>
      <c r="BE18" s="1712"/>
      <c r="BF18" s="1712"/>
      <c r="BG18" s="1712"/>
      <c r="BH18" s="1712"/>
      <c r="BI18" s="1712"/>
      <c r="BJ18" s="1712"/>
      <c r="BK18" s="1712"/>
      <c r="BL18" s="1712"/>
      <c r="BM18" s="1712"/>
      <c r="BN18" s="1713"/>
      <c r="BO18" s="1713"/>
      <c r="BP18" s="1713"/>
      <c r="BQ18" s="1713"/>
      <c r="BR18" s="1713"/>
      <c r="BS18" s="1713"/>
      <c r="BT18" s="1713"/>
      <c r="BU18" s="1713"/>
      <c r="BV18" s="1713"/>
      <c r="BW18" s="1713"/>
      <c r="BX18" s="1713"/>
      <c r="BY18" s="1713"/>
      <c r="BZ18" s="1713"/>
      <c r="CA18" s="1713"/>
      <c r="CB18" s="1713"/>
      <c r="CC18" s="1713"/>
      <c r="CD18" s="1713"/>
      <c r="CE18" s="1713"/>
      <c r="CF18" s="1713"/>
      <c r="CG18" s="1713"/>
      <c r="CH18" s="1713"/>
      <c r="CI18" s="1713"/>
      <c r="CJ18" s="1713"/>
      <c r="CK18" s="1713"/>
      <c r="CL18" s="1713"/>
      <c r="CM18" s="1713"/>
      <c r="CN18" s="1713"/>
      <c r="CO18" s="1713"/>
      <c r="CP18" s="1713"/>
      <c r="CQ18" s="1713"/>
      <c r="CR18" s="1713"/>
      <c r="CS18" s="1713"/>
      <c r="CT18" s="1713"/>
      <c r="CU18" s="1713"/>
      <c r="CV18" s="1713"/>
      <c r="CW18" s="1713"/>
      <c r="CX18" s="1713"/>
      <c r="CY18" s="1713"/>
      <c r="CZ18" s="1713"/>
      <c r="DA18" s="1713"/>
      <c r="DB18" s="1713"/>
      <c r="DC18" s="1713"/>
      <c r="DD18" s="1713"/>
      <c r="DE18" s="1713"/>
      <c r="DF18" s="1713"/>
      <c r="DG18" s="1713"/>
      <c r="DH18" s="1713"/>
      <c r="DI18" s="1713"/>
      <c r="DJ18" s="1713"/>
      <c r="DK18" s="1713"/>
      <c r="DL18" s="1713"/>
      <c r="DM18" s="1713"/>
      <c r="DN18" s="1713"/>
      <c r="DO18" s="1713"/>
      <c r="DP18" s="1713"/>
      <c r="DQ18" s="1713"/>
      <c r="DR18" s="1713"/>
      <c r="DS18" s="1713"/>
      <c r="DT18" s="1713"/>
      <c r="DU18" s="1713"/>
      <c r="DV18" s="1713"/>
    </row>
    <row r="19" spans="1:127" s="1000" customFormat="1" ht="15" customHeight="1" x14ac:dyDescent="0.3">
      <c r="A19" s="1002"/>
      <c r="B19" s="997" t="s">
        <v>584</v>
      </c>
      <c r="C19" s="1031">
        <f>C13+C16+C17+C18</f>
        <v>0</v>
      </c>
      <c r="D19" s="1015">
        <f>D13+D16+D17+D18</f>
        <v>0</v>
      </c>
      <c r="E19" s="1013">
        <f>E13+E16+E17+E18</f>
        <v>0</v>
      </c>
      <c r="F19" s="970"/>
      <c r="G19" s="990">
        <f>G13+G16+G17+G18</f>
        <v>0</v>
      </c>
      <c r="H19" s="990">
        <f t="shared" ref="H19:BN19" si="18">H13+H16+H17+H18</f>
        <v>0</v>
      </c>
      <c r="I19" s="990">
        <f>I13+I16+I17+I18</f>
        <v>0</v>
      </c>
      <c r="J19" s="990">
        <f t="shared" si="18"/>
        <v>0</v>
      </c>
      <c r="K19" s="990">
        <f t="shared" si="18"/>
        <v>0</v>
      </c>
      <c r="L19" s="990">
        <f t="shared" si="18"/>
        <v>0</v>
      </c>
      <c r="M19" s="990">
        <f t="shared" si="18"/>
        <v>0</v>
      </c>
      <c r="N19" s="990">
        <f t="shared" si="18"/>
        <v>0</v>
      </c>
      <c r="O19" s="990">
        <f t="shared" si="18"/>
        <v>0</v>
      </c>
      <c r="P19" s="990">
        <f t="shared" si="18"/>
        <v>0</v>
      </c>
      <c r="Q19" s="990">
        <f t="shared" si="18"/>
        <v>0</v>
      </c>
      <c r="R19" s="990">
        <f t="shared" si="18"/>
        <v>0</v>
      </c>
      <c r="S19" s="990">
        <f t="shared" si="18"/>
        <v>0</v>
      </c>
      <c r="T19" s="990">
        <f t="shared" si="18"/>
        <v>0</v>
      </c>
      <c r="U19" s="990">
        <f t="shared" si="18"/>
        <v>0</v>
      </c>
      <c r="V19" s="990">
        <f t="shared" si="18"/>
        <v>0</v>
      </c>
      <c r="W19" s="990">
        <f t="shared" si="18"/>
        <v>0</v>
      </c>
      <c r="X19" s="990">
        <f t="shared" si="18"/>
        <v>0</v>
      </c>
      <c r="Y19" s="990">
        <f t="shared" si="18"/>
        <v>0</v>
      </c>
      <c r="Z19" s="990">
        <f t="shared" si="18"/>
        <v>0</v>
      </c>
      <c r="AA19" s="990">
        <f t="shared" si="18"/>
        <v>0</v>
      </c>
      <c r="AB19" s="990">
        <f t="shared" si="18"/>
        <v>0</v>
      </c>
      <c r="AC19" s="990">
        <f t="shared" si="18"/>
        <v>0</v>
      </c>
      <c r="AD19" s="990">
        <f t="shared" si="18"/>
        <v>0</v>
      </c>
      <c r="AE19" s="990">
        <f t="shared" si="18"/>
        <v>0</v>
      </c>
      <c r="AF19" s="990">
        <f t="shared" si="18"/>
        <v>0</v>
      </c>
      <c r="AG19" s="990">
        <f t="shared" si="18"/>
        <v>0</v>
      </c>
      <c r="AH19" s="990">
        <f t="shared" si="18"/>
        <v>0</v>
      </c>
      <c r="AI19" s="990">
        <f t="shared" si="18"/>
        <v>0</v>
      </c>
      <c r="AJ19" s="990">
        <f t="shared" si="18"/>
        <v>0</v>
      </c>
      <c r="AK19" s="990">
        <f t="shared" si="18"/>
        <v>0</v>
      </c>
      <c r="AL19" s="990">
        <f t="shared" si="18"/>
        <v>0</v>
      </c>
      <c r="AM19" s="990">
        <f t="shared" si="18"/>
        <v>0</v>
      </c>
      <c r="AN19" s="990">
        <f t="shared" si="18"/>
        <v>0</v>
      </c>
      <c r="AO19" s="990">
        <f t="shared" si="18"/>
        <v>0</v>
      </c>
      <c r="AP19" s="990">
        <f t="shared" si="18"/>
        <v>0</v>
      </c>
      <c r="AQ19" s="990">
        <f t="shared" si="18"/>
        <v>0</v>
      </c>
      <c r="AR19" s="990">
        <f t="shared" si="18"/>
        <v>0</v>
      </c>
      <c r="AS19" s="990">
        <f t="shared" si="18"/>
        <v>0</v>
      </c>
      <c r="AT19" s="990">
        <f t="shared" si="18"/>
        <v>0</v>
      </c>
      <c r="AU19" s="990">
        <f t="shared" si="18"/>
        <v>0</v>
      </c>
      <c r="AV19" s="990">
        <f t="shared" si="18"/>
        <v>0</v>
      </c>
      <c r="AW19" s="990">
        <f t="shared" si="18"/>
        <v>0</v>
      </c>
      <c r="AX19" s="990">
        <f t="shared" si="18"/>
        <v>0</v>
      </c>
      <c r="AY19" s="990">
        <f t="shared" si="18"/>
        <v>0</v>
      </c>
      <c r="AZ19" s="990">
        <f t="shared" si="18"/>
        <v>0</v>
      </c>
      <c r="BA19" s="990">
        <f t="shared" si="18"/>
        <v>0</v>
      </c>
      <c r="BB19" s="990">
        <f t="shared" si="18"/>
        <v>0</v>
      </c>
      <c r="BC19" s="990">
        <f t="shared" si="18"/>
        <v>0</v>
      </c>
      <c r="BD19" s="990">
        <f t="shared" si="18"/>
        <v>0</v>
      </c>
      <c r="BE19" s="990">
        <f t="shared" si="18"/>
        <v>0</v>
      </c>
      <c r="BF19" s="990">
        <f t="shared" si="18"/>
        <v>0</v>
      </c>
      <c r="BG19" s="990">
        <f t="shared" si="18"/>
        <v>0</v>
      </c>
      <c r="BH19" s="990">
        <f t="shared" si="18"/>
        <v>0</v>
      </c>
      <c r="BI19" s="990">
        <f t="shared" si="18"/>
        <v>0</v>
      </c>
      <c r="BJ19" s="990">
        <f t="shared" si="18"/>
        <v>0</v>
      </c>
      <c r="BK19" s="990">
        <f t="shared" si="18"/>
        <v>0</v>
      </c>
      <c r="BL19" s="990">
        <f t="shared" si="18"/>
        <v>0</v>
      </c>
      <c r="BM19" s="990">
        <f t="shared" si="18"/>
        <v>0</v>
      </c>
      <c r="BN19" s="990">
        <f t="shared" si="18"/>
        <v>0</v>
      </c>
      <c r="BO19" s="990">
        <f t="shared" ref="BO19:CT19" si="19">BO13+BO16+BO17+BO18</f>
        <v>0</v>
      </c>
      <c r="BP19" s="990">
        <f t="shared" si="19"/>
        <v>0</v>
      </c>
      <c r="BQ19" s="990">
        <f t="shared" si="19"/>
        <v>0</v>
      </c>
      <c r="BR19" s="990">
        <f t="shared" si="19"/>
        <v>0</v>
      </c>
      <c r="BS19" s="990">
        <f t="shared" si="19"/>
        <v>0</v>
      </c>
      <c r="BT19" s="990">
        <f t="shared" si="19"/>
        <v>0</v>
      </c>
      <c r="BU19" s="990">
        <f t="shared" si="19"/>
        <v>0</v>
      </c>
      <c r="BV19" s="990">
        <f t="shared" si="19"/>
        <v>0</v>
      </c>
      <c r="BW19" s="990">
        <f t="shared" si="19"/>
        <v>0</v>
      </c>
      <c r="BX19" s="990">
        <f t="shared" si="19"/>
        <v>0</v>
      </c>
      <c r="BY19" s="990">
        <f t="shared" si="19"/>
        <v>0</v>
      </c>
      <c r="BZ19" s="990">
        <f t="shared" si="19"/>
        <v>0</v>
      </c>
      <c r="CA19" s="990">
        <f t="shared" si="19"/>
        <v>0</v>
      </c>
      <c r="CB19" s="990">
        <f t="shared" si="19"/>
        <v>0</v>
      </c>
      <c r="CC19" s="990">
        <f t="shared" si="19"/>
        <v>0</v>
      </c>
      <c r="CD19" s="990">
        <f t="shared" si="19"/>
        <v>0</v>
      </c>
      <c r="CE19" s="990">
        <f t="shared" si="19"/>
        <v>0</v>
      </c>
      <c r="CF19" s="990">
        <f t="shared" si="19"/>
        <v>0</v>
      </c>
      <c r="CG19" s="990">
        <f t="shared" si="19"/>
        <v>0</v>
      </c>
      <c r="CH19" s="990">
        <f t="shared" si="19"/>
        <v>0</v>
      </c>
      <c r="CI19" s="990">
        <f t="shared" si="19"/>
        <v>0</v>
      </c>
      <c r="CJ19" s="990">
        <f t="shared" si="19"/>
        <v>0</v>
      </c>
      <c r="CK19" s="990">
        <f t="shared" si="19"/>
        <v>0</v>
      </c>
      <c r="CL19" s="990">
        <f t="shared" si="19"/>
        <v>0</v>
      </c>
      <c r="CM19" s="990">
        <f t="shared" si="19"/>
        <v>0</v>
      </c>
      <c r="CN19" s="990">
        <f t="shared" si="19"/>
        <v>0</v>
      </c>
      <c r="CO19" s="990">
        <f t="shared" si="19"/>
        <v>0</v>
      </c>
      <c r="CP19" s="990">
        <f t="shared" si="19"/>
        <v>0</v>
      </c>
      <c r="CQ19" s="990">
        <f t="shared" si="19"/>
        <v>0</v>
      </c>
      <c r="CR19" s="990">
        <f t="shared" si="19"/>
        <v>0</v>
      </c>
      <c r="CS19" s="990">
        <f t="shared" si="19"/>
        <v>0</v>
      </c>
      <c r="CT19" s="990">
        <f t="shared" si="19"/>
        <v>0</v>
      </c>
      <c r="CU19" s="990">
        <f t="shared" ref="CU19:DV19" si="20">CU13+CU16+CU17+CU18</f>
        <v>0</v>
      </c>
      <c r="CV19" s="990">
        <f t="shared" si="20"/>
        <v>0</v>
      </c>
      <c r="CW19" s="990">
        <f t="shared" si="20"/>
        <v>0</v>
      </c>
      <c r="CX19" s="990">
        <f t="shared" si="20"/>
        <v>0</v>
      </c>
      <c r="CY19" s="990">
        <f t="shared" si="20"/>
        <v>0</v>
      </c>
      <c r="CZ19" s="990">
        <f t="shared" si="20"/>
        <v>0</v>
      </c>
      <c r="DA19" s="990">
        <f t="shared" si="20"/>
        <v>0</v>
      </c>
      <c r="DB19" s="990">
        <f t="shared" si="20"/>
        <v>0</v>
      </c>
      <c r="DC19" s="990">
        <f t="shared" si="20"/>
        <v>0</v>
      </c>
      <c r="DD19" s="990">
        <f t="shared" si="20"/>
        <v>0</v>
      </c>
      <c r="DE19" s="990">
        <f t="shared" si="20"/>
        <v>0</v>
      </c>
      <c r="DF19" s="990">
        <f t="shared" si="20"/>
        <v>0</v>
      </c>
      <c r="DG19" s="990">
        <f t="shared" si="20"/>
        <v>0</v>
      </c>
      <c r="DH19" s="990">
        <f t="shared" si="20"/>
        <v>0</v>
      </c>
      <c r="DI19" s="990">
        <f t="shared" si="20"/>
        <v>0</v>
      </c>
      <c r="DJ19" s="990">
        <f t="shared" si="20"/>
        <v>0</v>
      </c>
      <c r="DK19" s="990">
        <f t="shared" si="20"/>
        <v>0</v>
      </c>
      <c r="DL19" s="990">
        <f t="shared" si="20"/>
        <v>0</v>
      </c>
      <c r="DM19" s="990">
        <f t="shared" si="20"/>
        <v>0</v>
      </c>
      <c r="DN19" s="990">
        <f t="shared" si="20"/>
        <v>0</v>
      </c>
      <c r="DO19" s="990">
        <f t="shared" si="20"/>
        <v>0</v>
      </c>
      <c r="DP19" s="990">
        <f t="shared" si="20"/>
        <v>0</v>
      </c>
      <c r="DQ19" s="990">
        <f t="shared" si="20"/>
        <v>0</v>
      </c>
      <c r="DR19" s="990">
        <f t="shared" si="20"/>
        <v>0</v>
      </c>
      <c r="DS19" s="990">
        <f t="shared" si="20"/>
        <v>0</v>
      </c>
      <c r="DT19" s="990">
        <f t="shared" si="20"/>
        <v>0</v>
      </c>
      <c r="DU19" s="990">
        <f t="shared" si="20"/>
        <v>0</v>
      </c>
      <c r="DV19" s="990">
        <f t="shared" si="20"/>
        <v>0</v>
      </c>
      <c r="DW19" s="1002"/>
    </row>
    <row r="20" spans="1:127" s="1000" customFormat="1" ht="15" customHeight="1" x14ac:dyDescent="0.3">
      <c r="B20" s="334"/>
      <c r="C20" s="1032"/>
      <c r="D20" s="998"/>
      <c r="E20" s="1046"/>
      <c r="F20" s="84"/>
      <c r="G20" s="15"/>
      <c r="H20" s="15"/>
      <c r="I20" s="972"/>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row>
    <row r="21" spans="1:127" s="1000" customFormat="1" ht="15" customHeight="1" x14ac:dyDescent="0.3">
      <c r="B21" s="334" t="str">
        <f>DASHBOARD!W119</f>
        <v>Electrical Utilities</v>
      </c>
      <c r="C21" s="1029">
        <f t="shared" ref="C21:C40" si="21">IFERROR(SUMIF($G$7:$DV$7,$D$7,G21:DV21),0)</f>
        <v>0</v>
      </c>
      <c r="D21" s="1014">
        <f t="shared" ref="D21:D40" si="22">IFERROR(AVERAGEIF($G$7:$DV$7,$D$7,G21:DV21),0)</f>
        <v>0</v>
      </c>
      <c r="E21" s="1012">
        <f t="shared" ref="E21:E40" si="23">IFERROR(SUMIF($G$7:$DV$7,$D$7,G21:DV21)/COUNTIFS($G$7:$DV$7,$D$7,G21:DV21,"&lt;&gt;")*12,0)</f>
        <v>0</v>
      </c>
      <c r="F21" s="309"/>
      <c r="G21" s="1711"/>
      <c r="H21" s="1711"/>
      <c r="I21" s="1711"/>
      <c r="J21" s="1711"/>
      <c r="K21" s="1711"/>
      <c r="L21" s="1711"/>
      <c r="M21" s="1711"/>
      <c r="N21" s="1711"/>
      <c r="O21" s="1711"/>
      <c r="P21" s="1711"/>
      <c r="Q21" s="1711"/>
      <c r="R21" s="1711"/>
      <c r="S21" s="1711"/>
      <c r="T21" s="1711"/>
      <c r="U21" s="1711"/>
      <c r="V21" s="1711"/>
      <c r="W21" s="1711"/>
      <c r="X21" s="1711"/>
      <c r="Y21" s="1711"/>
      <c r="Z21" s="1711"/>
      <c r="AA21" s="1711"/>
      <c r="AB21" s="1711"/>
      <c r="AC21" s="1711"/>
      <c r="AD21" s="1711"/>
      <c r="AE21" s="1711"/>
      <c r="AF21" s="1711"/>
      <c r="AG21" s="1711"/>
      <c r="AH21" s="1711"/>
      <c r="AI21" s="1711"/>
      <c r="AJ21" s="1711"/>
      <c r="AK21" s="1711"/>
      <c r="AL21" s="1711"/>
      <c r="AM21" s="1711"/>
      <c r="AN21" s="1711"/>
      <c r="AO21" s="1711"/>
      <c r="AP21" s="1711"/>
      <c r="AQ21" s="1711"/>
      <c r="AR21" s="1711"/>
      <c r="AS21" s="1711"/>
      <c r="AT21" s="1711"/>
      <c r="AU21" s="1711"/>
      <c r="AV21" s="1711"/>
      <c r="AW21" s="1711"/>
      <c r="AX21" s="1711"/>
      <c r="AY21" s="1711"/>
      <c r="AZ21" s="1711"/>
      <c r="BA21" s="1711"/>
      <c r="BB21" s="1711"/>
      <c r="BC21" s="1711"/>
      <c r="BD21" s="1711"/>
      <c r="BE21" s="1711"/>
      <c r="BF21" s="1711"/>
      <c r="BG21" s="1711"/>
      <c r="BH21" s="1711"/>
      <c r="BI21" s="1711"/>
      <c r="BJ21" s="1711"/>
      <c r="BK21" s="1711"/>
      <c r="BL21" s="1711"/>
      <c r="BM21" s="1711"/>
      <c r="BN21" s="1711"/>
      <c r="BO21" s="1711"/>
      <c r="BP21" s="1711"/>
      <c r="BQ21" s="1711"/>
      <c r="BR21" s="1711"/>
      <c r="BS21" s="1711"/>
      <c r="BT21" s="1711"/>
      <c r="BU21" s="1711"/>
      <c r="BV21" s="1711"/>
      <c r="BW21" s="1711"/>
      <c r="BX21" s="1711"/>
      <c r="BY21" s="1711"/>
      <c r="BZ21" s="1711"/>
      <c r="CA21" s="1711"/>
      <c r="CB21" s="1711"/>
      <c r="CC21" s="1711"/>
      <c r="CD21" s="1711"/>
      <c r="CE21" s="1711"/>
      <c r="CF21" s="1711"/>
      <c r="CG21" s="1711"/>
      <c r="CH21" s="1711"/>
      <c r="CI21" s="1711"/>
      <c r="CJ21" s="1711"/>
      <c r="CK21" s="1711"/>
      <c r="CL21" s="1711"/>
      <c r="CM21" s="1711"/>
      <c r="CN21" s="1711"/>
      <c r="CO21" s="1711"/>
      <c r="CP21" s="1711"/>
      <c r="CQ21" s="1711"/>
      <c r="CR21" s="1711"/>
      <c r="CS21" s="1711"/>
      <c r="CT21" s="1711"/>
      <c r="CU21" s="1711"/>
      <c r="CV21" s="1711"/>
      <c r="CW21" s="1711"/>
      <c r="CX21" s="1711"/>
      <c r="CY21" s="1711"/>
      <c r="CZ21" s="1711"/>
      <c r="DA21" s="1711"/>
      <c r="DB21" s="1711"/>
      <c r="DC21" s="1711"/>
      <c r="DD21" s="1711"/>
      <c r="DE21" s="1711"/>
      <c r="DF21" s="1711"/>
      <c r="DG21" s="1711"/>
      <c r="DH21" s="1711"/>
      <c r="DI21" s="1711"/>
      <c r="DJ21" s="1711"/>
      <c r="DK21" s="1711"/>
      <c r="DL21" s="1711"/>
      <c r="DM21" s="1711"/>
      <c r="DN21" s="1711"/>
      <c r="DO21" s="1711"/>
      <c r="DP21" s="1711"/>
      <c r="DQ21" s="1711"/>
      <c r="DR21" s="1711"/>
      <c r="DS21" s="1711"/>
      <c r="DT21" s="1711"/>
      <c r="DU21" s="1711"/>
      <c r="DV21" s="1711"/>
    </row>
    <row r="22" spans="1:127" s="1000" customFormat="1" ht="15" customHeight="1" x14ac:dyDescent="0.3">
      <c r="B22" s="334" t="str">
        <f>DASHBOARD!W120</f>
        <v>Gas Utilities</v>
      </c>
      <c r="C22" s="1029">
        <f t="shared" si="21"/>
        <v>0</v>
      </c>
      <c r="D22" s="1014">
        <f t="shared" si="22"/>
        <v>0</v>
      </c>
      <c r="E22" s="1012">
        <f t="shared" si="23"/>
        <v>0</v>
      </c>
      <c r="F22" s="309"/>
      <c r="G22" s="1711"/>
      <c r="H22" s="1712"/>
      <c r="I22" s="1712"/>
      <c r="J22" s="1712"/>
      <c r="K22" s="1712"/>
      <c r="L22" s="1712"/>
      <c r="M22" s="1712"/>
      <c r="N22" s="1712"/>
      <c r="O22" s="1712"/>
      <c r="P22" s="1712"/>
      <c r="Q22" s="1712"/>
      <c r="R22" s="1712"/>
      <c r="S22" s="1712"/>
      <c r="T22" s="1712"/>
      <c r="U22" s="1712"/>
      <c r="V22" s="1712"/>
      <c r="W22" s="1712"/>
      <c r="X22" s="1712"/>
      <c r="Y22" s="1712"/>
      <c r="Z22" s="1712"/>
      <c r="AA22" s="1712"/>
      <c r="AB22" s="1712"/>
      <c r="AC22" s="1712"/>
      <c r="AD22" s="1712"/>
      <c r="AE22" s="1712"/>
      <c r="AF22" s="1712"/>
      <c r="AG22" s="1712"/>
      <c r="AH22" s="1712"/>
      <c r="AI22" s="1712"/>
      <c r="AJ22" s="1712"/>
      <c r="AK22" s="1712"/>
      <c r="AL22" s="1712"/>
      <c r="AM22" s="1712"/>
      <c r="AN22" s="1712"/>
      <c r="AO22" s="1712"/>
      <c r="AP22" s="1712"/>
      <c r="AQ22" s="1712"/>
      <c r="AR22" s="1712"/>
      <c r="AS22" s="1712"/>
      <c r="AT22" s="1712"/>
      <c r="AU22" s="1712"/>
      <c r="AV22" s="1712"/>
      <c r="AW22" s="1712"/>
      <c r="AX22" s="1712"/>
      <c r="AY22" s="1712"/>
      <c r="AZ22" s="1712"/>
      <c r="BA22" s="1712"/>
      <c r="BB22" s="1712"/>
      <c r="BC22" s="1712"/>
      <c r="BD22" s="1712"/>
      <c r="BE22" s="1712"/>
      <c r="BF22" s="1712"/>
      <c r="BG22" s="1712"/>
      <c r="BH22" s="1712"/>
      <c r="BI22" s="1712"/>
      <c r="BJ22" s="1712"/>
      <c r="BK22" s="1712"/>
      <c r="BL22" s="1712"/>
      <c r="BM22" s="1712"/>
      <c r="BN22" s="1713"/>
      <c r="BO22" s="1713"/>
      <c r="BP22" s="1713"/>
      <c r="BQ22" s="1713"/>
      <c r="BR22" s="1713"/>
      <c r="BS22" s="1713"/>
      <c r="BT22" s="1713"/>
      <c r="BU22" s="1713"/>
      <c r="BV22" s="1713"/>
      <c r="BW22" s="1713"/>
      <c r="BX22" s="1713"/>
      <c r="BY22" s="1713"/>
      <c r="BZ22" s="1713"/>
      <c r="CA22" s="1713"/>
      <c r="CB22" s="1713"/>
      <c r="CC22" s="1713"/>
      <c r="CD22" s="1713"/>
      <c r="CE22" s="1713"/>
      <c r="CF22" s="1713"/>
      <c r="CG22" s="1713"/>
      <c r="CH22" s="1713"/>
      <c r="CI22" s="1713"/>
      <c r="CJ22" s="1713"/>
      <c r="CK22" s="1713"/>
      <c r="CL22" s="1713"/>
      <c r="CM22" s="1713"/>
      <c r="CN22" s="1713"/>
      <c r="CO22" s="1713"/>
      <c r="CP22" s="1713"/>
      <c r="CQ22" s="1713"/>
      <c r="CR22" s="1713"/>
      <c r="CS22" s="1713"/>
      <c r="CT22" s="1713"/>
      <c r="CU22" s="1713"/>
      <c r="CV22" s="1713"/>
      <c r="CW22" s="1713"/>
      <c r="CX22" s="1713"/>
      <c r="CY22" s="1713"/>
      <c r="CZ22" s="1713"/>
      <c r="DA22" s="1713"/>
      <c r="DB22" s="1713"/>
      <c r="DC22" s="1713"/>
      <c r="DD22" s="1713"/>
      <c r="DE22" s="1713"/>
      <c r="DF22" s="1713"/>
      <c r="DG22" s="1713"/>
      <c r="DH22" s="1713"/>
      <c r="DI22" s="1713"/>
      <c r="DJ22" s="1713"/>
      <c r="DK22" s="1713"/>
      <c r="DL22" s="1713"/>
      <c r="DM22" s="1713"/>
      <c r="DN22" s="1713"/>
      <c r="DO22" s="1713"/>
      <c r="DP22" s="1713"/>
      <c r="DQ22" s="1713"/>
      <c r="DR22" s="1713"/>
      <c r="DS22" s="1713"/>
      <c r="DT22" s="1713"/>
      <c r="DU22" s="1713"/>
      <c r="DV22" s="1713"/>
    </row>
    <row r="23" spans="1:127" s="1000" customFormat="1" ht="15" customHeight="1" x14ac:dyDescent="0.3">
      <c r="B23" s="334" t="str">
        <f>DASHBOARD!W121</f>
        <v>Water Utilities</v>
      </c>
      <c r="C23" s="1029">
        <f t="shared" si="21"/>
        <v>0</v>
      </c>
      <c r="D23" s="1014">
        <f t="shared" si="22"/>
        <v>0</v>
      </c>
      <c r="E23" s="1012">
        <f t="shared" si="23"/>
        <v>0</v>
      </c>
      <c r="F23" s="309"/>
      <c r="G23" s="1711"/>
      <c r="H23" s="1712"/>
      <c r="I23" s="1712"/>
      <c r="J23" s="1712"/>
      <c r="K23" s="1712"/>
      <c r="L23" s="1712"/>
      <c r="M23" s="1712"/>
      <c r="N23" s="1712"/>
      <c r="O23" s="1712"/>
      <c r="P23" s="1712"/>
      <c r="Q23" s="1712"/>
      <c r="R23" s="1712"/>
      <c r="S23" s="1712"/>
      <c r="T23" s="1712"/>
      <c r="U23" s="1712"/>
      <c r="V23" s="1712"/>
      <c r="W23" s="1712"/>
      <c r="X23" s="1712"/>
      <c r="Y23" s="1712"/>
      <c r="Z23" s="1712"/>
      <c r="AA23" s="1712"/>
      <c r="AB23" s="1712"/>
      <c r="AC23" s="1712"/>
      <c r="AD23" s="1712"/>
      <c r="AE23" s="1712"/>
      <c r="AF23" s="1712"/>
      <c r="AG23" s="1712"/>
      <c r="AH23" s="1712"/>
      <c r="AI23" s="1712"/>
      <c r="AJ23" s="1712"/>
      <c r="AK23" s="1712"/>
      <c r="AL23" s="1712"/>
      <c r="AM23" s="1712"/>
      <c r="AN23" s="1712"/>
      <c r="AO23" s="1712"/>
      <c r="AP23" s="1712"/>
      <c r="AQ23" s="1712"/>
      <c r="AR23" s="1712"/>
      <c r="AS23" s="1712"/>
      <c r="AT23" s="1712"/>
      <c r="AU23" s="1712"/>
      <c r="AV23" s="1712"/>
      <c r="AW23" s="1712"/>
      <c r="AX23" s="1712"/>
      <c r="AY23" s="1712"/>
      <c r="AZ23" s="1712"/>
      <c r="BA23" s="1712"/>
      <c r="BB23" s="1712"/>
      <c r="BC23" s="1712"/>
      <c r="BD23" s="1712"/>
      <c r="BE23" s="1712"/>
      <c r="BF23" s="1712"/>
      <c r="BG23" s="1712"/>
      <c r="BH23" s="1712"/>
      <c r="BI23" s="1712"/>
      <c r="BJ23" s="1712"/>
      <c r="BK23" s="1712"/>
      <c r="BL23" s="1712"/>
      <c r="BM23" s="1712"/>
      <c r="BN23" s="1713"/>
      <c r="BO23" s="1713"/>
      <c r="BP23" s="1713"/>
      <c r="BQ23" s="1713"/>
      <c r="BR23" s="1713"/>
      <c r="BS23" s="1713"/>
      <c r="BT23" s="1713"/>
      <c r="BU23" s="1713"/>
      <c r="BV23" s="1713"/>
      <c r="BW23" s="1713"/>
      <c r="BX23" s="1713"/>
      <c r="BY23" s="1713"/>
      <c r="BZ23" s="1713"/>
      <c r="CA23" s="1713"/>
      <c r="CB23" s="1713"/>
      <c r="CC23" s="1713"/>
      <c r="CD23" s="1713"/>
      <c r="CE23" s="1713"/>
      <c r="CF23" s="1713"/>
      <c r="CG23" s="1713"/>
      <c r="CH23" s="1713"/>
      <c r="CI23" s="1713"/>
      <c r="CJ23" s="1713"/>
      <c r="CK23" s="1713"/>
      <c r="CL23" s="1713"/>
      <c r="CM23" s="1713"/>
      <c r="CN23" s="1713"/>
      <c r="CO23" s="1713"/>
      <c r="CP23" s="1713"/>
      <c r="CQ23" s="1713"/>
      <c r="CR23" s="1713"/>
      <c r="CS23" s="1713"/>
      <c r="CT23" s="1713"/>
      <c r="CU23" s="1713"/>
      <c r="CV23" s="1713"/>
      <c r="CW23" s="1713"/>
      <c r="CX23" s="1713"/>
      <c r="CY23" s="1713"/>
      <c r="CZ23" s="1713"/>
      <c r="DA23" s="1713"/>
      <c r="DB23" s="1713"/>
      <c r="DC23" s="1713"/>
      <c r="DD23" s="1713"/>
      <c r="DE23" s="1713"/>
      <c r="DF23" s="1713"/>
      <c r="DG23" s="1713"/>
      <c r="DH23" s="1713"/>
      <c r="DI23" s="1713"/>
      <c r="DJ23" s="1713"/>
      <c r="DK23" s="1713"/>
      <c r="DL23" s="1713"/>
      <c r="DM23" s="1713"/>
      <c r="DN23" s="1713"/>
      <c r="DO23" s="1713"/>
      <c r="DP23" s="1713"/>
      <c r="DQ23" s="1713"/>
      <c r="DR23" s="1713"/>
      <c r="DS23" s="1713"/>
      <c r="DT23" s="1713"/>
      <c r="DU23" s="1713"/>
      <c r="DV23" s="1713"/>
    </row>
    <row r="24" spans="1:127" s="1000" customFormat="1" ht="15" customHeight="1" x14ac:dyDescent="0.3">
      <c r="B24" s="334" t="str">
        <f>DASHBOARD!W122</f>
        <v>Phone</v>
      </c>
      <c r="C24" s="1029">
        <f t="shared" si="21"/>
        <v>0</v>
      </c>
      <c r="D24" s="1014">
        <f t="shared" si="22"/>
        <v>0</v>
      </c>
      <c r="E24" s="1012">
        <f t="shared" si="23"/>
        <v>0</v>
      </c>
      <c r="F24" s="309"/>
      <c r="G24" s="1711"/>
      <c r="H24" s="1711"/>
      <c r="I24" s="1711"/>
      <c r="J24" s="1711"/>
      <c r="K24" s="1711"/>
      <c r="L24" s="1711"/>
      <c r="M24" s="1711"/>
      <c r="N24" s="1711"/>
      <c r="O24" s="1711"/>
      <c r="P24" s="1711"/>
      <c r="Q24" s="1711"/>
      <c r="R24" s="1711"/>
      <c r="S24" s="1711"/>
      <c r="T24" s="1711"/>
      <c r="U24" s="1711"/>
      <c r="V24" s="1711"/>
      <c r="W24" s="1711"/>
      <c r="X24" s="1711"/>
      <c r="Y24" s="1711"/>
      <c r="Z24" s="1711"/>
      <c r="AA24" s="1711"/>
      <c r="AB24" s="1711"/>
      <c r="AC24" s="1711"/>
      <c r="AD24" s="1711"/>
      <c r="AE24" s="1711"/>
      <c r="AF24" s="1711"/>
      <c r="AG24" s="1711"/>
      <c r="AH24" s="1711"/>
      <c r="AI24" s="1711"/>
      <c r="AJ24" s="1711"/>
      <c r="AK24" s="1711"/>
      <c r="AL24" s="1711"/>
      <c r="AM24" s="1711"/>
      <c r="AN24" s="1711"/>
      <c r="AO24" s="1711"/>
      <c r="AP24" s="1711"/>
      <c r="AQ24" s="1711"/>
      <c r="AR24" s="1711"/>
      <c r="AS24" s="1711"/>
      <c r="AT24" s="1711"/>
      <c r="AU24" s="1711"/>
      <c r="AV24" s="1711"/>
      <c r="AW24" s="1711"/>
      <c r="AX24" s="1711"/>
      <c r="AY24" s="1711"/>
      <c r="AZ24" s="1711"/>
      <c r="BA24" s="1711"/>
      <c r="BB24" s="1711"/>
      <c r="BC24" s="1711"/>
      <c r="BD24" s="1711"/>
      <c r="BE24" s="1711"/>
      <c r="BF24" s="1711"/>
      <c r="BG24" s="1711"/>
      <c r="BH24" s="1711"/>
      <c r="BI24" s="1711"/>
      <c r="BJ24" s="1711"/>
      <c r="BK24" s="1711"/>
      <c r="BL24" s="1711"/>
      <c r="BM24" s="1711"/>
      <c r="BN24" s="1711"/>
      <c r="BO24" s="1711"/>
      <c r="BP24" s="1711"/>
      <c r="BQ24" s="1711"/>
      <c r="BR24" s="1711"/>
      <c r="BS24" s="1711"/>
      <c r="BT24" s="1711"/>
      <c r="BU24" s="1711"/>
      <c r="BV24" s="1711"/>
      <c r="BW24" s="1711"/>
      <c r="BX24" s="1711"/>
      <c r="BY24" s="1711"/>
      <c r="BZ24" s="1711"/>
      <c r="CA24" s="1711"/>
      <c r="CB24" s="1711"/>
      <c r="CC24" s="1711"/>
      <c r="CD24" s="1711"/>
      <c r="CE24" s="1711"/>
      <c r="CF24" s="1711"/>
      <c r="CG24" s="1711"/>
      <c r="CH24" s="1711"/>
      <c r="CI24" s="1711"/>
      <c r="CJ24" s="1711"/>
      <c r="CK24" s="1711"/>
      <c r="CL24" s="1711"/>
      <c r="CM24" s="1711"/>
      <c r="CN24" s="1711"/>
      <c r="CO24" s="1711"/>
      <c r="CP24" s="1711"/>
      <c r="CQ24" s="1711"/>
      <c r="CR24" s="1711"/>
      <c r="CS24" s="1711"/>
      <c r="CT24" s="1711"/>
      <c r="CU24" s="1711"/>
      <c r="CV24" s="1711"/>
      <c r="CW24" s="1711"/>
      <c r="CX24" s="1711"/>
      <c r="CY24" s="1711"/>
      <c r="CZ24" s="1711"/>
      <c r="DA24" s="1711"/>
      <c r="DB24" s="1711"/>
      <c r="DC24" s="1711"/>
      <c r="DD24" s="1711"/>
      <c r="DE24" s="1711"/>
      <c r="DF24" s="1711"/>
      <c r="DG24" s="1711"/>
      <c r="DH24" s="1711"/>
      <c r="DI24" s="1711"/>
      <c r="DJ24" s="1711"/>
      <c r="DK24" s="1711"/>
      <c r="DL24" s="1711"/>
      <c r="DM24" s="1711"/>
      <c r="DN24" s="1711"/>
      <c r="DO24" s="1711"/>
      <c r="DP24" s="1711"/>
      <c r="DQ24" s="1711"/>
      <c r="DR24" s="1711"/>
      <c r="DS24" s="1711"/>
      <c r="DT24" s="1711"/>
      <c r="DU24" s="1711"/>
      <c r="DV24" s="1711"/>
    </row>
    <row r="25" spans="1:127" s="1000" customFormat="1" ht="15" customHeight="1" x14ac:dyDescent="0.3">
      <c r="B25" s="334" t="str">
        <f>DASHBOARD!W123</f>
        <v>Internet</v>
      </c>
      <c r="C25" s="1029">
        <f t="shared" si="21"/>
        <v>0</v>
      </c>
      <c r="D25" s="1014">
        <f t="shared" si="22"/>
        <v>0</v>
      </c>
      <c r="E25" s="1012">
        <f t="shared" si="23"/>
        <v>0</v>
      </c>
      <c r="F25" s="309"/>
      <c r="G25" s="1711"/>
      <c r="H25" s="1711"/>
      <c r="I25" s="1711"/>
      <c r="J25" s="1711"/>
      <c r="K25" s="1711"/>
      <c r="L25" s="1711"/>
      <c r="M25" s="1711"/>
      <c r="N25" s="1711"/>
      <c r="O25" s="1711"/>
      <c r="P25" s="1711"/>
      <c r="Q25" s="1711"/>
      <c r="R25" s="1711"/>
      <c r="S25" s="1711"/>
      <c r="T25" s="1711"/>
      <c r="U25" s="1711"/>
      <c r="V25" s="1711"/>
      <c r="W25" s="1711"/>
      <c r="X25" s="1711"/>
      <c r="Y25" s="1711"/>
      <c r="Z25" s="1711"/>
      <c r="AA25" s="1711"/>
      <c r="AB25" s="1711"/>
      <c r="AC25" s="1711"/>
      <c r="AD25" s="1711"/>
      <c r="AE25" s="1711"/>
      <c r="AF25" s="1711"/>
      <c r="AG25" s="1711"/>
      <c r="AH25" s="1711"/>
      <c r="AI25" s="1711"/>
      <c r="AJ25" s="1711"/>
      <c r="AK25" s="1711"/>
      <c r="AL25" s="1711"/>
      <c r="AM25" s="1711"/>
      <c r="AN25" s="1711"/>
      <c r="AO25" s="1711"/>
      <c r="AP25" s="1711"/>
      <c r="AQ25" s="1711"/>
      <c r="AR25" s="1711"/>
      <c r="AS25" s="1711"/>
      <c r="AT25" s="1711"/>
      <c r="AU25" s="1711"/>
      <c r="AV25" s="1711"/>
      <c r="AW25" s="1711"/>
      <c r="AX25" s="1711"/>
      <c r="AY25" s="1711"/>
      <c r="AZ25" s="1711"/>
      <c r="BA25" s="1711"/>
      <c r="BB25" s="1711"/>
      <c r="BC25" s="1711"/>
      <c r="BD25" s="1711"/>
      <c r="BE25" s="1711"/>
      <c r="BF25" s="1711"/>
      <c r="BG25" s="1711"/>
      <c r="BH25" s="1711"/>
      <c r="BI25" s="1711"/>
      <c r="BJ25" s="1711"/>
      <c r="BK25" s="1711"/>
      <c r="BL25" s="1711"/>
      <c r="BM25" s="1711"/>
      <c r="BN25" s="1711"/>
      <c r="BO25" s="1711"/>
      <c r="BP25" s="1711"/>
      <c r="BQ25" s="1711"/>
      <c r="BR25" s="1711"/>
      <c r="BS25" s="1711"/>
      <c r="BT25" s="1711"/>
      <c r="BU25" s="1711"/>
      <c r="BV25" s="1711"/>
      <c r="BW25" s="1711"/>
      <c r="BX25" s="1711"/>
      <c r="BY25" s="1711"/>
      <c r="BZ25" s="1711"/>
      <c r="CA25" s="1711"/>
      <c r="CB25" s="1711"/>
      <c r="CC25" s="1711"/>
      <c r="CD25" s="1711"/>
      <c r="CE25" s="1711"/>
      <c r="CF25" s="1711"/>
      <c r="CG25" s="1711"/>
      <c r="CH25" s="1711"/>
      <c r="CI25" s="1711"/>
      <c r="CJ25" s="1711"/>
      <c r="CK25" s="1711"/>
      <c r="CL25" s="1711"/>
      <c r="CM25" s="1711"/>
      <c r="CN25" s="1711"/>
      <c r="CO25" s="1711"/>
      <c r="CP25" s="1711"/>
      <c r="CQ25" s="1711"/>
      <c r="CR25" s="1711"/>
      <c r="CS25" s="1711"/>
      <c r="CT25" s="1711"/>
      <c r="CU25" s="1711"/>
      <c r="CV25" s="1711"/>
      <c r="CW25" s="1711"/>
      <c r="CX25" s="1711"/>
      <c r="CY25" s="1711"/>
      <c r="CZ25" s="1711"/>
      <c r="DA25" s="1711"/>
      <c r="DB25" s="1711"/>
      <c r="DC25" s="1711"/>
      <c r="DD25" s="1711"/>
      <c r="DE25" s="1711"/>
      <c r="DF25" s="1711"/>
      <c r="DG25" s="1711"/>
      <c r="DH25" s="1711"/>
      <c r="DI25" s="1711"/>
      <c r="DJ25" s="1711"/>
      <c r="DK25" s="1711"/>
      <c r="DL25" s="1711"/>
      <c r="DM25" s="1711"/>
      <c r="DN25" s="1711"/>
      <c r="DO25" s="1711"/>
      <c r="DP25" s="1711"/>
      <c r="DQ25" s="1711"/>
      <c r="DR25" s="1711"/>
      <c r="DS25" s="1711"/>
      <c r="DT25" s="1711"/>
      <c r="DU25" s="1711"/>
      <c r="DV25" s="1711"/>
    </row>
    <row r="26" spans="1:127" s="1000" customFormat="1" ht="15" customHeight="1" x14ac:dyDescent="0.3">
      <c r="B26" s="334" t="str">
        <f>DASHBOARD!W124</f>
        <v>Property Insurance + Tax</v>
      </c>
      <c r="C26" s="1029">
        <f t="shared" si="21"/>
        <v>0</v>
      </c>
      <c r="D26" s="1014">
        <f t="shared" si="22"/>
        <v>0</v>
      </c>
      <c r="E26" s="1012">
        <f t="shared" si="23"/>
        <v>0</v>
      </c>
      <c r="F26" s="309"/>
      <c r="G26" s="1712"/>
      <c r="H26" s="1712"/>
      <c r="I26" s="1712"/>
      <c r="J26" s="1712"/>
      <c r="K26" s="1712"/>
      <c r="L26" s="1712"/>
      <c r="M26" s="1712"/>
      <c r="N26" s="1712"/>
      <c r="O26" s="1712"/>
      <c r="P26" s="1712"/>
      <c r="Q26" s="1712"/>
      <c r="R26" s="1712"/>
      <c r="S26" s="1712"/>
      <c r="T26" s="1712"/>
      <c r="U26" s="1712"/>
      <c r="V26" s="1712"/>
      <c r="W26" s="1712"/>
      <c r="X26" s="1712"/>
      <c r="Y26" s="1712"/>
      <c r="Z26" s="1712"/>
      <c r="AA26" s="1712"/>
      <c r="AB26" s="1712"/>
      <c r="AC26" s="1712"/>
      <c r="AD26" s="1712"/>
      <c r="AE26" s="1712"/>
      <c r="AF26" s="1712"/>
      <c r="AG26" s="1712"/>
      <c r="AH26" s="1712"/>
      <c r="AI26" s="1712"/>
      <c r="AJ26" s="1712"/>
      <c r="AK26" s="1712"/>
      <c r="AL26" s="1712"/>
      <c r="AM26" s="1712"/>
      <c r="AN26" s="1712"/>
      <c r="AO26" s="1712"/>
      <c r="AP26" s="1712"/>
      <c r="AQ26" s="1712"/>
      <c r="AR26" s="1712"/>
      <c r="AS26" s="1712"/>
      <c r="AT26" s="1712"/>
      <c r="AU26" s="1712"/>
      <c r="AV26" s="1712"/>
      <c r="AW26" s="1712"/>
      <c r="AX26" s="1712"/>
      <c r="AY26" s="1712"/>
      <c r="AZ26" s="1712"/>
      <c r="BA26" s="1712"/>
      <c r="BB26" s="1712"/>
      <c r="BC26" s="1712"/>
      <c r="BD26" s="1712"/>
      <c r="BE26" s="1712"/>
      <c r="BF26" s="1712"/>
      <c r="BG26" s="1712"/>
      <c r="BH26" s="1712"/>
      <c r="BI26" s="1712"/>
      <c r="BJ26" s="1712"/>
      <c r="BK26" s="1712"/>
      <c r="BL26" s="1712"/>
      <c r="BM26" s="1712"/>
      <c r="BN26" s="1712"/>
      <c r="BO26" s="1712"/>
      <c r="BP26" s="1712"/>
      <c r="BQ26" s="1712"/>
      <c r="BR26" s="1712"/>
      <c r="BS26" s="1712"/>
      <c r="BT26" s="1712"/>
      <c r="BU26" s="1712"/>
      <c r="BV26" s="1712"/>
      <c r="BW26" s="1712"/>
      <c r="BX26" s="1712"/>
      <c r="BY26" s="1712"/>
      <c r="BZ26" s="1712"/>
      <c r="CA26" s="1712"/>
      <c r="CB26" s="1712"/>
      <c r="CC26" s="1712"/>
      <c r="CD26" s="1712"/>
      <c r="CE26" s="1712"/>
      <c r="CF26" s="1712"/>
      <c r="CG26" s="1712"/>
      <c r="CH26" s="1712"/>
      <c r="CI26" s="1712"/>
      <c r="CJ26" s="1712"/>
      <c r="CK26" s="1712"/>
      <c r="CL26" s="1712"/>
      <c r="CM26" s="1712"/>
      <c r="CN26" s="1712"/>
      <c r="CO26" s="1712"/>
      <c r="CP26" s="1712"/>
      <c r="CQ26" s="1712"/>
      <c r="CR26" s="1712"/>
      <c r="CS26" s="1712"/>
      <c r="CT26" s="1712"/>
      <c r="CU26" s="1712"/>
      <c r="CV26" s="1712"/>
      <c r="CW26" s="1712"/>
      <c r="CX26" s="1712"/>
      <c r="CY26" s="1712"/>
      <c r="CZ26" s="1712"/>
      <c r="DA26" s="1712"/>
      <c r="DB26" s="1712"/>
      <c r="DC26" s="1712"/>
      <c r="DD26" s="1712"/>
      <c r="DE26" s="1712"/>
      <c r="DF26" s="1712"/>
      <c r="DG26" s="1712"/>
      <c r="DH26" s="1712"/>
      <c r="DI26" s="1712"/>
      <c r="DJ26" s="1712"/>
      <c r="DK26" s="1712"/>
      <c r="DL26" s="1712"/>
      <c r="DM26" s="1712"/>
      <c r="DN26" s="1712"/>
      <c r="DO26" s="1712"/>
      <c r="DP26" s="1712"/>
      <c r="DQ26" s="1712"/>
      <c r="DR26" s="1712"/>
      <c r="DS26" s="1712"/>
      <c r="DT26" s="1712"/>
      <c r="DU26" s="1712"/>
      <c r="DV26" s="1712"/>
    </row>
    <row r="27" spans="1:127" s="1000" customFormat="1" ht="15" customHeight="1" x14ac:dyDescent="0.3">
      <c r="B27" s="334" t="str">
        <f>DASHBOARD!W125</f>
        <v>Irrigation</v>
      </c>
      <c r="C27" s="1029">
        <f t="shared" si="21"/>
        <v>0</v>
      </c>
      <c r="D27" s="1014">
        <f t="shared" si="22"/>
        <v>0</v>
      </c>
      <c r="E27" s="1012">
        <f t="shared" si="23"/>
        <v>0</v>
      </c>
      <c r="F27" s="309"/>
      <c r="G27" s="1712"/>
      <c r="H27" s="1712"/>
      <c r="I27" s="1712"/>
      <c r="J27" s="1712"/>
      <c r="K27" s="1712"/>
      <c r="L27" s="1712"/>
      <c r="M27" s="1712"/>
      <c r="N27" s="1712"/>
      <c r="O27" s="1712"/>
      <c r="P27" s="1712"/>
      <c r="Q27" s="1712"/>
      <c r="R27" s="1712"/>
      <c r="S27" s="1712"/>
      <c r="T27" s="1712"/>
      <c r="U27" s="1712"/>
      <c r="V27" s="1712"/>
      <c r="W27" s="1712"/>
      <c r="X27" s="1712"/>
      <c r="Y27" s="1712"/>
      <c r="Z27" s="1712"/>
      <c r="AA27" s="1712"/>
      <c r="AB27" s="1712"/>
      <c r="AC27" s="1712"/>
      <c r="AD27" s="1712"/>
      <c r="AE27" s="1712"/>
      <c r="AF27" s="1712"/>
      <c r="AG27" s="1712"/>
      <c r="AH27" s="1712"/>
      <c r="AI27" s="1712"/>
      <c r="AJ27" s="1712"/>
      <c r="AK27" s="1712"/>
      <c r="AL27" s="1712"/>
      <c r="AM27" s="1712"/>
      <c r="AN27" s="1712"/>
      <c r="AO27" s="1712"/>
      <c r="AP27" s="1712"/>
      <c r="AQ27" s="1712"/>
      <c r="AR27" s="1712"/>
      <c r="AS27" s="1712"/>
      <c r="AT27" s="1712"/>
      <c r="AU27" s="1712"/>
      <c r="AV27" s="1712"/>
      <c r="AW27" s="1712"/>
      <c r="AX27" s="1712"/>
      <c r="AY27" s="1712"/>
      <c r="AZ27" s="1712"/>
      <c r="BA27" s="1712"/>
      <c r="BB27" s="1712"/>
      <c r="BC27" s="1712"/>
      <c r="BD27" s="1712"/>
      <c r="BE27" s="1712"/>
      <c r="BF27" s="1712"/>
      <c r="BG27" s="1712"/>
      <c r="BH27" s="1712"/>
      <c r="BI27" s="1712"/>
      <c r="BJ27" s="1712"/>
      <c r="BK27" s="1712"/>
      <c r="BL27" s="1712"/>
      <c r="BM27" s="1712"/>
      <c r="BN27" s="1712"/>
      <c r="BO27" s="1712"/>
      <c r="BP27" s="1712"/>
      <c r="BQ27" s="1712"/>
      <c r="BR27" s="1712"/>
      <c r="BS27" s="1712"/>
      <c r="BT27" s="1712"/>
      <c r="BU27" s="1712"/>
      <c r="BV27" s="1712"/>
      <c r="BW27" s="1712"/>
      <c r="BX27" s="1712"/>
      <c r="BY27" s="1712"/>
      <c r="BZ27" s="1712"/>
      <c r="CA27" s="1712"/>
      <c r="CB27" s="1712"/>
      <c r="CC27" s="1712"/>
      <c r="CD27" s="1712"/>
      <c r="CE27" s="1712"/>
      <c r="CF27" s="1712"/>
      <c r="CG27" s="1712"/>
      <c r="CH27" s="1712"/>
      <c r="CI27" s="1712"/>
      <c r="CJ27" s="1712"/>
      <c r="CK27" s="1712"/>
      <c r="CL27" s="1712"/>
      <c r="CM27" s="1712"/>
      <c r="CN27" s="1712"/>
      <c r="CO27" s="1712"/>
      <c r="CP27" s="1712"/>
      <c r="CQ27" s="1712"/>
      <c r="CR27" s="1712"/>
      <c r="CS27" s="1712"/>
      <c r="CT27" s="1712"/>
      <c r="CU27" s="1712"/>
      <c r="CV27" s="1712"/>
      <c r="CW27" s="1712"/>
      <c r="CX27" s="1712"/>
      <c r="CY27" s="1712"/>
      <c r="CZ27" s="1712"/>
      <c r="DA27" s="1712"/>
      <c r="DB27" s="1712"/>
      <c r="DC27" s="1712"/>
      <c r="DD27" s="1712"/>
      <c r="DE27" s="1712"/>
      <c r="DF27" s="1712"/>
      <c r="DG27" s="1712"/>
      <c r="DH27" s="1712"/>
      <c r="DI27" s="1712"/>
      <c r="DJ27" s="1712"/>
      <c r="DK27" s="1712"/>
      <c r="DL27" s="1712"/>
      <c r="DM27" s="1712"/>
      <c r="DN27" s="1712"/>
      <c r="DO27" s="1712"/>
      <c r="DP27" s="1712"/>
      <c r="DQ27" s="1712"/>
      <c r="DR27" s="1712"/>
      <c r="DS27" s="1712"/>
      <c r="DT27" s="1712"/>
      <c r="DU27" s="1712"/>
      <c r="DV27" s="1712"/>
    </row>
    <row r="28" spans="1:127" s="1000" customFormat="1" ht="15" customHeight="1" x14ac:dyDescent="0.3">
      <c r="B28" s="334" t="str">
        <f>DASHBOARD!W126</f>
        <v>Security</v>
      </c>
      <c r="C28" s="1029">
        <f t="shared" si="21"/>
        <v>0</v>
      </c>
      <c r="D28" s="1014">
        <f t="shared" si="22"/>
        <v>0</v>
      </c>
      <c r="E28" s="1012">
        <f t="shared" si="23"/>
        <v>0</v>
      </c>
      <c r="F28" s="309"/>
      <c r="G28" s="1712"/>
      <c r="H28" s="1712"/>
      <c r="I28" s="1712"/>
      <c r="J28" s="1712"/>
      <c r="K28" s="1712"/>
      <c r="L28" s="1712"/>
      <c r="M28" s="1712"/>
      <c r="N28" s="1712"/>
      <c r="O28" s="1712"/>
      <c r="P28" s="1712"/>
      <c r="Q28" s="1712"/>
      <c r="R28" s="1712"/>
      <c r="S28" s="1712"/>
      <c r="T28" s="1712"/>
      <c r="U28" s="1712"/>
      <c r="V28" s="1712"/>
      <c r="W28" s="1712"/>
      <c r="X28" s="1712"/>
      <c r="Y28" s="1712"/>
      <c r="Z28" s="1712"/>
      <c r="AA28" s="1712"/>
      <c r="AB28" s="1712"/>
      <c r="AC28" s="1712"/>
      <c r="AD28" s="1712"/>
      <c r="AE28" s="1712"/>
      <c r="AF28" s="1712"/>
      <c r="AG28" s="1712"/>
      <c r="AH28" s="1712"/>
      <c r="AI28" s="1712"/>
      <c r="AJ28" s="1712"/>
      <c r="AK28" s="1712"/>
      <c r="AL28" s="1712"/>
      <c r="AM28" s="1712"/>
      <c r="AN28" s="1712"/>
      <c r="AO28" s="1712"/>
      <c r="AP28" s="1712"/>
      <c r="AQ28" s="1712"/>
      <c r="AR28" s="1712"/>
      <c r="AS28" s="1712"/>
      <c r="AT28" s="1712"/>
      <c r="AU28" s="1712"/>
      <c r="AV28" s="1712"/>
      <c r="AW28" s="1712"/>
      <c r="AX28" s="1712"/>
      <c r="AY28" s="1712"/>
      <c r="AZ28" s="1712"/>
      <c r="BA28" s="1712"/>
      <c r="BB28" s="1712"/>
      <c r="BC28" s="1712"/>
      <c r="BD28" s="1712"/>
      <c r="BE28" s="1712"/>
      <c r="BF28" s="1712"/>
      <c r="BG28" s="1712"/>
      <c r="BH28" s="1712"/>
      <c r="BI28" s="1712"/>
      <c r="BJ28" s="1712"/>
      <c r="BK28" s="1712"/>
      <c r="BL28" s="1712"/>
      <c r="BM28" s="1712"/>
      <c r="BN28" s="1712"/>
      <c r="BO28" s="1712"/>
      <c r="BP28" s="1712"/>
      <c r="BQ28" s="1712"/>
      <c r="BR28" s="1712"/>
      <c r="BS28" s="1712"/>
      <c r="BT28" s="1712"/>
      <c r="BU28" s="1712"/>
      <c r="BV28" s="1712"/>
      <c r="BW28" s="1712"/>
      <c r="BX28" s="1712"/>
      <c r="BY28" s="1712"/>
      <c r="BZ28" s="1712"/>
      <c r="CA28" s="1712"/>
      <c r="CB28" s="1712"/>
      <c r="CC28" s="1712"/>
      <c r="CD28" s="1712"/>
      <c r="CE28" s="1712"/>
      <c r="CF28" s="1712"/>
      <c r="CG28" s="1712"/>
      <c r="CH28" s="1712"/>
      <c r="CI28" s="1712"/>
      <c r="CJ28" s="1712"/>
      <c r="CK28" s="1712"/>
      <c r="CL28" s="1712"/>
      <c r="CM28" s="1712"/>
      <c r="CN28" s="1712"/>
      <c r="CO28" s="1712"/>
      <c r="CP28" s="1712"/>
      <c r="CQ28" s="1712"/>
      <c r="CR28" s="1712"/>
      <c r="CS28" s="1712"/>
      <c r="CT28" s="1712"/>
      <c r="CU28" s="1712"/>
      <c r="CV28" s="1712"/>
      <c r="CW28" s="1712"/>
      <c r="CX28" s="1712"/>
      <c r="CY28" s="1712"/>
      <c r="CZ28" s="1712"/>
      <c r="DA28" s="1712"/>
      <c r="DB28" s="1712"/>
      <c r="DC28" s="1712"/>
      <c r="DD28" s="1712"/>
      <c r="DE28" s="1712"/>
      <c r="DF28" s="1712"/>
      <c r="DG28" s="1712"/>
      <c r="DH28" s="1712"/>
      <c r="DI28" s="1712"/>
      <c r="DJ28" s="1712"/>
      <c r="DK28" s="1712"/>
      <c r="DL28" s="1712"/>
      <c r="DM28" s="1712"/>
      <c r="DN28" s="1712"/>
      <c r="DO28" s="1712"/>
      <c r="DP28" s="1712"/>
      <c r="DQ28" s="1712"/>
      <c r="DR28" s="1712"/>
      <c r="DS28" s="1712"/>
      <c r="DT28" s="1712"/>
      <c r="DU28" s="1712"/>
      <c r="DV28" s="1712"/>
    </row>
    <row r="29" spans="1:127" s="1000" customFormat="1" ht="15" customHeight="1" x14ac:dyDescent="0.3">
      <c r="B29" s="334" t="str">
        <f>DASHBOARD!W127</f>
        <v>Accounting</v>
      </c>
      <c r="C29" s="1029">
        <f t="shared" si="21"/>
        <v>0</v>
      </c>
      <c r="D29" s="1014">
        <f t="shared" si="22"/>
        <v>0</v>
      </c>
      <c r="E29" s="1012">
        <f t="shared" si="23"/>
        <v>0</v>
      </c>
      <c r="F29" s="309"/>
      <c r="G29" s="1712"/>
      <c r="H29" s="1712"/>
      <c r="I29" s="1712"/>
      <c r="J29" s="1712"/>
      <c r="K29" s="1712"/>
      <c r="L29" s="1712"/>
      <c r="M29" s="1712"/>
      <c r="N29" s="1712"/>
      <c r="O29" s="1712"/>
      <c r="P29" s="1712"/>
      <c r="Q29" s="1712"/>
      <c r="R29" s="1712"/>
      <c r="S29" s="1712"/>
      <c r="T29" s="1712"/>
      <c r="U29" s="1712"/>
      <c r="V29" s="1712"/>
      <c r="W29" s="1712"/>
      <c r="X29" s="1712"/>
      <c r="Y29" s="1712"/>
      <c r="Z29" s="1712"/>
      <c r="AA29" s="1712"/>
      <c r="AB29" s="1712"/>
      <c r="AC29" s="1712"/>
      <c r="AD29" s="1712"/>
      <c r="AE29" s="1712"/>
      <c r="AF29" s="1712"/>
      <c r="AG29" s="1712"/>
      <c r="AH29" s="1712"/>
      <c r="AI29" s="1712"/>
      <c r="AJ29" s="1712"/>
      <c r="AK29" s="1712"/>
      <c r="AL29" s="1712"/>
      <c r="AM29" s="1712"/>
      <c r="AN29" s="1712"/>
      <c r="AO29" s="1712"/>
      <c r="AP29" s="1712"/>
      <c r="AQ29" s="1712"/>
      <c r="AR29" s="1712"/>
      <c r="AS29" s="1712"/>
      <c r="AT29" s="1712"/>
      <c r="AU29" s="1712"/>
      <c r="AV29" s="1712"/>
      <c r="AW29" s="1712"/>
      <c r="AX29" s="1712"/>
      <c r="AY29" s="1712"/>
      <c r="AZ29" s="1712"/>
      <c r="BA29" s="1712"/>
      <c r="BB29" s="1712"/>
      <c r="BC29" s="1712"/>
      <c r="BD29" s="1712"/>
      <c r="BE29" s="1712"/>
      <c r="BF29" s="1712"/>
      <c r="BG29" s="1712"/>
      <c r="BH29" s="1712"/>
      <c r="BI29" s="1712"/>
      <c r="BJ29" s="1712"/>
      <c r="BK29" s="1712"/>
      <c r="BL29" s="1712"/>
      <c r="BM29" s="1712"/>
      <c r="BN29" s="1712"/>
      <c r="BO29" s="1712"/>
      <c r="BP29" s="1712"/>
      <c r="BQ29" s="1712"/>
      <c r="BR29" s="1712"/>
      <c r="BS29" s="1712"/>
      <c r="BT29" s="1712"/>
      <c r="BU29" s="1712"/>
      <c r="BV29" s="1712"/>
      <c r="BW29" s="1712"/>
      <c r="BX29" s="1712"/>
      <c r="BY29" s="1712"/>
      <c r="BZ29" s="1712"/>
      <c r="CA29" s="1712"/>
      <c r="CB29" s="1712"/>
      <c r="CC29" s="1712"/>
      <c r="CD29" s="1712"/>
      <c r="CE29" s="1712"/>
      <c r="CF29" s="1712"/>
      <c r="CG29" s="1712"/>
      <c r="CH29" s="1712"/>
      <c r="CI29" s="1712"/>
      <c r="CJ29" s="1712"/>
      <c r="CK29" s="1712"/>
      <c r="CL29" s="1712"/>
      <c r="CM29" s="1712"/>
      <c r="CN29" s="1712"/>
      <c r="CO29" s="1712"/>
      <c r="CP29" s="1712"/>
      <c r="CQ29" s="1712"/>
      <c r="CR29" s="1712"/>
      <c r="CS29" s="1712"/>
      <c r="CT29" s="1712"/>
      <c r="CU29" s="1712"/>
      <c r="CV29" s="1712"/>
      <c r="CW29" s="1712"/>
      <c r="CX29" s="1712"/>
      <c r="CY29" s="1712"/>
      <c r="CZ29" s="1712"/>
      <c r="DA29" s="1712"/>
      <c r="DB29" s="1712"/>
      <c r="DC29" s="1712"/>
      <c r="DD29" s="1712"/>
      <c r="DE29" s="1712"/>
      <c r="DF29" s="1712"/>
      <c r="DG29" s="1712"/>
      <c r="DH29" s="1712"/>
      <c r="DI29" s="1712"/>
      <c r="DJ29" s="1712"/>
      <c r="DK29" s="1712"/>
      <c r="DL29" s="1712"/>
      <c r="DM29" s="1712"/>
      <c r="DN29" s="1712"/>
      <c r="DO29" s="1712"/>
      <c r="DP29" s="1712"/>
      <c r="DQ29" s="1712"/>
      <c r="DR29" s="1712"/>
      <c r="DS29" s="1712"/>
      <c r="DT29" s="1712"/>
      <c r="DU29" s="1712"/>
      <c r="DV29" s="1712"/>
    </row>
    <row r="30" spans="1:127" s="1000" customFormat="1" ht="15" customHeight="1" x14ac:dyDescent="0.3">
      <c r="B30" s="334" t="str">
        <f>DASHBOARD!AQ119</f>
        <v>Repairs &amp; Maintenance</v>
      </c>
      <c r="C30" s="1029">
        <f t="shared" si="21"/>
        <v>0</v>
      </c>
      <c r="D30" s="1014">
        <f t="shared" si="22"/>
        <v>0</v>
      </c>
      <c r="E30" s="1012">
        <f t="shared" si="23"/>
        <v>0</v>
      </c>
      <c r="F30" s="309"/>
      <c r="G30" s="1712"/>
      <c r="H30" s="1712"/>
      <c r="I30" s="1712"/>
      <c r="J30" s="1712"/>
      <c r="K30" s="1712"/>
      <c r="L30" s="1712"/>
      <c r="M30" s="1712"/>
      <c r="N30" s="1712"/>
      <c r="O30" s="1712"/>
      <c r="P30" s="1712"/>
      <c r="Q30" s="1712"/>
      <c r="R30" s="1712"/>
      <c r="S30" s="1712"/>
      <c r="T30" s="1712"/>
      <c r="U30" s="1712"/>
      <c r="V30" s="1712"/>
      <c r="W30" s="1712"/>
      <c r="X30" s="1712"/>
      <c r="Y30" s="1712"/>
      <c r="Z30" s="1712"/>
      <c r="AA30" s="1712"/>
      <c r="AB30" s="1712"/>
      <c r="AC30" s="1712"/>
      <c r="AD30" s="1712"/>
      <c r="AE30" s="1712"/>
      <c r="AF30" s="1712"/>
      <c r="AG30" s="1712"/>
      <c r="AH30" s="1712"/>
      <c r="AI30" s="1712"/>
      <c r="AJ30" s="1712"/>
      <c r="AK30" s="1712"/>
      <c r="AL30" s="1712"/>
      <c r="AM30" s="1712"/>
      <c r="AN30" s="1712"/>
      <c r="AO30" s="1712"/>
      <c r="AP30" s="1712"/>
      <c r="AQ30" s="1712"/>
      <c r="AR30" s="1712"/>
      <c r="AS30" s="1712"/>
      <c r="AT30" s="1712"/>
      <c r="AU30" s="1712"/>
      <c r="AV30" s="1712"/>
      <c r="AW30" s="1712"/>
      <c r="AX30" s="1712"/>
      <c r="AY30" s="1712"/>
      <c r="AZ30" s="1712"/>
      <c r="BA30" s="1712"/>
      <c r="BB30" s="1712"/>
      <c r="BC30" s="1712"/>
      <c r="BD30" s="1712"/>
      <c r="BE30" s="1712"/>
      <c r="BF30" s="1712"/>
      <c r="BG30" s="1712"/>
      <c r="BH30" s="1712"/>
      <c r="BI30" s="1712"/>
      <c r="BJ30" s="1712"/>
      <c r="BK30" s="1712"/>
      <c r="BL30" s="1712"/>
      <c r="BM30" s="1712"/>
      <c r="BN30" s="1712"/>
      <c r="BO30" s="1712"/>
      <c r="BP30" s="1712"/>
      <c r="BQ30" s="1712"/>
      <c r="BR30" s="1712"/>
      <c r="BS30" s="1712"/>
      <c r="BT30" s="1712"/>
      <c r="BU30" s="1712"/>
      <c r="BV30" s="1712"/>
      <c r="BW30" s="1712"/>
      <c r="BX30" s="1712"/>
      <c r="BY30" s="1712"/>
      <c r="BZ30" s="1712"/>
      <c r="CA30" s="1712"/>
      <c r="CB30" s="1712"/>
      <c r="CC30" s="1712"/>
      <c r="CD30" s="1712"/>
      <c r="CE30" s="1712"/>
      <c r="CF30" s="1712"/>
      <c r="CG30" s="1712"/>
      <c r="CH30" s="1712"/>
      <c r="CI30" s="1712"/>
      <c r="CJ30" s="1712"/>
      <c r="CK30" s="1712"/>
      <c r="CL30" s="1712"/>
      <c r="CM30" s="1712"/>
      <c r="CN30" s="1712"/>
      <c r="CO30" s="1712"/>
      <c r="CP30" s="1712"/>
      <c r="CQ30" s="1712"/>
      <c r="CR30" s="1712"/>
      <c r="CS30" s="1712"/>
      <c r="CT30" s="1712"/>
      <c r="CU30" s="1712"/>
      <c r="CV30" s="1712"/>
      <c r="CW30" s="1712"/>
      <c r="CX30" s="1712"/>
      <c r="CY30" s="1712"/>
      <c r="CZ30" s="1712"/>
      <c r="DA30" s="1712"/>
      <c r="DB30" s="1712"/>
      <c r="DC30" s="1712"/>
      <c r="DD30" s="1712"/>
      <c r="DE30" s="1712"/>
      <c r="DF30" s="1712"/>
      <c r="DG30" s="1712"/>
      <c r="DH30" s="1712"/>
      <c r="DI30" s="1712"/>
      <c r="DJ30" s="1712"/>
      <c r="DK30" s="1712"/>
      <c r="DL30" s="1712"/>
      <c r="DM30" s="1712"/>
      <c r="DN30" s="1712"/>
      <c r="DO30" s="1712"/>
      <c r="DP30" s="1712"/>
      <c r="DQ30" s="1712"/>
      <c r="DR30" s="1712"/>
      <c r="DS30" s="1712"/>
      <c r="DT30" s="1712"/>
      <c r="DU30" s="1712"/>
      <c r="DV30" s="1712"/>
    </row>
    <row r="31" spans="1:127" s="1000" customFormat="1" ht="15" customHeight="1" x14ac:dyDescent="0.3">
      <c r="B31" s="334" t="str">
        <f>DASHBOARD!AQ120</f>
        <v xml:space="preserve">Property Management </v>
      </c>
      <c r="C31" s="1029">
        <f t="shared" si="21"/>
        <v>0</v>
      </c>
      <c r="D31" s="1014">
        <f t="shared" si="22"/>
        <v>0</v>
      </c>
      <c r="E31" s="1012">
        <f t="shared" si="23"/>
        <v>0</v>
      </c>
      <c r="F31" s="309"/>
      <c r="G31" s="1712"/>
      <c r="H31" s="1712"/>
      <c r="I31" s="1712"/>
      <c r="J31" s="1712"/>
      <c r="K31" s="1712"/>
      <c r="L31" s="1712"/>
      <c r="M31" s="1712"/>
      <c r="N31" s="1712"/>
      <c r="O31" s="1712"/>
      <c r="P31" s="1712"/>
      <c r="Q31" s="1712"/>
      <c r="R31" s="1712"/>
      <c r="S31" s="1712"/>
      <c r="T31" s="1712"/>
      <c r="U31" s="1712"/>
      <c r="V31" s="1712"/>
      <c r="W31" s="1712"/>
      <c r="X31" s="1712"/>
      <c r="Y31" s="1712"/>
      <c r="Z31" s="1712"/>
      <c r="AA31" s="1712"/>
      <c r="AB31" s="1712"/>
      <c r="AC31" s="1712"/>
      <c r="AD31" s="1712"/>
      <c r="AE31" s="1712"/>
      <c r="AF31" s="1712"/>
      <c r="AG31" s="1712"/>
      <c r="AH31" s="1712"/>
      <c r="AI31" s="1712"/>
      <c r="AJ31" s="1712"/>
      <c r="AK31" s="1712"/>
      <c r="AL31" s="1712"/>
      <c r="AM31" s="1712"/>
      <c r="AN31" s="1712"/>
      <c r="AO31" s="1712"/>
      <c r="AP31" s="1712"/>
      <c r="AQ31" s="1712"/>
      <c r="AR31" s="1712"/>
      <c r="AS31" s="1712"/>
      <c r="AT31" s="1712"/>
      <c r="AU31" s="1712"/>
      <c r="AV31" s="1712"/>
      <c r="AW31" s="1712"/>
      <c r="AX31" s="1712"/>
      <c r="AY31" s="1712"/>
      <c r="AZ31" s="1712"/>
      <c r="BA31" s="1712"/>
      <c r="BB31" s="1712"/>
      <c r="BC31" s="1712"/>
      <c r="BD31" s="1712"/>
      <c r="BE31" s="1712"/>
      <c r="BF31" s="1712"/>
      <c r="BG31" s="1712"/>
      <c r="BH31" s="1712"/>
      <c r="BI31" s="1712"/>
      <c r="BJ31" s="1712"/>
      <c r="BK31" s="1712"/>
      <c r="BL31" s="1712"/>
      <c r="BM31" s="1712"/>
      <c r="BN31" s="1712"/>
      <c r="BO31" s="1712"/>
      <c r="BP31" s="1712"/>
      <c r="BQ31" s="1712"/>
      <c r="BR31" s="1712"/>
      <c r="BS31" s="1712"/>
      <c r="BT31" s="1712"/>
      <c r="BU31" s="1712"/>
      <c r="BV31" s="1712"/>
      <c r="BW31" s="1712"/>
      <c r="BX31" s="1712"/>
      <c r="BY31" s="1712"/>
      <c r="BZ31" s="1712"/>
      <c r="CA31" s="1712"/>
      <c r="CB31" s="1712"/>
      <c r="CC31" s="1712"/>
      <c r="CD31" s="1712"/>
      <c r="CE31" s="1712"/>
      <c r="CF31" s="1712"/>
      <c r="CG31" s="1712"/>
      <c r="CH31" s="1712"/>
      <c r="CI31" s="1712"/>
      <c r="CJ31" s="1712"/>
      <c r="CK31" s="1712"/>
      <c r="CL31" s="1712"/>
      <c r="CM31" s="1712"/>
      <c r="CN31" s="1712"/>
      <c r="CO31" s="1712"/>
      <c r="CP31" s="1712"/>
      <c r="CQ31" s="1712"/>
      <c r="CR31" s="1712"/>
      <c r="CS31" s="1712"/>
      <c r="CT31" s="1712"/>
      <c r="CU31" s="1712"/>
      <c r="CV31" s="1712"/>
      <c r="CW31" s="1712"/>
      <c r="CX31" s="1712"/>
      <c r="CY31" s="1712"/>
      <c r="CZ31" s="1712"/>
      <c r="DA31" s="1712"/>
      <c r="DB31" s="1712"/>
      <c r="DC31" s="1712"/>
      <c r="DD31" s="1712"/>
      <c r="DE31" s="1712"/>
      <c r="DF31" s="1712"/>
      <c r="DG31" s="1712"/>
      <c r="DH31" s="1712"/>
      <c r="DI31" s="1712"/>
      <c r="DJ31" s="1712"/>
      <c r="DK31" s="1712"/>
      <c r="DL31" s="1712"/>
      <c r="DM31" s="1712"/>
      <c r="DN31" s="1712"/>
      <c r="DO31" s="1712"/>
      <c r="DP31" s="1712"/>
      <c r="DQ31" s="1712"/>
      <c r="DR31" s="1712"/>
      <c r="DS31" s="1712"/>
      <c r="DT31" s="1712"/>
      <c r="DU31" s="1712"/>
      <c r="DV31" s="1712"/>
    </row>
    <row r="32" spans="1:127" s="1000" customFormat="1" ht="15" customHeight="1" x14ac:dyDescent="0.3">
      <c r="B32" s="334" t="str">
        <f>DASHBOARD!AQ121</f>
        <v>Vacancy Insurance</v>
      </c>
      <c r="C32" s="1029">
        <f t="shared" si="21"/>
        <v>0</v>
      </c>
      <c r="D32" s="1014">
        <f t="shared" si="22"/>
        <v>0</v>
      </c>
      <c r="E32" s="1012">
        <f t="shared" si="23"/>
        <v>0</v>
      </c>
      <c r="F32" s="309"/>
      <c r="G32" s="1712"/>
      <c r="H32" s="1712"/>
      <c r="I32" s="1712"/>
      <c r="J32" s="1712"/>
      <c r="K32" s="1712"/>
      <c r="L32" s="1712"/>
      <c r="M32" s="1712"/>
      <c r="N32" s="1712"/>
      <c r="O32" s="1712"/>
      <c r="P32" s="1712"/>
      <c r="Q32" s="1712"/>
      <c r="R32" s="1712"/>
      <c r="S32" s="1712"/>
      <c r="T32" s="1712"/>
      <c r="U32" s="1712"/>
      <c r="V32" s="1712"/>
      <c r="W32" s="1712"/>
      <c r="X32" s="1712"/>
      <c r="Y32" s="1712"/>
      <c r="Z32" s="1712"/>
      <c r="AA32" s="1712"/>
      <c r="AB32" s="1712"/>
      <c r="AC32" s="1712"/>
      <c r="AD32" s="1712"/>
      <c r="AE32" s="1712"/>
      <c r="AF32" s="1712"/>
      <c r="AG32" s="1712"/>
      <c r="AH32" s="1712"/>
      <c r="AI32" s="1712"/>
      <c r="AJ32" s="1712"/>
      <c r="AK32" s="1712"/>
      <c r="AL32" s="1712"/>
      <c r="AM32" s="1712"/>
      <c r="AN32" s="1712"/>
      <c r="AO32" s="1712"/>
      <c r="AP32" s="1712"/>
      <c r="AQ32" s="1712"/>
      <c r="AR32" s="1712"/>
      <c r="AS32" s="1712"/>
      <c r="AT32" s="1712"/>
      <c r="AU32" s="1712"/>
      <c r="AV32" s="1712"/>
      <c r="AW32" s="1712"/>
      <c r="AX32" s="1712"/>
      <c r="AY32" s="1712"/>
      <c r="AZ32" s="1712"/>
      <c r="BA32" s="1712"/>
      <c r="BB32" s="1712"/>
      <c r="BC32" s="1712"/>
      <c r="BD32" s="1712"/>
      <c r="BE32" s="1712"/>
      <c r="BF32" s="1712"/>
      <c r="BG32" s="1712"/>
      <c r="BH32" s="1712"/>
      <c r="BI32" s="1712"/>
      <c r="BJ32" s="1712"/>
      <c r="BK32" s="1712"/>
      <c r="BL32" s="1712"/>
      <c r="BM32" s="1712"/>
      <c r="BN32" s="1712"/>
      <c r="BO32" s="1712"/>
      <c r="BP32" s="1712"/>
      <c r="BQ32" s="1712"/>
      <c r="BR32" s="1712"/>
      <c r="BS32" s="1712"/>
      <c r="BT32" s="1712"/>
      <c r="BU32" s="1712"/>
      <c r="BV32" s="1712"/>
      <c r="BW32" s="1712"/>
      <c r="BX32" s="1712"/>
      <c r="BY32" s="1712"/>
      <c r="BZ32" s="1712"/>
      <c r="CA32" s="1712"/>
      <c r="CB32" s="1712"/>
      <c r="CC32" s="1712"/>
      <c r="CD32" s="1712"/>
      <c r="CE32" s="1712"/>
      <c r="CF32" s="1712"/>
      <c r="CG32" s="1712"/>
      <c r="CH32" s="1712"/>
      <c r="CI32" s="1712"/>
      <c r="CJ32" s="1712"/>
      <c r="CK32" s="1712"/>
      <c r="CL32" s="1712"/>
      <c r="CM32" s="1712"/>
      <c r="CN32" s="1712"/>
      <c r="CO32" s="1712"/>
      <c r="CP32" s="1712"/>
      <c r="CQ32" s="1712"/>
      <c r="CR32" s="1712"/>
      <c r="CS32" s="1712"/>
      <c r="CT32" s="1712"/>
      <c r="CU32" s="1712"/>
      <c r="CV32" s="1712"/>
      <c r="CW32" s="1712"/>
      <c r="CX32" s="1712"/>
      <c r="CY32" s="1712"/>
      <c r="CZ32" s="1712"/>
      <c r="DA32" s="1712"/>
      <c r="DB32" s="1712"/>
      <c r="DC32" s="1712"/>
      <c r="DD32" s="1712"/>
      <c r="DE32" s="1712"/>
      <c r="DF32" s="1712"/>
      <c r="DG32" s="1712"/>
      <c r="DH32" s="1712"/>
      <c r="DI32" s="1712"/>
      <c r="DJ32" s="1712"/>
      <c r="DK32" s="1712"/>
      <c r="DL32" s="1712"/>
      <c r="DM32" s="1712"/>
      <c r="DN32" s="1712"/>
      <c r="DO32" s="1712"/>
      <c r="DP32" s="1712"/>
      <c r="DQ32" s="1712"/>
      <c r="DR32" s="1712"/>
      <c r="DS32" s="1712"/>
      <c r="DT32" s="1712"/>
      <c r="DU32" s="1712"/>
      <c r="DV32" s="1712"/>
    </row>
    <row r="33" spans="1:127" s="1000" customFormat="1" ht="15" customHeight="1" x14ac:dyDescent="0.3">
      <c r="B33" s="334" t="str">
        <f>DASHBOARD!AQ122</f>
        <v>Rent Insurance</v>
      </c>
      <c r="C33" s="1029">
        <f t="shared" si="21"/>
        <v>0</v>
      </c>
      <c r="D33" s="1014">
        <f t="shared" si="22"/>
        <v>0</v>
      </c>
      <c r="E33" s="1012">
        <f t="shared" si="23"/>
        <v>0</v>
      </c>
      <c r="F33" s="309"/>
      <c r="G33" s="1712"/>
      <c r="H33" s="1712"/>
      <c r="I33" s="1712"/>
      <c r="J33" s="1712"/>
      <c r="K33" s="1712"/>
      <c r="L33" s="1712"/>
      <c r="M33" s="1712"/>
      <c r="N33" s="1712"/>
      <c r="O33" s="1712"/>
      <c r="P33" s="1712"/>
      <c r="Q33" s="1712"/>
      <c r="R33" s="1712"/>
      <c r="S33" s="1712"/>
      <c r="T33" s="1712"/>
      <c r="U33" s="1712"/>
      <c r="V33" s="1712"/>
      <c r="W33" s="1712"/>
      <c r="X33" s="1712"/>
      <c r="Y33" s="1712"/>
      <c r="Z33" s="1712"/>
      <c r="AA33" s="1712"/>
      <c r="AB33" s="1712"/>
      <c r="AC33" s="1712"/>
      <c r="AD33" s="1712"/>
      <c r="AE33" s="1712"/>
      <c r="AF33" s="1712"/>
      <c r="AG33" s="1712"/>
      <c r="AH33" s="1712"/>
      <c r="AI33" s="1712"/>
      <c r="AJ33" s="1712"/>
      <c r="AK33" s="1712"/>
      <c r="AL33" s="1712"/>
      <c r="AM33" s="1712"/>
      <c r="AN33" s="1712"/>
      <c r="AO33" s="1712"/>
      <c r="AP33" s="1712"/>
      <c r="AQ33" s="1712"/>
      <c r="AR33" s="1712"/>
      <c r="AS33" s="1712"/>
      <c r="AT33" s="1712"/>
      <c r="AU33" s="1712"/>
      <c r="AV33" s="1712"/>
      <c r="AW33" s="1712"/>
      <c r="AX33" s="1712"/>
      <c r="AY33" s="1712"/>
      <c r="AZ33" s="1712"/>
      <c r="BA33" s="1712"/>
      <c r="BB33" s="1712"/>
      <c r="BC33" s="1712"/>
      <c r="BD33" s="1712"/>
      <c r="BE33" s="1712"/>
      <c r="BF33" s="1712"/>
      <c r="BG33" s="1712"/>
      <c r="BH33" s="1712"/>
      <c r="BI33" s="1712"/>
      <c r="BJ33" s="1712"/>
      <c r="BK33" s="1712"/>
      <c r="BL33" s="1712"/>
      <c r="BM33" s="1712"/>
      <c r="BN33" s="1712"/>
      <c r="BO33" s="1712"/>
      <c r="BP33" s="1712"/>
      <c r="BQ33" s="1712"/>
      <c r="BR33" s="1712"/>
      <c r="BS33" s="1712"/>
      <c r="BT33" s="1712"/>
      <c r="BU33" s="1712"/>
      <c r="BV33" s="1712"/>
      <c r="BW33" s="1712"/>
      <c r="BX33" s="1712"/>
      <c r="BY33" s="1712"/>
      <c r="BZ33" s="1712"/>
      <c r="CA33" s="1712"/>
      <c r="CB33" s="1712"/>
      <c r="CC33" s="1712"/>
      <c r="CD33" s="1712"/>
      <c r="CE33" s="1712"/>
      <c r="CF33" s="1712"/>
      <c r="CG33" s="1712"/>
      <c r="CH33" s="1712"/>
      <c r="CI33" s="1712"/>
      <c r="CJ33" s="1712"/>
      <c r="CK33" s="1712"/>
      <c r="CL33" s="1712"/>
      <c r="CM33" s="1712"/>
      <c r="CN33" s="1712"/>
      <c r="CO33" s="1712"/>
      <c r="CP33" s="1712"/>
      <c r="CQ33" s="1712"/>
      <c r="CR33" s="1712"/>
      <c r="CS33" s="1712"/>
      <c r="CT33" s="1712"/>
      <c r="CU33" s="1712"/>
      <c r="CV33" s="1712"/>
      <c r="CW33" s="1712"/>
      <c r="CX33" s="1712"/>
      <c r="CY33" s="1712"/>
      <c r="CZ33" s="1712"/>
      <c r="DA33" s="1712"/>
      <c r="DB33" s="1712"/>
      <c r="DC33" s="1712"/>
      <c r="DD33" s="1712"/>
      <c r="DE33" s="1712"/>
      <c r="DF33" s="1712"/>
      <c r="DG33" s="1712"/>
      <c r="DH33" s="1712"/>
      <c r="DI33" s="1712"/>
      <c r="DJ33" s="1712"/>
      <c r="DK33" s="1712"/>
      <c r="DL33" s="1712"/>
      <c r="DM33" s="1712"/>
      <c r="DN33" s="1712"/>
      <c r="DO33" s="1712"/>
      <c r="DP33" s="1712"/>
      <c r="DQ33" s="1712"/>
      <c r="DR33" s="1712"/>
      <c r="DS33" s="1712"/>
      <c r="DT33" s="1712"/>
      <c r="DU33" s="1712"/>
      <c r="DV33" s="1712"/>
    </row>
    <row r="34" spans="1:127" s="1000" customFormat="1" ht="15" customHeight="1" x14ac:dyDescent="0.3">
      <c r="B34" s="334" t="str">
        <f>DASHBOARD!AQ123</f>
        <v>Legal</v>
      </c>
      <c r="C34" s="1029">
        <f t="shared" si="21"/>
        <v>0</v>
      </c>
      <c r="D34" s="1014">
        <f t="shared" si="22"/>
        <v>0</v>
      </c>
      <c r="E34" s="1012">
        <f t="shared" si="23"/>
        <v>0</v>
      </c>
      <c r="F34" s="309"/>
      <c r="G34" s="1712"/>
      <c r="H34" s="1712"/>
      <c r="I34" s="1712"/>
      <c r="J34" s="1712"/>
      <c r="K34" s="1712"/>
      <c r="L34" s="1712"/>
      <c r="M34" s="1712"/>
      <c r="N34" s="1712"/>
      <c r="O34" s="1712"/>
      <c r="P34" s="1712"/>
      <c r="Q34" s="1712"/>
      <c r="R34" s="1712"/>
      <c r="S34" s="1712"/>
      <c r="T34" s="1712"/>
      <c r="U34" s="1712"/>
      <c r="V34" s="1712"/>
      <c r="W34" s="1712"/>
      <c r="X34" s="1712"/>
      <c r="Y34" s="1712"/>
      <c r="Z34" s="1712"/>
      <c r="AA34" s="1712"/>
      <c r="AB34" s="1712"/>
      <c r="AC34" s="1712"/>
      <c r="AD34" s="1712"/>
      <c r="AE34" s="1712"/>
      <c r="AF34" s="1712"/>
      <c r="AG34" s="1712"/>
      <c r="AH34" s="1712"/>
      <c r="AI34" s="1712"/>
      <c r="AJ34" s="1712"/>
      <c r="AK34" s="1712"/>
      <c r="AL34" s="1712"/>
      <c r="AM34" s="1712"/>
      <c r="AN34" s="1712"/>
      <c r="AO34" s="1712"/>
      <c r="AP34" s="1712"/>
      <c r="AQ34" s="1712"/>
      <c r="AR34" s="1712"/>
      <c r="AS34" s="1712"/>
      <c r="AT34" s="1712"/>
      <c r="AU34" s="1712"/>
      <c r="AV34" s="1712"/>
      <c r="AW34" s="1712"/>
      <c r="AX34" s="1712"/>
      <c r="AY34" s="1712"/>
      <c r="AZ34" s="1712"/>
      <c r="BA34" s="1712"/>
      <c r="BB34" s="1712"/>
      <c r="BC34" s="1712"/>
      <c r="BD34" s="1712"/>
      <c r="BE34" s="1712"/>
      <c r="BF34" s="1712"/>
      <c r="BG34" s="1712"/>
      <c r="BH34" s="1712"/>
      <c r="BI34" s="1712"/>
      <c r="BJ34" s="1712"/>
      <c r="BK34" s="1712"/>
      <c r="BL34" s="1712"/>
      <c r="BM34" s="1712"/>
      <c r="BN34" s="1712"/>
      <c r="BO34" s="1712"/>
      <c r="BP34" s="1712"/>
      <c r="BQ34" s="1712"/>
      <c r="BR34" s="1712"/>
      <c r="BS34" s="1712"/>
      <c r="BT34" s="1712"/>
      <c r="BU34" s="1712"/>
      <c r="BV34" s="1712"/>
      <c r="BW34" s="1712"/>
      <c r="BX34" s="1712"/>
      <c r="BY34" s="1712"/>
      <c r="BZ34" s="1712"/>
      <c r="CA34" s="1712"/>
      <c r="CB34" s="1712"/>
      <c r="CC34" s="1712"/>
      <c r="CD34" s="1712"/>
      <c r="CE34" s="1712"/>
      <c r="CF34" s="1712"/>
      <c r="CG34" s="1712"/>
      <c r="CH34" s="1712"/>
      <c r="CI34" s="1712"/>
      <c r="CJ34" s="1712"/>
      <c r="CK34" s="1712"/>
      <c r="CL34" s="1712"/>
      <c r="CM34" s="1712"/>
      <c r="CN34" s="1712"/>
      <c r="CO34" s="1712"/>
      <c r="CP34" s="1712"/>
      <c r="CQ34" s="1712"/>
      <c r="CR34" s="1712"/>
      <c r="CS34" s="1712"/>
      <c r="CT34" s="1712"/>
      <c r="CU34" s="1712"/>
      <c r="CV34" s="1712"/>
      <c r="CW34" s="1712"/>
      <c r="CX34" s="1712"/>
      <c r="CY34" s="1712"/>
      <c r="CZ34" s="1712"/>
      <c r="DA34" s="1712"/>
      <c r="DB34" s="1712"/>
      <c r="DC34" s="1712"/>
      <c r="DD34" s="1712"/>
      <c r="DE34" s="1712"/>
      <c r="DF34" s="1712"/>
      <c r="DG34" s="1712"/>
      <c r="DH34" s="1712"/>
      <c r="DI34" s="1712"/>
      <c r="DJ34" s="1712"/>
      <c r="DK34" s="1712"/>
      <c r="DL34" s="1712"/>
      <c r="DM34" s="1712"/>
      <c r="DN34" s="1712"/>
      <c r="DO34" s="1712"/>
      <c r="DP34" s="1712"/>
      <c r="DQ34" s="1712"/>
      <c r="DR34" s="1712"/>
      <c r="DS34" s="1712"/>
      <c r="DT34" s="1712"/>
      <c r="DU34" s="1712"/>
      <c r="DV34" s="1712"/>
    </row>
    <row r="35" spans="1:127" s="1000" customFormat="1" ht="15" customHeight="1" x14ac:dyDescent="0.3">
      <c r="B35" s="334" t="str">
        <f>DASHBOARD!AQ124</f>
        <v>Advertising</v>
      </c>
      <c r="C35" s="1029">
        <f t="shared" si="21"/>
        <v>0</v>
      </c>
      <c r="D35" s="1014">
        <f t="shared" si="22"/>
        <v>0</v>
      </c>
      <c r="E35" s="1012">
        <f t="shared" si="23"/>
        <v>0</v>
      </c>
      <c r="F35" s="309"/>
      <c r="G35" s="1712"/>
      <c r="H35" s="1712"/>
      <c r="I35" s="1712"/>
      <c r="J35" s="1712"/>
      <c r="K35" s="1712"/>
      <c r="L35" s="1712"/>
      <c r="M35" s="1712"/>
      <c r="N35" s="1712"/>
      <c r="O35" s="1712"/>
      <c r="P35" s="1712"/>
      <c r="Q35" s="1712"/>
      <c r="R35" s="1712"/>
      <c r="S35" s="1712"/>
      <c r="T35" s="1712"/>
      <c r="U35" s="1712"/>
      <c r="V35" s="1712"/>
      <c r="W35" s="1712"/>
      <c r="X35" s="1712"/>
      <c r="Y35" s="1712"/>
      <c r="Z35" s="1712"/>
      <c r="AA35" s="1712"/>
      <c r="AB35" s="1712"/>
      <c r="AC35" s="1712"/>
      <c r="AD35" s="1712"/>
      <c r="AE35" s="1712"/>
      <c r="AF35" s="1712"/>
      <c r="AG35" s="1712"/>
      <c r="AH35" s="1712"/>
      <c r="AI35" s="1712"/>
      <c r="AJ35" s="1712"/>
      <c r="AK35" s="1712"/>
      <c r="AL35" s="1712"/>
      <c r="AM35" s="1712"/>
      <c r="AN35" s="1712"/>
      <c r="AO35" s="1712"/>
      <c r="AP35" s="1712"/>
      <c r="AQ35" s="1712"/>
      <c r="AR35" s="1712"/>
      <c r="AS35" s="1712"/>
      <c r="AT35" s="1712"/>
      <c r="AU35" s="1712"/>
      <c r="AV35" s="1712"/>
      <c r="AW35" s="1712"/>
      <c r="AX35" s="1712"/>
      <c r="AY35" s="1712"/>
      <c r="AZ35" s="1712"/>
      <c r="BA35" s="1712"/>
      <c r="BB35" s="1712"/>
      <c r="BC35" s="1712"/>
      <c r="BD35" s="1712"/>
      <c r="BE35" s="1712"/>
      <c r="BF35" s="1712"/>
      <c r="BG35" s="1712"/>
      <c r="BH35" s="1712"/>
      <c r="BI35" s="1712"/>
      <c r="BJ35" s="1712"/>
      <c r="BK35" s="1712"/>
      <c r="BL35" s="1712"/>
      <c r="BM35" s="1712"/>
      <c r="BN35" s="1712"/>
      <c r="BO35" s="1712"/>
      <c r="BP35" s="1712"/>
      <c r="BQ35" s="1712"/>
      <c r="BR35" s="1712"/>
      <c r="BS35" s="1712"/>
      <c r="BT35" s="1712"/>
      <c r="BU35" s="1712"/>
      <c r="BV35" s="1712"/>
      <c r="BW35" s="1712"/>
      <c r="BX35" s="1712"/>
      <c r="BY35" s="1712"/>
      <c r="BZ35" s="1712"/>
      <c r="CA35" s="1712"/>
      <c r="CB35" s="1712"/>
      <c r="CC35" s="1712"/>
      <c r="CD35" s="1712"/>
      <c r="CE35" s="1712"/>
      <c r="CF35" s="1712"/>
      <c r="CG35" s="1712"/>
      <c r="CH35" s="1712"/>
      <c r="CI35" s="1712"/>
      <c r="CJ35" s="1712"/>
      <c r="CK35" s="1712"/>
      <c r="CL35" s="1712"/>
      <c r="CM35" s="1712"/>
      <c r="CN35" s="1712"/>
      <c r="CO35" s="1712"/>
      <c r="CP35" s="1712"/>
      <c r="CQ35" s="1712"/>
      <c r="CR35" s="1712"/>
      <c r="CS35" s="1712"/>
      <c r="CT35" s="1712"/>
      <c r="CU35" s="1712"/>
      <c r="CV35" s="1712"/>
      <c r="CW35" s="1712"/>
      <c r="CX35" s="1712"/>
      <c r="CY35" s="1712"/>
      <c r="CZ35" s="1712"/>
      <c r="DA35" s="1712"/>
      <c r="DB35" s="1712"/>
      <c r="DC35" s="1712"/>
      <c r="DD35" s="1712"/>
      <c r="DE35" s="1712"/>
      <c r="DF35" s="1712"/>
      <c r="DG35" s="1712"/>
      <c r="DH35" s="1712"/>
      <c r="DI35" s="1712"/>
      <c r="DJ35" s="1712"/>
      <c r="DK35" s="1712"/>
      <c r="DL35" s="1712"/>
      <c r="DM35" s="1712"/>
      <c r="DN35" s="1712"/>
      <c r="DO35" s="1712"/>
      <c r="DP35" s="1712"/>
      <c r="DQ35" s="1712"/>
      <c r="DR35" s="1712"/>
      <c r="DS35" s="1712"/>
      <c r="DT35" s="1712"/>
      <c r="DU35" s="1712"/>
      <c r="DV35" s="1712"/>
    </row>
    <row r="36" spans="1:127" s="1000" customFormat="1" ht="15" customHeight="1" x14ac:dyDescent="0.3">
      <c r="B36" s="334" t="str">
        <f>DASHBOARD!AQ125</f>
        <v>Other Cost 1</v>
      </c>
      <c r="C36" s="1029">
        <f t="shared" si="21"/>
        <v>0</v>
      </c>
      <c r="D36" s="1014">
        <f t="shared" si="22"/>
        <v>0</v>
      </c>
      <c r="E36" s="1012">
        <f t="shared" si="23"/>
        <v>0</v>
      </c>
      <c r="F36" s="309"/>
      <c r="G36" s="1712"/>
      <c r="H36" s="1712"/>
      <c r="I36" s="1712"/>
      <c r="J36" s="1712"/>
      <c r="K36" s="1712"/>
      <c r="L36" s="1712"/>
      <c r="M36" s="1712"/>
      <c r="N36" s="1712"/>
      <c r="O36" s="1712"/>
      <c r="P36" s="1712"/>
      <c r="Q36" s="1712"/>
      <c r="R36" s="1712"/>
      <c r="S36" s="1712"/>
      <c r="T36" s="1712"/>
      <c r="U36" s="1712"/>
      <c r="V36" s="1712"/>
      <c r="W36" s="1712"/>
      <c r="X36" s="1712"/>
      <c r="Y36" s="1712"/>
      <c r="Z36" s="1712"/>
      <c r="AA36" s="1712"/>
      <c r="AB36" s="1712"/>
      <c r="AC36" s="1712"/>
      <c r="AD36" s="1712"/>
      <c r="AE36" s="1712"/>
      <c r="AF36" s="1712"/>
      <c r="AG36" s="1712"/>
      <c r="AH36" s="1712"/>
      <c r="AI36" s="1712"/>
      <c r="AJ36" s="1712"/>
      <c r="AK36" s="1712"/>
      <c r="AL36" s="1712"/>
      <c r="AM36" s="1712"/>
      <c r="AN36" s="1712"/>
      <c r="AO36" s="1712"/>
      <c r="AP36" s="1712"/>
      <c r="AQ36" s="1712"/>
      <c r="AR36" s="1712"/>
      <c r="AS36" s="1712"/>
      <c r="AT36" s="1712"/>
      <c r="AU36" s="1712"/>
      <c r="AV36" s="1712"/>
      <c r="AW36" s="1712"/>
      <c r="AX36" s="1712"/>
      <c r="AY36" s="1712"/>
      <c r="AZ36" s="1712"/>
      <c r="BA36" s="1712"/>
      <c r="BB36" s="1712"/>
      <c r="BC36" s="1712"/>
      <c r="BD36" s="1712"/>
      <c r="BE36" s="1712"/>
      <c r="BF36" s="1712"/>
      <c r="BG36" s="1712"/>
      <c r="BH36" s="1712"/>
      <c r="BI36" s="1712"/>
      <c r="BJ36" s="1712"/>
      <c r="BK36" s="1712"/>
      <c r="BL36" s="1712"/>
      <c r="BM36" s="1712"/>
      <c r="BN36" s="1712"/>
      <c r="BO36" s="1712"/>
      <c r="BP36" s="1712"/>
      <c r="BQ36" s="1712"/>
      <c r="BR36" s="1712"/>
      <c r="BS36" s="1712"/>
      <c r="BT36" s="1712"/>
      <c r="BU36" s="1712"/>
      <c r="BV36" s="1712"/>
      <c r="BW36" s="1712"/>
      <c r="BX36" s="1712"/>
      <c r="BY36" s="1712"/>
      <c r="BZ36" s="1712"/>
      <c r="CA36" s="1712"/>
      <c r="CB36" s="1712"/>
      <c r="CC36" s="1712"/>
      <c r="CD36" s="1712"/>
      <c r="CE36" s="1712"/>
      <c r="CF36" s="1712"/>
      <c r="CG36" s="1712"/>
      <c r="CH36" s="1712"/>
      <c r="CI36" s="1712"/>
      <c r="CJ36" s="1712"/>
      <c r="CK36" s="1712"/>
      <c r="CL36" s="1712"/>
      <c r="CM36" s="1712"/>
      <c r="CN36" s="1712"/>
      <c r="CO36" s="1712"/>
      <c r="CP36" s="1712"/>
      <c r="CQ36" s="1712"/>
      <c r="CR36" s="1712"/>
      <c r="CS36" s="1712"/>
      <c r="CT36" s="1712"/>
      <c r="CU36" s="1712"/>
      <c r="CV36" s="1712"/>
      <c r="CW36" s="1712"/>
      <c r="CX36" s="1712"/>
      <c r="CY36" s="1712"/>
      <c r="CZ36" s="1712"/>
      <c r="DA36" s="1712"/>
      <c r="DB36" s="1712"/>
      <c r="DC36" s="1712"/>
      <c r="DD36" s="1712"/>
      <c r="DE36" s="1712"/>
      <c r="DF36" s="1712"/>
      <c r="DG36" s="1712"/>
      <c r="DH36" s="1712"/>
      <c r="DI36" s="1712"/>
      <c r="DJ36" s="1712"/>
      <c r="DK36" s="1712"/>
      <c r="DL36" s="1712"/>
      <c r="DM36" s="1712"/>
      <c r="DN36" s="1712"/>
      <c r="DO36" s="1712"/>
      <c r="DP36" s="1712"/>
      <c r="DQ36" s="1712"/>
      <c r="DR36" s="1712"/>
      <c r="DS36" s="1712"/>
      <c r="DT36" s="1712"/>
      <c r="DU36" s="1712"/>
      <c r="DV36" s="1712"/>
    </row>
    <row r="37" spans="1:127" s="1000" customFormat="1" ht="15" customHeight="1" x14ac:dyDescent="0.3">
      <c r="B37" s="334" t="str">
        <f>DASHBOARD!AQ126</f>
        <v>Other Cost 2</v>
      </c>
      <c r="C37" s="1029">
        <f t="shared" si="21"/>
        <v>0</v>
      </c>
      <c r="D37" s="1014">
        <f t="shared" si="22"/>
        <v>0</v>
      </c>
      <c r="E37" s="1012">
        <f t="shared" si="23"/>
        <v>0</v>
      </c>
      <c r="F37" s="309"/>
      <c r="G37" s="1712"/>
      <c r="H37" s="1712"/>
      <c r="I37" s="1712"/>
      <c r="J37" s="1712"/>
      <c r="K37" s="1712"/>
      <c r="L37" s="1712"/>
      <c r="M37" s="1712"/>
      <c r="N37" s="1712"/>
      <c r="O37" s="1712"/>
      <c r="P37" s="1712"/>
      <c r="Q37" s="1712"/>
      <c r="R37" s="1712"/>
      <c r="S37" s="1712"/>
      <c r="T37" s="1712"/>
      <c r="U37" s="1712"/>
      <c r="V37" s="1712"/>
      <c r="W37" s="1712"/>
      <c r="X37" s="1712"/>
      <c r="Y37" s="1712"/>
      <c r="Z37" s="1712"/>
      <c r="AA37" s="1712"/>
      <c r="AB37" s="1712"/>
      <c r="AC37" s="1712"/>
      <c r="AD37" s="1712"/>
      <c r="AE37" s="1712"/>
      <c r="AF37" s="1712"/>
      <c r="AG37" s="1712"/>
      <c r="AH37" s="1712"/>
      <c r="AI37" s="1712"/>
      <c r="AJ37" s="1712"/>
      <c r="AK37" s="1712"/>
      <c r="AL37" s="1712"/>
      <c r="AM37" s="1712"/>
      <c r="AN37" s="1712"/>
      <c r="AO37" s="1712"/>
      <c r="AP37" s="1712"/>
      <c r="AQ37" s="1712"/>
      <c r="AR37" s="1712"/>
      <c r="AS37" s="1712"/>
      <c r="AT37" s="1712"/>
      <c r="AU37" s="1712"/>
      <c r="AV37" s="1712"/>
      <c r="AW37" s="1712"/>
      <c r="AX37" s="1712"/>
      <c r="AY37" s="1712"/>
      <c r="AZ37" s="1712"/>
      <c r="BA37" s="1712"/>
      <c r="BB37" s="1712"/>
      <c r="BC37" s="1712"/>
      <c r="BD37" s="1712"/>
      <c r="BE37" s="1712"/>
      <c r="BF37" s="1712"/>
      <c r="BG37" s="1712"/>
      <c r="BH37" s="1712"/>
      <c r="BI37" s="1712"/>
      <c r="BJ37" s="1712"/>
      <c r="BK37" s="1712"/>
      <c r="BL37" s="1712"/>
      <c r="BM37" s="1712"/>
      <c r="BN37" s="1712"/>
      <c r="BO37" s="1712"/>
      <c r="BP37" s="1712"/>
      <c r="BQ37" s="1712"/>
      <c r="BR37" s="1712"/>
      <c r="BS37" s="1712"/>
      <c r="BT37" s="1712"/>
      <c r="BU37" s="1712"/>
      <c r="BV37" s="1712"/>
      <c r="BW37" s="1712"/>
      <c r="BX37" s="1712"/>
      <c r="BY37" s="1712"/>
      <c r="BZ37" s="1712"/>
      <c r="CA37" s="1712"/>
      <c r="CB37" s="1712"/>
      <c r="CC37" s="1712"/>
      <c r="CD37" s="1712"/>
      <c r="CE37" s="1712"/>
      <c r="CF37" s="1712"/>
      <c r="CG37" s="1712"/>
      <c r="CH37" s="1712"/>
      <c r="CI37" s="1712"/>
      <c r="CJ37" s="1712"/>
      <c r="CK37" s="1712"/>
      <c r="CL37" s="1712"/>
      <c r="CM37" s="1712"/>
      <c r="CN37" s="1712"/>
      <c r="CO37" s="1712"/>
      <c r="CP37" s="1712"/>
      <c r="CQ37" s="1712"/>
      <c r="CR37" s="1712"/>
      <c r="CS37" s="1712"/>
      <c r="CT37" s="1712"/>
      <c r="CU37" s="1712"/>
      <c r="CV37" s="1712"/>
      <c r="CW37" s="1712"/>
      <c r="CX37" s="1712"/>
      <c r="CY37" s="1712"/>
      <c r="CZ37" s="1712"/>
      <c r="DA37" s="1712"/>
      <c r="DB37" s="1712"/>
      <c r="DC37" s="1712"/>
      <c r="DD37" s="1712"/>
      <c r="DE37" s="1712"/>
      <c r="DF37" s="1712"/>
      <c r="DG37" s="1712"/>
      <c r="DH37" s="1712"/>
      <c r="DI37" s="1712"/>
      <c r="DJ37" s="1712"/>
      <c r="DK37" s="1712"/>
      <c r="DL37" s="1712"/>
      <c r="DM37" s="1712"/>
      <c r="DN37" s="1712"/>
      <c r="DO37" s="1712"/>
      <c r="DP37" s="1712"/>
      <c r="DQ37" s="1712"/>
      <c r="DR37" s="1712"/>
      <c r="DS37" s="1712"/>
      <c r="DT37" s="1712"/>
      <c r="DU37" s="1712"/>
      <c r="DV37" s="1712"/>
    </row>
    <row r="38" spans="1:127" s="1000" customFormat="1" ht="15" customHeight="1" x14ac:dyDescent="0.3">
      <c r="B38" s="334" t="str">
        <f>DASHBOARD!AQ127</f>
        <v>Miscellaneous (Variable)</v>
      </c>
      <c r="C38" s="1029">
        <f t="shared" si="21"/>
        <v>0</v>
      </c>
      <c r="D38" s="1014">
        <f t="shared" si="22"/>
        <v>0</v>
      </c>
      <c r="E38" s="1012">
        <f t="shared" si="23"/>
        <v>0</v>
      </c>
      <c r="F38" s="309"/>
      <c r="G38" s="1712"/>
      <c r="H38" s="1712"/>
      <c r="I38" s="1712"/>
      <c r="J38" s="1712"/>
      <c r="K38" s="1712"/>
      <c r="L38" s="1712"/>
      <c r="M38" s="1712"/>
      <c r="N38" s="1712"/>
      <c r="O38" s="1712"/>
      <c r="P38" s="1712"/>
      <c r="Q38" s="1712"/>
      <c r="R38" s="1712"/>
      <c r="S38" s="1712"/>
      <c r="T38" s="1712"/>
      <c r="U38" s="1712"/>
      <c r="V38" s="1712"/>
      <c r="W38" s="1712"/>
      <c r="X38" s="1712"/>
      <c r="Y38" s="1712"/>
      <c r="Z38" s="1712"/>
      <c r="AA38" s="1712"/>
      <c r="AB38" s="1712"/>
      <c r="AC38" s="1712"/>
      <c r="AD38" s="1712"/>
      <c r="AE38" s="1712"/>
      <c r="AF38" s="1712"/>
      <c r="AG38" s="1712"/>
      <c r="AH38" s="1712"/>
      <c r="AI38" s="1712"/>
      <c r="AJ38" s="1712"/>
      <c r="AK38" s="1712"/>
      <c r="AL38" s="1712"/>
      <c r="AM38" s="1712"/>
      <c r="AN38" s="1712"/>
      <c r="AO38" s="1712"/>
      <c r="AP38" s="1712"/>
      <c r="AQ38" s="1712"/>
      <c r="AR38" s="1712"/>
      <c r="AS38" s="1712"/>
      <c r="AT38" s="1712"/>
      <c r="AU38" s="1712"/>
      <c r="AV38" s="1712"/>
      <c r="AW38" s="1712"/>
      <c r="AX38" s="1712"/>
      <c r="AY38" s="1712"/>
      <c r="AZ38" s="1712"/>
      <c r="BA38" s="1712"/>
      <c r="BB38" s="1712"/>
      <c r="BC38" s="1712"/>
      <c r="BD38" s="1712"/>
      <c r="BE38" s="1712"/>
      <c r="BF38" s="1712"/>
      <c r="BG38" s="1712"/>
      <c r="BH38" s="1712"/>
      <c r="BI38" s="1712"/>
      <c r="BJ38" s="1712"/>
      <c r="BK38" s="1712"/>
      <c r="BL38" s="1712"/>
      <c r="BM38" s="1712"/>
      <c r="BN38" s="1712"/>
      <c r="BO38" s="1712"/>
      <c r="BP38" s="1712"/>
      <c r="BQ38" s="1712"/>
      <c r="BR38" s="1712"/>
      <c r="BS38" s="1712"/>
      <c r="BT38" s="1712"/>
      <c r="BU38" s="1712"/>
      <c r="BV38" s="1712"/>
      <c r="BW38" s="1712"/>
      <c r="BX38" s="1712"/>
      <c r="BY38" s="1712"/>
      <c r="BZ38" s="1712"/>
      <c r="CA38" s="1712"/>
      <c r="CB38" s="1712"/>
      <c r="CC38" s="1712"/>
      <c r="CD38" s="1712"/>
      <c r="CE38" s="1712"/>
      <c r="CF38" s="1712"/>
      <c r="CG38" s="1712"/>
      <c r="CH38" s="1712"/>
      <c r="CI38" s="1712"/>
      <c r="CJ38" s="1712"/>
      <c r="CK38" s="1712"/>
      <c r="CL38" s="1712"/>
      <c r="CM38" s="1712"/>
      <c r="CN38" s="1712"/>
      <c r="CO38" s="1712"/>
      <c r="CP38" s="1712"/>
      <c r="CQ38" s="1712"/>
      <c r="CR38" s="1712"/>
      <c r="CS38" s="1712"/>
      <c r="CT38" s="1712"/>
      <c r="CU38" s="1712"/>
      <c r="CV38" s="1712"/>
      <c r="CW38" s="1712"/>
      <c r="CX38" s="1712"/>
      <c r="CY38" s="1712"/>
      <c r="CZ38" s="1712"/>
      <c r="DA38" s="1712"/>
      <c r="DB38" s="1712"/>
      <c r="DC38" s="1712"/>
      <c r="DD38" s="1712"/>
      <c r="DE38" s="1712"/>
      <c r="DF38" s="1712"/>
      <c r="DG38" s="1712"/>
      <c r="DH38" s="1712"/>
      <c r="DI38" s="1712"/>
      <c r="DJ38" s="1712"/>
      <c r="DK38" s="1712"/>
      <c r="DL38" s="1712"/>
      <c r="DM38" s="1712"/>
      <c r="DN38" s="1712"/>
      <c r="DO38" s="1712"/>
      <c r="DP38" s="1712"/>
      <c r="DQ38" s="1712"/>
      <c r="DR38" s="1712"/>
      <c r="DS38" s="1712"/>
      <c r="DT38" s="1712"/>
      <c r="DU38" s="1712"/>
      <c r="DV38" s="1712"/>
    </row>
    <row r="39" spans="1:127" s="1068" customFormat="1" ht="15" customHeight="1" x14ac:dyDescent="0.3">
      <c r="A39" s="1000"/>
      <c r="B39" s="334" t="str">
        <f>FORECASTS!B66</f>
        <v>Custom Op. Expense 1</v>
      </c>
      <c r="C39" s="1029">
        <f t="shared" si="21"/>
        <v>0</v>
      </c>
      <c r="D39" s="1014">
        <f t="shared" si="22"/>
        <v>0</v>
      </c>
      <c r="E39" s="1012">
        <f t="shared" si="23"/>
        <v>0</v>
      </c>
      <c r="F39" s="309"/>
      <c r="G39" s="1711"/>
      <c r="H39" s="1712"/>
      <c r="I39" s="1712"/>
      <c r="J39" s="1712"/>
      <c r="K39" s="1712"/>
      <c r="L39" s="1712"/>
      <c r="M39" s="1712"/>
      <c r="N39" s="1712"/>
      <c r="O39" s="1712"/>
      <c r="P39" s="1712"/>
      <c r="Q39" s="1712"/>
      <c r="R39" s="1712"/>
      <c r="S39" s="1712"/>
      <c r="T39" s="1712"/>
      <c r="U39" s="1712"/>
      <c r="V39" s="1712"/>
      <c r="W39" s="1712"/>
      <c r="X39" s="1712"/>
      <c r="Y39" s="1712"/>
      <c r="Z39" s="1712"/>
      <c r="AA39" s="1712"/>
      <c r="AB39" s="1712"/>
      <c r="AC39" s="1712"/>
      <c r="AD39" s="1712"/>
      <c r="AE39" s="1712"/>
      <c r="AF39" s="1712"/>
      <c r="AG39" s="1712"/>
      <c r="AH39" s="1712"/>
      <c r="AI39" s="1712"/>
      <c r="AJ39" s="1712"/>
      <c r="AK39" s="1712"/>
      <c r="AL39" s="1712"/>
      <c r="AM39" s="1712"/>
      <c r="AN39" s="1712"/>
      <c r="AO39" s="1712"/>
      <c r="AP39" s="1712"/>
      <c r="AQ39" s="1712"/>
      <c r="AR39" s="1712"/>
      <c r="AS39" s="1712"/>
      <c r="AT39" s="1712"/>
      <c r="AU39" s="1712"/>
      <c r="AV39" s="1712"/>
      <c r="AW39" s="1712"/>
      <c r="AX39" s="1712"/>
      <c r="AY39" s="1712"/>
      <c r="AZ39" s="1712"/>
      <c r="BA39" s="1712"/>
      <c r="BB39" s="1712"/>
      <c r="BC39" s="1712"/>
      <c r="BD39" s="1712"/>
      <c r="BE39" s="1712"/>
      <c r="BF39" s="1712"/>
      <c r="BG39" s="1712"/>
      <c r="BH39" s="1712"/>
      <c r="BI39" s="1712"/>
      <c r="BJ39" s="1712"/>
      <c r="BK39" s="1712"/>
      <c r="BL39" s="1712"/>
      <c r="BM39" s="1712"/>
      <c r="BN39" s="1712"/>
      <c r="BO39" s="1712"/>
      <c r="BP39" s="1712"/>
      <c r="BQ39" s="1712"/>
      <c r="BR39" s="1712"/>
      <c r="BS39" s="1712"/>
      <c r="BT39" s="1712"/>
      <c r="BU39" s="1712"/>
      <c r="BV39" s="1712"/>
      <c r="BW39" s="1712"/>
      <c r="BX39" s="1712"/>
      <c r="BY39" s="1712"/>
      <c r="BZ39" s="1712"/>
      <c r="CA39" s="1712"/>
      <c r="CB39" s="1712"/>
      <c r="CC39" s="1712"/>
      <c r="CD39" s="1712"/>
      <c r="CE39" s="1712"/>
      <c r="CF39" s="1712"/>
      <c r="CG39" s="1712"/>
      <c r="CH39" s="1712"/>
      <c r="CI39" s="1712"/>
      <c r="CJ39" s="1712"/>
      <c r="CK39" s="1712"/>
      <c r="CL39" s="1712"/>
      <c r="CM39" s="1712"/>
      <c r="CN39" s="1712"/>
      <c r="CO39" s="1712"/>
      <c r="CP39" s="1712"/>
      <c r="CQ39" s="1712"/>
      <c r="CR39" s="1712"/>
      <c r="CS39" s="1712"/>
      <c r="CT39" s="1712"/>
      <c r="CU39" s="1712"/>
      <c r="CV39" s="1712"/>
      <c r="CW39" s="1712"/>
      <c r="CX39" s="1712"/>
      <c r="CY39" s="1712"/>
      <c r="CZ39" s="1712"/>
      <c r="DA39" s="1712"/>
      <c r="DB39" s="1712"/>
      <c r="DC39" s="1712"/>
      <c r="DD39" s="1712"/>
      <c r="DE39" s="1712"/>
      <c r="DF39" s="1712"/>
      <c r="DG39" s="1712"/>
      <c r="DH39" s="1712"/>
      <c r="DI39" s="1712"/>
      <c r="DJ39" s="1712"/>
      <c r="DK39" s="1712"/>
      <c r="DL39" s="1712"/>
      <c r="DM39" s="1712"/>
      <c r="DN39" s="1712"/>
      <c r="DO39" s="1712"/>
      <c r="DP39" s="1712"/>
      <c r="DQ39" s="1712"/>
      <c r="DR39" s="1712"/>
      <c r="DS39" s="1712"/>
      <c r="DT39" s="1712"/>
      <c r="DU39" s="1712"/>
      <c r="DV39" s="1712"/>
      <c r="DW39" s="1000"/>
    </row>
    <row r="40" spans="1:127" s="1000" customFormat="1" ht="15" customHeight="1" x14ac:dyDescent="0.3">
      <c r="B40" s="334" t="str">
        <f>FORECASTS!B67</f>
        <v>Custom Op. Expense 2</v>
      </c>
      <c r="C40" s="1029">
        <f t="shared" si="21"/>
        <v>0</v>
      </c>
      <c r="D40" s="1014">
        <f t="shared" si="22"/>
        <v>0</v>
      </c>
      <c r="E40" s="1012">
        <f t="shared" si="23"/>
        <v>0</v>
      </c>
      <c r="F40" s="309"/>
      <c r="G40" s="1711"/>
      <c r="H40" s="1712"/>
      <c r="I40" s="1712"/>
      <c r="J40" s="1712"/>
      <c r="K40" s="1712"/>
      <c r="L40" s="1712"/>
      <c r="M40" s="1712"/>
      <c r="N40" s="1712"/>
      <c r="O40" s="1712"/>
      <c r="P40" s="1712"/>
      <c r="Q40" s="1712"/>
      <c r="R40" s="1712"/>
      <c r="S40" s="1712"/>
      <c r="T40" s="1712"/>
      <c r="U40" s="1712"/>
      <c r="V40" s="1712"/>
      <c r="W40" s="1712"/>
      <c r="X40" s="1712"/>
      <c r="Y40" s="1712"/>
      <c r="Z40" s="1712"/>
      <c r="AA40" s="1712"/>
      <c r="AB40" s="1712"/>
      <c r="AC40" s="1712"/>
      <c r="AD40" s="1712"/>
      <c r="AE40" s="1712"/>
      <c r="AF40" s="1712"/>
      <c r="AG40" s="1712"/>
      <c r="AH40" s="1712"/>
      <c r="AI40" s="1712"/>
      <c r="AJ40" s="1712"/>
      <c r="AK40" s="1712"/>
      <c r="AL40" s="1712"/>
      <c r="AM40" s="1712"/>
      <c r="AN40" s="1712"/>
      <c r="AO40" s="1712"/>
      <c r="AP40" s="1712"/>
      <c r="AQ40" s="1712"/>
      <c r="AR40" s="1712"/>
      <c r="AS40" s="1712"/>
      <c r="AT40" s="1712"/>
      <c r="AU40" s="1712"/>
      <c r="AV40" s="1712"/>
      <c r="AW40" s="1712"/>
      <c r="AX40" s="1712"/>
      <c r="AY40" s="1712"/>
      <c r="AZ40" s="1712"/>
      <c r="BA40" s="1712"/>
      <c r="BB40" s="1712"/>
      <c r="BC40" s="1712"/>
      <c r="BD40" s="1712"/>
      <c r="BE40" s="1712"/>
      <c r="BF40" s="1712"/>
      <c r="BG40" s="1712"/>
      <c r="BH40" s="1712"/>
      <c r="BI40" s="1712"/>
      <c r="BJ40" s="1712"/>
      <c r="BK40" s="1712"/>
      <c r="BL40" s="1712"/>
      <c r="BM40" s="1712"/>
      <c r="BN40" s="1712"/>
      <c r="BO40" s="1712"/>
      <c r="BP40" s="1712"/>
      <c r="BQ40" s="1712"/>
      <c r="BR40" s="1712"/>
      <c r="BS40" s="1712"/>
      <c r="BT40" s="1712"/>
      <c r="BU40" s="1712"/>
      <c r="BV40" s="1712"/>
      <c r="BW40" s="1712"/>
      <c r="BX40" s="1712"/>
      <c r="BY40" s="1712"/>
      <c r="BZ40" s="1712"/>
      <c r="CA40" s="1712"/>
      <c r="CB40" s="1712"/>
      <c r="CC40" s="1712"/>
      <c r="CD40" s="1712"/>
      <c r="CE40" s="1712"/>
      <c r="CF40" s="1712"/>
      <c r="CG40" s="1712"/>
      <c r="CH40" s="1712"/>
      <c r="CI40" s="1712"/>
      <c r="CJ40" s="1712"/>
      <c r="CK40" s="1712"/>
      <c r="CL40" s="1712"/>
      <c r="CM40" s="1712"/>
      <c r="CN40" s="1712"/>
      <c r="CO40" s="1712"/>
      <c r="CP40" s="1712"/>
      <c r="CQ40" s="1712"/>
      <c r="CR40" s="1712"/>
      <c r="CS40" s="1712"/>
      <c r="CT40" s="1712"/>
      <c r="CU40" s="1712"/>
      <c r="CV40" s="1712"/>
      <c r="CW40" s="1712"/>
      <c r="CX40" s="1712"/>
      <c r="CY40" s="1712"/>
      <c r="CZ40" s="1712"/>
      <c r="DA40" s="1712"/>
      <c r="DB40" s="1712"/>
      <c r="DC40" s="1712"/>
      <c r="DD40" s="1712"/>
      <c r="DE40" s="1712"/>
      <c r="DF40" s="1712"/>
      <c r="DG40" s="1712"/>
      <c r="DH40" s="1712"/>
      <c r="DI40" s="1712"/>
      <c r="DJ40" s="1712"/>
      <c r="DK40" s="1712"/>
      <c r="DL40" s="1712"/>
      <c r="DM40" s="1712"/>
      <c r="DN40" s="1712"/>
      <c r="DO40" s="1712"/>
      <c r="DP40" s="1712"/>
      <c r="DQ40" s="1712"/>
      <c r="DR40" s="1712"/>
      <c r="DS40" s="1712"/>
      <c r="DT40" s="1712"/>
      <c r="DU40" s="1712"/>
      <c r="DV40" s="1712"/>
    </row>
    <row r="41" spans="1:127" s="1000" customFormat="1" ht="15" customHeight="1" x14ac:dyDescent="0.3">
      <c r="B41" s="997" t="s">
        <v>1</v>
      </c>
      <c r="C41" s="1031">
        <f>SUM(C21:C40)</f>
        <v>0</v>
      </c>
      <c r="D41" s="1015">
        <f>SUM(D21:D40)</f>
        <v>0</v>
      </c>
      <c r="E41" s="1013">
        <f>SUM(E21:E40)</f>
        <v>0</v>
      </c>
      <c r="F41" s="970"/>
      <c r="G41" s="990">
        <f>SUM(G21:G40)</f>
        <v>0</v>
      </c>
      <c r="H41" s="990">
        <f t="shared" ref="H41:AL41" si="24">SUM(H21:H40)</f>
        <v>0</v>
      </c>
      <c r="I41" s="990">
        <f t="shared" si="24"/>
        <v>0</v>
      </c>
      <c r="J41" s="990">
        <f t="shared" si="24"/>
        <v>0</v>
      </c>
      <c r="K41" s="990">
        <f t="shared" si="24"/>
        <v>0</v>
      </c>
      <c r="L41" s="990">
        <f t="shared" si="24"/>
        <v>0</v>
      </c>
      <c r="M41" s="990">
        <f t="shared" si="24"/>
        <v>0</v>
      </c>
      <c r="N41" s="990">
        <f t="shared" si="24"/>
        <v>0</v>
      </c>
      <c r="O41" s="990">
        <f t="shared" si="24"/>
        <v>0</v>
      </c>
      <c r="P41" s="990">
        <f t="shared" si="24"/>
        <v>0</v>
      </c>
      <c r="Q41" s="990">
        <f t="shared" si="24"/>
        <v>0</v>
      </c>
      <c r="R41" s="990">
        <f t="shared" si="24"/>
        <v>0</v>
      </c>
      <c r="S41" s="990">
        <f t="shared" si="24"/>
        <v>0</v>
      </c>
      <c r="T41" s="990">
        <f t="shared" si="24"/>
        <v>0</v>
      </c>
      <c r="U41" s="990">
        <f t="shared" si="24"/>
        <v>0</v>
      </c>
      <c r="V41" s="990">
        <f t="shared" si="24"/>
        <v>0</v>
      </c>
      <c r="W41" s="990">
        <f t="shared" si="24"/>
        <v>0</v>
      </c>
      <c r="X41" s="990">
        <f t="shared" si="24"/>
        <v>0</v>
      </c>
      <c r="Y41" s="990">
        <f t="shared" si="24"/>
        <v>0</v>
      </c>
      <c r="Z41" s="990">
        <f t="shared" si="24"/>
        <v>0</v>
      </c>
      <c r="AA41" s="990">
        <f t="shared" si="24"/>
        <v>0</v>
      </c>
      <c r="AB41" s="990">
        <f t="shared" si="24"/>
        <v>0</v>
      </c>
      <c r="AC41" s="990">
        <f t="shared" si="24"/>
        <v>0</v>
      </c>
      <c r="AD41" s="990">
        <f t="shared" si="24"/>
        <v>0</v>
      </c>
      <c r="AE41" s="990">
        <f t="shared" si="24"/>
        <v>0</v>
      </c>
      <c r="AF41" s="990">
        <f t="shared" si="24"/>
        <v>0</v>
      </c>
      <c r="AG41" s="990">
        <f t="shared" si="24"/>
        <v>0</v>
      </c>
      <c r="AH41" s="990">
        <f t="shared" si="24"/>
        <v>0</v>
      </c>
      <c r="AI41" s="990">
        <f t="shared" si="24"/>
        <v>0</v>
      </c>
      <c r="AJ41" s="990">
        <f t="shared" si="24"/>
        <v>0</v>
      </c>
      <c r="AK41" s="990">
        <f t="shared" si="24"/>
        <v>0</v>
      </c>
      <c r="AL41" s="990">
        <f t="shared" si="24"/>
        <v>0</v>
      </c>
      <c r="AM41" s="990">
        <f t="shared" ref="AM41:BN41" si="25">SUM(AM21:AM40)</f>
        <v>0</v>
      </c>
      <c r="AN41" s="990">
        <f t="shared" si="25"/>
        <v>0</v>
      </c>
      <c r="AO41" s="990">
        <f t="shared" si="25"/>
        <v>0</v>
      </c>
      <c r="AP41" s="990">
        <f t="shared" si="25"/>
        <v>0</v>
      </c>
      <c r="AQ41" s="990">
        <f t="shared" si="25"/>
        <v>0</v>
      </c>
      <c r="AR41" s="990">
        <f t="shared" si="25"/>
        <v>0</v>
      </c>
      <c r="AS41" s="990">
        <f t="shared" si="25"/>
        <v>0</v>
      </c>
      <c r="AT41" s="990">
        <f t="shared" si="25"/>
        <v>0</v>
      </c>
      <c r="AU41" s="990">
        <f t="shared" si="25"/>
        <v>0</v>
      </c>
      <c r="AV41" s="990">
        <f t="shared" si="25"/>
        <v>0</v>
      </c>
      <c r="AW41" s="990">
        <f t="shared" si="25"/>
        <v>0</v>
      </c>
      <c r="AX41" s="990">
        <f t="shared" si="25"/>
        <v>0</v>
      </c>
      <c r="AY41" s="990">
        <f t="shared" si="25"/>
        <v>0</v>
      </c>
      <c r="AZ41" s="990">
        <f t="shared" si="25"/>
        <v>0</v>
      </c>
      <c r="BA41" s="990">
        <f t="shared" si="25"/>
        <v>0</v>
      </c>
      <c r="BB41" s="990">
        <f t="shared" si="25"/>
        <v>0</v>
      </c>
      <c r="BC41" s="990">
        <f t="shared" si="25"/>
        <v>0</v>
      </c>
      <c r="BD41" s="990">
        <f t="shared" si="25"/>
        <v>0</v>
      </c>
      <c r="BE41" s="990">
        <f t="shared" si="25"/>
        <v>0</v>
      </c>
      <c r="BF41" s="990">
        <f t="shared" si="25"/>
        <v>0</v>
      </c>
      <c r="BG41" s="990">
        <f t="shared" si="25"/>
        <v>0</v>
      </c>
      <c r="BH41" s="990">
        <f t="shared" si="25"/>
        <v>0</v>
      </c>
      <c r="BI41" s="990">
        <f t="shared" si="25"/>
        <v>0</v>
      </c>
      <c r="BJ41" s="990">
        <f t="shared" si="25"/>
        <v>0</v>
      </c>
      <c r="BK41" s="990">
        <f t="shared" si="25"/>
        <v>0</v>
      </c>
      <c r="BL41" s="990">
        <f t="shared" si="25"/>
        <v>0</v>
      </c>
      <c r="BM41" s="990">
        <f t="shared" si="25"/>
        <v>0</v>
      </c>
      <c r="BN41" s="990">
        <f t="shared" si="25"/>
        <v>0</v>
      </c>
      <c r="BO41" s="990">
        <f t="shared" ref="BO41:CT41" si="26">SUM(BO21:BO40)</f>
        <v>0</v>
      </c>
      <c r="BP41" s="990">
        <f t="shared" si="26"/>
        <v>0</v>
      </c>
      <c r="BQ41" s="990">
        <f t="shared" si="26"/>
        <v>0</v>
      </c>
      <c r="BR41" s="990">
        <f t="shared" si="26"/>
        <v>0</v>
      </c>
      <c r="BS41" s="990">
        <f t="shared" si="26"/>
        <v>0</v>
      </c>
      <c r="BT41" s="990">
        <f t="shared" si="26"/>
        <v>0</v>
      </c>
      <c r="BU41" s="990">
        <f t="shared" si="26"/>
        <v>0</v>
      </c>
      <c r="BV41" s="990">
        <f t="shared" si="26"/>
        <v>0</v>
      </c>
      <c r="BW41" s="990">
        <f t="shared" si="26"/>
        <v>0</v>
      </c>
      <c r="BX41" s="990">
        <f t="shared" si="26"/>
        <v>0</v>
      </c>
      <c r="BY41" s="990">
        <f t="shared" si="26"/>
        <v>0</v>
      </c>
      <c r="BZ41" s="990">
        <f t="shared" si="26"/>
        <v>0</v>
      </c>
      <c r="CA41" s="990">
        <f t="shared" si="26"/>
        <v>0</v>
      </c>
      <c r="CB41" s="990">
        <f t="shared" si="26"/>
        <v>0</v>
      </c>
      <c r="CC41" s="990">
        <f t="shared" si="26"/>
        <v>0</v>
      </c>
      <c r="CD41" s="990">
        <f t="shared" si="26"/>
        <v>0</v>
      </c>
      <c r="CE41" s="990">
        <f t="shared" si="26"/>
        <v>0</v>
      </c>
      <c r="CF41" s="990">
        <f t="shared" si="26"/>
        <v>0</v>
      </c>
      <c r="CG41" s="990">
        <f t="shared" si="26"/>
        <v>0</v>
      </c>
      <c r="CH41" s="990">
        <f t="shared" si="26"/>
        <v>0</v>
      </c>
      <c r="CI41" s="990">
        <f t="shared" si="26"/>
        <v>0</v>
      </c>
      <c r="CJ41" s="990">
        <f t="shared" si="26"/>
        <v>0</v>
      </c>
      <c r="CK41" s="990">
        <f t="shared" si="26"/>
        <v>0</v>
      </c>
      <c r="CL41" s="990">
        <f t="shared" si="26"/>
        <v>0</v>
      </c>
      <c r="CM41" s="990">
        <f t="shared" si="26"/>
        <v>0</v>
      </c>
      <c r="CN41" s="990">
        <f t="shared" si="26"/>
        <v>0</v>
      </c>
      <c r="CO41" s="990">
        <f t="shared" si="26"/>
        <v>0</v>
      </c>
      <c r="CP41" s="990">
        <f t="shared" si="26"/>
        <v>0</v>
      </c>
      <c r="CQ41" s="990">
        <f t="shared" si="26"/>
        <v>0</v>
      </c>
      <c r="CR41" s="990">
        <f t="shared" si="26"/>
        <v>0</v>
      </c>
      <c r="CS41" s="990">
        <f t="shared" si="26"/>
        <v>0</v>
      </c>
      <c r="CT41" s="990">
        <f t="shared" si="26"/>
        <v>0</v>
      </c>
      <c r="CU41" s="990">
        <f t="shared" ref="CU41:DV41" si="27">SUM(CU21:CU40)</f>
        <v>0</v>
      </c>
      <c r="CV41" s="990">
        <f t="shared" si="27"/>
        <v>0</v>
      </c>
      <c r="CW41" s="990">
        <f t="shared" si="27"/>
        <v>0</v>
      </c>
      <c r="CX41" s="990">
        <f t="shared" si="27"/>
        <v>0</v>
      </c>
      <c r="CY41" s="990">
        <f t="shared" si="27"/>
        <v>0</v>
      </c>
      <c r="CZ41" s="990">
        <f t="shared" si="27"/>
        <v>0</v>
      </c>
      <c r="DA41" s="990">
        <f t="shared" si="27"/>
        <v>0</v>
      </c>
      <c r="DB41" s="990">
        <f t="shared" si="27"/>
        <v>0</v>
      </c>
      <c r="DC41" s="990">
        <f t="shared" si="27"/>
        <v>0</v>
      </c>
      <c r="DD41" s="990">
        <f t="shared" si="27"/>
        <v>0</v>
      </c>
      <c r="DE41" s="990">
        <f t="shared" si="27"/>
        <v>0</v>
      </c>
      <c r="DF41" s="990">
        <f t="shared" si="27"/>
        <v>0</v>
      </c>
      <c r="DG41" s="990">
        <f t="shared" si="27"/>
        <v>0</v>
      </c>
      <c r="DH41" s="990">
        <f t="shared" si="27"/>
        <v>0</v>
      </c>
      <c r="DI41" s="990">
        <f t="shared" si="27"/>
        <v>0</v>
      </c>
      <c r="DJ41" s="990">
        <f t="shared" si="27"/>
        <v>0</v>
      </c>
      <c r="DK41" s="990">
        <f t="shared" si="27"/>
        <v>0</v>
      </c>
      <c r="DL41" s="990">
        <f t="shared" si="27"/>
        <v>0</v>
      </c>
      <c r="DM41" s="990">
        <f t="shared" si="27"/>
        <v>0</v>
      </c>
      <c r="DN41" s="990">
        <f t="shared" si="27"/>
        <v>0</v>
      </c>
      <c r="DO41" s="990">
        <f t="shared" si="27"/>
        <v>0</v>
      </c>
      <c r="DP41" s="990">
        <f t="shared" si="27"/>
        <v>0</v>
      </c>
      <c r="DQ41" s="990">
        <f t="shared" si="27"/>
        <v>0</v>
      </c>
      <c r="DR41" s="990">
        <f t="shared" si="27"/>
        <v>0</v>
      </c>
      <c r="DS41" s="990">
        <f t="shared" si="27"/>
        <v>0</v>
      </c>
      <c r="DT41" s="990">
        <f t="shared" si="27"/>
        <v>0</v>
      </c>
      <c r="DU41" s="990">
        <f t="shared" si="27"/>
        <v>0</v>
      </c>
      <c r="DV41" s="990">
        <f t="shared" si="27"/>
        <v>0</v>
      </c>
    </row>
    <row r="42" spans="1:127" s="1068" customFormat="1" ht="15" customHeight="1" x14ac:dyDescent="0.3">
      <c r="B42" s="1090" t="s">
        <v>588</v>
      </c>
      <c r="C42" s="1092">
        <f>IFERROR(-C41/C13,0)</f>
        <v>0</v>
      </c>
      <c r="D42" s="1093">
        <f>IFERROR(-D41/D13,0)</f>
        <v>0</v>
      </c>
      <c r="E42" s="1094">
        <f>IFERROR(-E41/E13,0)</f>
        <v>0</v>
      </c>
      <c r="F42" s="1091"/>
      <c r="G42" s="795">
        <f t="shared" ref="G42:AL42" si="28">IFERROR(-G41/G13,0)</f>
        <v>0</v>
      </c>
      <c r="H42" s="795">
        <f t="shared" si="28"/>
        <v>0</v>
      </c>
      <c r="I42" s="795">
        <f t="shared" si="28"/>
        <v>0</v>
      </c>
      <c r="J42" s="795">
        <f t="shared" si="28"/>
        <v>0</v>
      </c>
      <c r="K42" s="795">
        <f t="shared" si="28"/>
        <v>0</v>
      </c>
      <c r="L42" s="795">
        <f t="shared" si="28"/>
        <v>0</v>
      </c>
      <c r="M42" s="795">
        <f t="shared" si="28"/>
        <v>0</v>
      </c>
      <c r="N42" s="795">
        <f t="shared" si="28"/>
        <v>0</v>
      </c>
      <c r="O42" s="795">
        <f t="shared" si="28"/>
        <v>0</v>
      </c>
      <c r="P42" s="795">
        <f t="shared" si="28"/>
        <v>0</v>
      </c>
      <c r="Q42" s="795">
        <f t="shared" si="28"/>
        <v>0</v>
      </c>
      <c r="R42" s="795">
        <f t="shared" si="28"/>
        <v>0</v>
      </c>
      <c r="S42" s="795">
        <f t="shared" si="28"/>
        <v>0</v>
      </c>
      <c r="T42" s="795">
        <f t="shared" si="28"/>
        <v>0</v>
      </c>
      <c r="U42" s="795">
        <f t="shared" si="28"/>
        <v>0</v>
      </c>
      <c r="V42" s="795">
        <f t="shared" si="28"/>
        <v>0</v>
      </c>
      <c r="W42" s="795">
        <f t="shared" si="28"/>
        <v>0</v>
      </c>
      <c r="X42" s="795">
        <f t="shared" si="28"/>
        <v>0</v>
      </c>
      <c r="Y42" s="795">
        <f t="shared" si="28"/>
        <v>0</v>
      </c>
      <c r="Z42" s="795">
        <f t="shared" si="28"/>
        <v>0</v>
      </c>
      <c r="AA42" s="795">
        <f t="shared" si="28"/>
        <v>0</v>
      </c>
      <c r="AB42" s="795">
        <f t="shared" si="28"/>
        <v>0</v>
      </c>
      <c r="AC42" s="795">
        <f t="shared" si="28"/>
        <v>0</v>
      </c>
      <c r="AD42" s="795">
        <f t="shared" si="28"/>
        <v>0</v>
      </c>
      <c r="AE42" s="795">
        <f t="shared" si="28"/>
        <v>0</v>
      </c>
      <c r="AF42" s="795">
        <f t="shared" si="28"/>
        <v>0</v>
      </c>
      <c r="AG42" s="795">
        <f t="shared" si="28"/>
        <v>0</v>
      </c>
      <c r="AH42" s="795">
        <f t="shared" si="28"/>
        <v>0</v>
      </c>
      <c r="AI42" s="795">
        <f t="shared" si="28"/>
        <v>0</v>
      </c>
      <c r="AJ42" s="795">
        <f t="shared" si="28"/>
        <v>0</v>
      </c>
      <c r="AK42" s="795">
        <f t="shared" si="28"/>
        <v>0</v>
      </c>
      <c r="AL42" s="795">
        <f t="shared" si="28"/>
        <v>0</v>
      </c>
      <c r="AM42" s="795">
        <f t="shared" ref="AM42:BN42" si="29">IFERROR(-AM41/AM13,0)</f>
        <v>0</v>
      </c>
      <c r="AN42" s="795">
        <f t="shared" si="29"/>
        <v>0</v>
      </c>
      <c r="AO42" s="795">
        <f t="shared" si="29"/>
        <v>0</v>
      </c>
      <c r="AP42" s="795">
        <f t="shared" si="29"/>
        <v>0</v>
      </c>
      <c r="AQ42" s="795">
        <f t="shared" si="29"/>
        <v>0</v>
      </c>
      <c r="AR42" s="795">
        <f t="shared" si="29"/>
        <v>0</v>
      </c>
      <c r="AS42" s="795">
        <f t="shared" si="29"/>
        <v>0</v>
      </c>
      <c r="AT42" s="795">
        <f t="shared" si="29"/>
        <v>0</v>
      </c>
      <c r="AU42" s="795">
        <f t="shared" si="29"/>
        <v>0</v>
      </c>
      <c r="AV42" s="795">
        <f t="shared" si="29"/>
        <v>0</v>
      </c>
      <c r="AW42" s="795">
        <f t="shared" si="29"/>
        <v>0</v>
      </c>
      <c r="AX42" s="795">
        <f t="shared" si="29"/>
        <v>0</v>
      </c>
      <c r="AY42" s="795">
        <f t="shared" si="29"/>
        <v>0</v>
      </c>
      <c r="AZ42" s="795">
        <f t="shared" si="29"/>
        <v>0</v>
      </c>
      <c r="BA42" s="795">
        <f t="shared" si="29"/>
        <v>0</v>
      </c>
      <c r="BB42" s="795">
        <f t="shared" si="29"/>
        <v>0</v>
      </c>
      <c r="BC42" s="795">
        <f t="shared" si="29"/>
        <v>0</v>
      </c>
      <c r="BD42" s="795">
        <f t="shared" si="29"/>
        <v>0</v>
      </c>
      <c r="BE42" s="795">
        <f t="shared" si="29"/>
        <v>0</v>
      </c>
      <c r="BF42" s="795">
        <f t="shared" si="29"/>
        <v>0</v>
      </c>
      <c r="BG42" s="795">
        <f t="shared" si="29"/>
        <v>0</v>
      </c>
      <c r="BH42" s="795">
        <f t="shared" si="29"/>
        <v>0</v>
      </c>
      <c r="BI42" s="795">
        <f t="shared" si="29"/>
        <v>0</v>
      </c>
      <c r="BJ42" s="795">
        <f t="shared" si="29"/>
        <v>0</v>
      </c>
      <c r="BK42" s="795">
        <f t="shared" si="29"/>
        <v>0</v>
      </c>
      <c r="BL42" s="795">
        <f t="shared" si="29"/>
        <v>0</v>
      </c>
      <c r="BM42" s="795">
        <f t="shared" si="29"/>
        <v>0</v>
      </c>
      <c r="BN42" s="795">
        <f t="shared" si="29"/>
        <v>0</v>
      </c>
      <c r="BO42" s="795">
        <f t="shared" ref="BO42:DV42" si="30">IFERROR(-BO41/BO13,0)</f>
        <v>0</v>
      </c>
      <c r="BP42" s="795">
        <f t="shared" si="30"/>
        <v>0</v>
      </c>
      <c r="BQ42" s="795">
        <f t="shared" si="30"/>
        <v>0</v>
      </c>
      <c r="BR42" s="795">
        <f t="shared" si="30"/>
        <v>0</v>
      </c>
      <c r="BS42" s="795">
        <f t="shared" si="30"/>
        <v>0</v>
      </c>
      <c r="BT42" s="795">
        <f t="shared" si="30"/>
        <v>0</v>
      </c>
      <c r="BU42" s="795">
        <f t="shared" si="30"/>
        <v>0</v>
      </c>
      <c r="BV42" s="795">
        <f t="shared" si="30"/>
        <v>0</v>
      </c>
      <c r="BW42" s="795">
        <f t="shared" si="30"/>
        <v>0</v>
      </c>
      <c r="BX42" s="795">
        <f t="shared" si="30"/>
        <v>0</v>
      </c>
      <c r="BY42" s="795">
        <f t="shared" si="30"/>
        <v>0</v>
      </c>
      <c r="BZ42" s="795">
        <f t="shared" si="30"/>
        <v>0</v>
      </c>
      <c r="CA42" s="795">
        <f t="shared" si="30"/>
        <v>0</v>
      </c>
      <c r="CB42" s="795">
        <f t="shared" si="30"/>
        <v>0</v>
      </c>
      <c r="CC42" s="795">
        <f t="shared" si="30"/>
        <v>0</v>
      </c>
      <c r="CD42" s="795">
        <f t="shared" si="30"/>
        <v>0</v>
      </c>
      <c r="CE42" s="795">
        <f t="shared" si="30"/>
        <v>0</v>
      </c>
      <c r="CF42" s="795">
        <f t="shared" si="30"/>
        <v>0</v>
      </c>
      <c r="CG42" s="795">
        <f t="shared" si="30"/>
        <v>0</v>
      </c>
      <c r="CH42" s="795">
        <f t="shared" si="30"/>
        <v>0</v>
      </c>
      <c r="CI42" s="795">
        <f t="shared" si="30"/>
        <v>0</v>
      </c>
      <c r="CJ42" s="795">
        <f t="shared" si="30"/>
        <v>0</v>
      </c>
      <c r="CK42" s="795">
        <f t="shared" si="30"/>
        <v>0</v>
      </c>
      <c r="CL42" s="795">
        <f t="shared" si="30"/>
        <v>0</v>
      </c>
      <c r="CM42" s="795">
        <f t="shared" si="30"/>
        <v>0</v>
      </c>
      <c r="CN42" s="795">
        <f t="shared" si="30"/>
        <v>0</v>
      </c>
      <c r="CO42" s="795">
        <f t="shared" si="30"/>
        <v>0</v>
      </c>
      <c r="CP42" s="795">
        <f t="shared" si="30"/>
        <v>0</v>
      </c>
      <c r="CQ42" s="795">
        <f t="shared" si="30"/>
        <v>0</v>
      </c>
      <c r="CR42" s="795">
        <f t="shared" si="30"/>
        <v>0</v>
      </c>
      <c r="CS42" s="795">
        <f t="shared" si="30"/>
        <v>0</v>
      </c>
      <c r="CT42" s="795">
        <f t="shared" si="30"/>
        <v>0</v>
      </c>
      <c r="CU42" s="795">
        <f t="shared" si="30"/>
        <v>0</v>
      </c>
      <c r="CV42" s="795">
        <f t="shared" si="30"/>
        <v>0</v>
      </c>
      <c r="CW42" s="795">
        <f t="shared" si="30"/>
        <v>0</v>
      </c>
      <c r="CX42" s="795">
        <f t="shared" si="30"/>
        <v>0</v>
      </c>
      <c r="CY42" s="795">
        <f t="shared" si="30"/>
        <v>0</v>
      </c>
      <c r="CZ42" s="795">
        <f t="shared" si="30"/>
        <v>0</v>
      </c>
      <c r="DA42" s="795">
        <f t="shared" si="30"/>
        <v>0</v>
      </c>
      <c r="DB42" s="795">
        <f t="shared" si="30"/>
        <v>0</v>
      </c>
      <c r="DC42" s="795">
        <f t="shared" si="30"/>
        <v>0</v>
      </c>
      <c r="DD42" s="795">
        <f t="shared" si="30"/>
        <v>0</v>
      </c>
      <c r="DE42" s="795">
        <f t="shared" si="30"/>
        <v>0</v>
      </c>
      <c r="DF42" s="795">
        <f t="shared" si="30"/>
        <v>0</v>
      </c>
      <c r="DG42" s="795">
        <f t="shared" si="30"/>
        <v>0</v>
      </c>
      <c r="DH42" s="795">
        <f t="shared" si="30"/>
        <v>0</v>
      </c>
      <c r="DI42" s="795">
        <f t="shared" si="30"/>
        <v>0</v>
      </c>
      <c r="DJ42" s="795">
        <f t="shared" si="30"/>
        <v>0</v>
      </c>
      <c r="DK42" s="795">
        <f t="shared" si="30"/>
        <v>0</v>
      </c>
      <c r="DL42" s="795">
        <f t="shared" si="30"/>
        <v>0</v>
      </c>
      <c r="DM42" s="795">
        <f t="shared" si="30"/>
        <v>0</v>
      </c>
      <c r="DN42" s="795">
        <f t="shared" si="30"/>
        <v>0</v>
      </c>
      <c r="DO42" s="795">
        <f t="shared" si="30"/>
        <v>0</v>
      </c>
      <c r="DP42" s="795">
        <f t="shared" si="30"/>
        <v>0</v>
      </c>
      <c r="DQ42" s="795">
        <f t="shared" si="30"/>
        <v>0</v>
      </c>
      <c r="DR42" s="795">
        <f t="shared" si="30"/>
        <v>0</v>
      </c>
      <c r="DS42" s="795">
        <f t="shared" si="30"/>
        <v>0</v>
      </c>
      <c r="DT42" s="795">
        <f t="shared" si="30"/>
        <v>0</v>
      </c>
      <c r="DU42" s="795">
        <f t="shared" si="30"/>
        <v>0</v>
      </c>
      <c r="DV42" s="795">
        <f t="shared" si="30"/>
        <v>0</v>
      </c>
    </row>
    <row r="43" spans="1:127" s="1000" customFormat="1" ht="15" customHeight="1" x14ac:dyDescent="0.3">
      <c r="B43" s="334"/>
      <c r="C43" s="1032"/>
      <c r="D43" s="998"/>
      <c r="E43" s="1046"/>
      <c r="F43" s="308"/>
      <c r="G43" s="15"/>
      <c r="H43" s="15"/>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row>
    <row r="44" spans="1:127" s="1000" customFormat="1" ht="15" customHeight="1" x14ac:dyDescent="0.3">
      <c r="B44" s="1036" t="s">
        <v>18</v>
      </c>
      <c r="C44" s="1037">
        <f>C19+C41</f>
        <v>0</v>
      </c>
      <c r="D44" s="1038">
        <f>D19+D41</f>
        <v>0</v>
      </c>
      <c r="E44" s="1047">
        <f>E19+E41</f>
        <v>0</v>
      </c>
      <c r="F44" s="1039"/>
      <c r="G44" s="1040">
        <f t="shared" ref="G44:AL44" si="31">G19+G41</f>
        <v>0</v>
      </c>
      <c r="H44" s="1040">
        <f t="shared" si="31"/>
        <v>0</v>
      </c>
      <c r="I44" s="1041">
        <f t="shared" si="31"/>
        <v>0</v>
      </c>
      <c r="J44" s="1041">
        <f t="shared" si="31"/>
        <v>0</v>
      </c>
      <c r="K44" s="1041">
        <f t="shared" si="31"/>
        <v>0</v>
      </c>
      <c r="L44" s="1041">
        <f t="shared" si="31"/>
        <v>0</v>
      </c>
      <c r="M44" s="1041">
        <f t="shared" si="31"/>
        <v>0</v>
      </c>
      <c r="N44" s="1041">
        <f t="shared" si="31"/>
        <v>0</v>
      </c>
      <c r="O44" s="1041">
        <f t="shared" si="31"/>
        <v>0</v>
      </c>
      <c r="P44" s="1041">
        <f t="shared" si="31"/>
        <v>0</v>
      </c>
      <c r="Q44" s="1041">
        <f t="shared" si="31"/>
        <v>0</v>
      </c>
      <c r="R44" s="1041">
        <f t="shared" si="31"/>
        <v>0</v>
      </c>
      <c r="S44" s="1041">
        <f t="shared" si="31"/>
        <v>0</v>
      </c>
      <c r="T44" s="1041">
        <f t="shared" si="31"/>
        <v>0</v>
      </c>
      <c r="U44" s="1041">
        <f t="shared" si="31"/>
        <v>0</v>
      </c>
      <c r="V44" s="1041">
        <f t="shared" si="31"/>
        <v>0</v>
      </c>
      <c r="W44" s="1041">
        <f t="shared" si="31"/>
        <v>0</v>
      </c>
      <c r="X44" s="1041">
        <f t="shared" si="31"/>
        <v>0</v>
      </c>
      <c r="Y44" s="1041">
        <f t="shared" si="31"/>
        <v>0</v>
      </c>
      <c r="Z44" s="1041">
        <f t="shared" si="31"/>
        <v>0</v>
      </c>
      <c r="AA44" s="1041">
        <f t="shared" si="31"/>
        <v>0</v>
      </c>
      <c r="AB44" s="1041">
        <f t="shared" si="31"/>
        <v>0</v>
      </c>
      <c r="AC44" s="1041">
        <f t="shared" si="31"/>
        <v>0</v>
      </c>
      <c r="AD44" s="1041">
        <f t="shared" si="31"/>
        <v>0</v>
      </c>
      <c r="AE44" s="1041">
        <f t="shared" si="31"/>
        <v>0</v>
      </c>
      <c r="AF44" s="1041">
        <f t="shared" si="31"/>
        <v>0</v>
      </c>
      <c r="AG44" s="1041">
        <f t="shared" si="31"/>
        <v>0</v>
      </c>
      <c r="AH44" s="1041">
        <f t="shared" si="31"/>
        <v>0</v>
      </c>
      <c r="AI44" s="1041">
        <f t="shared" si="31"/>
        <v>0</v>
      </c>
      <c r="AJ44" s="1041">
        <f t="shared" si="31"/>
        <v>0</v>
      </c>
      <c r="AK44" s="1041">
        <f t="shared" si="31"/>
        <v>0</v>
      </c>
      <c r="AL44" s="1041">
        <f t="shared" si="31"/>
        <v>0</v>
      </c>
      <c r="AM44" s="1041">
        <f t="shared" ref="AM44:BN44" si="32">AM19+AM41</f>
        <v>0</v>
      </c>
      <c r="AN44" s="1041">
        <f t="shared" si="32"/>
        <v>0</v>
      </c>
      <c r="AO44" s="1041">
        <f t="shared" si="32"/>
        <v>0</v>
      </c>
      <c r="AP44" s="1041">
        <f t="shared" si="32"/>
        <v>0</v>
      </c>
      <c r="AQ44" s="1041">
        <f t="shared" si="32"/>
        <v>0</v>
      </c>
      <c r="AR44" s="1041">
        <f t="shared" si="32"/>
        <v>0</v>
      </c>
      <c r="AS44" s="1041">
        <f t="shared" si="32"/>
        <v>0</v>
      </c>
      <c r="AT44" s="1041">
        <f t="shared" si="32"/>
        <v>0</v>
      </c>
      <c r="AU44" s="1041">
        <f t="shared" si="32"/>
        <v>0</v>
      </c>
      <c r="AV44" s="1041">
        <f t="shared" si="32"/>
        <v>0</v>
      </c>
      <c r="AW44" s="1041">
        <f t="shared" si="32"/>
        <v>0</v>
      </c>
      <c r="AX44" s="1041">
        <f t="shared" si="32"/>
        <v>0</v>
      </c>
      <c r="AY44" s="1041">
        <f t="shared" si="32"/>
        <v>0</v>
      </c>
      <c r="AZ44" s="1041">
        <f t="shared" si="32"/>
        <v>0</v>
      </c>
      <c r="BA44" s="1041">
        <f t="shared" si="32"/>
        <v>0</v>
      </c>
      <c r="BB44" s="1041">
        <f t="shared" si="32"/>
        <v>0</v>
      </c>
      <c r="BC44" s="1041">
        <f t="shared" si="32"/>
        <v>0</v>
      </c>
      <c r="BD44" s="1041">
        <f t="shared" si="32"/>
        <v>0</v>
      </c>
      <c r="BE44" s="1041">
        <f t="shared" si="32"/>
        <v>0</v>
      </c>
      <c r="BF44" s="1041">
        <f t="shared" si="32"/>
        <v>0</v>
      </c>
      <c r="BG44" s="1041">
        <f t="shared" si="32"/>
        <v>0</v>
      </c>
      <c r="BH44" s="1041">
        <f t="shared" si="32"/>
        <v>0</v>
      </c>
      <c r="BI44" s="1041">
        <f t="shared" si="32"/>
        <v>0</v>
      </c>
      <c r="BJ44" s="1041">
        <f t="shared" si="32"/>
        <v>0</v>
      </c>
      <c r="BK44" s="1041">
        <f t="shared" si="32"/>
        <v>0</v>
      </c>
      <c r="BL44" s="1041">
        <f t="shared" si="32"/>
        <v>0</v>
      </c>
      <c r="BM44" s="1041">
        <f t="shared" si="32"/>
        <v>0</v>
      </c>
      <c r="BN44" s="1041">
        <f t="shared" si="32"/>
        <v>0</v>
      </c>
      <c r="BO44" s="1041">
        <f t="shared" ref="BO44:DV44" si="33">BO19+BO41</f>
        <v>0</v>
      </c>
      <c r="BP44" s="1041">
        <f t="shared" si="33"/>
        <v>0</v>
      </c>
      <c r="BQ44" s="1041">
        <f t="shared" si="33"/>
        <v>0</v>
      </c>
      <c r="BR44" s="1041">
        <f t="shared" si="33"/>
        <v>0</v>
      </c>
      <c r="BS44" s="1041">
        <f t="shared" si="33"/>
        <v>0</v>
      </c>
      <c r="BT44" s="1041">
        <f t="shared" si="33"/>
        <v>0</v>
      </c>
      <c r="BU44" s="1041">
        <f t="shared" si="33"/>
        <v>0</v>
      </c>
      <c r="BV44" s="1041">
        <f t="shared" si="33"/>
        <v>0</v>
      </c>
      <c r="BW44" s="1041">
        <f t="shared" si="33"/>
        <v>0</v>
      </c>
      <c r="BX44" s="1041">
        <f t="shared" si="33"/>
        <v>0</v>
      </c>
      <c r="BY44" s="1041">
        <f t="shared" si="33"/>
        <v>0</v>
      </c>
      <c r="BZ44" s="1041">
        <f t="shared" si="33"/>
        <v>0</v>
      </c>
      <c r="CA44" s="1041">
        <f t="shared" si="33"/>
        <v>0</v>
      </c>
      <c r="CB44" s="1041">
        <f t="shared" si="33"/>
        <v>0</v>
      </c>
      <c r="CC44" s="1041">
        <f t="shared" si="33"/>
        <v>0</v>
      </c>
      <c r="CD44" s="1041">
        <f t="shared" si="33"/>
        <v>0</v>
      </c>
      <c r="CE44" s="1041">
        <f t="shared" si="33"/>
        <v>0</v>
      </c>
      <c r="CF44" s="1041">
        <f t="shared" si="33"/>
        <v>0</v>
      </c>
      <c r="CG44" s="1041">
        <f t="shared" si="33"/>
        <v>0</v>
      </c>
      <c r="CH44" s="1041">
        <f t="shared" si="33"/>
        <v>0</v>
      </c>
      <c r="CI44" s="1041">
        <f t="shared" si="33"/>
        <v>0</v>
      </c>
      <c r="CJ44" s="1041">
        <f t="shared" si="33"/>
        <v>0</v>
      </c>
      <c r="CK44" s="1041">
        <f t="shared" si="33"/>
        <v>0</v>
      </c>
      <c r="CL44" s="1041">
        <f t="shared" si="33"/>
        <v>0</v>
      </c>
      <c r="CM44" s="1041">
        <f t="shared" si="33"/>
        <v>0</v>
      </c>
      <c r="CN44" s="1041">
        <f t="shared" si="33"/>
        <v>0</v>
      </c>
      <c r="CO44" s="1041">
        <f t="shared" si="33"/>
        <v>0</v>
      </c>
      <c r="CP44" s="1041">
        <f t="shared" si="33"/>
        <v>0</v>
      </c>
      <c r="CQ44" s="1041">
        <f t="shared" si="33"/>
        <v>0</v>
      </c>
      <c r="CR44" s="1041">
        <f t="shared" si="33"/>
        <v>0</v>
      </c>
      <c r="CS44" s="1041">
        <f t="shared" si="33"/>
        <v>0</v>
      </c>
      <c r="CT44" s="1041">
        <f t="shared" si="33"/>
        <v>0</v>
      </c>
      <c r="CU44" s="1041">
        <f t="shared" si="33"/>
        <v>0</v>
      </c>
      <c r="CV44" s="1041">
        <f t="shared" si="33"/>
        <v>0</v>
      </c>
      <c r="CW44" s="1041">
        <f t="shared" si="33"/>
        <v>0</v>
      </c>
      <c r="CX44" s="1041">
        <f t="shared" si="33"/>
        <v>0</v>
      </c>
      <c r="CY44" s="1041">
        <f t="shared" si="33"/>
        <v>0</v>
      </c>
      <c r="CZ44" s="1041">
        <f t="shared" si="33"/>
        <v>0</v>
      </c>
      <c r="DA44" s="1041">
        <f t="shared" si="33"/>
        <v>0</v>
      </c>
      <c r="DB44" s="1041">
        <f t="shared" si="33"/>
        <v>0</v>
      </c>
      <c r="DC44" s="1041">
        <f t="shared" si="33"/>
        <v>0</v>
      </c>
      <c r="DD44" s="1041">
        <f t="shared" si="33"/>
        <v>0</v>
      </c>
      <c r="DE44" s="1041">
        <f t="shared" si="33"/>
        <v>0</v>
      </c>
      <c r="DF44" s="1041">
        <f t="shared" si="33"/>
        <v>0</v>
      </c>
      <c r="DG44" s="1041">
        <f t="shared" si="33"/>
        <v>0</v>
      </c>
      <c r="DH44" s="1041">
        <f t="shared" si="33"/>
        <v>0</v>
      </c>
      <c r="DI44" s="1041">
        <f t="shared" si="33"/>
        <v>0</v>
      </c>
      <c r="DJ44" s="1041">
        <f t="shared" si="33"/>
        <v>0</v>
      </c>
      <c r="DK44" s="1041">
        <f t="shared" si="33"/>
        <v>0</v>
      </c>
      <c r="DL44" s="1041">
        <f t="shared" si="33"/>
        <v>0</v>
      </c>
      <c r="DM44" s="1041">
        <f t="shared" si="33"/>
        <v>0</v>
      </c>
      <c r="DN44" s="1041">
        <f t="shared" si="33"/>
        <v>0</v>
      </c>
      <c r="DO44" s="1041">
        <f t="shared" si="33"/>
        <v>0</v>
      </c>
      <c r="DP44" s="1041">
        <f t="shared" si="33"/>
        <v>0</v>
      </c>
      <c r="DQ44" s="1041">
        <f t="shared" si="33"/>
        <v>0</v>
      </c>
      <c r="DR44" s="1041">
        <f t="shared" si="33"/>
        <v>0</v>
      </c>
      <c r="DS44" s="1041">
        <f t="shared" si="33"/>
        <v>0</v>
      </c>
      <c r="DT44" s="1041">
        <f t="shared" si="33"/>
        <v>0</v>
      </c>
      <c r="DU44" s="1041">
        <f t="shared" si="33"/>
        <v>0</v>
      </c>
      <c r="DV44" s="1042">
        <f t="shared" si="33"/>
        <v>0</v>
      </c>
    </row>
    <row r="45" spans="1:127" s="1000" customFormat="1" ht="15" customHeight="1" x14ac:dyDescent="0.3">
      <c r="A45" s="1068"/>
      <c r="B45" s="1060" t="s">
        <v>588</v>
      </c>
      <c r="C45" s="1061">
        <f>IFERROR(C44/C13,0)</f>
        <v>0</v>
      </c>
      <c r="D45" s="1062">
        <f>IFERROR(D44/D13,0)</f>
        <v>0</v>
      </c>
      <c r="E45" s="1063">
        <f>IFERROR(E44/E13,0)</f>
        <v>0</v>
      </c>
      <c r="F45" s="1064"/>
      <c r="G45" s="1065">
        <f t="shared" ref="G45:AL45" si="34">IFERROR(G44/G13,0)</f>
        <v>0</v>
      </c>
      <c r="H45" s="1065">
        <f t="shared" si="34"/>
        <v>0</v>
      </c>
      <c r="I45" s="1066">
        <f t="shared" si="34"/>
        <v>0</v>
      </c>
      <c r="J45" s="1066">
        <f t="shared" si="34"/>
        <v>0</v>
      </c>
      <c r="K45" s="1066">
        <f t="shared" si="34"/>
        <v>0</v>
      </c>
      <c r="L45" s="1066">
        <f t="shared" si="34"/>
        <v>0</v>
      </c>
      <c r="M45" s="1066">
        <f t="shared" si="34"/>
        <v>0</v>
      </c>
      <c r="N45" s="1066">
        <f t="shared" si="34"/>
        <v>0</v>
      </c>
      <c r="O45" s="1066">
        <f t="shared" si="34"/>
        <v>0</v>
      </c>
      <c r="P45" s="1066">
        <f t="shared" si="34"/>
        <v>0</v>
      </c>
      <c r="Q45" s="1066">
        <f t="shared" si="34"/>
        <v>0</v>
      </c>
      <c r="R45" s="1066">
        <f t="shared" si="34"/>
        <v>0</v>
      </c>
      <c r="S45" s="1066">
        <f t="shared" si="34"/>
        <v>0</v>
      </c>
      <c r="T45" s="1066">
        <f t="shared" si="34"/>
        <v>0</v>
      </c>
      <c r="U45" s="1066">
        <f t="shared" si="34"/>
        <v>0</v>
      </c>
      <c r="V45" s="1066">
        <f t="shared" si="34"/>
        <v>0</v>
      </c>
      <c r="W45" s="1066">
        <f t="shared" si="34"/>
        <v>0</v>
      </c>
      <c r="X45" s="1066">
        <f t="shared" si="34"/>
        <v>0</v>
      </c>
      <c r="Y45" s="1066">
        <f t="shared" si="34"/>
        <v>0</v>
      </c>
      <c r="Z45" s="1066">
        <f t="shared" si="34"/>
        <v>0</v>
      </c>
      <c r="AA45" s="1066">
        <f t="shared" si="34"/>
        <v>0</v>
      </c>
      <c r="AB45" s="1066">
        <f t="shared" si="34"/>
        <v>0</v>
      </c>
      <c r="AC45" s="1066">
        <f t="shared" si="34"/>
        <v>0</v>
      </c>
      <c r="AD45" s="1066">
        <f t="shared" si="34"/>
        <v>0</v>
      </c>
      <c r="AE45" s="1066">
        <f t="shared" si="34"/>
        <v>0</v>
      </c>
      <c r="AF45" s="1066">
        <f t="shared" si="34"/>
        <v>0</v>
      </c>
      <c r="AG45" s="1066">
        <f t="shared" si="34"/>
        <v>0</v>
      </c>
      <c r="AH45" s="1066">
        <f t="shared" si="34"/>
        <v>0</v>
      </c>
      <c r="AI45" s="1066">
        <f t="shared" si="34"/>
        <v>0</v>
      </c>
      <c r="AJ45" s="1066">
        <f t="shared" si="34"/>
        <v>0</v>
      </c>
      <c r="AK45" s="1066">
        <f t="shared" si="34"/>
        <v>0</v>
      </c>
      <c r="AL45" s="1066">
        <f t="shared" si="34"/>
        <v>0</v>
      </c>
      <c r="AM45" s="1066">
        <f t="shared" ref="AM45:BN45" si="35">IFERROR(AM44/AM13,0)</f>
        <v>0</v>
      </c>
      <c r="AN45" s="1066">
        <f t="shared" si="35"/>
        <v>0</v>
      </c>
      <c r="AO45" s="1066">
        <f t="shared" si="35"/>
        <v>0</v>
      </c>
      <c r="AP45" s="1066">
        <f t="shared" si="35"/>
        <v>0</v>
      </c>
      <c r="AQ45" s="1066">
        <f t="shared" si="35"/>
        <v>0</v>
      </c>
      <c r="AR45" s="1066">
        <f t="shared" si="35"/>
        <v>0</v>
      </c>
      <c r="AS45" s="1066">
        <f t="shared" si="35"/>
        <v>0</v>
      </c>
      <c r="AT45" s="1066">
        <f t="shared" si="35"/>
        <v>0</v>
      </c>
      <c r="AU45" s="1066">
        <f t="shared" si="35"/>
        <v>0</v>
      </c>
      <c r="AV45" s="1066">
        <f t="shared" si="35"/>
        <v>0</v>
      </c>
      <c r="AW45" s="1066">
        <f t="shared" si="35"/>
        <v>0</v>
      </c>
      <c r="AX45" s="1066">
        <f t="shared" si="35"/>
        <v>0</v>
      </c>
      <c r="AY45" s="1066">
        <f t="shared" si="35"/>
        <v>0</v>
      </c>
      <c r="AZ45" s="1066">
        <f t="shared" si="35"/>
        <v>0</v>
      </c>
      <c r="BA45" s="1066">
        <f t="shared" si="35"/>
        <v>0</v>
      </c>
      <c r="BB45" s="1066">
        <f t="shared" si="35"/>
        <v>0</v>
      </c>
      <c r="BC45" s="1066">
        <f t="shared" si="35"/>
        <v>0</v>
      </c>
      <c r="BD45" s="1066">
        <f t="shared" si="35"/>
        <v>0</v>
      </c>
      <c r="BE45" s="1066">
        <f t="shared" si="35"/>
        <v>0</v>
      </c>
      <c r="BF45" s="1066">
        <f t="shared" si="35"/>
        <v>0</v>
      </c>
      <c r="BG45" s="1066">
        <f t="shared" si="35"/>
        <v>0</v>
      </c>
      <c r="BH45" s="1066">
        <f t="shared" si="35"/>
        <v>0</v>
      </c>
      <c r="BI45" s="1066">
        <f t="shared" si="35"/>
        <v>0</v>
      </c>
      <c r="BJ45" s="1066">
        <f t="shared" si="35"/>
        <v>0</v>
      </c>
      <c r="BK45" s="1066">
        <f t="shared" si="35"/>
        <v>0</v>
      </c>
      <c r="BL45" s="1066">
        <f t="shared" si="35"/>
        <v>0</v>
      </c>
      <c r="BM45" s="1066">
        <f t="shared" si="35"/>
        <v>0</v>
      </c>
      <c r="BN45" s="1066">
        <f t="shared" si="35"/>
        <v>0</v>
      </c>
      <c r="BO45" s="1066">
        <f t="shared" ref="BO45:DV45" si="36">IFERROR(BO44/BO13,0)</f>
        <v>0</v>
      </c>
      <c r="BP45" s="1066">
        <f t="shared" si="36"/>
        <v>0</v>
      </c>
      <c r="BQ45" s="1066">
        <f t="shared" si="36"/>
        <v>0</v>
      </c>
      <c r="BR45" s="1066">
        <f t="shared" si="36"/>
        <v>0</v>
      </c>
      <c r="BS45" s="1066">
        <f t="shared" si="36"/>
        <v>0</v>
      </c>
      <c r="BT45" s="1066">
        <f t="shared" si="36"/>
        <v>0</v>
      </c>
      <c r="BU45" s="1066">
        <f t="shared" si="36"/>
        <v>0</v>
      </c>
      <c r="BV45" s="1066">
        <f t="shared" si="36"/>
        <v>0</v>
      </c>
      <c r="BW45" s="1066">
        <f t="shared" si="36"/>
        <v>0</v>
      </c>
      <c r="BX45" s="1066">
        <f t="shared" si="36"/>
        <v>0</v>
      </c>
      <c r="BY45" s="1066">
        <f t="shared" si="36"/>
        <v>0</v>
      </c>
      <c r="BZ45" s="1066">
        <f t="shared" si="36"/>
        <v>0</v>
      </c>
      <c r="CA45" s="1066">
        <f t="shared" si="36"/>
        <v>0</v>
      </c>
      <c r="CB45" s="1066">
        <f t="shared" si="36"/>
        <v>0</v>
      </c>
      <c r="CC45" s="1066">
        <f t="shared" si="36"/>
        <v>0</v>
      </c>
      <c r="CD45" s="1066">
        <f t="shared" si="36"/>
        <v>0</v>
      </c>
      <c r="CE45" s="1066">
        <f t="shared" si="36"/>
        <v>0</v>
      </c>
      <c r="CF45" s="1066">
        <f t="shared" si="36"/>
        <v>0</v>
      </c>
      <c r="CG45" s="1066">
        <f t="shared" si="36"/>
        <v>0</v>
      </c>
      <c r="CH45" s="1066">
        <f t="shared" si="36"/>
        <v>0</v>
      </c>
      <c r="CI45" s="1066">
        <f t="shared" si="36"/>
        <v>0</v>
      </c>
      <c r="CJ45" s="1066">
        <f t="shared" si="36"/>
        <v>0</v>
      </c>
      <c r="CK45" s="1066">
        <f t="shared" si="36"/>
        <v>0</v>
      </c>
      <c r="CL45" s="1066">
        <f t="shared" si="36"/>
        <v>0</v>
      </c>
      <c r="CM45" s="1066">
        <f t="shared" si="36"/>
        <v>0</v>
      </c>
      <c r="CN45" s="1066">
        <f t="shared" si="36"/>
        <v>0</v>
      </c>
      <c r="CO45" s="1066">
        <f t="shared" si="36"/>
        <v>0</v>
      </c>
      <c r="CP45" s="1066">
        <f t="shared" si="36"/>
        <v>0</v>
      </c>
      <c r="CQ45" s="1066">
        <f t="shared" si="36"/>
        <v>0</v>
      </c>
      <c r="CR45" s="1066">
        <f t="shared" si="36"/>
        <v>0</v>
      </c>
      <c r="CS45" s="1066">
        <f t="shared" si="36"/>
        <v>0</v>
      </c>
      <c r="CT45" s="1066">
        <f t="shared" si="36"/>
        <v>0</v>
      </c>
      <c r="CU45" s="1066">
        <f t="shared" si="36"/>
        <v>0</v>
      </c>
      <c r="CV45" s="1066">
        <f t="shared" si="36"/>
        <v>0</v>
      </c>
      <c r="CW45" s="1066">
        <f t="shared" si="36"/>
        <v>0</v>
      </c>
      <c r="CX45" s="1066">
        <f t="shared" si="36"/>
        <v>0</v>
      </c>
      <c r="CY45" s="1066">
        <f t="shared" si="36"/>
        <v>0</v>
      </c>
      <c r="CZ45" s="1066">
        <f t="shared" si="36"/>
        <v>0</v>
      </c>
      <c r="DA45" s="1066">
        <f t="shared" si="36"/>
        <v>0</v>
      </c>
      <c r="DB45" s="1066">
        <f t="shared" si="36"/>
        <v>0</v>
      </c>
      <c r="DC45" s="1066">
        <f t="shared" si="36"/>
        <v>0</v>
      </c>
      <c r="DD45" s="1066">
        <f t="shared" si="36"/>
        <v>0</v>
      </c>
      <c r="DE45" s="1066">
        <f t="shared" si="36"/>
        <v>0</v>
      </c>
      <c r="DF45" s="1066">
        <f t="shared" si="36"/>
        <v>0</v>
      </c>
      <c r="DG45" s="1066">
        <f t="shared" si="36"/>
        <v>0</v>
      </c>
      <c r="DH45" s="1066">
        <f t="shared" si="36"/>
        <v>0</v>
      </c>
      <c r="DI45" s="1066">
        <f t="shared" si="36"/>
        <v>0</v>
      </c>
      <c r="DJ45" s="1066">
        <f t="shared" si="36"/>
        <v>0</v>
      </c>
      <c r="DK45" s="1066">
        <f t="shared" si="36"/>
        <v>0</v>
      </c>
      <c r="DL45" s="1066">
        <f t="shared" si="36"/>
        <v>0</v>
      </c>
      <c r="DM45" s="1066">
        <f t="shared" si="36"/>
        <v>0</v>
      </c>
      <c r="DN45" s="1066">
        <f t="shared" si="36"/>
        <v>0</v>
      </c>
      <c r="DO45" s="1066">
        <f t="shared" si="36"/>
        <v>0</v>
      </c>
      <c r="DP45" s="1066">
        <f t="shared" si="36"/>
        <v>0</v>
      </c>
      <c r="DQ45" s="1066">
        <f t="shared" si="36"/>
        <v>0</v>
      </c>
      <c r="DR45" s="1066">
        <f t="shared" si="36"/>
        <v>0</v>
      </c>
      <c r="DS45" s="1066">
        <f t="shared" si="36"/>
        <v>0</v>
      </c>
      <c r="DT45" s="1066">
        <f t="shared" si="36"/>
        <v>0</v>
      </c>
      <c r="DU45" s="1066">
        <f t="shared" si="36"/>
        <v>0</v>
      </c>
      <c r="DV45" s="1067">
        <f t="shared" si="36"/>
        <v>0</v>
      </c>
      <c r="DW45" s="1068"/>
    </row>
    <row r="46" spans="1:127" s="1000" customFormat="1" ht="15" customHeight="1" x14ac:dyDescent="0.3">
      <c r="B46" s="334"/>
      <c r="C46" s="1032"/>
      <c r="D46" s="998"/>
      <c r="E46" s="1046"/>
      <c r="F46" s="20"/>
      <c r="G46" s="15"/>
      <c r="H46" s="938"/>
      <c r="I46" s="938"/>
      <c r="J46" s="938"/>
      <c r="K46" s="938"/>
      <c r="L46" s="938"/>
      <c r="M46" s="938"/>
      <c r="N46" s="938"/>
      <c r="O46" s="938"/>
      <c r="P46" s="938"/>
      <c r="Q46" s="938"/>
      <c r="R46" s="938"/>
      <c r="S46" s="938"/>
      <c r="T46" s="938"/>
      <c r="U46" s="938"/>
      <c r="V46" s="938"/>
      <c r="W46" s="938"/>
      <c r="X46" s="938"/>
      <c r="Y46" s="938"/>
      <c r="Z46" s="938"/>
      <c r="AA46" s="938"/>
      <c r="AB46" s="938"/>
      <c r="AC46" s="938"/>
      <c r="AD46" s="938"/>
      <c r="AE46" s="938"/>
      <c r="AF46" s="938"/>
      <c r="AG46" s="938"/>
      <c r="AH46" s="938"/>
      <c r="AI46" s="938"/>
      <c r="AJ46" s="938"/>
      <c r="AK46" s="938"/>
      <c r="AL46" s="938"/>
      <c r="AM46" s="938"/>
      <c r="AN46" s="938"/>
      <c r="AO46" s="938"/>
      <c r="AP46" s="938"/>
      <c r="AQ46" s="938"/>
      <c r="AR46" s="938"/>
      <c r="AS46" s="938"/>
      <c r="AT46" s="938"/>
      <c r="AU46" s="938"/>
      <c r="AV46" s="938"/>
      <c r="AW46" s="938"/>
      <c r="AX46" s="938"/>
      <c r="AY46" s="938"/>
      <c r="AZ46" s="938"/>
      <c r="BA46" s="938"/>
      <c r="BB46" s="938"/>
      <c r="BC46" s="938"/>
      <c r="BD46" s="938"/>
      <c r="BE46" s="938"/>
      <c r="BF46" s="938"/>
      <c r="BG46" s="938"/>
      <c r="BH46" s="938"/>
      <c r="BI46" s="938"/>
      <c r="BJ46" s="938"/>
      <c r="BK46" s="938"/>
      <c r="BL46" s="938"/>
      <c r="BM46" s="938"/>
      <c r="BN46" s="938"/>
      <c r="BO46" s="938"/>
      <c r="BP46" s="938"/>
      <c r="BQ46" s="938"/>
      <c r="BR46" s="938"/>
      <c r="BS46" s="938"/>
      <c r="BT46" s="938"/>
      <c r="BU46" s="938"/>
      <c r="BV46" s="938"/>
      <c r="BW46" s="938"/>
      <c r="BX46" s="938"/>
      <c r="BY46" s="938"/>
      <c r="BZ46" s="938"/>
      <c r="CA46" s="938"/>
      <c r="CB46" s="938"/>
      <c r="CC46" s="938"/>
      <c r="CD46" s="938"/>
      <c r="CE46" s="938"/>
      <c r="CF46" s="938"/>
      <c r="CG46" s="938"/>
      <c r="CH46" s="938"/>
      <c r="CI46" s="938"/>
      <c r="CJ46" s="938"/>
      <c r="CK46" s="938"/>
      <c r="CL46" s="938"/>
      <c r="CM46" s="938"/>
      <c r="CN46" s="938"/>
      <c r="CO46" s="938"/>
      <c r="CP46" s="938"/>
      <c r="CQ46" s="938"/>
      <c r="CR46" s="938"/>
      <c r="CS46" s="938"/>
      <c r="CT46" s="938"/>
      <c r="CU46" s="938"/>
      <c r="CV46" s="938"/>
      <c r="CW46" s="938"/>
      <c r="CX46" s="938"/>
      <c r="CY46" s="938"/>
      <c r="CZ46" s="938"/>
      <c r="DA46" s="938"/>
      <c r="DB46" s="938"/>
      <c r="DC46" s="938"/>
      <c r="DD46" s="938"/>
      <c r="DE46" s="938"/>
      <c r="DF46" s="938"/>
      <c r="DG46" s="938"/>
      <c r="DH46" s="938"/>
      <c r="DI46" s="938"/>
      <c r="DJ46" s="938"/>
      <c r="DK46" s="938"/>
      <c r="DL46" s="938"/>
      <c r="DM46" s="938"/>
      <c r="DN46" s="938"/>
      <c r="DO46" s="938"/>
      <c r="DP46" s="938"/>
      <c r="DQ46" s="938"/>
      <c r="DR46" s="938"/>
      <c r="DS46" s="938"/>
      <c r="DT46" s="938"/>
      <c r="DU46" s="938"/>
      <c r="DV46" s="938"/>
    </row>
    <row r="47" spans="1:127" s="1000" customFormat="1" ht="15" customHeight="1" x14ac:dyDescent="0.3">
      <c r="B47" s="334" t="str">
        <f>FORECASTS!B74</f>
        <v>Capital Expenditures</v>
      </c>
      <c r="C47" s="1029">
        <f>IFERROR(SUMIF($G$7:$DV$7,$D$7,G47:DV47),0)</f>
        <v>0</v>
      </c>
      <c r="D47" s="1014">
        <f>IFERROR(AVERAGEIF($G$7:$DV$7,$D$7,G47:DV47),0)</f>
        <v>0</v>
      </c>
      <c r="E47" s="1012">
        <f>IFERROR(SUMIF($G$7:$DV$7,$D$7,G47:DV47)/COUNTIFS($G$7:$DV$7,$D$7,G47:DV47,"&lt;&gt;")*12,0)</f>
        <v>0</v>
      </c>
      <c r="F47" s="309"/>
      <c r="G47" s="1711"/>
      <c r="H47" s="1711"/>
      <c r="I47" s="1711"/>
      <c r="J47" s="1711"/>
      <c r="K47" s="1711"/>
      <c r="L47" s="1711"/>
      <c r="M47" s="1711"/>
      <c r="N47" s="1711"/>
      <c r="O47" s="1711"/>
      <c r="P47" s="1711"/>
      <c r="Q47" s="1711"/>
      <c r="R47" s="1711"/>
      <c r="S47" s="1711"/>
      <c r="T47" s="1711"/>
      <c r="U47" s="1711"/>
      <c r="V47" s="1711"/>
      <c r="W47" s="1711"/>
      <c r="X47" s="1711"/>
      <c r="Y47" s="1711"/>
      <c r="Z47" s="1711"/>
      <c r="AA47" s="1711"/>
      <c r="AB47" s="1711"/>
      <c r="AC47" s="1711"/>
      <c r="AD47" s="1711"/>
      <c r="AE47" s="1711"/>
      <c r="AF47" s="1711"/>
      <c r="AG47" s="1711"/>
      <c r="AH47" s="1711"/>
      <c r="AI47" s="1711"/>
      <c r="AJ47" s="1711"/>
      <c r="AK47" s="1711"/>
      <c r="AL47" s="1711"/>
      <c r="AM47" s="1711"/>
      <c r="AN47" s="1711"/>
      <c r="AO47" s="1711"/>
      <c r="AP47" s="1711"/>
      <c r="AQ47" s="1711"/>
      <c r="AR47" s="1711"/>
      <c r="AS47" s="1711"/>
      <c r="AT47" s="1711"/>
      <c r="AU47" s="1711"/>
      <c r="AV47" s="1711"/>
      <c r="AW47" s="1711"/>
      <c r="AX47" s="1711"/>
      <c r="AY47" s="1711"/>
      <c r="AZ47" s="1711"/>
      <c r="BA47" s="1711"/>
      <c r="BB47" s="1711"/>
      <c r="BC47" s="1711"/>
      <c r="BD47" s="1711"/>
      <c r="BE47" s="1711"/>
      <c r="BF47" s="1711"/>
      <c r="BG47" s="1711"/>
      <c r="BH47" s="1711"/>
      <c r="BI47" s="1711"/>
      <c r="BJ47" s="1711"/>
      <c r="BK47" s="1711"/>
      <c r="BL47" s="1711"/>
      <c r="BM47" s="1711"/>
      <c r="BN47" s="1711"/>
      <c r="BO47" s="1711"/>
      <c r="BP47" s="1711"/>
      <c r="BQ47" s="1711"/>
      <c r="BR47" s="1711"/>
      <c r="BS47" s="1711"/>
      <c r="BT47" s="1711"/>
      <c r="BU47" s="1711"/>
      <c r="BV47" s="1711"/>
      <c r="BW47" s="1711"/>
      <c r="BX47" s="1711"/>
      <c r="BY47" s="1711"/>
      <c r="BZ47" s="1711"/>
      <c r="CA47" s="1711"/>
      <c r="CB47" s="1711"/>
      <c r="CC47" s="1711"/>
      <c r="CD47" s="1711"/>
      <c r="CE47" s="1711"/>
      <c r="CF47" s="1711"/>
      <c r="CG47" s="1711"/>
      <c r="CH47" s="1711"/>
      <c r="CI47" s="1711"/>
      <c r="CJ47" s="1711"/>
      <c r="CK47" s="1711"/>
      <c r="CL47" s="1711"/>
      <c r="CM47" s="1711"/>
      <c r="CN47" s="1711"/>
      <c r="CO47" s="1711"/>
      <c r="CP47" s="1711"/>
      <c r="CQ47" s="1711"/>
      <c r="CR47" s="1711"/>
      <c r="CS47" s="1711"/>
      <c r="CT47" s="1711"/>
      <c r="CU47" s="1711"/>
      <c r="CV47" s="1711"/>
      <c r="CW47" s="1711"/>
      <c r="CX47" s="1711"/>
      <c r="CY47" s="1711"/>
      <c r="CZ47" s="1711"/>
      <c r="DA47" s="1711"/>
      <c r="DB47" s="1711"/>
      <c r="DC47" s="1711"/>
      <c r="DD47" s="1711"/>
      <c r="DE47" s="1711"/>
      <c r="DF47" s="1711"/>
      <c r="DG47" s="1711"/>
      <c r="DH47" s="1711"/>
      <c r="DI47" s="1711"/>
      <c r="DJ47" s="1711"/>
      <c r="DK47" s="1711"/>
      <c r="DL47" s="1711"/>
      <c r="DM47" s="1711"/>
      <c r="DN47" s="1711"/>
      <c r="DO47" s="1711"/>
      <c r="DP47" s="1711"/>
      <c r="DQ47" s="1711"/>
      <c r="DR47" s="1711"/>
      <c r="DS47" s="1711"/>
      <c r="DT47" s="1711"/>
      <c r="DU47" s="1711"/>
      <c r="DV47" s="1711"/>
    </row>
    <row r="48" spans="1:127" s="1000" customFormat="1" ht="15" customHeight="1" x14ac:dyDescent="0.3">
      <c r="B48" s="334" t="str">
        <f>FORECASTS!B76</f>
        <v>Non Op. Expense 1</v>
      </c>
      <c r="C48" s="1029">
        <f>IFERROR(SUMIF($G$7:$DV$7,$D$7,G48:DV48),0)</f>
        <v>0</v>
      </c>
      <c r="D48" s="1014">
        <f>IFERROR(AVERAGEIF($G$7:$DV$7,$D$7,G48:DV48),0)</f>
        <v>0</v>
      </c>
      <c r="E48" s="1012">
        <f>IFERROR(SUMIF($G$7:$DV$7,$D$7,G48:DV48)/COUNTIFS($G$7:$DV$7,$D$7,G48:DV48,"&lt;&gt;")*12,0)</f>
        <v>0</v>
      </c>
      <c r="F48" s="20"/>
      <c r="G48" s="1711"/>
      <c r="H48" s="1712"/>
      <c r="I48" s="1712"/>
      <c r="J48" s="1712"/>
      <c r="K48" s="1712"/>
      <c r="L48" s="1712"/>
      <c r="M48" s="1712"/>
      <c r="N48" s="1712"/>
      <c r="O48" s="1712"/>
      <c r="P48" s="1712"/>
      <c r="Q48" s="1712"/>
      <c r="R48" s="1712"/>
      <c r="S48" s="1712"/>
      <c r="T48" s="1712"/>
      <c r="U48" s="1712"/>
      <c r="V48" s="1712"/>
      <c r="W48" s="1712"/>
      <c r="X48" s="1712"/>
      <c r="Y48" s="1712"/>
      <c r="Z48" s="1712"/>
      <c r="AA48" s="1712"/>
      <c r="AB48" s="1712"/>
      <c r="AC48" s="1712"/>
      <c r="AD48" s="1712"/>
      <c r="AE48" s="1712"/>
      <c r="AF48" s="1712"/>
      <c r="AG48" s="1712"/>
      <c r="AH48" s="1712"/>
      <c r="AI48" s="1712"/>
      <c r="AJ48" s="1712"/>
      <c r="AK48" s="1712"/>
      <c r="AL48" s="1712"/>
      <c r="AM48" s="1712"/>
      <c r="AN48" s="1712"/>
      <c r="AO48" s="1712"/>
      <c r="AP48" s="1712"/>
      <c r="AQ48" s="1712"/>
      <c r="AR48" s="1712"/>
      <c r="AS48" s="1712"/>
      <c r="AT48" s="1712"/>
      <c r="AU48" s="1712"/>
      <c r="AV48" s="1712"/>
      <c r="AW48" s="1712"/>
      <c r="AX48" s="1712"/>
      <c r="AY48" s="1712"/>
      <c r="AZ48" s="1712"/>
      <c r="BA48" s="1712"/>
      <c r="BB48" s="1712"/>
      <c r="BC48" s="1712"/>
      <c r="BD48" s="1712"/>
      <c r="BE48" s="1712"/>
      <c r="BF48" s="1712"/>
      <c r="BG48" s="1712"/>
      <c r="BH48" s="1712"/>
      <c r="BI48" s="1712"/>
      <c r="BJ48" s="1712"/>
      <c r="BK48" s="1712"/>
      <c r="BL48" s="1712"/>
      <c r="BM48" s="1712"/>
      <c r="BN48" s="1713"/>
      <c r="BO48" s="1713"/>
      <c r="BP48" s="1713"/>
      <c r="BQ48" s="1713"/>
      <c r="BR48" s="1713"/>
      <c r="BS48" s="1713"/>
      <c r="BT48" s="1713"/>
      <c r="BU48" s="1713"/>
      <c r="BV48" s="1713"/>
      <c r="BW48" s="1713"/>
      <c r="BX48" s="1713"/>
      <c r="BY48" s="1713"/>
      <c r="BZ48" s="1713"/>
      <c r="CA48" s="1713"/>
      <c r="CB48" s="1713"/>
      <c r="CC48" s="1713"/>
      <c r="CD48" s="1713"/>
      <c r="CE48" s="1713"/>
      <c r="CF48" s="1713"/>
      <c r="CG48" s="1713"/>
      <c r="CH48" s="1713"/>
      <c r="CI48" s="1713"/>
      <c r="CJ48" s="1713"/>
      <c r="CK48" s="1713"/>
      <c r="CL48" s="1713"/>
      <c r="CM48" s="1713"/>
      <c r="CN48" s="1713"/>
      <c r="CO48" s="1713"/>
      <c r="CP48" s="1713"/>
      <c r="CQ48" s="1713"/>
      <c r="CR48" s="1713"/>
      <c r="CS48" s="1713"/>
      <c r="CT48" s="1713"/>
      <c r="CU48" s="1713"/>
      <c r="CV48" s="1713"/>
      <c r="CW48" s="1713"/>
      <c r="CX48" s="1713"/>
      <c r="CY48" s="1713"/>
      <c r="CZ48" s="1713"/>
      <c r="DA48" s="1713"/>
      <c r="DB48" s="1713"/>
      <c r="DC48" s="1713"/>
      <c r="DD48" s="1713"/>
      <c r="DE48" s="1713"/>
      <c r="DF48" s="1713"/>
      <c r="DG48" s="1713"/>
      <c r="DH48" s="1713"/>
      <c r="DI48" s="1713"/>
      <c r="DJ48" s="1713"/>
      <c r="DK48" s="1713"/>
      <c r="DL48" s="1713"/>
      <c r="DM48" s="1713"/>
      <c r="DN48" s="1713"/>
      <c r="DO48" s="1713"/>
      <c r="DP48" s="1713"/>
      <c r="DQ48" s="1713"/>
      <c r="DR48" s="1713"/>
      <c r="DS48" s="1713"/>
      <c r="DT48" s="1713"/>
      <c r="DU48" s="1713"/>
      <c r="DV48" s="1713"/>
    </row>
    <row r="49" spans="1:127" s="1068" customFormat="1" ht="15" customHeight="1" x14ac:dyDescent="0.3">
      <c r="A49" s="1000"/>
      <c r="B49" s="334" t="str">
        <f>FORECASTS!B77</f>
        <v>Non Op. Expense 2</v>
      </c>
      <c r="C49" s="1029">
        <f>IFERROR(SUMIF($G$7:$DV$7,$D$7,G49:DV49),0)</f>
        <v>0</v>
      </c>
      <c r="D49" s="1014">
        <f>IFERROR(AVERAGEIF($G$7:$DV$7,$D$7,G49:DV49),0)</f>
        <v>0</v>
      </c>
      <c r="E49" s="1012">
        <f>IFERROR(SUMIF($G$7:$DV$7,$D$7,G49:DV49)/COUNTIFS($G$7:$DV$7,$D$7,G49:DV49,"&lt;&gt;")*12,0)</f>
        <v>0</v>
      </c>
      <c r="F49" s="20"/>
      <c r="G49" s="1711"/>
      <c r="H49" s="1712"/>
      <c r="I49" s="1712"/>
      <c r="J49" s="1712"/>
      <c r="K49" s="1712"/>
      <c r="L49" s="1712"/>
      <c r="M49" s="1712"/>
      <c r="N49" s="1712"/>
      <c r="O49" s="1712"/>
      <c r="P49" s="1712"/>
      <c r="Q49" s="1712"/>
      <c r="R49" s="1712"/>
      <c r="S49" s="1712"/>
      <c r="T49" s="1712"/>
      <c r="U49" s="1712"/>
      <c r="V49" s="1712"/>
      <c r="W49" s="1712"/>
      <c r="X49" s="1712"/>
      <c r="Y49" s="1712"/>
      <c r="Z49" s="1712"/>
      <c r="AA49" s="1712"/>
      <c r="AB49" s="1712"/>
      <c r="AC49" s="1712"/>
      <c r="AD49" s="1712"/>
      <c r="AE49" s="1712"/>
      <c r="AF49" s="1712"/>
      <c r="AG49" s="1712"/>
      <c r="AH49" s="1712"/>
      <c r="AI49" s="1712"/>
      <c r="AJ49" s="1712"/>
      <c r="AK49" s="1712"/>
      <c r="AL49" s="1712"/>
      <c r="AM49" s="1712"/>
      <c r="AN49" s="1712"/>
      <c r="AO49" s="1712"/>
      <c r="AP49" s="1712"/>
      <c r="AQ49" s="1712"/>
      <c r="AR49" s="1712"/>
      <c r="AS49" s="1712"/>
      <c r="AT49" s="1712"/>
      <c r="AU49" s="1712"/>
      <c r="AV49" s="1712"/>
      <c r="AW49" s="1712"/>
      <c r="AX49" s="1712"/>
      <c r="AY49" s="1712"/>
      <c r="AZ49" s="1712"/>
      <c r="BA49" s="1712"/>
      <c r="BB49" s="1712"/>
      <c r="BC49" s="1712"/>
      <c r="BD49" s="1712"/>
      <c r="BE49" s="1712"/>
      <c r="BF49" s="1712"/>
      <c r="BG49" s="1712"/>
      <c r="BH49" s="1712"/>
      <c r="BI49" s="1712"/>
      <c r="BJ49" s="1712"/>
      <c r="BK49" s="1712"/>
      <c r="BL49" s="1712"/>
      <c r="BM49" s="1712"/>
      <c r="BN49" s="1713"/>
      <c r="BO49" s="1713"/>
      <c r="BP49" s="1713"/>
      <c r="BQ49" s="1713"/>
      <c r="BR49" s="1713"/>
      <c r="BS49" s="1713"/>
      <c r="BT49" s="1713"/>
      <c r="BU49" s="1713"/>
      <c r="BV49" s="1713"/>
      <c r="BW49" s="1713"/>
      <c r="BX49" s="1713"/>
      <c r="BY49" s="1713"/>
      <c r="BZ49" s="1713"/>
      <c r="CA49" s="1713"/>
      <c r="CB49" s="1713"/>
      <c r="CC49" s="1713"/>
      <c r="CD49" s="1713"/>
      <c r="CE49" s="1713"/>
      <c r="CF49" s="1713"/>
      <c r="CG49" s="1713"/>
      <c r="CH49" s="1713"/>
      <c r="CI49" s="1713"/>
      <c r="CJ49" s="1713"/>
      <c r="CK49" s="1713"/>
      <c r="CL49" s="1713"/>
      <c r="CM49" s="1713"/>
      <c r="CN49" s="1713"/>
      <c r="CO49" s="1713"/>
      <c r="CP49" s="1713"/>
      <c r="CQ49" s="1713"/>
      <c r="CR49" s="1713"/>
      <c r="CS49" s="1713"/>
      <c r="CT49" s="1713"/>
      <c r="CU49" s="1713"/>
      <c r="CV49" s="1713"/>
      <c r="CW49" s="1713"/>
      <c r="CX49" s="1713"/>
      <c r="CY49" s="1713"/>
      <c r="CZ49" s="1713"/>
      <c r="DA49" s="1713"/>
      <c r="DB49" s="1713"/>
      <c r="DC49" s="1713"/>
      <c r="DD49" s="1713"/>
      <c r="DE49" s="1713"/>
      <c r="DF49" s="1713"/>
      <c r="DG49" s="1713"/>
      <c r="DH49" s="1713"/>
      <c r="DI49" s="1713"/>
      <c r="DJ49" s="1713"/>
      <c r="DK49" s="1713"/>
      <c r="DL49" s="1713"/>
      <c r="DM49" s="1713"/>
      <c r="DN49" s="1713"/>
      <c r="DO49" s="1713"/>
      <c r="DP49" s="1713"/>
      <c r="DQ49" s="1713"/>
      <c r="DR49" s="1713"/>
      <c r="DS49" s="1713"/>
      <c r="DT49" s="1713"/>
      <c r="DU49" s="1713"/>
      <c r="DV49" s="1713"/>
      <c r="DW49" s="1000"/>
    </row>
    <row r="50" spans="1:127" ht="15" customHeight="1" x14ac:dyDescent="0.3">
      <c r="A50" s="1000"/>
      <c r="B50" s="999"/>
      <c r="C50" s="1033"/>
      <c r="D50" s="1035"/>
      <c r="E50" s="1048"/>
      <c r="F50" s="20"/>
      <c r="G50" s="15"/>
      <c r="H50" s="15"/>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1018"/>
      <c r="BO50" s="1018"/>
      <c r="BP50" s="1018"/>
      <c r="BQ50" s="1018"/>
      <c r="BR50" s="1018"/>
      <c r="BS50" s="1018"/>
      <c r="BT50" s="1018"/>
      <c r="BU50" s="1018"/>
      <c r="BV50" s="1018"/>
      <c r="BW50" s="1018"/>
      <c r="BX50" s="1018"/>
      <c r="BY50" s="1018"/>
      <c r="BZ50" s="1018"/>
      <c r="CA50" s="1018"/>
      <c r="CB50" s="1018"/>
      <c r="CC50" s="1018"/>
      <c r="CD50" s="1018"/>
      <c r="CE50" s="1018"/>
      <c r="CF50" s="1018"/>
      <c r="CG50" s="1018"/>
      <c r="CH50" s="1018"/>
      <c r="CI50" s="1018"/>
      <c r="CJ50" s="1018"/>
      <c r="CK50" s="1018"/>
      <c r="CL50" s="1018"/>
      <c r="CM50" s="1018"/>
      <c r="CN50" s="1018"/>
      <c r="CO50" s="1018"/>
      <c r="CP50" s="1018"/>
      <c r="CQ50" s="1018"/>
      <c r="CR50" s="1018"/>
      <c r="CS50" s="1018"/>
      <c r="CT50" s="1018"/>
      <c r="CU50" s="1018"/>
      <c r="CV50" s="1018"/>
      <c r="CW50" s="1018"/>
      <c r="CX50" s="1018"/>
      <c r="CY50" s="1018"/>
      <c r="CZ50" s="1018"/>
      <c r="DA50" s="1018"/>
      <c r="DB50" s="1018"/>
      <c r="DC50" s="1018"/>
      <c r="DD50" s="1018"/>
      <c r="DE50" s="1018"/>
      <c r="DF50" s="1018"/>
      <c r="DG50" s="1018"/>
      <c r="DH50" s="1018"/>
      <c r="DI50" s="1018"/>
      <c r="DJ50" s="1018"/>
      <c r="DK50" s="1018"/>
      <c r="DL50" s="1018"/>
      <c r="DM50" s="1018"/>
      <c r="DN50" s="1018"/>
      <c r="DO50" s="1018"/>
      <c r="DP50" s="1018"/>
      <c r="DQ50" s="1018"/>
      <c r="DR50" s="1018"/>
      <c r="DS50" s="1018"/>
      <c r="DT50" s="1018"/>
      <c r="DU50" s="1018"/>
      <c r="DV50" s="1018"/>
      <c r="DW50" s="1000"/>
    </row>
    <row r="51" spans="1:127" s="1000" customFormat="1" ht="15" customHeight="1" x14ac:dyDescent="0.3">
      <c r="B51" s="1052" t="s">
        <v>977</v>
      </c>
      <c r="C51" s="1053">
        <f>C44+C47+C48+C49</f>
        <v>0</v>
      </c>
      <c r="D51" s="1053">
        <f>D44+D47+D48+D49</f>
        <v>0</v>
      </c>
      <c r="E51" s="1053">
        <f>E44+E47+E48+E49</f>
        <v>0</v>
      </c>
      <c r="F51" s="1054"/>
      <c r="G51" s="1055">
        <f t="shared" ref="G51:AL51" si="37">G44+G47+G48+G49</f>
        <v>0</v>
      </c>
      <c r="H51" s="1055">
        <f t="shared" si="37"/>
        <v>0</v>
      </c>
      <c r="I51" s="1056">
        <f t="shared" si="37"/>
        <v>0</v>
      </c>
      <c r="J51" s="1056">
        <f t="shared" si="37"/>
        <v>0</v>
      </c>
      <c r="K51" s="1056">
        <f t="shared" si="37"/>
        <v>0</v>
      </c>
      <c r="L51" s="1056">
        <f t="shared" si="37"/>
        <v>0</v>
      </c>
      <c r="M51" s="1056">
        <f t="shared" si="37"/>
        <v>0</v>
      </c>
      <c r="N51" s="1056">
        <f t="shared" si="37"/>
        <v>0</v>
      </c>
      <c r="O51" s="1056">
        <f t="shared" si="37"/>
        <v>0</v>
      </c>
      <c r="P51" s="1056">
        <f t="shared" si="37"/>
        <v>0</v>
      </c>
      <c r="Q51" s="1056">
        <f t="shared" si="37"/>
        <v>0</v>
      </c>
      <c r="R51" s="1056">
        <f t="shared" si="37"/>
        <v>0</v>
      </c>
      <c r="S51" s="1056">
        <f t="shared" si="37"/>
        <v>0</v>
      </c>
      <c r="T51" s="1056">
        <f t="shared" si="37"/>
        <v>0</v>
      </c>
      <c r="U51" s="1056">
        <f t="shared" si="37"/>
        <v>0</v>
      </c>
      <c r="V51" s="1056">
        <f t="shared" si="37"/>
        <v>0</v>
      </c>
      <c r="W51" s="1056">
        <f t="shared" si="37"/>
        <v>0</v>
      </c>
      <c r="X51" s="1056">
        <f t="shared" si="37"/>
        <v>0</v>
      </c>
      <c r="Y51" s="1056">
        <f t="shared" si="37"/>
        <v>0</v>
      </c>
      <c r="Z51" s="1056">
        <f t="shared" si="37"/>
        <v>0</v>
      </c>
      <c r="AA51" s="1056">
        <f t="shared" si="37"/>
        <v>0</v>
      </c>
      <c r="AB51" s="1056">
        <f t="shared" si="37"/>
        <v>0</v>
      </c>
      <c r="AC51" s="1056">
        <f t="shared" si="37"/>
        <v>0</v>
      </c>
      <c r="AD51" s="1056">
        <f t="shared" si="37"/>
        <v>0</v>
      </c>
      <c r="AE51" s="1056">
        <f t="shared" si="37"/>
        <v>0</v>
      </c>
      <c r="AF51" s="1056">
        <f t="shared" si="37"/>
        <v>0</v>
      </c>
      <c r="AG51" s="1056">
        <f t="shared" si="37"/>
        <v>0</v>
      </c>
      <c r="AH51" s="1056">
        <f t="shared" si="37"/>
        <v>0</v>
      </c>
      <c r="AI51" s="1056">
        <f t="shared" si="37"/>
        <v>0</v>
      </c>
      <c r="AJ51" s="1056">
        <f t="shared" si="37"/>
        <v>0</v>
      </c>
      <c r="AK51" s="1056">
        <f t="shared" si="37"/>
        <v>0</v>
      </c>
      <c r="AL51" s="1056">
        <f t="shared" si="37"/>
        <v>0</v>
      </c>
      <c r="AM51" s="1056">
        <f t="shared" ref="AM51:BN51" si="38">AM44+AM47+AM48+AM49</f>
        <v>0</v>
      </c>
      <c r="AN51" s="1056">
        <f t="shared" si="38"/>
        <v>0</v>
      </c>
      <c r="AO51" s="1056">
        <f t="shared" si="38"/>
        <v>0</v>
      </c>
      <c r="AP51" s="1056">
        <f t="shared" si="38"/>
        <v>0</v>
      </c>
      <c r="AQ51" s="1056">
        <f t="shared" si="38"/>
        <v>0</v>
      </c>
      <c r="AR51" s="1056">
        <f t="shared" si="38"/>
        <v>0</v>
      </c>
      <c r="AS51" s="1056">
        <f t="shared" si="38"/>
        <v>0</v>
      </c>
      <c r="AT51" s="1056">
        <f t="shared" si="38"/>
        <v>0</v>
      </c>
      <c r="AU51" s="1056">
        <f t="shared" si="38"/>
        <v>0</v>
      </c>
      <c r="AV51" s="1056">
        <f t="shared" si="38"/>
        <v>0</v>
      </c>
      <c r="AW51" s="1056">
        <f t="shared" si="38"/>
        <v>0</v>
      </c>
      <c r="AX51" s="1056">
        <f t="shared" si="38"/>
        <v>0</v>
      </c>
      <c r="AY51" s="1056">
        <f t="shared" si="38"/>
        <v>0</v>
      </c>
      <c r="AZ51" s="1056">
        <f t="shared" si="38"/>
        <v>0</v>
      </c>
      <c r="BA51" s="1056">
        <f t="shared" si="38"/>
        <v>0</v>
      </c>
      <c r="BB51" s="1056">
        <f t="shared" si="38"/>
        <v>0</v>
      </c>
      <c r="BC51" s="1056">
        <f t="shared" si="38"/>
        <v>0</v>
      </c>
      <c r="BD51" s="1056">
        <f t="shared" si="38"/>
        <v>0</v>
      </c>
      <c r="BE51" s="1056">
        <f t="shared" si="38"/>
        <v>0</v>
      </c>
      <c r="BF51" s="1056">
        <f t="shared" si="38"/>
        <v>0</v>
      </c>
      <c r="BG51" s="1056">
        <f t="shared" si="38"/>
        <v>0</v>
      </c>
      <c r="BH51" s="1056">
        <f t="shared" si="38"/>
        <v>0</v>
      </c>
      <c r="BI51" s="1056">
        <f t="shared" si="38"/>
        <v>0</v>
      </c>
      <c r="BJ51" s="1056">
        <f t="shared" si="38"/>
        <v>0</v>
      </c>
      <c r="BK51" s="1056">
        <f t="shared" si="38"/>
        <v>0</v>
      </c>
      <c r="BL51" s="1056">
        <f t="shared" si="38"/>
        <v>0</v>
      </c>
      <c r="BM51" s="1056">
        <f t="shared" si="38"/>
        <v>0</v>
      </c>
      <c r="BN51" s="1056">
        <f t="shared" si="38"/>
        <v>0</v>
      </c>
      <c r="BO51" s="1056">
        <f t="shared" ref="BO51:DV51" si="39">BO44+BO47+BO48+BO49</f>
        <v>0</v>
      </c>
      <c r="BP51" s="1056">
        <f t="shared" si="39"/>
        <v>0</v>
      </c>
      <c r="BQ51" s="1056">
        <f t="shared" si="39"/>
        <v>0</v>
      </c>
      <c r="BR51" s="1056">
        <f t="shared" si="39"/>
        <v>0</v>
      </c>
      <c r="BS51" s="1056">
        <f t="shared" si="39"/>
        <v>0</v>
      </c>
      <c r="BT51" s="1056">
        <f t="shared" si="39"/>
        <v>0</v>
      </c>
      <c r="BU51" s="1056">
        <f t="shared" si="39"/>
        <v>0</v>
      </c>
      <c r="BV51" s="1056">
        <f t="shared" si="39"/>
        <v>0</v>
      </c>
      <c r="BW51" s="1056">
        <f t="shared" si="39"/>
        <v>0</v>
      </c>
      <c r="BX51" s="1056">
        <f t="shared" si="39"/>
        <v>0</v>
      </c>
      <c r="BY51" s="1056">
        <f t="shared" si="39"/>
        <v>0</v>
      </c>
      <c r="BZ51" s="1056">
        <f t="shared" si="39"/>
        <v>0</v>
      </c>
      <c r="CA51" s="1056">
        <f t="shared" si="39"/>
        <v>0</v>
      </c>
      <c r="CB51" s="1056">
        <f t="shared" si="39"/>
        <v>0</v>
      </c>
      <c r="CC51" s="1056">
        <f t="shared" si="39"/>
        <v>0</v>
      </c>
      <c r="CD51" s="1056">
        <f t="shared" si="39"/>
        <v>0</v>
      </c>
      <c r="CE51" s="1056">
        <f t="shared" si="39"/>
        <v>0</v>
      </c>
      <c r="CF51" s="1056">
        <f t="shared" si="39"/>
        <v>0</v>
      </c>
      <c r="CG51" s="1056">
        <f t="shared" si="39"/>
        <v>0</v>
      </c>
      <c r="CH51" s="1056">
        <f t="shared" si="39"/>
        <v>0</v>
      </c>
      <c r="CI51" s="1056">
        <f t="shared" si="39"/>
        <v>0</v>
      </c>
      <c r="CJ51" s="1056">
        <f t="shared" si="39"/>
        <v>0</v>
      </c>
      <c r="CK51" s="1056">
        <f t="shared" si="39"/>
        <v>0</v>
      </c>
      <c r="CL51" s="1056">
        <f t="shared" si="39"/>
        <v>0</v>
      </c>
      <c r="CM51" s="1056">
        <f t="shared" si="39"/>
        <v>0</v>
      </c>
      <c r="CN51" s="1056">
        <f t="shared" si="39"/>
        <v>0</v>
      </c>
      <c r="CO51" s="1056">
        <f t="shared" si="39"/>
        <v>0</v>
      </c>
      <c r="CP51" s="1056">
        <f t="shared" si="39"/>
        <v>0</v>
      </c>
      <c r="CQ51" s="1056">
        <f t="shared" si="39"/>
        <v>0</v>
      </c>
      <c r="CR51" s="1056">
        <f t="shared" si="39"/>
        <v>0</v>
      </c>
      <c r="CS51" s="1056">
        <f t="shared" si="39"/>
        <v>0</v>
      </c>
      <c r="CT51" s="1056">
        <f t="shared" si="39"/>
        <v>0</v>
      </c>
      <c r="CU51" s="1056">
        <f t="shared" si="39"/>
        <v>0</v>
      </c>
      <c r="CV51" s="1056">
        <f t="shared" si="39"/>
        <v>0</v>
      </c>
      <c r="CW51" s="1056">
        <f t="shared" si="39"/>
        <v>0</v>
      </c>
      <c r="CX51" s="1056">
        <f t="shared" si="39"/>
        <v>0</v>
      </c>
      <c r="CY51" s="1056">
        <f t="shared" si="39"/>
        <v>0</v>
      </c>
      <c r="CZ51" s="1056">
        <f t="shared" si="39"/>
        <v>0</v>
      </c>
      <c r="DA51" s="1056">
        <f t="shared" si="39"/>
        <v>0</v>
      </c>
      <c r="DB51" s="1056">
        <f t="shared" si="39"/>
        <v>0</v>
      </c>
      <c r="DC51" s="1056">
        <f t="shared" si="39"/>
        <v>0</v>
      </c>
      <c r="DD51" s="1056">
        <f t="shared" si="39"/>
        <v>0</v>
      </c>
      <c r="DE51" s="1056">
        <f t="shared" si="39"/>
        <v>0</v>
      </c>
      <c r="DF51" s="1056">
        <f t="shared" si="39"/>
        <v>0</v>
      </c>
      <c r="DG51" s="1056">
        <f t="shared" si="39"/>
        <v>0</v>
      </c>
      <c r="DH51" s="1056">
        <f t="shared" si="39"/>
        <v>0</v>
      </c>
      <c r="DI51" s="1056">
        <f t="shared" si="39"/>
        <v>0</v>
      </c>
      <c r="DJ51" s="1056">
        <f t="shared" si="39"/>
        <v>0</v>
      </c>
      <c r="DK51" s="1056">
        <f t="shared" si="39"/>
        <v>0</v>
      </c>
      <c r="DL51" s="1056">
        <f t="shared" si="39"/>
        <v>0</v>
      </c>
      <c r="DM51" s="1056">
        <f t="shared" si="39"/>
        <v>0</v>
      </c>
      <c r="DN51" s="1056">
        <f t="shared" si="39"/>
        <v>0</v>
      </c>
      <c r="DO51" s="1056">
        <f t="shared" si="39"/>
        <v>0</v>
      </c>
      <c r="DP51" s="1056">
        <f t="shared" si="39"/>
        <v>0</v>
      </c>
      <c r="DQ51" s="1056">
        <f t="shared" si="39"/>
        <v>0</v>
      </c>
      <c r="DR51" s="1056">
        <f t="shared" si="39"/>
        <v>0</v>
      </c>
      <c r="DS51" s="1056">
        <f t="shared" si="39"/>
        <v>0</v>
      </c>
      <c r="DT51" s="1056">
        <f t="shared" si="39"/>
        <v>0</v>
      </c>
      <c r="DU51" s="1056">
        <f t="shared" si="39"/>
        <v>0</v>
      </c>
      <c r="DV51" s="1057">
        <f t="shared" si="39"/>
        <v>0</v>
      </c>
    </row>
    <row r="52" spans="1:127" s="1000" customFormat="1" ht="15" customHeight="1" x14ac:dyDescent="0.3">
      <c r="A52" s="1068"/>
      <c r="B52" s="1069" t="s">
        <v>978</v>
      </c>
      <c r="C52" s="1070"/>
      <c r="D52" s="1071"/>
      <c r="E52" s="1072"/>
      <c r="F52" s="1073"/>
      <c r="G52" s="1074">
        <f>IF(G7=3,0,SUM($G$51:G51))</f>
        <v>0</v>
      </c>
      <c r="H52" s="1074">
        <f>IF(H7=3,0,SUM($G$51:H51))</f>
        <v>0</v>
      </c>
      <c r="I52" s="1074">
        <f>IF(I7=3,0,SUM($G$51:I51))</f>
        <v>0</v>
      </c>
      <c r="J52" s="1074">
        <f>IF(J7=3,0,SUM($G$51:J51))</f>
        <v>0</v>
      </c>
      <c r="K52" s="1074">
        <f>IF(K7=3,0,SUM($G$51:K51))</f>
        <v>0</v>
      </c>
      <c r="L52" s="1074">
        <f>IF(L7=3,0,SUM($G$51:L51))</f>
        <v>0</v>
      </c>
      <c r="M52" s="1074">
        <f>IF(M7=3,0,SUM($G$51:M51))</f>
        <v>0</v>
      </c>
      <c r="N52" s="1074">
        <f>IF(N7=3,0,SUM($G$51:N51))</f>
        <v>0</v>
      </c>
      <c r="O52" s="1074">
        <f>IF(O7=3,0,SUM($G$51:O51))</f>
        <v>0</v>
      </c>
      <c r="P52" s="1074">
        <f>IF(P7=3,0,SUM($G$51:P51))</f>
        <v>0</v>
      </c>
      <c r="Q52" s="1074">
        <f>IF(Q7=3,0,SUM($G$51:Q51))</f>
        <v>0</v>
      </c>
      <c r="R52" s="1074">
        <f>IF(R7=3,0,SUM($G$51:R51))</f>
        <v>0</v>
      </c>
      <c r="S52" s="1074">
        <f>IF(S7=3,0,SUM($G$51:S51))</f>
        <v>0</v>
      </c>
      <c r="T52" s="1074">
        <f>IF(T7=3,0,SUM($G$51:T51))</f>
        <v>0</v>
      </c>
      <c r="U52" s="1074">
        <f>IF(U7=3,0,SUM($G$51:U51))</f>
        <v>0</v>
      </c>
      <c r="V52" s="1074">
        <f>IF(V7=3,0,SUM($G$51:V51))</f>
        <v>0</v>
      </c>
      <c r="W52" s="1074">
        <f>IF(W7=3,0,SUM($G$51:W51))</f>
        <v>0</v>
      </c>
      <c r="X52" s="1074">
        <f>IF(X7=3,0,SUM($G$51:X51))</f>
        <v>0</v>
      </c>
      <c r="Y52" s="1074">
        <f>IF(Y7=3,0,SUM($G$51:Y51))</f>
        <v>0</v>
      </c>
      <c r="Z52" s="1074">
        <f>IF(Z7=3,0,SUM($G$51:Z51))</f>
        <v>0</v>
      </c>
      <c r="AA52" s="1074">
        <f>IF(AA7=3,0,SUM($G$51:AA51))</f>
        <v>0</v>
      </c>
      <c r="AB52" s="1074">
        <f>IF(AB7=3,0,SUM($G$51:AB51))</f>
        <v>0</v>
      </c>
      <c r="AC52" s="1074">
        <f>IF(AC7=3,0,SUM($G$51:AC51))</f>
        <v>0</v>
      </c>
      <c r="AD52" s="1074">
        <f>IF(AD7=3,0,SUM($G$51:AD51))</f>
        <v>0</v>
      </c>
      <c r="AE52" s="1074">
        <f>IF(AE7=3,0,SUM($G$51:AE51))</f>
        <v>0</v>
      </c>
      <c r="AF52" s="1074">
        <f>IF(AF7=3,0,SUM($G$51:AF51))</f>
        <v>0</v>
      </c>
      <c r="AG52" s="1074">
        <f>IF(AG7=3,0,SUM($G$51:AG51))</f>
        <v>0</v>
      </c>
      <c r="AH52" s="1074">
        <f>IF(AH7=3,0,SUM($G$51:AH51))</f>
        <v>0</v>
      </c>
      <c r="AI52" s="1074">
        <f>IF(AI7=3,0,SUM($G$51:AI51))</f>
        <v>0</v>
      </c>
      <c r="AJ52" s="1074">
        <f>IF(AJ7=3,0,SUM($G$51:AJ51))</f>
        <v>0</v>
      </c>
      <c r="AK52" s="1074">
        <f>IF(AK7=3,0,SUM($G$51:AK51))</f>
        <v>0</v>
      </c>
      <c r="AL52" s="1074">
        <f>IF(AL7=3,0,SUM($G$51:AL51))</f>
        <v>0</v>
      </c>
      <c r="AM52" s="1074">
        <f>IF(AM7=3,0,SUM($G$51:AM51))</f>
        <v>0</v>
      </c>
      <c r="AN52" s="1074">
        <f>IF(AN7=3,0,SUM($G$51:AN51))</f>
        <v>0</v>
      </c>
      <c r="AO52" s="1074">
        <f>IF(AO7=3,0,SUM($G$51:AO51))</f>
        <v>0</v>
      </c>
      <c r="AP52" s="1074">
        <f>IF(AP7=3,0,SUM($G$51:AP51))</f>
        <v>0</v>
      </c>
      <c r="AQ52" s="1074">
        <f>IF(AQ7=3,0,SUM($G$51:AQ51))</f>
        <v>0</v>
      </c>
      <c r="AR52" s="1074">
        <f>IF(AR7=3,0,SUM($G$51:AR51))</f>
        <v>0</v>
      </c>
      <c r="AS52" s="1074">
        <f>IF(AS7=3,0,SUM($G$51:AS51))</f>
        <v>0</v>
      </c>
      <c r="AT52" s="1074">
        <f>IF(AT7=3,0,SUM($G$51:AT51))</f>
        <v>0</v>
      </c>
      <c r="AU52" s="1074">
        <f>IF(AU7=3,0,SUM($G$51:AU51))</f>
        <v>0</v>
      </c>
      <c r="AV52" s="1074">
        <f>IF(AV7=3,0,SUM($G$51:AV51))</f>
        <v>0</v>
      </c>
      <c r="AW52" s="1074">
        <f>IF(AW7=3,0,SUM($G$51:AW51))</f>
        <v>0</v>
      </c>
      <c r="AX52" s="1074">
        <f>IF(AX7=3,0,SUM($G$51:AX51))</f>
        <v>0</v>
      </c>
      <c r="AY52" s="1074">
        <f>IF(AY7=3,0,SUM($G$51:AY51))</f>
        <v>0</v>
      </c>
      <c r="AZ52" s="1074">
        <f>IF(AZ7=3,0,SUM($G$51:AZ51))</f>
        <v>0</v>
      </c>
      <c r="BA52" s="1074">
        <f>IF(BA7=3,0,SUM($G$51:BA51))</f>
        <v>0</v>
      </c>
      <c r="BB52" s="1074">
        <f>IF(BB7=3,0,SUM($G$51:BB51))</f>
        <v>0</v>
      </c>
      <c r="BC52" s="1074">
        <f>IF(BC7=3,0,SUM($G$51:BC51))</f>
        <v>0</v>
      </c>
      <c r="BD52" s="1074">
        <f>IF(BD7=3,0,SUM($G$51:BD51))</f>
        <v>0</v>
      </c>
      <c r="BE52" s="1074">
        <f>IF(BE7=3,0,SUM($G$51:BE51))</f>
        <v>0</v>
      </c>
      <c r="BF52" s="1074">
        <f>IF(BF7=3,0,SUM($G$51:BF51))</f>
        <v>0</v>
      </c>
      <c r="BG52" s="1074">
        <f>IF(BG7=3,0,SUM($G$51:BG51))</f>
        <v>0</v>
      </c>
      <c r="BH52" s="1074">
        <f>IF(BH7=3,0,SUM($G$51:BH51))</f>
        <v>0</v>
      </c>
      <c r="BI52" s="1074">
        <f>IF(BI7=3,0,SUM($G$51:BI51))</f>
        <v>0</v>
      </c>
      <c r="BJ52" s="1074">
        <f>IF(BJ7=3,0,SUM($G$51:BJ51))</f>
        <v>0</v>
      </c>
      <c r="BK52" s="1074">
        <f>IF(BK7=3,0,SUM($G$51:BK51))</f>
        <v>0</v>
      </c>
      <c r="BL52" s="1074">
        <f>IF(BL7=3,0,SUM($G$51:BL51))</f>
        <v>0</v>
      </c>
      <c r="BM52" s="1074">
        <f>IF(BM7=3,0,SUM($G$51:BM51))</f>
        <v>0</v>
      </c>
      <c r="BN52" s="1074">
        <f>IF(BN7=3,0,SUM($G$51:BN51))</f>
        <v>0</v>
      </c>
      <c r="BO52" s="1074">
        <f>IF(BO7=3,0,SUM($G$51:BO51))</f>
        <v>0</v>
      </c>
      <c r="BP52" s="1074">
        <f>IF(BP7=3,0,SUM($G$51:BP51))</f>
        <v>0</v>
      </c>
      <c r="BQ52" s="1074">
        <f>IF(BQ7=3,0,SUM($G$51:BQ51))</f>
        <v>0</v>
      </c>
      <c r="BR52" s="1074">
        <f>IF(BR7=3,0,SUM($G$51:BR51))</f>
        <v>0</v>
      </c>
      <c r="BS52" s="1074">
        <f>IF(BS7=3,0,SUM($G$51:BS51))</f>
        <v>0</v>
      </c>
      <c r="BT52" s="1074">
        <f>IF(BT7=3,0,SUM($G$51:BT51))</f>
        <v>0</v>
      </c>
      <c r="BU52" s="1074">
        <f>IF(BU7=3,0,SUM($G$51:BU51))</f>
        <v>0</v>
      </c>
      <c r="BV52" s="1074">
        <f>IF(BV7=3,0,SUM($G$51:BV51))</f>
        <v>0</v>
      </c>
      <c r="BW52" s="1074">
        <f>IF(BW7=3,0,SUM($G$51:BW51))</f>
        <v>0</v>
      </c>
      <c r="BX52" s="1074">
        <f>IF(BX7=3,0,SUM($G$51:BX51))</f>
        <v>0</v>
      </c>
      <c r="BY52" s="1074">
        <f>IF(BY7=3,0,SUM($G$51:BY51))</f>
        <v>0</v>
      </c>
      <c r="BZ52" s="1074">
        <f>IF(BZ7=3,0,SUM($G$51:BZ51))</f>
        <v>0</v>
      </c>
      <c r="CA52" s="1074">
        <f>IF(CA7=3,0,SUM($G$51:CA51))</f>
        <v>0</v>
      </c>
      <c r="CB52" s="1074">
        <f>IF(CB7=3,0,SUM($G$51:CB51))</f>
        <v>0</v>
      </c>
      <c r="CC52" s="1074">
        <f>IF(CC7=3,0,SUM($G$51:CC51))</f>
        <v>0</v>
      </c>
      <c r="CD52" s="1074">
        <f>IF(CD7=3,0,SUM($G$51:CD51))</f>
        <v>0</v>
      </c>
      <c r="CE52" s="1074">
        <f>IF(CE7=3,0,SUM($G$51:CE51))</f>
        <v>0</v>
      </c>
      <c r="CF52" s="1074">
        <f>IF(CF7=3,0,SUM($G$51:CF51))</f>
        <v>0</v>
      </c>
      <c r="CG52" s="1074">
        <f>IF(CG7=3,0,SUM($G$51:CG51))</f>
        <v>0</v>
      </c>
      <c r="CH52" s="1074">
        <f>IF(CH7=3,0,SUM($G$51:CH51))</f>
        <v>0</v>
      </c>
      <c r="CI52" s="1074">
        <f>IF(CI7=3,0,SUM($G$51:CI51))</f>
        <v>0</v>
      </c>
      <c r="CJ52" s="1074">
        <f>IF(CJ7=3,0,SUM($G$51:CJ51))</f>
        <v>0</v>
      </c>
      <c r="CK52" s="1074">
        <f>IF(CK7=3,0,SUM($G$51:CK51))</f>
        <v>0</v>
      </c>
      <c r="CL52" s="1074">
        <f>IF(CL7=3,0,SUM($G$51:CL51))</f>
        <v>0</v>
      </c>
      <c r="CM52" s="1074">
        <f>IF(CM7=3,0,SUM($G$51:CM51))</f>
        <v>0</v>
      </c>
      <c r="CN52" s="1074">
        <f>IF(CN7=3,0,SUM($G$51:CN51))</f>
        <v>0</v>
      </c>
      <c r="CO52" s="1074">
        <f>IF(CO7=3,0,SUM($G$51:CO51))</f>
        <v>0</v>
      </c>
      <c r="CP52" s="1074">
        <f>IF(CP7=3,0,SUM($G$51:CP51))</f>
        <v>0</v>
      </c>
      <c r="CQ52" s="1074">
        <f>IF(CQ7=3,0,SUM($G$51:CQ51))</f>
        <v>0</v>
      </c>
      <c r="CR52" s="1074">
        <f>IF(CR7=3,0,SUM($G$51:CR51))</f>
        <v>0</v>
      </c>
      <c r="CS52" s="1074">
        <f>IF(CS7=3,0,SUM($G$51:CS51))</f>
        <v>0</v>
      </c>
      <c r="CT52" s="1074">
        <f>IF(CT7=3,0,SUM($G$51:CT51))</f>
        <v>0</v>
      </c>
      <c r="CU52" s="1074">
        <f>IF(CU7=3,0,SUM($G$51:CU51))</f>
        <v>0</v>
      </c>
      <c r="CV52" s="1074">
        <f>IF(CV7=3,0,SUM($G$51:CV51))</f>
        <v>0</v>
      </c>
      <c r="CW52" s="1074">
        <f>IF(CW7=3,0,SUM($G$51:CW51))</f>
        <v>0</v>
      </c>
      <c r="CX52" s="1074">
        <f>IF(CX7=3,0,SUM($G$51:CX51))</f>
        <v>0</v>
      </c>
      <c r="CY52" s="1074">
        <f>IF(CY7=3,0,SUM($G$51:CY51))</f>
        <v>0</v>
      </c>
      <c r="CZ52" s="1074">
        <f>IF(CZ7=3,0,SUM($G$51:CZ51))</f>
        <v>0</v>
      </c>
      <c r="DA52" s="1074">
        <f>IF(DA7=3,0,SUM($G$51:DA51))</f>
        <v>0</v>
      </c>
      <c r="DB52" s="1074">
        <f>IF(DB7=3,0,SUM($G$51:DB51))</f>
        <v>0</v>
      </c>
      <c r="DC52" s="1074">
        <f>IF(DC7=3,0,SUM($G$51:DC51))</f>
        <v>0</v>
      </c>
      <c r="DD52" s="1074">
        <f>IF(DD7=3,0,SUM($G$51:DD51))</f>
        <v>0</v>
      </c>
      <c r="DE52" s="1074">
        <f>IF(DE7=3,0,SUM($G$51:DE51))</f>
        <v>0</v>
      </c>
      <c r="DF52" s="1074">
        <f>IF(DF7=3,0,SUM($G$51:DF51))</f>
        <v>0</v>
      </c>
      <c r="DG52" s="1074">
        <f>IF(DG7=3,0,SUM($G$51:DG51))</f>
        <v>0</v>
      </c>
      <c r="DH52" s="1074">
        <f>IF(DH7=3,0,SUM($G$51:DH51))</f>
        <v>0</v>
      </c>
      <c r="DI52" s="1074">
        <f>IF(DI7=3,0,SUM($G$51:DI51))</f>
        <v>0</v>
      </c>
      <c r="DJ52" s="1074">
        <f>IF(DJ7=3,0,SUM($G$51:DJ51))</f>
        <v>0</v>
      </c>
      <c r="DK52" s="1074">
        <f>IF(DK7=3,0,SUM($G$51:DK51))</f>
        <v>0</v>
      </c>
      <c r="DL52" s="1074">
        <f>IF(DL7=3,0,SUM($G$51:DL51))</f>
        <v>0</v>
      </c>
      <c r="DM52" s="1074">
        <f>IF(DM7=3,0,SUM($G$51:DM51))</f>
        <v>0</v>
      </c>
      <c r="DN52" s="1074">
        <f>IF(DN7=3,0,SUM($G$51:DN51))</f>
        <v>0</v>
      </c>
      <c r="DO52" s="1074">
        <f>IF(DO7=3,0,SUM($G$51:DO51))</f>
        <v>0</v>
      </c>
      <c r="DP52" s="1074">
        <f>IF(DP7=3,0,SUM($G$51:DP51))</f>
        <v>0</v>
      </c>
      <c r="DQ52" s="1074">
        <f>IF(DQ7=3,0,SUM($G$51:DQ51))</f>
        <v>0</v>
      </c>
      <c r="DR52" s="1074">
        <f>IF(DR7=3,0,SUM($G$51:DR51))</f>
        <v>0</v>
      </c>
      <c r="DS52" s="1074">
        <f>IF(DS7=3,0,SUM($G$51:DS51))</f>
        <v>0</v>
      </c>
      <c r="DT52" s="1074">
        <f>IF(DT7=3,0,SUM($G$51:DT51))</f>
        <v>0</v>
      </c>
      <c r="DU52" s="1074">
        <f>IF(DU7=3,0,SUM($G$51:DU51))</f>
        <v>0</v>
      </c>
      <c r="DV52" s="1075">
        <f>IF(DV7=3,0,SUM($G$51:DV51))</f>
        <v>0</v>
      </c>
      <c r="DW52" s="1068"/>
    </row>
    <row r="53" spans="1:127" s="1000" customFormat="1" ht="15" customHeight="1" x14ac:dyDescent="0.3">
      <c r="B53" s="96"/>
      <c r="C53" s="1084"/>
      <c r="D53" s="998"/>
      <c r="E53" s="1083"/>
      <c r="F53" s="96"/>
      <c r="G53" s="96"/>
      <c r="H53" s="96"/>
      <c r="I53" s="96"/>
      <c r="J53" s="96"/>
      <c r="K53" s="96"/>
      <c r="L53" s="100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c r="BM53" s="96"/>
      <c r="BN53" s="96"/>
      <c r="BO53" s="96"/>
      <c r="BP53" s="96"/>
      <c r="BQ53" s="96"/>
      <c r="BR53" s="96"/>
      <c r="BS53" s="96"/>
      <c r="BT53" s="96"/>
      <c r="BU53" s="96"/>
      <c r="BV53" s="96"/>
      <c r="BW53" s="96"/>
      <c r="BX53" s="96"/>
      <c r="BY53" s="96"/>
      <c r="BZ53" s="96"/>
      <c r="CA53" s="96"/>
      <c r="CB53" s="96"/>
      <c r="CC53" s="96"/>
      <c r="CD53" s="96"/>
      <c r="CE53" s="96"/>
      <c r="CF53" s="96"/>
      <c r="CG53" s="96"/>
      <c r="CH53" s="96"/>
      <c r="CI53" s="96"/>
      <c r="CJ53" s="96"/>
      <c r="CK53" s="96"/>
      <c r="CL53" s="96"/>
      <c r="CM53" s="96"/>
      <c r="CN53" s="96"/>
      <c r="CO53" s="96"/>
      <c r="CP53" s="96"/>
      <c r="CQ53" s="96"/>
      <c r="CR53" s="96"/>
      <c r="CS53" s="96"/>
      <c r="CT53" s="96"/>
      <c r="CU53" s="96"/>
      <c r="CV53" s="96"/>
      <c r="CW53" s="96"/>
      <c r="CX53" s="96"/>
      <c r="CY53" s="96"/>
      <c r="CZ53" s="96"/>
      <c r="DA53" s="96"/>
      <c r="DB53" s="96"/>
      <c r="DC53" s="96"/>
      <c r="DD53" s="96"/>
      <c r="DE53" s="96"/>
      <c r="DF53" s="96"/>
      <c r="DG53" s="96"/>
      <c r="DH53" s="96"/>
      <c r="DI53" s="96"/>
      <c r="DJ53" s="96"/>
      <c r="DK53" s="96"/>
      <c r="DL53" s="96"/>
      <c r="DM53" s="96"/>
      <c r="DN53" s="96"/>
      <c r="DO53" s="96"/>
      <c r="DP53" s="96"/>
      <c r="DQ53" s="96"/>
      <c r="DR53" s="96"/>
      <c r="DS53" s="96"/>
      <c r="DT53" s="96"/>
      <c r="DU53" s="96"/>
      <c r="DV53" s="96"/>
      <c r="DW53" s="93"/>
    </row>
    <row r="54" spans="1:127" s="1000" customFormat="1" ht="15" customHeight="1" x14ac:dyDescent="0.3">
      <c r="B54" s="334" t="str">
        <f>FORECASTS!B104</f>
        <v>Mortgage Payment</v>
      </c>
      <c r="C54" s="1085">
        <f>IFERROR(SUMIF($G$7:$DV$7,$D$7,G54:DV54),0)</f>
        <v>0</v>
      </c>
      <c r="D54" s="1014">
        <f>IFERROR(AVERAGEIF($G$7:$DV$7,$D$7,G54:DV54),0)</f>
        <v>0</v>
      </c>
      <c r="E54" s="1012">
        <f>IFERROR(SUMIF($G$7:$DV$7,$D$7,G54:DV54)/COUNTIFS($G$7:$DV$7,$D$7,G54:DV54,"&lt;&gt;")*12,0)</f>
        <v>0</v>
      </c>
      <c r="F54" s="309"/>
      <c r="G54" s="1711"/>
      <c r="H54" s="1711"/>
      <c r="I54" s="1711"/>
      <c r="J54" s="1711"/>
      <c r="K54" s="1711"/>
      <c r="L54" s="1711"/>
      <c r="M54" s="1711"/>
      <c r="N54" s="1711"/>
      <c r="O54" s="1711"/>
      <c r="P54" s="1711"/>
      <c r="Q54" s="1711"/>
      <c r="R54" s="1711"/>
      <c r="S54" s="1711"/>
      <c r="T54" s="1711"/>
      <c r="U54" s="1711"/>
      <c r="V54" s="1711"/>
      <c r="W54" s="1711"/>
      <c r="X54" s="1711"/>
      <c r="Y54" s="1711"/>
      <c r="Z54" s="1711"/>
      <c r="AA54" s="1711"/>
      <c r="AB54" s="1711"/>
      <c r="AC54" s="1711"/>
      <c r="AD54" s="1711"/>
      <c r="AE54" s="1711"/>
      <c r="AF54" s="1711"/>
      <c r="AG54" s="1711"/>
      <c r="AH54" s="1711"/>
      <c r="AI54" s="1711"/>
      <c r="AJ54" s="1711"/>
      <c r="AK54" s="1711"/>
      <c r="AL54" s="1711"/>
      <c r="AM54" s="1711"/>
      <c r="AN54" s="1711"/>
      <c r="AO54" s="1711"/>
      <c r="AP54" s="1711"/>
      <c r="AQ54" s="1711"/>
      <c r="AR54" s="1711"/>
      <c r="AS54" s="1711"/>
      <c r="AT54" s="1711"/>
      <c r="AU54" s="1711"/>
      <c r="AV54" s="1711"/>
      <c r="AW54" s="1711"/>
      <c r="AX54" s="1711"/>
      <c r="AY54" s="1711"/>
      <c r="AZ54" s="1711"/>
      <c r="BA54" s="1711"/>
      <c r="BB54" s="1711"/>
      <c r="BC54" s="1711"/>
      <c r="BD54" s="1711"/>
      <c r="BE54" s="1711"/>
      <c r="BF54" s="1711"/>
      <c r="BG54" s="1711"/>
      <c r="BH54" s="1711"/>
      <c r="BI54" s="1711"/>
      <c r="BJ54" s="1711"/>
      <c r="BK54" s="1711"/>
      <c r="BL54" s="1711"/>
      <c r="BM54" s="1711"/>
      <c r="BN54" s="1711"/>
      <c r="BO54" s="1711"/>
      <c r="BP54" s="1711"/>
      <c r="BQ54" s="1711"/>
      <c r="BR54" s="1711"/>
      <c r="BS54" s="1711"/>
      <c r="BT54" s="1711"/>
      <c r="BU54" s="1711"/>
      <c r="BV54" s="1711"/>
      <c r="BW54" s="1711"/>
      <c r="BX54" s="1711"/>
      <c r="BY54" s="1711"/>
      <c r="BZ54" s="1711"/>
      <c r="CA54" s="1711"/>
      <c r="CB54" s="1711"/>
      <c r="CC54" s="1711"/>
      <c r="CD54" s="1711"/>
      <c r="CE54" s="1711"/>
      <c r="CF54" s="1711"/>
      <c r="CG54" s="1711"/>
      <c r="CH54" s="1711"/>
      <c r="CI54" s="1711"/>
      <c r="CJ54" s="1711"/>
      <c r="CK54" s="1711"/>
      <c r="CL54" s="1711"/>
      <c r="CM54" s="1711"/>
      <c r="CN54" s="1711"/>
      <c r="CO54" s="1711"/>
      <c r="CP54" s="1711"/>
      <c r="CQ54" s="1711"/>
      <c r="CR54" s="1711"/>
      <c r="CS54" s="1711"/>
      <c r="CT54" s="1711"/>
      <c r="CU54" s="1711"/>
      <c r="CV54" s="1711"/>
      <c r="CW54" s="1711"/>
      <c r="CX54" s="1711"/>
      <c r="CY54" s="1711"/>
      <c r="CZ54" s="1711"/>
      <c r="DA54" s="1711"/>
      <c r="DB54" s="1711"/>
      <c r="DC54" s="1711"/>
      <c r="DD54" s="1711"/>
      <c r="DE54" s="1711"/>
      <c r="DF54" s="1711"/>
      <c r="DG54" s="1711"/>
      <c r="DH54" s="1711"/>
      <c r="DI54" s="1711"/>
      <c r="DJ54" s="1711"/>
      <c r="DK54" s="1711"/>
      <c r="DL54" s="1711"/>
      <c r="DM54" s="1711"/>
      <c r="DN54" s="1711"/>
      <c r="DO54" s="1711"/>
      <c r="DP54" s="1711"/>
      <c r="DQ54" s="1711"/>
      <c r="DR54" s="1711"/>
      <c r="DS54" s="1711"/>
      <c r="DT54" s="1711"/>
      <c r="DU54" s="1711"/>
      <c r="DV54" s="1711"/>
    </row>
    <row r="55" spans="1:127" s="1000" customFormat="1" ht="15" customHeight="1" x14ac:dyDescent="0.3">
      <c r="B55" s="334" t="str">
        <f>FORECASTS!B98</f>
        <v>Loan Insurance</v>
      </c>
      <c r="C55" s="1085">
        <f>IFERROR(SUMIF($G$7:$DV$7,$D$7,G55:DV55),0)</f>
        <v>0</v>
      </c>
      <c r="D55" s="1014">
        <f>IFERROR(AVERAGEIF($G$7:$DV$7,$D$7,G55:DV55),0)</f>
        <v>0</v>
      </c>
      <c r="E55" s="1012">
        <f>IFERROR(SUMIF($G$7:$DV$7,$D$7,G55:DV55)/COUNTIFS($G$7:$DV$7,$D$7,G55:DV55,"&lt;&gt;")*12,0)</f>
        <v>0</v>
      </c>
      <c r="F55" s="309"/>
      <c r="G55" s="1711"/>
      <c r="H55" s="1711"/>
      <c r="I55" s="1711"/>
      <c r="J55" s="1711"/>
      <c r="K55" s="1711"/>
      <c r="L55" s="1711"/>
      <c r="M55" s="1711"/>
      <c r="N55" s="1711"/>
      <c r="O55" s="1711"/>
      <c r="P55" s="1711"/>
      <c r="Q55" s="1711"/>
      <c r="R55" s="1711"/>
      <c r="S55" s="1711"/>
      <c r="T55" s="1711"/>
      <c r="U55" s="1711"/>
      <c r="V55" s="1711"/>
      <c r="W55" s="1711"/>
      <c r="X55" s="1711"/>
      <c r="Y55" s="1711"/>
      <c r="Z55" s="1711"/>
      <c r="AA55" s="1711"/>
      <c r="AB55" s="1711"/>
      <c r="AC55" s="1711"/>
      <c r="AD55" s="1711"/>
      <c r="AE55" s="1711"/>
      <c r="AF55" s="1711"/>
      <c r="AG55" s="1711"/>
      <c r="AH55" s="1711"/>
      <c r="AI55" s="1711"/>
      <c r="AJ55" s="1711"/>
      <c r="AK55" s="1711"/>
      <c r="AL55" s="1711"/>
      <c r="AM55" s="1711"/>
      <c r="AN55" s="1711"/>
      <c r="AO55" s="1711"/>
      <c r="AP55" s="1711"/>
      <c r="AQ55" s="1711"/>
      <c r="AR55" s="1711"/>
      <c r="AS55" s="1711"/>
      <c r="AT55" s="1711"/>
      <c r="AU55" s="1711"/>
      <c r="AV55" s="1711"/>
      <c r="AW55" s="1711"/>
      <c r="AX55" s="1711"/>
      <c r="AY55" s="1711"/>
      <c r="AZ55" s="1711"/>
      <c r="BA55" s="1711"/>
      <c r="BB55" s="1711"/>
      <c r="BC55" s="1711"/>
      <c r="BD55" s="1711"/>
      <c r="BE55" s="1711"/>
      <c r="BF55" s="1711"/>
      <c r="BG55" s="1711"/>
      <c r="BH55" s="1711"/>
      <c r="BI55" s="1711"/>
      <c r="BJ55" s="1711"/>
      <c r="BK55" s="1711"/>
      <c r="BL55" s="1711"/>
      <c r="BM55" s="1711"/>
      <c r="BN55" s="1711"/>
      <c r="BO55" s="1711"/>
      <c r="BP55" s="1711"/>
      <c r="BQ55" s="1711"/>
      <c r="BR55" s="1711"/>
      <c r="BS55" s="1711"/>
      <c r="BT55" s="1711"/>
      <c r="BU55" s="1711"/>
      <c r="BV55" s="1711"/>
      <c r="BW55" s="1711"/>
      <c r="BX55" s="1711"/>
      <c r="BY55" s="1711"/>
      <c r="BZ55" s="1711"/>
      <c r="CA55" s="1711"/>
      <c r="CB55" s="1711"/>
      <c r="CC55" s="1711"/>
      <c r="CD55" s="1711"/>
      <c r="CE55" s="1711"/>
      <c r="CF55" s="1711"/>
      <c r="CG55" s="1711"/>
      <c r="CH55" s="1711"/>
      <c r="CI55" s="1711"/>
      <c r="CJ55" s="1711"/>
      <c r="CK55" s="1711"/>
      <c r="CL55" s="1711"/>
      <c r="CM55" s="1711"/>
      <c r="CN55" s="1711"/>
      <c r="CO55" s="1711"/>
      <c r="CP55" s="1711"/>
      <c r="CQ55" s="1711"/>
      <c r="CR55" s="1711"/>
      <c r="CS55" s="1711"/>
      <c r="CT55" s="1711"/>
      <c r="CU55" s="1711"/>
      <c r="CV55" s="1711"/>
      <c r="CW55" s="1711"/>
      <c r="CX55" s="1711"/>
      <c r="CY55" s="1711"/>
      <c r="CZ55" s="1711"/>
      <c r="DA55" s="1711"/>
      <c r="DB55" s="1711"/>
      <c r="DC55" s="1711"/>
      <c r="DD55" s="1711"/>
      <c r="DE55" s="1711"/>
      <c r="DF55" s="1711"/>
      <c r="DG55" s="1711"/>
      <c r="DH55" s="1711"/>
      <c r="DI55" s="1711"/>
      <c r="DJ55" s="1711"/>
      <c r="DK55" s="1711"/>
      <c r="DL55" s="1711"/>
      <c r="DM55" s="1711"/>
      <c r="DN55" s="1711"/>
      <c r="DO55" s="1711"/>
      <c r="DP55" s="1711"/>
      <c r="DQ55" s="1711"/>
      <c r="DR55" s="1711"/>
      <c r="DS55" s="1711"/>
      <c r="DT55" s="1711"/>
      <c r="DU55" s="1711"/>
      <c r="DV55" s="1711"/>
    </row>
    <row r="56" spans="1:127" s="1068" customFormat="1" ht="15" customHeight="1" x14ac:dyDescent="0.3">
      <c r="A56" s="1000"/>
      <c r="B56" s="997" t="s">
        <v>981</v>
      </c>
      <c r="C56" s="1031">
        <f>SUM(C54:C55)</f>
        <v>0</v>
      </c>
      <c r="D56" s="1015">
        <f>SUM(D54:D55)</f>
        <v>0</v>
      </c>
      <c r="E56" s="1013">
        <f>SUM(E54:E55)</f>
        <v>0</v>
      </c>
      <c r="F56" s="239"/>
      <c r="G56" s="323">
        <f t="shared" ref="G56:AL56" si="40">SUM(G54:G55)</f>
        <v>0</v>
      </c>
      <c r="H56" s="323">
        <f t="shared" si="40"/>
        <v>0</v>
      </c>
      <c r="I56" s="323">
        <f t="shared" si="40"/>
        <v>0</v>
      </c>
      <c r="J56" s="323">
        <f t="shared" si="40"/>
        <v>0</v>
      </c>
      <c r="K56" s="323">
        <f t="shared" si="40"/>
        <v>0</v>
      </c>
      <c r="L56" s="323">
        <f t="shared" si="40"/>
        <v>0</v>
      </c>
      <c r="M56" s="323">
        <f t="shared" si="40"/>
        <v>0</v>
      </c>
      <c r="N56" s="323">
        <f t="shared" si="40"/>
        <v>0</v>
      </c>
      <c r="O56" s="323">
        <f t="shared" si="40"/>
        <v>0</v>
      </c>
      <c r="P56" s="323">
        <f t="shared" si="40"/>
        <v>0</v>
      </c>
      <c r="Q56" s="323">
        <f t="shared" si="40"/>
        <v>0</v>
      </c>
      <c r="R56" s="323">
        <f t="shared" si="40"/>
        <v>0</v>
      </c>
      <c r="S56" s="323">
        <f t="shared" si="40"/>
        <v>0</v>
      </c>
      <c r="T56" s="323">
        <f t="shared" si="40"/>
        <v>0</v>
      </c>
      <c r="U56" s="323">
        <f t="shared" si="40"/>
        <v>0</v>
      </c>
      <c r="V56" s="323">
        <f t="shared" si="40"/>
        <v>0</v>
      </c>
      <c r="W56" s="323">
        <f t="shared" si="40"/>
        <v>0</v>
      </c>
      <c r="X56" s="323">
        <f t="shared" si="40"/>
        <v>0</v>
      </c>
      <c r="Y56" s="323">
        <f t="shared" si="40"/>
        <v>0</v>
      </c>
      <c r="Z56" s="323">
        <f t="shared" si="40"/>
        <v>0</v>
      </c>
      <c r="AA56" s="323">
        <f t="shared" si="40"/>
        <v>0</v>
      </c>
      <c r="AB56" s="323">
        <f t="shared" si="40"/>
        <v>0</v>
      </c>
      <c r="AC56" s="323">
        <f t="shared" si="40"/>
        <v>0</v>
      </c>
      <c r="AD56" s="323">
        <f t="shared" si="40"/>
        <v>0</v>
      </c>
      <c r="AE56" s="323">
        <f t="shared" si="40"/>
        <v>0</v>
      </c>
      <c r="AF56" s="323">
        <f t="shared" si="40"/>
        <v>0</v>
      </c>
      <c r="AG56" s="323">
        <f t="shared" si="40"/>
        <v>0</v>
      </c>
      <c r="AH56" s="323">
        <f t="shared" si="40"/>
        <v>0</v>
      </c>
      <c r="AI56" s="323">
        <f t="shared" si="40"/>
        <v>0</v>
      </c>
      <c r="AJ56" s="323">
        <f t="shared" si="40"/>
        <v>0</v>
      </c>
      <c r="AK56" s="323">
        <f t="shared" si="40"/>
        <v>0</v>
      </c>
      <c r="AL56" s="323">
        <f t="shared" si="40"/>
        <v>0</v>
      </c>
      <c r="AM56" s="323">
        <f t="shared" ref="AM56:BN56" si="41">SUM(AM54:AM55)</f>
        <v>0</v>
      </c>
      <c r="AN56" s="323">
        <f t="shared" si="41"/>
        <v>0</v>
      </c>
      <c r="AO56" s="323">
        <f t="shared" si="41"/>
        <v>0</v>
      </c>
      <c r="AP56" s="323">
        <f t="shared" si="41"/>
        <v>0</v>
      </c>
      <c r="AQ56" s="323">
        <f t="shared" si="41"/>
        <v>0</v>
      </c>
      <c r="AR56" s="323">
        <f t="shared" si="41"/>
        <v>0</v>
      </c>
      <c r="AS56" s="323">
        <f t="shared" si="41"/>
        <v>0</v>
      </c>
      <c r="AT56" s="323">
        <f t="shared" si="41"/>
        <v>0</v>
      </c>
      <c r="AU56" s="323">
        <f t="shared" si="41"/>
        <v>0</v>
      </c>
      <c r="AV56" s="323">
        <f t="shared" si="41"/>
        <v>0</v>
      </c>
      <c r="AW56" s="323">
        <f t="shared" si="41"/>
        <v>0</v>
      </c>
      <c r="AX56" s="323">
        <f t="shared" si="41"/>
        <v>0</v>
      </c>
      <c r="AY56" s="323">
        <f t="shared" si="41"/>
        <v>0</v>
      </c>
      <c r="AZ56" s="323">
        <f t="shared" si="41"/>
        <v>0</v>
      </c>
      <c r="BA56" s="323">
        <f t="shared" si="41"/>
        <v>0</v>
      </c>
      <c r="BB56" s="323">
        <f t="shared" si="41"/>
        <v>0</v>
      </c>
      <c r="BC56" s="323">
        <f t="shared" si="41"/>
        <v>0</v>
      </c>
      <c r="BD56" s="323">
        <f t="shared" si="41"/>
        <v>0</v>
      </c>
      <c r="BE56" s="323">
        <f t="shared" si="41"/>
        <v>0</v>
      </c>
      <c r="BF56" s="323">
        <f t="shared" si="41"/>
        <v>0</v>
      </c>
      <c r="BG56" s="323">
        <f t="shared" si="41"/>
        <v>0</v>
      </c>
      <c r="BH56" s="323">
        <f t="shared" si="41"/>
        <v>0</v>
      </c>
      <c r="BI56" s="323">
        <f t="shared" si="41"/>
        <v>0</v>
      </c>
      <c r="BJ56" s="323">
        <f t="shared" si="41"/>
        <v>0</v>
      </c>
      <c r="BK56" s="323">
        <f t="shared" si="41"/>
        <v>0</v>
      </c>
      <c r="BL56" s="323">
        <f t="shared" si="41"/>
        <v>0</v>
      </c>
      <c r="BM56" s="323">
        <f t="shared" si="41"/>
        <v>0</v>
      </c>
      <c r="BN56" s="323">
        <f t="shared" si="41"/>
        <v>0</v>
      </c>
      <c r="BO56" s="323">
        <f t="shared" ref="BO56:DV56" si="42">SUM(BO54:BO55)</f>
        <v>0</v>
      </c>
      <c r="BP56" s="323">
        <f t="shared" si="42"/>
        <v>0</v>
      </c>
      <c r="BQ56" s="323">
        <f t="shared" si="42"/>
        <v>0</v>
      </c>
      <c r="BR56" s="323">
        <f t="shared" si="42"/>
        <v>0</v>
      </c>
      <c r="BS56" s="323">
        <f t="shared" si="42"/>
        <v>0</v>
      </c>
      <c r="BT56" s="323">
        <f t="shared" si="42"/>
        <v>0</v>
      </c>
      <c r="BU56" s="323">
        <f t="shared" si="42"/>
        <v>0</v>
      </c>
      <c r="BV56" s="323">
        <f t="shared" si="42"/>
        <v>0</v>
      </c>
      <c r="BW56" s="323">
        <f t="shared" si="42"/>
        <v>0</v>
      </c>
      <c r="BX56" s="323">
        <f t="shared" si="42"/>
        <v>0</v>
      </c>
      <c r="BY56" s="323">
        <f t="shared" si="42"/>
        <v>0</v>
      </c>
      <c r="BZ56" s="323">
        <f t="shared" si="42"/>
        <v>0</v>
      </c>
      <c r="CA56" s="323">
        <f t="shared" si="42"/>
        <v>0</v>
      </c>
      <c r="CB56" s="323">
        <f t="shared" si="42"/>
        <v>0</v>
      </c>
      <c r="CC56" s="323">
        <f t="shared" si="42"/>
        <v>0</v>
      </c>
      <c r="CD56" s="323">
        <f t="shared" si="42"/>
        <v>0</v>
      </c>
      <c r="CE56" s="323">
        <f t="shared" si="42"/>
        <v>0</v>
      </c>
      <c r="CF56" s="323">
        <f t="shared" si="42"/>
        <v>0</v>
      </c>
      <c r="CG56" s="323">
        <f t="shared" si="42"/>
        <v>0</v>
      </c>
      <c r="CH56" s="323">
        <f t="shared" si="42"/>
        <v>0</v>
      </c>
      <c r="CI56" s="323">
        <f t="shared" si="42"/>
        <v>0</v>
      </c>
      <c r="CJ56" s="323">
        <f t="shared" si="42"/>
        <v>0</v>
      </c>
      <c r="CK56" s="323">
        <f t="shared" si="42"/>
        <v>0</v>
      </c>
      <c r="CL56" s="323">
        <f t="shared" si="42"/>
        <v>0</v>
      </c>
      <c r="CM56" s="323">
        <f t="shared" si="42"/>
        <v>0</v>
      </c>
      <c r="CN56" s="323">
        <f t="shared" si="42"/>
        <v>0</v>
      </c>
      <c r="CO56" s="323">
        <f t="shared" si="42"/>
        <v>0</v>
      </c>
      <c r="CP56" s="323">
        <f t="shared" si="42"/>
        <v>0</v>
      </c>
      <c r="CQ56" s="323">
        <f t="shared" si="42"/>
        <v>0</v>
      </c>
      <c r="CR56" s="323">
        <f t="shared" si="42"/>
        <v>0</v>
      </c>
      <c r="CS56" s="323">
        <f t="shared" si="42"/>
        <v>0</v>
      </c>
      <c r="CT56" s="323">
        <f t="shared" si="42"/>
        <v>0</v>
      </c>
      <c r="CU56" s="323">
        <f t="shared" si="42"/>
        <v>0</v>
      </c>
      <c r="CV56" s="323">
        <f t="shared" si="42"/>
        <v>0</v>
      </c>
      <c r="CW56" s="323">
        <f t="shared" si="42"/>
        <v>0</v>
      </c>
      <c r="CX56" s="323">
        <f t="shared" si="42"/>
        <v>0</v>
      </c>
      <c r="CY56" s="323">
        <f t="shared" si="42"/>
        <v>0</v>
      </c>
      <c r="CZ56" s="323">
        <f t="shared" si="42"/>
        <v>0</v>
      </c>
      <c r="DA56" s="323">
        <f t="shared" si="42"/>
        <v>0</v>
      </c>
      <c r="DB56" s="323">
        <f t="shared" si="42"/>
        <v>0</v>
      </c>
      <c r="DC56" s="323">
        <f t="shared" si="42"/>
        <v>0</v>
      </c>
      <c r="DD56" s="323">
        <f t="shared" si="42"/>
        <v>0</v>
      </c>
      <c r="DE56" s="323">
        <f t="shared" si="42"/>
        <v>0</v>
      </c>
      <c r="DF56" s="323">
        <f t="shared" si="42"/>
        <v>0</v>
      </c>
      <c r="DG56" s="323">
        <f t="shared" si="42"/>
        <v>0</v>
      </c>
      <c r="DH56" s="323">
        <f t="shared" si="42"/>
        <v>0</v>
      </c>
      <c r="DI56" s="323">
        <f t="shared" si="42"/>
        <v>0</v>
      </c>
      <c r="DJ56" s="323">
        <f t="shared" si="42"/>
        <v>0</v>
      </c>
      <c r="DK56" s="323">
        <f t="shared" si="42"/>
        <v>0</v>
      </c>
      <c r="DL56" s="323">
        <f t="shared" si="42"/>
        <v>0</v>
      </c>
      <c r="DM56" s="323">
        <f t="shared" si="42"/>
        <v>0</v>
      </c>
      <c r="DN56" s="323">
        <f t="shared" si="42"/>
        <v>0</v>
      </c>
      <c r="DO56" s="323">
        <f t="shared" si="42"/>
        <v>0</v>
      </c>
      <c r="DP56" s="323">
        <f t="shared" si="42"/>
        <v>0</v>
      </c>
      <c r="DQ56" s="323">
        <f t="shared" si="42"/>
        <v>0</v>
      </c>
      <c r="DR56" s="323">
        <f t="shared" si="42"/>
        <v>0</v>
      </c>
      <c r="DS56" s="323">
        <f t="shared" si="42"/>
        <v>0</v>
      </c>
      <c r="DT56" s="323">
        <f t="shared" si="42"/>
        <v>0</v>
      </c>
      <c r="DU56" s="323">
        <f t="shared" si="42"/>
        <v>0</v>
      </c>
      <c r="DV56" s="323">
        <f t="shared" si="42"/>
        <v>0</v>
      </c>
      <c r="DW56" s="1000"/>
    </row>
    <row r="57" spans="1:127" s="1000" customFormat="1" ht="15" customHeight="1" x14ac:dyDescent="0.3">
      <c r="B57" s="334"/>
      <c r="C57" s="1086"/>
      <c r="D57" s="1035"/>
      <c r="E57" s="1048"/>
      <c r="F57" s="84"/>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row>
    <row r="58" spans="1:127" s="1003" customFormat="1" ht="15" customHeight="1" x14ac:dyDescent="0.3">
      <c r="A58" s="1000"/>
      <c r="B58" s="1052" t="s">
        <v>982</v>
      </c>
      <c r="C58" s="1053">
        <f>C56+C51</f>
        <v>0</v>
      </c>
      <c r="D58" s="1053">
        <f>D56+D51</f>
        <v>0</v>
      </c>
      <c r="E58" s="1053">
        <f>E56+E51</f>
        <v>0</v>
      </c>
      <c r="F58" s="1081"/>
      <c r="G58" s="1055">
        <f t="shared" ref="G58:AL58" si="43">G56+G51</f>
        <v>0</v>
      </c>
      <c r="H58" s="1055">
        <f t="shared" si="43"/>
        <v>0</v>
      </c>
      <c r="I58" s="1055">
        <f t="shared" si="43"/>
        <v>0</v>
      </c>
      <c r="J58" s="1055">
        <f t="shared" si="43"/>
        <v>0</v>
      </c>
      <c r="K58" s="1055">
        <f t="shared" si="43"/>
        <v>0</v>
      </c>
      <c r="L58" s="1055">
        <f t="shared" si="43"/>
        <v>0</v>
      </c>
      <c r="M58" s="1055">
        <f t="shared" si="43"/>
        <v>0</v>
      </c>
      <c r="N58" s="1055">
        <f t="shared" si="43"/>
        <v>0</v>
      </c>
      <c r="O58" s="1055">
        <f t="shared" si="43"/>
        <v>0</v>
      </c>
      <c r="P58" s="1055">
        <f t="shared" si="43"/>
        <v>0</v>
      </c>
      <c r="Q58" s="1055">
        <f t="shared" si="43"/>
        <v>0</v>
      </c>
      <c r="R58" s="1055">
        <f t="shared" si="43"/>
        <v>0</v>
      </c>
      <c r="S58" s="1055">
        <f t="shared" si="43"/>
        <v>0</v>
      </c>
      <c r="T58" s="1055">
        <f t="shared" si="43"/>
        <v>0</v>
      </c>
      <c r="U58" s="1055">
        <f t="shared" si="43"/>
        <v>0</v>
      </c>
      <c r="V58" s="1055">
        <f t="shared" si="43"/>
        <v>0</v>
      </c>
      <c r="W58" s="1055">
        <f t="shared" si="43"/>
        <v>0</v>
      </c>
      <c r="X58" s="1055">
        <f t="shared" si="43"/>
        <v>0</v>
      </c>
      <c r="Y58" s="1055">
        <f t="shared" si="43"/>
        <v>0</v>
      </c>
      <c r="Z58" s="1055">
        <f t="shared" si="43"/>
        <v>0</v>
      </c>
      <c r="AA58" s="1055">
        <f t="shared" si="43"/>
        <v>0</v>
      </c>
      <c r="AB58" s="1055">
        <f t="shared" si="43"/>
        <v>0</v>
      </c>
      <c r="AC58" s="1055">
        <f t="shared" si="43"/>
        <v>0</v>
      </c>
      <c r="AD58" s="1055">
        <f t="shared" si="43"/>
        <v>0</v>
      </c>
      <c r="AE58" s="1055">
        <f t="shared" si="43"/>
        <v>0</v>
      </c>
      <c r="AF58" s="1055">
        <f t="shared" si="43"/>
        <v>0</v>
      </c>
      <c r="AG58" s="1055">
        <f t="shared" si="43"/>
        <v>0</v>
      </c>
      <c r="AH58" s="1055">
        <f t="shared" si="43"/>
        <v>0</v>
      </c>
      <c r="AI58" s="1055">
        <f t="shared" si="43"/>
        <v>0</v>
      </c>
      <c r="AJ58" s="1055">
        <f t="shared" si="43"/>
        <v>0</v>
      </c>
      <c r="AK58" s="1055">
        <f t="shared" si="43"/>
        <v>0</v>
      </c>
      <c r="AL58" s="1055">
        <f t="shared" si="43"/>
        <v>0</v>
      </c>
      <c r="AM58" s="1055">
        <f t="shared" ref="AM58:BN58" si="44">AM56+AM51</f>
        <v>0</v>
      </c>
      <c r="AN58" s="1055">
        <f t="shared" si="44"/>
        <v>0</v>
      </c>
      <c r="AO58" s="1055">
        <f t="shared" si="44"/>
        <v>0</v>
      </c>
      <c r="AP58" s="1055">
        <f t="shared" si="44"/>
        <v>0</v>
      </c>
      <c r="AQ58" s="1055">
        <f t="shared" si="44"/>
        <v>0</v>
      </c>
      <c r="AR58" s="1055">
        <f t="shared" si="44"/>
        <v>0</v>
      </c>
      <c r="AS58" s="1055">
        <f t="shared" si="44"/>
        <v>0</v>
      </c>
      <c r="AT58" s="1055">
        <f t="shared" si="44"/>
        <v>0</v>
      </c>
      <c r="AU58" s="1055">
        <f t="shared" si="44"/>
        <v>0</v>
      </c>
      <c r="AV58" s="1055">
        <f t="shared" si="44"/>
        <v>0</v>
      </c>
      <c r="AW58" s="1055">
        <f t="shared" si="44"/>
        <v>0</v>
      </c>
      <c r="AX58" s="1055">
        <f t="shared" si="44"/>
        <v>0</v>
      </c>
      <c r="AY58" s="1055">
        <f t="shared" si="44"/>
        <v>0</v>
      </c>
      <c r="AZ58" s="1055">
        <f t="shared" si="44"/>
        <v>0</v>
      </c>
      <c r="BA58" s="1055">
        <f t="shared" si="44"/>
        <v>0</v>
      </c>
      <c r="BB58" s="1055">
        <f t="shared" si="44"/>
        <v>0</v>
      </c>
      <c r="BC58" s="1055">
        <f t="shared" si="44"/>
        <v>0</v>
      </c>
      <c r="BD58" s="1055">
        <f t="shared" si="44"/>
        <v>0</v>
      </c>
      <c r="BE58" s="1055">
        <f t="shared" si="44"/>
        <v>0</v>
      </c>
      <c r="BF58" s="1055">
        <f t="shared" si="44"/>
        <v>0</v>
      </c>
      <c r="BG58" s="1055">
        <f t="shared" si="44"/>
        <v>0</v>
      </c>
      <c r="BH58" s="1055">
        <f t="shared" si="44"/>
        <v>0</v>
      </c>
      <c r="BI58" s="1055">
        <f t="shared" si="44"/>
        <v>0</v>
      </c>
      <c r="BJ58" s="1055">
        <f t="shared" si="44"/>
        <v>0</v>
      </c>
      <c r="BK58" s="1055">
        <f t="shared" si="44"/>
        <v>0</v>
      </c>
      <c r="BL58" s="1055">
        <f t="shared" si="44"/>
        <v>0</v>
      </c>
      <c r="BM58" s="1055">
        <f t="shared" si="44"/>
        <v>0</v>
      </c>
      <c r="BN58" s="1055">
        <f t="shared" si="44"/>
        <v>0</v>
      </c>
      <c r="BO58" s="1055">
        <f t="shared" ref="BO58:DV58" si="45">BO56+BO51</f>
        <v>0</v>
      </c>
      <c r="BP58" s="1055">
        <f t="shared" si="45"/>
        <v>0</v>
      </c>
      <c r="BQ58" s="1055">
        <f t="shared" si="45"/>
        <v>0</v>
      </c>
      <c r="BR58" s="1055">
        <f t="shared" si="45"/>
        <v>0</v>
      </c>
      <c r="BS58" s="1055">
        <f t="shared" si="45"/>
        <v>0</v>
      </c>
      <c r="BT58" s="1055">
        <f t="shared" si="45"/>
        <v>0</v>
      </c>
      <c r="BU58" s="1055">
        <f t="shared" si="45"/>
        <v>0</v>
      </c>
      <c r="BV58" s="1055">
        <f t="shared" si="45"/>
        <v>0</v>
      </c>
      <c r="BW58" s="1055">
        <f t="shared" si="45"/>
        <v>0</v>
      </c>
      <c r="BX58" s="1055">
        <f t="shared" si="45"/>
        <v>0</v>
      </c>
      <c r="BY58" s="1055">
        <f t="shared" si="45"/>
        <v>0</v>
      </c>
      <c r="BZ58" s="1055">
        <f t="shared" si="45"/>
        <v>0</v>
      </c>
      <c r="CA58" s="1055">
        <f t="shared" si="45"/>
        <v>0</v>
      </c>
      <c r="CB58" s="1055">
        <f t="shared" si="45"/>
        <v>0</v>
      </c>
      <c r="CC58" s="1055">
        <f t="shared" si="45"/>
        <v>0</v>
      </c>
      <c r="CD58" s="1055">
        <f t="shared" si="45"/>
        <v>0</v>
      </c>
      <c r="CE58" s="1055">
        <f t="shared" si="45"/>
        <v>0</v>
      </c>
      <c r="CF58" s="1055">
        <f t="shared" si="45"/>
        <v>0</v>
      </c>
      <c r="CG58" s="1055">
        <f t="shared" si="45"/>
        <v>0</v>
      </c>
      <c r="CH58" s="1055">
        <f t="shared" si="45"/>
        <v>0</v>
      </c>
      <c r="CI58" s="1055">
        <f t="shared" si="45"/>
        <v>0</v>
      </c>
      <c r="CJ58" s="1055">
        <f t="shared" si="45"/>
        <v>0</v>
      </c>
      <c r="CK58" s="1055">
        <f t="shared" si="45"/>
        <v>0</v>
      </c>
      <c r="CL58" s="1055">
        <f t="shared" si="45"/>
        <v>0</v>
      </c>
      <c r="CM58" s="1055">
        <f t="shared" si="45"/>
        <v>0</v>
      </c>
      <c r="CN58" s="1055">
        <f t="shared" si="45"/>
        <v>0</v>
      </c>
      <c r="CO58" s="1055">
        <f t="shared" si="45"/>
        <v>0</v>
      </c>
      <c r="CP58" s="1055">
        <f t="shared" si="45"/>
        <v>0</v>
      </c>
      <c r="CQ58" s="1055">
        <f t="shared" si="45"/>
        <v>0</v>
      </c>
      <c r="CR58" s="1055">
        <f t="shared" si="45"/>
        <v>0</v>
      </c>
      <c r="CS58" s="1055">
        <f t="shared" si="45"/>
        <v>0</v>
      </c>
      <c r="CT58" s="1055">
        <f t="shared" si="45"/>
        <v>0</v>
      </c>
      <c r="CU58" s="1055">
        <f t="shared" si="45"/>
        <v>0</v>
      </c>
      <c r="CV58" s="1055">
        <f t="shared" si="45"/>
        <v>0</v>
      </c>
      <c r="CW58" s="1055">
        <f t="shared" si="45"/>
        <v>0</v>
      </c>
      <c r="CX58" s="1055">
        <f t="shared" si="45"/>
        <v>0</v>
      </c>
      <c r="CY58" s="1055">
        <f t="shared" si="45"/>
        <v>0</v>
      </c>
      <c r="CZ58" s="1055">
        <f t="shared" si="45"/>
        <v>0</v>
      </c>
      <c r="DA58" s="1055">
        <f t="shared" si="45"/>
        <v>0</v>
      </c>
      <c r="DB58" s="1055">
        <f t="shared" si="45"/>
        <v>0</v>
      </c>
      <c r="DC58" s="1055">
        <f t="shared" si="45"/>
        <v>0</v>
      </c>
      <c r="DD58" s="1055">
        <f t="shared" si="45"/>
        <v>0</v>
      </c>
      <c r="DE58" s="1055">
        <f t="shared" si="45"/>
        <v>0</v>
      </c>
      <c r="DF58" s="1055">
        <f t="shared" si="45"/>
        <v>0</v>
      </c>
      <c r="DG58" s="1055">
        <f t="shared" si="45"/>
        <v>0</v>
      </c>
      <c r="DH58" s="1055">
        <f t="shared" si="45"/>
        <v>0</v>
      </c>
      <c r="DI58" s="1055">
        <f t="shared" si="45"/>
        <v>0</v>
      </c>
      <c r="DJ58" s="1055">
        <f t="shared" si="45"/>
        <v>0</v>
      </c>
      <c r="DK58" s="1055">
        <f t="shared" si="45"/>
        <v>0</v>
      </c>
      <c r="DL58" s="1055">
        <f t="shared" si="45"/>
        <v>0</v>
      </c>
      <c r="DM58" s="1055">
        <f t="shared" si="45"/>
        <v>0</v>
      </c>
      <c r="DN58" s="1055">
        <f t="shared" si="45"/>
        <v>0</v>
      </c>
      <c r="DO58" s="1055">
        <f t="shared" si="45"/>
        <v>0</v>
      </c>
      <c r="DP58" s="1055">
        <f t="shared" si="45"/>
        <v>0</v>
      </c>
      <c r="DQ58" s="1055">
        <f t="shared" si="45"/>
        <v>0</v>
      </c>
      <c r="DR58" s="1055">
        <f t="shared" si="45"/>
        <v>0</v>
      </c>
      <c r="DS58" s="1055">
        <f t="shared" si="45"/>
        <v>0</v>
      </c>
      <c r="DT58" s="1055">
        <f t="shared" si="45"/>
        <v>0</v>
      </c>
      <c r="DU58" s="1055">
        <f t="shared" si="45"/>
        <v>0</v>
      </c>
      <c r="DV58" s="1082">
        <f t="shared" si="45"/>
        <v>0</v>
      </c>
      <c r="DW58" s="1000"/>
    </row>
    <row r="59" spans="1:127" s="1020" customFormat="1" ht="15" customHeight="1" x14ac:dyDescent="0.3">
      <c r="A59" s="1068"/>
      <c r="B59" s="1069" t="s">
        <v>525</v>
      </c>
      <c r="C59" s="1070"/>
      <c r="D59" s="1071"/>
      <c r="E59" s="1072"/>
      <c r="F59" s="1073"/>
      <c r="G59" s="1074">
        <f>SUM($G$58:G58)</f>
        <v>0</v>
      </c>
      <c r="H59" s="1074">
        <f>SUM($G$58:H58)</f>
        <v>0</v>
      </c>
      <c r="I59" s="1074">
        <f>SUM($G$58:I58)</f>
        <v>0</v>
      </c>
      <c r="J59" s="1074">
        <f>SUM($G$58:J58)</f>
        <v>0</v>
      </c>
      <c r="K59" s="1074">
        <f>SUM($G$58:K58)</f>
        <v>0</v>
      </c>
      <c r="L59" s="1074">
        <f>SUM($G$58:L58)</f>
        <v>0</v>
      </c>
      <c r="M59" s="1074">
        <f>SUM($G$58:M58)</f>
        <v>0</v>
      </c>
      <c r="N59" s="1074">
        <f>SUM($G$58:N58)</f>
        <v>0</v>
      </c>
      <c r="O59" s="1074">
        <f>SUM($G$58:O58)</f>
        <v>0</v>
      </c>
      <c r="P59" s="1074">
        <f>SUM($G$58:P58)</f>
        <v>0</v>
      </c>
      <c r="Q59" s="1074">
        <f>SUM($G$58:Q58)</f>
        <v>0</v>
      </c>
      <c r="R59" s="1074">
        <f>SUM($G$58:R58)</f>
        <v>0</v>
      </c>
      <c r="S59" s="1074">
        <f>SUM($G$58:S58)</f>
        <v>0</v>
      </c>
      <c r="T59" s="1074">
        <f>SUM($G$58:T58)</f>
        <v>0</v>
      </c>
      <c r="U59" s="1074">
        <f>SUM($G$58:U58)</f>
        <v>0</v>
      </c>
      <c r="V59" s="1074">
        <f>SUM($G$58:V58)</f>
        <v>0</v>
      </c>
      <c r="W59" s="1074">
        <f>SUM($G$58:W58)</f>
        <v>0</v>
      </c>
      <c r="X59" s="1074">
        <f>SUM($G$58:X58)</f>
        <v>0</v>
      </c>
      <c r="Y59" s="1074">
        <f>SUM($G$58:Y58)</f>
        <v>0</v>
      </c>
      <c r="Z59" s="1074">
        <f>SUM($G$58:Z58)</f>
        <v>0</v>
      </c>
      <c r="AA59" s="1074">
        <f>SUM($G$58:AA58)</f>
        <v>0</v>
      </c>
      <c r="AB59" s="1074">
        <f>SUM($G$58:AB58)</f>
        <v>0</v>
      </c>
      <c r="AC59" s="1074">
        <f>SUM($G$58:AC58)</f>
        <v>0</v>
      </c>
      <c r="AD59" s="1074">
        <f>SUM($G$58:AD58)</f>
        <v>0</v>
      </c>
      <c r="AE59" s="1074">
        <f>SUM($G$58:AE58)</f>
        <v>0</v>
      </c>
      <c r="AF59" s="1074">
        <f>SUM($G$58:AF58)</f>
        <v>0</v>
      </c>
      <c r="AG59" s="1074">
        <f>SUM($G$58:AG58)</f>
        <v>0</v>
      </c>
      <c r="AH59" s="1074">
        <f>SUM($G$58:AH58)</f>
        <v>0</v>
      </c>
      <c r="AI59" s="1074">
        <f>SUM($G$58:AI58)</f>
        <v>0</v>
      </c>
      <c r="AJ59" s="1074">
        <f>SUM($G$58:AJ58)</f>
        <v>0</v>
      </c>
      <c r="AK59" s="1074">
        <f>SUM($G$58:AK58)</f>
        <v>0</v>
      </c>
      <c r="AL59" s="1074">
        <f>SUM($G$58:AL58)</f>
        <v>0</v>
      </c>
      <c r="AM59" s="1074">
        <f>SUM($G$58:AM58)</f>
        <v>0</v>
      </c>
      <c r="AN59" s="1074">
        <f>SUM($G$58:AN58)</f>
        <v>0</v>
      </c>
      <c r="AO59" s="1074">
        <f>SUM($G$58:AO58)</f>
        <v>0</v>
      </c>
      <c r="AP59" s="1074">
        <f>SUM($G$58:AP58)</f>
        <v>0</v>
      </c>
      <c r="AQ59" s="1074">
        <f>SUM($G$58:AQ58)</f>
        <v>0</v>
      </c>
      <c r="AR59" s="1074">
        <f>SUM($G$58:AR58)</f>
        <v>0</v>
      </c>
      <c r="AS59" s="1074">
        <f>SUM($G$58:AS58)</f>
        <v>0</v>
      </c>
      <c r="AT59" s="1074">
        <f>SUM($G$58:AT58)</f>
        <v>0</v>
      </c>
      <c r="AU59" s="1074">
        <f>SUM($G$58:AU58)</f>
        <v>0</v>
      </c>
      <c r="AV59" s="1074">
        <f>SUM($G$58:AV58)</f>
        <v>0</v>
      </c>
      <c r="AW59" s="1074">
        <f>SUM($G$58:AW58)</f>
        <v>0</v>
      </c>
      <c r="AX59" s="1074">
        <f>SUM($G$58:AX58)</f>
        <v>0</v>
      </c>
      <c r="AY59" s="1074">
        <f>SUM($G$58:AY58)</f>
        <v>0</v>
      </c>
      <c r="AZ59" s="1074">
        <f>SUM($G$58:AZ58)</f>
        <v>0</v>
      </c>
      <c r="BA59" s="1074">
        <f>SUM($G$58:BA58)</f>
        <v>0</v>
      </c>
      <c r="BB59" s="1074">
        <f>SUM($G$58:BB58)</f>
        <v>0</v>
      </c>
      <c r="BC59" s="1074">
        <f>SUM($G$58:BC58)</f>
        <v>0</v>
      </c>
      <c r="BD59" s="1074">
        <f>SUM($G$58:BD58)</f>
        <v>0</v>
      </c>
      <c r="BE59" s="1074">
        <f>SUM($G$58:BE58)</f>
        <v>0</v>
      </c>
      <c r="BF59" s="1074">
        <f>SUM($G$58:BF58)</f>
        <v>0</v>
      </c>
      <c r="BG59" s="1074">
        <f>SUM($G$58:BG58)</f>
        <v>0</v>
      </c>
      <c r="BH59" s="1074">
        <f>SUM($G$58:BH58)</f>
        <v>0</v>
      </c>
      <c r="BI59" s="1074">
        <f>SUM($G$58:BI58)</f>
        <v>0</v>
      </c>
      <c r="BJ59" s="1074">
        <f>SUM($G$58:BJ58)</f>
        <v>0</v>
      </c>
      <c r="BK59" s="1074">
        <f>SUM($G$58:BK58)</f>
        <v>0</v>
      </c>
      <c r="BL59" s="1074">
        <f>SUM($G$58:BL58)</f>
        <v>0</v>
      </c>
      <c r="BM59" s="1074">
        <f>SUM($G$58:BM58)</f>
        <v>0</v>
      </c>
      <c r="BN59" s="1074">
        <f>SUM($G$58:BN58)</f>
        <v>0</v>
      </c>
      <c r="BO59" s="1074">
        <f>SUM($G$58:BO58)</f>
        <v>0</v>
      </c>
      <c r="BP59" s="1074">
        <f>SUM($G$58:BP58)</f>
        <v>0</v>
      </c>
      <c r="BQ59" s="1074">
        <f>SUM($G$58:BQ58)</f>
        <v>0</v>
      </c>
      <c r="BR59" s="1074">
        <f>SUM($G$58:BR58)</f>
        <v>0</v>
      </c>
      <c r="BS59" s="1074">
        <f>SUM($G$58:BS58)</f>
        <v>0</v>
      </c>
      <c r="BT59" s="1074">
        <f>SUM($G$58:BT58)</f>
        <v>0</v>
      </c>
      <c r="BU59" s="1074">
        <f>SUM($G$58:BU58)</f>
        <v>0</v>
      </c>
      <c r="BV59" s="1074">
        <f>SUM($G$58:BV58)</f>
        <v>0</v>
      </c>
      <c r="BW59" s="1074">
        <f>SUM($G$58:BW58)</f>
        <v>0</v>
      </c>
      <c r="BX59" s="1074">
        <f>SUM($G$58:BX58)</f>
        <v>0</v>
      </c>
      <c r="BY59" s="1074">
        <f>SUM($G$58:BY58)</f>
        <v>0</v>
      </c>
      <c r="BZ59" s="1074">
        <f>SUM($G$58:BZ58)</f>
        <v>0</v>
      </c>
      <c r="CA59" s="1074">
        <f>SUM($G$58:CA58)</f>
        <v>0</v>
      </c>
      <c r="CB59" s="1074">
        <f>SUM($G$58:CB58)</f>
        <v>0</v>
      </c>
      <c r="CC59" s="1074">
        <f>SUM($G$58:CC58)</f>
        <v>0</v>
      </c>
      <c r="CD59" s="1074">
        <f>SUM($G$58:CD58)</f>
        <v>0</v>
      </c>
      <c r="CE59" s="1074">
        <f>SUM($G$58:CE58)</f>
        <v>0</v>
      </c>
      <c r="CF59" s="1074">
        <f>SUM($G$58:CF58)</f>
        <v>0</v>
      </c>
      <c r="CG59" s="1074">
        <f>SUM($G$58:CG58)</f>
        <v>0</v>
      </c>
      <c r="CH59" s="1074">
        <f>SUM($G$58:CH58)</f>
        <v>0</v>
      </c>
      <c r="CI59" s="1074">
        <f>SUM($G$58:CI58)</f>
        <v>0</v>
      </c>
      <c r="CJ59" s="1074">
        <f>SUM($G$58:CJ58)</f>
        <v>0</v>
      </c>
      <c r="CK59" s="1074">
        <f>SUM($G$58:CK58)</f>
        <v>0</v>
      </c>
      <c r="CL59" s="1074">
        <f>SUM($G$58:CL58)</f>
        <v>0</v>
      </c>
      <c r="CM59" s="1074">
        <f>SUM($G$58:CM58)</f>
        <v>0</v>
      </c>
      <c r="CN59" s="1074">
        <f>SUM($G$58:CN58)</f>
        <v>0</v>
      </c>
      <c r="CO59" s="1074">
        <f>SUM($G$58:CO58)</f>
        <v>0</v>
      </c>
      <c r="CP59" s="1074">
        <f>SUM($G$58:CP58)</f>
        <v>0</v>
      </c>
      <c r="CQ59" s="1074">
        <f>SUM($G$58:CQ58)</f>
        <v>0</v>
      </c>
      <c r="CR59" s="1074">
        <f>SUM($G$58:CR58)</f>
        <v>0</v>
      </c>
      <c r="CS59" s="1074">
        <f>SUM($G$58:CS58)</f>
        <v>0</v>
      </c>
      <c r="CT59" s="1074">
        <f>SUM($G$58:CT58)</f>
        <v>0</v>
      </c>
      <c r="CU59" s="1074">
        <f>SUM($G$58:CU58)</f>
        <v>0</v>
      </c>
      <c r="CV59" s="1074">
        <f>SUM($G$58:CV58)</f>
        <v>0</v>
      </c>
      <c r="CW59" s="1074">
        <f>SUM($G$58:CW58)</f>
        <v>0</v>
      </c>
      <c r="CX59" s="1074">
        <f>SUM($G$58:CX58)</f>
        <v>0</v>
      </c>
      <c r="CY59" s="1074">
        <f>SUM($G$58:CY58)</f>
        <v>0</v>
      </c>
      <c r="CZ59" s="1074">
        <f>SUM($G$58:CZ58)</f>
        <v>0</v>
      </c>
      <c r="DA59" s="1074">
        <f>SUM($G$58:DA58)</f>
        <v>0</v>
      </c>
      <c r="DB59" s="1074">
        <f>SUM($G$58:DB58)</f>
        <v>0</v>
      </c>
      <c r="DC59" s="1074">
        <f>SUM($G$58:DC58)</f>
        <v>0</v>
      </c>
      <c r="DD59" s="1074">
        <f>SUM($G$58:DD58)</f>
        <v>0</v>
      </c>
      <c r="DE59" s="1074">
        <f>SUM($G$58:DE58)</f>
        <v>0</v>
      </c>
      <c r="DF59" s="1074">
        <f>SUM($G$58:DF58)</f>
        <v>0</v>
      </c>
      <c r="DG59" s="1074">
        <f>SUM($G$58:DG58)</f>
        <v>0</v>
      </c>
      <c r="DH59" s="1074">
        <f>SUM($G$58:DH58)</f>
        <v>0</v>
      </c>
      <c r="DI59" s="1074">
        <f>SUM($G$58:DI58)</f>
        <v>0</v>
      </c>
      <c r="DJ59" s="1074">
        <f>SUM($G$58:DJ58)</f>
        <v>0</v>
      </c>
      <c r="DK59" s="1074">
        <f>SUM($G$58:DK58)</f>
        <v>0</v>
      </c>
      <c r="DL59" s="1074">
        <f>SUM($G$58:DL58)</f>
        <v>0</v>
      </c>
      <c r="DM59" s="1074">
        <f>SUM($G$58:DM58)</f>
        <v>0</v>
      </c>
      <c r="DN59" s="1074">
        <f>SUM($G$58:DN58)</f>
        <v>0</v>
      </c>
      <c r="DO59" s="1074">
        <f>SUM($G$58:DO58)</f>
        <v>0</v>
      </c>
      <c r="DP59" s="1074">
        <f>SUM($G$58:DP58)</f>
        <v>0</v>
      </c>
      <c r="DQ59" s="1074">
        <f>SUM($G$58:DQ58)</f>
        <v>0</v>
      </c>
      <c r="DR59" s="1074">
        <f>SUM($G$58:DR58)</f>
        <v>0</v>
      </c>
      <c r="DS59" s="1074">
        <f>SUM($G$58:DS58)</f>
        <v>0</v>
      </c>
      <c r="DT59" s="1074">
        <f>SUM($G$58:DT58)</f>
        <v>0</v>
      </c>
      <c r="DU59" s="1074">
        <f>SUM($G$58:DU58)</f>
        <v>0</v>
      </c>
      <c r="DV59" s="1075">
        <f>SUM($G$58:DV58)</f>
        <v>0</v>
      </c>
      <c r="DW59" s="1068"/>
    </row>
    <row r="60" spans="1:127" x14ac:dyDescent="0.3">
      <c r="A60" s="1000"/>
      <c r="B60" s="125"/>
      <c r="C60" s="125"/>
      <c r="D60" s="125"/>
      <c r="E60" s="125"/>
      <c r="F60" s="125"/>
      <c r="G60" s="125"/>
      <c r="H60" s="1021"/>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c r="DI60" s="125"/>
      <c r="DJ60" s="125"/>
      <c r="DK60" s="125"/>
      <c r="DL60" s="125"/>
      <c r="DM60" s="125"/>
      <c r="DN60" s="125"/>
      <c r="DO60" s="125"/>
      <c r="DP60" s="125"/>
      <c r="DQ60" s="125"/>
      <c r="DR60" s="125"/>
      <c r="DS60" s="125"/>
      <c r="DT60" s="125"/>
      <c r="DU60" s="125"/>
      <c r="DV60" s="125"/>
      <c r="DW60" s="1000"/>
    </row>
    <row r="61" spans="1:127" x14ac:dyDescent="0.3">
      <c r="A61" s="1000"/>
      <c r="B61" s="489"/>
      <c r="C61" s="489"/>
      <c r="D61" s="489"/>
      <c r="E61" s="489"/>
      <c r="F61" s="489"/>
      <c r="G61" s="489"/>
      <c r="H61" s="489"/>
      <c r="I61" s="489"/>
      <c r="J61" s="489"/>
      <c r="K61" s="489"/>
      <c r="L61" s="489"/>
      <c r="M61" s="489"/>
      <c r="N61" s="489"/>
      <c r="O61" s="1022"/>
      <c r="P61" s="489"/>
      <c r="Q61" s="489"/>
      <c r="R61" s="489"/>
      <c r="S61" s="489"/>
      <c r="T61" s="489"/>
      <c r="U61" s="489"/>
      <c r="V61" s="489"/>
      <c r="W61" s="489"/>
      <c r="X61" s="489"/>
      <c r="Y61" s="489"/>
      <c r="Z61" s="489"/>
      <c r="AA61" s="489"/>
      <c r="AB61" s="489"/>
      <c r="AC61" s="489"/>
      <c r="AD61" s="489"/>
      <c r="AE61" s="489"/>
      <c r="AF61" s="489"/>
      <c r="AG61" s="489"/>
      <c r="AH61" s="489"/>
      <c r="AI61" s="489"/>
      <c r="AJ61" s="489"/>
      <c r="AK61" s="489"/>
      <c r="AL61" s="489"/>
      <c r="AM61" s="489"/>
      <c r="AN61" s="489"/>
      <c r="AO61" s="489"/>
      <c r="AP61" s="489"/>
      <c r="AQ61" s="489"/>
      <c r="AR61" s="489"/>
      <c r="AS61" s="489"/>
      <c r="AT61" s="489"/>
      <c r="AU61" s="489"/>
      <c r="AV61" s="489"/>
      <c r="AW61" s="489"/>
      <c r="AX61" s="489"/>
      <c r="AY61" s="489"/>
      <c r="AZ61" s="489"/>
      <c r="BA61" s="489"/>
      <c r="BB61" s="489"/>
      <c r="BC61" s="489"/>
      <c r="BD61" s="489"/>
      <c r="BE61" s="489"/>
      <c r="BF61" s="489"/>
      <c r="BG61" s="489"/>
      <c r="BH61" s="489"/>
      <c r="BI61" s="489"/>
      <c r="BJ61" s="489"/>
      <c r="BK61" s="489"/>
      <c r="BL61" s="489"/>
      <c r="BM61" s="489"/>
      <c r="BN61" s="489"/>
      <c r="BO61" s="489"/>
      <c r="BP61" s="489"/>
      <c r="BQ61" s="489"/>
      <c r="BR61" s="489"/>
      <c r="BS61" s="489"/>
      <c r="BT61" s="489"/>
      <c r="BU61" s="489"/>
      <c r="BV61" s="489"/>
      <c r="BW61" s="489"/>
      <c r="BX61" s="489"/>
      <c r="BY61" s="489"/>
      <c r="BZ61" s="489"/>
      <c r="CA61" s="489"/>
      <c r="CB61" s="489"/>
      <c r="CC61" s="489"/>
      <c r="CD61" s="489"/>
      <c r="CE61" s="489"/>
      <c r="CF61" s="489"/>
      <c r="CG61" s="489"/>
      <c r="CH61" s="489"/>
      <c r="CI61" s="489"/>
      <c r="CJ61" s="489"/>
      <c r="CK61" s="489"/>
      <c r="CL61" s="489"/>
      <c r="CM61" s="489"/>
      <c r="CN61" s="489"/>
      <c r="CO61" s="489"/>
      <c r="CP61" s="489"/>
      <c r="CQ61" s="489"/>
      <c r="CR61" s="489"/>
      <c r="CS61" s="489"/>
      <c r="CT61" s="489"/>
      <c r="CU61" s="489"/>
      <c r="CV61" s="489"/>
      <c r="CW61" s="489"/>
      <c r="CX61" s="489"/>
      <c r="CY61" s="489"/>
      <c r="CZ61" s="489"/>
      <c r="DA61" s="489"/>
      <c r="DB61" s="489"/>
      <c r="DC61" s="489"/>
      <c r="DD61" s="489"/>
      <c r="DE61" s="489"/>
      <c r="DF61" s="489"/>
      <c r="DG61" s="489"/>
      <c r="DH61" s="489"/>
      <c r="DI61" s="489"/>
      <c r="DJ61" s="489"/>
      <c r="DK61" s="489"/>
      <c r="DL61" s="489"/>
      <c r="DM61" s="489"/>
      <c r="DN61" s="489"/>
      <c r="DO61" s="489"/>
      <c r="DP61" s="489"/>
      <c r="DQ61" s="489"/>
      <c r="DR61" s="489"/>
      <c r="DS61" s="489"/>
      <c r="DT61" s="489"/>
      <c r="DU61" s="489"/>
      <c r="DV61" s="489"/>
      <c r="DW61" s="1003"/>
    </row>
    <row r="62" spans="1:127" x14ac:dyDescent="0.3">
      <c r="A62" s="1004"/>
      <c r="B62" s="1088" t="str">
        <f>DISCLAIMER!A35</f>
        <v>© 2025 by WinsWithMike.com or Michael Forsberg Nampa, Idaho. All rights reserved</v>
      </c>
      <c r="C62" s="786"/>
      <c r="D62" s="786"/>
      <c r="E62" s="786"/>
      <c r="F62" s="786"/>
      <c r="G62" s="787"/>
      <c r="H62" s="787"/>
      <c r="I62" s="787"/>
      <c r="J62" s="787"/>
      <c r="K62" s="787"/>
      <c r="L62" s="787"/>
      <c r="M62" s="788"/>
      <c r="N62" s="788"/>
      <c r="O62" s="788"/>
      <c r="P62" s="788"/>
      <c r="Q62" s="788"/>
      <c r="R62" s="788"/>
      <c r="S62" s="788"/>
      <c r="T62" s="788"/>
      <c r="U62" s="788"/>
      <c r="V62" s="788"/>
      <c r="W62" s="788"/>
      <c r="X62" s="788"/>
      <c r="Y62" s="788"/>
      <c r="Z62" s="788"/>
      <c r="AA62" s="788"/>
      <c r="AB62" s="788"/>
      <c r="AC62" s="788"/>
      <c r="AD62" s="788"/>
      <c r="AE62" s="788"/>
      <c r="AF62" s="788"/>
      <c r="AG62" s="788"/>
      <c r="AH62" s="788"/>
      <c r="AI62" s="788"/>
      <c r="AJ62" s="788"/>
      <c r="AK62" s="788"/>
      <c r="AL62" s="788"/>
      <c r="AM62" s="788"/>
      <c r="AN62" s="788"/>
      <c r="AO62" s="788"/>
      <c r="AP62" s="788"/>
      <c r="AQ62" s="788"/>
      <c r="AR62" s="788"/>
      <c r="AS62" s="788"/>
      <c r="AT62" s="788"/>
      <c r="AU62" s="788"/>
      <c r="AV62" s="788"/>
      <c r="AW62" s="788"/>
      <c r="AX62" s="788"/>
      <c r="AY62" s="788"/>
      <c r="AZ62" s="788"/>
      <c r="BA62" s="788"/>
      <c r="BB62" s="788"/>
      <c r="BC62" s="788"/>
      <c r="BD62" s="788"/>
      <c r="BE62" s="788"/>
      <c r="BF62" s="788"/>
      <c r="BG62" s="788"/>
      <c r="BH62" s="788"/>
      <c r="BI62" s="788"/>
      <c r="BJ62" s="788"/>
      <c r="BK62" s="788"/>
      <c r="BL62" s="788"/>
      <c r="BM62" s="788"/>
      <c r="BN62" s="788"/>
      <c r="BO62" s="788"/>
      <c r="BP62" s="788"/>
      <c r="BQ62" s="788"/>
      <c r="BR62" s="788"/>
      <c r="BS62" s="788"/>
      <c r="BT62" s="788"/>
      <c r="BU62" s="788"/>
      <c r="BV62" s="788"/>
      <c r="BW62" s="788"/>
      <c r="BX62" s="788"/>
      <c r="BY62" s="788"/>
      <c r="BZ62" s="788"/>
      <c r="CA62" s="788"/>
      <c r="CB62" s="788"/>
      <c r="CC62" s="788"/>
      <c r="CD62" s="788"/>
      <c r="CE62" s="788"/>
      <c r="CF62" s="788"/>
      <c r="CG62" s="788"/>
      <c r="CH62" s="788"/>
      <c r="CI62" s="788"/>
      <c r="CJ62" s="788"/>
      <c r="CK62" s="788"/>
      <c r="CL62" s="788"/>
      <c r="CM62" s="788"/>
      <c r="CN62" s="788"/>
      <c r="CO62" s="788"/>
      <c r="CP62" s="788"/>
      <c r="CQ62" s="788"/>
      <c r="CR62" s="788"/>
      <c r="CS62" s="788"/>
      <c r="CT62" s="788"/>
      <c r="CU62" s="788"/>
      <c r="CV62" s="788"/>
      <c r="CW62" s="788"/>
      <c r="CX62" s="788"/>
      <c r="CY62" s="788"/>
      <c r="CZ62" s="788"/>
      <c r="DA62" s="788"/>
      <c r="DB62" s="788"/>
      <c r="DC62" s="788"/>
      <c r="DD62" s="788"/>
      <c r="DE62" s="788"/>
      <c r="DF62" s="788"/>
      <c r="DG62" s="788"/>
      <c r="DH62" s="788"/>
      <c r="DI62" s="788"/>
      <c r="DJ62" s="788"/>
      <c r="DK62" s="788"/>
      <c r="DL62" s="788"/>
      <c r="DM62" s="788"/>
      <c r="DN62" s="788"/>
      <c r="DO62" s="788"/>
      <c r="DP62" s="788"/>
      <c r="DQ62" s="788"/>
      <c r="DR62" s="788"/>
      <c r="DS62" s="788"/>
      <c r="DT62" s="788"/>
      <c r="DU62" s="788"/>
      <c r="DV62" s="788"/>
      <c r="DW62" s="1020"/>
    </row>
  </sheetData>
  <sheetProtection sheet="1" objects="1" scenarios="1"/>
  <conditionalFormatting sqref="D5">
    <cfRule type="expression" dxfId="182" priority="2">
      <formula>$A$5=1</formula>
    </cfRule>
  </conditionalFormatting>
  <dataValidations count="2">
    <dataValidation allowBlank="1" showInputMessage="1" showErrorMessage="1" promptTitle="Custom Operating Expense" prompt="Enter non-recurring and custom operating expenses. Note that these expenses will impact your Net Operating Income (NOI) and all NOI-related financial ratios" sqref="B48:B49 B39:C40" xr:uid="{C5E8D784-9D3D-4F7C-A277-4261DF7FAA07}"/>
    <dataValidation type="date" operator="greaterThan" allowBlank="1" showInputMessage="1" showErrorMessage="1" sqref="D5" xr:uid="{1CCBE3F6-4164-46EF-A650-8DC147E7914E}">
      <formula1>18264</formula1>
    </dataValidation>
  </dataValidations>
  <pageMargins left="0.25" right="0.25" top="0.75" bottom="0.75" header="0.3" footer="0.3"/>
  <pageSetup scale="63" fitToWidth="0" orientation="landscape" r:id="rId1"/>
  <colBreaks count="9" manualBreakCount="9">
    <brk id="18" min="5" max="59" man="1"/>
    <brk id="30" min="5" max="59" man="1"/>
    <brk id="42" min="5" max="59" man="1"/>
    <brk id="54" min="5" max="59" man="1"/>
    <brk id="66" min="5" max="59" man="1"/>
    <brk id="78" min="5" max="59" man="1"/>
    <brk id="90" min="5" max="59" man="1"/>
    <brk id="102" min="5" max="59" man="1"/>
    <brk id="114" min="5" max="59"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31" id="{8D1C9257-8068-4A11-9308-25A20372A5A6}">
            <xm:f>DASHBOARD!$L$140&lt;&gt;0</xm:f>
            <x14:dxf>
              <font>
                <b val="0"/>
                <i val="0"/>
                <color theme="0" tint="-0.24994659260841701"/>
              </font>
              <fill>
                <patternFill>
                  <bgColor theme="0" tint="-4.9989318521683403E-2"/>
                </patternFill>
              </fill>
            </x14:dxf>
          </x14:cfRule>
          <xm:sqref>B21:C40 F21:F40 F47 B47:C49</xm:sqref>
        </x14:conditionalFormatting>
        <x14:conditionalFormatting xmlns:xm="http://schemas.microsoft.com/office/excel/2006/main">
          <x14:cfRule type="expression" priority="1" id="{C30597DC-F48D-473D-B80A-891C5F1EFEC8}">
            <xm:f>DASHBOARD!$L$140&lt;&gt;0</xm:f>
            <x14:dxf>
              <font>
                <b val="0"/>
                <i val="0"/>
                <color theme="0" tint="-0.24994659260841701"/>
              </font>
              <fill>
                <patternFill>
                  <bgColor theme="0" tint="-4.9989318521683403E-2"/>
                </patternFill>
              </fill>
            </x14:dxf>
          </x14:cfRule>
          <xm:sqref>C54:C55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E802681-2EE9-41F3-B602-DBA90A2F77F1}">
          <x14:formula1>
            <xm:f>HIDE5!$B$10:$B$19</xm:f>
          </x14:formula1>
          <xm:sqref>D7</xm:sqref>
        </x14:dataValidation>
        <x14:dataValidation type="list" allowBlank="1" showInputMessage="1" showErrorMessage="1" xr:uid="{0FFC75ED-753A-4555-98CB-448F17EA111C}">
          <x14:formula1>
            <xm:f>HIDE5!$B$23:$B$24</xm:f>
          </x14:formula1>
          <xm:sqref>C5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11699-6CAA-45C5-B2FF-6D8AB2097FAA}">
  <sheetPr codeName="Sheet24">
    <tabColor theme="9" tint="0.79998168889431442"/>
    <pageSetUpPr fitToPage="1"/>
  </sheetPr>
  <dimension ref="A1:BD58"/>
  <sheetViews>
    <sheetView showGridLines="0" showRowColHeaders="0" zoomScaleNormal="100" workbookViewId="0">
      <pane ySplit="4" topLeftCell="A5" activePane="bottomLeft" state="frozen"/>
      <selection pane="bottomLeft" activeCell="D4" sqref="D4"/>
    </sheetView>
  </sheetViews>
  <sheetFormatPr defaultColWidth="9.109375" defaultRowHeight="13.8" x14ac:dyDescent="0.3"/>
  <cols>
    <col min="1" max="1" width="5.6640625" style="93" customWidth="1"/>
    <col min="2" max="2" width="25.6640625" style="93" customWidth="1"/>
    <col min="3" max="3" width="2.44140625" style="93" customWidth="1"/>
    <col min="4" max="6" width="8.5546875" style="93" customWidth="1"/>
    <col min="7" max="7" width="2.44140625" style="93" customWidth="1"/>
    <col min="8" max="10" width="8.5546875" style="1120" customWidth="1"/>
    <col min="11" max="11" width="3.109375" style="93" customWidth="1"/>
    <col min="12" max="14" width="8.5546875" style="1120" customWidth="1"/>
    <col min="15" max="15" width="3.109375" style="1120" customWidth="1"/>
    <col min="16" max="18" width="8.5546875" style="1120" customWidth="1"/>
    <col min="19" max="19" width="3.109375" style="1120" customWidth="1"/>
    <col min="20" max="22" width="8.5546875" style="1120" customWidth="1"/>
    <col min="23" max="23" width="3.109375" style="1120" customWidth="1"/>
    <col min="24" max="26" width="8.5546875" style="1120" customWidth="1"/>
    <col min="27" max="27" width="3.109375" style="1120" customWidth="1"/>
    <col min="28" max="30" width="8.5546875" style="1120" customWidth="1"/>
    <col min="31" max="31" width="3.109375" style="1120" customWidth="1"/>
    <col min="32" max="34" width="8.5546875" style="1120" customWidth="1"/>
    <col min="35" max="35" width="3.109375" style="1120" customWidth="1"/>
    <col min="36" max="38" width="8.5546875" style="1120" customWidth="1"/>
    <col min="39" max="39" width="3.109375" style="1120" customWidth="1"/>
    <col min="40" max="42" width="8.5546875" style="1120" customWidth="1"/>
    <col min="43" max="43" width="3.109375" style="1120" customWidth="1"/>
    <col min="44" max="46" width="8.5546875" style="1120" customWidth="1"/>
    <col min="47" max="47" width="3.109375" style="1120" customWidth="1"/>
    <col min="48" max="50" width="8.5546875" style="1120" customWidth="1"/>
    <col min="51" max="51" width="3.109375" style="1120" customWidth="1"/>
    <col min="52" max="54" width="8.5546875" style="1120" customWidth="1"/>
    <col min="55" max="55" width="4.33203125" style="93" customWidth="1"/>
    <col min="56" max="16384" width="9.109375" style="93"/>
  </cols>
  <sheetData>
    <row r="1" spans="1:56" s="1244" customFormat="1" ht="30" customHeight="1" x14ac:dyDescent="0.25">
      <c r="A1" s="1685" t="s">
        <v>988</v>
      </c>
      <c r="H1" s="1684"/>
      <c r="I1" s="1684"/>
      <c r="J1" s="1684"/>
      <c r="L1" s="1684"/>
      <c r="M1" s="1684"/>
      <c r="N1" s="1684"/>
      <c r="O1" s="1684"/>
      <c r="P1" s="1684"/>
      <c r="Q1" s="1684"/>
      <c r="R1" s="1684"/>
      <c r="S1" s="1684"/>
      <c r="T1" s="1684"/>
      <c r="U1" s="1684"/>
      <c r="V1" s="1684"/>
      <c r="W1" s="1684"/>
      <c r="X1" s="1684"/>
      <c r="Y1" s="1684"/>
      <c r="Z1" s="1684"/>
      <c r="AA1" s="1684"/>
      <c r="AB1" s="1684"/>
      <c r="AC1" s="1684"/>
      <c r="AD1" s="1684"/>
      <c r="AE1" s="1684"/>
      <c r="AF1" s="1684"/>
      <c r="AG1" s="1684"/>
      <c r="AH1" s="1684"/>
      <c r="AI1" s="1684"/>
      <c r="AJ1" s="1684"/>
      <c r="AK1" s="1684"/>
      <c r="AL1" s="1684"/>
      <c r="AM1" s="1684"/>
      <c r="AN1" s="1684"/>
      <c r="AO1" s="1684"/>
      <c r="AP1" s="1684"/>
      <c r="AQ1" s="1684"/>
      <c r="AR1" s="1684"/>
      <c r="AS1" s="1684"/>
      <c r="AT1" s="1684"/>
      <c r="AU1" s="1684"/>
      <c r="AV1" s="1684"/>
      <c r="AW1" s="1684"/>
      <c r="AX1" s="1684"/>
      <c r="AY1" s="1684"/>
      <c r="AZ1" s="1684"/>
      <c r="BA1" s="1684"/>
      <c r="BB1" s="1684"/>
    </row>
    <row r="2" spans="1:56" s="673" customFormat="1" ht="18.75" customHeight="1" x14ac:dyDescent="0.25">
      <c r="A2" s="1685"/>
      <c r="B2" s="1244"/>
      <c r="C2" s="1244"/>
      <c r="D2" s="1244"/>
      <c r="E2" s="1244"/>
      <c r="F2" s="1244"/>
      <c r="G2" s="1244"/>
      <c r="H2" s="1684"/>
      <c r="I2" s="1684"/>
      <c r="J2" s="1684"/>
      <c r="K2" s="124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c r="AP2" s="1684"/>
      <c r="AQ2" s="1684"/>
      <c r="AR2" s="1684"/>
      <c r="AS2" s="1684"/>
      <c r="AT2" s="1684"/>
      <c r="AU2" s="1684"/>
      <c r="AV2" s="1684"/>
      <c r="AW2" s="1684"/>
      <c r="AX2" s="1684"/>
      <c r="AY2" s="1684"/>
      <c r="AZ2" s="1684"/>
      <c r="BA2" s="1684"/>
      <c r="BB2" s="1684"/>
      <c r="BC2" s="1244"/>
      <c r="BD2" s="1244"/>
    </row>
    <row r="3" spans="1:56" s="1381" customFormat="1" ht="15" customHeight="1" x14ac:dyDescent="0.25">
      <c r="A3" s="1685"/>
      <c r="B3" s="1244"/>
      <c r="C3" s="1244"/>
      <c r="D3" s="1244"/>
      <c r="E3" s="1244"/>
      <c r="F3" s="1244"/>
      <c r="G3" s="1244"/>
      <c r="H3" s="1684"/>
      <c r="I3" s="1684"/>
      <c r="J3" s="1684"/>
      <c r="K3" s="124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c r="AP3" s="1684"/>
      <c r="AQ3" s="1684"/>
      <c r="AR3" s="1684"/>
      <c r="AS3" s="1684"/>
      <c r="AT3" s="1684"/>
      <c r="AU3" s="1684"/>
      <c r="AV3" s="1684"/>
      <c r="AW3" s="1684"/>
      <c r="AX3" s="1684"/>
      <c r="AY3" s="1684"/>
      <c r="AZ3" s="1684"/>
      <c r="BA3" s="1684"/>
      <c r="BB3" s="1684"/>
      <c r="BC3" s="1244"/>
      <c r="BD3" s="1244"/>
    </row>
    <row r="4" spans="1:56" s="1000" customFormat="1" ht="18.75" customHeight="1" x14ac:dyDescent="0.3">
      <c r="A4" s="1059"/>
      <c r="B4" s="593" t="s">
        <v>984</v>
      </c>
      <c r="C4" s="673"/>
      <c r="D4" s="1745"/>
      <c r="E4" s="1099"/>
      <c r="F4" s="1099"/>
      <c r="G4" s="673"/>
      <c r="H4" s="2598" t="s">
        <v>553</v>
      </c>
      <c r="I4" s="2598"/>
      <c r="J4" s="2598"/>
      <c r="K4" s="1099"/>
      <c r="L4" s="2598" t="s">
        <v>554</v>
      </c>
      <c r="M4" s="2598"/>
      <c r="N4" s="2598"/>
      <c r="O4" s="1129"/>
      <c r="P4" s="2598" t="s">
        <v>555</v>
      </c>
      <c r="Q4" s="2598"/>
      <c r="R4" s="2598"/>
      <c r="S4" s="1129"/>
      <c r="T4" s="2598" t="s">
        <v>556</v>
      </c>
      <c r="U4" s="2598"/>
      <c r="V4" s="2598"/>
      <c r="W4" s="1129"/>
      <c r="X4" s="2598" t="s">
        <v>557</v>
      </c>
      <c r="Y4" s="2598"/>
      <c r="Z4" s="2598"/>
      <c r="AA4" s="1129"/>
      <c r="AB4" s="2598" t="s">
        <v>558</v>
      </c>
      <c r="AC4" s="2598"/>
      <c r="AD4" s="2598"/>
      <c r="AE4" s="1129"/>
      <c r="AF4" s="2598" t="s">
        <v>559</v>
      </c>
      <c r="AG4" s="2598"/>
      <c r="AH4" s="2598"/>
      <c r="AI4" s="1129"/>
      <c r="AJ4" s="2598" t="s">
        <v>560</v>
      </c>
      <c r="AK4" s="2598"/>
      <c r="AL4" s="2598"/>
      <c r="AM4" s="1129"/>
      <c r="AN4" s="2598" t="s">
        <v>561</v>
      </c>
      <c r="AO4" s="2598"/>
      <c r="AP4" s="2598"/>
      <c r="AQ4" s="1129"/>
      <c r="AR4" s="2598" t="s">
        <v>562</v>
      </c>
      <c r="AS4" s="2598"/>
      <c r="AT4" s="2598"/>
      <c r="AU4" s="1129"/>
      <c r="AV4" s="2598" t="s">
        <v>563</v>
      </c>
      <c r="AW4" s="2598"/>
      <c r="AX4" s="2598"/>
      <c r="AY4" s="1129"/>
      <c r="AZ4" s="2598" t="s">
        <v>564</v>
      </c>
      <c r="BA4" s="2598"/>
      <c r="BB4" s="2598"/>
      <c r="BC4" s="673"/>
      <c r="BD4" s="673"/>
    </row>
    <row r="5" spans="1:56" s="1068" customFormat="1" ht="15" customHeight="1" x14ac:dyDescent="0.3">
      <c r="A5" s="1864"/>
      <c r="B5" s="1381"/>
      <c r="C5" s="1381"/>
      <c r="D5" s="1381"/>
      <c r="E5" s="1381"/>
      <c r="F5" s="1381"/>
      <c r="G5" s="1381"/>
      <c r="H5" s="1611">
        <v>1</v>
      </c>
      <c r="I5" s="1612">
        <f>DATE($D$4,H5,1)</f>
        <v>1</v>
      </c>
      <c r="J5" s="1612">
        <f>EOMONTH(I5,0)</f>
        <v>31</v>
      </c>
      <c r="K5" s="1381"/>
      <c r="L5" s="1611">
        <v>2</v>
      </c>
      <c r="M5" s="1612">
        <f>DATE($D$4,L5,1)</f>
        <v>32</v>
      </c>
      <c r="N5" s="1612">
        <f>EOMONTH(M5,0)</f>
        <v>59</v>
      </c>
      <c r="O5" s="1611"/>
      <c r="P5" s="1611">
        <v>3</v>
      </c>
      <c r="Q5" s="1612">
        <f>DATE($D$4,P5,1)</f>
        <v>61</v>
      </c>
      <c r="R5" s="1612">
        <f>EOMONTH(Q5,0)</f>
        <v>91</v>
      </c>
      <c r="S5" s="1611"/>
      <c r="T5" s="1611">
        <v>4</v>
      </c>
      <c r="U5" s="1612">
        <f>DATE($D$4,T5,1)</f>
        <v>92</v>
      </c>
      <c r="V5" s="1612">
        <f>EOMONTH(U5,0)</f>
        <v>121</v>
      </c>
      <c r="W5" s="1611"/>
      <c r="X5" s="1611">
        <v>5</v>
      </c>
      <c r="Y5" s="1612">
        <f>DATE($D$4,X5,1)</f>
        <v>122</v>
      </c>
      <c r="Z5" s="1612">
        <f>EOMONTH(Y5,0)</f>
        <v>152</v>
      </c>
      <c r="AA5" s="1611"/>
      <c r="AB5" s="1611">
        <v>6</v>
      </c>
      <c r="AC5" s="1612">
        <f>DATE($D$4,AB5,1)</f>
        <v>153</v>
      </c>
      <c r="AD5" s="1612">
        <f>EOMONTH(AC5,0)</f>
        <v>182</v>
      </c>
      <c r="AE5" s="1611"/>
      <c r="AF5" s="1611">
        <v>7</v>
      </c>
      <c r="AG5" s="1612">
        <f>DATE($D$4,AF5,1)</f>
        <v>183</v>
      </c>
      <c r="AH5" s="1612">
        <f>EOMONTH(AG5,0)</f>
        <v>213</v>
      </c>
      <c r="AI5" s="1611"/>
      <c r="AJ5" s="1611">
        <v>8</v>
      </c>
      <c r="AK5" s="1612">
        <f>DATE($D$4,AJ5,1)</f>
        <v>214</v>
      </c>
      <c r="AL5" s="1612">
        <f>EOMONTH(AK5,0)</f>
        <v>244</v>
      </c>
      <c r="AM5" s="1611"/>
      <c r="AN5" s="1611">
        <v>9</v>
      </c>
      <c r="AO5" s="1612">
        <f>DATE($D$4,AN5,1)</f>
        <v>245</v>
      </c>
      <c r="AP5" s="1612">
        <f>EOMONTH(AO5,0)</f>
        <v>274</v>
      </c>
      <c r="AQ5" s="1611"/>
      <c r="AR5" s="1611">
        <v>10</v>
      </c>
      <c r="AS5" s="1612">
        <f>DATE($D$4,AR5,1)</f>
        <v>275</v>
      </c>
      <c r="AT5" s="1612">
        <f>EOMONTH(AS5,0)</f>
        <v>305</v>
      </c>
      <c r="AU5" s="1611"/>
      <c r="AV5" s="1611">
        <v>11</v>
      </c>
      <c r="AW5" s="1612">
        <f>DATE($D$4,AV5,1)</f>
        <v>306</v>
      </c>
      <c r="AX5" s="1612">
        <f>EOMONTH(AW5,0)</f>
        <v>335</v>
      </c>
      <c r="AY5" s="1611"/>
      <c r="AZ5" s="1611">
        <v>12</v>
      </c>
      <c r="BA5" s="1612">
        <f>DATE($D$4,AZ5,1)</f>
        <v>336</v>
      </c>
      <c r="BB5" s="1612">
        <f>EOMONTH(BA5,0)</f>
        <v>366</v>
      </c>
      <c r="BC5" s="1381"/>
      <c r="BD5" s="1381"/>
    </row>
    <row r="6" spans="1:56" s="1000" customFormat="1" ht="15" customHeight="1" x14ac:dyDescent="0.3">
      <c r="B6" s="1233" t="s">
        <v>633</v>
      </c>
      <c r="C6" s="93"/>
      <c r="D6" s="2595" t="s">
        <v>989</v>
      </c>
      <c r="E6" s="2596"/>
      <c r="F6" s="2597"/>
      <c r="G6" s="93"/>
      <c r="H6" s="2599" t="str">
        <f>H4</f>
        <v>January</v>
      </c>
      <c r="I6" s="2600"/>
      <c r="J6" s="2601"/>
      <c r="K6" s="93"/>
      <c r="L6" s="2599" t="str">
        <f>L4</f>
        <v>February</v>
      </c>
      <c r="M6" s="2600"/>
      <c r="N6" s="2601"/>
      <c r="O6" s="93"/>
      <c r="P6" s="2599" t="str">
        <f>P4</f>
        <v>March</v>
      </c>
      <c r="Q6" s="2600"/>
      <c r="R6" s="2601"/>
      <c r="S6" s="93"/>
      <c r="T6" s="2599" t="str">
        <f>T4</f>
        <v>April</v>
      </c>
      <c r="U6" s="2600"/>
      <c r="V6" s="2601"/>
      <c r="W6" s="93"/>
      <c r="X6" s="2599" t="str">
        <f>X4</f>
        <v>May</v>
      </c>
      <c r="Y6" s="2600"/>
      <c r="Z6" s="2601"/>
      <c r="AA6" s="93"/>
      <c r="AB6" s="2599" t="str">
        <f>AB4</f>
        <v>June</v>
      </c>
      <c r="AC6" s="2600"/>
      <c r="AD6" s="2601"/>
      <c r="AE6" s="93"/>
      <c r="AF6" s="2599" t="str">
        <f>AF4</f>
        <v>July</v>
      </c>
      <c r="AG6" s="2600"/>
      <c r="AH6" s="2601"/>
      <c r="AI6" s="93"/>
      <c r="AJ6" s="2599" t="str">
        <f>AJ4</f>
        <v>August</v>
      </c>
      <c r="AK6" s="2600"/>
      <c r="AL6" s="2601"/>
      <c r="AM6" s="93"/>
      <c r="AN6" s="2599" t="str">
        <f>AN4</f>
        <v>September</v>
      </c>
      <c r="AO6" s="2600"/>
      <c r="AP6" s="2601"/>
      <c r="AQ6" s="93"/>
      <c r="AR6" s="2599" t="str">
        <f>AR4</f>
        <v>October</v>
      </c>
      <c r="AS6" s="2600"/>
      <c r="AT6" s="2601"/>
      <c r="AU6" s="93"/>
      <c r="AV6" s="2599" t="str">
        <f>AV4</f>
        <v>November</v>
      </c>
      <c r="AW6" s="2600"/>
      <c r="AX6" s="2601"/>
      <c r="AY6" s="93"/>
      <c r="AZ6" s="2599" t="str">
        <f>AZ4</f>
        <v>December</v>
      </c>
      <c r="BA6" s="2600"/>
      <c r="BB6" s="2601"/>
    </row>
    <row r="7" spans="1:56" s="1001" customFormat="1" ht="15" customHeight="1" x14ac:dyDescent="0.3">
      <c r="A7" s="1068"/>
      <c r="B7" s="1131"/>
      <c r="C7" s="93"/>
      <c r="D7" s="1617" t="s">
        <v>985</v>
      </c>
      <c r="E7" s="1193" t="s">
        <v>986</v>
      </c>
      <c r="F7" s="1618" t="s">
        <v>987</v>
      </c>
      <c r="G7" s="93"/>
      <c r="H7" s="1192" t="s">
        <v>985</v>
      </c>
      <c r="I7" s="1193" t="s">
        <v>986</v>
      </c>
      <c r="J7" s="1194" t="s">
        <v>987</v>
      </c>
      <c r="K7" s="93"/>
      <c r="L7" s="1192" t="s">
        <v>985</v>
      </c>
      <c r="M7" s="1193" t="s">
        <v>986</v>
      </c>
      <c r="N7" s="1194" t="s">
        <v>987</v>
      </c>
      <c r="O7" s="93"/>
      <c r="P7" s="1192" t="s">
        <v>985</v>
      </c>
      <c r="Q7" s="1193" t="s">
        <v>986</v>
      </c>
      <c r="R7" s="1194" t="s">
        <v>987</v>
      </c>
      <c r="S7" s="93"/>
      <c r="T7" s="1192" t="s">
        <v>985</v>
      </c>
      <c r="U7" s="1193" t="s">
        <v>986</v>
      </c>
      <c r="V7" s="1194" t="s">
        <v>987</v>
      </c>
      <c r="W7" s="93"/>
      <c r="X7" s="1192" t="s">
        <v>985</v>
      </c>
      <c r="Y7" s="1193" t="s">
        <v>986</v>
      </c>
      <c r="Z7" s="1194" t="s">
        <v>987</v>
      </c>
      <c r="AA7" s="93"/>
      <c r="AB7" s="1192" t="s">
        <v>985</v>
      </c>
      <c r="AC7" s="1193" t="s">
        <v>986</v>
      </c>
      <c r="AD7" s="1194" t="s">
        <v>987</v>
      </c>
      <c r="AE7" s="93"/>
      <c r="AF7" s="1192" t="s">
        <v>985</v>
      </c>
      <c r="AG7" s="1193" t="s">
        <v>986</v>
      </c>
      <c r="AH7" s="1194" t="s">
        <v>987</v>
      </c>
      <c r="AI7" s="93"/>
      <c r="AJ7" s="1192" t="s">
        <v>985</v>
      </c>
      <c r="AK7" s="1193" t="s">
        <v>986</v>
      </c>
      <c r="AL7" s="1194" t="s">
        <v>987</v>
      </c>
      <c r="AM7" s="93"/>
      <c r="AN7" s="1192" t="s">
        <v>985</v>
      </c>
      <c r="AO7" s="1193" t="s">
        <v>986</v>
      </c>
      <c r="AP7" s="1194" t="s">
        <v>987</v>
      </c>
      <c r="AQ7" s="93"/>
      <c r="AR7" s="1192" t="s">
        <v>985</v>
      </c>
      <c r="AS7" s="1193" t="s">
        <v>986</v>
      </c>
      <c r="AT7" s="1194" t="s">
        <v>987</v>
      </c>
      <c r="AU7" s="93"/>
      <c r="AV7" s="1192" t="s">
        <v>985</v>
      </c>
      <c r="AW7" s="1193" t="s">
        <v>986</v>
      </c>
      <c r="AX7" s="1194" t="s">
        <v>987</v>
      </c>
      <c r="AY7" s="93"/>
      <c r="AZ7" s="1192" t="s">
        <v>985</v>
      </c>
      <c r="BA7" s="1193" t="s">
        <v>986</v>
      </c>
      <c r="BB7" s="1194" t="s">
        <v>987</v>
      </c>
      <c r="BC7" s="1068"/>
      <c r="BD7" s="1068"/>
    </row>
    <row r="8" spans="1:56" s="1001" customFormat="1" ht="7.5" customHeight="1" x14ac:dyDescent="0.3">
      <c r="A8" s="1000"/>
      <c r="B8" s="334" t="s">
        <v>569</v>
      </c>
      <c r="C8" s="93"/>
      <c r="D8" s="1619">
        <f>H8+L8+P8+T8+X8+AB8+AF8+AJ8+AN8+AR8+AV8+AZ8</f>
        <v>0</v>
      </c>
      <c r="E8" s="1121">
        <f>I8+M8+Q8+U8+Y8+AC8+AG8+AK8+AO8+AS8+AW8+BA8</f>
        <v>0</v>
      </c>
      <c r="F8" s="1620">
        <f>J8+N8+R8+V8+Z8+AD8+AH8+AL8+AP8+AT8+AX8+BB8</f>
        <v>0</v>
      </c>
      <c r="G8" s="93"/>
      <c r="H8" s="1195">
        <f>IF(J5&lt;'ACTUALS (M)'!E5,0,DASHBOARD!K190)</f>
        <v>0</v>
      </c>
      <c r="I8" s="1121">
        <f>SUMIFS('ACTUALS (M)'!$G11:$DV11,'ACTUALS (M)'!$G$6:$DV$6,'VERSUS (M)'!H5,'ACTUALS (M)'!$G$7:$DV$7,'VERSUS (M)'!$D$4)</f>
        <v>0</v>
      </c>
      <c r="J8" s="1196">
        <f>IFERROR(I8-H8,0)</f>
        <v>0</v>
      </c>
      <c r="K8" s="93"/>
      <c r="L8" s="1195">
        <f>IF(N5&lt;'ACTUALS (M)'!E5,0,DASHBOARD!O190)</f>
        <v>0</v>
      </c>
      <c r="M8" s="1121">
        <f>SUMIFS('ACTUALS (M)'!$G11:$DV11,'ACTUALS (M)'!$G$6:$DV$6,'VERSUS (M)'!L5,'ACTUALS (M)'!$G$7:$DV$7,'VERSUS (M)'!$D$4)</f>
        <v>0</v>
      </c>
      <c r="N8" s="1196">
        <f>IFERROR(M8-L8,0)</f>
        <v>0</v>
      </c>
      <c r="O8" s="93"/>
      <c r="P8" s="1195">
        <f>IF(R5&lt;'ACTUALS (M)'!E5,0,DASHBOARD!S190)</f>
        <v>0</v>
      </c>
      <c r="Q8" s="1121">
        <f>SUMIFS('ACTUALS (M)'!$G11:$DV11,'ACTUALS (M)'!$G$6:$DV$6,'VERSUS (M)'!P5,'ACTUALS (M)'!$G$7:$DV$7,'VERSUS (M)'!$D$4)</f>
        <v>0</v>
      </c>
      <c r="R8" s="1196">
        <f>IFERROR(Q8-P8,0)</f>
        <v>0</v>
      </c>
      <c r="S8" s="93"/>
      <c r="T8" s="1195">
        <f>IF(V5&lt;'ACTUALS (M)'!E5,0,DASHBOARD!W190)</f>
        <v>0</v>
      </c>
      <c r="U8" s="1121">
        <f>SUMIFS('ACTUALS (M)'!$G11:$DV11,'ACTUALS (M)'!$G$6:$DV$6,'VERSUS (M)'!T5,'ACTUALS (M)'!$G$7:$DV$7,'VERSUS (M)'!$D$4)</f>
        <v>0</v>
      </c>
      <c r="V8" s="1196">
        <f>IFERROR(U8-T8,0)</f>
        <v>0</v>
      </c>
      <c r="W8" s="93"/>
      <c r="X8" s="1195">
        <f>IF(Z5&lt;'ACTUALS (M)'!E5,0,DASHBOARD!AA190)</f>
        <v>0</v>
      </c>
      <c r="Y8" s="1121">
        <f>SUMIFS('ACTUALS (M)'!$G11:$DV11,'ACTUALS (M)'!$G$6:$DV$6,'VERSUS (M)'!X5,'ACTUALS (M)'!$G$7:$DV$7,'VERSUS (M)'!$D$4)</f>
        <v>0</v>
      </c>
      <c r="Z8" s="1196">
        <f>IFERROR(Y8-X8,0)</f>
        <v>0</v>
      </c>
      <c r="AA8" s="93"/>
      <c r="AB8" s="1195">
        <f>IF(AD5&lt;'ACTUALS (M)'!E5,0,DASHBOARD!AE190)</f>
        <v>0</v>
      </c>
      <c r="AC8" s="1121">
        <f>SUMIFS('ACTUALS (M)'!$G11:$DV11,'ACTUALS (M)'!$G$6:$DV$6,'VERSUS (M)'!AB5,'ACTUALS (M)'!$G$7:$DV$7,'VERSUS (M)'!$D$4)</f>
        <v>0</v>
      </c>
      <c r="AD8" s="1196">
        <f>IFERROR(AC8-AB8,0)</f>
        <v>0</v>
      </c>
      <c r="AE8" s="93"/>
      <c r="AF8" s="1195">
        <f>IF(AH5&lt;'ACTUALS (M)'!E5,0,DASHBOARD!AI190)</f>
        <v>0</v>
      </c>
      <c r="AG8" s="1121">
        <f>SUMIFS('ACTUALS (M)'!$G11:$DV11,'ACTUALS (M)'!$G$6:$DV$6,'VERSUS (M)'!AF5,'ACTUALS (M)'!$G$7:$DV$7,'VERSUS (M)'!$D$4)</f>
        <v>0</v>
      </c>
      <c r="AH8" s="1196">
        <f>IFERROR(AG8-AF8,0)</f>
        <v>0</v>
      </c>
      <c r="AI8" s="93"/>
      <c r="AJ8" s="1195">
        <f>IF(AL5&lt;'ACTUALS (M)'!E5,0,DASHBOARD!AM190)</f>
        <v>0</v>
      </c>
      <c r="AK8" s="1121">
        <f>SUMIFS('ACTUALS (M)'!$G11:$DV11,'ACTUALS (M)'!$G$6:$DV$6,'VERSUS (M)'!AJ5,'ACTUALS (M)'!$G$7:$DV$7,'VERSUS (M)'!$D$4)</f>
        <v>0</v>
      </c>
      <c r="AL8" s="1196">
        <f>IFERROR(AK8-AJ8,0)</f>
        <v>0</v>
      </c>
      <c r="AM8" s="93"/>
      <c r="AN8" s="1195">
        <f>IF(AP5&lt;'ACTUALS (M)'!E5,0,DASHBOARD!AQ190)</f>
        <v>0</v>
      </c>
      <c r="AO8" s="1121">
        <f>SUMIFS('ACTUALS (M)'!$G11:$DV11,'ACTUALS (M)'!$G$6:$DV$6,'VERSUS (M)'!AN5,'ACTUALS (M)'!$G$7:$DV$7,'VERSUS (M)'!$D$4)</f>
        <v>0</v>
      </c>
      <c r="AP8" s="1196">
        <f>IFERROR(AO8-AN8,0)</f>
        <v>0</v>
      </c>
      <c r="AQ8" s="93"/>
      <c r="AR8" s="1195">
        <f>IF(AT5&lt;'ACTUALS (M)'!E5,0,DASHBOARD!AU190)</f>
        <v>0</v>
      </c>
      <c r="AS8" s="1121">
        <f>SUMIFS('ACTUALS (M)'!$G11:$DV11,'ACTUALS (M)'!$G$6:$DV$6,'VERSUS (M)'!AR5,'ACTUALS (M)'!$G$7:$DV$7,'VERSUS (M)'!$D$4)</f>
        <v>0</v>
      </c>
      <c r="AT8" s="1196">
        <f>IFERROR(AS8-AR8,0)</f>
        <v>0</v>
      </c>
      <c r="AU8" s="93"/>
      <c r="AV8" s="1195">
        <f>IF(AX5&lt;'ACTUALS (M)'!E5,0,DASHBOARD!AY190)</f>
        <v>0</v>
      </c>
      <c r="AW8" s="1121">
        <f>SUMIFS('ACTUALS (M)'!$G11:$DV11,'ACTUALS (M)'!$G$6:$DV$6,'VERSUS (M)'!AV5,'ACTUALS (M)'!$G$7:$DV$7,'VERSUS (M)'!$D$4)</f>
        <v>0</v>
      </c>
      <c r="AX8" s="1196">
        <f>IFERROR(AW8-AV8,0)</f>
        <v>0</v>
      </c>
      <c r="AY8" s="93"/>
      <c r="AZ8" s="1195">
        <f>IF(BB5&lt;'ACTUALS (M)'!E5,0,DASHBOARD!BC190)</f>
        <v>0</v>
      </c>
      <c r="BA8" s="1121">
        <f>SUMIFS('ACTUALS (M)'!$G11:$DV11,'ACTUALS (M)'!$G$6:$DV$6,'VERSUS (M)'!AZ5,'ACTUALS (M)'!$G$7:$DV$7,'VERSUS (M)'!$D$4)</f>
        <v>0</v>
      </c>
      <c r="BB8" s="1196">
        <f>IFERROR(BA8-AZ8,0)</f>
        <v>0</v>
      </c>
      <c r="BC8" s="1000"/>
      <c r="BD8" s="1000"/>
    </row>
    <row r="9" spans="1:56" s="1019" customFormat="1" ht="15" customHeight="1" x14ac:dyDescent="0.3">
      <c r="A9" s="1613"/>
      <c r="B9" s="995" t="s">
        <v>544</v>
      </c>
      <c r="C9" s="93"/>
      <c r="D9" s="1621"/>
      <c r="E9" s="1122"/>
      <c r="F9" s="1622"/>
      <c r="G9" s="93"/>
      <c r="H9" s="1197">
        <f>IFERROR(H8/DAY(EOMONTH(I5,0)),0)</f>
        <v>0</v>
      </c>
      <c r="I9" s="1122">
        <f>IFERROR(I8/DAY(EOMONTH(I5,0)),0)</f>
        <v>0</v>
      </c>
      <c r="J9" s="1198">
        <f>IFERROR(I9-H9,0)</f>
        <v>0</v>
      </c>
      <c r="K9" s="93"/>
      <c r="L9" s="1197">
        <f>IFERROR(L8/DAY(EOMONTH(M5,0)),0)</f>
        <v>0</v>
      </c>
      <c r="M9" s="1122">
        <f>IFERROR(M8/DAY(EOMONTH(M5,0)),0)</f>
        <v>0</v>
      </c>
      <c r="N9" s="1198">
        <f>IFERROR(M9-L9,0)</f>
        <v>0</v>
      </c>
      <c r="O9" s="93"/>
      <c r="P9" s="1197">
        <f>IFERROR(P8/DAY(EOMONTH(Q5,0)),0)</f>
        <v>0</v>
      </c>
      <c r="Q9" s="1122">
        <f>IFERROR(Q8/DAY(EOMONTH(Q5,0)),0)</f>
        <v>0</v>
      </c>
      <c r="R9" s="1198">
        <f>IFERROR(Q9-P9,0)</f>
        <v>0</v>
      </c>
      <c r="S9" s="93"/>
      <c r="T9" s="1197">
        <f>IFERROR(T8/DAY(EOMONTH(U5,0)),0)</f>
        <v>0</v>
      </c>
      <c r="U9" s="1122">
        <f>IFERROR(U8/DAY(EOMONTH(U5,0)),0)</f>
        <v>0</v>
      </c>
      <c r="V9" s="1198">
        <f>IFERROR(U9-T9,0)</f>
        <v>0</v>
      </c>
      <c r="W9" s="93"/>
      <c r="X9" s="1197">
        <f>IFERROR(X8/DAY(EOMONTH(Y5,0)),0)</f>
        <v>0</v>
      </c>
      <c r="Y9" s="1122">
        <f>IFERROR(Y8/DAY(EOMONTH(Y5,0)),0)</f>
        <v>0</v>
      </c>
      <c r="Z9" s="1198">
        <f>IFERROR(Y9-X9,0)</f>
        <v>0</v>
      </c>
      <c r="AA9" s="93"/>
      <c r="AB9" s="1197">
        <f>IFERROR(AB8/DAY(EOMONTH(AC5,0)),0)</f>
        <v>0</v>
      </c>
      <c r="AC9" s="1122">
        <f>IFERROR(AC8/DAY(EOMONTH(AC5,0)),0)</f>
        <v>0</v>
      </c>
      <c r="AD9" s="1198">
        <f>IFERROR(AC9-AB9,0)</f>
        <v>0</v>
      </c>
      <c r="AE9" s="93"/>
      <c r="AF9" s="1197">
        <f>IFERROR(AF8/DAY(EOMONTH(AG5,0)),0)</f>
        <v>0</v>
      </c>
      <c r="AG9" s="1122">
        <f>IFERROR(AG8/DAY(EOMONTH(AG5,0)),0)</f>
        <v>0</v>
      </c>
      <c r="AH9" s="1198">
        <f>IFERROR(AG9-AF9,0)</f>
        <v>0</v>
      </c>
      <c r="AI9" s="93"/>
      <c r="AJ9" s="1197">
        <f>IFERROR(AJ8/DAY(EOMONTH(AK5,0)),0)</f>
        <v>0</v>
      </c>
      <c r="AK9" s="1122">
        <f>IFERROR(AK8/DAY(EOMONTH(AK5,0)),0)</f>
        <v>0</v>
      </c>
      <c r="AL9" s="1198">
        <f>IFERROR(AK9-AJ9,0)</f>
        <v>0</v>
      </c>
      <c r="AM9" s="93"/>
      <c r="AN9" s="1197">
        <f>IFERROR(AN8/DAY(EOMONTH(AO5,0)),0)</f>
        <v>0</v>
      </c>
      <c r="AO9" s="1122">
        <f>IFERROR(AO8/DAY(EOMONTH(AO5,0)),0)</f>
        <v>0</v>
      </c>
      <c r="AP9" s="1198">
        <f>IFERROR(AO9-AN9,0)</f>
        <v>0</v>
      </c>
      <c r="AQ9" s="93"/>
      <c r="AR9" s="1197">
        <f>IFERROR(AR8/DAY(EOMONTH(AS5,0)),0)</f>
        <v>0</v>
      </c>
      <c r="AS9" s="1122">
        <f>IFERROR(AS8/DAY(EOMONTH(AS5,0)),0)</f>
        <v>0</v>
      </c>
      <c r="AT9" s="1198">
        <f>IFERROR(AS9-AR9,0)</f>
        <v>0</v>
      </c>
      <c r="AU9" s="93"/>
      <c r="AV9" s="1197">
        <f>IFERROR(AV8/DAY(EOMONTH(AW5,0)),0)</f>
        <v>0</v>
      </c>
      <c r="AW9" s="1122">
        <f>IFERROR(AW8/DAY(EOMONTH(AW5,0)),0)</f>
        <v>0</v>
      </c>
      <c r="AX9" s="1198">
        <f>IFERROR(AW9-AV9,0)</f>
        <v>0</v>
      </c>
      <c r="AY9" s="93"/>
      <c r="AZ9" s="1197">
        <f>IFERROR(AZ8/DAY(EOMONTH(BA5,0)),0)</f>
        <v>0</v>
      </c>
      <c r="BA9" s="1122">
        <f>IFERROR(BA8/DAY(EOMONTH(BA5,0)),0)</f>
        <v>0</v>
      </c>
      <c r="BB9" s="1198">
        <f>IFERROR(BA9-AZ9,0)</f>
        <v>0</v>
      </c>
      <c r="BC9" s="1001"/>
      <c r="BD9" s="1001"/>
    </row>
    <row r="10" spans="1:56" s="1001" customFormat="1" ht="15" customHeight="1" x14ac:dyDescent="0.3">
      <c r="A10" s="1613"/>
      <c r="B10" s="996"/>
      <c r="C10" s="93"/>
      <c r="D10" s="1623"/>
      <c r="E10" s="1200"/>
      <c r="F10" s="1624"/>
      <c r="G10" s="93"/>
      <c r="H10" s="1199"/>
      <c r="I10" s="1200"/>
      <c r="J10" s="1201"/>
      <c r="K10" s="93"/>
      <c r="L10" s="1199"/>
      <c r="M10" s="1230"/>
      <c r="N10" s="1201"/>
      <c r="O10" s="93"/>
      <c r="P10" s="1199"/>
      <c r="Q10" s="1230"/>
      <c r="R10" s="1201"/>
      <c r="S10" s="93"/>
      <c r="T10" s="1199"/>
      <c r="U10" s="1230"/>
      <c r="V10" s="1201"/>
      <c r="W10" s="93"/>
      <c r="X10" s="1199"/>
      <c r="Y10" s="1230"/>
      <c r="Z10" s="1201"/>
      <c r="AA10" s="93"/>
      <c r="AB10" s="1199"/>
      <c r="AC10" s="1230"/>
      <c r="AD10" s="1201"/>
      <c r="AE10" s="93"/>
      <c r="AF10" s="1199"/>
      <c r="AG10" s="1230"/>
      <c r="AH10" s="1201"/>
      <c r="AI10" s="93"/>
      <c r="AJ10" s="1199"/>
      <c r="AK10" s="1230"/>
      <c r="AL10" s="1201"/>
      <c r="AM10" s="93"/>
      <c r="AN10" s="1199"/>
      <c r="AO10" s="1230"/>
      <c r="AP10" s="1201"/>
      <c r="AQ10" s="93"/>
      <c r="AR10" s="1199"/>
      <c r="AS10" s="1230"/>
      <c r="AT10" s="1201"/>
      <c r="AU10" s="93"/>
      <c r="AV10" s="1199"/>
      <c r="AW10" s="1230"/>
      <c r="AX10" s="1201"/>
      <c r="AY10" s="93"/>
      <c r="AZ10" s="1199"/>
      <c r="BA10" s="1230"/>
      <c r="BB10" s="1201"/>
    </row>
    <row r="11" spans="1:56" s="1001" customFormat="1" ht="7.5" customHeight="1" x14ac:dyDescent="0.3">
      <c r="A11" s="1614">
        <f>IFERROR(SUMIF(FORECASTS!$E$4:$AI$4,'VERSUS (M)'!$D$4,FORECASTS!E19:AI19)/DASHBOARD!$BH$192-1,0)</f>
        <v>0</v>
      </c>
      <c r="B11" s="380" t="s">
        <v>467</v>
      </c>
      <c r="C11" s="93"/>
      <c r="D11" s="1625">
        <f>H11+L11+P11+T11+X11+AB11+AF11+AJ11+AN11+AR11+AV11+AZ11</f>
        <v>0</v>
      </c>
      <c r="E11" s="1133">
        <f>I11+M11+Q11+U11+Y11+AC11+AG11+AK11+AO11+AS11+AW11+BA11</f>
        <v>0</v>
      </c>
      <c r="F11" s="1626">
        <f>IFERROR(E11-D11,0)</f>
        <v>0</v>
      </c>
      <c r="G11" s="93"/>
      <c r="H11" s="1202">
        <f>IF(J5&lt;'ACTUALS (M)'!E5,0,DASHBOARD!K192*(1+$A$11))</f>
        <v>0</v>
      </c>
      <c r="I11" s="1133">
        <f>SUMIFS('ACTUALS (M)'!$G13:$DV13,'ACTUALS (M)'!$G$6:$DV$6,'VERSUS (M)'!H$5,'ACTUALS (M)'!$G$7:$DV$7,'VERSUS (M)'!$D$4)</f>
        <v>0</v>
      </c>
      <c r="J11" s="1203">
        <f>IFERROR(I11-H11,0)</f>
        <v>0</v>
      </c>
      <c r="K11" s="93"/>
      <c r="L11" s="1202">
        <f>IF(N5&lt;'ACTUALS (M)'!E5,0,DASHBOARD!O192*(1+$A$11))</f>
        <v>0</v>
      </c>
      <c r="M11" s="1133">
        <f>SUMIFS('ACTUALS (M)'!$G13:$DV13,'ACTUALS (M)'!$G$6:$DV$6,'VERSUS (M)'!L5,'ACTUALS (M)'!$G$7:$DV$7,'VERSUS (M)'!$D$4)</f>
        <v>0</v>
      </c>
      <c r="N11" s="1203">
        <f>IFERROR(M11-L11,0)</f>
        <v>0</v>
      </c>
      <c r="O11" s="93"/>
      <c r="P11" s="1202">
        <f>IF(R5&lt;'ACTUALS (M)'!E5,0,DASHBOARD!S192*(1+$A$11))</f>
        <v>0</v>
      </c>
      <c r="Q11" s="1133">
        <f>SUMIFS('ACTUALS (M)'!$G13:$DV13,'ACTUALS (M)'!$G$6:$DV$6,'VERSUS (M)'!P5,'ACTUALS (M)'!$G$7:$DV$7,'VERSUS (M)'!$D$4)</f>
        <v>0</v>
      </c>
      <c r="R11" s="1203">
        <f>IFERROR(Q11-P11,0)</f>
        <v>0</v>
      </c>
      <c r="S11" s="93"/>
      <c r="T11" s="1202">
        <f>IF(V5&lt;'ACTUALS (M)'!E5,0,DASHBOARD!W192*(1+$A$11))</f>
        <v>0</v>
      </c>
      <c r="U11" s="1133">
        <f>SUMIFS('ACTUALS (M)'!$G13:$DV13,'ACTUALS (M)'!$G$6:$DV$6,'VERSUS (M)'!T5,'ACTUALS (M)'!$G$7:$DV$7,'VERSUS (M)'!$D$4)</f>
        <v>0</v>
      </c>
      <c r="V11" s="1203">
        <f>IFERROR(U11-T11,0)</f>
        <v>0</v>
      </c>
      <c r="W11" s="93"/>
      <c r="X11" s="1202">
        <f>IF(Z5&lt;'ACTUALS (M)'!E5,0,DASHBOARD!AA192*(1+$A$11))</f>
        <v>0</v>
      </c>
      <c r="Y11" s="1133">
        <f>SUMIFS('ACTUALS (M)'!$G13:$DV13,'ACTUALS (M)'!$G$6:$DV$6,'VERSUS (M)'!X5,'ACTUALS (M)'!$G$7:$DV$7,'VERSUS (M)'!$D$4)</f>
        <v>0</v>
      </c>
      <c r="Z11" s="1203">
        <f>IFERROR(Y11-X11,0)</f>
        <v>0</v>
      </c>
      <c r="AA11" s="93"/>
      <c r="AB11" s="1202">
        <f>IF(AD5&lt;'ACTUALS (M)'!E5,0,DASHBOARD!AE192*(1+$A$11))</f>
        <v>0</v>
      </c>
      <c r="AC11" s="1133">
        <f>SUMIFS('ACTUALS (M)'!$G13:$DV13,'ACTUALS (M)'!$G$6:$DV$6,'VERSUS (M)'!AB5,'ACTUALS (M)'!$G$7:$DV$7,'VERSUS (M)'!$D$4)</f>
        <v>0</v>
      </c>
      <c r="AD11" s="1203">
        <f>IFERROR(AC11-AB11,0)</f>
        <v>0</v>
      </c>
      <c r="AE11" s="93"/>
      <c r="AF11" s="1202">
        <f>IF(AH5&lt;'ACTUALS (M)'!E5,0,DASHBOARD!AI192*(1+$A$11))</f>
        <v>0</v>
      </c>
      <c r="AG11" s="1133">
        <f>SUMIFS('ACTUALS (M)'!$G13:$DV13,'ACTUALS (M)'!$G$6:$DV$6,'VERSUS (M)'!AF5,'ACTUALS (M)'!$G$7:$DV$7,'VERSUS (M)'!$D$4)</f>
        <v>0</v>
      </c>
      <c r="AH11" s="1203">
        <f>IFERROR(AG11-AF11,0)</f>
        <v>0</v>
      </c>
      <c r="AI11" s="93"/>
      <c r="AJ11" s="1202">
        <f>IF(AL5&lt;'ACTUALS (M)'!E5,0,DASHBOARD!AM192*(1+$A$11))</f>
        <v>0</v>
      </c>
      <c r="AK11" s="1133">
        <f>SUMIFS('ACTUALS (M)'!$G13:$DV13,'ACTUALS (M)'!$G$6:$DV$6,'VERSUS (M)'!AJ5,'ACTUALS (M)'!$G$7:$DV$7,'VERSUS (M)'!$D$4)</f>
        <v>0</v>
      </c>
      <c r="AL11" s="1203">
        <f>IFERROR(AK11-AJ11,0)</f>
        <v>0</v>
      </c>
      <c r="AM11" s="93"/>
      <c r="AN11" s="1202">
        <f>IF(AP5&lt;'ACTUALS (M)'!E5,0,DASHBOARD!AQ192*(1+$A$11))</f>
        <v>0</v>
      </c>
      <c r="AO11" s="1133">
        <f>SUMIFS('ACTUALS (M)'!$G13:$DV13,'ACTUALS (M)'!$G$6:$DV$6,'VERSUS (M)'!AN5,'ACTUALS (M)'!$G$7:$DV$7,'VERSUS (M)'!$D$4)</f>
        <v>0</v>
      </c>
      <c r="AP11" s="1203">
        <f>IFERROR(AO11-AN11,0)</f>
        <v>0</v>
      </c>
      <c r="AQ11" s="93"/>
      <c r="AR11" s="1202">
        <f>IF(AT5&lt;'ACTUALS (M)'!E5,0,DASHBOARD!AU192*(1+$A$11))</f>
        <v>0</v>
      </c>
      <c r="AS11" s="1133">
        <f>SUMIFS('ACTUALS (M)'!$G13:$DV13,'ACTUALS (M)'!$G$6:$DV$6,'VERSUS (M)'!AR5,'ACTUALS (M)'!$G$7:$DV$7,'VERSUS (M)'!$D$4)</f>
        <v>0</v>
      </c>
      <c r="AT11" s="1203">
        <f>IFERROR(AS11-AR11,0)</f>
        <v>0</v>
      </c>
      <c r="AU11" s="93"/>
      <c r="AV11" s="1202">
        <f>IF(AX5&lt;'ACTUALS (M)'!E5,0,DASHBOARD!AY192*(1+$A$11))</f>
        <v>0</v>
      </c>
      <c r="AW11" s="1133">
        <f>SUMIFS('ACTUALS (M)'!$G13:$DV13,'ACTUALS (M)'!$G$6:$DV$6,'VERSUS (M)'!AV5,'ACTUALS (M)'!$G$7:$DV$7,'VERSUS (M)'!$D$4)</f>
        <v>0</v>
      </c>
      <c r="AX11" s="1203">
        <f>IFERROR(AW11-AV11,0)</f>
        <v>0</v>
      </c>
      <c r="AY11" s="93"/>
      <c r="AZ11" s="1202">
        <f>IF(BB5&lt;'ACTUALS (M)'!E5,0,DASHBOARD!BC192*(1+$A$11))</f>
        <v>0</v>
      </c>
      <c r="BA11" s="1133">
        <f>SUMIFS('ACTUALS (M)'!$G13:$DV13,'ACTUALS (M)'!$G$6:$DV$6,'VERSUS (M)'!AZ5,'ACTUALS (M)'!$G$7:$DV$7,'VERSUS (M)'!$D$4)</f>
        <v>0</v>
      </c>
      <c r="BB11" s="1203">
        <f>IFERROR(BA11-AZ11,0)</f>
        <v>0</v>
      </c>
      <c r="BC11" s="1019"/>
      <c r="BD11" s="1019"/>
    </row>
    <row r="12" spans="1:56" s="1000" customFormat="1" ht="15" customHeight="1" x14ac:dyDescent="0.3">
      <c r="A12" s="1615"/>
      <c r="B12" s="996" t="s">
        <v>972</v>
      </c>
      <c r="C12" s="93"/>
      <c r="D12" s="1623" t="str">
        <f>IFERROR(D11/D8,"")</f>
        <v/>
      </c>
      <c r="E12" s="1200" t="str">
        <f>IFERROR(E11/E8,"")</f>
        <v/>
      </c>
      <c r="F12" s="1624">
        <f>IFERROR(E12-D12,0)</f>
        <v>0</v>
      </c>
      <c r="G12" s="93"/>
      <c r="H12" s="1199" t="str">
        <f>IFERROR(H11/H8,"")</f>
        <v/>
      </c>
      <c r="I12" s="1200" t="str">
        <f>IFERROR(I11/I8,"")</f>
        <v/>
      </c>
      <c r="J12" s="1204">
        <f>IFERROR(I12-H12,0)</f>
        <v>0</v>
      </c>
      <c r="K12" s="93"/>
      <c r="L12" s="1199" t="str">
        <f>IFERROR(L11/L8,"")</f>
        <v/>
      </c>
      <c r="M12" s="1230" t="str">
        <f>IFERROR(M11/M8,"")</f>
        <v/>
      </c>
      <c r="N12" s="1204">
        <f>IFERROR(M12-L12,0)</f>
        <v>0</v>
      </c>
      <c r="O12" s="93"/>
      <c r="P12" s="1199" t="str">
        <f>IFERROR(P11/P8,"")</f>
        <v/>
      </c>
      <c r="Q12" s="1230" t="str">
        <f>IFERROR(Q11/Q8,"")</f>
        <v/>
      </c>
      <c r="R12" s="1204">
        <f>IFERROR(Q12-P12,0)</f>
        <v>0</v>
      </c>
      <c r="S12" s="93"/>
      <c r="T12" s="1199" t="str">
        <f>IFERROR(T11/T8,"")</f>
        <v/>
      </c>
      <c r="U12" s="1230" t="str">
        <f>IFERROR(U11/U8,"")</f>
        <v/>
      </c>
      <c r="V12" s="1204">
        <f>IFERROR(U12-T12,0)</f>
        <v>0</v>
      </c>
      <c r="W12" s="93"/>
      <c r="X12" s="1199" t="str">
        <f>IFERROR(X11/X8,"")</f>
        <v/>
      </c>
      <c r="Y12" s="1230" t="str">
        <f>IFERROR(Y11/Y8,"")</f>
        <v/>
      </c>
      <c r="Z12" s="1204">
        <f>IFERROR(Y12-X12,0)</f>
        <v>0</v>
      </c>
      <c r="AA12" s="93"/>
      <c r="AB12" s="1199" t="str">
        <f>IFERROR(AB11/AB8,"")</f>
        <v/>
      </c>
      <c r="AC12" s="1230" t="str">
        <f>IFERROR(AC11/AC8,"")</f>
        <v/>
      </c>
      <c r="AD12" s="1204">
        <f>IFERROR(AC12-AB12,0)</f>
        <v>0</v>
      </c>
      <c r="AE12" s="93"/>
      <c r="AF12" s="1199" t="str">
        <f>IFERROR(AF11/AF8,"")</f>
        <v/>
      </c>
      <c r="AG12" s="1230" t="str">
        <f>IFERROR(AG11/AG8,"")</f>
        <v/>
      </c>
      <c r="AH12" s="1204">
        <f>IFERROR(AG12-AF12,0)</f>
        <v>0</v>
      </c>
      <c r="AI12" s="93"/>
      <c r="AJ12" s="1199" t="str">
        <f>IFERROR(AJ11/AJ8,"")</f>
        <v/>
      </c>
      <c r="AK12" s="1230" t="str">
        <f>IFERROR(AK11/AK8,"")</f>
        <v/>
      </c>
      <c r="AL12" s="1204">
        <f>IFERROR(AK12-AJ12,0)</f>
        <v>0</v>
      </c>
      <c r="AM12" s="93"/>
      <c r="AN12" s="1199" t="str">
        <f>IFERROR(AN11/AN8,"")</f>
        <v/>
      </c>
      <c r="AO12" s="1230" t="str">
        <f>IFERROR(AO11/AO8,"")</f>
        <v/>
      </c>
      <c r="AP12" s="1204">
        <f>IFERROR(AO12-AN12,0)</f>
        <v>0</v>
      </c>
      <c r="AQ12" s="93"/>
      <c r="AR12" s="1199" t="str">
        <f>IFERROR(AR11/AR8,"")</f>
        <v/>
      </c>
      <c r="AS12" s="1230" t="str">
        <f>IFERROR(AS11/AS8,"")</f>
        <v/>
      </c>
      <c r="AT12" s="1204">
        <f>IFERROR(AS12-AR12,0)</f>
        <v>0</v>
      </c>
      <c r="AU12" s="93"/>
      <c r="AV12" s="1199" t="str">
        <f>IFERROR(AV11/AV8,"")</f>
        <v/>
      </c>
      <c r="AW12" s="1230" t="str">
        <f>IFERROR(AW11/AW8,"")</f>
        <v/>
      </c>
      <c r="AX12" s="1204">
        <f>IFERROR(AW12-AV12,0)</f>
        <v>0</v>
      </c>
      <c r="AY12" s="93"/>
      <c r="AZ12" s="1199" t="str">
        <f>IFERROR(AZ11/AZ8,"")</f>
        <v/>
      </c>
      <c r="BA12" s="1230" t="str">
        <f>IFERROR(BA11/BA8,"")</f>
        <v/>
      </c>
      <c r="BB12" s="1204">
        <f>IFERROR(BA12-AZ12,0)</f>
        <v>0</v>
      </c>
      <c r="BC12" s="1001"/>
      <c r="BD12" s="1001"/>
    </row>
    <row r="13" spans="1:56" s="1000" customFormat="1" ht="15" customHeight="1" x14ac:dyDescent="0.3">
      <c r="A13" s="1615"/>
      <c r="B13" s="996"/>
      <c r="C13" s="93"/>
      <c r="D13" s="1623"/>
      <c r="E13" s="1200"/>
      <c r="F13" s="1624"/>
      <c r="G13" s="93"/>
      <c r="H13" s="1199"/>
      <c r="I13" s="1200"/>
      <c r="J13" s="1201"/>
      <c r="K13" s="93"/>
      <c r="L13" s="1199"/>
      <c r="M13" s="1230"/>
      <c r="N13" s="1201"/>
      <c r="O13" s="93"/>
      <c r="P13" s="1199"/>
      <c r="Q13" s="1230"/>
      <c r="R13" s="1201"/>
      <c r="S13" s="93"/>
      <c r="T13" s="1199"/>
      <c r="U13" s="1230"/>
      <c r="V13" s="1201"/>
      <c r="W13" s="93"/>
      <c r="X13" s="1199"/>
      <c r="Y13" s="1230"/>
      <c r="Z13" s="1201"/>
      <c r="AA13" s="93"/>
      <c r="AB13" s="1199"/>
      <c r="AC13" s="1230"/>
      <c r="AD13" s="1201"/>
      <c r="AE13" s="93"/>
      <c r="AF13" s="1199"/>
      <c r="AG13" s="1230"/>
      <c r="AH13" s="1201"/>
      <c r="AI13" s="93"/>
      <c r="AJ13" s="1199"/>
      <c r="AK13" s="1230"/>
      <c r="AL13" s="1201"/>
      <c r="AM13" s="93"/>
      <c r="AN13" s="1199"/>
      <c r="AO13" s="1230"/>
      <c r="AP13" s="1201"/>
      <c r="AQ13" s="93"/>
      <c r="AR13" s="1199"/>
      <c r="AS13" s="1230"/>
      <c r="AT13" s="1201"/>
      <c r="AU13" s="93"/>
      <c r="AV13" s="1199"/>
      <c r="AW13" s="1230"/>
      <c r="AX13" s="1201"/>
      <c r="AY13" s="93"/>
      <c r="AZ13" s="1199"/>
      <c r="BA13" s="1230"/>
      <c r="BB13" s="1201"/>
      <c r="BC13" s="1001"/>
      <c r="BD13" s="1001"/>
    </row>
    <row r="14" spans="1:56" s="1000" customFormat="1" ht="15" customHeight="1" x14ac:dyDescent="0.3">
      <c r="A14" s="1614">
        <f>IFERROR(SUMIF(FORECASTS!$E$4:$AI$4,'VERSUS (M)'!$D$4,FORECASTS!E21:AI21)/DASHBOARD!BH194-1,0)</f>
        <v>0</v>
      </c>
      <c r="B14" s="334" t="s">
        <v>134</v>
      </c>
      <c r="C14" s="93"/>
      <c r="D14" s="1619">
        <f t="shared" ref="D14:E16" si="0">H14+L14+P14+T14+X14+AB14+AF14+AJ14+AN14+AR14+AV14+AZ14</f>
        <v>0</v>
      </c>
      <c r="E14" s="1121">
        <f t="shared" si="0"/>
        <v>0</v>
      </c>
      <c r="F14" s="1627">
        <f>IFERROR(E14-D14,0)</f>
        <v>0</v>
      </c>
      <c r="G14" s="93"/>
      <c r="H14" s="1205">
        <f>IF(J$5&lt;'ACTUALS (M)'!$E$5,0,DASHBOARD!K194*(1+$A14))</f>
        <v>0</v>
      </c>
      <c r="I14" s="1134">
        <f>SUMIFS('ACTUALS (M)'!$G16:$DV16,'ACTUALS (M)'!$G$6:$DV$6,'VERSUS (M)'!H$5,'ACTUALS (M)'!$G$7:$DV$7,'VERSUS (M)'!$D$4)</f>
        <v>0</v>
      </c>
      <c r="J14" s="1206">
        <f>IFERROR(I14-H14,0)</f>
        <v>0</v>
      </c>
      <c r="K14" s="93"/>
      <c r="L14" s="1195">
        <f>IF(N$5&lt;'ACTUALS (M)'!$E$5,0,DASHBOARD!O194*(1+$A14))</f>
        <v>0</v>
      </c>
      <c r="M14" s="1134">
        <f>SUMIFS('ACTUALS (M)'!$G16:$DV16,'ACTUALS (M)'!$G$6:$DV$6,'VERSUS (M)'!L$5,'ACTUALS (M)'!$G$7:$DV$7,'VERSUS (M)'!$D$4)</f>
        <v>0</v>
      </c>
      <c r="N14" s="1206">
        <f>IFERROR(M14-L14,0)</f>
        <v>0</v>
      </c>
      <c r="O14" s="93"/>
      <c r="P14" s="1195">
        <f>IF(R$5&lt;'ACTUALS (M)'!$E$5,0,DASHBOARD!S194*(1+$A14))</f>
        <v>0</v>
      </c>
      <c r="Q14" s="1134">
        <f>SUMIFS('ACTUALS (M)'!$G16:$DV16,'ACTUALS (M)'!$G$6:$DV$6,'VERSUS (M)'!P$5,'ACTUALS (M)'!$G$7:$DV$7,'VERSUS (M)'!$D$4)</f>
        <v>0</v>
      </c>
      <c r="R14" s="1206">
        <f>IFERROR(Q14-P14,0)</f>
        <v>0</v>
      </c>
      <c r="S14" s="93"/>
      <c r="T14" s="1195">
        <f>IF(V$5&lt;'ACTUALS (M)'!$E$5,0,DASHBOARD!W194*(1+$A14))</f>
        <v>0</v>
      </c>
      <c r="U14" s="1134">
        <f>SUMIFS('ACTUALS (M)'!$G16:$DV16,'ACTUALS (M)'!$G$6:$DV$6,'VERSUS (M)'!T$5,'ACTUALS (M)'!$G$7:$DV$7,'VERSUS (M)'!$D$4)</f>
        <v>0</v>
      </c>
      <c r="V14" s="1206">
        <f>IFERROR(U14-T14,0)</f>
        <v>0</v>
      </c>
      <c r="W14" s="93"/>
      <c r="X14" s="1195">
        <f>IF(Z$5&lt;'ACTUALS (M)'!$E$5,0,DASHBOARD!AA194*(1+$A14))</f>
        <v>0</v>
      </c>
      <c r="Y14" s="1134">
        <f>SUMIFS('ACTUALS (M)'!$G16:$DV16,'ACTUALS (M)'!$G$6:$DV$6,'VERSUS (M)'!X$5,'ACTUALS (M)'!$G$7:$DV$7,'VERSUS (M)'!$D$4)</f>
        <v>0</v>
      </c>
      <c r="Z14" s="1206">
        <f>IFERROR(Y14-X14,0)</f>
        <v>0</v>
      </c>
      <c r="AA14" s="93"/>
      <c r="AB14" s="1195">
        <f>IF(AD$5&lt;'ACTUALS (M)'!$E$5,0,DASHBOARD!AE194*(1+$A14))</f>
        <v>0</v>
      </c>
      <c r="AC14" s="1134">
        <f>SUMIFS('ACTUALS (M)'!$G16:$DV16,'ACTUALS (M)'!$G$6:$DV$6,'VERSUS (M)'!AB$5,'ACTUALS (M)'!$G$7:$DV$7,'VERSUS (M)'!$D$4)</f>
        <v>0</v>
      </c>
      <c r="AD14" s="1206">
        <f>IFERROR(AC14-AB14,0)</f>
        <v>0</v>
      </c>
      <c r="AE14" s="93"/>
      <c r="AF14" s="1195">
        <f>IF(AH$5&lt;'ACTUALS (M)'!$E$5,0,DASHBOARD!AI194*(1+$A14))</f>
        <v>0</v>
      </c>
      <c r="AG14" s="1134">
        <f>SUMIFS('ACTUALS (M)'!$G16:$DV16,'ACTUALS (M)'!$G$6:$DV$6,'VERSUS (M)'!AF$5,'ACTUALS (M)'!$G$7:$DV$7,'VERSUS (M)'!$D$4)</f>
        <v>0</v>
      </c>
      <c r="AH14" s="1206">
        <f>IFERROR(AG14-AF14,0)</f>
        <v>0</v>
      </c>
      <c r="AI14" s="93"/>
      <c r="AJ14" s="1195">
        <f>IF(AL$5&lt;'ACTUALS (M)'!$E$5,0,DASHBOARD!AM194*(1+$A14))</f>
        <v>0</v>
      </c>
      <c r="AK14" s="1134">
        <f>SUMIFS('ACTUALS (M)'!$G16:$DV16,'ACTUALS (M)'!$G$6:$DV$6,'VERSUS (M)'!AJ$5,'ACTUALS (M)'!$G$7:$DV$7,'VERSUS (M)'!$D$4)</f>
        <v>0</v>
      </c>
      <c r="AL14" s="1206">
        <f>IFERROR(AK14-AJ14,0)</f>
        <v>0</v>
      </c>
      <c r="AM14" s="93"/>
      <c r="AN14" s="1195">
        <f>IF(AP$5&lt;'ACTUALS (M)'!$E$5,0,DASHBOARD!AQ194*(1+$A14))</f>
        <v>0</v>
      </c>
      <c r="AO14" s="1134">
        <f>SUMIFS('ACTUALS (M)'!$G16:$DV16,'ACTUALS (M)'!$G$6:$DV$6,'VERSUS (M)'!AN$5,'ACTUALS (M)'!$G$7:$DV$7,'VERSUS (M)'!$D$4)</f>
        <v>0</v>
      </c>
      <c r="AP14" s="1206">
        <f>IFERROR(AO14-AN14,0)</f>
        <v>0</v>
      </c>
      <c r="AQ14" s="93"/>
      <c r="AR14" s="1195">
        <f>IF(AT$5&lt;'ACTUALS (M)'!$E$5,0,DASHBOARD!AU194*(1+$A14))</f>
        <v>0</v>
      </c>
      <c r="AS14" s="1134">
        <f>SUMIFS('ACTUALS (M)'!$G16:$DV16,'ACTUALS (M)'!$G$6:$DV$6,'VERSUS (M)'!AR$5,'ACTUALS (M)'!$G$7:$DV$7,'VERSUS (M)'!$D$4)</f>
        <v>0</v>
      </c>
      <c r="AT14" s="1206">
        <f>IFERROR(AS14-AR14,0)</f>
        <v>0</v>
      </c>
      <c r="AU14" s="93"/>
      <c r="AV14" s="1195">
        <f>IF(AX$5&lt;'ACTUALS (M)'!$E$5,0,DASHBOARD!AY194*(1+$A14))</f>
        <v>0</v>
      </c>
      <c r="AW14" s="1134">
        <f>SUMIFS('ACTUALS (M)'!$G16:$DV16,'ACTUALS (M)'!$G$6:$DV$6,'VERSUS (M)'!AV$5,'ACTUALS (M)'!$G$7:$DV$7,'VERSUS (M)'!$D$4)</f>
        <v>0</v>
      </c>
      <c r="AX14" s="1206">
        <f>IFERROR(AW14-AV14,0)</f>
        <v>0</v>
      </c>
      <c r="AY14" s="93"/>
      <c r="AZ14" s="1195">
        <f>IF(BB$5&lt;'ACTUALS (M)'!$E$5,0,DASHBOARD!BC194*(1+$A14))</f>
        <v>0</v>
      </c>
      <c r="BA14" s="1134">
        <f>SUMIFS('ACTUALS (M)'!$G16:$DV16,'ACTUALS (M)'!$G$6:$DV$6,'VERSUS (M)'!AZ$5,'ACTUALS (M)'!$G$7:$DV$7,'VERSUS (M)'!$D$4)</f>
        <v>0</v>
      </c>
      <c r="BB14" s="1206">
        <f>IFERROR(BA14-AZ14,0)</f>
        <v>0</v>
      </c>
    </row>
    <row r="15" spans="1:56" s="1002" customFormat="1" ht="18.75" customHeight="1" x14ac:dyDescent="0.3">
      <c r="A15" s="1614">
        <f>IFERROR(SUMIF(FORECASTS!$E$4:$AI$4,'VERSUS (M)'!$D$4,FORECASTS!E23:AI23)/DASHBOARD!BH195-1,0)</f>
        <v>0</v>
      </c>
      <c r="B15" s="334" t="str">
        <f>FORECASTS!B23</f>
        <v>Additional Guest Fee</v>
      </c>
      <c r="C15" s="93"/>
      <c r="D15" s="1619">
        <f t="shared" si="0"/>
        <v>0</v>
      </c>
      <c r="E15" s="1121">
        <f t="shared" si="0"/>
        <v>0</v>
      </c>
      <c r="F15" s="1627">
        <f>IFERROR(E15-D15,0)</f>
        <v>0</v>
      </c>
      <c r="G15" s="93"/>
      <c r="H15" s="1205">
        <f>IF(J$5&lt;'ACTUALS (M)'!$E$5,0,DASHBOARD!K195*(1+$A15))</f>
        <v>0</v>
      </c>
      <c r="I15" s="1134">
        <f>SUMIFS('ACTUALS (M)'!$G17:$DV17,'ACTUALS (M)'!$G$6:$DV$6,'VERSUS (M)'!H$5,'ACTUALS (M)'!$G$7:$DV$7,'VERSUS (M)'!$D$4)</f>
        <v>0</v>
      </c>
      <c r="J15" s="1206">
        <f>IFERROR(I15-H15,0)</f>
        <v>0</v>
      </c>
      <c r="K15" s="93"/>
      <c r="L15" s="1195">
        <f>IF(N$5&lt;'ACTUALS (M)'!$E$5,0,DASHBOARD!O195*(1+$A15))</f>
        <v>0</v>
      </c>
      <c r="M15" s="1134">
        <f>SUMIFS('ACTUALS (M)'!$G17:$DV17,'ACTUALS (M)'!$G$6:$DV$6,'VERSUS (M)'!L$5,'ACTUALS (M)'!$G$7:$DV$7,'VERSUS (M)'!$D$4)</f>
        <v>0</v>
      </c>
      <c r="N15" s="1206">
        <f>IFERROR(M15-L15,0)</f>
        <v>0</v>
      </c>
      <c r="O15" s="93"/>
      <c r="P15" s="1195">
        <f>IF(R$5&lt;'ACTUALS (M)'!$E$5,0,DASHBOARD!S195*(1+$A15))</f>
        <v>0</v>
      </c>
      <c r="Q15" s="1134">
        <f>SUMIFS('ACTUALS (M)'!$G17:$DV17,'ACTUALS (M)'!$G$6:$DV$6,'VERSUS (M)'!P$5,'ACTUALS (M)'!$G$7:$DV$7,'VERSUS (M)'!$D$4)</f>
        <v>0</v>
      </c>
      <c r="R15" s="1206">
        <f>IFERROR(Q15-P15,0)</f>
        <v>0</v>
      </c>
      <c r="S15" s="93"/>
      <c r="T15" s="1195">
        <f>IF(V$5&lt;'ACTUALS (M)'!$E$5,0,DASHBOARD!W195*(1+$A15))</f>
        <v>0</v>
      </c>
      <c r="U15" s="1134">
        <f>SUMIFS('ACTUALS (M)'!$G17:$DV17,'ACTUALS (M)'!$G$6:$DV$6,'VERSUS (M)'!T$5,'ACTUALS (M)'!$G$7:$DV$7,'VERSUS (M)'!$D$4)</f>
        <v>0</v>
      </c>
      <c r="V15" s="1206">
        <f>IFERROR(U15-T15,0)</f>
        <v>0</v>
      </c>
      <c r="W15" s="93"/>
      <c r="X15" s="1195">
        <f>IF(Z$5&lt;'ACTUALS (M)'!$E$5,0,DASHBOARD!AA195*(1+$A15))</f>
        <v>0</v>
      </c>
      <c r="Y15" s="1134">
        <f>SUMIFS('ACTUALS (M)'!$G17:$DV17,'ACTUALS (M)'!$G$6:$DV$6,'VERSUS (M)'!X$5,'ACTUALS (M)'!$G$7:$DV$7,'VERSUS (M)'!$D$4)</f>
        <v>0</v>
      </c>
      <c r="Z15" s="1206">
        <f>IFERROR(Y15-X15,0)</f>
        <v>0</v>
      </c>
      <c r="AA15" s="93"/>
      <c r="AB15" s="1195">
        <f>IF(AD$5&lt;'ACTUALS (M)'!$E$5,0,DASHBOARD!AE195*(1+$A15))</f>
        <v>0</v>
      </c>
      <c r="AC15" s="1134">
        <f>SUMIFS('ACTUALS (M)'!$G17:$DV17,'ACTUALS (M)'!$G$6:$DV$6,'VERSUS (M)'!AB$5,'ACTUALS (M)'!$G$7:$DV$7,'VERSUS (M)'!$D$4)</f>
        <v>0</v>
      </c>
      <c r="AD15" s="1206">
        <f>IFERROR(AC15-AB15,0)</f>
        <v>0</v>
      </c>
      <c r="AE15" s="93"/>
      <c r="AF15" s="1195">
        <f>IF(AH$5&lt;'ACTUALS (M)'!$E$5,0,DASHBOARD!AI195*(1+$A15))</f>
        <v>0</v>
      </c>
      <c r="AG15" s="1134">
        <f>SUMIFS('ACTUALS (M)'!$G17:$DV17,'ACTUALS (M)'!$G$6:$DV$6,'VERSUS (M)'!AF$5,'ACTUALS (M)'!$G$7:$DV$7,'VERSUS (M)'!$D$4)</f>
        <v>0</v>
      </c>
      <c r="AH15" s="1206">
        <f>IFERROR(AG15-AF15,0)</f>
        <v>0</v>
      </c>
      <c r="AI15" s="93"/>
      <c r="AJ15" s="1195">
        <f>IF(AL$5&lt;'ACTUALS (M)'!$E$5,0,DASHBOARD!AM195*(1+$A15))</f>
        <v>0</v>
      </c>
      <c r="AK15" s="1134">
        <f>SUMIFS('ACTUALS (M)'!$G17:$DV17,'ACTUALS (M)'!$G$6:$DV$6,'VERSUS (M)'!AJ$5,'ACTUALS (M)'!$G$7:$DV$7,'VERSUS (M)'!$D$4)</f>
        <v>0</v>
      </c>
      <c r="AL15" s="1206">
        <f>IFERROR(AK15-AJ15,0)</f>
        <v>0</v>
      </c>
      <c r="AM15" s="93"/>
      <c r="AN15" s="1195">
        <f>IF(AP$5&lt;'ACTUALS (M)'!$E$5,0,DASHBOARD!AQ195*(1+$A15))</f>
        <v>0</v>
      </c>
      <c r="AO15" s="1134">
        <f>SUMIFS('ACTUALS (M)'!$G17:$DV17,'ACTUALS (M)'!$G$6:$DV$6,'VERSUS (M)'!AN$5,'ACTUALS (M)'!$G$7:$DV$7,'VERSUS (M)'!$D$4)</f>
        <v>0</v>
      </c>
      <c r="AP15" s="1206">
        <f>IFERROR(AO15-AN15,0)</f>
        <v>0</v>
      </c>
      <c r="AQ15" s="93"/>
      <c r="AR15" s="1195">
        <f>IF(AT$5&lt;'ACTUALS (M)'!$E$5,0,DASHBOARD!AU195*(1+$A15))</f>
        <v>0</v>
      </c>
      <c r="AS15" s="1134">
        <f>SUMIFS('ACTUALS (M)'!$G17:$DV17,'ACTUALS (M)'!$G$6:$DV$6,'VERSUS (M)'!AR$5,'ACTUALS (M)'!$G$7:$DV$7,'VERSUS (M)'!$D$4)</f>
        <v>0</v>
      </c>
      <c r="AT15" s="1206">
        <f>IFERROR(AS15-AR15,0)</f>
        <v>0</v>
      </c>
      <c r="AU15" s="93"/>
      <c r="AV15" s="1195">
        <f>IF(AX$5&lt;'ACTUALS (M)'!$E$5,0,DASHBOARD!AY195*(1+$A15))</f>
        <v>0</v>
      </c>
      <c r="AW15" s="1134">
        <f>SUMIFS('ACTUALS (M)'!$G17:$DV17,'ACTUALS (M)'!$G$6:$DV$6,'VERSUS (M)'!AV$5,'ACTUALS (M)'!$G$7:$DV$7,'VERSUS (M)'!$D$4)</f>
        <v>0</v>
      </c>
      <c r="AX15" s="1206">
        <f>IFERROR(AW15-AV15,0)</f>
        <v>0</v>
      </c>
      <c r="AY15" s="93"/>
      <c r="AZ15" s="1195">
        <f>IF(BB$5&lt;'ACTUALS (M)'!$E$5,0,DASHBOARD!BC195*(1+$A15))</f>
        <v>0</v>
      </c>
      <c r="BA15" s="1134">
        <f>SUMIFS('ACTUALS (M)'!$G17:$DV17,'ACTUALS (M)'!$G$6:$DV$6,'VERSUS (M)'!AZ$5,'ACTUALS (M)'!$G$7:$DV$7,'VERSUS (M)'!$D$4)</f>
        <v>0</v>
      </c>
      <c r="BB15" s="1206">
        <f>IFERROR(BA15-AZ15,0)</f>
        <v>0</v>
      </c>
      <c r="BC15" s="1000"/>
      <c r="BD15" s="1000"/>
    </row>
    <row r="16" spans="1:56" s="1000" customFormat="1" ht="15" customHeight="1" x14ac:dyDescent="0.3">
      <c r="A16" s="1614">
        <f>IFERROR(SUMIF(FORECASTS!$E$4:$AI$4,'VERSUS (M)'!$D$4,FORECASTS!E25:AI25)/DASHBOARD!BH196-1,0)</f>
        <v>0</v>
      </c>
      <c r="B16" s="334" t="s">
        <v>576</v>
      </c>
      <c r="C16" s="93"/>
      <c r="D16" s="1619">
        <f t="shared" si="0"/>
        <v>0</v>
      </c>
      <c r="E16" s="1121">
        <f t="shared" si="0"/>
        <v>0</v>
      </c>
      <c r="F16" s="1627">
        <f>IFERROR(E16-D16,0)</f>
        <v>0</v>
      </c>
      <c r="G16" s="93"/>
      <c r="H16" s="1205">
        <f>IF(J$5&lt;'ACTUALS (M)'!$E$5,0,DASHBOARD!K196*(1+$A16))</f>
        <v>0</v>
      </c>
      <c r="I16" s="1134">
        <f>SUMIFS('ACTUALS (M)'!$G18:$DV18,'ACTUALS (M)'!$G$6:$DV$6,'VERSUS (M)'!H$5,'ACTUALS (M)'!$G$7:$DV$7,'VERSUS (M)'!$D$4)</f>
        <v>0</v>
      </c>
      <c r="J16" s="1206">
        <f>IFERROR(I16-H16,0)</f>
        <v>0</v>
      </c>
      <c r="K16" s="93"/>
      <c r="L16" s="1195">
        <f>IF(N$5&lt;'ACTUALS (M)'!$E$5,0,DASHBOARD!O196*(1+$A16))</f>
        <v>0</v>
      </c>
      <c r="M16" s="1134">
        <f>SUMIFS('ACTUALS (M)'!$G18:$DV18,'ACTUALS (M)'!$G$6:$DV$6,'VERSUS (M)'!L$5,'ACTUALS (M)'!$G$7:$DV$7,'VERSUS (M)'!$D$4)</f>
        <v>0</v>
      </c>
      <c r="N16" s="1206">
        <f>IFERROR(M16-L16,0)</f>
        <v>0</v>
      </c>
      <c r="O16" s="93"/>
      <c r="P16" s="1195">
        <f>IF(R$5&lt;'ACTUALS (M)'!$E$5,0,DASHBOARD!S196*(1+$A16))</f>
        <v>0</v>
      </c>
      <c r="Q16" s="1134">
        <f>SUMIFS('ACTUALS (M)'!$G18:$DV18,'ACTUALS (M)'!$G$6:$DV$6,'VERSUS (M)'!P$5,'ACTUALS (M)'!$G$7:$DV$7,'VERSUS (M)'!$D$4)</f>
        <v>0</v>
      </c>
      <c r="R16" s="1206">
        <f>IFERROR(Q16-P16,0)</f>
        <v>0</v>
      </c>
      <c r="S16" s="93"/>
      <c r="T16" s="1195">
        <f>IF(V$5&lt;'ACTUALS (M)'!$E$5,0,DASHBOARD!W196*(1+$A16))</f>
        <v>0</v>
      </c>
      <c r="U16" s="1134">
        <f>SUMIFS('ACTUALS (M)'!$G18:$DV18,'ACTUALS (M)'!$G$6:$DV$6,'VERSUS (M)'!T$5,'ACTUALS (M)'!$G$7:$DV$7,'VERSUS (M)'!$D$4)</f>
        <v>0</v>
      </c>
      <c r="V16" s="1206">
        <f>IFERROR(U16-T16,0)</f>
        <v>0</v>
      </c>
      <c r="W16" s="93"/>
      <c r="X16" s="1195">
        <f>IF(Z$5&lt;'ACTUALS (M)'!$E$5,0,DASHBOARD!AA196*(1+$A16))</f>
        <v>0</v>
      </c>
      <c r="Y16" s="1134">
        <f>SUMIFS('ACTUALS (M)'!$G18:$DV18,'ACTUALS (M)'!$G$6:$DV$6,'VERSUS (M)'!X$5,'ACTUALS (M)'!$G$7:$DV$7,'VERSUS (M)'!$D$4)</f>
        <v>0</v>
      </c>
      <c r="Z16" s="1206">
        <f>IFERROR(Y16-X16,0)</f>
        <v>0</v>
      </c>
      <c r="AA16" s="93"/>
      <c r="AB16" s="1195">
        <f>IF(AD$5&lt;'ACTUALS (M)'!$E$5,0,DASHBOARD!AE196*(1+$A16))</f>
        <v>0</v>
      </c>
      <c r="AC16" s="1134">
        <f>SUMIFS('ACTUALS (M)'!$G18:$DV18,'ACTUALS (M)'!$G$6:$DV$6,'VERSUS (M)'!AB$5,'ACTUALS (M)'!$G$7:$DV$7,'VERSUS (M)'!$D$4)</f>
        <v>0</v>
      </c>
      <c r="AD16" s="1206">
        <f>IFERROR(AC16-AB16,0)</f>
        <v>0</v>
      </c>
      <c r="AE16" s="93"/>
      <c r="AF16" s="1195">
        <f>IF(AH$5&lt;'ACTUALS (M)'!$E$5,0,DASHBOARD!AI196*(1+$A16))</f>
        <v>0</v>
      </c>
      <c r="AG16" s="1134">
        <f>SUMIFS('ACTUALS (M)'!$G18:$DV18,'ACTUALS (M)'!$G$6:$DV$6,'VERSUS (M)'!AF$5,'ACTUALS (M)'!$G$7:$DV$7,'VERSUS (M)'!$D$4)</f>
        <v>0</v>
      </c>
      <c r="AH16" s="1206">
        <f>IFERROR(AG16-AF16,0)</f>
        <v>0</v>
      </c>
      <c r="AI16" s="93"/>
      <c r="AJ16" s="1195">
        <f>IF(AL$5&lt;'ACTUALS (M)'!$E$5,0,DASHBOARD!AM196*(1+$A16))</f>
        <v>0</v>
      </c>
      <c r="AK16" s="1134">
        <f>SUMIFS('ACTUALS (M)'!$G18:$DV18,'ACTUALS (M)'!$G$6:$DV$6,'VERSUS (M)'!AJ$5,'ACTUALS (M)'!$G$7:$DV$7,'VERSUS (M)'!$D$4)</f>
        <v>0</v>
      </c>
      <c r="AL16" s="1206">
        <f>IFERROR(AK16-AJ16,0)</f>
        <v>0</v>
      </c>
      <c r="AM16" s="93"/>
      <c r="AN16" s="1195">
        <f>IF(AP$5&lt;'ACTUALS (M)'!$E$5,0,DASHBOARD!AQ196*(1+$A16))</f>
        <v>0</v>
      </c>
      <c r="AO16" s="1134">
        <f>SUMIFS('ACTUALS (M)'!$G18:$DV18,'ACTUALS (M)'!$G$6:$DV$6,'VERSUS (M)'!AN$5,'ACTUALS (M)'!$G$7:$DV$7,'VERSUS (M)'!$D$4)</f>
        <v>0</v>
      </c>
      <c r="AP16" s="1206">
        <f>IFERROR(AO16-AN16,0)</f>
        <v>0</v>
      </c>
      <c r="AQ16" s="93"/>
      <c r="AR16" s="1195">
        <f>IF(AT$5&lt;'ACTUALS (M)'!$E$5,0,DASHBOARD!AU196*(1+$A16))</f>
        <v>0</v>
      </c>
      <c r="AS16" s="1134">
        <f>SUMIFS('ACTUALS (M)'!$G18:$DV18,'ACTUALS (M)'!$G$6:$DV$6,'VERSUS (M)'!AR$5,'ACTUALS (M)'!$G$7:$DV$7,'VERSUS (M)'!$D$4)</f>
        <v>0</v>
      </c>
      <c r="AT16" s="1206">
        <f>IFERROR(AS16-AR16,0)</f>
        <v>0</v>
      </c>
      <c r="AU16" s="93"/>
      <c r="AV16" s="1195">
        <f>IF(AX$5&lt;'ACTUALS (M)'!$E$5,0,DASHBOARD!AY196*(1+$A16))</f>
        <v>0</v>
      </c>
      <c r="AW16" s="1134">
        <f>SUMIFS('ACTUALS (M)'!$G18:$DV18,'ACTUALS (M)'!$G$6:$DV$6,'VERSUS (M)'!AV$5,'ACTUALS (M)'!$G$7:$DV$7,'VERSUS (M)'!$D$4)</f>
        <v>0</v>
      </c>
      <c r="AX16" s="1206">
        <f>IFERROR(AW16-AV16,0)</f>
        <v>0</v>
      </c>
      <c r="AY16" s="93"/>
      <c r="AZ16" s="1195">
        <f>IF(BB$5&lt;'ACTUALS (M)'!$E$5,0,DASHBOARD!BC196*(1+$A16))</f>
        <v>0</v>
      </c>
      <c r="BA16" s="1134">
        <f>SUMIFS('ACTUALS (M)'!$G18:$DV18,'ACTUALS (M)'!$G$6:$DV$6,'VERSUS (M)'!AZ$5,'ACTUALS (M)'!$G$7:$DV$7,'VERSUS (M)'!$D$4)</f>
        <v>0</v>
      </c>
      <c r="BB16" s="1206">
        <f>IFERROR(BA16-AZ16,0)</f>
        <v>0</v>
      </c>
    </row>
    <row r="17" spans="1:56" s="1000" customFormat="1" ht="15" customHeight="1" x14ac:dyDescent="0.3">
      <c r="A17" s="1615"/>
      <c r="B17" s="997" t="s">
        <v>584</v>
      </c>
      <c r="C17" s="93"/>
      <c r="D17" s="1628">
        <f>D11+D14+D15+D16</f>
        <v>0</v>
      </c>
      <c r="E17" s="1015">
        <f>E11+E14+E15+E16</f>
        <v>0</v>
      </c>
      <c r="F17" s="1629">
        <f>IFERROR(E17-D17,0)</f>
        <v>0</v>
      </c>
      <c r="G17" s="93"/>
      <c r="H17" s="1207">
        <f>H11+H14+H15+H16</f>
        <v>0</v>
      </c>
      <c r="I17" s="1015">
        <f>I11+I14+I15+I16</f>
        <v>0</v>
      </c>
      <c r="J17" s="1208">
        <f>IFERROR(I17-H17,0)</f>
        <v>0</v>
      </c>
      <c r="K17" s="93"/>
      <c r="L17" s="1207">
        <f>L11+L14+L15+L16</f>
        <v>0</v>
      </c>
      <c r="M17" s="1015">
        <f>M11+M14+M15+M16</f>
        <v>0</v>
      </c>
      <c r="N17" s="1208">
        <f>IFERROR(M17-L17,0)</f>
        <v>0</v>
      </c>
      <c r="O17" s="93"/>
      <c r="P17" s="1207">
        <f>P11+P14+P15+P16</f>
        <v>0</v>
      </c>
      <c r="Q17" s="1015">
        <f>Q11+Q14+Q15+Q16</f>
        <v>0</v>
      </c>
      <c r="R17" s="1208">
        <f>IFERROR(Q17-P17,0)</f>
        <v>0</v>
      </c>
      <c r="S17" s="93"/>
      <c r="T17" s="1207">
        <f>T11+T14+T15+T16</f>
        <v>0</v>
      </c>
      <c r="U17" s="1015">
        <f>U11+U14+U15+U16</f>
        <v>0</v>
      </c>
      <c r="V17" s="1208">
        <f>IFERROR(U17-T17,0)</f>
        <v>0</v>
      </c>
      <c r="W17" s="93"/>
      <c r="X17" s="1207">
        <f>X11+X14+X15+X16</f>
        <v>0</v>
      </c>
      <c r="Y17" s="1015">
        <f>Y11+Y14+Y15+Y16</f>
        <v>0</v>
      </c>
      <c r="Z17" s="1208">
        <f>IFERROR(Y17-X17,0)</f>
        <v>0</v>
      </c>
      <c r="AA17" s="93"/>
      <c r="AB17" s="1207">
        <f>AB11+AB14+AB15+AB16</f>
        <v>0</v>
      </c>
      <c r="AC17" s="1015">
        <f>AC11+AC14+AC15+AC16</f>
        <v>0</v>
      </c>
      <c r="AD17" s="1208">
        <f>IFERROR(AC17-AB17,0)</f>
        <v>0</v>
      </c>
      <c r="AE17" s="93"/>
      <c r="AF17" s="1207">
        <f>AF11+AF14+AF15+AF16</f>
        <v>0</v>
      </c>
      <c r="AG17" s="1015">
        <f>AG11+AG14+AG15+AG16</f>
        <v>0</v>
      </c>
      <c r="AH17" s="1208">
        <f>IFERROR(AG17-AF17,0)</f>
        <v>0</v>
      </c>
      <c r="AI17" s="93"/>
      <c r="AJ17" s="1207">
        <f>AJ11+AJ14+AJ15+AJ16</f>
        <v>0</v>
      </c>
      <c r="AK17" s="1015">
        <f>AK11+AK14+AK15+AK16</f>
        <v>0</v>
      </c>
      <c r="AL17" s="1208">
        <f>IFERROR(AK17-AJ17,0)</f>
        <v>0</v>
      </c>
      <c r="AM17" s="93"/>
      <c r="AN17" s="1207">
        <f>AN11+AN14+AN15+AN16</f>
        <v>0</v>
      </c>
      <c r="AO17" s="1015">
        <f>AO11+AO14+AO15+AO16</f>
        <v>0</v>
      </c>
      <c r="AP17" s="1208">
        <f>IFERROR(AO17-AN17,0)</f>
        <v>0</v>
      </c>
      <c r="AQ17" s="93"/>
      <c r="AR17" s="1207">
        <f>AR11+AR14+AR15+AR16</f>
        <v>0</v>
      </c>
      <c r="AS17" s="1015">
        <f>AS11+AS14+AS15+AS16</f>
        <v>0</v>
      </c>
      <c r="AT17" s="1208">
        <f>IFERROR(AS17-AR17,0)</f>
        <v>0</v>
      </c>
      <c r="AU17" s="93"/>
      <c r="AV17" s="1207">
        <f>AV11+AV14+AV15+AV16</f>
        <v>0</v>
      </c>
      <c r="AW17" s="1015">
        <f>AW11+AW14+AW15+AW16</f>
        <v>0</v>
      </c>
      <c r="AX17" s="1208">
        <f>IFERROR(AW17-AV17,0)</f>
        <v>0</v>
      </c>
      <c r="AY17" s="93"/>
      <c r="AZ17" s="1207">
        <f>AZ11+AZ14+AZ15+AZ16</f>
        <v>0</v>
      </c>
      <c r="BA17" s="1015">
        <f>BA11+BA14+BA15+BA16</f>
        <v>0</v>
      </c>
      <c r="BB17" s="1208">
        <f>IFERROR(BA17-AZ17,0)</f>
        <v>0</v>
      </c>
      <c r="BC17" s="1002"/>
      <c r="BD17" s="1002"/>
    </row>
    <row r="18" spans="1:56" s="1000" customFormat="1" ht="15" customHeight="1" x14ac:dyDescent="0.3">
      <c r="A18" s="1616"/>
      <c r="B18" s="334"/>
      <c r="C18" s="93"/>
      <c r="D18" s="1630"/>
      <c r="E18" s="84"/>
      <c r="F18" s="1631"/>
      <c r="G18" s="93"/>
      <c r="H18" s="1209"/>
      <c r="I18" s="84"/>
      <c r="J18" s="1210"/>
      <c r="K18" s="93"/>
      <c r="L18" s="1209"/>
      <c r="M18" s="84"/>
      <c r="N18" s="1215"/>
      <c r="O18" s="93"/>
      <c r="P18" s="1209"/>
      <c r="Q18" s="84"/>
      <c r="R18" s="1215"/>
      <c r="S18" s="93"/>
      <c r="T18" s="1209"/>
      <c r="U18" s="84"/>
      <c r="V18" s="1215"/>
      <c r="W18" s="93"/>
      <c r="X18" s="1209"/>
      <c r="Y18" s="84"/>
      <c r="Z18" s="1215"/>
      <c r="AA18" s="93"/>
      <c r="AB18" s="1209"/>
      <c r="AC18" s="84"/>
      <c r="AD18" s="1215"/>
      <c r="AE18" s="93"/>
      <c r="AF18" s="1209"/>
      <c r="AG18" s="84"/>
      <c r="AH18" s="1215"/>
      <c r="AI18" s="93"/>
      <c r="AJ18" s="1209"/>
      <c r="AK18" s="84"/>
      <c r="AL18" s="1215"/>
      <c r="AM18" s="93"/>
      <c r="AN18" s="1209"/>
      <c r="AO18" s="84"/>
      <c r="AP18" s="1215"/>
      <c r="AQ18" s="93"/>
      <c r="AR18" s="1209"/>
      <c r="AS18" s="84"/>
      <c r="AT18" s="1215"/>
      <c r="AU18" s="93"/>
      <c r="AV18" s="1209"/>
      <c r="AW18" s="84"/>
      <c r="AX18" s="1215"/>
      <c r="AY18" s="93"/>
      <c r="AZ18" s="1209"/>
      <c r="BA18" s="84"/>
      <c r="BB18" s="1215"/>
    </row>
    <row r="19" spans="1:56" s="1000" customFormat="1" ht="15" customHeight="1" x14ac:dyDescent="0.3">
      <c r="A19" s="1614">
        <f>IFERROR(SUMIF(FORECASTS!$E$4:$AI$4,'VERSUS (M)'!$D$4,FORECASTS!E30:AI30)/DASHBOARD!BH199-1,0)</f>
        <v>0</v>
      </c>
      <c r="B19" s="334" t="str">
        <f>DASHBOARD!W119</f>
        <v>Electrical Utilities</v>
      </c>
      <c r="C19" s="93"/>
      <c r="D19" s="1619">
        <f t="shared" ref="D19:D36" si="1">H19+L19+P19+T19+X19+AB19+AF19+AJ19+AN19+AR19+AV19+AZ19</f>
        <v>0</v>
      </c>
      <c r="E19" s="1121">
        <f t="shared" ref="E19:E36" si="2">I19+M19+Q19+U19+Y19+AC19+AG19+AK19+AO19+AS19+AW19+BA19</f>
        <v>0</v>
      </c>
      <c r="F19" s="1627">
        <f>IFERROR(E19-D19,0)</f>
        <v>0</v>
      </c>
      <c r="G19" s="93"/>
      <c r="H19" s="1205">
        <f>IF(J$5&lt;'ACTUALS (M)'!$E$5,0,DASHBOARD!K199*(1+$A19))</f>
        <v>0</v>
      </c>
      <c r="I19" s="1134">
        <f>SUMIFS('ACTUALS (M)'!$G21:$DV21,'ACTUALS (M)'!$G$6:$DV$6,'VERSUS (M)'!H$5,'ACTUALS (M)'!$G$7:$DV$7,'VERSUS (M)'!$D$4)</f>
        <v>0</v>
      </c>
      <c r="J19" s="1206">
        <f t="shared" ref="J19:J38" si="3">IFERROR(I19-H19,0)</f>
        <v>0</v>
      </c>
      <c r="K19" s="93"/>
      <c r="L19" s="1195">
        <f>IF(N$5&lt;'ACTUALS (M)'!$E$5,0,DASHBOARD!O199*(1+$A19))</f>
        <v>0</v>
      </c>
      <c r="M19" s="1134">
        <f>SUMIFS('ACTUALS (M)'!$G21:$DV21,'ACTUALS (M)'!$G$6:$DV$6,'VERSUS (M)'!L$5,'ACTUALS (M)'!$G$7:$DV$7,'VERSUS (M)'!$D$4)</f>
        <v>0</v>
      </c>
      <c r="N19" s="1206">
        <f t="shared" ref="N19:N38" si="4">IFERROR(M19-L19,0)</f>
        <v>0</v>
      </c>
      <c r="O19" s="93"/>
      <c r="P19" s="1195">
        <f>IF(R$5&lt;'ACTUALS (M)'!$E$5,0,DASHBOARD!S199*(1+$A19))</f>
        <v>0</v>
      </c>
      <c r="Q19" s="1134">
        <f>SUMIFS('ACTUALS (M)'!$G21:$DV21,'ACTUALS (M)'!$G$6:$DV$6,'VERSUS (M)'!P$5,'ACTUALS (M)'!$G$7:$DV$7,'VERSUS (M)'!$D$4)</f>
        <v>0</v>
      </c>
      <c r="R19" s="1206">
        <f t="shared" ref="R19:R38" si="5">IFERROR(Q19-P19,0)</f>
        <v>0</v>
      </c>
      <c r="S19" s="93"/>
      <c r="T19" s="1195">
        <f>IF(V$5&lt;'ACTUALS (M)'!$E$5,0,DASHBOARD!W199*(1+$A19))</f>
        <v>0</v>
      </c>
      <c r="U19" s="1134">
        <f>SUMIFS('ACTUALS (M)'!$G21:$DV21,'ACTUALS (M)'!$G$6:$DV$6,'VERSUS (M)'!T$5,'ACTUALS (M)'!$G$7:$DV$7,'VERSUS (M)'!$D$4)</f>
        <v>0</v>
      </c>
      <c r="V19" s="1206">
        <f t="shared" ref="V19:V38" si="6">IFERROR(U19-T19,0)</f>
        <v>0</v>
      </c>
      <c r="W19" s="93"/>
      <c r="X19" s="1195">
        <f>IF(Z$5&lt;'ACTUALS (M)'!$E$5,0,DASHBOARD!AA199*(1+$A19))</f>
        <v>0</v>
      </c>
      <c r="Y19" s="1134">
        <f>SUMIFS('ACTUALS (M)'!$G21:$DV21,'ACTUALS (M)'!$G$6:$DV$6,'VERSUS (M)'!X$5,'ACTUALS (M)'!$G$7:$DV$7,'VERSUS (M)'!$D$4)</f>
        <v>0</v>
      </c>
      <c r="Z19" s="1206">
        <f t="shared" ref="Z19:Z38" si="7">IFERROR(Y19-X19,0)</f>
        <v>0</v>
      </c>
      <c r="AA19" s="93"/>
      <c r="AB19" s="1195">
        <f>IF(AD$5&lt;'ACTUALS (M)'!$E$5,0,DASHBOARD!AE199*(1+$A19))</f>
        <v>0</v>
      </c>
      <c r="AC19" s="1134">
        <f>SUMIFS('ACTUALS (M)'!$G21:$DV21,'ACTUALS (M)'!$G$6:$DV$6,'VERSUS (M)'!AB$5,'ACTUALS (M)'!$G$7:$DV$7,'VERSUS (M)'!$D$4)</f>
        <v>0</v>
      </c>
      <c r="AD19" s="1206">
        <f t="shared" ref="AD19:AD38" si="8">IFERROR(AC19-AB19,0)</f>
        <v>0</v>
      </c>
      <c r="AE19" s="93"/>
      <c r="AF19" s="1195">
        <f>IF(AH$5&lt;'ACTUALS (M)'!$E$5,0,DASHBOARD!AI199*(1+$A19))</f>
        <v>0</v>
      </c>
      <c r="AG19" s="1134">
        <f>SUMIFS('ACTUALS (M)'!$G21:$DV21,'ACTUALS (M)'!$G$6:$DV$6,'VERSUS (M)'!AF$5,'ACTUALS (M)'!$G$7:$DV$7,'VERSUS (M)'!$D$4)</f>
        <v>0</v>
      </c>
      <c r="AH19" s="1206">
        <f t="shared" ref="AH19:AH38" si="9">IFERROR(AG19-AF19,0)</f>
        <v>0</v>
      </c>
      <c r="AI19" s="93"/>
      <c r="AJ19" s="1195">
        <f>IF(AL$5&lt;'ACTUALS (M)'!$E$5,0,DASHBOARD!AM199*(1+$A19))</f>
        <v>0</v>
      </c>
      <c r="AK19" s="1134">
        <f>SUMIFS('ACTUALS (M)'!$G21:$DV21,'ACTUALS (M)'!$G$6:$DV$6,'VERSUS (M)'!AJ$5,'ACTUALS (M)'!$G$7:$DV$7,'VERSUS (M)'!$D$4)</f>
        <v>0</v>
      </c>
      <c r="AL19" s="1206">
        <f t="shared" ref="AL19:AL38" si="10">IFERROR(AK19-AJ19,0)</f>
        <v>0</v>
      </c>
      <c r="AM19" s="93"/>
      <c r="AN19" s="1195">
        <f>IF(AP$5&lt;'ACTUALS (M)'!$E$5,0,DASHBOARD!AQ199*(1+$A19))</f>
        <v>0</v>
      </c>
      <c r="AO19" s="1134">
        <f>SUMIFS('ACTUALS (M)'!$G21:$DV21,'ACTUALS (M)'!$G$6:$DV$6,'VERSUS (M)'!AN$5,'ACTUALS (M)'!$G$7:$DV$7,'VERSUS (M)'!$D$4)</f>
        <v>0</v>
      </c>
      <c r="AP19" s="1206">
        <f t="shared" ref="AP19:AP38" si="11">IFERROR(AO19-AN19,0)</f>
        <v>0</v>
      </c>
      <c r="AQ19" s="93"/>
      <c r="AR19" s="1195">
        <f>IF(AT$5&lt;'ACTUALS (M)'!$E$5,0,DASHBOARD!AU199*(1+$A19))</f>
        <v>0</v>
      </c>
      <c r="AS19" s="1134">
        <f>SUMIFS('ACTUALS (M)'!$G21:$DV21,'ACTUALS (M)'!$G$6:$DV$6,'VERSUS (M)'!AR$5,'ACTUALS (M)'!$G$7:$DV$7,'VERSUS (M)'!$D$4)</f>
        <v>0</v>
      </c>
      <c r="AT19" s="1206">
        <f t="shared" ref="AT19:AT38" si="12">IFERROR(AS19-AR19,0)</f>
        <v>0</v>
      </c>
      <c r="AU19" s="93"/>
      <c r="AV19" s="1195">
        <f>IF(AX$5&lt;'ACTUALS (M)'!$E$5,0,DASHBOARD!AY199*(1+$A19))</f>
        <v>0</v>
      </c>
      <c r="AW19" s="1134">
        <f>SUMIFS('ACTUALS (M)'!$G21:$DV21,'ACTUALS (M)'!$G$6:$DV$6,'VERSUS (M)'!AV$5,'ACTUALS (M)'!$G$7:$DV$7,'VERSUS (M)'!$D$4)</f>
        <v>0</v>
      </c>
      <c r="AX19" s="1206">
        <f t="shared" ref="AX19:AX38" si="13">IFERROR(AW19-AV19,0)</f>
        <v>0</v>
      </c>
      <c r="AY19" s="93"/>
      <c r="AZ19" s="1195">
        <f>IF(BB$5&lt;'ACTUALS (M)'!$E$5,0,DASHBOARD!BC199*(1+$A19))</f>
        <v>0</v>
      </c>
      <c r="BA19" s="1134">
        <f>SUMIFS('ACTUALS (M)'!$G21:$DV21,'ACTUALS (M)'!$G$6:$DV$6,'VERSUS (M)'!AZ$5,'ACTUALS (M)'!$G$7:$DV$7,'VERSUS (M)'!$D$4)</f>
        <v>0</v>
      </c>
      <c r="BB19" s="1206">
        <f t="shared" ref="BB19:BB38" si="14">IFERROR(BA19-AZ19,0)</f>
        <v>0</v>
      </c>
    </row>
    <row r="20" spans="1:56" s="1000" customFormat="1" ht="15" customHeight="1" x14ac:dyDescent="0.3">
      <c r="A20" s="1614">
        <f>IFERROR(SUMIF(FORECASTS!$E$4:$AI$4,'VERSUS (M)'!$D$4,FORECASTS!E32:AI32)/DASHBOARD!BH200-1,0)</f>
        <v>0</v>
      </c>
      <c r="B20" s="334" t="str">
        <f>DASHBOARD!W120</f>
        <v>Gas Utilities</v>
      </c>
      <c r="C20" s="93"/>
      <c r="D20" s="1619">
        <f t="shared" si="1"/>
        <v>0</v>
      </c>
      <c r="E20" s="1121">
        <f t="shared" si="2"/>
        <v>0</v>
      </c>
      <c r="F20" s="1627">
        <f t="shared" ref="F20:F36" si="15">IFERROR(E20-D20,0)</f>
        <v>0</v>
      </c>
      <c r="G20" s="93"/>
      <c r="H20" s="1205">
        <f>IF(J$5&lt;'ACTUALS (M)'!$E$5,0,DASHBOARD!K200*(1+$A20))</f>
        <v>0</v>
      </c>
      <c r="I20" s="1134">
        <f>SUMIFS('ACTUALS (M)'!$G22:$DV22,'ACTUALS (M)'!$G$6:$DV$6,'VERSUS (M)'!H$5,'ACTUALS (M)'!$G$7:$DV$7,'VERSUS (M)'!$D$4)</f>
        <v>0</v>
      </c>
      <c r="J20" s="1206">
        <f t="shared" si="3"/>
        <v>0</v>
      </c>
      <c r="K20" s="93"/>
      <c r="L20" s="1195">
        <f>IF(N$5&lt;'ACTUALS (M)'!$E$5,0,DASHBOARD!O200*(1+$A20))</f>
        <v>0</v>
      </c>
      <c r="M20" s="1134">
        <f>SUMIFS('ACTUALS (M)'!$G22:$DV22,'ACTUALS (M)'!$G$6:$DV$6,'VERSUS (M)'!L$5,'ACTUALS (M)'!$G$7:$DV$7,'VERSUS (M)'!$D$4)</f>
        <v>0</v>
      </c>
      <c r="N20" s="1206">
        <f t="shared" si="4"/>
        <v>0</v>
      </c>
      <c r="O20" s="93"/>
      <c r="P20" s="1195">
        <f>IF(R$5&lt;'ACTUALS (M)'!$E$5,0,DASHBOARD!S200*(1+$A20))</f>
        <v>0</v>
      </c>
      <c r="Q20" s="1134">
        <f>SUMIFS('ACTUALS (M)'!$G22:$DV22,'ACTUALS (M)'!$G$6:$DV$6,'VERSUS (M)'!P$5,'ACTUALS (M)'!$G$7:$DV$7,'VERSUS (M)'!$D$4)</f>
        <v>0</v>
      </c>
      <c r="R20" s="1206">
        <f t="shared" si="5"/>
        <v>0</v>
      </c>
      <c r="S20" s="93"/>
      <c r="T20" s="1195">
        <f>IF(V$5&lt;'ACTUALS (M)'!$E$5,0,DASHBOARD!W200*(1+$A20))</f>
        <v>0</v>
      </c>
      <c r="U20" s="1134">
        <f>SUMIFS('ACTUALS (M)'!$G22:$DV22,'ACTUALS (M)'!$G$6:$DV$6,'VERSUS (M)'!T$5,'ACTUALS (M)'!$G$7:$DV$7,'VERSUS (M)'!$D$4)</f>
        <v>0</v>
      </c>
      <c r="V20" s="1206">
        <f t="shared" si="6"/>
        <v>0</v>
      </c>
      <c r="W20" s="93"/>
      <c r="X20" s="1195">
        <f>IF(Z$5&lt;'ACTUALS (M)'!$E$5,0,DASHBOARD!AA200*(1+$A20))</f>
        <v>0</v>
      </c>
      <c r="Y20" s="1134">
        <f>SUMIFS('ACTUALS (M)'!$G22:$DV22,'ACTUALS (M)'!$G$6:$DV$6,'VERSUS (M)'!X$5,'ACTUALS (M)'!$G$7:$DV$7,'VERSUS (M)'!$D$4)</f>
        <v>0</v>
      </c>
      <c r="Z20" s="1206">
        <f t="shared" si="7"/>
        <v>0</v>
      </c>
      <c r="AA20" s="93"/>
      <c r="AB20" s="1195">
        <f>IF(AD$5&lt;'ACTUALS (M)'!$E$5,0,DASHBOARD!AE200*(1+$A20))</f>
        <v>0</v>
      </c>
      <c r="AC20" s="1134">
        <f>SUMIFS('ACTUALS (M)'!$G22:$DV22,'ACTUALS (M)'!$G$6:$DV$6,'VERSUS (M)'!AB$5,'ACTUALS (M)'!$G$7:$DV$7,'VERSUS (M)'!$D$4)</f>
        <v>0</v>
      </c>
      <c r="AD20" s="1206">
        <f t="shared" si="8"/>
        <v>0</v>
      </c>
      <c r="AE20" s="93"/>
      <c r="AF20" s="1195">
        <f>IF(AH$5&lt;'ACTUALS (M)'!$E$5,0,DASHBOARD!AI200*(1+$A20))</f>
        <v>0</v>
      </c>
      <c r="AG20" s="1134">
        <f>SUMIFS('ACTUALS (M)'!$G22:$DV22,'ACTUALS (M)'!$G$6:$DV$6,'VERSUS (M)'!AF$5,'ACTUALS (M)'!$G$7:$DV$7,'VERSUS (M)'!$D$4)</f>
        <v>0</v>
      </c>
      <c r="AH20" s="1206">
        <f t="shared" si="9"/>
        <v>0</v>
      </c>
      <c r="AI20" s="93"/>
      <c r="AJ20" s="1195">
        <f>IF(AL$5&lt;'ACTUALS (M)'!$E$5,0,DASHBOARD!AM200*(1+$A20))</f>
        <v>0</v>
      </c>
      <c r="AK20" s="1134">
        <f>SUMIFS('ACTUALS (M)'!$G22:$DV22,'ACTUALS (M)'!$G$6:$DV$6,'VERSUS (M)'!AJ$5,'ACTUALS (M)'!$G$7:$DV$7,'VERSUS (M)'!$D$4)</f>
        <v>0</v>
      </c>
      <c r="AL20" s="1206">
        <f t="shared" si="10"/>
        <v>0</v>
      </c>
      <c r="AM20" s="93"/>
      <c r="AN20" s="1195">
        <f>IF(AP$5&lt;'ACTUALS (M)'!$E$5,0,DASHBOARD!AQ200*(1+$A20))</f>
        <v>0</v>
      </c>
      <c r="AO20" s="1134">
        <f>SUMIFS('ACTUALS (M)'!$G22:$DV22,'ACTUALS (M)'!$G$6:$DV$6,'VERSUS (M)'!AN$5,'ACTUALS (M)'!$G$7:$DV$7,'VERSUS (M)'!$D$4)</f>
        <v>0</v>
      </c>
      <c r="AP20" s="1206">
        <f t="shared" si="11"/>
        <v>0</v>
      </c>
      <c r="AQ20" s="93"/>
      <c r="AR20" s="1195">
        <f>IF(AT$5&lt;'ACTUALS (M)'!$E$5,0,DASHBOARD!AU200*(1+$A20))</f>
        <v>0</v>
      </c>
      <c r="AS20" s="1134">
        <f>SUMIFS('ACTUALS (M)'!$G22:$DV22,'ACTUALS (M)'!$G$6:$DV$6,'VERSUS (M)'!AR$5,'ACTUALS (M)'!$G$7:$DV$7,'VERSUS (M)'!$D$4)</f>
        <v>0</v>
      </c>
      <c r="AT20" s="1206">
        <f t="shared" si="12"/>
        <v>0</v>
      </c>
      <c r="AU20" s="93"/>
      <c r="AV20" s="1195">
        <f>IF(AX$5&lt;'ACTUALS (M)'!$E$5,0,DASHBOARD!AY200*(1+$A20))</f>
        <v>0</v>
      </c>
      <c r="AW20" s="1134">
        <f>SUMIFS('ACTUALS (M)'!$G22:$DV22,'ACTUALS (M)'!$G$6:$DV$6,'VERSUS (M)'!AV$5,'ACTUALS (M)'!$G$7:$DV$7,'VERSUS (M)'!$D$4)</f>
        <v>0</v>
      </c>
      <c r="AX20" s="1206">
        <f t="shared" si="13"/>
        <v>0</v>
      </c>
      <c r="AY20" s="93"/>
      <c r="AZ20" s="1195">
        <f>IF(BB$5&lt;'ACTUALS (M)'!$E$5,0,DASHBOARD!BC200*(1+$A20))</f>
        <v>0</v>
      </c>
      <c r="BA20" s="1134">
        <f>SUMIFS('ACTUALS (M)'!$G22:$DV22,'ACTUALS (M)'!$G$6:$DV$6,'VERSUS (M)'!AZ$5,'ACTUALS (M)'!$G$7:$DV$7,'VERSUS (M)'!$D$4)</f>
        <v>0</v>
      </c>
      <c r="BB20" s="1206">
        <f t="shared" si="14"/>
        <v>0</v>
      </c>
    </row>
    <row r="21" spans="1:56" s="1000" customFormat="1" ht="15" customHeight="1" x14ac:dyDescent="0.3">
      <c r="A21" s="1614">
        <f>IFERROR(SUMIF(FORECASTS!$E$4:$AI$4,'VERSUS (M)'!$D$4,FORECASTS!E34:AI34)/DASHBOARD!BH201-1,0)</f>
        <v>0</v>
      </c>
      <c r="B21" s="334" t="str">
        <f>DASHBOARD!W121</f>
        <v>Water Utilities</v>
      </c>
      <c r="C21" s="93"/>
      <c r="D21" s="1619">
        <f t="shared" si="1"/>
        <v>0</v>
      </c>
      <c r="E21" s="1121">
        <f t="shared" si="2"/>
        <v>0</v>
      </c>
      <c r="F21" s="1627">
        <f t="shared" si="15"/>
        <v>0</v>
      </c>
      <c r="G21" s="93"/>
      <c r="H21" s="1205">
        <f>IF(J$5&lt;'ACTUALS (M)'!$E$5,0,DASHBOARD!K201*(1+$A21))</f>
        <v>0</v>
      </c>
      <c r="I21" s="1134">
        <f>SUMIFS('ACTUALS (M)'!$G23:$DV23,'ACTUALS (M)'!$G$6:$DV$6,'VERSUS (M)'!H$5,'ACTUALS (M)'!$G$7:$DV$7,'VERSUS (M)'!$D$4)</f>
        <v>0</v>
      </c>
      <c r="J21" s="1206">
        <f t="shared" si="3"/>
        <v>0</v>
      </c>
      <c r="K21" s="93"/>
      <c r="L21" s="1195">
        <f>IF(N$5&lt;'ACTUALS (M)'!$E$5,0,DASHBOARD!O201*(1+$A21))</f>
        <v>0</v>
      </c>
      <c r="M21" s="1134">
        <f>SUMIFS('ACTUALS (M)'!$G23:$DV23,'ACTUALS (M)'!$G$6:$DV$6,'VERSUS (M)'!L$5,'ACTUALS (M)'!$G$7:$DV$7,'VERSUS (M)'!$D$4)</f>
        <v>0</v>
      </c>
      <c r="N21" s="1206">
        <f t="shared" si="4"/>
        <v>0</v>
      </c>
      <c r="O21" s="93"/>
      <c r="P21" s="1195">
        <f>IF(R$5&lt;'ACTUALS (M)'!$E$5,0,DASHBOARD!S201*(1+$A21))</f>
        <v>0</v>
      </c>
      <c r="Q21" s="1134">
        <f>SUMIFS('ACTUALS (M)'!$G23:$DV23,'ACTUALS (M)'!$G$6:$DV$6,'VERSUS (M)'!P$5,'ACTUALS (M)'!$G$7:$DV$7,'VERSUS (M)'!$D$4)</f>
        <v>0</v>
      </c>
      <c r="R21" s="1206">
        <f t="shared" si="5"/>
        <v>0</v>
      </c>
      <c r="S21" s="93"/>
      <c r="T21" s="1195">
        <f>IF(V$5&lt;'ACTUALS (M)'!$E$5,0,DASHBOARD!W201*(1+$A21))</f>
        <v>0</v>
      </c>
      <c r="U21" s="1134">
        <f>SUMIFS('ACTUALS (M)'!$G23:$DV23,'ACTUALS (M)'!$G$6:$DV$6,'VERSUS (M)'!T$5,'ACTUALS (M)'!$G$7:$DV$7,'VERSUS (M)'!$D$4)</f>
        <v>0</v>
      </c>
      <c r="V21" s="1206">
        <f t="shared" si="6"/>
        <v>0</v>
      </c>
      <c r="W21" s="93"/>
      <c r="X21" s="1195">
        <f>IF(Z$5&lt;'ACTUALS (M)'!$E$5,0,DASHBOARD!AA201*(1+$A21))</f>
        <v>0</v>
      </c>
      <c r="Y21" s="1134">
        <f>SUMIFS('ACTUALS (M)'!$G23:$DV23,'ACTUALS (M)'!$G$6:$DV$6,'VERSUS (M)'!X$5,'ACTUALS (M)'!$G$7:$DV$7,'VERSUS (M)'!$D$4)</f>
        <v>0</v>
      </c>
      <c r="Z21" s="1206">
        <f t="shared" si="7"/>
        <v>0</v>
      </c>
      <c r="AA21" s="93"/>
      <c r="AB21" s="1195">
        <f>IF(AD$5&lt;'ACTUALS (M)'!$E$5,0,DASHBOARD!AE201*(1+$A21))</f>
        <v>0</v>
      </c>
      <c r="AC21" s="1134">
        <f>SUMIFS('ACTUALS (M)'!$G23:$DV23,'ACTUALS (M)'!$G$6:$DV$6,'VERSUS (M)'!AB$5,'ACTUALS (M)'!$G$7:$DV$7,'VERSUS (M)'!$D$4)</f>
        <v>0</v>
      </c>
      <c r="AD21" s="1206">
        <f t="shared" si="8"/>
        <v>0</v>
      </c>
      <c r="AE21" s="93"/>
      <c r="AF21" s="1195">
        <f>IF(AH$5&lt;'ACTUALS (M)'!$E$5,0,DASHBOARD!AI201*(1+$A21))</f>
        <v>0</v>
      </c>
      <c r="AG21" s="1134">
        <f>SUMIFS('ACTUALS (M)'!$G23:$DV23,'ACTUALS (M)'!$G$6:$DV$6,'VERSUS (M)'!AF$5,'ACTUALS (M)'!$G$7:$DV$7,'VERSUS (M)'!$D$4)</f>
        <v>0</v>
      </c>
      <c r="AH21" s="1206">
        <f t="shared" si="9"/>
        <v>0</v>
      </c>
      <c r="AI21" s="93"/>
      <c r="AJ21" s="1195">
        <f>IF(AL$5&lt;'ACTUALS (M)'!$E$5,0,DASHBOARD!AM201*(1+$A21))</f>
        <v>0</v>
      </c>
      <c r="AK21" s="1134">
        <f>SUMIFS('ACTUALS (M)'!$G23:$DV23,'ACTUALS (M)'!$G$6:$DV$6,'VERSUS (M)'!AJ$5,'ACTUALS (M)'!$G$7:$DV$7,'VERSUS (M)'!$D$4)</f>
        <v>0</v>
      </c>
      <c r="AL21" s="1206">
        <f t="shared" si="10"/>
        <v>0</v>
      </c>
      <c r="AM21" s="93"/>
      <c r="AN21" s="1195">
        <f>IF(AP$5&lt;'ACTUALS (M)'!$E$5,0,DASHBOARD!AQ201*(1+$A21))</f>
        <v>0</v>
      </c>
      <c r="AO21" s="1134">
        <f>SUMIFS('ACTUALS (M)'!$G23:$DV23,'ACTUALS (M)'!$G$6:$DV$6,'VERSUS (M)'!AN$5,'ACTUALS (M)'!$G$7:$DV$7,'VERSUS (M)'!$D$4)</f>
        <v>0</v>
      </c>
      <c r="AP21" s="1206">
        <f t="shared" si="11"/>
        <v>0</v>
      </c>
      <c r="AQ21" s="93"/>
      <c r="AR21" s="1195">
        <f>IF(AT$5&lt;'ACTUALS (M)'!$E$5,0,DASHBOARD!AU201*(1+$A21))</f>
        <v>0</v>
      </c>
      <c r="AS21" s="1134">
        <f>SUMIFS('ACTUALS (M)'!$G23:$DV23,'ACTUALS (M)'!$G$6:$DV$6,'VERSUS (M)'!AR$5,'ACTUALS (M)'!$G$7:$DV$7,'VERSUS (M)'!$D$4)</f>
        <v>0</v>
      </c>
      <c r="AT21" s="1206">
        <f t="shared" si="12"/>
        <v>0</v>
      </c>
      <c r="AU21" s="93"/>
      <c r="AV21" s="1195">
        <f>IF(AX$5&lt;'ACTUALS (M)'!$E$5,0,DASHBOARD!AY201*(1+$A21))</f>
        <v>0</v>
      </c>
      <c r="AW21" s="1134">
        <f>SUMIFS('ACTUALS (M)'!$G23:$DV23,'ACTUALS (M)'!$G$6:$DV$6,'VERSUS (M)'!AV$5,'ACTUALS (M)'!$G$7:$DV$7,'VERSUS (M)'!$D$4)</f>
        <v>0</v>
      </c>
      <c r="AX21" s="1206">
        <f t="shared" si="13"/>
        <v>0</v>
      </c>
      <c r="AY21" s="93"/>
      <c r="AZ21" s="1195">
        <f>IF(BB$5&lt;'ACTUALS (M)'!$E$5,0,DASHBOARD!BC201*(1+$A21))</f>
        <v>0</v>
      </c>
      <c r="BA21" s="1134">
        <f>SUMIFS('ACTUALS (M)'!$G23:$DV23,'ACTUALS (M)'!$G$6:$DV$6,'VERSUS (M)'!AZ$5,'ACTUALS (M)'!$G$7:$DV$7,'VERSUS (M)'!$D$4)</f>
        <v>0</v>
      </c>
      <c r="BB21" s="1206">
        <f t="shared" si="14"/>
        <v>0</v>
      </c>
    </row>
    <row r="22" spans="1:56" s="1000" customFormat="1" ht="15" customHeight="1" x14ac:dyDescent="0.3">
      <c r="A22" s="1614">
        <f>IFERROR(SUMIF(FORECASTS!$E$4:$AI$4,'VERSUS (M)'!$D$4,FORECASTS!E36:AI36)/DASHBOARD!BH202-1,0)</f>
        <v>0</v>
      </c>
      <c r="B22" s="334" t="str">
        <f>DASHBOARD!W122</f>
        <v>Phone</v>
      </c>
      <c r="C22" s="93"/>
      <c r="D22" s="1619">
        <f t="shared" si="1"/>
        <v>0</v>
      </c>
      <c r="E22" s="1121">
        <f t="shared" si="2"/>
        <v>0</v>
      </c>
      <c r="F22" s="1627">
        <f t="shared" si="15"/>
        <v>0</v>
      </c>
      <c r="G22" s="93"/>
      <c r="H22" s="1205">
        <f>IF(J$5&lt;'ACTUALS (M)'!$E$5,0,DASHBOARD!K202*(1+$A22))</f>
        <v>0</v>
      </c>
      <c r="I22" s="1134">
        <f>SUMIFS('ACTUALS (M)'!$G24:$DV24,'ACTUALS (M)'!$G$6:$DV$6,'VERSUS (M)'!H$5,'ACTUALS (M)'!$G$7:$DV$7,'VERSUS (M)'!$D$4)</f>
        <v>0</v>
      </c>
      <c r="J22" s="1206">
        <f t="shared" si="3"/>
        <v>0</v>
      </c>
      <c r="K22" s="93"/>
      <c r="L22" s="1195">
        <f>IF(N$5&lt;'ACTUALS (M)'!$E$5,0,DASHBOARD!O202*(1+$A22))</f>
        <v>0</v>
      </c>
      <c r="M22" s="1134">
        <f>SUMIFS('ACTUALS (M)'!$G24:$DV24,'ACTUALS (M)'!$G$6:$DV$6,'VERSUS (M)'!L$5,'ACTUALS (M)'!$G$7:$DV$7,'VERSUS (M)'!$D$4)</f>
        <v>0</v>
      </c>
      <c r="N22" s="1206">
        <f t="shared" si="4"/>
        <v>0</v>
      </c>
      <c r="O22" s="93"/>
      <c r="P22" s="1195">
        <f>IF(R$5&lt;'ACTUALS (M)'!$E$5,0,DASHBOARD!S202*(1+$A22))</f>
        <v>0</v>
      </c>
      <c r="Q22" s="1134">
        <f>SUMIFS('ACTUALS (M)'!$G24:$DV24,'ACTUALS (M)'!$G$6:$DV$6,'VERSUS (M)'!P$5,'ACTUALS (M)'!$G$7:$DV$7,'VERSUS (M)'!$D$4)</f>
        <v>0</v>
      </c>
      <c r="R22" s="1206">
        <f t="shared" si="5"/>
        <v>0</v>
      </c>
      <c r="S22" s="93"/>
      <c r="T22" s="1195">
        <f>IF(V$5&lt;'ACTUALS (M)'!$E$5,0,DASHBOARD!W202*(1+$A22))</f>
        <v>0</v>
      </c>
      <c r="U22" s="1134">
        <f>SUMIFS('ACTUALS (M)'!$G24:$DV24,'ACTUALS (M)'!$G$6:$DV$6,'VERSUS (M)'!T$5,'ACTUALS (M)'!$G$7:$DV$7,'VERSUS (M)'!$D$4)</f>
        <v>0</v>
      </c>
      <c r="V22" s="1206">
        <f t="shared" si="6"/>
        <v>0</v>
      </c>
      <c r="W22" s="93"/>
      <c r="X22" s="1195">
        <f>IF(Z$5&lt;'ACTUALS (M)'!$E$5,0,DASHBOARD!AA202*(1+$A22))</f>
        <v>0</v>
      </c>
      <c r="Y22" s="1134">
        <f>SUMIFS('ACTUALS (M)'!$G24:$DV24,'ACTUALS (M)'!$G$6:$DV$6,'VERSUS (M)'!X$5,'ACTUALS (M)'!$G$7:$DV$7,'VERSUS (M)'!$D$4)</f>
        <v>0</v>
      </c>
      <c r="Z22" s="1206">
        <f t="shared" si="7"/>
        <v>0</v>
      </c>
      <c r="AA22" s="93"/>
      <c r="AB22" s="1195">
        <f>IF(AD$5&lt;'ACTUALS (M)'!$E$5,0,DASHBOARD!AE202*(1+$A22))</f>
        <v>0</v>
      </c>
      <c r="AC22" s="1134">
        <f>SUMIFS('ACTUALS (M)'!$G24:$DV24,'ACTUALS (M)'!$G$6:$DV$6,'VERSUS (M)'!AB$5,'ACTUALS (M)'!$G$7:$DV$7,'VERSUS (M)'!$D$4)</f>
        <v>0</v>
      </c>
      <c r="AD22" s="1206">
        <f t="shared" si="8"/>
        <v>0</v>
      </c>
      <c r="AE22" s="93"/>
      <c r="AF22" s="1195">
        <f>IF(AH$5&lt;'ACTUALS (M)'!$E$5,0,DASHBOARD!AI202*(1+$A22))</f>
        <v>0</v>
      </c>
      <c r="AG22" s="1134">
        <f>SUMIFS('ACTUALS (M)'!$G24:$DV24,'ACTUALS (M)'!$G$6:$DV$6,'VERSUS (M)'!AF$5,'ACTUALS (M)'!$G$7:$DV$7,'VERSUS (M)'!$D$4)</f>
        <v>0</v>
      </c>
      <c r="AH22" s="1206">
        <f t="shared" si="9"/>
        <v>0</v>
      </c>
      <c r="AI22" s="93"/>
      <c r="AJ22" s="1195">
        <f>IF(AL$5&lt;'ACTUALS (M)'!$E$5,0,DASHBOARD!AM202*(1+$A22))</f>
        <v>0</v>
      </c>
      <c r="AK22" s="1134">
        <f>SUMIFS('ACTUALS (M)'!$G24:$DV24,'ACTUALS (M)'!$G$6:$DV$6,'VERSUS (M)'!AJ$5,'ACTUALS (M)'!$G$7:$DV$7,'VERSUS (M)'!$D$4)</f>
        <v>0</v>
      </c>
      <c r="AL22" s="1206">
        <f t="shared" si="10"/>
        <v>0</v>
      </c>
      <c r="AM22" s="93"/>
      <c r="AN22" s="1195">
        <f>IF(AP$5&lt;'ACTUALS (M)'!$E$5,0,DASHBOARD!AQ202*(1+$A22))</f>
        <v>0</v>
      </c>
      <c r="AO22" s="1134">
        <f>SUMIFS('ACTUALS (M)'!$G24:$DV24,'ACTUALS (M)'!$G$6:$DV$6,'VERSUS (M)'!AN$5,'ACTUALS (M)'!$G$7:$DV$7,'VERSUS (M)'!$D$4)</f>
        <v>0</v>
      </c>
      <c r="AP22" s="1206">
        <f t="shared" si="11"/>
        <v>0</v>
      </c>
      <c r="AQ22" s="93"/>
      <c r="AR22" s="1195">
        <f>IF(AT$5&lt;'ACTUALS (M)'!$E$5,0,DASHBOARD!AU202*(1+$A22))</f>
        <v>0</v>
      </c>
      <c r="AS22" s="1134">
        <f>SUMIFS('ACTUALS (M)'!$G24:$DV24,'ACTUALS (M)'!$G$6:$DV$6,'VERSUS (M)'!AR$5,'ACTUALS (M)'!$G$7:$DV$7,'VERSUS (M)'!$D$4)</f>
        <v>0</v>
      </c>
      <c r="AT22" s="1206">
        <f t="shared" si="12"/>
        <v>0</v>
      </c>
      <c r="AU22" s="93"/>
      <c r="AV22" s="1195">
        <f>IF(AX$5&lt;'ACTUALS (M)'!$E$5,0,DASHBOARD!AY202*(1+$A22))</f>
        <v>0</v>
      </c>
      <c r="AW22" s="1134">
        <f>SUMIFS('ACTUALS (M)'!$G24:$DV24,'ACTUALS (M)'!$G$6:$DV$6,'VERSUS (M)'!AV$5,'ACTUALS (M)'!$G$7:$DV$7,'VERSUS (M)'!$D$4)</f>
        <v>0</v>
      </c>
      <c r="AX22" s="1206">
        <f t="shared" si="13"/>
        <v>0</v>
      </c>
      <c r="AY22" s="93"/>
      <c r="AZ22" s="1195">
        <f>IF(BB$5&lt;'ACTUALS (M)'!$E$5,0,DASHBOARD!BC202*(1+$A22))</f>
        <v>0</v>
      </c>
      <c r="BA22" s="1134">
        <f>SUMIFS('ACTUALS (M)'!$G24:$DV24,'ACTUALS (M)'!$G$6:$DV$6,'VERSUS (M)'!AZ$5,'ACTUALS (M)'!$G$7:$DV$7,'VERSUS (M)'!$D$4)</f>
        <v>0</v>
      </c>
      <c r="BB22" s="1206">
        <f t="shared" si="14"/>
        <v>0</v>
      </c>
    </row>
    <row r="23" spans="1:56" s="1000" customFormat="1" ht="15" customHeight="1" x14ac:dyDescent="0.3">
      <c r="A23" s="1614">
        <f>IFERROR(SUMIF(FORECASTS!$E$4:$AI$4,'VERSUS (M)'!$D$4,FORECASTS!E38:AI38)/DASHBOARD!BH203-1,0)</f>
        <v>0</v>
      </c>
      <c r="B23" s="334" t="str">
        <f>DASHBOARD!W123</f>
        <v>Internet</v>
      </c>
      <c r="C23" s="93"/>
      <c r="D23" s="1619">
        <f t="shared" si="1"/>
        <v>0</v>
      </c>
      <c r="E23" s="1121">
        <f t="shared" si="2"/>
        <v>0</v>
      </c>
      <c r="F23" s="1627">
        <f t="shared" si="15"/>
        <v>0</v>
      </c>
      <c r="G23" s="93"/>
      <c r="H23" s="1205">
        <f>IF(J$5&lt;'ACTUALS (M)'!$E$5,0,DASHBOARD!K203*(1+$A23))</f>
        <v>0</v>
      </c>
      <c r="I23" s="1134">
        <f>SUMIFS('ACTUALS (M)'!$G25:$DV25,'ACTUALS (M)'!$G$6:$DV$6,'VERSUS (M)'!H$5,'ACTUALS (M)'!$G$7:$DV$7,'VERSUS (M)'!$D$4)</f>
        <v>0</v>
      </c>
      <c r="J23" s="1206">
        <f t="shared" si="3"/>
        <v>0</v>
      </c>
      <c r="K23" s="93"/>
      <c r="L23" s="1195">
        <f>IF(N$5&lt;'ACTUALS (M)'!$E$5,0,DASHBOARD!O203*(1+$A23))</f>
        <v>0</v>
      </c>
      <c r="M23" s="1134">
        <f>SUMIFS('ACTUALS (M)'!$G25:$DV25,'ACTUALS (M)'!$G$6:$DV$6,'VERSUS (M)'!L$5,'ACTUALS (M)'!$G$7:$DV$7,'VERSUS (M)'!$D$4)</f>
        <v>0</v>
      </c>
      <c r="N23" s="1206">
        <f t="shared" si="4"/>
        <v>0</v>
      </c>
      <c r="O23" s="93"/>
      <c r="P23" s="1195">
        <f>IF(R$5&lt;'ACTUALS (M)'!$E$5,0,DASHBOARD!S203*(1+$A23))</f>
        <v>0</v>
      </c>
      <c r="Q23" s="1134">
        <f>SUMIFS('ACTUALS (M)'!$G25:$DV25,'ACTUALS (M)'!$G$6:$DV$6,'VERSUS (M)'!P$5,'ACTUALS (M)'!$G$7:$DV$7,'VERSUS (M)'!$D$4)</f>
        <v>0</v>
      </c>
      <c r="R23" s="1206">
        <f t="shared" si="5"/>
        <v>0</v>
      </c>
      <c r="S23" s="93"/>
      <c r="T23" s="1195">
        <f>IF(V$5&lt;'ACTUALS (M)'!$E$5,0,DASHBOARD!W203*(1+$A23))</f>
        <v>0</v>
      </c>
      <c r="U23" s="1134">
        <f>SUMIFS('ACTUALS (M)'!$G25:$DV25,'ACTUALS (M)'!$G$6:$DV$6,'VERSUS (M)'!T$5,'ACTUALS (M)'!$G$7:$DV$7,'VERSUS (M)'!$D$4)</f>
        <v>0</v>
      </c>
      <c r="V23" s="1206">
        <f t="shared" si="6"/>
        <v>0</v>
      </c>
      <c r="W23" s="93"/>
      <c r="X23" s="1195">
        <f>IF(Z$5&lt;'ACTUALS (M)'!$E$5,0,DASHBOARD!AA203*(1+$A23))</f>
        <v>0</v>
      </c>
      <c r="Y23" s="1134">
        <f>SUMIFS('ACTUALS (M)'!$G25:$DV25,'ACTUALS (M)'!$G$6:$DV$6,'VERSUS (M)'!X$5,'ACTUALS (M)'!$G$7:$DV$7,'VERSUS (M)'!$D$4)</f>
        <v>0</v>
      </c>
      <c r="Z23" s="1206">
        <f t="shared" si="7"/>
        <v>0</v>
      </c>
      <c r="AA23" s="93"/>
      <c r="AB23" s="1195">
        <f>IF(AD$5&lt;'ACTUALS (M)'!$E$5,0,DASHBOARD!AE203*(1+$A23))</f>
        <v>0</v>
      </c>
      <c r="AC23" s="1134">
        <f>SUMIFS('ACTUALS (M)'!$G25:$DV25,'ACTUALS (M)'!$G$6:$DV$6,'VERSUS (M)'!AB$5,'ACTUALS (M)'!$G$7:$DV$7,'VERSUS (M)'!$D$4)</f>
        <v>0</v>
      </c>
      <c r="AD23" s="1206">
        <f t="shared" si="8"/>
        <v>0</v>
      </c>
      <c r="AE23" s="93"/>
      <c r="AF23" s="1195">
        <f>IF(AH$5&lt;'ACTUALS (M)'!$E$5,0,DASHBOARD!AI203*(1+$A23))</f>
        <v>0</v>
      </c>
      <c r="AG23" s="1134">
        <f>SUMIFS('ACTUALS (M)'!$G25:$DV25,'ACTUALS (M)'!$G$6:$DV$6,'VERSUS (M)'!AF$5,'ACTUALS (M)'!$G$7:$DV$7,'VERSUS (M)'!$D$4)</f>
        <v>0</v>
      </c>
      <c r="AH23" s="1206">
        <f t="shared" si="9"/>
        <v>0</v>
      </c>
      <c r="AI23" s="93"/>
      <c r="AJ23" s="1195">
        <f>IF(AL$5&lt;'ACTUALS (M)'!$E$5,0,DASHBOARD!AM203*(1+$A23))</f>
        <v>0</v>
      </c>
      <c r="AK23" s="1134">
        <f>SUMIFS('ACTUALS (M)'!$G25:$DV25,'ACTUALS (M)'!$G$6:$DV$6,'VERSUS (M)'!AJ$5,'ACTUALS (M)'!$G$7:$DV$7,'VERSUS (M)'!$D$4)</f>
        <v>0</v>
      </c>
      <c r="AL23" s="1206">
        <f t="shared" si="10"/>
        <v>0</v>
      </c>
      <c r="AM23" s="93"/>
      <c r="AN23" s="1195">
        <f>IF(AP$5&lt;'ACTUALS (M)'!$E$5,0,DASHBOARD!AQ203*(1+$A23))</f>
        <v>0</v>
      </c>
      <c r="AO23" s="1134">
        <f>SUMIFS('ACTUALS (M)'!$G25:$DV25,'ACTUALS (M)'!$G$6:$DV$6,'VERSUS (M)'!AN$5,'ACTUALS (M)'!$G$7:$DV$7,'VERSUS (M)'!$D$4)</f>
        <v>0</v>
      </c>
      <c r="AP23" s="1206">
        <f t="shared" si="11"/>
        <v>0</v>
      </c>
      <c r="AQ23" s="93"/>
      <c r="AR23" s="1195">
        <f>IF(AT$5&lt;'ACTUALS (M)'!$E$5,0,DASHBOARD!AU203*(1+$A23))</f>
        <v>0</v>
      </c>
      <c r="AS23" s="1134">
        <f>SUMIFS('ACTUALS (M)'!$G25:$DV25,'ACTUALS (M)'!$G$6:$DV$6,'VERSUS (M)'!AR$5,'ACTUALS (M)'!$G$7:$DV$7,'VERSUS (M)'!$D$4)</f>
        <v>0</v>
      </c>
      <c r="AT23" s="1206">
        <f t="shared" si="12"/>
        <v>0</v>
      </c>
      <c r="AU23" s="93"/>
      <c r="AV23" s="1195">
        <f>IF(AX$5&lt;'ACTUALS (M)'!$E$5,0,DASHBOARD!AY203*(1+$A23))</f>
        <v>0</v>
      </c>
      <c r="AW23" s="1134">
        <f>SUMIFS('ACTUALS (M)'!$G25:$DV25,'ACTUALS (M)'!$G$6:$DV$6,'VERSUS (M)'!AV$5,'ACTUALS (M)'!$G$7:$DV$7,'VERSUS (M)'!$D$4)</f>
        <v>0</v>
      </c>
      <c r="AX23" s="1206">
        <f t="shared" si="13"/>
        <v>0</v>
      </c>
      <c r="AY23" s="93"/>
      <c r="AZ23" s="1195">
        <f>IF(BB$5&lt;'ACTUALS (M)'!$E$5,0,DASHBOARD!BC203*(1+$A23))</f>
        <v>0</v>
      </c>
      <c r="BA23" s="1134">
        <f>SUMIFS('ACTUALS (M)'!$G25:$DV25,'ACTUALS (M)'!$G$6:$DV$6,'VERSUS (M)'!AZ$5,'ACTUALS (M)'!$G$7:$DV$7,'VERSUS (M)'!$D$4)</f>
        <v>0</v>
      </c>
      <c r="BB23" s="1206">
        <f t="shared" si="14"/>
        <v>0</v>
      </c>
    </row>
    <row r="24" spans="1:56" s="1000" customFormat="1" ht="15" customHeight="1" x14ac:dyDescent="0.3">
      <c r="A24" s="1614">
        <f>IFERROR(SUMIF(FORECASTS!$E$4:$AI$4,'VERSUS (M)'!$D$4,FORECASTS!E40:AI40)/DASHBOARD!BH204-1,0)</f>
        <v>0</v>
      </c>
      <c r="B24" s="334" t="str">
        <f>DASHBOARD!W124</f>
        <v>Property Insurance + Tax</v>
      </c>
      <c r="C24" s="93"/>
      <c r="D24" s="1619">
        <f t="shared" si="1"/>
        <v>0</v>
      </c>
      <c r="E24" s="1121">
        <f t="shared" si="2"/>
        <v>0</v>
      </c>
      <c r="F24" s="1627">
        <f t="shared" si="15"/>
        <v>0</v>
      </c>
      <c r="G24" s="93"/>
      <c r="H24" s="1205">
        <f>IF(J$5&lt;'ACTUALS (M)'!$E$5,0,DASHBOARD!K204*(1+$A24))</f>
        <v>0</v>
      </c>
      <c r="I24" s="1134">
        <f>SUMIFS('ACTUALS (M)'!$G26:$DV26,'ACTUALS (M)'!$G$6:$DV$6,'VERSUS (M)'!H$5,'ACTUALS (M)'!$G$7:$DV$7,'VERSUS (M)'!$D$4)</f>
        <v>0</v>
      </c>
      <c r="J24" s="1206">
        <f t="shared" si="3"/>
        <v>0</v>
      </c>
      <c r="K24" s="93"/>
      <c r="L24" s="1195">
        <f>IF(N$5&lt;'ACTUALS (M)'!$E$5,0,DASHBOARD!O204*(1+$A24))</f>
        <v>0</v>
      </c>
      <c r="M24" s="1134">
        <f>SUMIFS('ACTUALS (M)'!$G26:$DV26,'ACTUALS (M)'!$G$6:$DV$6,'VERSUS (M)'!L$5,'ACTUALS (M)'!$G$7:$DV$7,'VERSUS (M)'!$D$4)</f>
        <v>0</v>
      </c>
      <c r="N24" s="1206">
        <f t="shared" si="4"/>
        <v>0</v>
      </c>
      <c r="O24" s="93"/>
      <c r="P24" s="1195">
        <f>IF(R$5&lt;'ACTUALS (M)'!$E$5,0,DASHBOARD!S204*(1+$A24))</f>
        <v>0</v>
      </c>
      <c r="Q24" s="1134">
        <f>SUMIFS('ACTUALS (M)'!$G26:$DV26,'ACTUALS (M)'!$G$6:$DV$6,'VERSUS (M)'!P$5,'ACTUALS (M)'!$G$7:$DV$7,'VERSUS (M)'!$D$4)</f>
        <v>0</v>
      </c>
      <c r="R24" s="1206">
        <f t="shared" si="5"/>
        <v>0</v>
      </c>
      <c r="S24" s="93"/>
      <c r="T24" s="1195">
        <f>IF(V$5&lt;'ACTUALS (M)'!$E$5,0,DASHBOARD!W204*(1+$A24))</f>
        <v>0</v>
      </c>
      <c r="U24" s="1134">
        <f>SUMIFS('ACTUALS (M)'!$G26:$DV26,'ACTUALS (M)'!$G$6:$DV$6,'VERSUS (M)'!T$5,'ACTUALS (M)'!$G$7:$DV$7,'VERSUS (M)'!$D$4)</f>
        <v>0</v>
      </c>
      <c r="V24" s="1206">
        <f t="shared" si="6"/>
        <v>0</v>
      </c>
      <c r="W24" s="93"/>
      <c r="X24" s="1195">
        <f>IF(Z$5&lt;'ACTUALS (M)'!$E$5,0,DASHBOARD!AA204*(1+$A24))</f>
        <v>0</v>
      </c>
      <c r="Y24" s="1134">
        <f>SUMIFS('ACTUALS (M)'!$G26:$DV26,'ACTUALS (M)'!$G$6:$DV$6,'VERSUS (M)'!X$5,'ACTUALS (M)'!$G$7:$DV$7,'VERSUS (M)'!$D$4)</f>
        <v>0</v>
      </c>
      <c r="Z24" s="1206">
        <f t="shared" si="7"/>
        <v>0</v>
      </c>
      <c r="AA24" s="93"/>
      <c r="AB24" s="1195">
        <f>IF(AD$5&lt;'ACTUALS (M)'!$E$5,0,DASHBOARD!AE204*(1+$A24))</f>
        <v>0</v>
      </c>
      <c r="AC24" s="1134">
        <f>SUMIFS('ACTUALS (M)'!$G26:$DV26,'ACTUALS (M)'!$G$6:$DV$6,'VERSUS (M)'!AB$5,'ACTUALS (M)'!$G$7:$DV$7,'VERSUS (M)'!$D$4)</f>
        <v>0</v>
      </c>
      <c r="AD24" s="1206">
        <f t="shared" si="8"/>
        <v>0</v>
      </c>
      <c r="AE24" s="93"/>
      <c r="AF24" s="1195">
        <f>IF(AH$5&lt;'ACTUALS (M)'!$E$5,0,DASHBOARD!AI204*(1+$A24))</f>
        <v>0</v>
      </c>
      <c r="AG24" s="1134">
        <f>SUMIFS('ACTUALS (M)'!$G26:$DV26,'ACTUALS (M)'!$G$6:$DV$6,'VERSUS (M)'!AF$5,'ACTUALS (M)'!$G$7:$DV$7,'VERSUS (M)'!$D$4)</f>
        <v>0</v>
      </c>
      <c r="AH24" s="1206">
        <f t="shared" si="9"/>
        <v>0</v>
      </c>
      <c r="AI24" s="93"/>
      <c r="AJ24" s="1195">
        <f>IF(AL$5&lt;'ACTUALS (M)'!$E$5,0,DASHBOARD!AM204*(1+$A24))</f>
        <v>0</v>
      </c>
      <c r="AK24" s="1134">
        <f>SUMIFS('ACTUALS (M)'!$G26:$DV26,'ACTUALS (M)'!$G$6:$DV$6,'VERSUS (M)'!AJ$5,'ACTUALS (M)'!$G$7:$DV$7,'VERSUS (M)'!$D$4)</f>
        <v>0</v>
      </c>
      <c r="AL24" s="1206">
        <f t="shared" si="10"/>
        <v>0</v>
      </c>
      <c r="AM24" s="93"/>
      <c r="AN24" s="1195">
        <f>IF(AP$5&lt;'ACTUALS (M)'!$E$5,0,DASHBOARD!AQ204*(1+$A24))</f>
        <v>0</v>
      </c>
      <c r="AO24" s="1134">
        <f>SUMIFS('ACTUALS (M)'!$G26:$DV26,'ACTUALS (M)'!$G$6:$DV$6,'VERSUS (M)'!AN$5,'ACTUALS (M)'!$G$7:$DV$7,'VERSUS (M)'!$D$4)</f>
        <v>0</v>
      </c>
      <c r="AP24" s="1206">
        <f t="shared" si="11"/>
        <v>0</v>
      </c>
      <c r="AQ24" s="93"/>
      <c r="AR24" s="1195">
        <f>IF(AT$5&lt;'ACTUALS (M)'!$E$5,0,DASHBOARD!AU204*(1+$A24))</f>
        <v>0</v>
      </c>
      <c r="AS24" s="1134">
        <f>SUMIFS('ACTUALS (M)'!$G26:$DV26,'ACTUALS (M)'!$G$6:$DV$6,'VERSUS (M)'!AR$5,'ACTUALS (M)'!$G$7:$DV$7,'VERSUS (M)'!$D$4)</f>
        <v>0</v>
      </c>
      <c r="AT24" s="1206">
        <f t="shared" si="12"/>
        <v>0</v>
      </c>
      <c r="AU24" s="93"/>
      <c r="AV24" s="1195">
        <f>IF(AX$5&lt;'ACTUALS (M)'!$E$5,0,DASHBOARD!AY204*(1+$A24))</f>
        <v>0</v>
      </c>
      <c r="AW24" s="1134">
        <f>SUMIFS('ACTUALS (M)'!$G26:$DV26,'ACTUALS (M)'!$G$6:$DV$6,'VERSUS (M)'!AV$5,'ACTUALS (M)'!$G$7:$DV$7,'VERSUS (M)'!$D$4)</f>
        <v>0</v>
      </c>
      <c r="AX24" s="1206">
        <f t="shared" si="13"/>
        <v>0</v>
      </c>
      <c r="AY24" s="93"/>
      <c r="AZ24" s="1195">
        <f>IF(BB$5&lt;'ACTUALS (M)'!$E$5,0,DASHBOARD!BC204*(1+$A24))</f>
        <v>0</v>
      </c>
      <c r="BA24" s="1134">
        <f>SUMIFS('ACTUALS (M)'!$G26:$DV26,'ACTUALS (M)'!$G$6:$DV$6,'VERSUS (M)'!AZ$5,'ACTUALS (M)'!$G$7:$DV$7,'VERSUS (M)'!$D$4)</f>
        <v>0</v>
      </c>
      <c r="BB24" s="1206">
        <f t="shared" si="14"/>
        <v>0</v>
      </c>
    </row>
    <row r="25" spans="1:56" s="1000" customFormat="1" ht="15" customHeight="1" x14ac:dyDescent="0.3">
      <c r="A25" s="1614">
        <f>IFERROR(SUMIF(FORECASTS!$E$4:$AI$4,'VERSUS (M)'!$D$4,FORECASTS!E42:AI42)/DASHBOARD!BH205-1,0)</f>
        <v>0</v>
      </c>
      <c r="B25" s="334" t="str">
        <f>DASHBOARD!W125</f>
        <v>Irrigation</v>
      </c>
      <c r="C25" s="93"/>
      <c r="D25" s="1619">
        <f t="shared" si="1"/>
        <v>0</v>
      </c>
      <c r="E25" s="1121">
        <f t="shared" si="2"/>
        <v>0</v>
      </c>
      <c r="F25" s="1627">
        <f t="shared" si="15"/>
        <v>0</v>
      </c>
      <c r="G25" s="93"/>
      <c r="H25" s="1205">
        <f>IF(J$5&lt;'ACTUALS (M)'!$E$5,0,DASHBOARD!K205*(1+$A25))</f>
        <v>0</v>
      </c>
      <c r="I25" s="1134">
        <f>SUMIFS('ACTUALS (M)'!$G27:$DV27,'ACTUALS (M)'!$G$6:$DV$6,'VERSUS (M)'!H$5,'ACTUALS (M)'!$G$7:$DV$7,'VERSUS (M)'!$D$4)</f>
        <v>0</v>
      </c>
      <c r="J25" s="1206">
        <f t="shared" si="3"/>
        <v>0</v>
      </c>
      <c r="K25" s="93"/>
      <c r="L25" s="1195">
        <f>IF(N$5&lt;'ACTUALS (M)'!$E$5,0,DASHBOARD!O205*(1+$A25))</f>
        <v>0</v>
      </c>
      <c r="M25" s="1134">
        <f>SUMIFS('ACTUALS (M)'!$G27:$DV27,'ACTUALS (M)'!$G$6:$DV$6,'VERSUS (M)'!L$5,'ACTUALS (M)'!$G$7:$DV$7,'VERSUS (M)'!$D$4)</f>
        <v>0</v>
      </c>
      <c r="N25" s="1206">
        <f t="shared" si="4"/>
        <v>0</v>
      </c>
      <c r="O25" s="93"/>
      <c r="P25" s="1195">
        <f>IF(R$5&lt;'ACTUALS (M)'!$E$5,0,DASHBOARD!S205*(1+$A25))</f>
        <v>0</v>
      </c>
      <c r="Q25" s="1134">
        <f>SUMIFS('ACTUALS (M)'!$G27:$DV27,'ACTUALS (M)'!$G$6:$DV$6,'VERSUS (M)'!P$5,'ACTUALS (M)'!$G$7:$DV$7,'VERSUS (M)'!$D$4)</f>
        <v>0</v>
      </c>
      <c r="R25" s="1206">
        <f t="shared" si="5"/>
        <v>0</v>
      </c>
      <c r="S25" s="93"/>
      <c r="T25" s="1195">
        <f>IF(V$5&lt;'ACTUALS (M)'!$E$5,0,DASHBOARD!W205*(1+$A25))</f>
        <v>0</v>
      </c>
      <c r="U25" s="1134">
        <f>SUMIFS('ACTUALS (M)'!$G27:$DV27,'ACTUALS (M)'!$G$6:$DV$6,'VERSUS (M)'!T$5,'ACTUALS (M)'!$G$7:$DV$7,'VERSUS (M)'!$D$4)</f>
        <v>0</v>
      </c>
      <c r="V25" s="1206">
        <f t="shared" si="6"/>
        <v>0</v>
      </c>
      <c r="W25" s="93"/>
      <c r="X25" s="1195">
        <f>IF(Z$5&lt;'ACTUALS (M)'!$E$5,0,DASHBOARD!AA205*(1+$A25))</f>
        <v>0</v>
      </c>
      <c r="Y25" s="1134">
        <f>SUMIFS('ACTUALS (M)'!$G27:$DV27,'ACTUALS (M)'!$G$6:$DV$6,'VERSUS (M)'!X$5,'ACTUALS (M)'!$G$7:$DV$7,'VERSUS (M)'!$D$4)</f>
        <v>0</v>
      </c>
      <c r="Z25" s="1206">
        <f t="shared" si="7"/>
        <v>0</v>
      </c>
      <c r="AA25" s="93"/>
      <c r="AB25" s="1195">
        <f>IF(AD$5&lt;'ACTUALS (M)'!$E$5,0,DASHBOARD!AE205*(1+$A25))</f>
        <v>0</v>
      </c>
      <c r="AC25" s="1134">
        <f>SUMIFS('ACTUALS (M)'!$G27:$DV27,'ACTUALS (M)'!$G$6:$DV$6,'VERSUS (M)'!AB$5,'ACTUALS (M)'!$G$7:$DV$7,'VERSUS (M)'!$D$4)</f>
        <v>0</v>
      </c>
      <c r="AD25" s="1206">
        <f t="shared" si="8"/>
        <v>0</v>
      </c>
      <c r="AE25" s="93"/>
      <c r="AF25" s="1195">
        <f>IF(AH$5&lt;'ACTUALS (M)'!$E$5,0,DASHBOARD!AI205*(1+$A25))</f>
        <v>0</v>
      </c>
      <c r="AG25" s="1134">
        <f>SUMIFS('ACTUALS (M)'!$G27:$DV27,'ACTUALS (M)'!$G$6:$DV$6,'VERSUS (M)'!AF$5,'ACTUALS (M)'!$G$7:$DV$7,'VERSUS (M)'!$D$4)</f>
        <v>0</v>
      </c>
      <c r="AH25" s="1206">
        <f t="shared" si="9"/>
        <v>0</v>
      </c>
      <c r="AI25" s="93"/>
      <c r="AJ25" s="1195">
        <f>IF(AL$5&lt;'ACTUALS (M)'!$E$5,0,DASHBOARD!AM205*(1+$A25))</f>
        <v>0</v>
      </c>
      <c r="AK25" s="1134">
        <f>SUMIFS('ACTUALS (M)'!$G27:$DV27,'ACTUALS (M)'!$G$6:$DV$6,'VERSUS (M)'!AJ$5,'ACTUALS (M)'!$G$7:$DV$7,'VERSUS (M)'!$D$4)</f>
        <v>0</v>
      </c>
      <c r="AL25" s="1206">
        <f t="shared" si="10"/>
        <v>0</v>
      </c>
      <c r="AM25" s="93"/>
      <c r="AN25" s="1195">
        <f>IF(AP$5&lt;'ACTUALS (M)'!$E$5,0,DASHBOARD!AQ205*(1+$A25))</f>
        <v>0</v>
      </c>
      <c r="AO25" s="1134">
        <f>SUMIFS('ACTUALS (M)'!$G27:$DV27,'ACTUALS (M)'!$G$6:$DV$6,'VERSUS (M)'!AN$5,'ACTUALS (M)'!$G$7:$DV$7,'VERSUS (M)'!$D$4)</f>
        <v>0</v>
      </c>
      <c r="AP25" s="1206">
        <f t="shared" si="11"/>
        <v>0</v>
      </c>
      <c r="AQ25" s="93"/>
      <c r="AR25" s="1195">
        <f>IF(AT$5&lt;'ACTUALS (M)'!$E$5,0,DASHBOARD!AU205*(1+$A25))</f>
        <v>0</v>
      </c>
      <c r="AS25" s="1134">
        <f>SUMIFS('ACTUALS (M)'!$G27:$DV27,'ACTUALS (M)'!$G$6:$DV$6,'VERSUS (M)'!AR$5,'ACTUALS (M)'!$G$7:$DV$7,'VERSUS (M)'!$D$4)</f>
        <v>0</v>
      </c>
      <c r="AT25" s="1206">
        <f t="shared" si="12"/>
        <v>0</v>
      </c>
      <c r="AU25" s="93"/>
      <c r="AV25" s="1195">
        <f>IF(AX$5&lt;'ACTUALS (M)'!$E$5,0,DASHBOARD!AY205*(1+$A25))</f>
        <v>0</v>
      </c>
      <c r="AW25" s="1134">
        <f>SUMIFS('ACTUALS (M)'!$G27:$DV27,'ACTUALS (M)'!$G$6:$DV$6,'VERSUS (M)'!AV$5,'ACTUALS (M)'!$G$7:$DV$7,'VERSUS (M)'!$D$4)</f>
        <v>0</v>
      </c>
      <c r="AX25" s="1206">
        <f t="shared" si="13"/>
        <v>0</v>
      </c>
      <c r="AY25" s="93"/>
      <c r="AZ25" s="1195">
        <f>IF(BB$5&lt;'ACTUALS (M)'!$E$5,0,DASHBOARD!BC205*(1+$A25))</f>
        <v>0</v>
      </c>
      <c r="BA25" s="1134">
        <f>SUMIFS('ACTUALS (M)'!$G27:$DV27,'ACTUALS (M)'!$G$6:$DV$6,'VERSUS (M)'!AZ$5,'ACTUALS (M)'!$G$7:$DV$7,'VERSUS (M)'!$D$4)</f>
        <v>0</v>
      </c>
      <c r="BB25" s="1206">
        <f t="shared" si="14"/>
        <v>0</v>
      </c>
    </row>
    <row r="26" spans="1:56" s="1000" customFormat="1" ht="15" customHeight="1" x14ac:dyDescent="0.3">
      <c r="A26" s="1614">
        <f>IFERROR(SUMIF(FORECASTS!$E$4:$AI$4,'VERSUS (M)'!$D$4,FORECASTS!E44:AI44)/DASHBOARD!BH206-1,0)</f>
        <v>0</v>
      </c>
      <c r="B26" s="334" t="str">
        <f>DASHBOARD!W126</f>
        <v>Security</v>
      </c>
      <c r="C26" s="93"/>
      <c r="D26" s="1619">
        <f t="shared" si="1"/>
        <v>0</v>
      </c>
      <c r="E26" s="1121">
        <f t="shared" si="2"/>
        <v>0</v>
      </c>
      <c r="F26" s="1627">
        <f t="shared" si="15"/>
        <v>0</v>
      </c>
      <c r="G26" s="93"/>
      <c r="H26" s="1205">
        <f>IF(J$5&lt;'ACTUALS (M)'!$E$5,0,DASHBOARD!K206*(1+$A26))</f>
        <v>0</v>
      </c>
      <c r="I26" s="1134">
        <f>SUMIFS('ACTUALS (M)'!$G28:$DV28,'ACTUALS (M)'!$G$6:$DV$6,'VERSUS (M)'!H$5,'ACTUALS (M)'!$G$7:$DV$7,'VERSUS (M)'!$D$4)</f>
        <v>0</v>
      </c>
      <c r="J26" s="1206">
        <f t="shared" si="3"/>
        <v>0</v>
      </c>
      <c r="K26" s="93"/>
      <c r="L26" s="1195">
        <f>IF(N$5&lt;'ACTUALS (M)'!$E$5,0,DASHBOARD!O206*(1+$A26))</f>
        <v>0</v>
      </c>
      <c r="M26" s="1134">
        <f>SUMIFS('ACTUALS (M)'!$G28:$DV28,'ACTUALS (M)'!$G$6:$DV$6,'VERSUS (M)'!L$5,'ACTUALS (M)'!$G$7:$DV$7,'VERSUS (M)'!$D$4)</f>
        <v>0</v>
      </c>
      <c r="N26" s="1206">
        <f t="shared" si="4"/>
        <v>0</v>
      </c>
      <c r="O26" s="93"/>
      <c r="P26" s="1195">
        <f>IF(R$5&lt;'ACTUALS (M)'!$E$5,0,DASHBOARD!S206*(1+$A26))</f>
        <v>0</v>
      </c>
      <c r="Q26" s="1134">
        <f>SUMIFS('ACTUALS (M)'!$G28:$DV28,'ACTUALS (M)'!$G$6:$DV$6,'VERSUS (M)'!P$5,'ACTUALS (M)'!$G$7:$DV$7,'VERSUS (M)'!$D$4)</f>
        <v>0</v>
      </c>
      <c r="R26" s="1206">
        <f t="shared" si="5"/>
        <v>0</v>
      </c>
      <c r="S26" s="93"/>
      <c r="T26" s="1195">
        <f>IF(V$5&lt;'ACTUALS (M)'!$E$5,0,DASHBOARD!W206*(1+$A26))</f>
        <v>0</v>
      </c>
      <c r="U26" s="1134">
        <f>SUMIFS('ACTUALS (M)'!$G28:$DV28,'ACTUALS (M)'!$G$6:$DV$6,'VERSUS (M)'!T$5,'ACTUALS (M)'!$G$7:$DV$7,'VERSUS (M)'!$D$4)</f>
        <v>0</v>
      </c>
      <c r="V26" s="1206">
        <f t="shared" si="6"/>
        <v>0</v>
      </c>
      <c r="W26" s="93"/>
      <c r="X26" s="1195">
        <f>IF(Z$5&lt;'ACTUALS (M)'!$E$5,0,DASHBOARD!AA206*(1+$A26))</f>
        <v>0</v>
      </c>
      <c r="Y26" s="1134">
        <f>SUMIFS('ACTUALS (M)'!$G28:$DV28,'ACTUALS (M)'!$G$6:$DV$6,'VERSUS (M)'!X$5,'ACTUALS (M)'!$G$7:$DV$7,'VERSUS (M)'!$D$4)</f>
        <v>0</v>
      </c>
      <c r="Z26" s="1206">
        <f t="shared" si="7"/>
        <v>0</v>
      </c>
      <c r="AA26" s="93"/>
      <c r="AB26" s="1195">
        <f>IF(AD$5&lt;'ACTUALS (M)'!$E$5,0,DASHBOARD!AE206*(1+$A26))</f>
        <v>0</v>
      </c>
      <c r="AC26" s="1134">
        <f>SUMIFS('ACTUALS (M)'!$G28:$DV28,'ACTUALS (M)'!$G$6:$DV$6,'VERSUS (M)'!AB$5,'ACTUALS (M)'!$G$7:$DV$7,'VERSUS (M)'!$D$4)</f>
        <v>0</v>
      </c>
      <c r="AD26" s="1206">
        <f t="shared" si="8"/>
        <v>0</v>
      </c>
      <c r="AE26" s="93"/>
      <c r="AF26" s="1195">
        <f>IF(AH$5&lt;'ACTUALS (M)'!$E$5,0,DASHBOARD!AI206*(1+$A26))</f>
        <v>0</v>
      </c>
      <c r="AG26" s="1134">
        <f>SUMIFS('ACTUALS (M)'!$G28:$DV28,'ACTUALS (M)'!$G$6:$DV$6,'VERSUS (M)'!AF$5,'ACTUALS (M)'!$G$7:$DV$7,'VERSUS (M)'!$D$4)</f>
        <v>0</v>
      </c>
      <c r="AH26" s="1206">
        <f t="shared" si="9"/>
        <v>0</v>
      </c>
      <c r="AI26" s="93"/>
      <c r="AJ26" s="1195">
        <f>IF(AL$5&lt;'ACTUALS (M)'!$E$5,0,DASHBOARD!AM206*(1+$A26))</f>
        <v>0</v>
      </c>
      <c r="AK26" s="1134">
        <f>SUMIFS('ACTUALS (M)'!$G28:$DV28,'ACTUALS (M)'!$G$6:$DV$6,'VERSUS (M)'!AJ$5,'ACTUALS (M)'!$G$7:$DV$7,'VERSUS (M)'!$D$4)</f>
        <v>0</v>
      </c>
      <c r="AL26" s="1206">
        <f t="shared" si="10"/>
        <v>0</v>
      </c>
      <c r="AM26" s="93"/>
      <c r="AN26" s="1195">
        <f>IF(AP$5&lt;'ACTUALS (M)'!$E$5,0,DASHBOARD!AQ206*(1+$A26))</f>
        <v>0</v>
      </c>
      <c r="AO26" s="1134">
        <f>SUMIFS('ACTUALS (M)'!$G28:$DV28,'ACTUALS (M)'!$G$6:$DV$6,'VERSUS (M)'!AN$5,'ACTUALS (M)'!$G$7:$DV$7,'VERSUS (M)'!$D$4)</f>
        <v>0</v>
      </c>
      <c r="AP26" s="1206">
        <f t="shared" si="11"/>
        <v>0</v>
      </c>
      <c r="AQ26" s="93"/>
      <c r="AR26" s="1195">
        <f>IF(AT$5&lt;'ACTUALS (M)'!$E$5,0,DASHBOARD!AU206*(1+$A26))</f>
        <v>0</v>
      </c>
      <c r="AS26" s="1134">
        <f>SUMIFS('ACTUALS (M)'!$G28:$DV28,'ACTUALS (M)'!$G$6:$DV$6,'VERSUS (M)'!AR$5,'ACTUALS (M)'!$G$7:$DV$7,'VERSUS (M)'!$D$4)</f>
        <v>0</v>
      </c>
      <c r="AT26" s="1206">
        <f t="shared" si="12"/>
        <v>0</v>
      </c>
      <c r="AU26" s="93"/>
      <c r="AV26" s="1195">
        <f>IF(AX$5&lt;'ACTUALS (M)'!$E$5,0,DASHBOARD!AY206*(1+$A26))</f>
        <v>0</v>
      </c>
      <c r="AW26" s="1134">
        <f>SUMIFS('ACTUALS (M)'!$G28:$DV28,'ACTUALS (M)'!$G$6:$DV$6,'VERSUS (M)'!AV$5,'ACTUALS (M)'!$G$7:$DV$7,'VERSUS (M)'!$D$4)</f>
        <v>0</v>
      </c>
      <c r="AX26" s="1206">
        <f t="shared" si="13"/>
        <v>0</v>
      </c>
      <c r="AY26" s="93"/>
      <c r="AZ26" s="1195">
        <f>IF(BB$5&lt;'ACTUALS (M)'!$E$5,0,DASHBOARD!BC206*(1+$A26))</f>
        <v>0</v>
      </c>
      <c r="BA26" s="1134">
        <f>SUMIFS('ACTUALS (M)'!$G28:$DV28,'ACTUALS (M)'!$G$6:$DV$6,'VERSUS (M)'!AZ$5,'ACTUALS (M)'!$G$7:$DV$7,'VERSUS (M)'!$D$4)</f>
        <v>0</v>
      </c>
      <c r="BB26" s="1206">
        <f t="shared" si="14"/>
        <v>0</v>
      </c>
    </row>
    <row r="27" spans="1:56" s="1000" customFormat="1" ht="15" customHeight="1" x14ac:dyDescent="0.3">
      <c r="A27" s="1614">
        <f>IFERROR(SUMIF(FORECASTS!$E$4:$AI$4,'VERSUS (M)'!$D$4,FORECASTS!E46:AI46)/DASHBOARD!BH207-1,0)</f>
        <v>0</v>
      </c>
      <c r="B27" s="334" t="str">
        <f>DASHBOARD!W127</f>
        <v>Accounting</v>
      </c>
      <c r="C27" s="93"/>
      <c r="D27" s="1619">
        <f t="shared" si="1"/>
        <v>0</v>
      </c>
      <c r="E27" s="1121">
        <f t="shared" si="2"/>
        <v>0</v>
      </c>
      <c r="F27" s="1627">
        <f t="shared" si="15"/>
        <v>0</v>
      </c>
      <c r="G27" s="93"/>
      <c r="H27" s="1205">
        <f>IF(J$5&lt;'ACTUALS (M)'!$E$5,0,DASHBOARD!K207*(1+$A27))</f>
        <v>0</v>
      </c>
      <c r="I27" s="1134">
        <f>SUMIFS('ACTUALS (M)'!$G29:$DV29,'ACTUALS (M)'!$G$6:$DV$6,'VERSUS (M)'!H$5,'ACTUALS (M)'!$G$7:$DV$7,'VERSUS (M)'!$D$4)</f>
        <v>0</v>
      </c>
      <c r="J27" s="1206">
        <f t="shared" si="3"/>
        <v>0</v>
      </c>
      <c r="K27" s="93"/>
      <c r="L27" s="1195">
        <f>IF(N$5&lt;'ACTUALS (M)'!$E$5,0,DASHBOARD!O207*(1+$A27))</f>
        <v>0</v>
      </c>
      <c r="M27" s="1134">
        <f>SUMIFS('ACTUALS (M)'!$G29:$DV29,'ACTUALS (M)'!$G$6:$DV$6,'VERSUS (M)'!L$5,'ACTUALS (M)'!$G$7:$DV$7,'VERSUS (M)'!$D$4)</f>
        <v>0</v>
      </c>
      <c r="N27" s="1206">
        <f t="shared" si="4"/>
        <v>0</v>
      </c>
      <c r="O27" s="93"/>
      <c r="P27" s="1195">
        <f>IF(R$5&lt;'ACTUALS (M)'!$E$5,0,DASHBOARD!S207*(1+$A27))</f>
        <v>0</v>
      </c>
      <c r="Q27" s="1134">
        <f>SUMIFS('ACTUALS (M)'!$G29:$DV29,'ACTUALS (M)'!$G$6:$DV$6,'VERSUS (M)'!P$5,'ACTUALS (M)'!$G$7:$DV$7,'VERSUS (M)'!$D$4)</f>
        <v>0</v>
      </c>
      <c r="R27" s="1206">
        <f t="shared" si="5"/>
        <v>0</v>
      </c>
      <c r="S27" s="93"/>
      <c r="T27" s="1195">
        <f>IF(V$5&lt;'ACTUALS (M)'!$E$5,0,DASHBOARD!W207*(1+$A27))</f>
        <v>0</v>
      </c>
      <c r="U27" s="1134">
        <f>SUMIFS('ACTUALS (M)'!$G29:$DV29,'ACTUALS (M)'!$G$6:$DV$6,'VERSUS (M)'!T$5,'ACTUALS (M)'!$G$7:$DV$7,'VERSUS (M)'!$D$4)</f>
        <v>0</v>
      </c>
      <c r="V27" s="1206">
        <f t="shared" si="6"/>
        <v>0</v>
      </c>
      <c r="W27" s="93"/>
      <c r="X27" s="1195">
        <f>IF(Z$5&lt;'ACTUALS (M)'!$E$5,0,DASHBOARD!AA207*(1+$A27))</f>
        <v>0</v>
      </c>
      <c r="Y27" s="1134">
        <f>SUMIFS('ACTUALS (M)'!$G29:$DV29,'ACTUALS (M)'!$G$6:$DV$6,'VERSUS (M)'!X$5,'ACTUALS (M)'!$G$7:$DV$7,'VERSUS (M)'!$D$4)</f>
        <v>0</v>
      </c>
      <c r="Z27" s="1206">
        <f t="shared" si="7"/>
        <v>0</v>
      </c>
      <c r="AA27" s="93"/>
      <c r="AB27" s="1195">
        <f>IF(AD$5&lt;'ACTUALS (M)'!$E$5,0,DASHBOARD!AE207*(1+$A27))</f>
        <v>0</v>
      </c>
      <c r="AC27" s="1134">
        <f>SUMIFS('ACTUALS (M)'!$G29:$DV29,'ACTUALS (M)'!$G$6:$DV$6,'VERSUS (M)'!AB$5,'ACTUALS (M)'!$G$7:$DV$7,'VERSUS (M)'!$D$4)</f>
        <v>0</v>
      </c>
      <c r="AD27" s="1206">
        <f t="shared" si="8"/>
        <v>0</v>
      </c>
      <c r="AE27" s="93"/>
      <c r="AF27" s="1195">
        <f>IF(AH$5&lt;'ACTUALS (M)'!$E$5,0,DASHBOARD!AI207*(1+$A27))</f>
        <v>0</v>
      </c>
      <c r="AG27" s="1134">
        <f>SUMIFS('ACTUALS (M)'!$G29:$DV29,'ACTUALS (M)'!$G$6:$DV$6,'VERSUS (M)'!AF$5,'ACTUALS (M)'!$G$7:$DV$7,'VERSUS (M)'!$D$4)</f>
        <v>0</v>
      </c>
      <c r="AH27" s="1206">
        <f t="shared" si="9"/>
        <v>0</v>
      </c>
      <c r="AI27" s="93"/>
      <c r="AJ27" s="1195">
        <f>IF(AL$5&lt;'ACTUALS (M)'!$E$5,0,DASHBOARD!AM207*(1+$A27))</f>
        <v>0</v>
      </c>
      <c r="AK27" s="1134">
        <f>SUMIFS('ACTUALS (M)'!$G29:$DV29,'ACTUALS (M)'!$G$6:$DV$6,'VERSUS (M)'!AJ$5,'ACTUALS (M)'!$G$7:$DV$7,'VERSUS (M)'!$D$4)</f>
        <v>0</v>
      </c>
      <c r="AL27" s="1206">
        <f t="shared" si="10"/>
        <v>0</v>
      </c>
      <c r="AM27" s="93"/>
      <c r="AN27" s="1195">
        <f>IF(AP$5&lt;'ACTUALS (M)'!$E$5,0,DASHBOARD!AQ207*(1+$A27))</f>
        <v>0</v>
      </c>
      <c r="AO27" s="1134">
        <f>SUMIFS('ACTUALS (M)'!$G29:$DV29,'ACTUALS (M)'!$G$6:$DV$6,'VERSUS (M)'!AN$5,'ACTUALS (M)'!$G$7:$DV$7,'VERSUS (M)'!$D$4)</f>
        <v>0</v>
      </c>
      <c r="AP27" s="1206">
        <f t="shared" si="11"/>
        <v>0</v>
      </c>
      <c r="AQ27" s="93"/>
      <c r="AR27" s="1195">
        <f>IF(AT$5&lt;'ACTUALS (M)'!$E$5,0,DASHBOARD!AU207*(1+$A27))</f>
        <v>0</v>
      </c>
      <c r="AS27" s="1134">
        <f>SUMIFS('ACTUALS (M)'!$G29:$DV29,'ACTUALS (M)'!$G$6:$DV$6,'VERSUS (M)'!AR$5,'ACTUALS (M)'!$G$7:$DV$7,'VERSUS (M)'!$D$4)</f>
        <v>0</v>
      </c>
      <c r="AT27" s="1206">
        <f t="shared" si="12"/>
        <v>0</v>
      </c>
      <c r="AU27" s="93"/>
      <c r="AV27" s="1195">
        <f>IF(AX$5&lt;'ACTUALS (M)'!$E$5,0,DASHBOARD!AY207*(1+$A27))</f>
        <v>0</v>
      </c>
      <c r="AW27" s="1134">
        <f>SUMIFS('ACTUALS (M)'!$G29:$DV29,'ACTUALS (M)'!$G$6:$DV$6,'VERSUS (M)'!AV$5,'ACTUALS (M)'!$G$7:$DV$7,'VERSUS (M)'!$D$4)</f>
        <v>0</v>
      </c>
      <c r="AX27" s="1206">
        <f t="shared" si="13"/>
        <v>0</v>
      </c>
      <c r="AY27" s="93"/>
      <c r="AZ27" s="1195">
        <f>IF(BB$5&lt;'ACTUALS (M)'!$E$5,0,DASHBOARD!BC207*(1+$A27))</f>
        <v>0</v>
      </c>
      <c r="BA27" s="1134">
        <f>SUMIFS('ACTUALS (M)'!$G29:$DV29,'ACTUALS (M)'!$G$6:$DV$6,'VERSUS (M)'!AZ$5,'ACTUALS (M)'!$G$7:$DV$7,'VERSUS (M)'!$D$4)</f>
        <v>0</v>
      </c>
      <c r="BB27" s="1206">
        <f t="shared" si="14"/>
        <v>0</v>
      </c>
    </row>
    <row r="28" spans="1:56" s="1000" customFormat="1" ht="15" customHeight="1" x14ac:dyDescent="0.3">
      <c r="A28" s="1614">
        <f>IFERROR(SUMIF(FORECASTS!$E$4:$AI$4,'VERSUS (M)'!$D$4,FORECASTS!E48:AI48)/DASHBOARD!BH208-1,0)</f>
        <v>0</v>
      </c>
      <c r="B28" s="334" t="str">
        <f>DASHBOARD!AQ119</f>
        <v>Repairs &amp; Maintenance</v>
      </c>
      <c r="C28" s="93"/>
      <c r="D28" s="1619">
        <f t="shared" si="1"/>
        <v>0</v>
      </c>
      <c r="E28" s="1121">
        <f t="shared" si="2"/>
        <v>0</v>
      </c>
      <c r="F28" s="1627">
        <f t="shared" si="15"/>
        <v>0</v>
      </c>
      <c r="G28" s="93"/>
      <c r="H28" s="1205">
        <f>IF(J$5&lt;'ACTUALS (M)'!$E$5,0,DASHBOARD!K208*(1+$A28))</f>
        <v>0</v>
      </c>
      <c r="I28" s="1134">
        <f>SUMIFS('ACTUALS (M)'!$G30:$DV30,'ACTUALS (M)'!$G$6:$DV$6,'VERSUS (M)'!H$5,'ACTUALS (M)'!$G$7:$DV$7,'VERSUS (M)'!$D$4)</f>
        <v>0</v>
      </c>
      <c r="J28" s="1206">
        <f t="shared" si="3"/>
        <v>0</v>
      </c>
      <c r="K28" s="93"/>
      <c r="L28" s="1195">
        <f>IF(N$5&lt;'ACTUALS (M)'!$E$5,0,DASHBOARD!O208*(1+$A28))</f>
        <v>0</v>
      </c>
      <c r="M28" s="1134">
        <f>SUMIFS('ACTUALS (M)'!$G30:$DV30,'ACTUALS (M)'!$G$6:$DV$6,'VERSUS (M)'!L$5,'ACTUALS (M)'!$G$7:$DV$7,'VERSUS (M)'!$D$4)</f>
        <v>0</v>
      </c>
      <c r="N28" s="1206">
        <f t="shared" si="4"/>
        <v>0</v>
      </c>
      <c r="O28" s="93"/>
      <c r="P28" s="1195">
        <f>IF(R$5&lt;'ACTUALS (M)'!$E$5,0,DASHBOARD!S208*(1+$A28))</f>
        <v>0</v>
      </c>
      <c r="Q28" s="1134">
        <f>SUMIFS('ACTUALS (M)'!$G30:$DV30,'ACTUALS (M)'!$G$6:$DV$6,'VERSUS (M)'!P$5,'ACTUALS (M)'!$G$7:$DV$7,'VERSUS (M)'!$D$4)</f>
        <v>0</v>
      </c>
      <c r="R28" s="1206">
        <f t="shared" si="5"/>
        <v>0</v>
      </c>
      <c r="S28" s="93"/>
      <c r="T28" s="1195">
        <f>IF(V$5&lt;'ACTUALS (M)'!$E$5,0,DASHBOARD!W208*(1+$A28))</f>
        <v>0</v>
      </c>
      <c r="U28" s="1134">
        <f>SUMIFS('ACTUALS (M)'!$G30:$DV30,'ACTUALS (M)'!$G$6:$DV$6,'VERSUS (M)'!T$5,'ACTUALS (M)'!$G$7:$DV$7,'VERSUS (M)'!$D$4)</f>
        <v>0</v>
      </c>
      <c r="V28" s="1206">
        <f t="shared" si="6"/>
        <v>0</v>
      </c>
      <c r="W28" s="93"/>
      <c r="X28" s="1195">
        <f>IF(Z$5&lt;'ACTUALS (M)'!$E$5,0,DASHBOARD!AA208*(1+$A28))</f>
        <v>0</v>
      </c>
      <c r="Y28" s="1134">
        <f>SUMIFS('ACTUALS (M)'!$G30:$DV30,'ACTUALS (M)'!$G$6:$DV$6,'VERSUS (M)'!X$5,'ACTUALS (M)'!$G$7:$DV$7,'VERSUS (M)'!$D$4)</f>
        <v>0</v>
      </c>
      <c r="Z28" s="1206">
        <f t="shared" si="7"/>
        <v>0</v>
      </c>
      <c r="AA28" s="93"/>
      <c r="AB28" s="1195">
        <f>IF(AD$5&lt;'ACTUALS (M)'!$E$5,0,DASHBOARD!AE208*(1+$A28))</f>
        <v>0</v>
      </c>
      <c r="AC28" s="1134">
        <f>SUMIFS('ACTUALS (M)'!$G30:$DV30,'ACTUALS (M)'!$G$6:$DV$6,'VERSUS (M)'!AB$5,'ACTUALS (M)'!$G$7:$DV$7,'VERSUS (M)'!$D$4)</f>
        <v>0</v>
      </c>
      <c r="AD28" s="1206">
        <f t="shared" si="8"/>
        <v>0</v>
      </c>
      <c r="AE28" s="93"/>
      <c r="AF28" s="1195">
        <f>IF(AH$5&lt;'ACTUALS (M)'!$E$5,0,DASHBOARD!AI208*(1+$A28))</f>
        <v>0</v>
      </c>
      <c r="AG28" s="1134">
        <f>SUMIFS('ACTUALS (M)'!$G30:$DV30,'ACTUALS (M)'!$G$6:$DV$6,'VERSUS (M)'!AF$5,'ACTUALS (M)'!$G$7:$DV$7,'VERSUS (M)'!$D$4)</f>
        <v>0</v>
      </c>
      <c r="AH28" s="1206">
        <f t="shared" si="9"/>
        <v>0</v>
      </c>
      <c r="AI28" s="93"/>
      <c r="AJ28" s="1195">
        <f>IF(AL$5&lt;'ACTUALS (M)'!$E$5,0,DASHBOARD!AM208*(1+$A28))</f>
        <v>0</v>
      </c>
      <c r="AK28" s="1134">
        <f>SUMIFS('ACTUALS (M)'!$G30:$DV30,'ACTUALS (M)'!$G$6:$DV$6,'VERSUS (M)'!AJ$5,'ACTUALS (M)'!$G$7:$DV$7,'VERSUS (M)'!$D$4)</f>
        <v>0</v>
      </c>
      <c r="AL28" s="1206">
        <f t="shared" si="10"/>
        <v>0</v>
      </c>
      <c r="AM28" s="93"/>
      <c r="AN28" s="1195">
        <f>IF(AP$5&lt;'ACTUALS (M)'!$E$5,0,DASHBOARD!AQ208*(1+$A28))</f>
        <v>0</v>
      </c>
      <c r="AO28" s="1134">
        <f>SUMIFS('ACTUALS (M)'!$G30:$DV30,'ACTUALS (M)'!$G$6:$DV$6,'VERSUS (M)'!AN$5,'ACTUALS (M)'!$G$7:$DV$7,'VERSUS (M)'!$D$4)</f>
        <v>0</v>
      </c>
      <c r="AP28" s="1206">
        <f t="shared" si="11"/>
        <v>0</v>
      </c>
      <c r="AQ28" s="93"/>
      <c r="AR28" s="1195">
        <f>IF(AT$5&lt;'ACTUALS (M)'!$E$5,0,DASHBOARD!AU208*(1+$A28))</f>
        <v>0</v>
      </c>
      <c r="AS28" s="1134">
        <f>SUMIFS('ACTUALS (M)'!$G30:$DV30,'ACTUALS (M)'!$G$6:$DV$6,'VERSUS (M)'!AR$5,'ACTUALS (M)'!$G$7:$DV$7,'VERSUS (M)'!$D$4)</f>
        <v>0</v>
      </c>
      <c r="AT28" s="1206">
        <f t="shared" si="12"/>
        <v>0</v>
      </c>
      <c r="AU28" s="93"/>
      <c r="AV28" s="1195">
        <f>IF(AX$5&lt;'ACTUALS (M)'!$E$5,0,DASHBOARD!AY208*(1+$A28))</f>
        <v>0</v>
      </c>
      <c r="AW28" s="1134">
        <f>SUMIFS('ACTUALS (M)'!$G30:$DV30,'ACTUALS (M)'!$G$6:$DV$6,'VERSUS (M)'!AV$5,'ACTUALS (M)'!$G$7:$DV$7,'VERSUS (M)'!$D$4)</f>
        <v>0</v>
      </c>
      <c r="AX28" s="1206">
        <f t="shared" si="13"/>
        <v>0</v>
      </c>
      <c r="AY28" s="93"/>
      <c r="AZ28" s="1195">
        <f>IF(BB$5&lt;'ACTUALS (M)'!$E$5,0,DASHBOARD!BC208*(1+$A28))</f>
        <v>0</v>
      </c>
      <c r="BA28" s="1134">
        <f>SUMIFS('ACTUALS (M)'!$G30:$DV30,'ACTUALS (M)'!$G$6:$DV$6,'VERSUS (M)'!AZ$5,'ACTUALS (M)'!$G$7:$DV$7,'VERSUS (M)'!$D$4)</f>
        <v>0</v>
      </c>
      <c r="BB28" s="1206">
        <f t="shared" si="14"/>
        <v>0</v>
      </c>
    </row>
    <row r="29" spans="1:56" s="1000" customFormat="1" ht="15" customHeight="1" x14ac:dyDescent="0.3">
      <c r="A29" s="1614">
        <f>IFERROR(SUMIF(FORECASTS!$E$4:$AI$4,'VERSUS (M)'!$D$4,FORECASTS!E50:AI50)/DASHBOARD!BH209-1,0)</f>
        <v>0</v>
      </c>
      <c r="B29" s="334" t="str">
        <f>DASHBOARD!AQ120</f>
        <v xml:space="preserve">Property Management </v>
      </c>
      <c r="C29" s="93"/>
      <c r="D29" s="1619">
        <f t="shared" si="1"/>
        <v>0</v>
      </c>
      <c r="E29" s="1121">
        <f t="shared" si="2"/>
        <v>0</v>
      </c>
      <c r="F29" s="1627">
        <f t="shared" si="15"/>
        <v>0</v>
      </c>
      <c r="G29" s="93"/>
      <c r="H29" s="1205">
        <f>IF(J$5&lt;'ACTUALS (M)'!$E$5,0,DASHBOARD!K209*(1+$A29))</f>
        <v>0</v>
      </c>
      <c r="I29" s="1134">
        <f>SUMIFS('ACTUALS (M)'!$G31:$DV31,'ACTUALS (M)'!$G$6:$DV$6,'VERSUS (M)'!H$5,'ACTUALS (M)'!$G$7:$DV$7,'VERSUS (M)'!$D$4)</f>
        <v>0</v>
      </c>
      <c r="J29" s="1206">
        <f t="shared" si="3"/>
        <v>0</v>
      </c>
      <c r="K29" s="93"/>
      <c r="L29" s="1195">
        <f>IF(N$5&lt;'ACTUALS (M)'!$E$5,0,DASHBOARD!O209*(1+$A29))</f>
        <v>0</v>
      </c>
      <c r="M29" s="1134">
        <f>SUMIFS('ACTUALS (M)'!$G31:$DV31,'ACTUALS (M)'!$G$6:$DV$6,'VERSUS (M)'!L$5,'ACTUALS (M)'!$G$7:$DV$7,'VERSUS (M)'!$D$4)</f>
        <v>0</v>
      </c>
      <c r="N29" s="1206">
        <f t="shared" si="4"/>
        <v>0</v>
      </c>
      <c r="O29" s="93"/>
      <c r="P29" s="1195">
        <f>IF(R$5&lt;'ACTUALS (M)'!$E$5,0,DASHBOARD!S209*(1+$A29))</f>
        <v>0</v>
      </c>
      <c r="Q29" s="1134">
        <f>SUMIFS('ACTUALS (M)'!$G31:$DV31,'ACTUALS (M)'!$G$6:$DV$6,'VERSUS (M)'!P$5,'ACTUALS (M)'!$G$7:$DV$7,'VERSUS (M)'!$D$4)</f>
        <v>0</v>
      </c>
      <c r="R29" s="1206">
        <f t="shared" si="5"/>
        <v>0</v>
      </c>
      <c r="S29" s="93"/>
      <c r="T29" s="1195">
        <f>IF(V$5&lt;'ACTUALS (M)'!$E$5,0,DASHBOARD!W209*(1+$A29))</f>
        <v>0</v>
      </c>
      <c r="U29" s="1134">
        <f>SUMIFS('ACTUALS (M)'!$G31:$DV31,'ACTUALS (M)'!$G$6:$DV$6,'VERSUS (M)'!T$5,'ACTUALS (M)'!$G$7:$DV$7,'VERSUS (M)'!$D$4)</f>
        <v>0</v>
      </c>
      <c r="V29" s="1206">
        <f t="shared" si="6"/>
        <v>0</v>
      </c>
      <c r="W29" s="93"/>
      <c r="X29" s="1195">
        <f>IF(Z$5&lt;'ACTUALS (M)'!$E$5,0,DASHBOARD!AA209*(1+$A29))</f>
        <v>0</v>
      </c>
      <c r="Y29" s="1134">
        <f>SUMIFS('ACTUALS (M)'!$G31:$DV31,'ACTUALS (M)'!$G$6:$DV$6,'VERSUS (M)'!X$5,'ACTUALS (M)'!$G$7:$DV$7,'VERSUS (M)'!$D$4)</f>
        <v>0</v>
      </c>
      <c r="Z29" s="1206">
        <f t="shared" si="7"/>
        <v>0</v>
      </c>
      <c r="AA29" s="93"/>
      <c r="AB29" s="1195">
        <f>IF(AD$5&lt;'ACTUALS (M)'!$E$5,0,DASHBOARD!AE209*(1+$A29))</f>
        <v>0</v>
      </c>
      <c r="AC29" s="1134">
        <f>SUMIFS('ACTUALS (M)'!$G31:$DV31,'ACTUALS (M)'!$G$6:$DV$6,'VERSUS (M)'!AB$5,'ACTUALS (M)'!$G$7:$DV$7,'VERSUS (M)'!$D$4)</f>
        <v>0</v>
      </c>
      <c r="AD29" s="1206">
        <f t="shared" si="8"/>
        <v>0</v>
      </c>
      <c r="AE29" s="93"/>
      <c r="AF29" s="1195">
        <f>IF(AH$5&lt;'ACTUALS (M)'!$E$5,0,DASHBOARD!AI209*(1+$A29))</f>
        <v>0</v>
      </c>
      <c r="AG29" s="1134">
        <f>SUMIFS('ACTUALS (M)'!$G31:$DV31,'ACTUALS (M)'!$G$6:$DV$6,'VERSUS (M)'!AF$5,'ACTUALS (M)'!$G$7:$DV$7,'VERSUS (M)'!$D$4)</f>
        <v>0</v>
      </c>
      <c r="AH29" s="1206">
        <f t="shared" si="9"/>
        <v>0</v>
      </c>
      <c r="AI29" s="93"/>
      <c r="AJ29" s="1195">
        <f>IF(AL$5&lt;'ACTUALS (M)'!$E$5,0,DASHBOARD!AM209*(1+$A29))</f>
        <v>0</v>
      </c>
      <c r="AK29" s="1134">
        <f>SUMIFS('ACTUALS (M)'!$G31:$DV31,'ACTUALS (M)'!$G$6:$DV$6,'VERSUS (M)'!AJ$5,'ACTUALS (M)'!$G$7:$DV$7,'VERSUS (M)'!$D$4)</f>
        <v>0</v>
      </c>
      <c r="AL29" s="1206">
        <f t="shared" si="10"/>
        <v>0</v>
      </c>
      <c r="AM29" s="93"/>
      <c r="AN29" s="1195">
        <f>IF(AP$5&lt;'ACTUALS (M)'!$E$5,0,DASHBOARD!AQ209*(1+$A29))</f>
        <v>0</v>
      </c>
      <c r="AO29" s="1134">
        <f>SUMIFS('ACTUALS (M)'!$G31:$DV31,'ACTUALS (M)'!$G$6:$DV$6,'VERSUS (M)'!AN$5,'ACTUALS (M)'!$G$7:$DV$7,'VERSUS (M)'!$D$4)</f>
        <v>0</v>
      </c>
      <c r="AP29" s="1206">
        <f t="shared" si="11"/>
        <v>0</v>
      </c>
      <c r="AQ29" s="93"/>
      <c r="AR29" s="1195">
        <f>IF(AT$5&lt;'ACTUALS (M)'!$E$5,0,DASHBOARD!AU209*(1+$A29))</f>
        <v>0</v>
      </c>
      <c r="AS29" s="1134">
        <f>SUMIFS('ACTUALS (M)'!$G31:$DV31,'ACTUALS (M)'!$G$6:$DV$6,'VERSUS (M)'!AR$5,'ACTUALS (M)'!$G$7:$DV$7,'VERSUS (M)'!$D$4)</f>
        <v>0</v>
      </c>
      <c r="AT29" s="1206">
        <f t="shared" si="12"/>
        <v>0</v>
      </c>
      <c r="AU29" s="93"/>
      <c r="AV29" s="1195">
        <f>IF(AX$5&lt;'ACTUALS (M)'!$E$5,0,DASHBOARD!AY209*(1+$A29))</f>
        <v>0</v>
      </c>
      <c r="AW29" s="1134">
        <f>SUMIFS('ACTUALS (M)'!$G31:$DV31,'ACTUALS (M)'!$G$6:$DV$6,'VERSUS (M)'!AV$5,'ACTUALS (M)'!$G$7:$DV$7,'VERSUS (M)'!$D$4)</f>
        <v>0</v>
      </c>
      <c r="AX29" s="1206">
        <f t="shared" si="13"/>
        <v>0</v>
      </c>
      <c r="AY29" s="93"/>
      <c r="AZ29" s="1195">
        <f>IF(BB$5&lt;'ACTUALS (M)'!$E$5,0,DASHBOARD!BC209*(1+$A29))</f>
        <v>0</v>
      </c>
      <c r="BA29" s="1134">
        <f>SUMIFS('ACTUALS (M)'!$G31:$DV31,'ACTUALS (M)'!$G$6:$DV$6,'VERSUS (M)'!AZ$5,'ACTUALS (M)'!$G$7:$DV$7,'VERSUS (M)'!$D$4)</f>
        <v>0</v>
      </c>
      <c r="BB29" s="1206">
        <f t="shared" si="14"/>
        <v>0</v>
      </c>
    </row>
    <row r="30" spans="1:56" s="1000" customFormat="1" ht="15" customHeight="1" x14ac:dyDescent="0.3">
      <c r="A30" s="1614">
        <f>IFERROR(SUMIF(FORECASTS!$E$4:$AI$4,'VERSUS (M)'!$D$4,FORECASTS!E52:AI52)/DASHBOARD!BH210-1,0)</f>
        <v>0</v>
      </c>
      <c r="B30" s="334" t="str">
        <f>DASHBOARD!AQ121</f>
        <v>Vacancy Insurance</v>
      </c>
      <c r="C30" s="93"/>
      <c r="D30" s="1619">
        <f t="shared" si="1"/>
        <v>0</v>
      </c>
      <c r="E30" s="1121">
        <f t="shared" si="2"/>
        <v>0</v>
      </c>
      <c r="F30" s="1627">
        <f t="shared" si="15"/>
        <v>0</v>
      </c>
      <c r="G30" s="93"/>
      <c r="H30" s="1205">
        <f>IF(J$5&lt;'ACTUALS (M)'!$E$5,0,DASHBOARD!K210*(1+$A30))</f>
        <v>0</v>
      </c>
      <c r="I30" s="1134">
        <f>SUMIFS('ACTUALS (M)'!$G32:$DV32,'ACTUALS (M)'!$G$6:$DV$6,'VERSUS (M)'!H$5,'ACTUALS (M)'!$G$7:$DV$7,'VERSUS (M)'!$D$4)</f>
        <v>0</v>
      </c>
      <c r="J30" s="1206">
        <f t="shared" si="3"/>
        <v>0</v>
      </c>
      <c r="K30" s="93"/>
      <c r="L30" s="1195">
        <f>IF(N$5&lt;'ACTUALS (M)'!$E$5,0,DASHBOARD!O210*(1+$A30))</f>
        <v>0</v>
      </c>
      <c r="M30" s="1134">
        <f>SUMIFS('ACTUALS (M)'!$G32:$DV32,'ACTUALS (M)'!$G$6:$DV$6,'VERSUS (M)'!L$5,'ACTUALS (M)'!$G$7:$DV$7,'VERSUS (M)'!$D$4)</f>
        <v>0</v>
      </c>
      <c r="N30" s="1206">
        <f t="shared" si="4"/>
        <v>0</v>
      </c>
      <c r="O30" s="93"/>
      <c r="P30" s="1195">
        <f>IF(R$5&lt;'ACTUALS (M)'!$E$5,0,DASHBOARD!S210*(1+$A30))</f>
        <v>0</v>
      </c>
      <c r="Q30" s="1134">
        <f>SUMIFS('ACTUALS (M)'!$G32:$DV32,'ACTUALS (M)'!$G$6:$DV$6,'VERSUS (M)'!P$5,'ACTUALS (M)'!$G$7:$DV$7,'VERSUS (M)'!$D$4)</f>
        <v>0</v>
      </c>
      <c r="R30" s="1206">
        <f t="shared" si="5"/>
        <v>0</v>
      </c>
      <c r="S30" s="93"/>
      <c r="T30" s="1195">
        <f>IF(V$5&lt;'ACTUALS (M)'!$E$5,0,DASHBOARD!W210*(1+$A30))</f>
        <v>0</v>
      </c>
      <c r="U30" s="1134">
        <f>SUMIFS('ACTUALS (M)'!$G32:$DV32,'ACTUALS (M)'!$G$6:$DV$6,'VERSUS (M)'!T$5,'ACTUALS (M)'!$G$7:$DV$7,'VERSUS (M)'!$D$4)</f>
        <v>0</v>
      </c>
      <c r="V30" s="1206">
        <f t="shared" si="6"/>
        <v>0</v>
      </c>
      <c r="W30" s="93"/>
      <c r="X30" s="1195">
        <f>IF(Z$5&lt;'ACTUALS (M)'!$E$5,0,DASHBOARD!AA210*(1+$A30))</f>
        <v>0</v>
      </c>
      <c r="Y30" s="1134">
        <f>SUMIFS('ACTUALS (M)'!$G32:$DV32,'ACTUALS (M)'!$G$6:$DV$6,'VERSUS (M)'!X$5,'ACTUALS (M)'!$G$7:$DV$7,'VERSUS (M)'!$D$4)</f>
        <v>0</v>
      </c>
      <c r="Z30" s="1206">
        <f t="shared" si="7"/>
        <v>0</v>
      </c>
      <c r="AA30" s="93"/>
      <c r="AB30" s="1195">
        <f>IF(AD$5&lt;'ACTUALS (M)'!$E$5,0,DASHBOARD!AE210*(1+$A30))</f>
        <v>0</v>
      </c>
      <c r="AC30" s="1134">
        <f>SUMIFS('ACTUALS (M)'!$G32:$DV32,'ACTUALS (M)'!$G$6:$DV$6,'VERSUS (M)'!AB$5,'ACTUALS (M)'!$G$7:$DV$7,'VERSUS (M)'!$D$4)</f>
        <v>0</v>
      </c>
      <c r="AD30" s="1206">
        <f t="shared" si="8"/>
        <v>0</v>
      </c>
      <c r="AE30" s="93"/>
      <c r="AF30" s="1195">
        <f>IF(AH$5&lt;'ACTUALS (M)'!$E$5,0,DASHBOARD!AI210*(1+$A30))</f>
        <v>0</v>
      </c>
      <c r="AG30" s="1134">
        <f>SUMIFS('ACTUALS (M)'!$G32:$DV32,'ACTUALS (M)'!$G$6:$DV$6,'VERSUS (M)'!AF$5,'ACTUALS (M)'!$G$7:$DV$7,'VERSUS (M)'!$D$4)</f>
        <v>0</v>
      </c>
      <c r="AH30" s="1206">
        <f t="shared" si="9"/>
        <v>0</v>
      </c>
      <c r="AI30" s="93"/>
      <c r="AJ30" s="1195">
        <f>IF(AL$5&lt;'ACTUALS (M)'!$E$5,0,DASHBOARD!AM210*(1+$A30))</f>
        <v>0</v>
      </c>
      <c r="AK30" s="1134">
        <f>SUMIFS('ACTUALS (M)'!$G32:$DV32,'ACTUALS (M)'!$G$6:$DV$6,'VERSUS (M)'!AJ$5,'ACTUALS (M)'!$G$7:$DV$7,'VERSUS (M)'!$D$4)</f>
        <v>0</v>
      </c>
      <c r="AL30" s="1206">
        <f t="shared" si="10"/>
        <v>0</v>
      </c>
      <c r="AM30" s="93"/>
      <c r="AN30" s="1195">
        <f>IF(AP$5&lt;'ACTUALS (M)'!$E$5,0,DASHBOARD!AQ210*(1+$A30))</f>
        <v>0</v>
      </c>
      <c r="AO30" s="1134">
        <f>SUMIFS('ACTUALS (M)'!$G32:$DV32,'ACTUALS (M)'!$G$6:$DV$6,'VERSUS (M)'!AN$5,'ACTUALS (M)'!$G$7:$DV$7,'VERSUS (M)'!$D$4)</f>
        <v>0</v>
      </c>
      <c r="AP30" s="1206">
        <f t="shared" si="11"/>
        <v>0</v>
      </c>
      <c r="AQ30" s="93"/>
      <c r="AR30" s="1195">
        <f>IF(AT$5&lt;'ACTUALS (M)'!$E$5,0,DASHBOARD!AU210*(1+$A30))</f>
        <v>0</v>
      </c>
      <c r="AS30" s="1134">
        <f>SUMIFS('ACTUALS (M)'!$G32:$DV32,'ACTUALS (M)'!$G$6:$DV$6,'VERSUS (M)'!AR$5,'ACTUALS (M)'!$G$7:$DV$7,'VERSUS (M)'!$D$4)</f>
        <v>0</v>
      </c>
      <c r="AT30" s="1206">
        <f t="shared" si="12"/>
        <v>0</v>
      </c>
      <c r="AU30" s="93"/>
      <c r="AV30" s="1195">
        <f>IF(AX$5&lt;'ACTUALS (M)'!$E$5,0,DASHBOARD!AY210*(1+$A30))</f>
        <v>0</v>
      </c>
      <c r="AW30" s="1134">
        <f>SUMIFS('ACTUALS (M)'!$G32:$DV32,'ACTUALS (M)'!$G$6:$DV$6,'VERSUS (M)'!AV$5,'ACTUALS (M)'!$G$7:$DV$7,'VERSUS (M)'!$D$4)</f>
        <v>0</v>
      </c>
      <c r="AX30" s="1206">
        <f t="shared" si="13"/>
        <v>0</v>
      </c>
      <c r="AY30" s="93"/>
      <c r="AZ30" s="1195">
        <f>IF(BB$5&lt;'ACTUALS (M)'!$E$5,0,DASHBOARD!BC210*(1+$A30))</f>
        <v>0</v>
      </c>
      <c r="BA30" s="1134">
        <f>SUMIFS('ACTUALS (M)'!$G32:$DV32,'ACTUALS (M)'!$G$6:$DV$6,'VERSUS (M)'!AZ$5,'ACTUALS (M)'!$G$7:$DV$7,'VERSUS (M)'!$D$4)</f>
        <v>0</v>
      </c>
      <c r="BB30" s="1206">
        <f t="shared" si="14"/>
        <v>0</v>
      </c>
    </row>
    <row r="31" spans="1:56" s="1000" customFormat="1" ht="15" customHeight="1" x14ac:dyDescent="0.3">
      <c r="A31" s="1614">
        <f>IFERROR(SUMIF(FORECASTS!$E$4:$AI$4,'VERSUS (M)'!$D$4,FORECASTS!E54:AI54)/DASHBOARD!BH211-1,0)</f>
        <v>0</v>
      </c>
      <c r="B31" s="334" t="str">
        <f>DASHBOARD!AQ122</f>
        <v>Rent Insurance</v>
      </c>
      <c r="C31" s="93"/>
      <c r="D31" s="1619">
        <f t="shared" si="1"/>
        <v>0</v>
      </c>
      <c r="E31" s="1121">
        <f t="shared" si="2"/>
        <v>0</v>
      </c>
      <c r="F31" s="1627">
        <f t="shared" si="15"/>
        <v>0</v>
      </c>
      <c r="G31" s="93"/>
      <c r="H31" s="1205">
        <f>IF(J$5&lt;'ACTUALS (M)'!$E$5,0,DASHBOARD!K211*(1+$A31))</f>
        <v>0</v>
      </c>
      <c r="I31" s="1134">
        <f>SUMIFS('ACTUALS (M)'!$G33:$DV33,'ACTUALS (M)'!$G$6:$DV$6,'VERSUS (M)'!H$5,'ACTUALS (M)'!$G$7:$DV$7,'VERSUS (M)'!$D$4)</f>
        <v>0</v>
      </c>
      <c r="J31" s="1206">
        <f t="shared" si="3"/>
        <v>0</v>
      </c>
      <c r="K31" s="93"/>
      <c r="L31" s="1195">
        <f>IF(N$5&lt;'ACTUALS (M)'!$E$5,0,DASHBOARD!O211*(1+$A31))</f>
        <v>0</v>
      </c>
      <c r="M31" s="1134">
        <f>SUMIFS('ACTUALS (M)'!$G33:$DV33,'ACTUALS (M)'!$G$6:$DV$6,'VERSUS (M)'!L$5,'ACTUALS (M)'!$G$7:$DV$7,'VERSUS (M)'!$D$4)</f>
        <v>0</v>
      </c>
      <c r="N31" s="1206">
        <f t="shared" si="4"/>
        <v>0</v>
      </c>
      <c r="O31" s="93"/>
      <c r="P31" s="1195">
        <f>IF(R$5&lt;'ACTUALS (M)'!$E$5,0,DASHBOARD!S211*(1+$A31))</f>
        <v>0</v>
      </c>
      <c r="Q31" s="1134">
        <f>SUMIFS('ACTUALS (M)'!$G33:$DV33,'ACTUALS (M)'!$G$6:$DV$6,'VERSUS (M)'!P$5,'ACTUALS (M)'!$G$7:$DV$7,'VERSUS (M)'!$D$4)</f>
        <v>0</v>
      </c>
      <c r="R31" s="1206">
        <f t="shared" si="5"/>
        <v>0</v>
      </c>
      <c r="S31" s="93"/>
      <c r="T31" s="1195">
        <f>IF(V$5&lt;'ACTUALS (M)'!$E$5,0,DASHBOARD!W211*(1+$A31))</f>
        <v>0</v>
      </c>
      <c r="U31" s="1134">
        <f>SUMIFS('ACTUALS (M)'!$G33:$DV33,'ACTUALS (M)'!$G$6:$DV$6,'VERSUS (M)'!T$5,'ACTUALS (M)'!$G$7:$DV$7,'VERSUS (M)'!$D$4)</f>
        <v>0</v>
      </c>
      <c r="V31" s="1206">
        <f t="shared" si="6"/>
        <v>0</v>
      </c>
      <c r="W31" s="93"/>
      <c r="X31" s="1195">
        <f>IF(Z$5&lt;'ACTUALS (M)'!$E$5,0,DASHBOARD!AA211*(1+$A31))</f>
        <v>0</v>
      </c>
      <c r="Y31" s="1134">
        <f>SUMIFS('ACTUALS (M)'!$G33:$DV33,'ACTUALS (M)'!$G$6:$DV$6,'VERSUS (M)'!X$5,'ACTUALS (M)'!$G$7:$DV$7,'VERSUS (M)'!$D$4)</f>
        <v>0</v>
      </c>
      <c r="Z31" s="1206">
        <f t="shared" si="7"/>
        <v>0</v>
      </c>
      <c r="AA31" s="93"/>
      <c r="AB31" s="1195">
        <f>IF(AD$5&lt;'ACTUALS (M)'!$E$5,0,DASHBOARD!AE211*(1+$A31))</f>
        <v>0</v>
      </c>
      <c r="AC31" s="1134">
        <f>SUMIFS('ACTUALS (M)'!$G33:$DV33,'ACTUALS (M)'!$G$6:$DV$6,'VERSUS (M)'!AB$5,'ACTUALS (M)'!$G$7:$DV$7,'VERSUS (M)'!$D$4)</f>
        <v>0</v>
      </c>
      <c r="AD31" s="1206">
        <f t="shared" si="8"/>
        <v>0</v>
      </c>
      <c r="AE31" s="93"/>
      <c r="AF31" s="1195">
        <f>IF(AH$5&lt;'ACTUALS (M)'!$E$5,0,DASHBOARD!AI211*(1+$A31))</f>
        <v>0</v>
      </c>
      <c r="AG31" s="1134">
        <f>SUMIFS('ACTUALS (M)'!$G33:$DV33,'ACTUALS (M)'!$G$6:$DV$6,'VERSUS (M)'!AF$5,'ACTUALS (M)'!$G$7:$DV$7,'VERSUS (M)'!$D$4)</f>
        <v>0</v>
      </c>
      <c r="AH31" s="1206">
        <f t="shared" si="9"/>
        <v>0</v>
      </c>
      <c r="AI31" s="93"/>
      <c r="AJ31" s="1195">
        <f>IF(AL$5&lt;'ACTUALS (M)'!$E$5,0,DASHBOARD!AM211*(1+$A31))</f>
        <v>0</v>
      </c>
      <c r="AK31" s="1134">
        <f>SUMIFS('ACTUALS (M)'!$G33:$DV33,'ACTUALS (M)'!$G$6:$DV$6,'VERSUS (M)'!AJ$5,'ACTUALS (M)'!$G$7:$DV$7,'VERSUS (M)'!$D$4)</f>
        <v>0</v>
      </c>
      <c r="AL31" s="1206">
        <f t="shared" si="10"/>
        <v>0</v>
      </c>
      <c r="AM31" s="93"/>
      <c r="AN31" s="1195">
        <f>IF(AP$5&lt;'ACTUALS (M)'!$E$5,0,DASHBOARD!AQ211*(1+$A31))</f>
        <v>0</v>
      </c>
      <c r="AO31" s="1134">
        <f>SUMIFS('ACTUALS (M)'!$G33:$DV33,'ACTUALS (M)'!$G$6:$DV$6,'VERSUS (M)'!AN$5,'ACTUALS (M)'!$G$7:$DV$7,'VERSUS (M)'!$D$4)</f>
        <v>0</v>
      </c>
      <c r="AP31" s="1206">
        <f t="shared" si="11"/>
        <v>0</v>
      </c>
      <c r="AQ31" s="93"/>
      <c r="AR31" s="1195">
        <f>IF(AT$5&lt;'ACTUALS (M)'!$E$5,0,DASHBOARD!AU211*(1+$A31))</f>
        <v>0</v>
      </c>
      <c r="AS31" s="1134">
        <f>SUMIFS('ACTUALS (M)'!$G33:$DV33,'ACTUALS (M)'!$G$6:$DV$6,'VERSUS (M)'!AR$5,'ACTUALS (M)'!$G$7:$DV$7,'VERSUS (M)'!$D$4)</f>
        <v>0</v>
      </c>
      <c r="AT31" s="1206">
        <f t="shared" si="12"/>
        <v>0</v>
      </c>
      <c r="AU31" s="93"/>
      <c r="AV31" s="1195">
        <f>IF(AX$5&lt;'ACTUALS (M)'!$E$5,0,DASHBOARD!AY211*(1+$A31))</f>
        <v>0</v>
      </c>
      <c r="AW31" s="1134">
        <f>SUMIFS('ACTUALS (M)'!$G33:$DV33,'ACTUALS (M)'!$G$6:$DV$6,'VERSUS (M)'!AV$5,'ACTUALS (M)'!$G$7:$DV$7,'VERSUS (M)'!$D$4)</f>
        <v>0</v>
      </c>
      <c r="AX31" s="1206">
        <f t="shared" si="13"/>
        <v>0</v>
      </c>
      <c r="AY31" s="93"/>
      <c r="AZ31" s="1195">
        <f>IF(BB$5&lt;'ACTUALS (M)'!$E$5,0,DASHBOARD!BC211*(1+$A31))</f>
        <v>0</v>
      </c>
      <c r="BA31" s="1134">
        <f>SUMIFS('ACTUALS (M)'!$G33:$DV33,'ACTUALS (M)'!$G$6:$DV$6,'VERSUS (M)'!AZ$5,'ACTUALS (M)'!$G$7:$DV$7,'VERSUS (M)'!$D$4)</f>
        <v>0</v>
      </c>
      <c r="BB31" s="1206">
        <f t="shared" si="14"/>
        <v>0</v>
      </c>
    </row>
    <row r="32" spans="1:56" s="1000" customFormat="1" ht="15" customHeight="1" x14ac:dyDescent="0.3">
      <c r="A32" s="1614">
        <f>IFERROR(SUMIF(FORECASTS!$E$4:$AI$4,'VERSUS (M)'!$D$4,FORECASTS!E56:AI56)/DASHBOARD!BH212-1,0)</f>
        <v>0</v>
      </c>
      <c r="B32" s="334" t="str">
        <f>DASHBOARD!AQ123</f>
        <v>Legal</v>
      </c>
      <c r="C32" s="93"/>
      <c r="D32" s="1619">
        <f t="shared" si="1"/>
        <v>0</v>
      </c>
      <c r="E32" s="1121">
        <f t="shared" si="2"/>
        <v>0</v>
      </c>
      <c r="F32" s="1627">
        <f t="shared" si="15"/>
        <v>0</v>
      </c>
      <c r="G32" s="93"/>
      <c r="H32" s="1205">
        <f>IF(J$5&lt;'ACTUALS (M)'!$E$5,0,DASHBOARD!K212*(1+$A32))</f>
        <v>0</v>
      </c>
      <c r="I32" s="1134">
        <f>SUMIFS('ACTUALS (M)'!$G34:$DV34,'ACTUALS (M)'!$G$6:$DV$6,'VERSUS (M)'!H$5,'ACTUALS (M)'!$G$7:$DV$7,'VERSUS (M)'!$D$4)</f>
        <v>0</v>
      </c>
      <c r="J32" s="1206">
        <f t="shared" si="3"/>
        <v>0</v>
      </c>
      <c r="K32" s="93"/>
      <c r="L32" s="1195">
        <f>IF(N$5&lt;'ACTUALS (M)'!$E$5,0,DASHBOARD!O212*(1+$A32))</f>
        <v>0</v>
      </c>
      <c r="M32" s="1134">
        <f>SUMIFS('ACTUALS (M)'!$G34:$DV34,'ACTUALS (M)'!$G$6:$DV$6,'VERSUS (M)'!L$5,'ACTUALS (M)'!$G$7:$DV$7,'VERSUS (M)'!$D$4)</f>
        <v>0</v>
      </c>
      <c r="N32" s="1206">
        <f t="shared" si="4"/>
        <v>0</v>
      </c>
      <c r="O32" s="93"/>
      <c r="P32" s="1195">
        <f>IF(R$5&lt;'ACTUALS (M)'!$E$5,0,DASHBOARD!S212*(1+$A32))</f>
        <v>0</v>
      </c>
      <c r="Q32" s="1134">
        <f>SUMIFS('ACTUALS (M)'!$G34:$DV34,'ACTUALS (M)'!$G$6:$DV$6,'VERSUS (M)'!P$5,'ACTUALS (M)'!$G$7:$DV$7,'VERSUS (M)'!$D$4)</f>
        <v>0</v>
      </c>
      <c r="R32" s="1206">
        <f t="shared" si="5"/>
        <v>0</v>
      </c>
      <c r="S32" s="93"/>
      <c r="T32" s="1195">
        <f>IF(V$5&lt;'ACTUALS (M)'!$E$5,0,DASHBOARD!W212*(1+$A32))</f>
        <v>0</v>
      </c>
      <c r="U32" s="1134">
        <f>SUMIFS('ACTUALS (M)'!$G34:$DV34,'ACTUALS (M)'!$G$6:$DV$6,'VERSUS (M)'!T$5,'ACTUALS (M)'!$G$7:$DV$7,'VERSUS (M)'!$D$4)</f>
        <v>0</v>
      </c>
      <c r="V32" s="1206">
        <f t="shared" si="6"/>
        <v>0</v>
      </c>
      <c r="W32" s="93"/>
      <c r="X32" s="1195">
        <f>IF(Z$5&lt;'ACTUALS (M)'!$E$5,0,DASHBOARD!AA212*(1+$A32))</f>
        <v>0</v>
      </c>
      <c r="Y32" s="1134">
        <f>SUMIFS('ACTUALS (M)'!$G34:$DV34,'ACTUALS (M)'!$G$6:$DV$6,'VERSUS (M)'!X$5,'ACTUALS (M)'!$G$7:$DV$7,'VERSUS (M)'!$D$4)</f>
        <v>0</v>
      </c>
      <c r="Z32" s="1206">
        <f t="shared" si="7"/>
        <v>0</v>
      </c>
      <c r="AA32" s="93"/>
      <c r="AB32" s="1195">
        <f>IF(AD$5&lt;'ACTUALS (M)'!$E$5,0,DASHBOARD!AE212*(1+$A32))</f>
        <v>0</v>
      </c>
      <c r="AC32" s="1134">
        <f>SUMIFS('ACTUALS (M)'!$G34:$DV34,'ACTUALS (M)'!$G$6:$DV$6,'VERSUS (M)'!AB$5,'ACTUALS (M)'!$G$7:$DV$7,'VERSUS (M)'!$D$4)</f>
        <v>0</v>
      </c>
      <c r="AD32" s="1206">
        <f t="shared" si="8"/>
        <v>0</v>
      </c>
      <c r="AE32" s="93"/>
      <c r="AF32" s="1195">
        <f>IF(AH$5&lt;'ACTUALS (M)'!$E$5,0,DASHBOARD!AI212*(1+$A32))</f>
        <v>0</v>
      </c>
      <c r="AG32" s="1134">
        <f>SUMIFS('ACTUALS (M)'!$G34:$DV34,'ACTUALS (M)'!$G$6:$DV$6,'VERSUS (M)'!AF$5,'ACTUALS (M)'!$G$7:$DV$7,'VERSUS (M)'!$D$4)</f>
        <v>0</v>
      </c>
      <c r="AH32" s="1206">
        <f t="shared" si="9"/>
        <v>0</v>
      </c>
      <c r="AI32" s="93"/>
      <c r="AJ32" s="1195">
        <f>IF(AL$5&lt;'ACTUALS (M)'!$E$5,0,DASHBOARD!AM212*(1+$A32))</f>
        <v>0</v>
      </c>
      <c r="AK32" s="1134">
        <f>SUMIFS('ACTUALS (M)'!$G34:$DV34,'ACTUALS (M)'!$G$6:$DV$6,'VERSUS (M)'!AJ$5,'ACTUALS (M)'!$G$7:$DV$7,'VERSUS (M)'!$D$4)</f>
        <v>0</v>
      </c>
      <c r="AL32" s="1206">
        <f t="shared" si="10"/>
        <v>0</v>
      </c>
      <c r="AM32" s="93"/>
      <c r="AN32" s="1195">
        <f>IF(AP$5&lt;'ACTUALS (M)'!$E$5,0,DASHBOARD!AQ212*(1+$A32))</f>
        <v>0</v>
      </c>
      <c r="AO32" s="1134">
        <f>SUMIFS('ACTUALS (M)'!$G34:$DV34,'ACTUALS (M)'!$G$6:$DV$6,'VERSUS (M)'!AN$5,'ACTUALS (M)'!$G$7:$DV$7,'VERSUS (M)'!$D$4)</f>
        <v>0</v>
      </c>
      <c r="AP32" s="1206">
        <f t="shared" si="11"/>
        <v>0</v>
      </c>
      <c r="AQ32" s="93"/>
      <c r="AR32" s="1195">
        <f>IF(AT$5&lt;'ACTUALS (M)'!$E$5,0,DASHBOARD!AU212*(1+$A32))</f>
        <v>0</v>
      </c>
      <c r="AS32" s="1134">
        <f>SUMIFS('ACTUALS (M)'!$G34:$DV34,'ACTUALS (M)'!$G$6:$DV$6,'VERSUS (M)'!AR$5,'ACTUALS (M)'!$G$7:$DV$7,'VERSUS (M)'!$D$4)</f>
        <v>0</v>
      </c>
      <c r="AT32" s="1206">
        <f t="shared" si="12"/>
        <v>0</v>
      </c>
      <c r="AU32" s="93"/>
      <c r="AV32" s="1195">
        <f>IF(AX$5&lt;'ACTUALS (M)'!$E$5,0,DASHBOARD!AY212*(1+$A32))</f>
        <v>0</v>
      </c>
      <c r="AW32" s="1134">
        <f>SUMIFS('ACTUALS (M)'!$G34:$DV34,'ACTUALS (M)'!$G$6:$DV$6,'VERSUS (M)'!AV$5,'ACTUALS (M)'!$G$7:$DV$7,'VERSUS (M)'!$D$4)</f>
        <v>0</v>
      </c>
      <c r="AX32" s="1206">
        <f t="shared" si="13"/>
        <v>0</v>
      </c>
      <c r="AY32" s="93"/>
      <c r="AZ32" s="1195">
        <f>IF(BB$5&lt;'ACTUALS (M)'!$E$5,0,DASHBOARD!BC212*(1+$A32))</f>
        <v>0</v>
      </c>
      <c r="BA32" s="1134">
        <f>SUMIFS('ACTUALS (M)'!$G34:$DV34,'ACTUALS (M)'!$G$6:$DV$6,'VERSUS (M)'!AZ$5,'ACTUALS (M)'!$G$7:$DV$7,'VERSUS (M)'!$D$4)</f>
        <v>0</v>
      </c>
      <c r="BB32" s="1206">
        <f t="shared" si="14"/>
        <v>0</v>
      </c>
    </row>
    <row r="33" spans="1:56" s="1000" customFormat="1" ht="15" customHeight="1" x14ac:dyDescent="0.3">
      <c r="A33" s="1614">
        <f>IFERROR(SUMIF(FORECASTS!$E$4:$AI$4,'VERSUS (M)'!$D$4,FORECASTS!E58:AI58)/DASHBOARD!BH213-1,0)</f>
        <v>0</v>
      </c>
      <c r="B33" s="334" t="str">
        <f>DASHBOARD!AQ124</f>
        <v>Advertising</v>
      </c>
      <c r="C33" s="93"/>
      <c r="D33" s="1619">
        <f t="shared" si="1"/>
        <v>0</v>
      </c>
      <c r="E33" s="1121">
        <f t="shared" si="2"/>
        <v>0</v>
      </c>
      <c r="F33" s="1627">
        <f t="shared" si="15"/>
        <v>0</v>
      </c>
      <c r="G33" s="93"/>
      <c r="H33" s="1205">
        <f>IF(J$5&lt;'ACTUALS (M)'!$E$5,0,DASHBOARD!K213*(1+$A33))</f>
        <v>0</v>
      </c>
      <c r="I33" s="1134">
        <f>SUMIFS('ACTUALS (M)'!$G35:$DV35,'ACTUALS (M)'!$G$6:$DV$6,'VERSUS (M)'!H$5,'ACTUALS (M)'!$G$7:$DV$7,'VERSUS (M)'!$D$4)</f>
        <v>0</v>
      </c>
      <c r="J33" s="1206">
        <f t="shared" si="3"/>
        <v>0</v>
      </c>
      <c r="K33" s="93"/>
      <c r="L33" s="1195">
        <f>IF(N$5&lt;'ACTUALS (M)'!$E$5,0,DASHBOARD!O213*(1+$A33))</f>
        <v>0</v>
      </c>
      <c r="M33" s="1134">
        <f>SUMIFS('ACTUALS (M)'!$G35:$DV35,'ACTUALS (M)'!$G$6:$DV$6,'VERSUS (M)'!L$5,'ACTUALS (M)'!$G$7:$DV$7,'VERSUS (M)'!$D$4)</f>
        <v>0</v>
      </c>
      <c r="N33" s="1206">
        <f t="shared" si="4"/>
        <v>0</v>
      </c>
      <c r="O33" s="93"/>
      <c r="P33" s="1195">
        <f>IF(R$5&lt;'ACTUALS (M)'!$E$5,0,DASHBOARD!S213*(1+$A33))</f>
        <v>0</v>
      </c>
      <c r="Q33" s="1134">
        <f>SUMIFS('ACTUALS (M)'!$G35:$DV35,'ACTUALS (M)'!$G$6:$DV$6,'VERSUS (M)'!P$5,'ACTUALS (M)'!$G$7:$DV$7,'VERSUS (M)'!$D$4)</f>
        <v>0</v>
      </c>
      <c r="R33" s="1206">
        <f t="shared" si="5"/>
        <v>0</v>
      </c>
      <c r="S33" s="93"/>
      <c r="T33" s="1195">
        <f>IF(V$5&lt;'ACTUALS (M)'!$E$5,0,DASHBOARD!W213*(1+$A33))</f>
        <v>0</v>
      </c>
      <c r="U33" s="1134">
        <f>SUMIFS('ACTUALS (M)'!$G35:$DV35,'ACTUALS (M)'!$G$6:$DV$6,'VERSUS (M)'!T$5,'ACTUALS (M)'!$G$7:$DV$7,'VERSUS (M)'!$D$4)</f>
        <v>0</v>
      </c>
      <c r="V33" s="1206">
        <f t="shared" si="6"/>
        <v>0</v>
      </c>
      <c r="W33" s="93"/>
      <c r="X33" s="1195">
        <f>IF(Z$5&lt;'ACTUALS (M)'!$E$5,0,DASHBOARD!AA213*(1+$A33))</f>
        <v>0</v>
      </c>
      <c r="Y33" s="1134">
        <f>SUMIFS('ACTUALS (M)'!$G35:$DV35,'ACTUALS (M)'!$G$6:$DV$6,'VERSUS (M)'!X$5,'ACTUALS (M)'!$G$7:$DV$7,'VERSUS (M)'!$D$4)</f>
        <v>0</v>
      </c>
      <c r="Z33" s="1206">
        <f t="shared" si="7"/>
        <v>0</v>
      </c>
      <c r="AA33" s="93"/>
      <c r="AB33" s="1195">
        <f>IF(AD$5&lt;'ACTUALS (M)'!$E$5,0,DASHBOARD!AE213*(1+$A33))</f>
        <v>0</v>
      </c>
      <c r="AC33" s="1134">
        <f>SUMIFS('ACTUALS (M)'!$G35:$DV35,'ACTUALS (M)'!$G$6:$DV$6,'VERSUS (M)'!AB$5,'ACTUALS (M)'!$G$7:$DV$7,'VERSUS (M)'!$D$4)</f>
        <v>0</v>
      </c>
      <c r="AD33" s="1206">
        <f t="shared" si="8"/>
        <v>0</v>
      </c>
      <c r="AE33" s="93"/>
      <c r="AF33" s="1195">
        <f>IF(AH$5&lt;'ACTUALS (M)'!$E$5,0,DASHBOARD!AI213*(1+$A33))</f>
        <v>0</v>
      </c>
      <c r="AG33" s="1134">
        <f>SUMIFS('ACTUALS (M)'!$G35:$DV35,'ACTUALS (M)'!$G$6:$DV$6,'VERSUS (M)'!AF$5,'ACTUALS (M)'!$G$7:$DV$7,'VERSUS (M)'!$D$4)</f>
        <v>0</v>
      </c>
      <c r="AH33" s="1206">
        <f t="shared" si="9"/>
        <v>0</v>
      </c>
      <c r="AI33" s="93"/>
      <c r="AJ33" s="1195">
        <f>IF(AL$5&lt;'ACTUALS (M)'!$E$5,0,DASHBOARD!AM213*(1+$A33))</f>
        <v>0</v>
      </c>
      <c r="AK33" s="1134">
        <f>SUMIFS('ACTUALS (M)'!$G35:$DV35,'ACTUALS (M)'!$G$6:$DV$6,'VERSUS (M)'!AJ$5,'ACTUALS (M)'!$G$7:$DV$7,'VERSUS (M)'!$D$4)</f>
        <v>0</v>
      </c>
      <c r="AL33" s="1206">
        <f t="shared" si="10"/>
        <v>0</v>
      </c>
      <c r="AM33" s="93"/>
      <c r="AN33" s="1195">
        <f>IF(AP$5&lt;'ACTUALS (M)'!$E$5,0,DASHBOARD!AQ213*(1+$A33))</f>
        <v>0</v>
      </c>
      <c r="AO33" s="1134">
        <f>SUMIFS('ACTUALS (M)'!$G35:$DV35,'ACTUALS (M)'!$G$6:$DV$6,'VERSUS (M)'!AN$5,'ACTUALS (M)'!$G$7:$DV$7,'VERSUS (M)'!$D$4)</f>
        <v>0</v>
      </c>
      <c r="AP33" s="1206">
        <f t="shared" si="11"/>
        <v>0</v>
      </c>
      <c r="AQ33" s="93"/>
      <c r="AR33" s="1195">
        <f>IF(AT$5&lt;'ACTUALS (M)'!$E$5,0,DASHBOARD!AU213*(1+$A33))</f>
        <v>0</v>
      </c>
      <c r="AS33" s="1134">
        <f>SUMIFS('ACTUALS (M)'!$G35:$DV35,'ACTUALS (M)'!$G$6:$DV$6,'VERSUS (M)'!AR$5,'ACTUALS (M)'!$G$7:$DV$7,'VERSUS (M)'!$D$4)</f>
        <v>0</v>
      </c>
      <c r="AT33" s="1206">
        <f t="shared" si="12"/>
        <v>0</v>
      </c>
      <c r="AU33" s="93"/>
      <c r="AV33" s="1195">
        <f>IF(AX$5&lt;'ACTUALS (M)'!$E$5,0,DASHBOARD!AY213*(1+$A33))</f>
        <v>0</v>
      </c>
      <c r="AW33" s="1134">
        <f>SUMIFS('ACTUALS (M)'!$G35:$DV35,'ACTUALS (M)'!$G$6:$DV$6,'VERSUS (M)'!AV$5,'ACTUALS (M)'!$G$7:$DV$7,'VERSUS (M)'!$D$4)</f>
        <v>0</v>
      </c>
      <c r="AX33" s="1206">
        <f t="shared" si="13"/>
        <v>0</v>
      </c>
      <c r="AY33" s="93"/>
      <c r="AZ33" s="1195">
        <f>IF(BB$5&lt;'ACTUALS (M)'!$E$5,0,DASHBOARD!BC213*(1+$A33))</f>
        <v>0</v>
      </c>
      <c r="BA33" s="1134">
        <f>SUMIFS('ACTUALS (M)'!$G35:$DV35,'ACTUALS (M)'!$G$6:$DV$6,'VERSUS (M)'!AZ$5,'ACTUALS (M)'!$G$7:$DV$7,'VERSUS (M)'!$D$4)</f>
        <v>0</v>
      </c>
      <c r="BB33" s="1206">
        <f t="shared" si="14"/>
        <v>0</v>
      </c>
    </row>
    <row r="34" spans="1:56" s="1000" customFormat="1" ht="15" customHeight="1" x14ac:dyDescent="0.3">
      <c r="A34" s="1614">
        <f>IFERROR(SUMIF(FORECASTS!$E$4:$AI$4,'VERSUS (M)'!$D$4,FORECASTS!E60:AI60)/DASHBOARD!BH214-1,0)</f>
        <v>0</v>
      </c>
      <c r="B34" s="334" t="str">
        <f>DASHBOARD!AQ125</f>
        <v>Other Cost 1</v>
      </c>
      <c r="C34" s="93"/>
      <c r="D34" s="1619">
        <f t="shared" si="1"/>
        <v>0</v>
      </c>
      <c r="E34" s="1121">
        <f t="shared" si="2"/>
        <v>0</v>
      </c>
      <c r="F34" s="1627">
        <f t="shared" si="15"/>
        <v>0</v>
      </c>
      <c r="G34" s="93"/>
      <c r="H34" s="1205">
        <f>IF(J$5&lt;'ACTUALS (M)'!$E$5,0,DASHBOARD!K214*(1+$A34))</f>
        <v>0</v>
      </c>
      <c r="I34" s="1134">
        <f>SUMIFS('ACTUALS (M)'!$G36:$DV36,'ACTUALS (M)'!$G$6:$DV$6,'VERSUS (M)'!H$5,'ACTUALS (M)'!$G$7:$DV$7,'VERSUS (M)'!$D$4)</f>
        <v>0</v>
      </c>
      <c r="J34" s="1206">
        <f t="shared" si="3"/>
        <v>0</v>
      </c>
      <c r="K34" s="93"/>
      <c r="L34" s="1195">
        <f>IF(N$5&lt;'ACTUALS (M)'!$E$5,0,DASHBOARD!O214*(1+$A34))</f>
        <v>0</v>
      </c>
      <c r="M34" s="1134">
        <f>SUMIFS('ACTUALS (M)'!$G36:$DV36,'ACTUALS (M)'!$G$6:$DV$6,'VERSUS (M)'!L$5,'ACTUALS (M)'!$G$7:$DV$7,'VERSUS (M)'!$D$4)</f>
        <v>0</v>
      </c>
      <c r="N34" s="1206">
        <f t="shared" si="4"/>
        <v>0</v>
      </c>
      <c r="O34" s="93"/>
      <c r="P34" s="1195">
        <f>IF(R$5&lt;'ACTUALS (M)'!$E$5,0,DASHBOARD!S214*(1+$A34))</f>
        <v>0</v>
      </c>
      <c r="Q34" s="1134">
        <f>SUMIFS('ACTUALS (M)'!$G36:$DV36,'ACTUALS (M)'!$G$6:$DV$6,'VERSUS (M)'!P$5,'ACTUALS (M)'!$G$7:$DV$7,'VERSUS (M)'!$D$4)</f>
        <v>0</v>
      </c>
      <c r="R34" s="1206">
        <f t="shared" si="5"/>
        <v>0</v>
      </c>
      <c r="S34" s="93"/>
      <c r="T34" s="1195">
        <f>IF(V$5&lt;'ACTUALS (M)'!$E$5,0,DASHBOARD!W214*(1+$A34))</f>
        <v>0</v>
      </c>
      <c r="U34" s="1134">
        <f>SUMIFS('ACTUALS (M)'!$G36:$DV36,'ACTUALS (M)'!$G$6:$DV$6,'VERSUS (M)'!T$5,'ACTUALS (M)'!$G$7:$DV$7,'VERSUS (M)'!$D$4)</f>
        <v>0</v>
      </c>
      <c r="V34" s="1206">
        <f t="shared" si="6"/>
        <v>0</v>
      </c>
      <c r="W34" s="93"/>
      <c r="X34" s="1195">
        <f>IF(Z$5&lt;'ACTUALS (M)'!$E$5,0,DASHBOARD!AA214*(1+$A34))</f>
        <v>0</v>
      </c>
      <c r="Y34" s="1134">
        <f>SUMIFS('ACTUALS (M)'!$G36:$DV36,'ACTUALS (M)'!$G$6:$DV$6,'VERSUS (M)'!X$5,'ACTUALS (M)'!$G$7:$DV$7,'VERSUS (M)'!$D$4)</f>
        <v>0</v>
      </c>
      <c r="Z34" s="1206">
        <f t="shared" si="7"/>
        <v>0</v>
      </c>
      <c r="AA34" s="93"/>
      <c r="AB34" s="1195">
        <f>IF(AD$5&lt;'ACTUALS (M)'!$E$5,0,DASHBOARD!AE214*(1+$A34))</f>
        <v>0</v>
      </c>
      <c r="AC34" s="1134">
        <f>SUMIFS('ACTUALS (M)'!$G36:$DV36,'ACTUALS (M)'!$G$6:$DV$6,'VERSUS (M)'!AB$5,'ACTUALS (M)'!$G$7:$DV$7,'VERSUS (M)'!$D$4)</f>
        <v>0</v>
      </c>
      <c r="AD34" s="1206">
        <f t="shared" si="8"/>
        <v>0</v>
      </c>
      <c r="AE34" s="93"/>
      <c r="AF34" s="1195">
        <f>IF(AH$5&lt;'ACTUALS (M)'!$E$5,0,DASHBOARD!AI214*(1+$A34))</f>
        <v>0</v>
      </c>
      <c r="AG34" s="1134">
        <f>SUMIFS('ACTUALS (M)'!$G36:$DV36,'ACTUALS (M)'!$G$6:$DV$6,'VERSUS (M)'!AF$5,'ACTUALS (M)'!$G$7:$DV$7,'VERSUS (M)'!$D$4)</f>
        <v>0</v>
      </c>
      <c r="AH34" s="1206">
        <f t="shared" si="9"/>
        <v>0</v>
      </c>
      <c r="AI34" s="93"/>
      <c r="AJ34" s="1195">
        <f>IF(AL$5&lt;'ACTUALS (M)'!$E$5,0,DASHBOARD!AM214*(1+$A34))</f>
        <v>0</v>
      </c>
      <c r="AK34" s="1134">
        <f>SUMIFS('ACTUALS (M)'!$G36:$DV36,'ACTUALS (M)'!$G$6:$DV$6,'VERSUS (M)'!AJ$5,'ACTUALS (M)'!$G$7:$DV$7,'VERSUS (M)'!$D$4)</f>
        <v>0</v>
      </c>
      <c r="AL34" s="1206">
        <f t="shared" si="10"/>
        <v>0</v>
      </c>
      <c r="AM34" s="93"/>
      <c r="AN34" s="1195">
        <f>IF(AP$5&lt;'ACTUALS (M)'!$E$5,0,DASHBOARD!AQ214*(1+$A34))</f>
        <v>0</v>
      </c>
      <c r="AO34" s="1134">
        <f>SUMIFS('ACTUALS (M)'!$G36:$DV36,'ACTUALS (M)'!$G$6:$DV$6,'VERSUS (M)'!AN$5,'ACTUALS (M)'!$G$7:$DV$7,'VERSUS (M)'!$D$4)</f>
        <v>0</v>
      </c>
      <c r="AP34" s="1206">
        <f t="shared" si="11"/>
        <v>0</v>
      </c>
      <c r="AQ34" s="93"/>
      <c r="AR34" s="1195">
        <f>IF(AT$5&lt;'ACTUALS (M)'!$E$5,0,DASHBOARD!AU214*(1+$A34))</f>
        <v>0</v>
      </c>
      <c r="AS34" s="1134">
        <f>SUMIFS('ACTUALS (M)'!$G36:$DV36,'ACTUALS (M)'!$G$6:$DV$6,'VERSUS (M)'!AR$5,'ACTUALS (M)'!$G$7:$DV$7,'VERSUS (M)'!$D$4)</f>
        <v>0</v>
      </c>
      <c r="AT34" s="1206">
        <f t="shared" si="12"/>
        <v>0</v>
      </c>
      <c r="AU34" s="93"/>
      <c r="AV34" s="1195">
        <f>IF(AX$5&lt;'ACTUALS (M)'!$E$5,0,DASHBOARD!AY214*(1+$A34))</f>
        <v>0</v>
      </c>
      <c r="AW34" s="1134">
        <f>SUMIFS('ACTUALS (M)'!$G36:$DV36,'ACTUALS (M)'!$G$6:$DV$6,'VERSUS (M)'!AV$5,'ACTUALS (M)'!$G$7:$DV$7,'VERSUS (M)'!$D$4)</f>
        <v>0</v>
      </c>
      <c r="AX34" s="1206">
        <f t="shared" si="13"/>
        <v>0</v>
      </c>
      <c r="AY34" s="93"/>
      <c r="AZ34" s="1195">
        <f>IF(BB$5&lt;'ACTUALS (M)'!$E$5,0,DASHBOARD!BC214*(1+$A34))</f>
        <v>0</v>
      </c>
      <c r="BA34" s="1134">
        <f>SUMIFS('ACTUALS (M)'!$G36:$DV36,'ACTUALS (M)'!$G$6:$DV$6,'VERSUS (M)'!AZ$5,'ACTUALS (M)'!$G$7:$DV$7,'VERSUS (M)'!$D$4)</f>
        <v>0</v>
      </c>
      <c r="BB34" s="1206">
        <f t="shared" si="14"/>
        <v>0</v>
      </c>
    </row>
    <row r="35" spans="1:56" s="1000" customFormat="1" ht="15" customHeight="1" x14ac:dyDescent="0.3">
      <c r="A35" s="1614">
        <f>IFERROR(SUMIF(FORECASTS!$E$4:$AI$4,'VERSUS (M)'!$D$4,FORECASTS!E62:AI62)/DASHBOARD!BH215-1,0)</f>
        <v>0</v>
      </c>
      <c r="B35" s="334" t="str">
        <f>DASHBOARD!AQ126</f>
        <v>Other Cost 2</v>
      </c>
      <c r="C35" s="93"/>
      <c r="D35" s="1619">
        <f t="shared" si="1"/>
        <v>0</v>
      </c>
      <c r="E35" s="1121">
        <f t="shared" si="2"/>
        <v>0</v>
      </c>
      <c r="F35" s="1627">
        <f t="shared" si="15"/>
        <v>0</v>
      </c>
      <c r="G35" s="93"/>
      <c r="H35" s="1205">
        <f>IF(J$5&lt;'ACTUALS (M)'!$E$5,0,DASHBOARD!K215*(1+$A35))</f>
        <v>0</v>
      </c>
      <c r="I35" s="1134">
        <f>SUMIFS('ACTUALS (M)'!$G37:$DV37,'ACTUALS (M)'!$G$6:$DV$6,'VERSUS (M)'!H$5,'ACTUALS (M)'!$G$7:$DV$7,'VERSUS (M)'!$D$4)</f>
        <v>0</v>
      </c>
      <c r="J35" s="1206">
        <f t="shared" si="3"/>
        <v>0</v>
      </c>
      <c r="K35" s="93"/>
      <c r="L35" s="1195">
        <f>IF(N$5&lt;'ACTUALS (M)'!$E$5,0,DASHBOARD!O215*(1+$A35))</f>
        <v>0</v>
      </c>
      <c r="M35" s="1134">
        <f>SUMIFS('ACTUALS (M)'!$G37:$DV37,'ACTUALS (M)'!$G$6:$DV$6,'VERSUS (M)'!L$5,'ACTUALS (M)'!$G$7:$DV$7,'VERSUS (M)'!$D$4)</f>
        <v>0</v>
      </c>
      <c r="N35" s="1206">
        <f t="shared" si="4"/>
        <v>0</v>
      </c>
      <c r="O35" s="93"/>
      <c r="P35" s="1195">
        <f>IF(R$5&lt;'ACTUALS (M)'!$E$5,0,DASHBOARD!S215*(1+$A35))</f>
        <v>0</v>
      </c>
      <c r="Q35" s="1134">
        <f>SUMIFS('ACTUALS (M)'!$G37:$DV37,'ACTUALS (M)'!$G$6:$DV$6,'VERSUS (M)'!P$5,'ACTUALS (M)'!$G$7:$DV$7,'VERSUS (M)'!$D$4)</f>
        <v>0</v>
      </c>
      <c r="R35" s="1206">
        <f t="shared" si="5"/>
        <v>0</v>
      </c>
      <c r="S35" s="93"/>
      <c r="T35" s="1195">
        <f>IF(V$5&lt;'ACTUALS (M)'!$E$5,0,DASHBOARD!W215*(1+$A35))</f>
        <v>0</v>
      </c>
      <c r="U35" s="1134">
        <f>SUMIFS('ACTUALS (M)'!$G37:$DV37,'ACTUALS (M)'!$G$6:$DV$6,'VERSUS (M)'!T$5,'ACTUALS (M)'!$G$7:$DV$7,'VERSUS (M)'!$D$4)</f>
        <v>0</v>
      </c>
      <c r="V35" s="1206">
        <f t="shared" si="6"/>
        <v>0</v>
      </c>
      <c r="W35" s="93"/>
      <c r="X35" s="1195">
        <f>IF(Z$5&lt;'ACTUALS (M)'!$E$5,0,DASHBOARD!AA215*(1+$A35))</f>
        <v>0</v>
      </c>
      <c r="Y35" s="1134">
        <f>SUMIFS('ACTUALS (M)'!$G37:$DV37,'ACTUALS (M)'!$G$6:$DV$6,'VERSUS (M)'!X$5,'ACTUALS (M)'!$G$7:$DV$7,'VERSUS (M)'!$D$4)</f>
        <v>0</v>
      </c>
      <c r="Z35" s="1206">
        <f t="shared" si="7"/>
        <v>0</v>
      </c>
      <c r="AA35" s="93"/>
      <c r="AB35" s="1195">
        <f>IF(AD$5&lt;'ACTUALS (M)'!$E$5,0,DASHBOARD!AE215*(1+$A35))</f>
        <v>0</v>
      </c>
      <c r="AC35" s="1134">
        <f>SUMIFS('ACTUALS (M)'!$G37:$DV37,'ACTUALS (M)'!$G$6:$DV$6,'VERSUS (M)'!AB$5,'ACTUALS (M)'!$G$7:$DV$7,'VERSUS (M)'!$D$4)</f>
        <v>0</v>
      </c>
      <c r="AD35" s="1206">
        <f t="shared" si="8"/>
        <v>0</v>
      </c>
      <c r="AE35" s="93"/>
      <c r="AF35" s="1195">
        <f>IF(AH$5&lt;'ACTUALS (M)'!$E$5,0,DASHBOARD!AI215*(1+$A35))</f>
        <v>0</v>
      </c>
      <c r="AG35" s="1134">
        <f>SUMIFS('ACTUALS (M)'!$G37:$DV37,'ACTUALS (M)'!$G$6:$DV$6,'VERSUS (M)'!AF$5,'ACTUALS (M)'!$G$7:$DV$7,'VERSUS (M)'!$D$4)</f>
        <v>0</v>
      </c>
      <c r="AH35" s="1206">
        <f t="shared" si="9"/>
        <v>0</v>
      </c>
      <c r="AI35" s="93"/>
      <c r="AJ35" s="1195">
        <f>IF(AL$5&lt;'ACTUALS (M)'!$E$5,0,DASHBOARD!AM215*(1+$A35))</f>
        <v>0</v>
      </c>
      <c r="AK35" s="1134">
        <f>SUMIFS('ACTUALS (M)'!$G37:$DV37,'ACTUALS (M)'!$G$6:$DV$6,'VERSUS (M)'!AJ$5,'ACTUALS (M)'!$G$7:$DV$7,'VERSUS (M)'!$D$4)</f>
        <v>0</v>
      </c>
      <c r="AL35" s="1206">
        <f t="shared" si="10"/>
        <v>0</v>
      </c>
      <c r="AM35" s="93"/>
      <c r="AN35" s="1195">
        <f>IF(AP$5&lt;'ACTUALS (M)'!$E$5,0,DASHBOARD!AQ215*(1+$A35))</f>
        <v>0</v>
      </c>
      <c r="AO35" s="1134">
        <f>SUMIFS('ACTUALS (M)'!$G37:$DV37,'ACTUALS (M)'!$G$6:$DV$6,'VERSUS (M)'!AN$5,'ACTUALS (M)'!$G$7:$DV$7,'VERSUS (M)'!$D$4)</f>
        <v>0</v>
      </c>
      <c r="AP35" s="1206">
        <f t="shared" si="11"/>
        <v>0</v>
      </c>
      <c r="AQ35" s="93"/>
      <c r="AR35" s="1195">
        <f>IF(AT$5&lt;'ACTUALS (M)'!$E$5,0,DASHBOARD!AU215*(1+$A35))</f>
        <v>0</v>
      </c>
      <c r="AS35" s="1134">
        <f>SUMIFS('ACTUALS (M)'!$G37:$DV37,'ACTUALS (M)'!$G$6:$DV$6,'VERSUS (M)'!AR$5,'ACTUALS (M)'!$G$7:$DV$7,'VERSUS (M)'!$D$4)</f>
        <v>0</v>
      </c>
      <c r="AT35" s="1206">
        <f t="shared" si="12"/>
        <v>0</v>
      </c>
      <c r="AU35" s="93"/>
      <c r="AV35" s="1195">
        <f>IF(AX$5&lt;'ACTUALS (M)'!$E$5,0,DASHBOARD!AY215*(1+$A35))</f>
        <v>0</v>
      </c>
      <c r="AW35" s="1134">
        <f>SUMIFS('ACTUALS (M)'!$G37:$DV37,'ACTUALS (M)'!$G$6:$DV$6,'VERSUS (M)'!AV$5,'ACTUALS (M)'!$G$7:$DV$7,'VERSUS (M)'!$D$4)</f>
        <v>0</v>
      </c>
      <c r="AX35" s="1206">
        <f t="shared" si="13"/>
        <v>0</v>
      </c>
      <c r="AY35" s="93"/>
      <c r="AZ35" s="1195">
        <f>IF(BB$5&lt;'ACTUALS (M)'!$E$5,0,DASHBOARD!BC215*(1+$A35))</f>
        <v>0</v>
      </c>
      <c r="BA35" s="1134">
        <f>SUMIFS('ACTUALS (M)'!$G37:$DV37,'ACTUALS (M)'!$G$6:$DV$6,'VERSUS (M)'!AZ$5,'ACTUALS (M)'!$G$7:$DV$7,'VERSUS (M)'!$D$4)</f>
        <v>0</v>
      </c>
      <c r="BB35" s="1206">
        <f t="shared" si="14"/>
        <v>0</v>
      </c>
    </row>
    <row r="36" spans="1:56" s="1000" customFormat="1" ht="15" customHeight="1" x14ac:dyDescent="0.3">
      <c r="A36" s="1614">
        <f>IFERROR(SUMIF(FORECASTS!$E$4:$AI$4,'VERSUS (M)'!$D$4,FORECASTS!E64:AI64)/DASHBOARD!BH216-1,0)</f>
        <v>0</v>
      </c>
      <c r="B36" s="334" t="str">
        <f>DASHBOARD!AQ127</f>
        <v>Miscellaneous (Variable)</v>
      </c>
      <c r="C36" s="93"/>
      <c r="D36" s="1619">
        <f t="shared" si="1"/>
        <v>0</v>
      </c>
      <c r="E36" s="1121">
        <f t="shared" si="2"/>
        <v>0</v>
      </c>
      <c r="F36" s="1627">
        <f t="shared" si="15"/>
        <v>0</v>
      </c>
      <c r="G36" s="93"/>
      <c r="H36" s="1205">
        <f>IF(J$5&lt;'ACTUALS (M)'!$E$5,0,DASHBOARD!K216*(1+$A36))</f>
        <v>0</v>
      </c>
      <c r="I36" s="1134">
        <f>SUMIFS('ACTUALS (M)'!$G38:$DV38,'ACTUALS (M)'!$G$6:$DV$6,'VERSUS (M)'!H$5,'ACTUALS (M)'!$G$7:$DV$7,'VERSUS (M)'!$D$4)</f>
        <v>0</v>
      </c>
      <c r="J36" s="1206">
        <f t="shared" si="3"/>
        <v>0</v>
      </c>
      <c r="K36" s="93"/>
      <c r="L36" s="1195">
        <f>IF(N$5&lt;'ACTUALS (M)'!$E$5,0,DASHBOARD!O216*(1+$A36))</f>
        <v>0</v>
      </c>
      <c r="M36" s="1134">
        <f>SUMIFS('ACTUALS (M)'!$G38:$DV38,'ACTUALS (M)'!$G$6:$DV$6,'VERSUS (M)'!L$5,'ACTUALS (M)'!$G$7:$DV$7,'VERSUS (M)'!$D$4)</f>
        <v>0</v>
      </c>
      <c r="N36" s="1206">
        <f t="shared" si="4"/>
        <v>0</v>
      </c>
      <c r="O36" s="93"/>
      <c r="P36" s="1195">
        <f>IF(R$5&lt;'ACTUALS (M)'!$E$5,0,DASHBOARD!S216*(1+$A36))</f>
        <v>0</v>
      </c>
      <c r="Q36" s="1134">
        <f>SUMIFS('ACTUALS (M)'!$G38:$DV38,'ACTUALS (M)'!$G$6:$DV$6,'VERSUS (M)'!P$5,'ACTUALS (M)'!$G$7:$DV$7,'VERSUS (M)'!$D$4)</f>
        <v>0</v>
      </c>
      <c r="R36" s="1206">
        <f t="shared" si="5"/>
        <v>0</v>
      </c>
      <c r="S36" s="93"/>
      <c r="T36" s="1195">
        <f>IF(V$5&lt;'ACTUALS (M)'!$E$5,0,DASHBOARD!W216*(1+$A36))</f>
        <v>0</v>
      </c>
      <c r="U36" s="1134">
        <f>SUMIFS('ACTUALS (M)'!$G38:$DV38,'ACTUALS (M)'!$G$6:$DV$6,'VERSUS (M)'!T$5,'ACTUALS (M)'!$G$7:$DV$7,'VERSUS (M)'!$D$4)</f>
        <v>0</v>
      </c>
      <c r="V36" s="1206">
        <f t="shared" si="6"/>
        <v>0</v>
      </c>
      <c r="W36" s="93"/>
      <c r="X36" s="1195">
        <f>IF(Z$5&lt;'ACTUALS (M)'!$E$5,0,DASHBOARD!AA216*(1+$A36))</f>
        <v>0</v>
      </c>
      <c r="Y36" s="1134">
        <f>SUMIFS('ACTUALS (M)'!$G38:$DV38,'ACTUALS (M)'!$G$6:$DV$6,'VERSUS (M)'!X$5,'ACTUALS (M)'!$G$7:$DV$7,'VERSUS (M)'!$D$4)</f>
        <v>0</v>
      </c>
      <c r="Z36" s="1206">
        <f t="shared" si="7"/>
        <v>0</v>
      </c>
      <c r="AA36" s="93"/>
      <c r="AB36" s="1195">
        <f>IF(AD$5&lt;'ACTUALS (M)'!$E$5,0,DASHBOARD!AE216*(1+$A36))</f>
        <v>0</v>
      </c>
      <c r="AC36" s="1134">
        <f>SUMIFS('ACTUALS (M)'!$G38:$DV38,'ACTUALS (M)'!$G$6:$DV$6,'VERSUS (M)'!AB$5,'ACTUALS (M)'!$G$7:$DV$7,'VERSUS (M)'!$D$4)</f>
        <v>0</v>
      </c>
      <c r="AD36" s="1206">
        <f t="shared" si="8"/>
        <v>0</v>
      </c>
      <c r="AE36" s="93"/>
      <c r="AF36" s="1195">
        <f>IF(AH$5&lt;'ACTUALS (M)'!$E$5,0,DASHBOARD!AI216*(1+$A36))</f>
        <v>0</v>
      </c>
      <c r="AG36" s="1134">
        <f>SUMIFS('ACTUALS (M)'!$G38:$DV38,'ACTUALS (M)'!$G$6:$DV$6,'VERSUS (M)'!AF$5,'ACTUALS (M)'!$G$7:$DV$7,'VERSUS (M)'!$D$4)</f>
        <v>0</v>
      </c>
      <c r="AH36" s="1206">
        <f t="shared" si="9"/>
        <v>0</v>
      </c>
      <c r="AI36" s="93"/>
      <c r="AJ36" s="1195">
        <f>IF(AL$5&lt;'ACTUALS (M)'!$E$5,0,DASHBOARD!AM216*(1+$A36))</f>
        <v>0</v>
      </c>
      <c r="AK36" s="1134">
        <f>SUMIFS('ACTUALS (M)'!$G38:$DV38,'ACTUALS (M)'!$G$6:$DV$6,'VERSUS (M)'!AJ$5,'ACTUALS (M)'!$G$7:$DV$7,'VERSUS (M)'!$D$4)</f>
        <v>0</v>
      </c>
      <c r="AL36" s="1206">
        <f t="shared" si="10"/>
        <v>0</v>
      </c>
      <c r="AM36" s="93"/>
      <c r="AN36" s="1195">
        <f>IF(AP$5&lt;'ACTUALS (M)'!$E$5,0,DASHBOARD!AQ216*(1+$A36))</f>
        <v>0</v>
      </c>
      <c r="AO36" s="1134">
        <f>SUMIFS('ACTUALS (M)'!$G38:$DV38,'ACTUALS (M)'!$G$6:$DV$6,'VERSUS (M)'!AN$5,'ACTUALS (M)'!$G$7:$DV$7,'VERSUS (M)'!$D$4)</f>
        <v>0</v>
      </c>
      <c r="AP36" s="1206">
        <f t="shared" si="11"/>
        <v>0</v>
      </c>
      <c r="AQ36" s="93"/>
      <c r="AR36" s="1195">
        <f>IF(AT$5&lt;'ACTUALS (M)'!$E$5,0,DASHBOARD!AU216*(1+$A36))</f>
        <v>0</v>
      </c>
      <c r="AS36" s="1134">
        <f>SUMIFS('ACTUALS (M)'!$G38:$DV38,'ACTUALS (M)'!$G$6:$DV$6,'VERSUS (M)'!AR$5,'ACTUALS (M)'!$G$7:$DV$7,'VERSUS (M)'!$D$4)</f>
        <v>0</v>
      </c>
      <c r="AT36" s="1206">
        <f t="shared" si="12"/>
        <v>0</v>
      </c>
      <c r="AU36" s="93"/>
      <c r="AV36" s="1195">
        <f>IF(AX$5&lt;'ACTUALS (M)'!$E$5,0,DASHBOARD!AY216*(1+$A36))</f>
        <v>0</v>
      </c>
      <c r="AW36" s="1134">
        <f>SUMIFS('ACTUALS (M)'!$G38:$DV38,'ACTUALS (M)'!$G$6:$DV$6,'VERSUS (M)'!AV$5,'ACTUALS (M)'!$G$7:$DV$7,'VERSUS (M)'!$D$4)</f>
        <v>0</v>
      </c>
      <c r="AX36" s="1206">
        <f t="shared" si="13"/>
        <v>0</v>
      </c>
      <c r="AY36" s="93"/>
      <c r="AZ36" s="1195">
        <f>IF(BB$5&lt;'ACTUALS (M)'!$E$5,0,DASHBOARD!BC216*(1+$A36))</f>
        <v>0</v>
      </c>
      <c r="BA36" s="1134">
        <f>SUMIFS('ACTUALS (M)'!$G38:$DV38,'ACTUALS (M)'!$G$6:$DV$6,'VERSUS (M)'!AZ$5,'ACTUALS (M)'!$G$7:$DV$7,'VERSUS (M)'!$D$4)</f>
        <v>0</v>
      </c>
      <c r="BB36" s="1206">
        <f t="shared" si="14"/>
        <v>0</v>
      </c>
    </row>
    <row r="37" spans="1:56" s="1000" customFormat="1" ht="15" customHeight="1" x14ac:dyDescent="0.3">
      <c r="A37" s="1614"/>
      <c r="B37" s="334" t="str">
        <f>FORECASTS!B66</f>
        <v>Custom Op. Expense 1</v>
      </c>
      <c r="C37" s="93"/>
      <c r="D37" s="1619">
        <f>H37+L37+P37+T37+X37+AB37+AF37+AJ37+AN37+AR37+AV37+AZ37</f>
        <v>0</v>
      </c>
      <c r="E37" s="1121">
        <f>I37+M37+Q37+U37+Y37+AC37+AG37+AK37+AO37+AS37+AW37+BA37</f>
        <v>0</v>
      </c>
      <c r="F37" s="1627">
        <f>IFERROR(E37-D37,0)</f>
        <v>0</v>
      </c>
      <c r="G37" s="93"/>
      <c r="H37" s="1205">
        <f>IF(J$5&lt;'ACTUALS (M)'!$E$5,0,SUMIF(FORECASTS!$E$4:$AI$4,'VERSUS (M)'!$D$4,FORECASTS!$E66:$AI66)/12)</f>
        <v>0</v>
      </c>
      <c r="I37" s="1134">
        <f>SUMIFS('ACTUALS (M)'!$G39:$DV39,'ACTUALS (M)'!$G$6:$DV$6,'VERSUS (M)'!H$5,'ACTUALS (M)'!$G$7:$DV$7,'VERSUS (M)'!$D$4)</f>
        <v>0</v>
      </c>
      <c r="J37" s="1206">
        <f t="shared" si="3"/>
        <v>0</v>
      </c>
      <c r="K37" s="93"/>
      <c r="L37" s="1205">
        <f>IF(N$5&lt;'ACTUALS (M)'!$E$5,0,SUMIF(FORECASTS!$E$4:$AI$4,'VERSUS (M)'!$D$4,FORECASTS!$E66:$AI66)/12)</f>
        <v>0</v>
      </c>
      <c r="M37" s="1134">
        <f>SUMIFS('ACTUALS (M)'!$G39:$DV39,'ACTUALS (M)'!$G$6:$DV$6,'VERSUS (M)'!L$5,'ACTUALS (M)'!$G$7:$DV$7,'VERSUS (M)'!$D$4)</f>
        <v>0</v>
      </c>
      <c r="N37" s="1206">
        <f t="shared" si="4"/>
        <v>0</v>
      </c>
      <c r="O37" s="93"/>
      <c r="P37" s="1205">
        <f>IF(R$5&lt;'ACTUALS (M)'!$E$5,0,SUMIF(FORECASTS!$E$4:$AI$4,'VERSUS (M)'!$D$4,FORECASTS!$E66:$AI66)/12)</f>
        <v>0</v>
      </c>
      <c r="Q37" s="1134">
        <f>SUMIFS('ACTUALS (M)'!$G39:$DV39,'ACTUALS (M)'!$G$6:$DV$6,'VERSUS (M)'!P$5,'ACTUALS (M)'!$G$7:$DV$7,'VERSUS (M)'!$D$4)</f>
        <v>0</v>
      </c>
      <c r="R37" s="1206">
        <f t="shared" si="5"/>
        <v>0</v>
      </c>
      <c r="S37" s="93"/>
      <c r="T37" s="1205">
        <f>IF(V$5&lt;'ACTUALS (M)'!$E$5,0,SUMIF(FORECASTS!$E$4:$AI$4,'VERSUS (M)'!$D$4,FORECASTS!$E66:$AI66)/12)</f>
        <v>0</v>
      </c>
      <c r="U37" s="1134">
        <f>SUMIFS('ACTUALS (M)'!$G39:$DV39,'ACTUALS (M)'!$G$6:$DV$6,'VERSUS (M)'!T$5,'ACTUALS (M)'!$G$7:$DV$7,'VERSUS (M)'!$D$4)</f>
        <v>0</v>
      </c>
      <c r="V37" s="1206">
        <f t="shared" si="6"/>
        <v>0</v>
      </c>
      <c r="W37" s="93"/>
      <c r="X37" s="1205">
        <f>IF(Z$5&lt;'ACTUALS (M)'!$E$5,0,SUMIF(FORECASTS!$E$4:$AI$4,'VERSUS (M)'!$D$4,FORECASTS!$E66:$AI66)/12)</f>
        <v>0</v>
      </c>
      <c r="Y37" s="1134">
        <f>SUMIFS('ACTUALS (M)'!$G39:$DV39,'ACTUALS (M)'!$G$6:$DV$6,'VERSUS (M)'!X$5,'ACTUALS (M)'!$G$7:$DV$7,'VERSUS (M)'!$D$4)</f>
        <v>0</v>
      </c>
      <c r="Z37" s="1206">
        <f t="shared" si="7"/>
        <v>0</v>
      </c>
      <c r="AA37" s="93"/>
      <c r="AB37" s="1205">
        <f>IF(AD$5&lt;'ACTUALS (M)'!$E$5,0,SUMIF(FORECASTS!$E$4:$AI$4,'VERSUS (M)'!$D$4,FORECASTS!$E66:$AI66)/12)</f>
        <v>0</v>
      </c>
      <c r="AC37" s="1134">
        <f>SUMIFS('ACTUALS (M)'!$G39:$DV39,'ACTUALS (M)'!$G$6:$DV$6,'VERSUS (M)'!AB$5,'ACTUALS (M)'!$G$7:$DV$7,'VERSUS (M)'!$D$4)</f>
        <v>0</v>
      </c>
      <c r="AD37" s="1206">
        <f t="shared" si="8"/>
        <v>0</v>
      </c>
      <c r="AE37" s="93"/>
      <c r="AF37" s="1205">
        <f>IF(AH$5&lt;'ACTUALS (M)'!$E$5,0,SUMIF(FORECASTS!$E$4:$AI$4,'VERSUS (M)'!$D$4,FORECASTS!$E66:$AI66)/12)</f>
        <v>0</v>
      </c>
      <c r="AG37" s="1134">
        <f>SUMIFS('ACTUALS (M)'!$G39:$DV39,'ACTUALS (M)'!$G$6:$DV$6,'VERSUS (M)'!AF$5,'ACTUALS (M)'!$G$7:$DV$7,'VERSUS (M)'!$D$4)</f>
        <v>0</v>
      </c>
      <c r="AH37" s="1206">
        <f t="shared" si="9"/>
        <v>0</v>
      </c>
      <c r="AI37" s="93"/>
      <c r="AJ37" s="1205">
        <f>IF(AL$5&lt;'ACTUALS (M)'!$E$5,0,SUMIF(FORECASTS!$E$4:$AI$4,'VERSUS (M)'!$D$4,FORECASTS!$E66:$AI66)/12)</f>
        <v>0</v>
      </c>
      <c r="AK37" s="1134">
        <f>SUMIFS('ACTUALS (M)'!$G39:$DV39,'ACTUALS (M)'!$G$6:$DV$6,'VERSUS (M)'!AJ$5,'ACTUALS (M)'!$G$7:$DV$7,'VERSUS (M)'!$D$4)</f>
        <v>0</v>
      </c>
      <c r="AL37" s="1206">
        <f t="shared" si="10"/>
        <v>0</v>
      </c>
      <c r="AM37" s="93"/>
      <c r="AN37" s="1205">
        <f>IF(AP$5&lt;'ACTUALS (M)'!$E$5,0,SUMIF(FORECASTS!$E$4:$AI$4,'VERSUS (M)'!$D$4,FORECASTS!$E66:$AI66)/12)</f>
        <v>0</v>
      </c>
      <c r="AO37" s="1134">
        <f>SUMIFS('ACTUALS (M)'!$G39:$DV39,'ACTUALS (M)'!$G$6:$DV$6,'VERSUS (M)'!AN$5,'ACTUALS (M)'!$G$7:$DV$7,'VERSUS (M)'!$D$4)</f>
        <v>0</v>
      </c>
      <c r="AP37" s="1206">
        <f t="shared" si="11"/>
        <v>0</v>
      </c>
      <c r="AQ37" s="93"/>
      <c r="AR37" s="1205">
        <f>IF(AT$5&lt;'ACTUALS (M)'!$E$5,0,SUMIF(FORECASTS!$E$4:$AI$4,'VERSUS (M)'!$D$4,FORECASTS!$E66:$AI66)/12)</f>
        <v>0</v>
      </c>
      <c r="AS37" s="1134">
        <f>SUMIFS('ACTUALS (M)'!$G39:$DV39,'ACTUALS (M)'!$G$6:$DV$6,'VERSUS (M)'!AR$5,'ACTUALS (M)'!$G$7:$DV$7,'VERSUS (M)'!$D$4)</f>
        <v>0</v>
      </c>
      <c r="AT37" s="1206">
        <f t="shared" si="12"/>
        <v>0</v>
      </c>
      <c r="AU37" s="93"/>
      <c r="AV37" s="1205">
        <f>IF(AX$5&lt;'ACTUALS (M)'!$E$5,0,SUMIF(FORECASTS!$E$4:$AI$4,'VERSUS (M)'!$D$4,FORECASTS!$E66:$AI66)/12)</f>
        <v>0</v>
      </c>
      <c r="AW37" s="1134">
        <f>SUMIFS('ACTUALS (M)'!$G39:$DV39,'ACTUALS (M)'!$G$6:$DV$6,'VERSUS (M)'!AV$5,'ACTUALS (M)'!$G$7:$DV$7,'VERSUS (M)'!$D$4)</f>
        <v>0</v>
      </c>
      <c r="AX37" s="1206">
        <f t="shared" si="13"/>
        <v>0</v>
      </c>
      <c r="AY37" s="93"/>
      <c r="AZ37" s="1205">
        <f>IF(BB$5&lt;'ACTUALS (M)'!$E$5,0,SUMIF(FORECASTS!$E$4:$AI$4,'VERSUS (M)'!$D$4,FORECASTS!$E66:$AI66)/12)</f>
        <v>0</v>
      </c>
      <c r="BA37" s="1134">
        <f>SUMIFS('ACTUALS (M)'!$G39:$DV39,'ACTUALS (M)'!$G$6:$DV$6,'VERSUS (M)'!AZ$5,'ACTUALS (M)'!$G$7:$DV$7,'VERSUS (M)'!$D$4)</f>
        <v>0</v>
      </c>
      <c r="BB37" s="1206">
        <f t="shared" si="14"/>
        <v>0</v>
      </c>
    </row>
    <row r="38" spans="1:56" s="1068" customFormat="1" ht="15" customHeight="1" x14ac:dyDescent="0.3">
      <c r="A38" s="1616"/>
      <c r="B38" s="334" t="str">
        <f>FORECASTS!B67</f>
        <v>Custom Op. Expense 2</v>
      </c>
      <c r="C38" s="93"/>
      <c r="D38" s="1619">
        <f>H38+L38+P38+T38+X38+AB38+AF38+AJ38+AN38+AR38+AV38+AZ38</f>
        <v>0</v>
      </c>
      <c r="E38" s="1121">
        <f>I38+M38+Q38+U38+Y38+AC38+AG38+AK38+AO38+AS38+AW38+BA38</f>
        <v>0</v>
      </c>
      <c r="F38" s="1627">
        <f>IFERROR(E38-D38,0)</f>
        <v>0</v>
      </c>
      <c r="G38" s="93"/>
      <c r="H38" s="1205">
        <f>IF(J$5&lt;'ACTUALS (M)'!$E$5,0,SUMIF(FORECASTS!$E$4:$AI$4,'VERSUS (M)'!$D$4,FORECASTS!$E67:$AI67)/12)</f>
        <v>0</v>
      </c>
      <c r="I38" s="1134">
        <f>SUMIFS('ACTUALS (M)'!$G40:$DV40,'ACTUALS (M)'!$G$6:$DV$6,'VERSUS (M)'!H$5,'ACTUALS (M)'!$G$7:$DV$7,'VERSUS (M)'!$D$4)</f>
        <v>0</v>
      </c>
      <c r="J38" s="1206">
        <f t="shared" si="3"/>
        <v>0</v>
      </c>
      <c r="K38" s="93"/>
      <c r="L38" s="1205">
        <f>IF(N$5&lt;'ACTUALS (M)'!$E$5,0,SUMIF(FORECASTS!$E$4:$AI$4,'VERSUS (M)'!$D$4,FORECASTS!$E67:$AI67)/12)</f>
        <v>0</v>
      </c>
      <c r="M38" s="1134">
        <f>SUMIFS('ACTUALS (M)'!$G40:$DV40,'ACTUALS (M)'!$G$6:$DV$6,'VERSUS (M)'!L$5,'ACTUALS (M)'!$G$7:$DV$7,'VERSUS (M)'!$D$4)</f>
        <v>0</v>
      </c>
      <c r="N38" s="1206">
        <f t="shared" si="4"/>
        <v>0</v>
      </c>
      <c r="O38" s="93"/>
      <c r="P38" s="1205">
        <f>IF(R$5&lt;'ACTUALS (M)'!$E$5,0,SUMIF(FORECASTS!$E$4:$AI$4,'VERSUS (M)'!$D$4,FORECASTS!$E67:$AI67)/12)</f>
        <v>0</v>
      </c>
      <c r="Q38" s="1134">
        <f>SUMIFS('ACTUALS (M)'!$G40:$DV40,'ACTUALS (M)'!$G$6:$DV$6,'VERSUS (M)'!P$5,'ACTUALS (M)'!$G$7:$DV$7,'VERSUS (M)'!$D$4)</f>
        <v>0</v>
      </c>
      <c r="R38" s="1206">
        <f t="shared" si="5"/>
        <v>0</v>
      </c>
      <c r="S38" s="93"/>
      <c r="T38" s="1205">
        <f>IF(V$5&lt;'ACTUALS (M)'!$E$5,0,SUMIF(FORECASTS!$E$4:$AI$4,'VERSUS (M)'!$D$4,FORECASTS!$E67:$AI67)/12)</f>
        <v>0</v>
      </c>
      <c r="U38" s="1134">
        <f>SUMIFS('ACTUALS (M)'!$G40:$DV40,'ACTUALS (M)'!$G$6:$DV$6,'VERSUS (M)'!T$5,'ACTUALS (M)'!$G$7:$DV$7,'VERSUS (M)'!$D$4)</f>
        <v>0</v>
      </c>
      <c r="V38" s="1206">
        <f t="shared" si="6"/>
        <v>0</v>
      </c>
      <c r="W38" s="93"/>
      <c r="X38" s="1205">
        <f>IF(Z$5&lt;'ACTUALS (M)'!$E$5,0,SUMIF(FORECASTS!$E$4:$AI$4,'VERSUS (M)'!$D$4,FORECASTS!$E67:$AI67)/12)</f>
        <v>0</v>
      </c>
      <c r="Y38" s="1134">
        <f>SUMIFS('ACTUALS (M)'!$G40:$DV40,'ACTUALS (M)'!$G$6:$DV$6,'VERSUS (M)'!X$5,'ACTUALS (M)'!$G$7:$DV$7,'VERSUS (M)'!$D$4)</f>
        <v>0</v>
      </c>
      <c r="Z38" s="1206">
        <f t="shared" si="7"/>
        <v>0</v>
      </c>
      <c r="AA38" s="93"/>
      <c r="AB38" s="1205">
        <f>IF(AD$5&lt;'ACTUALS (M)'!$E$5,0,SUMIF(FORECASTS!$E$4:$AI$4,'VERSUS (M)'!$D$4,FORECASTS!$E67:$AI67)/12)</f>
        <v>0</v>
      </c>
      <c r="AC38" s="1134">
        <f>SUMIFS('ACTUALS (M)'!$G40:$DV40,'ACTUALS (M)'!$G$6:$DV$6,'VERSUS (M)'!AB$5,'ACTUALS (M)'!$G$7:$DV$7,'VERSUS (M)'!$D$4)</f>
        <v>0</v>
      </c>
      <c r="AD38" s="1206">
        <f t="shared" si="8"/>
        <v>0</v>
      </c>
      <c r="AE38" s="93"/>
      <c r="AF38" s="1205">
        <f>IF(AH$5&lt;'ACTUALS (M)'!$E$5,0,SUMIF(FORECASTS!$E$4:$AI$4,'VERSUS (M)'!$D$4,FORECASTS!$E67:$AI67)/12)</f>
        <v>0</v>
      </c>
      <c r="AG38" s="1134">
        <f>SUMIFS('ACTUALS (M)'!$G40:$DV40,'ACTUALS (M)'!$G$6:$DV$6,'VERSUS (M)'!AF$5,'ACTUALS (M)'!$G$7:$DV$7,'VERSUS (M)'!$D$4)</f>
        <v>0</v>
      </c>
      <c r="AH38" s="1206">
        <f t="shared" si="9"/>
        <v>0</v>
      </c>
      <c r="AI38" s="93"/>
      <c r="AJ38" s="1205">
        <f>IF(AL$5&lt;'ACTUALS (M)'!$E$5,0,SUMIF(FORECASTS!$E$4:$AI$4,'VERSUS (M)'!$D$4,FORECASTS!$E67:$AI67)/12)</f>
        <v>0</v>
      </c>
      <c r="AK38" s="1134">
        <f>SUMIFS('ACTUALS (M)'!$G40:$DV40,'ACTUALS (M)'!$G$6:$DV$6,'VERSUS (M)'!AJ$5,'ACTUALS (M)'!$G$7:$DV$7,'VERSUS (M)'!$D$4)</f>
        <v>0</v>
      </c>
      <c r="AL38" s="1206">
        <f t="shared" si="10"/>
        <v>0</v>
      </c>
      <c r="AM38" s="93"/>
      <c r="AN38" s="1205">
        <f>IF(AP$5&lt;'ACTUALS (M)'!$E$5,0,SUMIF(FORECASTS!$E$4:$AI$4,'VERSUS (M)'!$D$4,FORECASTS!$E67:$AI67)/12)</f>
        <v>0</v>
      </c>
      <c r="AO38" s="1134">
        <f>SUMIFS('ACTUALS (M)'!$G40:$DV40,'ACTUALS (M)'!$G$6:$DV$6,'VERSUS (M)'!AN$5,'ACTUALS (M)'!$G$7:$DV$7,'VERSUS (M)'!$D$4)</f>
        <v>0</v>
      </c>
      <c r="AP38" s="1206">
        <f t="shared" si="11"/>
        <v>0</v>
      </c>
      <c r="AQ38" s="93"/>
      <c r="AR38" s="1205">
        <f>IF(AT$5&lt;'ACTUALS (M)'!$E$5,0,SUMIF(FORECASTS!$E$4:$AI$4,'VERSUS (M)'!$D$4,FORECASTS!$E67:$AI67)/12)</f>
        <v>0</v>
      </c>
      <c r="AS38" s="1134">
        <f>SUMIFS('ACTUALS (M)'!$G40:$DV40,'ACTUALS (M)'!$G$6:$DV$6,'VERSUS (M)'!AR$5,'ACTUALS (M)'!$G$7:$DV$7,'VERSUS (M)'!$D$4)</f>
        <v>0</v>
      </c>
      <c r="AT38" s="1206">
        <f t="shared" si="12"/>
        <v>0</v>
      </c>
      <c r="AU38" s="93"/>
      <c r="AV38" s="1205">
        <f>IF(AX$5&lt;'ACTUALS (M)'!$E$5,0,SUMIF(FORECASTS!$E$4:$AI$4,'VERSUS (M)'!$D$4,FORECASTS!$E67:$AI67)/12)</f>
        <v>0</v>
      </c>
      <c r="AW38" s="1134">
        <f>SUMIFS('ACTUALS (M)'!$G40:$DV40,'ACTUALS (M)'!$G$6:$DV$6,'VERSUS (M)'!AV$5,'ACTUALS (M)'!$G$7:$DV$7,'VERSUS (M)'!$D$4)</f>
        <v>0</v>
      </c>
      <c r="AX38" s="1206">
        <f t="shared" si="13"/>
        <v>0</v>
      </c>
      <c r="AY38" s="93"/>
      <c r="AZ38" s="1205">
        <f>IF(BB$5&lt;'ACTUALS (M)'!$E$5,0,SUMIF(FORECASTS!$E$4:$AI$4,'VERSUS (M)'!$D$4,FORECASTS!$E67:$AI67)/12)</f>
        <v>0</v>
      </c>
      <c r="BA38" s="1134">
        <f>SUMIFS('ACTUALS (M)'!$G40:$DV40,'ACTUALS (M)'!$G$6:$DV$6,'VERSUS (M)'!AZ$5,'ACTUALS (M)'!$G$7:$DV$7,'VERSUS (M)'!$D$4)</f>
        <v>0</v>
      </c>
      <c r="BB38" s="1206">
        <f t="shared" si="14"/>
        <v>0</v>
      </c>
      <c r="BC38" s="1000"/>
      <c r="BD38" s="1000"/>
    </row>
    <row r="39" spans="1:56" s="1000" customFormat="1" ht="15" customHeight="1" x14ac:dyDescent="0.3">
      <c r="A39" s="1616"/>
      <c r="B39" s="997" t="s">
        <v>1</v>
      </c>
      <c r="C39" s="93"/>
      <c r="D39" s="1628">
        <f>SUM(D19:D38)</f>
        <v>0</v>
      </c>
      <c r="E39" s="1015">
        <f>SUM(E19:E38)</f>
        <v>0</v>
      </c>
      <c r="F39" s="1632">
        <f>SUM(F19:F38)</f>
        <v>0</v>
      </c>
      <c r="G39" s="93"/>
      <c r="H39" s="1207">
        <f>SUM(H19:H38)</f>
        <v>0</v>
      </c>
      <c r="I39" s="1015">
        <f t="shared" ref="I39:N39" si="16">SUM(I19:I38)</f>
        <v>0</v>
      </c>
      <c r="J39" s="1211">
        <f t="shared" si="16"/>
        <v>0</v>
      </c>
      <c r="K39" s="93"/>
      <c r="L39" s="1207">
        <f t="shared" si="16"/>
        <v>0</v>
      </c>
      <c r="M39" s="1015">
        <f t="shared" si="16"/>
        <v>0</v>
      </c>
      <c r="N39" s="1211">
        <f t="shared" si="16"/>
        <v>0</v>
      </c>
      <c r="O39" s="93"/>
      <c r="P39" s="1207">
        <f>SUM(P19:P38)</f>
        <v>0</v>
      </c>
      <c r="Q39" s="1015">
        <f>SUM(Q19:Q38)</f>
        <v>0</v>
      </c>
      <c r="R39" s="1211">
        <f>SUM(R19:R38)</f>
        <v>0</v>
      </c>
      <c r="S39" s="93"/>
      <c r="T39" s="1207">
        <f>SUM(T19:T38)</f>
        <v>0</v>
      </c>
      <c r="U39" s="1015">
        <f>SUM(U19:U38)</f>
        <v>0</v>
      </c>
      <c r="V39" s="1211">
        <f>SUM(V19:V38)</f>
        <v>0</v>
      </c>
      <c r="W39" s="93"/>
      <c r="X39" s="1207">
        <f>SUM(X19:X38)</f>
        <v>0</v>
      </c>
      <c r="Y39" s="1015">
        <f>SUM(Y19:Y38)</f>
        <v>0</v>
      </c>
      <c r="Z39" s="1211">
        <f>SUM(Z19:Z38)</f>
        <v>0</v>
      </c>
      <c r="AA39" s="93"/>
      <c r="AB39" s="1207">
        <f>SUM(AB19:AB38)</f>
        <v>0</v>
      </c>
      <c r="AC39" s="1015">
        <f>SUM(AC19:AC38)</f>
        <v>0</v>
      </c>
      <c r="AD39" s="1211">
        <f>SUM(AD19:AD38)</f>
        <v>0</v>
      </c>
      <c r="AE39" s="93"/>
      <c r="AF39" s="1207">
        <f>SUM(AF19:AF38)</f>
        <v>0</v>
      </c>
      <c r="AG39" s="1015">
        <f>SUM(AG19:AG38)</f>
        <v>0</v>
      </c>
      <c r="AH39" s="1211">
        <f>SUM(AH19:AH38)</f>
        <v>0</v>
      </c>
      <c r="AI39" s="93"/>
      <c r="AJ39" s="1207">
        <f>SUM(AJ19:AJ38)</f>
        <v>0</v>
      </c>
      <c r="AK39" s="1015">
        <f>SUM(AK19:AK38)</f>
        <v>0</v>
      </c>
      <c r="AL39" s="1211">
        <f>SUM(AL19:AL38)</f>
        <v>0</v>
      </c>
      <c r="AM39" s="93"/>
      <c r="AN39" s="1207">
        <f>SUM(AN19:AN38)</f>
        <v>0</v>
      </c>
      <c r="AO39" s="1015">
        <f>SUM(AO19:AO38)</f>
        <v>0</v>
      </c>
      <c r="AP39" s="1211">
        <f>SUM(AP19:AP38)</f>
        <v>0</v>
      </c>
      <c r="AQ39" s="93"/>
      <c r="AR39" s="1207">
        <f>SUM(AR19:AR38)</f>
        <v>0</v>
      </c>
      <c r="AS39" s="1015">
        <f>SUM(AS19:AS38)</f>
        <v>0</v>
      </c>
      <c r="AT39" s="1211">
        <f>SUM(AT19:AT38)</f>
        <v>0</v>
      </c>
      <c r="AU39" s="93"/>
      <c r="AV39" s="1207">
        <f>SUM(AV19:AV38)</f>
        <v>0</v>
      </c>
      <c r="AW39" s="1015">
        <f>SUM(AW19:AW38)</f>
        <v>0</v>
      </c>
      <c r="AX39" s="1211">
        <f>SUM(AX19:AX38)</f>
        <v>0</v>
      </c>
      <c r="AY39" s="93"/>
      <c r="AZ39" s="1207">
        <f>SUM(AZ19:AZ38)</f>
        <v>0</v>
      </c>
      <c r="BA39" s="1015">
        <f>SUM(BA19:BA38)</f>
        <v>0</v>
      </c>
      <c r="BB39" s="1211">
        <f>SUM(BB19:BB38)</f>
        <v>0</v>
      </c>
    </row>
    <row r="40" spans="1:56" s="1000" customFormat="1" ht="15" customHeight="1" x14ac:dyDescent="0.3">
      <c r="A40" s="1616"/>
      <c r="B40" s="1090" t="s">
        <v>588</v>
      </c>
      <c r="C40" s="93"/>
      <c r="D40" s="1633">
        <f>IFERROR(-D39/D11,0)</f>
        <v>0</v>
      </c>
      <c r="E40" s="1213"/>
      <c r="F40" s="1634"/>
      <c r="G40" s="93"/>
      <c r="H40" s="1212">
        <f>IFERROR(-H39/H11,0)</f>
        <v>0</v>
      </c>
      <c r="I40" s="1213">
        <f>IFERROR(-I39/I11,0)</f>
        <v>0</v>
      </c>
      <c r="J40" s="1214">
        <f>IFERROR(-J39/J11,0)</f>
        <v>0</v>
      </c>
      <c r="K40" s="93"/>
      <c r="L40" s="1212">
        <f>IFERROR(-L39/L11,0)</f>
        <v>0</v>
      </c>
      <c r="M40" s="1213">
        <f>IFERROR(-M39/M11,0)</f>
        <v>0</v>
      </c>
      <c r="N40" s="1214">
        <f>IFERROR(-N39/N11,0)</f>
        <v>0</v>
      </c>
      <c r="O40" s="93"/>
      <c r="P40" s="1212">
        <f>IFERROR(-P39/P11,0)</f>
        <v>0</v>
      </c>
      <c r="Q40" s="1213">
        <f>IFERROR(-Q39/Q11,0)</f>
        <v>0</v>
      </c>
      <c r="R40" s="1214">
        <f>IFERROR(-R39/R11,0)</f>
        <v>0</v>
      </c>
      <c r="S40" s="93"/>
      <c r="T40" s="1212">
        <f>IFERROR(-T39/T11,0)</f>
        <v>0</v>
      </c>
      <c r="U40" s="1213">
        <f>IFERROR(-U39/U11,0)</f>
        <v>0</v>
      </c>
      <c r="V40" s="1214">
        <f>IFERROR(-V39/V11,0)</f>
        <v>0</v>
      </c>
      <c r="W40" s="93"/>
      <c r="X40" s="1212">
        <f>IFERROR(-X39/X11,0)</f>
        <v>0</v>
      </c>
      <c r="Y40" s="1213">
        <f>IFERROR(-Y39/Y11,0)</f>
        <v>0</v>
      </c>
      <c r="Z40" s="1214">
        <f>IFERROR(-Z39/Z11,0)</f>
        <v>0</v>
      </c>
      <c r="AA40" s="93"/>
      <c r="AB40" s="1212">
        <f>IFERROR(-AB39/AB11,0)</f>
        <v>0</v>
      </c>
      <c r="AC40" s="1213">
        <f>IFERROR(-AC39/AC11,0)</f>
        <v>0</v>
      </c>
      <c r="AD40" s="1214">
        <f>IFERROR(-AD39/AD11,0)</f>
        <v>0</v>
      </c>
      <c r="AE40" s="93"/>
      <c r="AF40" s="1212">
        <f>IFERROR(-AF39/AF11,0)</f>
        <v>0</v>
      </c>
      <c r="AG40" s="1213">
        <f>IFERROR(-AG39/AG11,0)</f>
        <v>0</v>
      </c>
      <c r="AH40" s="1214">
        <f>IFERROR(-AH39/AH11,0)</f>
        <v>0</v>
      </c>
      <c r="AI40" s="93"/>
      <c r="AJ40" s="1212">
        <f>IFERROR(-AJ39/AJ11,0)</f>
        <v>0</v>
      </c>
      <c r="AK40" s="1213">
        <f>IFERROR(-AK39/AK11,0)</f>
        <v>0</v>
      </c>
      <c r="AL40" s="1214">
        <f>IFERROR(-AL39/AL11,0)</f>
        <v>0</v>
      </c>
      <c r="AM40" s="93"/>
      <c r="AN40" s="1212">
        <f>IFERROR(-AN39/AN11,0)</f>
        <v>0</v>
      </c>
      <c r="AO40" s="1213">
        <f>IFERROR(-AO39/AO11,0)</f>
        <v>0</v>
      </c>
      <c r="AP40" s="1214">
        <f>IFERROR(-AP39/AP11,0)</f>
        <v>0</v>
      </c>
      <c r="AQ40" s="93"/>
      <c r="AR40" s="1212">
        <f>IFERROR(-AR39/AR11,0)</f>
        <v>0</v>
      </c>
      <c r="AS40" s="1213">
        <f>IFERROR(-AS39/AS11,0)</f>
        <v>0</v>
      </c>
      <c r="AT40" s="1214">
        <f>IFERROR(-AT39/AT11,0)</f>
        <v>0</v>
      </c>
      <c r="AU40" s="93"/>
      <c r="AV40" s="1212">
        <f>IFERROR(-AV39/AV11,0)</f>
        <v>0</v>
      </c>
      <c r="AW40" s="1213">
        <f>IFERROR(-AW39/AW11,0)</f>
        <v>0</v>
      </c>
      <c r="AX40" s="1214">
        <f>IFERROR(-AX39/AX11,0)</f>
        <v>0</v>
      </c>
      <c r="AY40" s="93"/>
      <c r="AZ40" s="1212">
        <f>IFERROR(-AZ39/AZ11,0)</f>
        <v>0</v>
      </c>
      <c r="BA40" s="1213">
        <f>IFERROR(-BA39/BA11,0)</f>
        <v>0</v>
      </c>
      <c r="BB40" s="1214">
        <f>IFERROR(-BB39/BB11,0)</f>
        <v>0</v>
      </c>
      <c r="BC40" s="1068"/>
      <c r="BD40" s="1068"/>
    </row>
    <row r="41" spans="1:56" s="1068" customFormat="1" ht="15" customHeight="1" x14ac:dyDescent="0.3">
      <c r="A41" s="1616"/>
      <c r="B41" s="334"/>
      <c r="C41" s="93"/>
      <c r="D41" s="1630"/>
      <c r="E41" s="84"/>
      <c r="F41" s="1635"/>
      <c r="G41" s="93"/>
      <c r="H41" s="1209"/>
      <c r="I41" s="84"/>
      <c r="J41" s="1215"/>
      <c r="K41" s="93"/>
      <c r="L41" s="1209"/>
      <c r="M41" s="84"/>
      <c r="N41" s="1215"/>
      <c r="O41" s="93"/>
      <c r="P41" s="1209"/>
      <c r="Q41" s="84"/>
      <c r="R41" s="1215"/>
      <c r="S41" s="93"/>
      <c r="T41" s="1209"/>
      <c r="U41" s="84"/>
      <c r="V41" s="1215"/>
      <c r="W41" s="93"/>
      <c r="X41" s="1209"/>
      <c r="Y41" s="84"/>
      <c r="Z41" s="1215"/>
      <c r="AA41" s="93"/>
      <c r="AB41" s="1209"/>
      <c r="AC41" s="84"/>
      <c r="AD41" s="1215"/>
      <c r="AE41" s="93"/>
      <c r="AF41" s="1209"/>
      <c r="AG41" s="84"/>
      <c r="AH41" s="1215"/>
      <c r="AI41" s="93"/>
      <c r="AJ41" s="1209"/>
      <c r="AK41" s="84"/>
      <c r="AL41" s="1215"/>
      <c r="AM41" s="93"/>
      <c r="AN41" s="1209"/>
      <c r="AO41" s="84"/>
      <c r="AP41" s="1215"/>
      <c r="AQ41" s="93"/>
      <c r="AR41" s="1209"/>
      <c r="AS41" s="84"/>
      <c r="AT41" s="1215"/>
      <c r="AU41" s="93"/>
      <c r="AV41" s="1209"/>
      <c r="AW41" s="84"/>
      <c r="AX41" s="1215"/>
      <c r="AY41" s="93"/>
      <c r="AZ41" s="1209"/>
      <c r="BA41" s="84"/>
      <c r="BB41" s="1215"/>
      <c r="BC41" s="1000"/>
      <c r="BD41" s="1000"/>
    </row>
    <row r="42" spans="1:56" s="1000" customFormat="1" ht="15" customHeight="1" x14ac:dyDescent="0.3">
      <c r="A42" s="1614">
        <f>IFERROR(SUMIF(FORECASTS!$E$4:$AI$4,'VERSUS (M)'!$D$4,FORECASTS!E71:AI71)/DASHBOARD!BH220-1,0)</f>
        <v>0</v>
      </c>
      <c r="B42" s="1141" t="s">
        <v>18</v>
      </c>
      <c r="C42" s="93"/>
      <c r="D42" s="1636">
        <f>D17+D39</f>
        <v>0</v>
      </c>
      <c r="E42" s="1038">
        <f>E17+E39</f>
        <v>0</v>
      </c>
      <c r="F42" s="1637">
        <f>F17+F39</f>
        <v>0</v>
      </c>
      <c r="G42" s="93"/>
      <c r="H42" s="1216">
        <f>H17+H39</f>
        <v>0</v>
      </c>
      <c r="I42" s="1038">
        <f>I17+I39</f>
        <v>0</v>
      </c>
      <c r="J42" s="1217">
        <f>J17+J39</f>
        <v>0</v>
      </c>
      <c r="K42" s="93"/>
      <c r="L42" s="1216">
        <f>L17+L39</f>
        <v>0</v>
      </c>
      <c r="M42" s="1038">
        <f>M17+M39</f>
        <v>0</v>
      </c>
      <c r="N42" s="1217">
        <f>N17+N39</f>
        <v>0</v>
      </c>
      <c r="O42" s="93"/>
      <c r="P42" s="1216">
        <f>P17+P39</f>
        <v>0</v>
      </c>
      <c r="Q42" s="1038">
        <f>Q17+Q39</f>
        <v>0</v>
      </c>
      <c r="R42" s="1217">
        <f>R17+R39</f>
        <v>0</v>
      </c>
      <c r="S42" s="93"/>
      <c r="T42" s="1216">
        <f>T17+T39</f>
        <v>0</v>
      </c>
      <c r="U42" s="1038">
        <f>U17+U39</f>
        <v>0</v>
      </c>
      <c r="V42" s="1217">
        <f>V17+V39</f>
        <v>0</v>
      </c>
      <c r="W42" s="93"/>
      <c r="X42" s="1216">
        <f>X17+X39</f>
        <v>0</v>
      </c>
      <c r="Y42" s="1038">
        <f>Y17+Y39</f>
        <v>0</v>
      </c>
      <c r="Z42" s="1217">
        <f>Z17+Z39</f>
        <v>0</v>
      </c>
      <c r="AA42" s="93"/>
      <c r="AB42" s="1216">
        <f>AB17+AB39</f>
        <v>0</v>
      </c>
      <c r="AC42" s="1038">
        <f>AC17+AC39</f>
        <v>0</v>
      </c>
      <c r="AD42" s="1217">
        <f>AD17+AD39</f>
        <v>0</v>
      </c>
      <c r="AE42" s="93"/>
      <c r="AF42" s="1216">
        <f>AF17+AF39</f>
        <v>0</v>
      </c>
      <c r="AG42" s="1038">
        <f>AG17+AG39</f>
        <v>0</v>
      </c>
      <c r="AH42" s="1217">
        <f>AH17+AH39</f>
        <v>0</v>
      </c>
      <c r="AI42" s="93"/>
      <c r="AJ42" s="1216">
        <f>AJ17+AJ39</f>
        <v>0</v>
      </c>
      <c r="AK42" s="1038">
        <f>AK17+AK39</f>
        <v>0</v>
      </c>
      <c r="AL42" s="1217">
        <f>AL17+AL39</f>
        <v>0</v>
      </c>
      <c r="AM42" s="93"/>
      <c r="AN42" s="1216">
        <f>AN17+AN39</f>
        <v>0</v>
      </c>
      <c r="AO42" s="1038">
        <f>AO17+AO39</f>
        <v>0</v>
      </c>
      <c r="AP42" s="1217">
        <f>AP17+AP39</f>
        <v>0</v>
      </c>
      <c r="AQ42" s="93"/>
      <c r="AR42" s="1216">
        <f>AR17+AR39</f>
        <v>0</v>
      </c>
      <c r="AS42" s="1038">
        <f>AS17+AS39</f>
        <v>0</v>
      </c>
      <c r="AT42" s="1217">
        <f>AT17+AT39</f>
        <v>0</v>
      </c>
      <c r="AU42" s="93"/>
      <c r="AV42" s="1216">
        <f>AV17+AV39</f>
        <v>0</v>
      </c>
      <c r="AW42" s="1038">
        <f>AW17+AW39</f>
        <v>0</v>
      </c>
      <c r="AX42" s="1217">
        <f>AX17+AX39</f>
        <v>0</v>
      </c>
      <c r="AY42" s="93"/>
      <c r="AZ42" s="1216">
        <f>AZ17+AZ39</f>
        <v>0</v>
      </c>
      <c r="BA42" s="1038">
        <f>BA17+BA39</f>
        <v>0</v>
      </c>
      <c r="BB42" s="1217">
        <f>BB17+BB39</f>
        <v>0</v>
      </c>
    </row>
    <row r="43" spans="1:56" s="1000" customFormat="1" ht="15" customHeight="1" x14ac:dyDescent="0.3">
      <c r="A43" s="1616"/>
      <c r="B43" s="1142" t="s">
        <v>588</v>
      </c>
      <c r="C43" s="93"/>
      <c r="D43" s="1638">
        <f>IFERROR(D42/D11,0)</f>
        <v>0</v>
      </c>
      <c r="E43" s="1062">
        <f>IFERROR(E42/E11,0)</f>
        <v>0</v>
      </c>
      <c r="F43" s="1639">
        <f>IFERROR(F42/F11,0)</f>
        <v>0</v>
      </c>
      <c r="G43" s="93"/>
      <c r="H43" s="1218">
        <f>IFERROR(H42/H11,0)</f>
        <v>0</v>
      </c>
      <c r="I43" s="1062">
        <f>IFERROR(I42/I11,0)</f>
        <v>0</v>
      </c>
      <c r="J43" s="1219">
        <f>IFERROR(J42/J11,0)</f>
        <v>0</v>
      </c>
      <c r="K43" s="93"/>
      <c r="L43" s="1218">
        <f>IFERROR(L42/L11,0)</f>
        <v>0</v>
      </c>
      <c r="M43" s="1062">
        <f>IFERROR(M42/M11,0)</f>
        <v>0</v>
      </c>
      <c r="N43" s="1219">
        <f>IFERROR(N42/N11,0)</f>
        <v>0</v>
      </c>
      <c r="O43" s="93"/>
      <c r="P43" s="1218">
        <f>IFERROR(P42/P11,0)</f>
        <v>0</v>
      </c>
      <c r="Q43" s="1062">
        <f>IFERROR(Q42/Q11,0)</f>
        <v>0</v>
      </c>
      <c r="R43" s="1219">
        <f>IFERROR(R42/R11,0)</f>
        <v>0</v>
      </c>
      <c r="S43" s="93"/>
      <c r="T43" s="1218">
        <f>IFERROR(T42/T11,0)</f>
        <v>0</v>
      </c>
      <c r="U43" s="1062">
        <f>IFERROR(U42/U11,0)</f>
        <v>0</v>
      </c>
      <c r="V43" s="1219">
        <f>IFERROR(V42/V11,0)</f>
        <v>0</v>
      </c>
      <c r="W43" s="93"/>
      <c r="X43" s="1218">
        <f>IFERROR(X42/X11,0)</f>
        <v>0</v>
      </c>
      <c r="Y43" s="1062">
        <f>IFERROR(Y42/Y11,0)</f>
        <v>0</v>
      </c>
      <c r="Z43" s="1219">
        <f>IFERROR(Z42/Z11,0)</f>
        <v>0</v>
      </c>
      <c r="AA43" s="93"/>
      <c r="AB43" s="1218">
        <f>IFERROR(AB42/AB11,0)</f>
        <v>0</v>
      </c>
      <c r="AC43" s="1062">
        <f>IFERROR(AC42/AC11,0)</f>
        <v>0</v>
      </c>
      <c r="AD43" s="1219">
        <f>IFERROR(AD42/AD11,0)</f>
        <v>0</v>
      </c>
      <c r="AE43" s="93"/>
      <c r="AF43" s="1218">
        <f>IFERROR(AF42/AF11,0)</f>
        <v>0</v>
      </c>
      <c r="AG43" s="1062">
        <f>IFERROR(AG42/AG11,0)</f>
        <v>0</v>
      </c>
      <c r="AH43" s="1219">
        <f>IFERROR(AH42/AH11,0)</f>
        <v>0</v>
      </c>
      <c r="AI43" s="93"/>
      <c r="AJ43" s="1218">
        <f>IFERROR(AJ42/AJ11,0)</f>
        <v>0</v>
      </c>
      <c r="AK43" s="1062">
        <f>IFERROR(AK42/AK11,0)</f>
        <v>0</v>
      </c>
      <c r="AL43" s="1219">
        <f>IFERROR(AL42/AL11,0)</f>
        <v>0</v>
      </c>
      <c r="AM43" s="93"/>
      <c r="AN43" s="1218">
        <f>IFERROR(AN42/AN11,0)</f>
        <v>0</v>
      </c>
      <c r="AO43" s="1062">
        <f>IFERROR(AO42/AO11,0)</f>
        <v>0</v>
      </c>
      <c r="AP43" s="1219">
        <f>IFERROR(AP42/AP11,0)</f>
        <v>0</v>
      </c>
      <c r="AQ43" s="93"/>
      <c r="AR43" s="1218">
        <f>IFERROR(AR42/AR11,0)</f>
        <v>0</v>
      </c>
      <c r="AS43" s="1062">
        <f>IFERROR(AS42/AS11,0)</f>
        <v>0</v>
      </c>
      <c r="AT43" s="1219">
        <f>IFERROR(AT42/AT11,0)</f>
        <v>0</v>
      </c>
      <c r="AU43" s="93"/>
      <c r="AV43" s="1218">
        <f>IFERROR(AV42/AV11,0)</f>
        <v>0</v>
      </c>
      <c r="AW43" s="1062">
        <f>IFERROR(AW42/AW11,0)</f>
        <v>0</v>
      </c>
      <c r="AX43" s="1219">
        <f>IFERROR(AX42/AX11,0)</f>
        <v>0</v>
      </c>
      <c r="AY43" s="93"/>
      <c r="AZ43" s="1218">
        <f>IFERROR(AZ42/AZ11,0)</f>
        <v>0</v>
      </c>
      <c r="BA43" s="1062">
        <f>IFERROR(BA42/BA11,0)</f>
        <v>0</v>
      </c>
      <c r="BB43" s="1219">
        <f>IFERROR(BB42/BB11,0)</f>
        <v>0</v>
      </c>
      <c r="BC43" s="1068"/>
      <c r="BD43" s="1068"/>
    </row>
    <row r="44" spans="1:56" s="1000" customFormat="1" ht="15" customHeight="1" x14ac:dyDescent="0.3">
      <c r="A44" s="1616"/>
      <c r="B44" s="334"/>
      <c r="C44" s="93"/>
      <c r="D44" s="1630"/>
      <c r="E44" s="1123"/>
      <c r="F44" s="1640"/>
      <c r="G44" s="93"/>
      <c r="H44" s="1209"/>
      <c r="I44" s="1123"/>
      <c r="J44" s="1220"/>
      <c r="K44" s="93"/>
      <c r="L44" s="1231"/>
      <c r="M44" s="1123"/>
      <c r="N44" s="1220"/>
      <c r="O44" s="93"/>
      <c r="P44" s="1231"/>
      <c r="Q44" s="1123"/>
      <c r="R44" s="1220"/>
      <c r="S44" s="93"/>
      <c r="T44" s="1231"/>
      <c r="U44" s="1123"/>
      <c r="V44" s="1220"/>
      <c r="W44" s="93"/>
      <c r="X44" s="1231"/>
      <c r="Y44" s="1123"/>
      <c r="Z44" s="1220"/>
      <c r="AA44" s="93"/>
      <c r="AB44" s="1231"/>
      <c r="AC44" s="1123"/>
      <c r="AD44" s="1220"/>
      <c r="AE44" s="93"/>
      <c r="AF44" s="1231"/>
      <c r="AG44" s="1123"/>
      <c r="AH44" s="1220"/>
      <c r="AI44" s="93"/>
      <c r="AJ44" s="1231"/>
      <c r="AK44" s="1123"/>
      <c r="AL44" s="1220"/>
      <c r="AM44" s="93"/>
      <c r="AN44" s="1231"/>
      <c r="AO44" s="1123"/>
      <c r="AP44" s="1220"/>
      <c r="AQ44" s="93"/>
      <c r="AR44" s="1231"/>
      <c r="AS44" s="1123"/>
      <c r="AT44" s="1220"/>
      <c r="AU44" s="93"/>
      <c r="AV44" s="1231"/>
      <c r="AW44" s="1123"/>
      <c r="AX44" s="1220"/>
      <c r="AY44" s="93"/>
      <c r="AZ44" s="1231"/>
      <c r="BA44" s="1123"/>
      <c r="BB44" s="1220"/>
    </row>
    <row r="45" spans="1:56" s="1000" customFormat="1" ht="15" customHeight="1" x14ac:dyDescent="0.3">
      <c r="A45" s="1614">
        <f>IFERROR(SUMIF(FORECASTS!$E$4:$AI$4,'VERSUS (M)'!$D$4,FORECASTS!E74:AI74)/DASHBOARD!BH223-1,0)</f>
        <v>0</v>
      </c>
      <c r="B45" s="334" t="s">
        <v>191</v>
      </c>
      <c r="C45" s="93"/>
      <c r="D45" s="1619">
        <f t="shared" ref="D45:E47" si="17">H45+L45+P45+T45+X45+AB45+AF45+AJ45+AN45+AR45+AV45+AZ45</f>
        <v>0</v>
      </c>
      <c r="E45" s="1121">
        <f t="shared" si="17"/>
        <v>0</v>
      </c>
      <c r="F45" s="1627">
        <f>IFERROR(E45-D45,0)</f>
        <v>0</v>
      </c>
      <c r="G45" s="93"/>
      <c r="H45" s="1205">
        <f>IF(J$5&lt;'ACTUALS (M)'!$E$5,0,DASHBOARD!K223*(1+$A45))</f>
        <v>0</v>
      </c>
      <c r="I45" s="1134">
        <f>SUMIFS('ACTUALS (M)'!$G47:$DV47,'ACTUALS (M)'!$G$6:$DV$6,'VERSUS (M)'!H$5,'ACTUALS (M)'!$G$7:$DV$7,'VERSUS (M)'!$D$4)</f>
        <v>0</v>
      </c>
      <c r="J45" s="1206">
        <f>IFERROR(I45-H45,0)</f>
        <v>0</v>
      </c>
      <c r="K45" s="93"/>
      <c r="L45" s="1195">
        <f>IF(N$5&lt;'ACTUALS (M)'!$E$5,0,DASHBOARD!O223*(1+$A45))</f>
        <v>0</v>
      </c>
      <c r="M45" s="1134">
        <f>SUMIFS('ACTUALS (M)'!$G47:$DV47,'ACTUALS (M)'!$G$6:$DV$6,'VERSUS (M)'!L$5,'ACTUALS (M)'!$G$7:$DV$7,'VERSUS (M)'!$D$4)</f>
        <v>0</v>
      </c>
      <c r="N45" s="1206">
        <f>IFERROR(M45-L45,0)</f>
        <v>0</v>
      </c>
      <c r="O45" s="93"/>
      <c r="P45" s="1195">
        <f>IF(R$5&lt;'ACTUALS (M)'!$E$5,0,DASHBOARD!S223*(1+$A45))</f>
        <v>0</v>
      </c>
      <c r="Q45" s="1134">
        <f>SUMIFS('ACTUALS (M)'!$G47:$DV47,'ACTUALS (M)'!$G$6:$DV$6,'VERSUS (M)'!P$5,'ACTUALS (M)'!$G$7:$DV$7,'VERSUS (M)'!$D$4)</f>
        <v>0</v>
      </c>
      <c r="R45" s="1206">
        <f>IFERROR(Q45-P45,0)</f>
        <v>0</v>
      </c>
      <c r="S45" s="93"/>
      <c r="T45" s="1195">
        <f>IF(V$5&lt;'ACTUALS (M)'!$E$5,0,DASHBOARD!W223*(1+$A45))</f>
        <v>0</v>
      </c>
      <c r="U45" s="1134">
        <f>SUMIFS('ACTUALS (M)'!$G47:$DV47,'ACTUALS (M)'!$G$6:$DV$6,'VERSUS (M)'!T$5,'ACTUALS (M)'!$G$7:$DV$7,'VERSUS (M)'!$D$4)</f>
        <v>0</v>
      </c>
      <c r="V45" s="1206">
        <f>IFERROR(U45-T45,0)</f>
        <v>0</v>
      </c>
      <c r="W45" s="93"/>
      <c r="X45" s="1195">
        <f>IF(Z$5&lt;'ACTUALS (M)'!$E$5,0,DASHBOARD!AA223*(1+$A45))</f>
        <v>0</v>
      </c>
      <c r="Y45" s="1134">
        <f>SUMIFS('ACTUALS (M)'!$G47:$DV47,'ACTUALS (M)'!$G$6:$DV$6,'VERSUS (M)'!X$5,'ACTUALS (M)'!$G$7:$DV$7,'VERSUS (M)'!$D$4)</f>
        <v>0</v>
      </c>
      <c r="Z45" s="1206">
        <f>IFERROR(Y45-X45,0)</f>
        <v>0</v>
      </c>
      <c r="AA45" s="93"/>
      <c r="AB45" s="1195">
        <f>IF(AD$5&lt;'ACTUALS (M)'!$E$5,0,DASHBOARD!AE223*(1+$A45))</f>
        <v>0</v>
      </c>
      <c r="AC45" s="1134">
        <f>SUMIFS('ACTUALS (M)'!$G47:$DV47,'ACTUALS (M)'!$G$6:$DV$6,'VERSUS (M)'!AB$5,'ACTUALS (M)'!$G$7:$DV$7,'VERSUS (M)'!$D$4)</f>
        <v>0</v>
      </c>
      <c r="AD45" s="1206">
        <f>IFERROR(AC45-AB45,0)</f>
        <v>0</v>
      </c>
      <c r="AE45" s="93"/>
      <c r="AF45" s="1195">
        <f>IF(AH$5&lt;'ACTUALS (M)'!$E$5,0,DASHBOARD!AI223*(1+$A45))</f>
        <v>0</v>
      </c>
      <c r="AG45" s="1134">
        <f>SUMIFS('ACTUALS (M)'!$G47:$DV47,'ACTUALS (M)'!$G$6:$DV$6,'VERSUS (M)'!AF$5,'ACTUALS (M)'!$G$7:$DV$7,'VERSUS (M)'!$D$4)</f>
        <v>0</v>
      </c>
      <c r="AH45" s="1206">
        <f>IFERROR(AG45-AF45,0)</f>
        <v>0</v>
      </c>
      <c r="AI45" s="93"/>
      <c r="AJ45" s="1195">
        <f>IF(AL$5&lt;'ACTUALS (M)'!$E$5,0,DASHBOARD!AM223*(1+$A45))</f>
        <v>0</v>
      </c>
      <c r="AK45" s="1134">
        <f>SUMIFS('ACTUALS (M)'!$G47:$DV47,'ACTUALS (M)'!$G$6:$DV$6,'VERSUS (M)'!AJ$5,'ACTUALS (M)'!$G$7:$DV$7,'VERSUS (M)'!$D$4)</f>
        <v>0</v>
      </c>
      <c r="AL45" s="1206">
        <f>IFERROR(AK45-AJ45,0)</f>
        <v>0</v>
      </c>
      <c r="AM45" s="93"/>
      <c r="AN45" s="1195">
        <f>IF(AP$5&lt;'ACTUALS (M)'!$E$5,0,DASHBOARD!AQ223*(1+$A45))</f>
        <v>0</v>
      </c>
      <c r="AO45" s="1134">
        <f>SUMIFS('ACTUALS (M)'!$G47:$DV47,'ACTUALS (M)'!$G$6:$DV$6,'VERSUS (M)'!AN$5,'ACTUALS (M)'!$G$7:$DV$7,'VERSUS (M)'!$D$4)</f>
        <v>0</v>
      </c>
      <c r="AP45" s="1206">
        <f>IFERROR(AO45-AN45,0)</f>
        <v>0</v>
      </c>
      <c r="AQ45" s="93"/>
      <c r="AR45" s="1195">
        <f>IF(AT$5&lt;'ACTUALS (M)'!$E$5,0,DASHBOARD!AU223*(1+$A45))</f>
        <v>0</v>
      </c>
      <c r="AS45" s="1134">
        <f>SUMIFS('ACTUALS (M)'!$G47:$DV47,'ACTUALS (M)'!$G$6:$DV$6,'VERSUS (M)'!AR$5,'ACTUALS (M)'!$G$7:$DV$7,'VERSUS (M)'!$D$4)</f>
        <v>0</v>
      </c>
      <c r="AT45" s="1206">
        <f>IFERROR(AS45-AR45,0)</f>
        <v>0</v>
      </c>
      <c r="AU45" s="93"/>
      <c r="AV45" s="1195">
        <f>IF(AX$5&lt;'ACTUALS (M)'!$E$5,0,DASHBOARD!AY223*(1+$A45))</f>
        <v>0</v>
      </c>
      <c r="AW45" s="1134">
        <f>SUMIFS('ACTUALS (M)'!$G47:$DV47,'ACTUALS (M)'!$G$6:$DV$6,'VERSUS (M)'!AV$5,'ACTUALS (M)'!$G$7:$DV$7,'VERSUS (M)'!$D$4)</f>
        <v>0</v>
      </c>
      <c r="AX45" s="1206">
        <f>IFERROR(AW45-AV45,0)</f>
        <v>0</v>
      </c>
      <c r="AY45" s="93"/>
      <c r="AZ45" s="1195">
        <f>IF(BB$5&lt;'ACTUALS (M)'!$E$5,0,DASHBOARD!BC223*(1+$A45))</f>
        <v>0</v>
      </c>
      <c r="BA45" s="1134">
        <f>SUMIFS('ACTUALS (M)'!$G47:$DV47,'ACTUALS (M)'!$G$6:$DV$6,'VERSUS (M)'!AZ$5,'ACTUALS (M)'!$G$7:$DV$7,'VERSUS (M)'!$D$4)</f>
        <v>0</v>
      </c>
      <c r="BB45" s="1206">
        <f>IFERROR(BA45-AZ45,0)</f>
        <v>0</v>
      </c>
    </row>
    <row r="46" spans="1:56" s="1000" customFormat="1" ht="15" customHeight="1" x14ac:dyDescent="0.3">
      <c r="A46" s="1614"/>
      <c r="B46" s="334" t="str">
        <f>FORECASTS!B76</f>
        <v>Non Op. Expense 1</v>
      </c>
      <c r="C46" s="93"/>
      <c r="D46" s="1619">
        <f t="shared" si="17"/>
        <v>0</v>
      </c>
      <c r="E46" s="1121">
        <f t="shared" si="17"/>
        <v>0</v>
      </c>
      <c r="F46" s="1627">
        <f>IFERROR(E46-D46,0)</f>
        <v>0</v>
      </c>
      <c r="G46" s="93"/>
      <c r="H46" s="1205">
        <f>IF(J$5&lt;'ACTUALS (M)'!$E$5,0,SUMIF(FORECASTS!$E$4:$AI$4,'VERSUS (M)'!$D$4,FORECASTS!$E76:$AI76)/12)</f>
        <v>0</v>
      </c>
      <c r="I46" s="1134">
        <f>SUMIFS('ACTUALS (M)'!$G48:$DV48,'ACTUALS (M)'!$G$6:$DV$6,'VERSUS (M)'!H$5,'ACTUALS (M)'!$G$7:$DV$7,'VERSUS (M)'!$D$4)</f>
        <v>0</v>
      </c>
      <c r="J46" s="1206">
        <f>IFERROR(I46-H46,0)</f>
        <v>0</v>
      </c>
      <c r="K46" s="93"/>
      <c r="L46" s="1205">
        <f>IF(N$5&lt;'ACTUALS (M)'!$E$5,0,SUMIF(FORECASTS!$E$4:$AI$4,'VERSUS (M)'!$D$4,FORECASTS!$E76:$AI76)/12)</f>
        <v>0</v>
      </c>
      <c r="M46" s="1134">
        <f>SUMIFS('ACTUALS (M)'!$G48:$DV48,'ACTUALS (M)'!$G$6:$DV$6,'VERSUS (M)'!L$5,'ACTUALS (M)'!$G$7:$DV$7,'VERSUS (M)'!$D$4)</f>
        <v>0</v>
      </c>
      <c r="N46" s="1206">
        <f>IFERROR(M46-L46,0)</f>
        <v>0</v>
      </c>
      <c r="O46" s="93"/>
      <c r="P46" s="1205">
        <f>IF(R$5&lt;'ACTUALS (M)'!$E$5,0,SUMIF(FORECASTS!$E$4:$AI$4,'VERSUS (M)'!$D$4,FORECASTS!$E76:$AI76)/12)</f>
        <v>0</v>
      </c>
      <c r="Q46" s="1134">
        <f>SUMIFS('ACTUALS (M)'!$G48:$DV48,'ACTUALS (M)'!$G$6:$DV$6,'VERSUS (M)'!P$5,'ACTUALS (M)'!$G$7:$DV$7,'VERSUS (M)'!$D$4)</f>
        <v>0</v>
      </c>
      <c r="R46" s="1206">
        <f>IFERROR(Q46-P46,0)</f>
        <v>0</v>
      </c>
      <c r="S46" s="93"/>
      <c r="T46" s="1205">
        <f>IF(V$5&lt;'ACTUALS (M)'!$E$5,0,SUMIF(FORECASTS!$E$4:$AI$4,'VERSUS (M)'!$D$4,FORECASTS!$E76:$AI76)/12)</f>
        <v>0</v>
      </c>
      <c r="U46" s="1134">
        <f>SUMIFS('ACTUALS (M)'!$G48:$DV48,'ACTUALS (M)'!$G$6:$DV$6,'VERSUS (M)'!T$5,'ACTUALS (M)'!$G$7:$DV$7,'VERSUS (M)'!$D$4)</f>
        <v>0</v>
      </c>
      <c r="V46" s="1206">
        <f>IFERROR(U46-T46,0)</f>
        <v>0</v>
      </c>
      <c r="W46" s="93"/>
      <c r="X46" s="1205">
        <f>IF(Z$5&lt;'ACTUALS (M)'!$E$5,0,SUMIF(FORECASTS!$E$4:$AI$4,'VERSUS (M)'!$D$4,FORECASTS!$E76:$AI76)/12)</f>
        <v>0</v>
      </c>
      <c r="Y46" s="1134">
        <f>SUMIFS('ACTUALS (M)'!$G48:$DV48,'ACTUALS (M)'!$G$6:$DV$6,'VERSUS (M)'!X$5,'ACTUALS (M)'!$G$7:$DV$7,'VERSUS (M)'!$D$4)</f>
        <v>0</v>
      </c>
      <c r="Z46" s="1206">
        <f>IFERROR(Y46-X46,0)</f>
        <v>0</v>
      </c>
      <c r="AA46" s="93"/>
      <c r="AB46" s="1205">
        <f>IF(AD$5&lt;'ACTUALS (M)'!$E$5,0,SUMIF(FORECASTS!$E$4:$AI$4,'VERSUS (M)'!$D$4,FORECASTS!$E76:$AI76)/12)</f>
        <v>0</v>
      </c>
      <c r="AC46" s="1134">
        <f>SUMIFS('ACTUALS (M)'!$G48:$DV48,'ACTUALS (M)'!$G$6:$DV$6,'VERSUS (M)'!AB$5,'ACTUALS (M)'!$G$7:$DV$7,'VERSUS (M)'!$D$4)</f>
        <v>0</v>
      </c>
      <c r="AD46" s="1206">
        <f>IFERROR(AC46-AB46,0)</f>
        <v>0</v>
      </c>
      <c r="AE46" s="93"/>
      <c r="AF46" s="1205">
        <f>IF(AH$5&lt;'ACTUALS (M)'!$E$5,0,SUMIF(FORECASTS!$E$4:$AI$4,'VERSUS (M)'!$D$4,FORECASTS!$E76:$AI76)/12)</f>
        <v>0</v>
      </c>
      <c r="AG46" s="1134">
        <f>SUMIFS('ACTUALS (M)'!$G48:$DV48,'ACTUALS (M)'!$G$6:$DV$6,'VERSUS (M)'!AF$5,'ACTUALS (M)'!$G$7:$DV$7,'VERSUS (M)'!$D$4)</f>
        <v>0</v>
      </c>
      <c r="AH46" s="1206">
        <f>IFERROR(AG46-AF46,0)</f>
        <v>0</v>
      </c>
      <c r="AI46" s="93"/>
      <c r="AJ46" s="1205">
        <f>IF(AL$5&lt;'ACTUALS (M)'!$E$5,0,SUMIF(FORECASTS!$E$4:$AI$4,'VERSUS (M)'!$D$4,FORECASTS!$E76:$AI76)/12)</f>
        <v>0</v>
      </c>
      <c r="AK46" s="1134">
        <f>SUMIFS('ACTUALS (M)'!$G48:$DV48,'ACTUALS (M)'!$G$6:$DV$6,'VERSUS (M)'!AJ$5,'ACTUALS (M)'!$G$7:$DV$7,'VERSUS (M)'!$D$4)</f>
        <v>0</v>
      </c>
      <c r="AL46" s="1206">
        <f>IFERROR(AK46-AJ46,0)</f>
        <v>0</v>
      </c>
      <c r="AM46" s="93"/>
      <c r="AN46" s="1205">
        <f>IF(AP$5&lt;'ACTUALS (M)'!$E$5,0,SUMIF(FORECASTS!$E$4:$AI$4,'VERSUS (M)'!$D$4,FORECASTS!$E76:$AI76)/12)</f>
        <v>0</v>
      </c>
      <c r="AO46" s="1134">
        <f>SUMIFS('ACTUALS (M)'!$G48:$DV48,'ACTUALS (M)'!$G$6:$DV$6,'VERSUS (M)'!AN$5,'ACTUALS (M)'!$G$7:$DV$7,'VERSUS (M)'!$D$4)</f>
        <v>0</v>
      </c>
      <c r="AP46" s="1206">
        <f>IFERROR(AO46-AN46,0)</f>
        <v>0</v>
      </c>
      <c r="AQ46" s="93"/>
      <c r="AR46" s="1205">
        <f>IF(AT$5&lt;'ACTUALS (M)'!$E$5,0,SUMIF(FORECASTS!$E$4:$AI$4,'VERSUS (M)'!$D$4,FORECASTS!$E76:$AI76)/12)</f>
        <v>0</v>
      </c>
      <c r="AS46" s="1134">
        <f>SUMIFS('ACTUALS (M)'!$G48:$DV48,'ACTUALS (M)'!$G$6:$DV$6,'VERSUS (M)'!AR$5,'ACTUALS (M)'!$G$7:$DV$7,'VERSUS (M)'!$D$4)</f>
        <v>0</v>
      </c>
      <c r="AT46" s="1206">
        <f>IFERROR(AS46-AR46,0)</f>
        <v>0</v>
      </c>
      <c r="AU46" s="93"/>
      <c r="AV46" s="1205">
        <f>IF(AX$5&lt;'ACTUALS (M)'!$E$5,0,SUMIF(FORECASTS!$E$4:$AI$4,'VERSUS (M)'!$D$4,FORECASTS!$E76:$AI76)/12)</f>
        <v>0</v>
      </c>
      <c r="AW46" s="1134">
        <f>SUMIFS('ACTUALS (M)'!$G48:$DV48,'ACTUALS (M)'!$G$6:$DV$6,'VERSUS (M)'!AV$5,'ACTUALS (M)'!$G$7:$DV$7,'VERSUS (M)'!$D$4)</f>
        <v>0</v>
      </c>
      <c r="AX46" s="1206">
        <f>IFERROR(AW46-AV46,0)</f>
        <v>0</v>
      </c>
      <c r="AY46" s="93"/>
      <c r="AZ46" s="1205">
        <f>IF(BB$5&lt;'ACTUALS (M)'!$E$5,0,SUMIF(FORECASTS!$E$4:$AI$4,'VERSUS (M)'!$D$4,FORECASTS!$E76:$AI76)/12)</f>
        <v>0</v>
      </c>
      <c r="BA46" s="1134">
        <f>SUMIFS('ACTUALS (M)'!$G48:$DV48,'ACTUALS (M)'!$G$6:$DV$6,'VERSUS (M)'!AZ$5,'ACTUALS (M)'!$G$7:$DV$7,'VERSUS (M)'!$D$4)</f>
        <v>0</v>
      </c>
      <c r="BB46" s="1206">
        <f>IFERROR(BA46-AZ46,0)</f>
        <v>0</v>
      </c>
    </row>
    <row r="47" spans="1:56" s="1000" customFormat="1" ht="15" customHeight="1" x14ac:dyDescent="0.3">
      <c r="A47" s="1616"/>
      <c r="B47" s="334" t="str">
        <f>FORECASTS!B77</f>
        <v>Non Op. Expense 2</v>
      </c>
      <c r="C47" s="93"/>
      <c r="D47" s="1619">
        <f t="shared" si="17"/>
        <v>0</v>
      </c>
      <c r="E47" s="1121">
        <f t="shared" si="17"/>
        <v>0</v>
      </c>
      <c r="F47" s="1627">
        <f>IFERROR(E47-D47,0)</f>
        <v>0</v>
      </c>
      <c r="G47" s="93"/>
      <c r="H47" s="1205">
        <f>IF(J$5&lt;'ACTUALS (M)'!$E$5,0,SUMIF(FORECASTS!$E$4:$AI$4,'VERSUS (M)'!$D$4,FORECASTS!$E77:$AI77)/12)</f>
        <v>0</v>
      </c>
      <c r="I47" s="1134">
        <f>SUMIFS('ACTUALS (M)'!$G49:$DV49,'ACTUALS (M)'!$G$6:$DV$6,'VERSUS (M)'!H$5,'ACTUALS (M)'!$G$7:$DV$7,'VERSUS (M)'!$D$4)</f>
        <v>0</v>
      </c>
      <c r="J47" s="1206">
        <f>IFERROR(I47-H47,0)</f>
        <v>0</v>
      </c>
      <c r="K47" s="93"/>
      <c r="L47" s="1205">
        <f>IF(N$5&lt;'ACTUALS (M)'!$E$5,0,SUMIF(FORECASTS!$E$4:$AI$4,'VERSUS (M)'!$D$4,FORECASTS!$E77:$AI77)/12)</f>
        <v>0</v>
      </c>
      <c r="M47" s="1134">
        <f>SUMIFS('ACTUALS (M)'!$G49:$DV49,'ACTUALS (M)'!$G$6:$DV$6,'VERSUS (M)'!L$5,'ACTUALS (M)'!$G$7:$DV$7,'VERSUS (M)'!$D$4)</f>
        <v>0</v>
      </c>
      <c r="N47" s="1206">
        <f>IFERROR(M47-L47,0)</f>
        <v>0</v>
      </c>
      <c r="O47" s="93"/>
      <c r="P47" s="1205">
        <f>IF(R$5&lt;'ACTUALS (M)'!$E$5,0,SUMIF(FORECASTS!$E$4:$AI$4,'VERSUS (M)'!$D$4,FORECASTS!$E77:$AI77)/12)</f>
        <v>0</v>
      </c>
      <c r="Q47" s="1134">
        <f>SUMIFS('ACTUALS (M)'!$G49:$DV49,'ACTUALS (M)'!$G$6:$DV$6,'VERSUS (M)'!P$5,'ACTUALS (M)'!$G$7:$DV$7,'VERSUS (M)'!$D$4)</f>
        <v>0</v>
      </c>
      <c r="R47" s="1206">
        <f>IFERROR(Q47-P47,0)</f>
        <v>0</v>
      </c>
      <c r="S47" s="93"/>
      <c r="T47" s="1205">
        <f>IF(V$5&lt;'ACTUALS (M)'!$E$5,0,SUMIF(FORECASTS!$E$4:$AI$4,'VERSUS (M)'!$D$4,FORECASTS!$E77:$AI77)/12)</f>
        <v>0</v>
      </c>
      <c r="U47" s="1134">
        <f>SUMIFS('ACTUALS (M)'!$G49:$DV49,'ACTUALS (M)'!$G$6:$DV$6,'VERSUS (M)'!T$5,'ACTUALS (M)'!$G$7:$DV$7,'VERSUS (M)'!$D$4)</f>
        <v>0</v>
      </c>
      <c r="V47" s="1206">
        <f>IFERROR(U47-T47,0)</f>
        <v>0</v>
      </c>
      <c r="W47" s="93"/>
      <c r="X47" s="1205">
        <f>IF(Z$5&lt;'ACTUALS (M)'!$E$5,0,SUMIF(FORECASTS!$E$4:$AI$4,'VERSUS (M)'!$D$4,FORECASTS!$E77:$AI77)/12)</f>
        <v>0</v>
      </c>
      <c r="Y47" s="1134">
        <f>SUMIFS('ACTUALS (M)'!$G49:$DV49,'ACTUALS (M)'!$G$6:$DV$6,'VERSUS (M)'!X$5,'ACTUALS (M)'!$G$7:$DV$7,'VERSUS (M)'!$D$4)</f>
        <v>0</v>
      </c>
      <c r="Z47" s="1206">
        <f>IFERROR(Y47-X47,0)</f>
        <v>0</v>
      </c>
      <c r="AA47" s="93"/>
      <c r="AB47" s="1205">
        <f>IF(AD$5&lt;'ACTUALS (M)'!$E$5,0,SUMIF(FORECASTS!$E$4:$AI$4,'VERSUS (M)'!$D$4,FORECASTS!$E77:$AI77)/12)</f>
        <v>0</v>
      </c>
      <c r="AC47" s="1134">
        <f>SUMIFS('ACTUALS (M)'!$G49:$DV49,'ACTUALS (M)'!$G$6:$DV$6,'VERSUS (M)'!AB$5,'ACTUALS (M)'!$G$7:$DV$7,'VERSUS (M)'!$D$4)</f>
        <v>0</v>
      </c>
      <c r="AD47" s="1206">
        <f>IFERROR(AC47-AB47,0)</f>
        <v>0</v>
      </c>
      <c r="AE47" s="93"/>
      <c r="AF47" s="1205">
        <f>IF(AH$5&lt;'ACTUALS (M)'!$E$5,0,SUMIF(FORECASTS!$E$4:$AI$4,'VERSUS (M)'!$D$4,FORECASTS!$E77:$AI77)/12)</f>
        <v>0</v>
      </c>
      <c r="AG47" s="1134">
        <f>SUMIFS('ACTUALS (M)'!$G49:$DV49,'ACTUALS (M)'!$G$6:$DV$6,'VERSUS (M)'!AF$5,'ACTUALS (M)'!$G$7:$DV$7,'VERSUS (M)'!$D$4)</f>
        <v>0</v>
      </c>
      <c r="AH47" s="1206">
        <f>IFERROR(AG47-AF47,0)</f>
        <v>0</v>
      </c>
      <c r="AI47" s="93"/>
      <c r="AJ47" s="1205">
        <f>IF(AL$5&lt;'ACTUALS (M)'!$E$5,0,SUMIF(FORECASTS!$E$4:$AI$4,'VERSUS (M)'!$D$4,FORECASTS!$E77:$AI77)/12)</f>
        <v>0</v>
      </c>
      <c r="AK47" s="1134">
        <f>SUMIFS('ACTUALS (M)'!$G49:$DV49,'ACTUALS (M)'!$G$6:$DV$6,'VERSUS (M)'!AJ$5,'ACTUALS (M)'!$G$7:$DV$7,'VERSUS (M)'!$D$4)</f>
        <v>0</v>
      </c>
      <c r="AL47" s="1206">
        <f>IFERROR(AK47-AJ47,0)</f>
        <v>0</v>
      </c>
      <c r="AM47" s="93"/>
      <c r="AN47" s="1205">
        <f>IF(AP$5&lt;'ACTUALS (M)'!$E$5,0,SUMIF(FORECASTS!$E$4:$AI$4,'VERSUS (M)'!$D$4,FORECASTS!$E77:$AI77)/12)</f>
        <v>0</v>
      </c>
      <c r="AO47" s="1134">
        <f>SUMIFS('ACTUALS (M)'!$G49:$DV49,'ACTUALS (M)'!$G$6:$DV$6,'VERSUS (M)'!AN$5,'ACTUALS (M)'!$G$7:$DV$7,'VERSUS (M)'!$D$4)</f>
        <v>0</v>
      </c>
      <c r="AP47" s="1206">
        <f>IFERROR(AO47-AN47,0)</f>
        <v>0</v>
      </c>
      <c r="AQ47" s="93"/>
      <c r="AR47" s="1205">
        <f>IF(AT$5&lt;'ACTUALS (M)'!$E$5,0,SUMIF(FORECASTS!$E$4:$AI$4,'VERSUS (M)'!$D$4,FORECASTS!$E77:$AI77)/12)</f>
        <v>0</v>
      </c>
      <c r="AS47" s="1134">
        <f>SUMIFS('ACTUALS (M)'!$G49:$DV49,'ACTUALS (M)'!$G$6:$DV$6,'VERSUS (M)'!AR$5,'ACTUALS (M)'!$G$7:$DV$7,'VERSUS (M)'!$D$4)</f>
        <v>0</v>
      </c>
      <c r="AT47" s="1206">
        <f>IFERROR(AS47-AR47,0)</f>
        <v>0</v>
      </c>
      <c r="AU47" s="93"/>
      <c r="AV47" s="1205">
        <f>IF(AX$5&lt;'ACTUALS (M)'!$E$5,0,SUMIF(FORECASTS!$E$4:$AI$4,'VERSUS (M)'!$D$4,FORECASTS!$E77:$AI77)/12)</f>
        <v>0</v>
      </c>
      <c r="AW47" s="1134">
        <f>SUMIFS('ACTUALS (M)'!$G49:$DV49,'ACTUALS (M)'!$G$6:$DV$6,'VERSUS (M)'!AV$5,'ACTUALS (M)'!$G$7:$DV$7,'VERSUS (M)'!$D$4)</f>
        <v>0</v>
      </c>
      <c r="AX47" s="1206">
        <f>IFERROR(AW47-AV47,0)</f>
        <v>0</v>
      </c>
      <c r="AY47" s="93"/>
      <c r="AZ47" s="1205">
        <f>IF(BB$5&lt;'ACTUALS (M)'!$E$5,0,SUMIF(FORECASTS!$E$4:$AI$4,'VERSUS (M)'!$D$4,FORECASTS!$E77:$AI77)/12)</f>
        <v>0</v>
      </c>
      <c r="BA47" s="1134">
        <f>SUMIFS('ACTUALS (M)'!$G49:$DV49,'ACTUALS (M)'!$G$6:$DV$6,'VERSUS (M)'!AZ$5,'ACTUALS (M)'!$G$7:$DV$7,'VERSUS (M)'!$D$4)</f>
        <v>0</v>
      </c>
      <c r="BB47" s="1206">
        <f>IFERROR(BA47-AZ47,0)</f>
        <v>0</v>
      </c>
    </row>
    <row r="48" spans="1:56" ht="15" customHeight="1" x14ac:dyDescent="0.3">
      <c r="A48" s="1616"/>
      <c r="B48" s="999"/>
      <c r="D48" s="1630"/>
      <c r="E48" s="84"/>
      <c r="F48" s="1635"/>
      <c r="H48" s="1209"/>
      <c r="I48" s="84"/>
      <c r="J48" s="1215"/>
      <c r="L48" s="1209"/>
      <c r="M48" s="84"/>
      <c r="N48" s="1215"/>
      <c r="O48" s="93"/>
      <c r="P48" s="1209"/>
      <c r="Q48" s="84"/>
      <c r="R48" s="1215"/>
      <c r="S48" s="93"/>
      <c r="T48" s="1209"/>
      <c r="U48" s="84"/>
      <c r="V48" s="1215"/>
      <c r="W48" s="93"/>
      <c r="X48" s="1209"/>
      <c r="Y48" s="84"/>
      <c r="Z48" s="1215"/>
      <c r="AA48" s="93"/>
      <c r="AB48" s="1209"/>
      <c r="AC48" s="84"/>
      <c r="AD48" s="1215"/>
      <c r="AE48" s="93"/>
      <c r="AF48" s="1209"/>
      <c r="AG48" s="84"/>
      <c r="AH48" s="1215"/>
      <c r="AI48" s="93"/>
      <c r="AJ48" s="1209"/>
      <c r="AK48" s="84"/>
      <c r="AL48" s="1215"/>
      <c r="AM48" s="93"/>
      <c r="AN48" s="1209"/>
      <c r="AO48" s="84"/>
      <c r="AP48" s="1215"/>
      <c r="AQ48" s="93"/>
      <c r="AR48" s="1209"/>
      <c r="AS48" s="84"/>
      <c r="AT48" s="1215"/>
      <c r="AU48" s="93"/>
      <c r="AV48" s="1209"/>
      <c r="AW48" s="84"/>
      <c r="AX48" s="1215"/>
      <c r="AY48" s="93"/>
      <c r="AZ48" s="1209"/>
      <c r="BA48" s="84"/>
      <c r="BB48" s="1215"/>
      <c r="BC48" s="1000"/>
      <c r="BD48" s="1000"/>
    </row>
    <row r="49" spans="1:56" s="1000" customFormat="1" ht="15" customHeight="1" x14ac:dyDescent="0.3">
      <c r="A49" s="1616"/>
      <c r="B49" s="1143" t="s">
        <v>977</v>
      </c>
      <c r="C49" s="93"/>
      <c r="D49" s="1641">
        <f>D42+D45+D46+D47</f>
        <v>0</v>
      </c>
      <c r="E49" s="1144">
        <f>E42+E45+E46+E47</f>
        <v>0</v>
      </c>
      <c r="F49" s="1642">
        <f>F42+F45+F46+F47</f>
        <v>0</v>
      </c>
      <c r="G49" s="93"/>
      <c r="H49" s="1221">
        <f t="shared" ref="H49:N49" si="18">H42+H45+H46+H47</f>
        <v>0</v>
      </c>
      <c r="I49" s="1144">
        <f t="shared" si="18"/>
        <v>0</v>
      </c>
      <c r="J49" s="1222">
        <f t="shared" si="18"/>
        <v>0</v>
      </c>
      <c r="K49" s="93"/>
      <c r="L49" s="1221">
        <f t="shared" si="18"/>
        <v>0</v>
      </c>
      <c r="M49" s="1144">
        <f t="shared" si="18"/>
        <v>0</v>
      </c>
      <c r="N49" s="1222">
        <f t="shared" si="18"/>
        <v>0</v>
      </c>
      <c r="O49" s="93"/>
      <c r="P49" s="1221">
        <f>P42+P45+P46+P47</f>
        <v>0</v>
      </c>
      <c r="Q49" s="1144">
        <f>Q42+Q45+Q46+Q47</f>
        <v>0</v>
      </c>
      <c r="R49" s="1222">
        <f>R42+R45+R46+R47</f>
        <v>0</v>
      </c>
      <c r="S49" s="93"/>
      <c r="T49" s="1221">
        <f>T42+T45+T46+T47</f>
        <v>0</v>
      </c>
      <c r="U49" s="1144">
        <f>U42+U45+U46+U47</f>
        <v>0</v>
      </c>
      <c r="V49" s="1222">
        <f>V42+V45+V46+V47</f>
        <v>0</v>
      </c>
      <c r="W49" s="93"/>
      <c r="X49" s="1221">
        <f>X42+X45+X46+X47</f>
        <v>0</v>
      </c>
      <c r="Y49" s="1144">
        <f>Y42+Y45+Y46+Y47</f>
        <v>0</v>
      </c>
      <c r="Z49" s="1222">
        <f>Z42+Z45+Z46+Z47</f>
        <v>0</v>
      </c>
      <c r="AA49" s="93"/>
      <c r="AB49" s="1221">
        <f>AB42+AB45+AB46+AB47</f>
        <v>0</v>
      </c>
      <c r="AC49" s="1144">
        <f>AC42+AC45+AC46+AC47</f>
        <v>0</v>
      </c>
      <c r="AD49" s="1222">
        <f>AD42+AD45+AD46+AD47</f>
        <v>0</v>
      </c>
      <c r="AE49" s="93"/>
      <c r="AF49" s="1221">
        <f>AF42+AF45+AF46+AF47</f>
        <v>0</v>
      </c>
      <c r="AG49" s="1144">
        <f>AG42+AG45+AG46+AG47</f>
        <v>0</v>
      </c>
      <c r="AH49" s="1222">
        <f>AH42+AH45+AH46+AH47</f>
        <v>0</v>
      </c>
      <c r="AI49" s="93"/>
      <c r="AJ49" s="1221">
        <f>AJ42+AJ45+AJ46+AJ47</f>
        <v>0</v>
      </c>
      <c r="AK49" s="1144">
        <f>AK42+AK45+AK46+AK47</f>
        <v>0</v>
      </c>
      <c r="AL49" s="1222">
        <f>AL42+AL45+AL46+AL47</f>
        <v>0</v>
      </c>
      <c r="AM49" s="93"/>
      <c r="AN49" s="1221">
        <f>AN42+AN45+AN46+AN47</f>
        <v>0</v>
      </c>
      <c r="AO49" s="1144">
        <f>AO42+AO45+AO46+AO47</f>
        <v>0</v>
      </c>
      <c r="AP49" s="1222">
        <f>AP42+AP45+AP46+AP47</f>
        <v>0</v>
      </c>
      <c r="AQ49" s="93"/>
      <c r="AR49" s="1221">
        <f>AR42+AR45+AR46+AR47</f>
        <v>0</v>
      </c>
      <c r="AS49" s="1144">
        <f>AS42+AS45+AS46+AS47</f>
        <v>0</v>
      </c>
      <c r="AT49" s="1222">
        <f>AT42+AT45+AT46+AT47</f>
        <v>0</v>
      </c>
      <c r="AU49" s="93"/>
      <c r="AV49" s="1221">
        <f>AV42+AV45+AV46+AV47</f>
        <v>0</v>
      </c>
      <c r="AW49" s="1144">
        <f>AW42+AW45+AW46+AW47</f>
        <v>0</v>
      </c>
      <c r="AX49" s="1222">
        <f>AX42+AX45+AX46+AX47</f>
        <v>0</v>
      </c>
      <c r="AY49" s="93"/>
      <c r="AZ49" s="1221">
        <f>AZ42+AZ45+AZ46+AZ47</f>
        <v>0</v>
      </c>
      <c r="BA49" s="1144">
        <f>BA42+BA45+BA46+BA47</f>
        <v>0</v>
      </c>
      <c r="BB49" s="1222">
        <f>BB42+BB45+BB46+BB47</f>
        <v>0</v>
      </c>
    </row>
    <row r="50" spans="1:56" s="1000" customFormat="1" ht="15" customHeight="1" x14ac:dyDescent="0.3">
      <c r="A50" s="1616"/>
      <c r="B50" s="96"/>
      <c r="C50" s="93"/>
      <c r="D50" s="1643"/>
      <c r="E50" s="210"/>
      <c r="F50" s="1644"/>
      <c r="G50" s="93"/>
      <c r="H50" s="1223"/>
      <c r="I50" s="210"/>
      <c r="J50" s="1224"/>
      <c r="K50" s="93"/>
      <c r="L50" s="1223"/>
      <c r="M50" s="1232"/>
      <c r="N50" s="1224"/>
      <c r="O50" s="93"/>
      <c r="P50" s="1223"/>
      <c r="Q50" s="1232"/>
      <c r="R50" s="1224"/>
      <c r="S50" s="93"/>
      <c r="T50" s="1223"/>
      <c r="U50" s="1232"/>
      <c r="V50" s="1224"/>
      <c r="W50" s="93"/>
      <c r="X50" s="1223"/>
      <c r="Y50" s="1232"/>
      <c r="Z50" s="1224"/>
      <c r="AA50" s="93"/>
      <c r="AB50" s="1223"/>
      <c r="AC50" s="1232"/>
      <c r="AD50" s="1224"/>
      <c r="AE50" s="93"/>
      <c r="AF50" s="1223"/>
      <c r="AG50" s="1232"/>
      <c r="AH50" s="1224"/>
      <c r="AI50" s="93"/>
      <c r="AJ50" s="1223"/>
      <c r="AK50" s="1232"/>
      <c r="AL50" s="1224"/>
      <c r="AM50" s="93"/>
      <c r="AN50" s="1223"/>
      <c r="AO50" s="1232"/>
      <c r="AP50" s="1224"/>
      <c r="AQ50" s="93"/>
      <c r="AR50" s="1223"/>
      <c r="AS50" s="1232"/>
      <c r="AT50" s="1224"/>
      <c r="AU50" s="93"/>
      <c r="AV50" s="1223"/>
      <c r="AW50" s="1232"/>
      <c r="AX50" s="1224"/>
      <c r="AY50" s="93"/>
      <c r="AZ50" s="1223"/>
      <c r="BA50" s="1232"/>
      <c r="BB50" s="1224"/>
      <c r="BC50" s="93"/>
      <c r="BD50" s="93"/>
    </row>
    <row r="51" spans="1:56" s="1000" customFormat="1" ht="15" customHeight="1" x14ac:dyDescent="0.3">
      <c r="A51" s="1616"/>
      <c r="B51" s="334" t="s">
        <v>126</v>
      </c>
      <c r="C51" s="93"/>
      <c r="D51" s="1619">
        <f>H51+L51+P51+T51+X51+AB51+AF51+AJ51+AN51+AR51+AV51+AZ51</f>
        <v>0</v>
      </c>
      <c r="E51" s="1121">
        <f>I51+M51+Q51+U51+Y51+AC51+AG51+AK51+AO51+AS51+AW51+BA51</f>
        <v>0</v>
      </c>
      <c r="F51" s="1627">
        <f>IFERROR(E51-D51,0)</f>
        <v>0</v>
      </c>
      <c r="G51" s="93"/>
      <c r="H51" s="1195">
        <f>IF(J$5&lt;'ACTUALS (M)'!$E$5,0,-SUMIFS(MORTGAGE!$I$25:$I$384,MORTGAGE!$C$25:$C$384,"&gt;="&amp;'VERSUS (M)'!I5,MORTGAGE!$C$25:$C$384,"&lt;="&amp;'VERSUS (M)'!J5)-SUMIFS(MORTGAGE!$J$25:$J$384,MORTGAGE!$C$25:$C$384,"&gt;="&amp;'VERSUS (M)'!I5,MORTGAGE!$C$25:$C$384,"&lt;="&amp;'VERSUS (M)'!J5))</f>
        <v>0</v>
      </c>
      <c r="I51" s="1134">
        <f>SUMIFS('ACTUALS (M)'!$G54:$DV54,'ACTUALS (M)'!$G$6:$DV$6,'VERSUS (M)'!H$5,'ACTUALS (M)'!$G$7:$DV$7,'VERSUS (M)'!$D$4)</f>
        <v>0</v>
      </c>
      <c r="J51" s="1206">
        <f>IFERROR(I51-H51,0)</f>
        <v>0</v>
      </c>
      <c r="K51" s="93"/>
      <c r="L51" s="1195">
        <f>IF(N$5&lt;'ACTUALS (M)'!$E$5,0,-SUMIFS(MORTGAGE!$I$25:$I$384,MORTGAGE!$C$25:$C$384,"&gt;="&amp;'VERSUS (M)'!M5,MORTGAGE!$C$25:$C$384,"&lt;="&amp;'VERSUS (M)'!N5)-SUMIFS(MORTGAGE!$J$25:$J$384,MORTGAGE!$C$25:$C$384,"&gt;="&amp;'VERSUS (M)'!M5,MORTGAGE!$C$25:$C$384,"&lt;="&amp;'VERSUS (M)'!N5))</f>
        <v>0</v>
      </c>
      <c r="M51" s="1134">
        <f>SUMIFS('ACTUALS (M)'!$G54:$DV54,'ACTUALS (M)'!$G$6:$DV$6,'VERSUS (M)'!L$5,'ACTUALS (M)'!$G$7:$DV$7,'VERSUS (M)'!$D$4)</f>
        <v>0</v>
      </c>
      <c r="N51" s="1206">
        <f>IFERROR(M51-L51,0)</f>
        <v>0</v>
      </c>
      <c r="O51" s="93"/>
      <c r="P51" s="1195">
        <f>IF(R$5&lt;'ACTUALS (M)'!$E$5,0,-SUMIFS(MORTGAGE!$I$25:$I$384,MORTGAGE!$C$25:$C$384,"&gt;="&amp;'VERSUS (M)'!Q5,MORTGAGE!$C$25:$C$384,"&lt;="&amp;'VERSUS (M)'!R5)-SUMIFS(MORTGAGE!$J$25:$J$384,MORTGAGE!$C$25:$C$384,"&gt;="&amp;'VERSUS (M)'!Q5,MORTGAGE!$C$25:$C$384,"&lt;="&amp;'VERSUS (M)'!R5))</f>
        <v>0</v>
      </c>
      <c r="Q51" s="1134">
        <f>SUMIFS('ACTUALS (M)'!$G54:$DV54,'ACTUALS (M)'!$G$6:$DV$6,'VERSUS (M)'!P$5,'ACTUALS (M)'!$G$7:$DV$7,'VERSUS (M)'!$D$4)</f>
        <v>0</v>
      </c>
      <c r="R51" s="1206">
        <f>IFERROR(Q51-P51,0)</f>
        <v>0</v>
      </c>
      <c r="S51" s="93"/>
      <c r="T51" s="1195">
        <f>IF(V$5&lt;'ACTUALS (M)'!$E$5,0,-SUMIFS(MORTGAGE!$I$25:$I$384,MORTGAGE!$C$25:$C$384,"&gt;="&amp;'VERSUS (M)'!U5,MORTGAGE!$C$25:$C$384,"&lt;="&amp;'VERSUS (M)'!V5)-SUMIFS(MORTGAGE!$J$25:$J$384,MORTGAGE!$C$25:$C$384,"&gt;="&amp;'VERSUS (M)'!U5,MORTGAGE!$C$25:$C$384,"&lt;="&amp;'VERSUS (M)'!V5))</f>
        <v>0</v>
      </c>
      <c r="U51" s="1134">
        <f>SUMIFS('ACTUALS (M)'!$G54:$DV54,'ACTUALS (M)'!$G$6:$DV$6,'VERSUS (M)'!T$5,'ACTUALS (M)'!$G$7:$DV$7,'VERSUS (M)'!$D$4)</f>
        <v>0</v>
      </c>
      <c r="V51" s="1206">
        <f>IFERROR(U51-T51,0)</f>
        <v>0</v>
      </c>
      <c r="W51" s="93"/>
      <c r="X51" s="1195">
        <f>IF(Z$5&lt;'ACTUALS (M)'!$E$5,0,-SUMIFS(MORTGAGE!$I$25:$I$384,MORTGAGE!$C$25:$C$384,"&gt;="&amp;'VERSUS (M)'!Y5,MORTGAGE!$C$25:$C$384,"&lt;="&amp;'VERSUS (M)'!Z5)-SUMIFS(MORTGAGE!$J$25:$J$384,MORTGAGE!$C$25:$C$384,"&gt;="&amp;'VERSUS (M)'!Y5,MORTGAGE!$C$25:$C$384,"&lt;="&amp;'VERSUS (M)'!Z5))</f>
        <v>0</v>
      </c>
      <c r="Y51" s="1134">
        <f>SUMIFS('ACTUALS (M)'!$G54:$DV54,'ACTUALS (M)'!$G$6:$DV$6,'VERSUS (M)'!X$5,'ACTUALS (M)'!$G$7:$DV$7,'VERSUS (M)'!$D$4)</f>
        <v>0</v>
      </c>
      <c r="Z51" s="1206">
        <f>IFERROR(Y51-X51,0)</f>
        <v>0</v>
      </c>
      <c r="AA51" s="93"/>
      <c r="AB51" s="1195">
        <f>IF(AD$5&lt;'ACTUALS (M)'!$E$5,0,-SUMIFS(MORTGAGE!$I$25:$I$384,MORTGAGE!$C$25:$C$384,"&gt;="&amp;'VERSUS (M)'!AC5,MORTGAGE!$C$25:$C$384,"&lt;="&amp;'VERSUS (M)'!AD5)-SUMIFS(MORTGAGE!$J$25:$J$384,MORTGAGE!$C$25:$C$384,"&gt;="&amp;'VERSUS (M)'!AC5,MORTGAGE!$C$25:$C$384,"&lt;="&amp;'VERSUS (M)'!AD5))</f>
        <v>0</v>
      </c>
      <c r="AC51" s="1134">
        <f>SUMIFS('ACTUALS (M)'!$G54:$DV54,'ACTUALS (M)'!$G$6:$DV$6,'VERSUS (M)'!AB$5,'ACTUALS (M)'!$G$7:$DV$7,'VERSUS (M)'!$D$4)</f>
        <v>0</v>
      </c>
      <c r="AD51" s="1206">
        <f>IFERROR(AC51-AB51,0)</f>
        <v>0</v>
      </c>
      <c r="AE51" s="93"/>
      <c r="AF51" s="1195">
        <f>IF(AH$5&lt;'ACTUALS (M)'!$E$5,0,-SUMIFS(MORTGAGE!$I$25:$I$384,MORTGAGE!$C$25:$C$384,"&gt;="&amp;'VERSUS (M)'!AG5,MORTGAGE!$C$25:$C$384,"&lt;="&amp;'VERSUS (M)'!AH5)-SUMIFS(MORTGAGE!$J$25:$J$384,MORTGAGE!$C$25:$C$384,"&gt;="&amp;'VERSUS (M)'!AG5,MORTGAGE!$C$25:$C$384,"&lt;="&amp;'VERSUS (M)'!AH5))</f>
        <v>0</v>
      </c>
      <c r="AG51" s="1134">
        <f>SUMIFS('ACTUALS (M)'!$G54:$DV54,'ACTUALS (M)'!$G$6:$DV$6,'VERSUS (M)'!AF$5,'ACTUALS (M)'!$G$7:$DV$7,'VERSUS (M)'!$D$4)</f>
        <v>0</v>
      </c>
      <c r="AH51" s="1206">
        <f>IFERROR(AG51-AF51,0)</f>
        <v>0</v>
      </c>
      <c r="AI51" s="93"/>
      <c r="AJ51" s="1195">
        <f>IF(AL$5&lt;'ACTUALS (M)'!$E$5,0,-SUMIFS(MORTGAGE!$I$25:$I$384,MORTGAGE!$C$25:$C$384,"&gt;="&amp;'VERSUS (M)'!AK5,MORTGAGE!$C$25:$C$384,"&lt;="&amp;'VERSUS (M)'!AL5)-SUMIFS(MORTGAGE!$J$25:$J$384,MORTGAGE!$C$25:$C$384,"&gt;="&amp;'VERSUS (M)'!AK5,MORTGAGE!$C$25:$C$384,"&lt;="&amp;'VERSUS (M)'!AL5))</f>
        <v>0</v>
      </c>
      <c r="AK51" s="1134">
        <f>SUMIFS('ACTUALS (M)'!$G54:$DV54,'ACTUALS (M)'!$G$6:$DV$6,'VERSUS (M)'!AJ$5,'ACTUALS (M)'!$G$7:$DV$7,'VERSUS (M)'!$D$4)</f>
        <v>0</v>
      </c>
      <c r="AL51" s="1206">
        <f>IFERROR(AK51-AJ51,0)</f>
        <v>0</v>
      </c>
      <c r="AM51" s="93"/>
      <c r="AN51" s="1195">
        <f>IF(AP$5&lt;'ACTUALS (M)'!$E$5,0,-SUMIFS(MORTGAGE!$I$25:$I$384,MORTGAGE!$C$25:$C$384,"&gt;="&amp;'VERSUS (M)'!AO5,MORTGAGE!$C$25:$C$384,"&lt;="&amp;'VERSUS (M)'!AP5)-SUMIFS(MORTGAGE!$J$25:$J$384,MORTGAGE!$C$25:$C$384,"&gt;="&amp;'VERSUS (M)'!AO5,MORTGAGE!$C$25:$C$384,"&lt;="&amp;'VERSUS (M)'!AP5))</f>
        <v>0</v>
      </c>
      <c r="AO51" s="1134">
        <f>SUMIFS('ACTUALS (M)'!$G54:$DV54,'ACTUALS (M)'!$G$6:$DV$6,'VERSUS (M)'!AN$5,'ACTUALS (M)'!$G$7:$DV$7,'VERSUS (M)'!$D$4)</f>
        <v>0</v>
      </c>
      <c r="AP51" s="1206">
        <f>IFERROR(AO51-AN51,0)</f>
        <v>0</v>
      </c>
      <c r="AQ51" s="93"/>
      <c r="AR51" s="1195">
        <f>IF(AT$5&lt;'ACTUALS (M)'!$E$5,0,-SUMIFS(MORTGAGE!$I$25:$I$384,MORTGAGE!$C$25:$C$384,"&gt;="&amp;'VERSUS (M)'!AS5,MORTGAGE!$C$25:$C$384,"&lt;="&amp;'VERSUS (M)'!AT5)-SUMIFS(MORTGAGE!$J$25:$J$384,MORTGAGE!$C$25:$C$384,"&gt;="&amp;'VERSUS (M)'!AS5,MORTGAGE!$C$25:$C$384,"&lt;="&amp;'VERSUS (M)'!AT5))</f>
        <v>0</v>
      </c>
      <c r="AS51" s="1134">
        <f>SUMIFS('ACTUALS (M)'!$G54:$DV54,'ACTUALS (M)'!$G$6:$DV$6,'VERSUS (M)'!AR$5,'ACTUALS (M)'!$G$7:$DV$7,'VERSUS (M)'!$D$4)</f>
        <v>0</v>
      </c>
      <c r="AT51" s="1206">
        <f>IFERROR(AS51-AR51,0)</f>
        <v>0</v>
      </c>
      <c r="AU51" s="93"/>
      <c r="AV51" s="1195">
        <f>IF(AX$5&lt;'ACTUALS (M)'!$E$5,0,-SUMIFS(MORTGAGE!$I$25:$I$384,MORTGAGE!$C$25:$C$384,"&gt;="&amp;'VERSUS (M)'!AW5,MORTGAGE!$C$25:$C$384,"&lt;="&amp;'VERSUS (M)'!AX5)-SUMIFS(MORTGAGE!$J$25:$J$384,MORTGAGE!$C$25:$C$384,"&gt;="&amp;'VERSUS (M)'!AW5,MORTGAGE!$C$25:$C$384,"&lt;="&amp;'VERSUS (M)'!AX5))</f>
        <v>0</v>
      </c>
      <c r="AW51" s="1134">
        <f>SUMIFS('ACTUALS (M)'!$G54:$DV54,'ACTUALS (M)'!$G$6:$DV$6,'VERSUS (M)'!AV$5,'ACTUALS (M)'!$G$7:$DV$7,'VERSUS (M)'!$D$4)</f>
        <v>0</v>
      </c>
      <c r="AX51" s="1206">
        <f>IFERROR(AW51-AV51,0)</f>
        <v>0</v>
      </c>
      <c r="AY51" s="93"/>
      <c r="AZ51" s="1195">
        <f>IF(BB$5&lt;'ACTUALS (M)'!$E$5,0,-SUMIFS(MORTGAGE!$I$25:$I$384,MORTGAGE!$C$25:$C$384,"&gt;="&amp;'VERSUS (M)'!BA5,MORTGAGE!$C$25:$C$384,"&lt;="&amp;'VERSUS (M)'!BB5)-SUMIFS(MORTGAGE!$J$25:$J$384,MORTGAGE!$C$25:$C$384,"&gt;="&amp;'VERSUS (M)'!BA5,MORTGAGE!$C$25:$C$384,"&lt;="&amp;'VERSUS (M)'!BB5))</f>
        <v>0</v>
      </c>
      <c r="BA51" s="1134">
        <f>SUMIFS('ACTUALS (M)'!$G54:$DV54,'ACTUALS (M)'!$G$6:$DV$6,'VERSUS (M)'!AZ$5,'ACTUALS (M)'!$G$7:$DV$7,'VERSUS (M)'!$D$4)</f>
        <v>0</v>
      </c>
      <c r="BB51" s="1206">
        <f>IFERROR(BA51-AZ51,0)</f>
        <v>0</v>
      </c>
    </row>
    <row r="52" spans="1:56" s="1000" customFormat="1" ht="15" customHeight="1" x14ac:dyDescent="0.3">
      <c r="A52" s="1616"/>
      <c r="B52" s="334" t="s">
        <v>29</v>
      </c>
      <c r="C52" s="93"/>
      <c r="D52" s="1619">
        <f>H52+L52+P52+T52+X52+AB52+AF52+AJ52+AN52+AR52+AV52+AZ52</f>
        <v>0</v>
      </c>
      <c r="E52" s="1121">
        <f>I52+M52+Q52+U52+Y52+AC52+AG52+AK52+AO52+AS52+AW52+BA52</f>
        <v>0</v>
      </c>
      <c r="F52" s="1627">
        <f>IFERROR(E52-D52,0)</f>
        <v>0</v>
      </c>
      <c r="G52" s="93"/>
      <c r="H52" s="1195">
        <f>IF(J$5&lt;'ACTUALS (M)'!$E$5,0,-SUMIFS(MORTGAGE!$K$25:$K$384,MORTGAGE!$C$25:$C$384,"&gt;="&amp;'VERSUS (M)'!I5,MORTGAGE!$C$25:$C$384,"&lt;="&amp;'VERSUS (M)'!J5))</f>
        <v>0</v>
      </c>
      <c r="I52" s="1132">
        <f>SUMIFS('ACTUALS (M)'!$G55:$DV55,'ACTUALS (M)'!$G$6:$DV$6,'VERSUS (M)'!H$5,'ACTUALS (M)'!$G$7:$DV$7,'VERSUS (M)'!$D$4)</f>
        <v>0</v>
      </c>
      <c r="J52" s="1206">
        <f>IFERROR(I52-H52,0)</f>
        <v>0</v>
      </c>
      <c r="K52" s="93"/>
      <c r="L52" s="1195">
        <f>IF(N$5&lt;'ACTUALS (M)'!$E$5,0,-SUMIFS(MORTGAGE!$K$25:$K$384,MORTGAGE!$C$25:$C$384,"&gt;="&amp;'VERSUS (M)'!M5,MORTGAGE!$C$25:$C$384,"&lt;="&amp;'VERSUS (M)'!N5))</f>
        <v>0</v>
      </c>
      <c r="M52" s="1132">
        <f>SUMIFS('ACTUALS (M)'!$G55:$DV55,'ACTUALS (M)'!$G$6:$DV$6,'VERSUS (M)'!L$5,'ACTUALS (M)'!$G$7:$DV$7,'VERSUS (M)'!$D$4)</f>
        <v>0</v>
      </c>
      <c r="N52" s="1206">
        <f>IFERROR(M52-L52,0)</f>
        <v>0</v>
      </c>
      <c r="O52" s="93"/>
      <c r="P52" s="1195">
        <f>IF(R$5&lt;'ACTUALS (M)'!$E$5,0,-SUMIFS(MORTGAGE!$K$25:$K$384,MORTGAGE!$C$25:$C$384,"&gt;="&amp;'VERSUS (M)'!Q5,MORTGAGE!$C$25:$C$384,"&lt;="&amp;'VERSUS (M)'!R5))</f>
        <v>0</v>
      </c>
      <c r="Q52" s="1132">
        <f>SUMIFS('ACTUALS (M)'!$G55:$DV55,'ACTUALS (M)'!$G$6:$DV$6,'VERSUS (M)'!P$5,'ACTUALS (M)'!$G$7:$DV$7,'VERSUS (M)'!$D$4)</f>
        <v>0</v>
      </c>
      <c r="R52" s="1206">
        <f>IFERROR(Q52-P52,0)</f>
        <v>0</v>
      </c>
      <c r="S52" s="93"/>
      <c r="T52" s="1195">
        <f>IF(V$5&lt;'ACTUALS (M)'!$E$5,0,-SUMIFS(MORTGAGE!$K$25:$K$384,MORTGAGE!$C$25:$C$384,"&gt;="&amp;'VERSUS (M)'!U5,MORTGAGE!$C$25:$C$384,"&lt;="&amp;'VERSUS (M)'!V5))</f>
        <v>0</v>
      </c>
      <c r="U52" s="1132">
        <f>SUMIFS('ACTUALS (M)'!$G55:$DV55,'ACTUALS (M)'!$G$6:$DV$6,'VERSUS (M)'!T$5,'ACTUALS (M)'!$G$7:$DV$7,'VERSUS (M)'!$D$4)</f>
        <v>0</v>
      </c>
      <c r="V52" s="1206">
        <f>IFERROR(U52-T52,0)</f>
        <v>0</v>
      </c>
      <c r="W52" s="93"/>
      <c r="X52" s="1195">
        <f>IF(Z$5&lt;'ACTUALS (M)'!$E$5,0,-SUMIFS(MORTGAGE!$K$25:$K$384,MORTGAGE!$C$25:$C$384,"&gt;="&amp;'VERSUS (M)'!Y5,MORTGAGE!$C$25:$C$384,"&lt;="&amp;'VERSUS (M)'!Z5))</f>
        <v>0</v>
      </c>
      <c r="Y52" s="1132">
        <f>SUMIFS('ACTUALS (M)'!$G55:$DV55,'ACTUALS (M)'!$G$6:$DV$6,'VERSUS (M)'!X$5,'ACTUALS (M)'!$G$7:$DV$7,'VERSUS (M)'!$D$4)</f>
        <v>0</v>
      </c>
      <c r="Z52" s="1206">
        <f>IFERROR(Y52-X52,0)</f>
        <v>0</v>
      </c>
      <c r="AA52" s="93"/>
      <c r="AB52" s="1195">
        <f>IF(AD$5&lt;'ACTUALS (M)'!$E$5,0,-SUMIFS(MORTGAGE!$K$25:$K$384,MORTGAGE!$C$25:$C$384,"&gt;="&amp;'VERSUS (M)'!AC5,MORTGAGE!$C$25:$C$384,"&lt;="&amp;'VERSUS (M)'!AD5))</f>
        <v>0</v>
      </c>
      <c r="AC52" s="1132">
        <f>SUMIFS('ACTUALS (M)'!$G55:$DV55,'ACTUALS (M)'!$G$6:$DV$6,'VERSUS (M)'!AB$5,'ACTUALS (M)'!$G$7:$DV$7,'VERSUS (M)'!$D$4)</f>
        <v>0</v>
      </c>
      <c r="AD52" s="1206">
        <f>IFERROR(AC52-AB52,0)</f>
        <v>0</v>
      </c>
      <c r="AE52" s="93"/>
      <c r="AF52" s="1195">
        <f>IF(AH$5&lt;'ACTUALS (M)'!$E$5,0,-SUMIFS(MORTGAGE!$K$25:$K$384,MORTGAGE!$C$25:$C$384,"&gt;="&amp;'VERSUS (M)'!AG5,MORTGAGE!$C$25:$C$384,"&lt;="&amp;'VERSUS (M)'!AH5))</f>
        <v>0</v>
      </c>
      <c r="AG52" s="1132">
        <f>SUMIFS('ACTUALS (M)'!$G55:$DV55,'ACTUALS (M)'!$G$6:$DV$6,'VERSUS (M)'!AF$5,'ACTUALS (M)'!$G$7:$DV$7,'VERSUS (M)'!$D$4)</f>
        <v>0</v>
      </c>
      <c r="AH52" s="1206">
        <f>IFERROR(AG52-AF52,0)</f>
        <v>0</v>
      </c>
      <c r="AI52" s="93"/>
      <c r="AJ52" s="1195">
        <f>IF(AL$5&lt;'ACTUALS (M)'!$E$5,0,-SUMIFS(MORTGAGE!$K$25:$K$384,MORTGAGE!$C$25:$C$384,"&gt;="&amp;'VERSUS (M)'!AK5,MORTGAGE!$C$25:$C$384,"&lt;="&amp;'VERSUS (M)'!AL5))</f>
        <v>0</v>
      </c>
      <c r="AK52" s="1132">
        <f>SUMIFS('ACTUALS (M)'!$G55:$DV55,'ACTUALS (M)'!$G$6:$DV$6,'VERSUS (M)'!AJ$5,'ACTUALS (M)'!$G$7:$DV$7,'VERSUS (M)'!$D$4)</f>
        <v>0</v>
      </c>
      <c r="AL52" s="1206">
        <f>IFERROR(AK52-AJ52,0)</f>
        <v>0</v>
      </c>
      <c r="AM52" s="93"/>
      <c r="AN52" s="1195">
        <f>IF(AP$5&lt;'ACTUALS (M)'!$E$5,0,-SUMIFS(MORTGAGE!$K$25:$K$384,MORTGAGE!$C$25:$C$384,"&gt;="&amp;'VERSUS (M)'!AO5,MORTGAGE!$C$25:$C$384,"&lt;="&amp;'VERSUS (M)'!AP5))</f>
        <v>0</v>
      </c>
      <c r="AO52" s="1132">
        <f>SUMIFS('ACTUALS (M)'!$G55:$DV55,'ACTUALS (M)'!$G$6:$DV$6,'VERSUS (M)'!AN$5,'ACTUALS (M)'!$G$7:$DV$7,'VERSUS (M)'!$D$4)</f>
        <v>0</v>
      </c>
      <c r="AP52" s="1206">
        <f>IFERROR(AO52-AN52,0)</f>
        <v>0</v>
      </c>
      <c r="AQ52" s="93"/>
      <c r="AR52" s="1195">
        <f>IF(AT$5&lt;'ACTUALS (M)'!$E$5,0,-SUMIFS(MORTGAGE!$K$25:$K$384,MORTGAGE!$C$25:$C$384,"&gt;="&amp;'VERSUS (M)'!AS5,MORTGAGE!$C$25:$C$384,"&lt;="&amp;'VERSUS (M)'!AT5))</f>
        <v>0</v>
      </c>
      <c r="AS52" s="1132">
        <f>SUMIFS('ACTUALS (M)'!$G55:$DV55,'ACTUALS (M)'!$G$6:$DV$6,'VERSUS (M)'!AR$5,'ACTUALS (M)'!$G$7:$DV$7,'VERSUS (M)'!$D$4)</f>
        <v>0</v>
      </c>
      <c r="AT52" s="1206">
        <f>IFERROR(AS52-AR52,0)</f>
        <v>0</v>
      </c>
      <c r="AU52" s="93"/>
      <c r="AV52" s="1195">
        <f>IF(AX$5&lt;'ACTUALS (M)'!$E$5,0,-SUMIFS(MORTGAGE!$K$25:$K$384,MORTGAGE!$C$25:$C$384,"&gt;="&amp;'VERSUS (M)'!AW5,MORTGAGE!$C$25:$C$384,"&lt;="&amp;'VERSUS (M)'!AX5))</f>
        <v>0</v>
      </c>
      <c r="AW52" s="1132">
        <f>SUMIFS('ACTUALS (M)'!$G55:$DV55,'ACTUALS (M)'!$G$6:$DV$6,'VERSUS (M)'!AV$5,'ACTUALS (M)'!$G$7:$DV$7,'VERSUS (M)'!$D$4)</f>
        <v>0</v>
      </c>
      <c r="AX52" s="1206">
        <f>IFERROR(AW52-AV52,0)</f>
        <v>0</v>
      </c>
      <c r="AY52" s="93"/>
      <c r="AZ52" s="1195">
        <f>IF(BB$5&lt;'ACTUALS (M)'!$E$5,0,-SUMIFS(MORTGAGE!$K$25:$K$384,MORTGAGE!$C$25:$C$384,"&gt;="&amp;'VERSUS (M)'!BA5,MORTGAGE!$C$25:$C$384,"&lt;="&amp;'VERSUS (M)'!BB5))</f>
        <v>0</v>
      </c>
      <c r="BA52" s="1132">
        <f>SUMIFS('ACTUALS (M)'!$G55:$DV55,'ACTUALS (M)'!$G$6:$DV$6,'VERSUS (M)'!AZ$5,'ACTUALS (M)'!$G$7:$DV$7,'VERSUS (M)'!$D$4)</f>
        <v>0</v>
      </c>
      <c r="BB52" s="1206">
        <f>IFERROR(BA52-AZ52,0)</f>
        <v>0</v>
      </c>
    </row>
    <row r="53" spans="1:56" s="1000" customFormat="1" ht="15" customHeight="1" x14ac:dyDescent="0.3">
      <c r="A53" s="1616"/>
      <c r="B53" s="997" t="s">
        <v>981</v>
      </c>
      <c r="C53" s="93"/>
      <c r="D53" s="1645">
        <f>SUM(D51:D52)</f>
        <v>0</v>
      </c>
      <c r="E53" s="1124">
        <f>SUM(E51:E52)</f>
        <v>0</v>
      </c>
      <c r="F53" s="1646">
        <f>SUM(F51:F52)</f>
        <v>0</v>
      </c>
      <c r="G53" s="93"/>
      <c r="H53" s="1225">
        <f>SUM(H51:H52)</f>
        <v>0</v>
      </c>
      <c r="I53" s="1015">
        <f>SUM(I51:I52)</f>
        <v>0</v>
      </c>
      <c r="J53" s="1226">
        <f>SUM(J51:J52)</f>
        <v>0</v>
      </c>
      <c r="K53" s="93"/>
      <c r="L53" s="1225">
        <f>SUM(L51:L52)</f>
        <v>0</v>
      </c>
      <c r="M53" s="1124">
        <f>SUM(M51:M52)</f>
        <v>0</v>
      </c>
      <c r="N53" s="1226">
        <f>SUM(N51:N52)</f>
        <v>0</v>
      </c>
      <c r="O53" s="93"/>
      <c r="P53" s="1225">
        <f>SUM(P51:P52)</f>
        <v>0</v>
      </c>
      <c r="Q53" s="1124">
        <f>SUM(Q51:Q52)</f>
        <v>0</v>
      </c>
      <c r="R53" s="1226">
        <f>SUM(R51:R52)</f>
        <v>0</v>
      </c>
      <c r="S53" s="93"/>
      <c r="T53" s="1225">
        <f>SUM(T51:T52)</f>
        <v>0</v>
      </c>
      <c r="U53" s="1124">
        <f>SUM(U51:U52)</f>
        <v>0</v>
      </c>
      <c r="V53" s="1226">
        <f>SUM(V51:V52)</f>
        <v>0</v>
      </c>
      <c r="W53" s="93"/>
      <c r="X53" s="1225">
        <f>SUM(X51:X52)</f>
        <v>0</v>
      </c>
      <c r="Y53" s="1124">
        <f>SUM(Y51:Y52)</f>
        <v>0</v>
      </c>
      <c r="Z53" s="1226">
        <f>SUM(Z51:Z52)</f>
        <v>0</v>
      </c>
      <c r="AA53" s="93"/>
      <c r="AB53" s="1225">
        <f>SUM(AB51:AB52)</f>
        <v>0</v>
      </c>
      <c r="AC53" s="1124">
        <f>SUM(AC51:AC52)</f>
        <v>0</v>
      </c>
      <c r="AD53" s="1226">
        <f>SUM(AD51:AD52)</f>
        <v>0</v>
      </c>
      <c r="AE53" s="93"/>
      <c r="AF53" s="1225">
        <f>SUM(AF51:AF52)</f>
        <v>0</v>
      </c>
      <c r="AG53" s="1124">
        <f>SUM(AG51:AG52)</f>
        <v>0</v>
      </c>
      <c r="AH53" s="1226">
        <f>SUM(AH51:AH52)</f>
        <v>0</v>
      </c>
      <c r="AI53" s="93"/>
      <c r="AJ53" s="1225">
        <f>SUM(AJ51:AJ52)</f>
        <v>0</v>
      </c>
      <c r="AK53" s="1124">
        <f>SUM(AK51:AK52)</f>
        <v>0</v>
      </c>
      <c r="AL53" s="1226">
        <f>SUM(AL51:AL52)</f>
        <v>0</v>
      </c>
      <c r="AM53" s="93"/>
      <c r="AN53" s="1225">
        <f>SUM(AN51:AN52)</f>
        <v>0</v>
      </c>
      <c r="AO53" s="1124">
        <f>SUM(AO51:AO52)</f>
        <v>0</v>
      </c>
      <c r="AP53" s="1226">
        <f>SUM(AP51:AP52)</f>
        <v>0</v>
      </c>
      <c r="AQ53" s="93"/>
      <c r="AR53" s="1225">
        <f>SUM(AR51:AR52)</f>
        <v>0</v>
      </c>
      <c r="AS53" s="1124">
        <f>SUM(AS51:AS52)</f>
        <v>0</v>
      </c>
      <c r="AT53" s="1226">
        <f>SUM(AT51:AT52)</f>
        <v>0</v>
      </c>
      <c r="AU53" s="93"/>
      <c r="AV53" s="1225">
        <f>SUM(AV51:AV52)</f>
        <v>0</v>
      </c>
      <c r="AW53" s="1124">
        <f>SUM(AW51:AW52)</f>
        <v>0</v>
      </c>
      <c r="AX53" s="1226">
        <f>SUM(AX51:AX52)</f>
        <v>0</v>
      </c>
      <c r="AY53" s="93"/>
      <c r="AZ53" s="1225">
        <f>SUM(AZ51:AZ52)</f>
        <v>0</v>
      </c>
      <c r="BA53" s="1124">
        <f>SUM(BA51:BA52)</f>
        <v>0</v>
      </c>
      <c r="BB53" s="1226">
        <f>SUM(BB51:BB52)</f>
        <v>0</v>
      </c>
    </row>
    <row r="54" spans="1:56" s="1000" customFormat="1" ht="15" customHeight="1" x14ac:dyDescent="0.3">
      <c r="A54" s="1616"/>
      <c r="B54" s="334"/>
      <c r="C54" s="93"/>
      <c r="D54" s="1630"/>
      <c r="E54" s="84"/>
      <c r="F54" s="1635"/>
      <c r="G54" s="93"/>
      <c r="H54" s="1209"/>
      <c r="I54" s="84"/>
      <c r="J54" s="1215"/>
      <c r="K54" s="93"/>
      <c r="L54" s="1209"/>
      <c r="M54" s="84"/>
      <c r="N54" s="1215"/>
      <c r="O54" s="93"/>
      <c r="P54" s="1209"/>
      <c r="Q54" s="84"/>
      <c r="R54" s="1215"/>
      <c r="S54" s="93"/>
      <c r="T54" s="1209"/>
      <c r="U54" s="84"/>
      <c r="V54" s="1215"/>
      <c r="W54" s="93"/>
      <c r="X54" s="1209"/>
      <c r="Y54" s="84"/>
      <c r="Z54" s="1215"/>
      <c r="AA54" s="93"/>
      <c r="AB54" s="1209"/>
      <c r="AC54" s="84"/>
      <c r="AD54" s="1215"/>
      <c r="AE54" s="93"/>
      <c r="AF54" s="1209"/>
      <c r="AG54" s="84"/>
      <c r="AH54" s="1215"/>
      <c r="AI54" s="93"/>
      <c r="AJ54" s="1209"/>
      <c r="AK54" s="84"/>
      <c r="AL54" s="1215"/>
      <c r="AM54" s="93"/>
      <c r="AN54" s="1209"/>
      <c r="AO54" s="84"/>
      <c r="AP54" s="1215"/>
      <c r="AQ54" s="93"/>
      <c r="AR54" s="1209"/>
      <c r="AS54" s="84"/>
      <c r="AT54" s="1215"/>
      <c r="AU54" s="93"/>
      <c r="AV54" s="1209"/>
      <c r="AW54" s="84"/>
      <c r="AX54" s="1215"/>
      <c r="AY54" s="93"/>
      <c r="AZ54" s="1209"/>
      <c r="BA54" s="84"/>
      <c r="BB54" s="1215"/>
    </row>
    <row r="55" spans="1:56" s="1003" customFormat="1" ht="15" customHeight="1" x14ac:dyDescent="0.3">
      <c r="A55" s="1616"/>
      <c r="B55" s="1143" t="s">
        <v>982</v>
      </c>
      <c r="C55" s="93"/>
      <c r="D55" s="1647">
        <f>D53+D49</f>
        <v>0</v>
      </c>
      <c r="E55" s="1648">
        <f>E53+E49</f>
        <v>0</v>
      </c>
      <c r="F55" s="1649">
        <f>F53+F49</f>
        <v>0</v>
      </c>
      <c r="G55" s="93"/>
      <c r="H55" s="1227">
        <f>H53+H49</f>
        <v>0</v>
      </c>
      <c r="I55" s="1228">
        <f>I53+I49</f>
        <v>0</v>
      </c>
      <c r="J55" s="1229">
        <f>J53+J49</f>
        <v>0</v>
      </c>
      <c r="K55" s="93"/>
      <c r="L55" s="1227">
        <f>L53+L49</f>
        <v>0</v>
      </c>
      <c r="M55" s="1228">
        <f>M53+M49</f>
        <v>0</v>
      </c>
      <c r="N55" s="1229">
        <f>N53+N49</f>
        <v>0</v>
      </c>
      <c r="O55" s="93"/>
      <c r="P55" s="1227">
        <f>P53+P49</f>
        <v>0</v>
      </c>
      <c r="Q55" s="1228">
        <f>Q53+Q49</f>
        <v>0</v>
      </c>
      <c r="R55" s="1229">
        <f>R53+R49</f>
        <v>0</v>
      </c>
      <c r="S55" s="93"/>
      <c r="T55" s="1227">
        <f>T53+T49</f>
        <v>0</v>
      </c>
      <c r="U55" s="1228">
        <f>U53+U49</f>
        <v>0</v>
      </c>
      <c r="V55" s="1229">
        <f>V53+V49</f>
        <v>0</v>
      </c>
      <c r="W55" s="93"/>
      <c r="X55" s="1227">
        <f>X53+X49</f>
        <v>0</v>
      </c>
      <c r="Y55" s="1228">
        <f>Y53+Y49</f>
        <v>0</v>
      </c>
      <c r="Z55" s="1229">
        <f>Z53+Z49</f>
        <v>0</v>
      </c>
      <c r="AA55" s="93"/>
      <c r="AB55" s="1227">
        <f>AB53+AB49</f>
        <v>0</v>
      </c>
      <c r="AC55" s="1228">
        <f>AC53+AC49</f>
        <v>0</v>
      </c>
      <c r="AD55" s="1229">
        <f>AD53+AD49</f>
        <v>0</v>
      </c>
      <c r="AE55" s="93"/>
      <c r="AF55" s="1227">
        <f>AF53+AF49</f>
        <v>0</v>
      </c>
      <c r="AG55" s="1228">
        <f>AG53+AG49</f>
        <v>0</v>
      </c>
      <c r="AH55" s="1229">
        <f>AH53+AH49</f>
        <v>0</v>
      </c>
      <c r="AI55" s="93"/>
      <c r="AJ55" s="1227">
        <f>AJ53+AJ49</f>
        <v>0</v>
      </c>
      <c r="AK55" s="1228">
        <f>AK53+AK49</f>
        <v>0</v>
      </c>
      <c r="AL55" s="1229">
        <f>AL53+AL49</f>
        <v>0</v>
      </c>
      <c r="AM55" s="93"/>
      <c r="AN55" s="1227">
        <f>AN53+AN49</f>
        <v>0</v>
      </c>
      <c r="AO55" s="1228">
        <f>AO53+AO49</f>
        <v>0</v>
      </c>
      <c r="AP55" s="1229">
        <f>AP53+AP49</f>
        <v>0</v>
      </c>
      <c r="AQ55" s="93"/>
      <c r="AR55" s="1227">
        <f>AR53+AR49</f>
        <v>0</v>
      </c>
      <c r="AS55" s="1228">
        <f>AS53+AS49</f>
        <v>0</v>
      </c>
      <c r="AT55" s="1229">
        <f>AT53+AT49</f>
        <v>0</v>
      </c>
      <c r="AU55" s="93"/>
      <c r="AV55" s="1227">
        <f>AV53+AV49</f>
        <v>0</v>
      </c>
      <c r="AW55" s="1228">
        <f>AW53+AW49</f>
        <v>0</v>
      </c>
      <c r="AX55" s="1229">
        <f>AX53+AX49</f>
        <v>0</v>
      </c>
      <c r="AY55" s="93"/>
      <c r="AZ55" s="1227">
        <f>AZ53+AZ49</f>
        <v>0</v>
      </c>
      <c r="BA55" s="1228">
        <f>BA53+BA49</f>
        <v>0</v>
      </c>
      <c r="BB55" s="1229">
        <f>BB53+BB49</f>
        <v>0</v>
      </c>
      <c r="BC55" s="1000"/>
      <c r="BD55" s="1000"/>
    </row>
    <row r="56" spans="1:56" s="1020" customFormat="1" ht="15" customHeight="1" x14ac:dyDescent="0.3">
      <c r="A56" s="1616"/>
      <c r="B56" s="125"/>
      <c r="C56" s="93"/>
      <c r="D56" s="125"/>
      <c r="E56" s="125"/>
      <c r="F56" s="125"/>
      <c r="G56" s="93"/>
      <c r="H56" s="1125"/>
      <c r="I56" s="1126"/>
      <c r="J56" s="1125"/>
      <c r="K56" s="93"/>
      <c r="L56" s="1125"/>
      <c r="M56" s="1125"/>
      <c r="N56" s="1125"/>
      <c r="O56" s="93"/>
      <c r="P56" s="1125"/>
      <c r="Q56" s="1125"/>
      <c r="R56" s="1125"/>
      <c r="S56" s="93"/>
      <c r="T56" s="1125"/>
      <c r="U56" s="1125"/>
      <c r="V56" s="1125"/>
      <c r="W56" s="93"/>
      <c r="X56" s="1125"/>
      <c r="Y56" s="1125"/>
      <c r="Z56" s="1125"/>
      <c r="AA56" s="93"/>
      <c r="AB56" s="1125"/>
      <c r="AC56" s="1125"/>
      <c r="AD56" s="1125"/>
      <c r="AE56" s="93"/>
      <c r="AF56" s="1125"/>
      <c r="AG56" s="1125"/>
      <c r="AH56" s="1125"/>
      <c r="AI56" s="93"/>
      <c r="AJ56" s="1125"/>
      <c r="AK56" s="1125"/>
      <c r="AL56" s="1125"/>
      <c r="AM56" s="93"/>
      <c r="AN56" s="1125"/>
      <c r="AO56" s="1125"/>
      <c r="AP56" s="1125"/>
      <c r="AQ56" s="93"/>
      <c r="AR56" s="1125"/>
      <c r="AS56" s="1125"/>
      <c r="AT56" s="1125"/>
      <c r="AU56" s="93"/>
      <c r="AV56" s="1125"/>
      <c r="AW56" s="1125"/>
      <c r="AX56" s="1125"/>
      <c r="AY56" s="93"/>
      <c r="AZ56" s="1125"/>
      <c r="BA56" s="1125"/>
      <c r="BB56" s="1125"/>
      <c r="BC56" s="1000"/>
      <c r="BD56" s="1000"/>
    </row>
    <row r="57" spans="1:56" x14ac:dyDescent="0.3">
      <c r="A57" s="1000"/>
      <c r="B57" s="489"/>
      <c r="C57" s="489"/>
      <c r="D57" s="489"/>
      <c r="E57" s="489"/>
      <c r="F57" s="489"/>
      <c r="G57" s="489"/>
      <c r="H57" s="1127"/>
      <c r="I57" s="1127"/>
      <c r="J57" s="1127"/>
      <c r="L57" s="1127"/>
      <c r="M57" s="1127"/>
      <c r="N57" s="1127"/>
      <c r="O57" s="93"/>
      <c r="P57" s="1127"/>
      <c r="Q57" s="1127"/>
      <c r="R57" s="1127"/>
      <c r="S57" s="93"/>
      <c r="T57" s="1127"/>
      <c r="U57" s="1127"/>
      <c r="V57" s="1127"/>
      <c r="W57" s="93"/>
      <c r="X57" s="1127"/>
      <c r="Y57" s="1127"/>
      <c r="Z57" s="1127"/>
      <c r="AA57" s="93"/>
      <c r="AB57" s="1127"/>
      <c r="AC57" s="1127"/>
      <c r="AD57" s="1127"/>
      <c r="AE57" s="93"/>
      <c r="AF57" s="1127"/>
      <c r="AG57" s="1127"/>
      <c r="AH57" s="1127"/>
      <c r="AI57" s="93"/>
      <c r="AJ57" s="1127"/>
      <c r="AK57" s="1127"/>
      <c r="AL57" s="1127"/>
      <c r="AM57" s="93"/>
      <c r="AN57" s="1127"/>
      <c r="AO57" s="1127"/>
      <c r="AP57" s="1127"/>
      <c r="AQ57" s="93"/>
      <c r="AR57" s="1127"/>
      <c r="AS57" s="1127"/>
      <c r="AT57" s="1127"/>
      <c r="AU57" s="93"/>
      <c r="AV57" s="1127"/>
      <c r="AW57" s="1127"/>
      <c r="AX57" s="1127"/>
      <c r="AY57" s="93"/>
      <c r="AZ57" s="1127"/>
      <c r="BA57" s="1127"/>
      <c r="BB57" s="1127"/>
      <c r="BC57" s="1003"/>
      <c r="BD57" s="1003"/>
    </row>
    <row r="58" spans="1:56" x14ac:dyDescent="0.3">
      <c r="A58" s="1004"/>
      <c r="B58" s="1088" t="str">
        <f>DISCLAIMER!$A$35</f>
        <v>© 2025 by WinsWithMike.com or Michael Forsberg Nampa, Idaho. All rights reserved</v>
      </c>
      <c r="C58" s="786"/>
      <c r="D58" s="786"/>
      <c r="E58" s="786"/>
      <c r="F58" s="786"/>
      <c r="G58" s="786"/>
      <c r="H58" s="1128"/>
      <c r="I58" s="1128"/>
      <c r="J58" s="1128"/>
      <c r="K58" s="787"/>
      <c r="L58" s="1128"/>
      <c r="M58" s="1128"/>
      <c r="N58" s="1130"/>
      <c r="O58" s="1128"/>
      <c r="P58" s="1128"/>
      <c r="Q58" s="1128"/>
      <c r="R58" s="1130"/>
      <c r="S58" s="1128"/>
      <c r="T58" s="1128"/>
      <c r="U58" s="1128"/>
      <c r="V58" s="1130"/>
      <c r="W58" s="1128"/>
      <c r="X58" s="1128"/>
      <c r="Y58" s="1128"/>
      <c r="Z58" s="1130"/>
      <c r="AA58" s="1128"/>
      <c r="AB58" s="1128"/>
      <c r="AC58" s="1128"/>
      <c r="AD58" s="1130"/>
      <c r="AE58" s="1128"/>
      <c r="AF58" s="1128"/>
      <c r="AG58" s="1128"/>
      <c r="AH58" s="1130"/>
      <c r="AI58" s="1128"/>
      <c r="AJ58" s="1128"/>
      <c r="AK58" s="1128"/>
      <c r="AL58" s="1130"/>
      <c r="AM58" s="1128"/>
      <c r="AN58" s="1128"/>
      <c r="AO58" s="1128"/>
      <c r="AP58" s="1130"/>
      <c r="AQ58" s="1128"/>
      <c r="AR58" s="1128"/>
      <c r="AS58" s="1128"/>
      <c r="AT58" s="1130"/>
      <c r="AU58" s="1128"/>
      <c r="AV58" s="1128"/>
      <c r="AW58" s="1128"/>
      <c r="AX58" s="1130"/>
      <c r="AY58" s="1128"/>
      <c r="AZ58" s="1128"/>
      <c r="BA58" s="1128"/>
      <c r="BB58" s="1130"/>
      <c r="BC58" s="1020"/>
      <c r="BD58" s="1020"/>
    </row>
  </sheetData>
  <sheetProtection sheet="1" objects="1" scenarios="1" selectLockedCells="1"/>
  <mergeCells count="25">
    <mergeCell ref="P6:R6"/>
    <mergeCell ref="AZ4:BB4"/>
    <mergeCell ref="AZ6:BB6"/>
    <mergeCell ref="AF4:AH4"/>
    <mergeCell ref="AF6:AH6"/>
    <mergeCell ref="AJ4:AL4"/>
    <mergeCell ref="AJ6:AL6"/>
    <mergeCell ref="AN4:AP4"/>
    <mergeCell ref="AN6:AP6"/>
    <mergeCell ref="D6:F6"/>
    <mergeCell ref="AR4:AT4"/>
    <mergeCell ref="AR6:AT6"/>
    <mergeCell ref="AV4:AX4"/>
    <mergeCell ref="AV6:AX6"/>
    <mergeCell ref="T4:V4"/>
    <mergeCell ref="T6:V6"/>
    <mergeCell ref="X4:Z4"/>
    <mergeCell ref="X6:Z6"/>
    <mergeCell ref="AB4:AD4"/>
    <mergeCell ref="AB6:AD6"/>
    <mergeCell ref="H4:J4"/>
    <mergeCell ref="L4:N4"/>
    <mergeCell ref="P4:R4"/>
    <mergeCell ref="H6:J6"/>
    <mergeCell ref="L6:N6"/>
  </mergeCells>
  <conditionalFormatting sqref="F11">
    <cfRule type="cellIs" dxfId="179" priority="201" operator="lessThan">
      <formula>0</formula>
    </cfRule>
    <cfRule type="cellIs" dxfId="178" priority="202" operator="greaterThan">
      <formula>0</formula>
    </cfRule>
  </conditionalFormatting>
  <conditionalFormatting sqref="F14:F16">
    <cfRule type="cellIs" dxfId="177" priority="189" operator="lessThan">
      <formula>0</formula>
    </cfRule>
    <cfRule type="cellIs" dxfId="176" priority="190" operator="greaterThan">
      <formula>0</formula>
    </cfRule>
  </conditionalFormatting>
  <conditionalFormatting sqref="F17">
    <cfRule type="cellIs" dxfId="175" priority="141" operator="lessThan">
      <formula>0</formula>
    </cfRule>
    <cfRule type="cellIs" dxfId="174" priority="142" operator="greaterThan">
      <formula>0</formula>
    </cfRule>
  </conditionalFormatting>
  <conditionalFormatting sqref="F19:F38">
    <cfRule type="cellIs" dxfId="173" priority="197" operator="lessThan">
      <formula>0</formula>
    </cfRule>
    <cfRule type="cellIs" dxfId="172" priority="198" operator="greaterThan">
      <formula>0</formula>
    </cfRule>
  </conditionalFormatting>
  <conditionalFormatting sqref="F45:F47">
    <cfRule type="cellIs" dxfId="171" priority="69" operator="lessThan">
      <formula>0</formula>
    </cfRule>
    <cfRule type="cellIs" dxfId="170" priority="70" operator="greaterThan">
      <formula>0</formula>
    </cfRule>
  </conditionalFormatting>
  <conditionalFormatting sqref="F51:F52">
    <cfRule type="cellIs" dxfId="169" priority="45" operator="lessThan">
      <formula>0</formula>
    </cfRule>
    <cfRule type="cellIs" dxfId="168" priority="46" operator="greaterThan">
      <formula>0</formula>
    </cfRule>
  </conditionalFormatting>
  <conditionalFormatting sqref="J11">
    <cfRule type="cellIs" dxfId="167" priority="225" operator="lessThan">
      <formula>0</formula>
    </cfRule>
    <cfRule type="cellIs" dxfId="166" priority="229" operator="greaterThan">
      <formula>0</formula>
    </cfRule>
  </conditionalFormatting>
  <conditionalFormatting sqref="J14:J16">
    <cfRule type="cellIs" dxfId="165" priority="193" operator="lessThan">
      <formula>0</formula>
    </cfRule>
    <cfRule type="cellIs" dxfId="164" priority="194" operator="greaterThan">
      <formula>0</formula>
    </cfRule>
  </conditionalFormatting>
  <conditionalFormatting sqref="J17">
    <cfRule type="cellIs" dxfId="163" priority="165" operator="lessThan">
      <formula>0</formula>
    </cfRule>
    <cfRule type="cellIs" dxfId="162" priority="166" operator="greaterThan">
      <formula>0</formula>
    </cfRule>
  </conditionalFormatting>
  <conditionalFormatting sqref="J19:J38">
    <cfRule type="cellIs" dxfId="161" priority="139" operator="lessThan">
      <formula>0</formula>
    </cfRule>
    <cfRule type="cellIs" dxfId="160" priority="140" operator="greaterThan">
      <formula>0</formula>
    </cfRule>
  </conditionalFormatting>
  <conditionalFormatting sqref="J45:J47">
    <cfRule type="cellIs" dxfId="159" priority="93" operator="lessThan">
      <formula>0</formula>
    </cfRule>
    <cfRule type="cellIs" dxfId="158" priority="94" operator="greaterThan">
      <formula>0</formula>
    </cfRule>
  </conditionalFormatting>
  <conditionalFormatting sqref="J51:J52">
    <cfRule type="cellIs" dxfId="157" priority="43" operator="lessThan">
      <formula>0</formula>
    </cfRule>
    <cfRule type="cellIs" dxfId="156" priority="44" operator="greaterThan">
      <formula>0</formula>
    </cfRule>
  </conditionalFormatting>
  <conditionalFormatting sqref="N11">
    <cfRule type="cellIs" dxfId="155" priority="223" operator="lessThan">
      <formula>0</formula>
    </cfRule>
    <cfRule type="cellIs" dxfId="154" priority="224" operator="greaterThan">
      <formula>0</formula>
    </cfRule>
  </conditionalFormatting>
  <conditionalFormatting sqref="N14:N16">
    <cfRule type="cellIs" dxfId="153" priority="187" operator="lessThan">
      <formula>0</formula>
    </cfRule>
    <cfRule type="cellIs" dxfId="152" priority="188" operator="greaterThan">
      <formula>0</formula>
    </cfRule>
  </conditionalFormatting>
  <conditionalFormatting sqref="N17">
    <cfRule type="cellIs" dxfId="151" priority="163" operator="lessThan">
      <formula>0</formula>
    </cfRule>
    <cfRule type="cellIs" dxfId="150" priority="164" operator="greaterThan">
      <formula>0</formula>
    </cfRule>
  </conditionalFormatting>
  <conditionalFormatting sqref="N19:N38">
    <cfRule type="cellIs" dxfId="149" priority="115" operator="lessThan">
      <formula>0</formula>
    </cfRule>
    <cfRule type="cellIs" dxfId="148" priority="116" operator="greaterThan">
      <formula>0</formula>
    </cfRule>
  </conditionalFormatting>
  <conditionalFormatting sqref="N45:N47">
    <cfRule type="cellIs" dxfId="147" priority="67" operator="lessThan">
      <formula>0</formula>
    </cfRule>
    <cfRule type="cellIs" dxfId="146" priority="68" operator="greaterThan">
      <formula>0</formula>
    </cfRule>
  </conditionalFormatting>
  <conditionalFormatting sqref="N51:N52">
    <cfRule type="cellIs" dxfId="145" priority="41" operator="lessThan">
      <formula>0</formula>
    </cfRule>
    <cfRule type="cellIs" dxfId="144" priority="42" operator="greaterThan">
      <formula>0</formula>
    </cfRule>
  </conditionalFormatting>
  <conditionalFormatting sqref="R11">
    <cfRule type="cellIs" dxfId="143" priority="221" operator="lessThan">
      <formula>0</formula>
    </cfRule>
    <cfRule type="cellIs" dxfId="142" priority="222" operator="greaterThan">
      <formula>0</formula>
    </cfRule>
  </conditionalFormatting>
  <conditionalFormatting sqref="R14:R16">
    <cfRule type="cellIs" dxfId="141" priority="185" operator="lessThan">
      <formula>0</formula>
    </cfRule>
    <cfRule type="cellIs" dxfId="140" priority="186" operator="greaterThan">
      <formula>0</formula>
    </cfRule>
  </conditionalFormatting>
  <conditionalFormatting sqref="R17">
    <cfRule type="cellIs" dxfId="139" priority="161" operator="lessThan">
      <formula>0</formula>
    </cfRule>
    <cfRule type="cellIs" dxfId="138" priority="162" operator="greaterThan">
      <formula>0</formula>
    </cfRule>
  </conditionalFormatting>
  <conditionalFormatting sqref="R19:R38">
    <cfRule type="cellIs" dxfId="137" priority="113" operator="lessThan">
      <formula>0</formula>
    </cfRule>
    <cfRule type="cellIs" dxfId="136" priority="114" operator="greaterThan">
      <formula>0</formula>
    </cfRule>
  </conditionalFormatting>
  <conditionalFormatting sqref="R45:R47">
    <cfRule type="cellIs" dxfId="135" priority="65" operator="lessThan">
      <formula>0</formula>
    </cfRule>
    <cfRule type="cellIs" dxfId="134" priority="66" operator="greaterThan">
      <formula>0</formula>
    </cfRule>
  </conditionalFormatting>
  <conditionalFormatting sqref="R51:R52">
    <cfRule type="cellIs" dxfId="133" priority="19" operator="lessThan">
      <formula>0</formula>
    </cfRule>
    <cfRule type="cellIs" dxfId="132" priority="20" operator="greaterThan">
      <formula>0</formula>
    </cfRule>
  </conditionalFormatting>
  <conditionalFormatting sqref="V11">
    <cfRule type="cellIs" dxfId="131" priority="219" operator="lessThan">
      <formula>0</formula>
    </cfRule>
    <cfRule type="cellIs" dxfId="130" priority="220" operator="greaterThan">
      <formula>0</formula>
    </cfRule>
  </conditionalFormatting>
  <conditionalFormatting sqref="V14:V16">
    <cfRule type="cellIs" dxfId="129" priority="183" operator="lessThan">
      <formula>0</formula>
    </cfRule>
    <cfRule type="cellIs" dxfId="128" priority="184" operator="greaterThan">
      <formula>0</formula>
    </cfRule>
  </conditionalFormatting>
  <conditionalFormatting sqref="V17">
    <cfRule type="cellIs" dxfId="127" priority="159" operator="lessThan">
      <formula>0</formula>
    </cfRule>
    <cfRule type="cellIs" dxfId="126" priority="160" operator="greaterThan">
      <formula>0</formula>
    </cfRule>
  </conditionalFormatting>
  <conditionalFormatting sqref="V19:V38">
    <cfRule type="cellIs" dxfId="125" priority="111" operator="lessThan">
      <formula>0</formula>
    </cfRule>
    <cfRule type="cellIs" dxfId="124" priority="112" operator="greaterThan">
      <formula>0</formula>
    </cfRule>
  </conditionalFormatting>
  <conditionalFormatting sqref="V45:V47">
    <cfRule type="cellIs" dxfId="123" priority="63" operator="lessThan">
      <formula>0</formula>
    </cfRule>
    <cfRule type="cellIs" dxfId="122" priority="64" operator="greaterThan">
      <formula>0</formula>
    </cfRule>
  </conditionalFormatting>
  <conditionalFormatting sqref="V51:V52">
    <cfRule type="cellIs" dxfId="121" priority="17" operator="lessThan">
      <formula>0</formula>
    </cfRule>
    <cfRule type="cellIs" dxfId="120" priority="18" operator="greaterThan">
      <formula>0</formula>
    </cfRule>
  </conditionalFormatting>
  <conditionalFormatting sqref="Z11">
    <cfRule type="cellIs" dxfId="119" priority="217" operator="lessThan">
      <formula>0</formula>
    </cfRule>
    <cfRule type="cellIs" dxfId="118" priority="218" operator="greaterThan">
      <formula>0</formula>
    </cfRule>
  </conditionalFormatting>
  <conditionalFormatting sqref="Z14:Z16">
    <cfRule type="cellIs" dxfId="117" priority="181" operator="lessThan">
      <formula>0</formula>
    </cfRule>
    <cfRule type="cellIs" dxfId="116" priority="182" operator="greaterThan">
      <formula>0</formula>
    </cfRule>
  </conditionalFormatting>
  <conditionalFormatting sqref="Z17">
    <cfRule type="cellIs" dxfId="115" priority="157" operator="lessThan">
      <formula>0</formula>
    </cfRule>
    <cfRule type="cellIs" dxfId="114" priority="158" operator="greaterThan">
      <formula>0</formula>
    </cfRule>
  </conditionalFormatting>
  <conditionalFormatting sqref="Z19:Z38">
    <cfRule type="cellIs" dxfId="113" priority="109" operator="lessThan">
      <formula>0</formula>
    </cfRule>
    <cfRule type="cellIs" dxfId="112" priority="110" operator="greaterThan">
      <formula>0</formula>
    </cfRule>
  </conditionalFormatting>
  <conditionalFormatting sqref="Z45:Z47">
    <cfRule type="cellIs" dxfId="111" priority="61" operator="lessThan">
      <formula>0</formula>
    </cfRule>
    <cfRule type="cellIs" dxfId="110" priority="62" operator="greaterThan">
      <formula>0</formula>
    </cfRule>
  </conditionalFormatting>
  <conditionalFormatting sqref="Z51:Z52">
    <cfRule type="cellIs" dxfId="109" priority="15" operator="lessThan">
      <formula>0</formula>
    </cfRule>
    <cfRule type="cellIs" dxfId="108" priority="16" operator="greaterThan">
      <formula>0</formula>
    </cfRule>
  </conditionalFormatting>
  <conditionalFormatting sqref="AD11">
    <cfRule type="cellIs" dxfId="107" priority="215" operator="lessThan">
      <formula>0</formula>
    </cfRule>
    <cfRule type="cellIs" dxfId="106" priority="216" operator="greaterThan">
      <formula>0</formula>
    </cfRule>
  </conditionalFormatting>
  <conditionalFormatting sqref="AD14:AD16">
    <cfRule type="cellIs" dxfId="105" priority="179" operator="lessThan">
      <formula>0</formula>
    </cfRule>
    <cfRule type="cellIs" dxfId="104" priority="180" operator="greaterThan">
      <formula>0</formula>
    </cfRule>
  </conditionalFormatting>
  <conditionalFormatting sqref="AD17">
    <cfRule type="cellIs" dxfId="103" priority="155" operator="lessThan">
      <formula>0</formula>
    </cfRule>
    <cfRule type="cellIs" dxfId="102" priority="156" operator="greaterThan">
      <formula>0</formula>
    </cfRule>
  </conditionalFormatting>
  <conditionalFormatting sqref="AD19:AD38">
    <cfRule type="cellIs" dxfId="101" priority="107" operator="lessThan">
      <formula>0</formula>
    </cfRule>
    <cfRule type="cellIs" dxfId="100" priority="108" operator="greaterThan">
      <formula>0</formula>
    </cfRule>
  </conditionalFormatting>
  <conditionalFormatting sqref="AD45:AD47">
    <cfRule type="cellIs" dxfId="99" priority="59" operator="lessThan">
      <formula>0</formula>
    </cfRule>
    <cfRule type="cellIs" dxfId="98" priority="60" operator="greaterThan">
      <formula>0</formula>
    </cfRule>
  </conditionalFormatting>
  <conditionalFormatting sqref="AD51:AD52">
    <cfRule type="cellIs" dxfId="97" priority="13" operator="lessThan">
      <formula>0</formula>
    </cfRule>
    <cfRule type="cellIs" dxfId="96" priority="14" operator="greaterThan">
      <formula>0</formula>
    </cfRule>
  </conditionalFormatting>
  <conditionalFormatting sqref="AH11">
    <cfRule type="cellIs" dxfId="95" priority="213" operator="lessThan">
      <formula>0</formula>
    </cfRule>
    <cfRule type="cellIs" dxfId="94" priority="214" operator="greaterThan">
      <formula>0</formula>
    </cfRule>
  </conditionalFormatting>
  <conditionalFormatting sqref="AH14:AH16">
    <cfRule type="cellIs" dxfId="93" priority="177" operator="lessThan">
      <formula>0</formula>
    </cfRule>
    <cfRule type="cellIs" dxfId="92" priority="178" operator="greaterThan">
      <formula>0</formula>
    </cfRule>
  </conditionalFormatting>
  <conditionalFormatting sqref="AH17">
    <cfRule type="cellIs" dxfId="91" priority="153" operator="lessThan">
      <formula>0</formula>
    </cfRule>
    <cfRule type="cellIs" dxfId="90" priority="154" operator="greaterThan">
      <formula>0</formula>
    </cfRule>
  </conditionalFormatting>
  <conditionalFormatting sqref="AH19:AH38">
    <cfRule type="cellIs" dxfId="89" priority="105" operator="lessThan">
      <formula>0</formula>
    </cfRule>
    <cfRule type="cellIs" dxfId="88" priority="106" operator="greaterThan">
      <formula>0</formula>
    </cfRule>
  </conditionalFormatting>
  <conditionalFormatting sqref="AH45:AH47">
    <cfRule type="cellIs" dxfId="87" priority="57" operator="lessThan">
      <formula>0</formula>
    </cfRule>
    <cfRule type="cellIs" dxfId="86" priority="58" operator="greaterThan">
      <formula>0</formula>
    </cfRule>
  </conditionalFormatting>
  <conditionalFormatting sqref="AH51:AH52">
    <cfRule type="cellIs" dxfId="85" priority="11" operator="lessThan">
      <formula>0</formula>
    </cfRule>
    <cfRule type="cellIs" dxfId="84" priority="12" operator="greaterThan">
      <formula>0</formula>
    </cfRule>
  </conditionalFormatting>
  <conditionalFormatting sqref="AL11">
    <cfRule type="cellIs" dxfId="83" priority="211" operator="lessThan">
      <formula>0</formula>
    </cfRule>
    <cfRule type="cellIs" dxfId="82" priority="212" operator="greaterThan">
      <formula>0</formula>
    </cfRule>
  </conditionalFormatting>
  <conditionalFormatting sqref="AL14:AL16">
    <cfRule type="cellIs" dxfId="81" priority="175" operator="lessThan">
      <formula>0</formula>
    </cfRule>
    <cfRule type="cellIs" dxfId="80" priority="176" operator="greaterThan">
      <formula>0</formula>
    </cfRule>
  </conditionalFormatting>
  <conditionalFormatting sqref="AL17">
    <cfRule type="cellIs" dxfId="79" priority="151" operator="lessThan">
      <formula>0</formula>
    </cfRule>
    <cfRule type="cellIs" dxfId="78" priority="152" operator="greaterThan">
      <formula>0</formula>
    </cfRule>
  </conditionalFormatting>
  <conditionalFormatting sqref="AL19:AL38">
    <cfRule type="cellIs" dxfId="77" priority="103" operator="lessThan">
      <formula>0</formula>
    </cfRule>
    <cfRule type="cellIs" dxfId="76" priority="104" operator="greaterThan">
      <formula>0</formula>
    </cfRule>
  </conditionalFormatting>
  <conditionalFormatting sqref="AL45:AL47">
    <cfRule type="cellIs" dxfId="75" priority="55" operator="lessThan">
      <formula>0</formula>
    </cfRule>
    <cfRule type="cellIs" dxfId="74" priority="56" operator="greaterThan">
      <formula>0</formula>
    </cfRule>
  </conditionalFormatting>
  <conditionalFormatting sqref="AL51:AL52">
    <cfRule type="cellIs" dxfId="73" priority="9" operator="lessThan">
      <formula>0</formula>
    </cfRule>
    <cfRule type="cellIs" dxfId="72" priority="10" operator="greaterThan">
      <formula>0</formula>
    </cfRule>
  </conditionalFormatting>
  <conditionalFormatting sqref="AP11">
    <cfRule type="cellIs" dxfId="71" priority="209" operator="lessThan">
      <formula>0</formula>
    </cfRule>
    <cfRule type="cellIs" dxfId="70" priority="210" operator="greaterThan">
      <formula>0</formula>
    </cfRule>
  </conditionalFormatting>
  <conditionalFormatting sqref="AP14:AP16">
    <cfRule type="cellIs" dxfId="69" priority="173" operator="lessThan">
      <formula>0</formula>
    </cfRule>
    <cfRule type="cellIs" dxfId="68" priority="174" operator="greaterThan">
      <formula>0</formula>
    </cfRule>
  </conditionalFormatting>
  <conditionalFormatting sqref="AP17">
    <cfRule type="cellIs" dxfId="67" priority="149" operator="lessThan">
      <formula>0</formula>
    </cfRule>
    <cfRule type="cellIs" dxfId="66" priority="150" operator="greaterThan">
      <formula>0</formula>
    </cfRule>
  </conditionalFormatting>
  <conditionalFormatting sqref="AP19:AP38">
    <cfRule type="cellIs" dxfId="65" priority="101" operator="lessThan">
      <formula>0</formula>
    </cfRule>
    <cfRule type="cellIs" dxfId="64" priority="102" operator="greaterThan">
      <formula>0</formula>
    </cfRule>
  </conditionalFormatting>
  <conditionalFormatting sqref="AP45:AP47">
    <cfRule type="cellIs" dxfId="63" priority="53" operator="lessThan">
      <formula>0</formula>
    </cfRule>
    <cfRule type="cellIs" dxfId="62" priority="54" operator="greaterThan">
      <formula>0</formula>
    </cfRule>
  </conditionalFormatting>
  <conditionalFormatting sqref="AP51:AP52">
    <cfRule type="cellIs" dxfId="61" priority="7" operator="lessThan">
      <formula>0</formula>
    </cfRule>
    <cfRule type="cellIs" dxfId="60" priority="8" operator="greaterThan">
      <formula>0</formula>
    </cfRule>
  </conditionalFormatting>
  <conditionalFormatting sqref="AT11">
    <cfRule type="cellIs" dxfId="59" priority="207" operator="lessThan">
      <formula>0</formula>
    </cfRule>
    <cfRule type="cellIs" dxfId="58" priority="208" operator="greaterThan">
      <formula>0</formula>
    </cfRule>
  </conditionalFormatting>
  <conditionalFormatting sqref="AT14:AT16">
    <cfRule type="cellIs" dxfId="57" priority="171" operator="lessThan">
      <formula>0</formula>
    </cfRule>
    <cfRule type="cellIs" dxfId="56" priority="172" operator="greaterThan">
      <formula>0</formula>
    </cfRule>
  </conditionalFormatting>
  <conditionalFormatting sqref="AT17">
    <cfRule type="cellIs" dxfId="55" priority="147" operator="lessThan">
      <formula>0</formula>
    </cfRule>
    <cfRule type="cellIs" dxfId="54" priority="148" operator="greaterThan">
      <formula>0</formula>
    </cfRule>
  </conditionalFormatting>
  <conditionalFormatting sqref="AT19:AT38">
    <cfRule type="cellIs" dxfId="53" priority="99" operator="lessThan">
      <formula>0</formula>
    </cfRule>
    <cfRule type="cellIs" dxfId="52" priority="100" operator="greaterThan">
      <formula>0</formula>
    </cfRule>
  </conditionalFormatting>
  <conditionalFormatting sqref="AT45:AT47">
    <cfRule type="cellIs" dxfId="51" priority="51" operator="lessThan">
      <formula>0</formula>
    </cfRule>
    <cfRule type="cellIs" dxfId="50" priority="52" operator="greaterThan">
      <formula>0</formula>
    </cfRule>
  </conditionalFormatting>
  <conditionalFormatting sqref="AT51:AT52">
    <cfRule type="cellIs" dxfId="49" priority="5" operator="lessThan">
      <formula>0</formula>
    </cfRule>
    <cfRule type="cellIs" dxfId="48" priority="6" operator="greaterThan">
      <formula>0</formula>
    </cfRule>
  </conditionalFormatting>
  <conditionalFormatting sqref="AX11">
    <cfRule type="cellIs" dxfId="47" priority="205" operator="lessThan">
      <formula>0</formula>
    </cfRule>
    <cfRule type="cellIs" dxfId="46" priority="206" operator="greaterThan">
      <formula>0</formula>
    </cfRule>
  </conditionalFormatting>
  <conditionalFormatting sqref="AX14:AX16">
    <cfRule type="cellIs" dxfId="45" priority="169" operator="lessThan">
      <formula>0</formula>
    </cfRule>
    <cfRule type="cellIs" dxfId="44" priority="170" operator="greaterThan">
      <formula>0</formula>
    </cfRule>
  </conditionalFormatting>
  <conditionalFormatting sqref="AX17">
    <cfRule type="cellIs" dxfId="43" priority="145" operator="lessThan">
      <formula>0</formula>
    </cfRule>
    <cfRule type="cellIs" dxfId="42" priority="146" operator="greaterThan">
      <formula>0</formula>
    </cfRule>
  </conditionalFormatting>
  <conditionalFormatting sqref="AX19:AX38">
    <cfRule type="cellIs" dxfId="41" priority="97" operator="lessThan">
      <formula>0</formula>
    </cfRule>
    <cfRule type="cellIs" dxfId="40" priority="98" operator="greaterThan">
      <formula>0</formula>
    </cfRule>
  </conditionalFormatting>
  <conditionalFormatting sqref="AX45:AX47">
    <cfRule type="cellIs" dxfId="39" priority="49" operator="lessThan">
      <formula>0</formula>
    </cfRule>
    <cfRule type="cellIs" dxfId="38" priority="50" operator="greaterThan">
      <formula>0</formula>
    </cfRule>
  </conditionalFormatting>
  <conditionalFormatting sqref="AX51:AX52">
    <cfRule type="cellIs" dxfId="37" priority="3" operator="lessThan">
      <formula>0</formula>
    </cfRule>
    <cfRule type="cellIs" dxfId="36" priority="4" operator="greaterThan">
      <formula>0</formula>
    </cfRule>
  </conditionalFormatting>
  <conditionalFormatting sqref="BB11">
    <cfRule type="cellIs" dxfId="35" priority="203" operator="lessThan">
      <formula>0</formula>
    </cfRule>
    <cfRule type="cellIs" dxfId="34" priority="204" operator="greaterThan">
      <formula>0</formula>
    </cfRule>
  </conditionalFormatting>
  <conditionalFormatting sqref="BB14:BB16">
    <cfRule type="cellIs" dxfId="33" priority="167" operator="lessThan">
      <formula>0</formula>
    </cfRule>
    <cfRule type="cellIs" dxfId="32" priority="168" operator="greaterThan">
      <formula>0</formula>
    </cfRule>
  </conditionalFormatting>
  <conditionalFormatting sqref="BB17">
    <cfRule type="cellIs" dxfId="31" priority="143" operator="lessThan">
      <formula>0</formula>
    </cfRule>
    <cfRule type="cellIs" dxfId="30" priority="144" operator="greaterThan">
      <formula>0</formula>
    </cfRule>
  </conditionalFormatting>
  <conditionalFormatting sqref="BB19:BB38">
    <cfRule type="cellIs" dxfId="29" priority="95" operator="lessThan">
      <formula>0</formula>
    </cfRule>
    <cfRule type="cellIs" dxfId="28" priority="96" operator="greaterThan">
      <formula>0</formula>
    </cfRule>
  </conditionalFormatting>
  <conditionalFormatting sqref="BB45:BB47">
    <cfRule type="cellIs" dxfId="27" priority="47" operator="lessThan">
      <formula>0</formula>
    </cfRule>
    <cfRule type="cellIs" dxfId="26" priority="48" operator="greaterThan">
      <formula>0</formula>
    </cfRule>
  </conditionalFormatting>
  <conditionalFormatting sqref="BB51:BB52">
    <cfRule type="cellIs" dxfId="25" priority="1" operator="lessThan">
      <formula>0</formula>
    </cfRule>
    <cfRule type="cellIs" dxfId="24" priority="2" operator="greaterThan">
      <formula>0</formula>
    </cfRule>
  </conditionalFormatting>
  <dataValidations count="2">
    <dataValidation allowBlank="1" showInputMessage="1" showErrorMessage="1" promptTitle="Custom Operating Expense" prompt="Enter non-recurring and custom operating expenses. Note that these expenses will impact your Net Operating Income (NOI) and all NOI-related financial ratios" sqref="B46:B47" xr:uid="{EAD3D2DC-9890-48A9-B79C-5047F9071663}"/>
    <dataValidation allowBlank="1" showErrorMessage="1" sqref="A37:C38 AV37:AV38 W37:X38 AB37:AB38 AF37:AF38 AJ37:AJ38 AN37:AN38 AR37:AR38 AV46:AV47 O37:P38 G37:H38 K37:L38 S37:T38 AZ37:AZ38 H46:H47 L46:L47 P46:P47 T46:T47 X46:X47 AB46:AB47 AF46:AF47 AJ46:AJ47 AN46:AN47 AR46:AR47 AZ46:AZ47" xr:uid="{9562A75E-DA6D-49B7-B3FA-9AAB2C348FB8}"/>
  </dataValidations>
  <pageMargins left="0.25" right="0.25" top="0.75" bottom="0.75" header="0.3" footer="0.3"/>
  <pageSetup scale="67" fitToWidth="0" orientation="landscape" r:id="rId1"/>
  <colBreaks count="2" manualBreakCount="2">
    <brk id="19" min="4" max="55" man="1"/>
    <brk id="39" min="4" max="55" man="1"/>
  </colBreaks>
  <drawing r:id="rId2"/>
  <extLst>
    <ext xmlns:x14="http://schemas.microsoft.com/office/spreadsheetml/2009/9/main" uri="{78C0D931-6437-407d-A8EE-F0AAD7539E65}">
      <x14:conditionalFormattings>
        <x14:conditionalFormatting xmlns:xm="http://schemas.microsoft.com/office/excel/2006/main">
          <x14:cfRule type="expression" priority="231" id="{A752611F-C117-456B-B7C1-B748774787E9}">
            <xm:f>DASHBOARD!$L$140&lt;&gt;0</xm:f>
            <x14:dxf>
              <font>
                <b val="0"/>
                <i val="0"/>
                <color theme="0" tint="-0.24994659260841701"/>
              </font>
              <fill>
                <patternFill>
                  <bgColor theme="0" tint="-4.9989318521683403E-2"/>
                </patternFill>
              </fill>
            </x14:dxf>
          </x14:cfRule>
          <xm:sqref>B19:B38 B45:B47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7F61A09-1717-44BF-AE6E-CDF8EBAA6134}">
          <x14:formula1>
            <xm:f>HIDE5!$B$10:$B$19</xm:f>
          </x14:formula1>
          <xm:sqref>D4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6487B-54F0-4431-AFBF-1E33B476C967}">
  <sheetPr codeName="Sheet23">
    <tabColor theme="9" tint="0.79998168889431442"/>
    <pageSetUpPr fitToPage="1"/>
  </sheetPr>
  <dimension ref="A1:CB64"/>
  <sheetViews>
    <sheetView showGridLines="0" showRowColHeaders="0" zoomScaleNormal="100" zoomScaleSheetLayoutView="100" workbookViewId="0">
      <selection activeCell="A6" sqref="A6"/>
    </sheetView>
  </sheetViews>
  <sheetFormatPr defaultColWidth="9.109375" defaultRowHeight="13.8" x14ac:dyDescent="0.3"/>
  <cols>
    <col min="1" max="1" width="2.88671875" style="93" customWidth="1"/>
    <col min="2" max="2" width="25.6640625" style="93" customWidth="1"/>
    <col min="3" max="3" width="13.33203125" style="93" customWidth="1"/>
    <col min="4" max="4" width="2.44140625" style="93" customWidth="1"/>
    <col min="5" max="5" width="10" style="93" customWidth="1"/>
    <col min="6" max="6" width="9.109375" style="93" customWidth="1"/>
    <col min="7" max="15" width="10" style="93" customWidth="1"/>
    <col min="16" max="16" width="4.33203125" style="93" customWidth="1"/>
    <col min="17" max="16384" width="9.109375" style="93"/>
  </cols>
  <sheetData>
    <row r="1" spans="1:80" s="1244" customFormat="1" ht="30" customHeight="1" x14ac:dyDescent="0.25">
      <c r="A1" s="1685" t="s">
        <v>983</v>
      </c>
    </row>
    <row r="2" spans="1:80" s="673" customFormat="1" ht="18.75" customHeight="1" x14ac:dyDescent="0.25">
      <c r="A2" s="1685"/>
      <c r="B2" s="1244"/>
      <c r="C2" s="1244"/>
      <c r="D2" s="1244"/>
      <c r="E2" s="1244"/>
      <c r="F2" s="1244"/>
      <c r="G2" s="1244"/>
      <c r="H2" s="1244"/>
      <c r="I2" s="1244"/>
      <c r="J2" s="1244"/>
      <c r="K2" s="1244"/>
      <c r="L2" s="1244"/>
      <c r="M2" s="1244"/>
      <c r="N2" s="1244"/>
      <c r="O2" s="1244"/>
      <c r="P2" s="1244"/>
      <c r="Q2" s="1244"/>
      <c r="R2" s="1244"/>
      <c r="S2" s="1244"/>
      <c r="T2" s="1244"/>
      <c r="U2" s="1244"/>
      <c r="V2" s="1244"/>
    </row>
    <row r="3" spans="1:80" ht="15" customHeight="1" x14ac:dyDescent="0.25">
      <c r="A3" s="1685"/>
      <c r="B3" s="1244"/>
      <c r="C3" s="1244"/>
      <c r="D3" s="1244"/>
      <c r="E3" s="1244"/>
      <c r="F3" s="1244"/>
      <c r="G3" s="1244"/>
      <c r="H3" s="1244"/>
      <c r="I3" s="1244"/>
      <c r="J3" s="1244"/>
      <c r="K3" s="1244"/>
      <c r="L3" s="1244"/>
      <c r="M3" s="1244"/>
      <c r="N3" s="1244"/>
      <c r="O3" s="1244"/>
      <c r="P3" s="1244"/>
      <c r="Q3" s="1244"/>
      <c r="R3" s="1244"/>
      <c r="S3" s="1244"/>
      <c r="T3" s="1244"/>
      <c r="U3" s="1244"/>
      <c r="V3" s="1244"/>
    </row>
    <row r="4" spans="1:80" s="1000" customFormat="1" ht="18.75" customHeight="1" x14ac:dyDescent="0.3">
      <c r="A4" s="1876"/>
      <c r="B4" s="174"/>
      <c r="C4" s="174"/>
      <c r="D4" s="174"/>
      <c r="E4" s="174"/>
      <c r="F4" s="174"/>
      <c r="G4" s="174"/>
      <c r="H4" s="174"/>
      <c r="I4" s="174"/>
      <c r="J4" s="1876"/>
      <c r="K4" s="1876"/>
      <c r="L4" s="173"/>
      <c r="M4" s="1876"/>
      <c r="N4" s="1876"/>
      <c r="O4" s="1876"/>
      <c r="P4" s="1876"/>
      <c r="Q4" s="1876"/>
      <c r="R4" s="1876"/>
      <c r="S4" s="1876"/>
      <c r="T4" s="1876"/>
      <c r="U4" s="1876"/>
      <c r="V4" s="1876"/>
      <c r="W4" s="1876"/>
      <c r="X4" s="1876"/>
      <c r="Y4" s="1876"/>
      <c r="Z4" s="1876"/>
      <c r="AA4" s="1876"/>
      <c r="AB4" s="1876"/>
      <c r="AC4" s="1876"/>
      <c r="AD4" s="1876"/>
      <c r="AE4" s="1876"/>
      <c r="AF4" s="1876"/>
      <c r="AG4" s="1876"/>
      <c r="AH4" s="1876"/>
      <c r="AI4" s="1876"/>
      <c r="AJ4" s="1876"/>
      <c r="AK4" s="1876"/>
      <c r="AL4" s="1876"/>
      <c r="AM4" s="1876"/>
      <c r="AN4" s="1876"/>
      <c r="AO4" s="1876"/>
      <c r="AP4" s="1876"/>
      <c r="AQ4" s="1876"/>
      <c r="AR4" s="1876"/>
      <c r="AS4" s="1876"/>
      <c r="AT4" s="1876"/>
      <c r="AU4" s="1876"/>
      <c r="AV4" s="1876"/>
      <c r="AW4" s="1876"/>
      <c r="AX4" s="1876"/>
      <c r="AY4" s="1876"/>
      <c r="AZ4" s="1876"/>
      <c r="BA4" s="1876"/>
      <c r="BB4" s="1876"/>
      <c r="BC4" s="1876"/>
      <c r="BD4" s="1876"/>
      <c r="BE4" s="1876"/>
      <c r="BF4" s="1876"/>
      <c r="BG4" s="1876"/>
      <c r="BH4" s="1876"/>
      <c r="BI4" s="1876"/>
      <c r="BJ4" s="1876"/>
      <c r="BK4" s="1876"/>
      <c r="BL4" s="1876"/>
      <c r="BM4" s="1876"/>
      <c r="BN4" s="1876"/>
      <c r="BO4" s="1876"/>
      <c r="BP4" s="1876"/>
      <c r="BQ4" s="1876"/>
      <c r="BR4" s="1876"/>
      <c r="BS4" s="1876"/>
      <c r="BT4" s="1876"/>
      <c r="BU4" s="1876"/>
      <c r="BV4" s="1876"/>
      <c r="BW4" s="1876"/>
      <c r="BX4" s="1876"/>
      <c r="BY4" s="1876"/>
      <c r="BZ4" s="1876"/>
      <c r="CA4" s="1876"/>
      <c r="CB4" s="1876"/>
    </row>
    <row r="5" spans="1:80" ht="15" customHeight="1" x14ac:dyDescent="0.3">
      <c r="A5" s="1059"/>
      <c r="B5" s="673"/>
      <c r="C5" s="673"/>
      <c r="D5" s="673"/>
      <c r="E5" s="1099">
        <f>E7</f>
        <v>2025</v>
      </c>
      <c r="F5" s="1099">
        <f t="shared" ref="F5:N5" si="0">F7</f>
        <v>2026</v>
      </c>
      <c r="G5" s="1099">
        <f t="shared" si="0"/>
        <v>2027</v>
      </c>
      <c r="H5" s="1099">
        <f t="shared" si="0"/>
        <v>2028</v>
      </c>
      <c r="I5" s="1099">
        <f t="shared" si="0"/>
        <v>2029</v>
      </c>
      <c r="J5" s="1099">
        <f t="shared" si="0"/>
        <v>2030</v>
      </c>
      <c r="K5" s="1099">
        <f t="shared" si="0"/>
        <v>2031</v>
      </c>
      <c r="L5" s="1099">
        <f t="shared" si="0"/>
        <v>2032</v>
      </c>
      <c r="M5" s="1099">
        <f t="shared" si="0"/>
        <v>2033</v>
      </c>
      <c r="N5" s="1099">
        <f t="shared" si="0"/>
        <v>2034</v>
      </c>
      <c r="O5" s="1099">
        <f>O7</f>
        <v>2035</v>
      </c>
      <c r="P5" s="673"/>
      <c r="Q5" s="673"/>
      <c r="R5" s="673"/>
      <c r="S5" s="673"/>
      <c r="T5" s="673"/>
      <c r="U5" s="673"/>
      <c r="V5" s="673"/>
      <c r="W5" s="1000"/>
      <c r="X5" s="1000"/>
      <c r="Y5" s="1000"/>
      <c r="Z5" s="1000"/>
      <c r="AA5" s="1000"/>
      <c r="AB5" s="1000"/>
      <c r="AC5" s="1000"/>
      <c r="AD5" s="1000"/>
      <c r="AE5" s="1000"/>
      <c r="AF5" s="1000"/>
      <c r="AG5" s="1000"/>
      <c r="AH5" s="1000"/>
      <c r="AI5" s="1000"/>
      <c r="AJ5" s="1000"/>
      <c r="AK5" s="1000"/>
      <c r="AL5" s="1000"/>
      <c r="AM5" s="1000"/>
      <c r="AN5" s="1000"/>
      <c r="AO5" s="1000"/>
      <c r="AP5" s="1000"/>
      <c r="AQ5" s="1000"/>
      <c r="AR5" s="1000"/>
      <c r="AS5" s="1000"/>
      <c r="AT5" s="1000"/>
      <c r="AU5" s="1000"/>
      <c r="AV5" s="1000"/>
      <c r="AW5" s="1000"/>
      <c r="AX5" s="1000"/>
      <c r="AY5" s="1000"/>
      <c r="AZ5" s="1000"/>
      <c r="BA5" s="1000"/>
      <c r="BB5" s="1000"/>
      <c r="BC5" s="1000"/>
      <c r="BD5" s="1000"/>
      <c r="BE5" s="1000"/>
      <c r="BF5" s="1000"/>
      <c r="BG5" s="1000"/>
      <c r="BH5" s="1000"/>
      <c r="BI5" s="1000"/>
      <c r="BJ5" s="1000"/>
      <c r="BK5" s="1000"/>
      <c r="BL5" s="1000"/>
      <c r="BM5" s="1000"/>
      <c r="BN5" s="1000"/>
      <c r="BO5" s="1000"/>
      <c r="BP5" s="1000"/>
      <c r="BQ5" s="1000"/>
      <c r="BR5" s="1000"/>
      <c r="BS5" s="1000"/>
      <c r="BT5" s="1000"/>
      <c r="BU5" s="1000"/>
      <c r="BV5" s="1000"/>
      <c r="BW5" s="1000"/>
      <c r="BX5" s="1000"/>
      <c r="BY5" s="1000"/>
      <c r="BZ5" s="1000"/>
      <c r="CA5" s="1000"/>
      <c r="CB5" s="1000"/>
    </row>
    <row r="6" spans="1:80" s="1000" customFormat="1" ht="15" customHeight="1" x14ac:dyDescent="0.3">
      <c r="A6" s="1865"/>
      <c r="B6" s="93"/>
      <c r="C6" s="93"/>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row>
    <row r="7" spans="1:80" s="1001" customFormat="1" ht="15" customHeight="1" x14ac:dyDescent="0.3">
      <c r="A7" s="1000"/>
      <c r="B7" s="1010" t="s">
        <v>633</v>
      </c>
      <c r="C7" s="1011" t="s">
        <v>20</v>
      </c>
      <c r="D7" s="1011"/>
      <c r="E7" s="1097">
        <f>CHOOSE('ACTUALS (M)'!A5,YEAR(purchase_date),YEAR('ACTUALS (M)'!D5))</f>
        <v>2025</v>
      </c>
      <c r="F7" s="1097">
        <f>E7+1</f>
        <v>2026</v>
      </c>
      <c r="G7" s="1097">
        <f t="shared" ref="G7:N7" si="1">F7+1</f>
        <v>2027</v>
      </c>
      <c r="H7" s="1097">
        <f t="shared" si="1"/>
        <v>2028</v>
      </c>
      <c r="I7" s="1097">
        <f t="shared" si="1"/>
        <v>2029</v>
      </c>
      <c r="J7" s="1097">
        <f t="shared" si="1"/>
        <v>2030</v>
      </c>
      <c r="K7" s="1097">
        <f t="shared" si="1"/>
        <v>2031</v>
      </c>
      <c r="L7" s="1097">
        <f t="shared" si="1"/>
        <v>2032</v>
      </c>
      <c r="M7" s="1097">
        <f t="shared" si="1"/>
        <v>2033</v>
      </c>
      <c r="N7" s="1097">
        <f t="shared" si="1"/>
        <v>2034</v>
      </c>
      <c r="O7" s="1098">
        <f>N7+1</f>
        <v>2035</v>
      </c>
      <c r="P7" s="1000"/>
      <c r="Q7" s="1000"/>
      <c r="R7" s="1000"/>
      <c r="S7" s="1000"/>
      <c r="T7" s="1000"/>
      <c r="U7" s="1000"/>
      <c r="V7" s="1000"/>
      <c r="W7" s="1000"/>
      <c r="X7" s="1000"/>
      <c r="Y7" s="1000"/>
      <c r="Z7" s="1000"/>
      <c r="AA7" s="1000"/>
      <c r="AB7" s="1000"/>
      <c r="AC7" s="1000"/>
      <c r="AD7" s="1000"/>
      <c r="AE7" s="1000"/>
      <c r="AF7" s="1000"/>
      <c r="AG7" s="1000"/>
      <c r="AH7" s="1000"/>
      <c r="AI7" s="1000"/>
      <c r="AJ7" s="1000"/>
      <c r="AK7" s="1000"/>
      <c r="AL7" s="1000"/>
      <c r="AM7" s="1000"/>
      <c r="AN7" s="1000"/>
      <c r="AO7" s="1000"/>
      <c r="AP7" s="1000"/>
      <c r="AQ7" s="1000"/>
      <c r="AR7" s="1000"/>
      <c r="AS7" s="1000"/>
      <c r="AT7" s="1000"/>
      <c r="AU7" s="1000"/>
      <c r="AV7" s="1000"/>
      <c r="AW7" s="1000"/>
      <c r="AX7" s="1000"/>
      <c r="AY7" s="1000"/>
      <c r="AZ7" s="1000"/>
      <c r="BA7" s="1000"/>
      <c r="BB7" s="1000"/>
      <c r="BC7" s="1000"/>
      <c r="BD7" s="1000"/>
      <c r="BE7" s="1000"/>
      <c r="BF7" s="1000"/>
      <c r="BG7" s="1000"/>
      <c r="BH7" s="1000"/>
      <c r="BI7" s="1000"/>
      <c r="BJ7" s="1000"/>
      <c r="BK7" s="1000"/>
      <c r="BL7" s="1000"/>
      <c r="BM7" s="1000"/>
      <c r="BN7" s="1000"/>
      <c r="BO7" s="1000"/>
      <c r="BP7" s="1000"/>
      <c r="BQ7" s="1000"/>
      <c r="BR7" s="1000"/>
      <c r="BS7" s="1000"/>
      <c r="BT7" s="1000"/>
      <c r="BU7" s="1000"/>
      <c r="BV7" s="1000"/>
      <c r="BW7" s="1000"/>
      <c r="BX7" s="1000"/>
      <c r="BY7" s="1000"/>
      <c r="BZ7" s="1000"/>
      <c r="CA7" s="1000"/>
      <c r="CB7" s="1000"/>
    </row>
    <row r="8" spans="1:80" s="1019" customFormat="1" ht="15" customHeight="1" x14ac:dyDescent="0.3">
      <c r="A8" s="93"/>
      <c r="B8" s="24"/>
      <c r="C8" s="1100"/>
      <c r="D8" s="96"/>
      <c r="E8" s="960"/>
      <c r="F8" s="961"/>
      <c r="G8" s="962"/>
      <c r="H8" s="14"/>
      <c r="I8" s="14"/>
      <c r="J8" s="14"/>
      <c r="K8" s="14"/>
      <c r="L8" s="14"/>
      <c r="M8" s="14"/>
      <c r="N8" s="14"/>
      <c r="O8" s="14"/>
      <c r="P8" s="93"/>
      <c r="Q8" s="93"/>
      <c r="R8" s="93"/>
      <c r="S8" s="93"/>
      <c r="T8" s="93"/>
      <c r="U8" s="93"/>
      <c r="V8" s="93"/>
      <c r="W8" s="1001"/>
      <c r="X8" s="1001"/>
      <c r="Y8" s="1001"/>
      <c r="Z8" s="1001"/>
      <c r="AA8" s="1001"/>
      <c r="AB8" s="1001"/>
      <c r="AC8" s="1001"/>
      <c r="AD8" s="1001"/>
      <c r="AE8" s="1001"/>
      <c r="AF8" s="1001"/>
      <c r="AG8" s="1001"/>
      <c r="AH8" s="1001"/>
      <c r="AI8" s="1001"/>
      <c r="AJ8" s="1001"/>
      <c r="AK8" s="1001"/>
      <c r="AL8" s="1001"/>
      <c r="AM8" s="1001"/>
      <c r="AN8" s="1001"/>
      <c r="AO8" s="1001"/>
      <c r="AP8" s="1001"/>
      <c r="AQ8" s="1001"/>
      <c r="AR8" s="1001"/>
      <c r="AS8" s="1001"/>
      <c r="AT8" s="1001"/>
      <c r="AU8" s="1001"/>
      <c r="AV8" s="1001"/>
      <c r="AW8" s="1001"/>
      <c r="AX8" s="1001"/>
      <c r="AY8" s="1001"/>
      <c r="AZ8" s="1001"/>
      <c r="BA8" s="1001"/>
      <c r="BB8" s="1001"/>
      <c r="BC8" s="1001"/>
      <c r="BD8" s="1001"/>
      <c r="BE8" s="1001"/>
      <c r="BF8" s="1001"/>
      <c r="BG8" s="1001"/>
      <c r="BH8" s="1001"/>
      <c r="BI8" s="1001"/>
      <c r="BJ8" s="1001"/>
      <c r="BK8" s="1001"/>
      <c r="BL8" s="1001"/>
      <c r="BM8" s="1001"/>
      <c r="BN8" s="1001"/>
      <c r="BO8" s="1001"/>
      <c r="BP8" s="1001"/>
      <c r="BQ8" s="1001"/>
      <c r="BR8" s="1001"/>
      <c r="BS8" s="1001"/>
      <c r="BT8" s="1001"/>
      <c r="BU8" s="1001"/>
      <c r="BV8" s="1001"/>
      <c r="BW8" s="1001"/>
      <c r="BX8" s="1001"/>
      <c r="BY8" s="1001"/>
      <c r="BZ8" s="1001"/>
      <c r="CA8" s="1001"/>
      <c r="CB8" s="1001"/>
    </row>
    <row r="9" spans="1:80" s="1001" customFormat="1" ht="15" customHeight="1" x14ac:dyDescent="0.3">
      <c r="A9" s="1000"/>
      <c r="B9" s="334" t="s">
        <v>569</v>
      </c>
      <c r="C9" s="1101">
        <f>SUM(E9:O9)</f>
        <v>0</v>
      </c>
      <c r="D9" s="966"/>
      <c r="E9" s="1115">
        <f>SUMIF('ACTUALS (M)'!$G$7:$DV$7,'ACTUALS (Y)'!E$7,'ACTUALS (M)'!$G11:$DV11)</f>
        <v>0</v>
      </c>
      <c r="F9" s="1115">
        <f>SUMIF('ACTUALS (M)'!$G$7:$DV$7,'ACTUALS (Y)'!F$7,'ACTUALS (M)'!$G11:$DV11)</f>
        <v>0</v>
      </c>
      <c r="G9" s="1115">
        <f>SUMIF('ACTUALS (M)'!$G$7:$DV$7,'ACTUALS (Y)'!G$7,'ACTUALS (M)'!$G11:$DV11)</f>
        <v>0</v>
      </c>
      <c r="H9" s="1115">
        <f>SUMIF('ACTUALS (M)'!$G$7:$DV$7,'ACTUALS (Y)'!H$7,'ACTUALS (M)'!$G11:$DV11)</f>
        <v>0</v>
      </c>
      <c r="I9" s="1115">
        <f>SUMIF('ACTUALS (M)'!$G$7:$DV$7,'ACTUALS (Y)'!I$7,'ACTUALS (M)'!$G11:$DV11)</f>
        <v>0</v>
      </c>
      <c r="J9" s="1115">
        <f>SUMIF('ACTUALS (M)'!$G$7:$DV$7,'ACTUALS (Y)'!J$7,'ACTUALS (M)'!$G11:$DV11)</f>
        <v>0</v>
      </c>
      <c r="K9" s="1115">
        <f>SUMIF('ACTUALS (M)'!$G$7:$DV$7,'ACTUALS (Y)'!K$7,'ACTUALS (M)'!$G11:$DV11)</f>
        <v>0</v>
      </c>
      <c r="L9" s="1115">
        <f>SUMIF('ACTUALS (M)'!$G$7:$DV$7,'ACTUALS (Y)'!L$7,'ACTUALS (M)'!$G11:$DV11)</f>
        <v>0</v>
      </c>
      <c r="M9" s="1115">
        <f>SUMIF('ACTUALS (M)'!$G$7:$DV$7,'ACTUALS (Y)'!M$7,'ACTUALS (M)'!$G11:$DV11)</f>
        <v>0</v>
      </c>
      <c r="N9" s="1115">
        <f>SUMIF('ACTUALS (M)'!$G$7:$DV$7,'ACTUALS (Y)'!N$7,'ACTUALS (M)'!$G11:$DV11)</f>
        <v>0</v>
      </c>
      <c r="O9" s="1115">
        <f>SUMIF('ACTUALS (M)'!$G$7:$DV$7,'ACTUALS (Y)'!O$7,'ACTUALS (M)'!$G11:$DV11)</f>
        <v>0</v>
      </c>
      <c r="P9" s="1000"/>
      <c r="Q9" s="1000"/>
      <c r="R9" s="1000"/>
      <c r="S9" s="1000"/>
      <c r="T9" s="1000"/>
      <c r="U9" s="1000"/>
      <c r="V9" s="1000"/>
      <c r="W9" s="1019"/>
      <c r="X9" s="1019"/>
      <c r="Y9" s="1019"/>
      <c r="Z9" s="1019"/>
      <c r="AA9" s="1019"/>
      <c r="AB9" s="1019"/>
      <c r="AC9" s="1019"/>
      <c r="AD9" s="1019"/>
      <c r="AE9" s="1019"/>
      <c r="AF9" s="1019"/>
      <c r="AG9" s="1019"/>
      <c r="AH9" s="1019"/>
      <c r="AI9" s="1019"/>
      <c r="AJ9" s="1019"/>
      <c r="AK9" s="1019"/>
      <c r="AL9" s="1019"/>
      <c r="AM9" s="1019"/>
      <c r="AN9" s="1019"/>
      <c r="AO9" s="1019"/>
      <c r="AP9" s="1019"/>
      <c r="AQ9" s="1019"/>
      <c r="AR9" s="1019"/>
      <c r="AS9" s="1019"/>
      <c r="AT9" s="1019"/>
      <c r="AU9" s="1019"/>
      <c r="AV9" s="1019"/>
      <c r="AW9" s="1019"/>
      <c r="AX9" s="1019"/>
      <c r="AY9" s="1019"/>
      <c r="AZ9" s="1019"/>
      <c r="BA9" s="1019"/>
      <c r="BB9" s="1019"/>
      <c r="BC9" s="1019"/>
      <c r="BD9" s="1019"/>
      <c r="BE9" s="1019"/>
      <c r="BF9" s="1019"/>
      <c r="BG9" s="1019"/>
      <c r="BH9" s="1019"/>
      <c r="BI9" s="1019"/>
      <c r="BJ9" s="1019"/>
      <c r="BK9" s="1019"/>
      <c r="BL9" s="1019"/>
      <c r="BM9" s="1019"/>
      <c r="BN9" s="1019"/>
      <c r="BO9" s="1019"/>
      <c r="BP9" s="1019"/>
      <c r="BQ9" s="1019"/>
      <c r="BR9" s="1019"/>
      <c r="BS9" s="1019"/>
      <c r="BT9" s="1019"/>
      <c r="BU9" s="1019"/>
      <c r="BV9" s="1019"/>
      <c r="BW9" s="1019"/>
      <c r="BX9" s="1019"/>
      <c r="BY9" s="1019"/>
      <c r="BZ9" s="1019"/>
      <c r="CA9" s="1019"/>
      <c r="CB9" s="1019"/>
    </row>
    <row r="10" spans="1:80" s="1001" customFormat="1" ht="7.5" customHeight="1" x14ac:dyDescent="0.3">
      <c r="B10" s="995" t="s">
        <v>544</v>
      </c>
      <c r="C10" s="1102"/>
      <c r="D10" s="1005"/>
      <c r="E10" s="993">
        <f>IFERROR(E9/(365+IF(MOD(E7,4),0,1)),0)</f>
        <v>0</v>
      </c>
      <c r="F10" s="993">
        <f t="shared" ref="F10:O10" si="2">IFERROR(F9/(365+IF(MOD(F7,4),0,1)),0)</f>
        <v>0</v>
      </c>
      <c r="G10" s="993">
        <f t="shared" si="2"/>
        <v>0</v>
      </c>
      <c r="H10" s="993">
        <f t="shared" si="2"/>
        <v>0</v>
      </c>
      <c r="I10" s="993">
        <f t="shared" si="2"/>
        <v>0</v>
      </c>
      <c r="J10" s="993">
        <f t="shared" si="2"/>
        <v>0</v>
      </c>
      <c r="K10" s="993">
        <f t="shared" si="2"/>
        <v>0</v>
      </c>
      <c r="L10" s="993">
        <f t="shared" si="2"/>
        <v>0</v>
      </c>
      <c r="M10" s="993">
        <f t="shared" si="2"/>
        <v>0</v>
      </c>
      <c r="N10" s="993">
        <f t="shared" si="2"/>
        <v>0</v>
      </c>
      <c r="O10" s="993">
        <f t="shared" si="2"/>
        <v>0</v>
      </c>
    </row>
    <row r="11" spans="1:80" s="1000" customFormat="1" ht="15" customHeight="1" x14ac:dyDescent="0.3">
      <c r="A11" s="1026"/>
      <c r="B11" s="1076" t="s">
        <v>467</v>
      </c>
      <c r="C11" s="1103">
        <f>SUM(E11:O11)</f>
        <v>0</v>
      </c>
      <c r="D11" s="1080"/>
      <c r="E11" s="1117">
        <f>SUMIF('ACTUALS (M)'!$G$7:$DV$7,'ACTUALS (Y)'!E$7,'ACTUALS (M)'!$G13:$DV13)</f>
        <v>0</v>
      </c>
      <c r="F11" s="1118">
        <f>SUMIF('ACTUALS (M)'!$G$7:$DV$7,'ACTUALS (Y)'!F$7,'ACTUALS (M)'!$G13:$DV13)</f>
        <v>0</v>
      </c>
      <c r="G11" s="1118">
        <f>SUMIF('ACTUALS (M)'!$G$7:$DV$7,'ACTUALS (Y)'!G$7,'ACTUALS (M)'!$G13:$DV13)</f>
        <v>0</v>
      </c>
      <c r="H11" s="1118">
        <f>SUMIF('ACTUALS (M)'!$G$7:$DV$7,'ACTUALS (Y)'!H$7,'ACTUALS (M)'!$G13:$DV13)</f>
        <v>0</v>
      </c>
      <c r="I11" s="1118">
        <f>SUMIF('ACTUALS (M)'!$G$7:$DV$7,'ACTUALS (Y)'!I$7,'ACTUALS (M)'!$G13:$DV13)</f>
        <v>0</v>
      </c>
      <c r="J11" s="1118">
        <f>SUMIF('ACTUALS (M)'!$G$7:$DV$7,'ACTUALS (Y)'!J$7,'ACTUALS (M)'!$G13:$DV13)</f>
        <v>0</v>
      </c>
      <c r="K11" s="1118">
        <f>SUMIF('ACTUALS (M)'!$G$7:$DV$7,'ACTUALS (Y)'!K$7,'ACTUALS (M)'!$G13:$DV13)</f>
        <v>0</v>
      </c>
      <c r="L11" s="1118">
        <f>SUMIF('ACTUALS (M)'!$G$7:$DV$7,'ACTUALS (Y)'!L$7,'ACTUALS (M)'!$G13:$DV13)</f>
        <v>0</v>
      </c>
      <c r="M11" s="1118">
        <f>SUMIF('ACTUALS (M)'!$G$7:$DV$7,'ACTUALS (Y)'!M$7,'ACTUALS (M)'!$G13:$DV13)</f>
        <v>0</v>
      </c>
      <c r="N11" s="1118">
        <f>SUMIF('ACTUALS (M)'!$G$7:$DV$7,'ACTUALS (Y)'!N$7,'ACTUALS (M)'!$G13:$DV13)</f>
        <v>0</v>
      </c>
      <c r="O11" s="1119">
        <f>SUMIF('ACTUALS (M)'!$G$7:$DV$7,'ACTUALS (Y)'!O$7,'ACTUALS (M)'!$G13:$DV13)</f>
        <v>0</v>
      </c>
      <c r="P11" s="1019"/>
      <c r="Q11" s="1019"/>
      <c r="R11" s="1019"/>
      <c r="S11" s="1019"/>
      <c r="T11" s="1019"/>
      <c r="U11" s="1019"/>
      <c r="V11" s="1019"/>
      <c r="W11" s="1001"/>
      <c r="X11" s="1001"/>
      <c r="Y11" s="1001"/>
      <c r="Z11" s="1001"/>
      <c r="AA11" s="1001"/>
      <c r="AB11" s="1001"/>
      <c r="AC11" s="1001"/>
      <c r="AD11" s="1001"/>
      <c r="AE11" s="1001"/>
      <c r="AF11" s="1001"/>
      <c r="AG11" s="1001"/>
      <c r="AH11" s="1001"/>
      <c r="AI11" s="1001"/>
      <c r="AJ11" s="1001"/>
      <c r="AK11" s="1001"/>
      <c r="AL11" s="1001"/>
      <c r="AM11" s="1001"/>
      <c r="AN11" s="1001"/>
      <c r="AO11" s="1001"/>
      <c r="AP11" s="1001"/>
      <c r="AQ11" s="1001"/>
      <c r="AR11" s="1001"/>
      <c r="AS11" s="1001"/>
      <c r="AT11" s="1001"/>
      <c r="AU11" s="1001"/>
      <c r="AV11" s="1001"/>
      <c r="AW11" s="1001"/>
      <c r="AX11" s="1001"/>
      <c r="AY11" s="1001"/>
      <c r="AZ11" s="1001"/>
      <c r="BA11" s="1001"/>
      <c r="BB11" s="1001"/>
      <c r="BC11" s="1001"/>
      <c r="BD11" s="1001"/>
      <c r="BE11" s="1001"/>
      <c r="BF11" s="1001"/>
      <c r="BG11" s="1001"/>
      <c r="BH11" s="1001"/>
      <c r="BI11" s="1001"/>
      <c r="BJ11" s="1001"/>
      <c r="BK11" s="1001"/>
      <c r="BL11" s="1001"/>
      <c r="BM11" s="1001"/>
      <c r="BN11" s="1001"/>
      <c r="BO11" s="1001"/>
      <c r="BP11" s="1001"/>
      <c r="BQ11" s="1001"/>
      <c r="BR11" s="1001"/>
      <c r="BS11" s="1001"/>
      <c r="BT11" s="1001"/>
      <c r="BU11" s="1001"/>
      <c r="BV11" s="1001"/>
      <c r="BW11" s="1001"/>
      <c r="BX11" s="1001"/>
      <c r="BY11" s="1001"/>
      <c r="BZ11" s="1001"/>
      <c r="CA11" s="1001"/>
      <c r="CB11" s="1001"/>
    </row>
    <row r="12" spans="1:80" s="1000" customFormat="1" ht="15" customHeight="1" x14ac:dyDescent="0.3">
      <c r="A12" s="1001"/>
      <c r="B12" s="996" t="s">
        <v>972</v>
      </c>
      <c r="C12" s="1102"/>
      <c r="D12" s="1005"/>
      <c r="E12" s="991" t="str">
        <f>IFERROR(E11/E9,"")</f>
        <v/>
      </c>
      <c r="F12" s="992" t="str">
        <f t="shared" ref="F12:N12" si="3">IFERROR(F11/F9,"")</f>
        <v/>
      </c>
      <c r="G12" s="991" t="str">
        <f t="shared" si="3"/>
        <v/>
      </c>
      <c r="H12" s="991" t="str">
        <f t="shared" si="3"/>
        <v/>
      </c>
      <c r="I12" s="991" t="str">
        <f t="shared" si="3"/>
        <v/>
      </c>
      <c r="J12" s="991" t="str">
        <f t="shared" si="3"/>
        <v/>
      </c>
      <c r="K12" s="991" t="str">
        <f t="shared" si="3"/>
        <v/>
      </c>
      <c r="L12" s="991" t="str">
        <f t="shared" si="3"/>
        <v/>
      </c>
      <c r="M12" s="991" t="str">
        <f t="shared" si="3"/>
        <v/>
      </c>
      <c r="N12" s="991" t="str">
        <f t="shared" si="3"/>
        <v/>
      </c>
      <c r="O12" s="991" t="str">
        <f>IFERROR(O11/O9,"")</f>
        <v/>
      </c>
      <c r="P12" s="1001"/>
      <c r="Q12" s="1001"/>
      <c r="R12" s="1001"/>
      <c r="S12" s="1001"/>
      <c r="T12" s="1001"/>
      <c r="U12" s="1001"/>
      <c r="V12" s="1001"/>
    </row>
    <row r="13" spans="1:80" s="1000" customFormat="1" ht="15" customHeight="1" x14ac:dyDescent="0.3">
      <c r="A13" s="1001"/>
      <c r="B13" s="996"/>
      <c r="C13" s="1102"/>
      <c r="D13" s="1005"/>
      <c r="E13" s="991"/>
      <c r="F13" s="992"/>
      <c r="G13" s="991"/>
      <c r="H13" s="991"/>
      <c r="I13" s="991"/>
      <c r="J13" s="991"/>
      <c r="K13" s="991"/>
      <c r="L13" s="991"/>
      <c r="M13" s="991"/>
      <c r="N13" s="991"/>
      <c r="O13" s="991"/>
      <c r="P13" s="1001"/>
      <c r="Q13" s="1001"/>
      <c r="R13" s="1001"/>
      <c r="S13" s="1001"/>
      <c r="T13" s="1001"/>
      <c r="U13" s="1001"/>
      <c r="V13" s="1001"/>
    </row>
    <row r="14" spans="1:80" s="1002" customFormat="1" ht="18.75" customHeight="1" x14ac:dyDescent="0.3">
      <c r="A14" s="1000"/>
      <c r="B14" s="334" t="s">
        <v>134</v>
      </c>
      <c r="C14" s="1101">
        <f>SUM(E14:O14)</f>
        <v>0</v>
      </c>
      <c r="D14" s="309"/>
      <c r="E14" s="1115">
        <f>SUMIF('ACTUALS (M)'!$G$7:$DV$7,'ACTUALS (Y)'!E$7,'ACTUALS (M)'!$G16:$DV16)</f>
        <v>0</v>
      </c>
      <c r="F14" s="1116">
        <f>SUMIF('ACTUALS (M)'!$G$7:$DV$7,'ACTUALS (Y)'!F$7,'ACTUALS (M)'!$G16:$DV16)</f>
        <v>0</v>
      </c>
      <c r="G14" s="1116">
        <f>SUMIF('ACTUALS (M)'!$G$7:$DV$7,'ACTUALS (Y)'!G$7,'ACTUALS (M)'!$G16:$DV16)</f>
        <v>0</v>
      </c>
      <c r="H14" s="1116">
        <f>SUMIF('ACTUALS (M)'!$G$7:$DV$7,'ACTUALS (Y)'!H$7,'ACTUALS (M)'!$G16:$DV16)</f>
        <v>0</v>
      </c>
      <c r="I14" s="1116">
        <f>SUMIF('ACTUALS (M)'!$G$7:$DV$7,'ACTUALS (Y)'!I$7,'ACTUALS (M)'!$G16:$DV16)</f>
        <v>0</v>
      </c>
      <c r="J14" s="1116">
        <f>SUMIF('ACTUALS (M)'!$G$7:$DV$7,'ACTUALS (Y)'!J$7,'ACTUALS (M)'!$G16:$DV16)</f>
        <v>0</v>
      </c>
      <c r="K14" s="1116">
        <f>SUMIF('ACTUALS (M)'!$G$7:$DV$7,'ACTUALS (Y)'!K$7,'ACTUALS (M)'!$G16:$DV16)</f>
        <v>0</v>
      </c>
      <c r="L14" s="1116">
        <f>SUMIF('ACTUALS (M)'!$G$7:$DV$7,'ACTUALS (Y)'!L$7,'ACTUALS (M)'!$G16:$DV16)</f>
        <v>0</v>
      </c>
      <c r="M14" s="1116">
        <f>SUMIF('ACTUALS (M)'!$G$7:$DV$7,'ACTUALS (Y)'!M$7,'ACTUALS (M)'!$G16:$DV16)</f>
        <v>0</v>
      </c>
      <c r="N14" s="1116">
        <f>SUMIF('ACTUALS (M)'!$G$7:$DV$7,'ACTUALS (Y)'!N$7,'ACTUALS (M)'!$G16:$DV16)</f>
        <v>0</v>
      </c>
      <c r="O14" s="1116">
        <f>SUMIF('ACTUALS (M)'!$G$7:$DV$7,'ACTUALS (Y)'!O$7,'ACTUALS (M)'!$G16:$DV16)</f>
        <v>0</v>
      </c>
      <c r="P14" s="1000"/>
      <c r="Q14" s="1000"/>
      <c r="R14" s="1000"/>
      <c r="S14" s="1000"/>
      <c r="T14" s="1000"/>
      <c r="U14" s="1000"/>
      <c r="V14" s="1000"/>
      <c r="W14" s="1000"/>
      <c r="X14" s="1000"/>
      <c r="Y14" s="1000"/>
      <c r="Z14" s="1000"/>
      <c r="AA14" s="1000"/>
      <c r="AB14" s="1000"/>
      <c r="AC14" s="1000"/>
      <c r="AD14" s="1000"/>
      <c r="AE14" s="1000"/>
      <c r="AF14" s="1000"/>
      <c r="AG14" s="1000"/>
      <c r="AH14" s="1000"/>
      <c r="AI14" s="1000"/>
      <c r="AJ14" s="1000"/>
      <c r="AK14" s="1000"/>
      <c r="AL14" s="1000"/>
      <c r="AM14" s="1000"/>
      <c r="AN14" s="1000"/>
      <c r="AO14" s="1000"/>
      <c r="AP14" s="1000"/>
      <c r="AQ14" s="1000"/>
      <c r="AR14" s="1000"/>
      <c r="AS14" s="1000"/>
      <c r="AT14" s="1000"/>
      <c r="AU14" s="1000"/>
      <c r="AV14" s="1000"/>
      <c r="AW14" s="1000"/>
      <c r="AX14" s="1000"/>
      <c r="AY14" s="1000"/>
      <c r="AZ14" s="1000"/>
      <c r="BA14" s="1000"/>
      <c r="BB14" s="1000"/>
      <c r="BC14" s="1000"/>
      <c r="BD14" s="1000"/>
      <c r="BE14" s="1000"/>
      <c r="BF14" s="1000"/>
      <c r="BG14" s="1000"/>
      <c r="BH14" s="1000"/>
      <c r="BI14" s="1000"/>
      <c r="BJ14" s="1000"/>
      <c r="BK14" s="1000"/>
      <c r="BL14" s="1000"/>
      <c r="BM14" s="1000"/>
      <c r="BN14" s="1000"/>
      <c r="BO14" s="1000"/>
      <c r="BP14" s="1000"/>
      <c r="BQ14" s="1000"/>
      <c r="BR14" s="1000"/>
      <c r="BS14" s="1000"/>
      <c r="BT14" s="1000"/>
      <c r="BU14" s="1000"/>
      <c r="BV14" s="1000"/>
      <c r="BW14" s="1000"/>
      <c r="BX14" s="1000"/>
      <c r="BY14" s="1000"/>
      <c r="BZ14" s="1000"/>
      <c r="CA14" s="1000"/>
      <c r="CB14" s="1000"/>
    </row>
    <row r="15" spans="1:80" s="1000" customFormat="1" ht="15" customHeight="1" x14ac:dyDescent="0.3">
      <c r="B15" s="334" t="str">
        <f>FORECASTS!B23</f>
        <v>Additional Guest Fee</v>
      </c>
      <c r="C15" s="1101">
        <f>SUM(E15:O15)</f>
        <v>0</v>
      </c>
      <c r="D15" s="309"/>
      <c r="E15" s="1115">
        <f>SUMIF('ACTUALS (M)'!$G$7:$DV$7,'ACTUALS (Y)'!E$7,'ACTUALS (M)'!$G17:$DV17)</f>
        <v>0</v>
      </c>
      <c r="F15" s="1116">
        <f>SUMIF('ACTUALS (M)'!$G$7:$DV$7,'ACTUALS (Y)'!F$7,'ACTUALS (M)'!$G17:$DV17)</f>
        <v>0</v>
      </c>
      <c r="G15" s="1116">
        <f>SUMIF('ACTUALS (M)'!$G$7:$DV$7,'ACTUALS (Y)'!G$7,'ACTUALS (M)'!$G17:$DV17)</f>
        <v>0</v>
      </c>
      <c r="H15" s="1116">
        <f>SUMIF('ACTUALS (M)'!$G$7:$DV$7,'ACTUALS (Y)'!H$7,'ACTUALS (M)'!$G17:$DV17)</f>
        <v>0</v>
      </c>
      <c r="I15" s="1116">
        <f>SUMIF('ACTUALS (M)'!$G$7:$DV$7,'ACTUALS (Y)'!I$7,'ACTUALS (M)'!$G17:$DV17)</f>
        <v>0</v>
      </c>
      <c r="J15" s="1116">
        <f>SUMIF('ACTUALS (M)'!$G$7:$DV$7,'ACTUALS (Y)'!J$7,'ACTUALS (M)'!$G17:$DV17)</f>
        <v>0</v>
      </c>
      <c r="K15" s="1116">
        <f>SUMIF('ACTUALS (M)'!$G$7:$DV$7,'ACTUALS (Y)'!K$7,'ACTUALS (M)'!$G17:$DV17)</f>
        <v>0</v>
      </c>
      <c r="L15" s="1116">
        <f>SUMIF('ACTUALS (M)'!$G$7:$DV$7,'ACTUALS (Y)'!L$7,'ACTUALS (M)'!$G17:$DV17)</f>
        <v>0</v>
      </c>
      <c r="M15" s="1116">
        <f>SUMIF('ACTUALS (M)'!$G$7:$DV$7,'ACTUALS (Y)'!M$7,'ACTUALS (M)'!$G17:$DV17)</f>
        <v>0</v>
      </c>
      <c r="N15" s="1116">
        <f>SUMIF('ACTUALS (M)'!$G$7:$DV$7,'ACTUALS (Y)'!N$7,'ACTUALS (M)'!$G17:$DV17)</f>
        <v>0</v>
      </c>
      <c r="O15" s="1116">
        <f>SUMIF('ACTUALS (M)'!$G$7:$DV$7,'ACTUALS (Y)'!O$7,'ACTUALS (M)'!$G17:$DV17)</f>
        <v>0</v>
      </c>
      <c r="W15" s="1002"/>
      <c r="X15" s="1002"/>
      <c r="Y15" s="1002"/>
      <c r="Z15" s="1002"/>
      <c r="AA15" s="1002"/>
      <c r="AB15" s="1002"/>
      <c r="AC15" s="1002"/>
      <c r="AD15" s="1002"/>
      <c r="AE15" s="1002"/>
      <c r="AF15" s="1002"/>
      <c r="AG15" s="1002"/>
      <c r="AH15" s="1002"/>
      <c r="AI15" s="1002"/>
      <c r="AJ15" s="1002"/>
      <c r="AK15" s="1002"/>
      <c r="AL15" s="1002"/>
      <c r="AM15" s="1002"/>
      <c r="AN15" s="1002"/>
      <c r="AO15" s="1002"/>
      <c r="AP15" s="1002"/>
      <c r="AQ15" s="1002"/>
      <c r="AR15" s="1002"/>
      <c r="AS15" s="1002"/>
      <c r="AT15" s="1002"/>
      <c r="AU15" s="1002"/>
      <c r="AV15" s="1002"/>
      <c r="AW15" s="1002"/>
      <c r="AX15" s="1002"/>
      <c r="AY15" s="1002"/>
      <c r="AZ15" s="1002"/>
      <c r="BA15" s="1002"/>
      <c r="BB15" s="1002"/>
      <c r="BC15" s="1002"/>
      <c r="BD15" s="1002"/>
      <c r="BE15" s="1002"/>
      <c r="BF15" s="1002"/>
      <c r="BG15" s="1002"/>
      <c r="BH15" s="1002"/>
      <c r="BI15" s="1002"/>
      <c r="BJ15" s="1002"/>
      <c r="BK15" s="1002"/>
      <c r="BL15" s="1002"/>
      <c r="BM15" s="1002"/>
      <c r="BN15" s="1002"/>
      <c r="BO15" s="1002"/>
      <c r="BP15" s="1002"/>
      <c r="BQ15" s="1002"/>
      <c r="BR15" s="1002"/>
      <c r="BS15" s="1002"/>
      <c r="BT15" s="1002"/>
      <c r="BU15" s="1002"/>
      <c r="BV15" s="1002"/>
      <c r="BW15" s="1002"/>
      <c r="BX15" s="1002"/>
      <c r="BY15" s="1002"/>
      <c r="BZ15" s="1002"/>
      <c r="CA15" s="1002"/>
      <c r="CB15" s="1002"/>
    </row>
    <row r="16" spans="1:80" s="1000" customFormat="1" ht="15" customHeight="1" x14ac:dyDescent="0.3">
      <c r="B16" s="334" t="s">
        <v>576</v>
      </c>
      <c r="C16" s="1101">
        <f>SUM(E16:O16)</f>
        <v>0</v>
      </c>
      <c r="D16" s="309"/>
      <c r="E16" s="1115">
        <f>SUMIF('ACTUALS (M)'!$G$7:$DV$7,'ACTUALS (Y)'!E$7,'ACTUALS (M)'!$G18:$DV18)</f>
        <v>0</v>
      </c>
      <c r="F16" s="1116">
        <f>SUMIF('ACTUALS (M)'!$G$7:$DV$7,'ACTUALS (Y)'!F$7,'ACTUALS (M)'!$G18:$DV18)</f>
        <v>0</v>
      </c>
      <c r="G16" s="1116">
        <f>SUMIF('ACTUALS (M)'!$G$7:$DV$7,'ACTUALS (Y)'!G$7,'ACTUALS (M)'!$G18:$DV18)</f>
        <v>0</v>
      </c>
      <c r="H16" s="1116">
        <f>SUMIF('ACTUALS (M)'!$G$7:$DV$7,'ACTUALS (Y)'!H$7,'ACTUALS (M)'!$G18:$DV18)</f>
        <v>0</v>
      </c>
      <c r="I16" s="1116">
        <f>SUMIF('ACTUALS (M)'!$G$7:$DV$7,'ACTUALS (Y)'!I$7,'ACTUALS (M)'!$G18:$DV18)</f>
        <v>0</v>
      </c>
      <c r="J16" s="1116">
        <f>SUMIF('ACTUALS (M)'!$G$7:$DV$7,'ACTUALS (Y)'!J$7,'ACTUALS (M)'!$G18:$DV18)</f>
        <v>0</v>
      </c>
      <c r="K16" s="1116">
        <f>SUMIF('ACTUALS (M)'!$G$7:$DV$7,'ACTUALS (Y)'!K$7,'ACTUALS (M)'!$G18:$DV18)</f>
        <v>0</v>
      </c>
      <c r="L16" s="1116">
        <f>SUMIF('ACTUALS (M)'!$G$7:$DV$7,'ACTUALS (Y)'!L$7,'ACTUALS (M)'!$G18:$DV18)</f>
        <v>0</v>
      </c>
      <c r="M16" s="1116">
        <f>SUMIF('ACTUALS (M)'!$G$7:$DV$7,'ACTUALS (Y)'!M$7,'ACTUALS (M)'!$G18:$DV18)</f>
        <v>0</v>
      </c>
      <c r="N16" s="1116">
        <f>SUMIF('ACTUALS (M)'!$G$7:$DV$7,'ACTUALS (Y)'!N$7,'ACTUALS (M)'!$G18:$DV18)</f>
        <v>0</v>
      </c>
      <c r="O16" s="1116">
        <f>SUMIF('ACTUALS (M)'!$G$7:$DV$7,'ACTUALS (Y)'!O$7,'ACTUALS (M)'!$G18:$DV18)</f>
        <v>0</v>
      </c>
    </row>
    <row r="17" spans="1:22" s="1000" customFormat="1" ht="15" customHeight="1" x14ac:dyDescent="0.3">
      <c r="A17" s="1002"/>
      <c r="B17" s="997" t="s">
        <v>584</v>
      </c>
      <c r="C17" s="1104">
        <f>C11+C14+C15+C16</f>
        <v>0</v>
      </c>
      <c r="D17" s="970"/>
      <c r="E17" s="990">
        <f>E11+E14+E15+E16</f>
        <v>0</v>
      </c>
      <c r="F17" s="990">
        <f t="shared" ref="F17:O17" si="4">F11+F14+F15+F16</f>
        <v>0</v>
      </c>
      <c r="G17" s="990">
        <f t="shared" si="4"/>
        <v>0</v>
      </c>
      <c r="H17" s="990">
        <f t="shared" si="4"/>
        <v>0</v>
      </c>
      <c r="I17" s="990">
        <f t="shared" si="4"/>
        <v>0</v>
      </c>
      <c r="J17" s="990">
        <f t="shared" si="4"/>
        <v>0</v>
      </c>
      <c r="K17" s="990">
        <f t="shared" si="4"/>
        <v>0</v>
      </c>
      <c r="L17" s="990">
        <f t="shared" si="4"/>
        <v>0</v>
      </c>
      <c r="M17" s="990">
        <f t="shared" si="4"/>
        <v>0</v>
      </c>
      <c r="N17" s="990">
        <f t="shared" si="4"/>
        <v>0</v>
      </c>
      <c r="O17" s="990">
        <f t="shared" si="4"/>
        <v>0</v>
      </c>
      <c r="P17" s="1002"/>
      <c r="Q17" s="1002"/>
      <c r="R17" s="1002"/>
      <c r="S17" s="1002"/>
      <c r="T17" s="1002"/>
      <c r="U17" s="1002"/>
      <c r="V17" s="1002"/>
    </row>
    <row r="18" spans="1:22" s="1000" customFormat="1" ht="15" customHeight="1" x14ac:dyDescent="0.3">
      <c r="B18" s="334"/>
      <c r="C18" s="1105"/>
      <c r="D18" s="84"/>
      <c r="E18" s="15"/>
      <c r="F18" s="15"/>
      <c r="G18" s="972"/>
      <c r="H18" s="15"/>
      <c r="I18" s="15"/>
      <c r="J18" s="15"/>
      <c r="K18" s="15"/>
      <c r="L18" s="15"/>
      <c r="M18" s="15"/>
      <c r="N18" s="15"/>
      <c r="O18" s="15"/>
    </row>
    <row r="19" spans="1:22" s="1000" customFormat="1" ht="15" customHeight="1" x14ac:dyDescent="0.3">
      <c r="B19" s="334" t="str">
        <f>DASHBOARD!W119</f>
        <v>Electrical Utilities</v>
      </c>
      <c r="C19" s="1101">
        <f t="shared" ref="C19:C42" si="5">SUM(E19:O19)</f>
        <v>0</v>
      </c>
      <c r="D19" s="84"/>
      <c r="E19" s="1115">
        <f>SUMIF('ACTUALS (M)'!$G$7:$DV$7,'ACTUALS (Y)'!E$7,'ACTUALS (M)'!$G21:$DV21)</f>
        <v>0</v>
      </c>
      <c r="F19" s="1116">
        <f>SUMIF('ACTUALS (M)'!$G$7:$DV$7,'ACTUALS (Y)'!F$7,'ACTUALS (M)'!$G21:$DV21)</f>
        <v>0</v>
      </c>
      <c r="G19" s="1116">
        <f>SUMIF('ACTUALS (M)'!$G$7:$DV$7,'ACTUALS (Y)'!G$7,'ACTUALS (M)'!$G21:$DV21)</f>
        <v>0</v>
      </c>
      <c r="H19" s="1116">
        <f>SUMIF('ACTUALS (M)'!$G$7:$DV$7,'ACTUALS (Y)'!H$7,'ACTUALS (M)'!$G21:$DV21)</f>
        <v>0</v>
      </c>
      <c r="I19" s="1116">
        <f>SUMIF('ACTUALS (M)'!$G$7:$DV$7,'ACTUALS (Y)'!I$7,'ACTUALS (M)'!$G21:$DV21)</f>
        <v>0</v>
      </c>
      <c r="J19" s="1116">
        <f>SUMIF('ACTUALS (M)'!$G$7:$DV$7,'ACTUALS (Y)'!J$7,'ACTUALS (M)'!$G21:$DV21)</f>
        <v>0</v>
      </c>
      <c r="K19" s="1116">
        <f>SUMIF('ACTUALS (M)'!$G$7:$DV$7,'ACTUALS (Y)'!K$7,'ACTUALS (M)'!$G21:$DV21)</f>
        <v>0</v>
      </c>
      <c r="L19" s="1116">
        <f>SUMIF('ACTUALS (M)'!$G$7:$DV$7,'ACTUALS (Y)'!L$7,'ACTUALS (M)'!$G21:$DV21)</f>
        <v>0</v>
      </c>
      <c r="M19" s="1116">
        <f>SUMIF('ACTUALS (M)'!$G$7:$DV$7,'ACTUALS (Y)'!M$7,'ACTUALS (M)'!$G21:$DV21)</f>
        <v>0</v>
      </c>
      <c r="N19" s="1116">
        <f>SUMIF('ACTUALS (M)'!$G$7:$DV$7,'ACTUALS (Y)'!N$7,'ACTUALS (M)'!$G21:$DV21)</f>
        <v>0</v>
      </c>
      <c r="O19" s="1116">
        <f>SUMIF('ACTUALS (M)'!$G$7:$DV$7,'ACTUALS (Y)'!O$7,'ACTUALS (M)'!$G21:$DV21)</f>
        <v>0</v>
      </c>
    </row>
    <row r="20" spans="1:22" s="1000" customFormat="1" ht="15" customHeight="1" x14ac:dyDescent="0.3">
      <c r="B20" s="334" t="str">
        <f>DASHBOARD!W120</f>
        <v>Gas Utilities</v>
      </c>
      <c r="C20" s="1101">
        <f t="shared" si="5"/>
        <v>0</v>
      </c>
      <c r="D20" s="84"/>
      <c r="E20" s="1115">
        <f>SUMIF('ACTUALS (M)'!$G$7:$DV$7,'ACTUALS (Y)'!E$7,'ACTUALS (M)'!$G22:$DV22)</f>
        <v>0</v>
      </c>
      <c r="F20" s="1116">
        <f>SUMIF('ACTUALS (M)'!$G$7:$DV$7,'ACTUALS (Y)'!F$7,'ACTUALS (M)'!$G22:$DV22)</f>
        <v>0</v>
      </c>
      <c r="G20" s="1116">
        <f>SUMIF('ACTUALS (M)'!$G$7:$DV$7,'ACTUALS (Y)'!G$7,'ACTUALS (M)'!$G22:$DV22)</f>
        <v>0</v>
      </c>
      <c r="H20" s="1116">
        <f>SUMIF('ACTUALS (M)'!$G$7:$DV$7,'ACTUALS (Y)'!H$7,'ACTUALS (M)'!$G22:$DV22)</f>
        <v>0</v>
      </c>
      <c r="I20" s="1116">
        <f>SUMIF('ACTUALS (M)'!$G$7:$DV$7,'ACTUALS (Y)'!I$7,'ACTUALS (M)'!$G22:$DV22)</f>
        <v>0</v>
      </c>
      <c r="J20" s="1116">
        <f>SUMIF('ACTUALS (M)'!$G$7:$DV$7,'ACTUALS (Y)'!J$7,'ACTUALS (M)'!$G22:$DV22)</f>
        <v>0</v>
      </c>
      <c r="K20" s="1116">
        <f>SUMIF('ACTUALS (M)'!$G$7:$DV$7,'ACTUALS (Y)'!K$7,'ACTUALS (M)'!$G22:$DV22)</f>
        <v>0</v>
      </c>
      <c r="L20" s="1116">
        <f>SUMIF('ACTUALS (M)'!$G$7:$DV$7,'ACTUALS (Y)'!L$7,'ACTUALS (M)'!$G22:$DV22)</f>
        <v>0</v>
      </c>
      <c r="M20" s="1116">
        <f>SUMIF('ACTUALS (M)'!$G$7:$DV$7,'ACTUALS (Y)'!M$7,'ACTUALS (M)'!$G22:$DV22)</f>
        <v>0</v>
      </c>
      <c r="N20" s="1116">
        <f>SUMIF('ACTUALS (M)'!$G$7:$DV$7,'ACTUALS (Y)'!N$7,'ACTUALS (M)'!$G22:$DV22)</f>
        <v>0</v>
      </c>
      <c r="O20" s="1116">
        <f>SUMIF('ACTUALS (M)'!$G$7:$DV$7,'ACTUALS (Y)'!O$7,'ACTUALS (M)'!$G22:$DV22)</f>
        <v>0</v>
      </c>
    </row>
    <row r="21" spans="1:22" s="1000" customFormat="1" ht="15" customHeight="1" x14ac:dyDescent="0.3">
      <c r="B21" s="334" t="str">
        <f>DASHBOARD!W121</f>
        <v>Water Utilities</v>
      </c>
      <c r="C21" s="1101">
        <f t="shared" si="5"/>
        <v>0</v>
      </c>
      <c r="D21" s="84"/>
      <c r="E21" s="1115">
        <f>SUMIF('ACTUALS (M)'!$G$7:$DV$7,'ACTUALS (Y)'!E$7,'ACTUALS (M)'!$G23:$DV23)</f>
        <v>0</v>
      </c>
      <c r="F21" s="1116">
        <f>SUMIF('ACTUALS (M)'!$G$7:$DV$7,'ACTUALS (Y)'!F$7,'ACTUALS (M)'!$G23:$DV23)</f>
        <v>0</v>
      </c>
      <c r="G21" s="1116">
        <f>SUMIF('ACTUALS (M)'!$G$7:$DV$7,'ACTUALS (Y)'!G$7,'ACTUALS (M)'!$G23:$DV23)</f>
        <v>0</v>
      </c>
      <c r="H21" s="1116">
        <f>SUMIF('ACTUALS (M)'!$G$7:$DV$7,'ACTUALS (Y)'!H$7,'ACTUALS (M)'!$G23:$DV23)</f>
        <v>0</v>
      </c>
      <c r="I21" s="1116">
        <f>SUMIF('ACTUALS (M)'!$G$7:$DV$7,'ACTUALS (Y)'!I$7,'ACTUALS (M)'!$G23:$DV23)</f>
        <v>0</v>
      </c>
      <c r="J21" s="1116">
        <f>SUMIF('ACTUALS (M)'!$G$7:$DV$7,'ACTUALS (Y)'!J$7,'ACTUALS (M)'!$G23:$DV23)</f>
        <v>0</v>
      </c>
      <c r="K21" s="1116">
        <f>SUMIF('ACTUALS (M)'!$G$7:$DV$7,'ACTUALS (Y)'!K$7,'ACTUALS (M)'!$G23:$DV23)</f>
        <v>0</v>
      </c>
      <c r="L21" s="1116">
        <f>SUMIF('ACTUALS (M)'!$G$7:$DV$7,'ACTUALS (Y)'!L$7,'ACTUALS (M)'!$G23:$DV23)</f>
        <v>0</v>
      </c>
      <c r="M21" s="1116">
        <f>SUMIF('ACTUALS (M)'!$G$7:$DV$7,'ACTUALS (Y)'!M$7,'ACTUALS (M)'!$G23:$DV23)</f>
        <v>0</v>
      </c>
      <c r="N21" s="1116">
        <f>SUMIF('ACTUALS (M)'!$G$7:$DV$7,'ACTUALS (Y)'!N$7,'ACTUALS (M)'!$G23:$DV23)</f>
        <v>0</v>
      </c>
      <c r="O21" s="1116">
        <f>SUMIF('ACTUALS (M)'!$G$7:$DV$7,'ACTUALS (Y)'!O$7,'ACTUALS (M)'!$G23:$DV23)</f>
        <v>0</v>
      </c>
    </row>
    <row r="22" spans="1:22" s="1000" customFormat="1" ht="15" customHeight="1" x14ac:dyDescent="0.3">
      <c r="B22" s="334" t="str">
        <f>DASHBOARD!W122</f>
        <v>Phone</v>
      </c>
      <c r="C22" s="1101">
        <f t="shared" si="5"/>
        <v>0</v>
      </c>
      <c r="D22" s="84"/>
      <c r="E22" s="1115">
        <f>SUMIF('ACTUALS (M)'!$G$7:$DV$7,'ACTUALS (Y)'!E$7,'ACTUALS (M)'!$G24:$DV24)</f>
        <v>0</v>
      </c>
      <c r="F22" s="1116">
        <f>SUMIF('ACTUALS (M)'!$G$7:$DV$7,'ACTUALS (Y)'!F$7,'ACTUALS (M)'!$G24:$DV24)</f>
        <v>0</v>
      </c>
      <c r="G22" s="1116">
        <f>SUMIF('ACTUALS (M)'!$G$7:$DV$7,'ACTUALS (Y)'!G$7,'ACTUALS (M)'!$G24:$DV24)</f>
        <v>0</v>
      </c>
      <c r="H22" s="1116">
        <f>SUMIF('ACTUALS (M)'!$G$7:$DV$7,'ACTUALS (Y)'!H$7,'ACTUALS (M)'!$G24:$DV24)</f>
        <v>0</v>
      </c>
      <c r="I22" s="1116">
        <f>SUMIF('ACTUALS (M)'!$G$7:$DV$7,'ACTUALS (Y)'!I$7,'ACTUALS (M)'!$G24:$DV24)</f>
        <v>0</v>
      </c>
      <c r="J22" s="1116">
        <f>SUMIF('ACTUALS (M)'!$G$7:$DV$7,'ACTUALS (Y)'!J$7,'ACTUALS (M)'!$G24:$DV24)</f>
        <v>0</v>
      </c>
      <c r="K22" s="1116">
        <f>SUMIF('ACTUALS (M)'!$G$7:$DV$7,'ACTUALS (Y)'!K$7,'ACTUALS (M)'!$G24:$DV24)</f>
        <v>0</v>
      </c>
      <c r="L22" s="1116">
        <f>SUMIF('ACTUALS (M)'!$G$7:$DV$7,'ACTUALS (Y)'!L$7,'ACTUALS (M)'!$G24:$DV24)</f>
        <v>0</v>
      </c>
      <c r="M22" s="1116">
        <f>SUMIF('ACTUALS (M)'!$G$7:$DV$7,'ACTUALS (Y)'!M$7,'ACTUALS (M)'!$G24:$DV24)</f>
        <v>0</v>
      </c>
      <c r="N22" s="1116">
        <f>SUMIF('ACTUALS (M)'!$G$7:$DV$7,'ACTUALS (Y)'!N$7,'ACTUALS (M)'!$G24:$DV24)</f>
        <v>0</v>
      </c>
      <c r="O22" s="1116">
        <f>SUMIF('ACTUALS (M)'!$G$7:$DV$7,'ACTUALS (Y)'!O$7,'ACTUALS (M)'!$G24:$DV24)</f>
        <v>0</v>
      </c>
    </row>
    <row r="23" spans="1:22" s="1000" customFormat="1" ht="15" customHeight="1" x14ac:dyDescent="0.3">
      <c r="B23" s="334" t="str">
        <f>DASHBOARD!W123</f>
        <v>Internet</v>
      </c>
      <c r="C23" s="1101">
        <f t="shared" si="5"/>
        <v>0</v>
      </c>
      <c r="D23" s="84"/>
      <c r="E23" s="1115">
        <f>SUMIF('ACTUALS (M)'!$G$7:$DV$7,'ACTUALS (Y)'!E$7,'ACTUALS (M)'!$G25:$DV25)</f>
        <v>0</v>
      </c>
      <c r="F23" s="1116">
        <f>SUMIF('ACTUALS (M)'!$G$7:$DV$7,'ACTUALS (Y)'!F$7,'ACTUALS (M)'!$G25:$DV25)</f>
        <v>0</v>
      </c>
      <c r="G23" s="1116">
        <f>SUMIF('ACTUALS (M)'!$G$7:$DV$7,'ACTUALS (Y)'!G$7,'ACTUALS (M)'!$G25:$DV25)</f>
        <v>0</v>
      </c>
      <c r="H23" s="1116">
        <f>SUMIF('ACTUALS (M)'!$G$7:$DV$7,'ACTUALS (Y)'!H$7,'ACTUALS (M)'!$G25:$DV25)</f>
        <v>0</v>
      </c>
      <c r="I23" s="1116">
        <f>SUMIF('ACTUALS (M)'!$G$7:$DV$7,'ACTUALS (Y)'!I$7,'ACTUALS (M)'!$G25:$DV25)</f>
        <v>0</v>
      </c>
      <c r="J23" s="1116">
        <f>SUMIF('ACTUALS (M)'!$G$7:$DV$7,'ACTUALS (Y)'!J$7,'ACTUALS (M)'!$G25:$DV25)</f>
        <v>0</v>
      </c>
      <c r="K23" s="1116">
        <f>SUMIF('ACTUALS (M)'!$G$7:$DV$7,'ACTUALS (Y)'!K$7,'ACTUALS (M)'!$G25:$DV25)</f>
        <v>0</v>
      </c>
      <c r="L23" s="1116">
        <f>SUMIF('ACTUALS (M)'!$G$7:$DV$7,'ACTUALS (Y)'!L$7,'ACTUALS (M)'!$G25:$DV25)</f>
        <v>0</v>
      </c>
      <c r="M23" s="1116">
        <f>SUMIF('ACTUALS (M)'!$G$7:$DV$7,'ACTUALS (Y)'!M$7,'ACTUALS (M)'!$G25:$DV25)</f>
        <v>0</v>
      </c>
      <c r="N23" s="1116">
        <f>SUMIF('ACTUALS (M)'!$G$7:$DV$7,'ACTUALS (Y)'!N$7,'ACTUALS (M)'!$G25:$DV25)</f>
        <v>0</v>
      </c>
      <c r="O23" s="1116">
        <f>SUMIF('ACTUALS (M)'!$G$7:$DV$7,'ACTUALS (Y)'!O$7,'ACTUALS (M)'!$G25:$DV25)</f>
        <v>0</v>
      </c>
    </row>
    <row r="24" spans="1:22" s="1000" customFormat="1" ht="15" customHeight="1" x14ac:dyDescent="0.3">
      <c r="B24" s="334" t="str">
        <f>DASHBOARD!W124</f>
        <v>Property Insurance + Tax</v>
      </c>
      <c r="C24" s="1101">
        <f t="shared" si="5"/>
        <v>0</v>
      </c>
      <c r="D24" s="84"/>
      <c r="E24" s="1115">
        <f>SUMIF('ACTUALS (M)'!$G$7:$DV$7,'ACTUALS (Y)'!E$7,'ACTUALS (M)'!$G26:$DV26)</f>
        <v>0</v>
      </c>
      <c r="F24" s="1116">
        <f>SUMIF('ACTUALS (M)'!$G$7:$DV$7,'ACTUALS (Y)'!F$7,'ACTUALS (M)'!$G26:$DV26)</f>
        <v>0</v>
      </c>
      <c r="G24" s="1116">
        <f>SUMIF('ACTUALS (M)'!$G$7:$DV$7,'ACTUALS (Y)'!G$7,'ACTUALS (M)'!$G26:$DV26)</f>
        <v>0</v>
      </c>
      <c r="H24" s="1116">
        <f>SUMIF('ACTUALS (M)'!$G$7:$DV$7,'ACTUALS (Y)'!H$7,'ACTUALS (M)'!$G26:$DV26)</f>
        <v>0</v>
      </c>
      <c r="I24" s="1116">
        <f>SUMIF('ACTUALS (M)'!$G$7:$DV$7,'ACTUALS (Y)'!I$7,'ACTUALS (M)'!$G26:$DV26)</f>
        <v>0</v>
      </c>
      <c r="J24" s="1116">
        <f>SUMIF('ACTUALS (M)'!$G$7:$DV$7,'ACTUALS (Y)'!J$7,'ACTUALS (M)'!$G26:$DV26)</f>
        <v>0</v>
      </c>
      <c r="K24" s="1116">
        <f>SUMIF('ACTUALS (M)'!$G$7:$DV$7,'ACTUALS (Y)'!K$7,'ACTUALS (M)'!$G26:$DV26)</f>
        <v>0</v>
      </c>
      <c r="L24" s="1116">
        <f>SUMIF('ACTUALS (M)'!$G$7:$DV$7,'ACTUALS (Y)'!L$7,'ACTUALS (M)'!$G26:$DV26)</f>
        <v>0</v>
      </c>
      <c r="M24" s="1116">
        <f>SUMIF('ACTUALS (M)'!$G$7:$DV$7,'ACTUALS (Y)'!M$7,'ACTUALS (M)'!$G26:$DV26)</f>
        <v>0</v>
      </c>
      <c r="N24" s="1116">
        <f>SUMIF('ACTUALS (M)'!$G$7:$DV$7,'ACTUALS (Y)'!N$7,'ACTUALS (M)'!$G26:$DV26)</f>
        <v>0</v>
      </c>
      <c r="O24" s="1116">
        <f>SUMIF('ACTUALS (M)'!$G$7:$DV$7,'ACTUALS (Y)'!O$7,'ACTUALS (M)'!$G26:$DV26)</f>
        <v>0</v>
      </c>
    </row>
    <row r="25" spans="1:22" s="1000" customFormat="1" ht="15" customHeight="1" x14ac:dyDescent="0.3">
      <c r="B25" s="334" t="str">
        <f>DASHBOARD!W125</f>
        <v>Irrigation</v>
      </c>
      <c r="C25" s="1101">
        <f t="shared" si="5"/>
        <v>0</v>
      </c>
      <c r="D25" s="84"/>
      <c r="E25" s="1115">
        <f>SUMIF('ACTUALS (M)'!$G$7:$DV$7,'ACTUALS (Y)'!E$7,'ACTUALS (M)'!$G27:$DV27)</f>
        <v>0</v>
      </c>
      <c r="F25" s="1116">
        <f>SUMIF('ACTUALS (M)'!$G$7:$DV$7,'ACTUALS (Y)'!F$7,'ACTUALS (M)'!$G27:$DV27)</f>
        <v>0</v>
      </c>
      <c r="G25" s="1116">
        <f>SUMIF('ACTUALS (M)'!$G$7:$DV$7,'ACTUALS (Y)'!G$7,'ACTUALS (M)'!$G27:$DV27)</f>
        <v>0</v>
      </c>
      <c r="H25" s="1116">
        <f>SUMIF('ACTUALS (M)'!$G$7:$DV$7,'ACTUALS (Y)'!H$7,'ACTUALS (M)'!$G27:$DV27)</f>
        <v>0</v>
      </c>
      <c r="I25" s="1116">
        <f>SUMIF('ACTUALS (M)'!$G$7:$DV$7,'ACTUALS (Y)'!I$7,'ACTUALS (M)'!$G27:$DV27)</f>
        <v>0</v>
      </c>
      <c r="J25" s="1116">
        <f>SUMIF('ACTUALS (M)'!$G$7:$DV$7,'ACTUALS (Y)'!J$7,'ACTUALS (M)'!$G27:$DV27)</f>
        <v>0</v>
      </c>
      <c r="K25" s="1116">
        <f>SUMIF('ACTUALS (M)'!$G$7:$DV$7,'ACTUALS (Y)'!K$7,'ACTUALS (M)'!$G27:$DV27)</f>
        <v>0</v>
      </c>
      <c r="L25" s="1116">
        <f>SUMIF('ACTUALS (M)'!$G$7:$DV$7,'ACTUALS (Y)'!L$7,'ACTUALS (M)'!$G27:$DV27)</f>
        <v>0</v>
      </c>
      <c r="M25" s="1116">
        <f>SUMIF('ACTUALS (M)'!$G$7:$DV$7,'ACTUALS (Y)'!M$7,'ACTUALS (M)'!$G27:$DV27)</f>
        <v>0</v>
      </c>
      <c r="N25" s="1116">
        <f>SUMIF('ACTUALS (M)'!$G$7:$DV$7,'ACTUALS (Y)'!N$7,'ACTUALS (M)'!$G27:$DV27)</f>
        <v>0</v>
      </c>
      <c r="O25" s="1116">
        <f>SUMIF('ACTUALS (M)'!$G$7:$DV$7,'ACTUALS (Y)'!O$7,'ACTUALS (M)'!$G27:$DV27)</f>
        <v>0</v>
      </c>
    </row>
    <row r="26" spans="1:22" s="1000" customFormat="1" ht="15" customHeight="1" x14ac:dyDescent="0.3">
      <c r="B26" s="334" t="str">
        <f>DASHBOARD!W126</f>
        <v>Security</v>
      </c>
      <c r="C26" s="1101">
        <f t="shared" si="5"/>
        <v>0</v>
      </c>
      <c r="D26" s="84"/>
      <c r="E26" s="1115">
        <f>SUMIF('ACTUALS (M)'!$G$7:$DV$7,'ACTUALS (Y)'!E$7,'ACTUALS (M)'!$G28:$DV28)</f>
        <v>0</v>
      </c>
      <c r="F26" s="1116">
        <f>SUMIF('ACTUALS (M)'!$G$7:$DV$7,'ACTUALS (Y)'!F$7,'ACTUALS (M)'!$G28:$DV28)</f>
        <v>0</v>
      </c>
      <c r="G26" s="1116">
        <f>SUMIF('ACTUALS (M)'!$G$7:$DV$7,'ACTUALS (Y)'!G$7,'ACTUALS (M)'!$G28:$DV28)</f>
        <v>0</v>
      </c>
      <c r="H26" s="1116">
        <f>SUMIF('ACTUALS (M)'!$G$7:$DV$7,'ACTUALS (Y)'!H$7,'ACTUALS (M)'!$G28:$DV28)</f>
        <v>0</v>
      </c>
      <c r="I26" s="1116">
        <f>SUMIF('ACTUALS (M)'!$G$7:$DV$7,'ACTUALS (Y)'!I$7,'ACTUALS (M)'!$G28:$DV28)</f>
        <v>0</v>
      </c>
      <c r="J26" s="1116">
        <f>SUMIF('ACTUALS (M)'!$G$7:$DV$7,'ACTUALS (Y)'!J$7,'ACTUALS (M)'!$G28:$DV28)</f>
        <v>0</v>
      </c>
      <c r="K26" s="1116">
        <f>SUMIF('ACTUALS (M)'!$G$7:$DV$7,'ACTUALS (Y)'!K$7,'ACTUALS (M)'!$G28:$DV28)</f>
        <v>0</v>
      </c>
      <c r="L26" s="1116">
        <f>SUMIF('ACTUALS (M)'!$G$7:$DV$7,'ACTUALS (Y)'!L$7,'ACTUALS (M)'!$G28:$DV28)</f>
        <v>0</v>
      </c>
      <c r="M26" s="1116">
        <f>SUMIF('ACTUALS (M)'!$G$7:$DV$7,'ACTUALS (Y)'!M$7,'ACTUALS (M)'!$G28:$DV28)</f>
        <v>0</v>
      </c>
      <c r="N26" s="1116">
        <f>SUMIF('ACTUALS (M)'!$G$7:$DV$7,'ACTUALS (Y)'!N$7,'ACTUALS (M)'!$G28:$DV28)</f>
        <v>0</v>
      </c>
      <c r="O26" s="1116">
        <f>SUMIF('ACTUALS (M)'!$G$7:$DV$7,'ACTUALS (Y)'!O$7,'ACTUALS (M)'!$G28:$DV28)</f>
        <v>0</v>
      </c>
    </row>
    <row r="27" spans="1:22" s="1000" customFormat="1" ht="15" customHeight="1" x14ac:dyDescent="0.3">
      <c r="B27" s="334" t="str">
        <f>DASHBOARD!W127</f>
        <v>Accounting</v>
      </c>
      <c r="C27" s="1101">
        <f t="shared" si="5"/>
        <v>0</v>
      </c>
      <c r="D27" s="84"/>
      <c r="E27" s="1115">
        <f>SUMIF('ACTUALS (M)'!$G$7:$DV$7,'ACTUALS (Y)'!E$7,'ACTUALS (M)'!$G29:$DV29)</f>
        <v>0</v>
      </c>
      <c r="F27" s="1116">
        <f>SUMIF('ACTUALS (M)'!$G$7:$DV$7,'ACTUALS (Y)'!F$7,'ACTUALS (M)'!$G29:$DV29)</f>
        <v>0</v>
      </c>
      <c r="G27" s="1116">
        <f>SUMIF('ACTUALS (M)'!$G$7:$DV$7,'ACTUALS (Y)'!G$7,'ACTUALS (M)'!$G29:$DV29)</f>
        <v>0</v>
      </c>
      <c r="H27" s="1116">
        <f>SUMIF('ACTUALS (M)'!$G$7:$DV$7,'ACTUALS (Y)'!H$7,'ACTUALS (M)'!$G29:$DV29)</f>
        <v>0</v>
      </c>
      <c r="I27" s="1116">
        <f>SUMIF('ACTUALS (M)'!$G$7:$DV$7,'ACTUALS (Y)'!I$7,'ACTUALS (M)'!$G29:$DV29)</f>
        <v>0</v>
      </c>
      <c r="J27" s="1116">
        <f>SUMIF('ACTUALS (M)'!$G$7:$DV$7,'ACTUALS (Y)'!J$7,'ACTUALS (M)'!$G29:$DV29)</f>
        <v>0</v>
      </c>
      <c r="K27" s="1116">
        <f>SUMIF('ACTUALS (M)'!$G$7:$DV$7,'ACTUALS (Y)'!K$7,'ACTUALS (M)'!$G29:$DV29)</f>
        <v>0</v>
      </c>
      <c r="L27" s="1116">
        <f>SUMIF('ACTUALS (M)'!$G$7:$DV$7,'ACTUALS (Y)'!L$7,'ACTUALS (M)'!$G29:$DV29)</f>
        <v>0</v>
      </c>
      <c r="M27" s="1116">
        <f>SUMIF('ACTUALS (M)'!$G$7:$DV$7,'ACTUALS (Y)'!M$7,'ACTUALS (M)'!$G29:$DV29)</f>
        <v>0</v>
      </c>
      <c r="N27" s="1116">
        <f>SUMIF('ACTUALS (M)'!$G$7:$DV$7,'ACTUALS (Y)'!N$7,'ACTUALS (M)'!$G29:$DV29)</f>
        <v>0</v>
      </c>
      <c r="O27" s="1116">
        <f>SUMIF('ACTUALS (M)'!$G$7:$DV$7,'ACTUALS (Y)'!O$7,'ACTUALS (M)'!$G29:$DV29)</f>
        <v>0</v>
      </c>
    </row>
    <row r="28" spans="1:22" s="1000" customFormat="1" ht="15" customHeight="1" x14ac:dyDescent="0.3">
      <c r="B28" s="334" t="str">
        <f>DASHBOARD!AQ119</f>
        <v>Repairs &amp; Maintenance</v>
      </c>
      <c r="C28" s="1101">
        <f t="shared" si="5"/>
        <v>0</v>
      </c>
      <c r="D28" s="84"/>
      <c r="E28" s="1115">
        <f>SUMIF('ACTUALS (M)'!$G$7:$DV$7,'ACTUALS (Y)'!E$7,'ACTUALS (M)'!$G30:$DV30)</f>
        <v>0</v>
      </c>
      <c r="F28" s="1116">
        <f>SUMIF('ACTUALS (M)'!$G$7:$DV$7,'ACTUALS (Y)'!F$7,'ACTUALS (M)'!$G30:$DV30)</f>
        <v>0</v>
      </c>
      <c r="G28" s="1116">
        <f>SUMIF('ACTUALS (M)'!$G$7:$DV$7,'ACTUALS (Y)'!G$7,'ACTUALS (M)'!$G30:$DV30)</f>
        <v>0</v>
      </c>
      <c r="H28" s="1116">
        <f>SUMIF('ACTUALS (M)'!$G$7:$DV$7,'ACTUALS (Y)'!H$7,'ACTUALS (M)'!$G30:$DV30)</f>
        <v>0</v>
      </c>
      <c r="I28" s="1116">
        <f>SUMIF('ACTUALS (M)'!$G$7:$DV$7,'ACTUALS (Y)'!I$7,'ACTUALS (M)'!$G30:$DV30)</f>
        <v>0</v>
      </c>
      <c r="J28" s="1116">
        <f>SUMIF('ACTUALS (M)'!$G$7:$DV$7,'ACTUALS (Y)'!J$7,'ACTUALS (M)'!$G30:$DV30)</f>
        <v>0</v>
      </c>
      <c r="K28" s="1116">
        <f>SUMIF('ACTUALS (M)'!$G$7:$DV$7,'ACTUALS (Y)'!K$7,'ACTUALS (M)'!$G30:$DV30)</f>
        <v>0</v>
      </c>
      <c r="L28" s="1116">
        <f>SUMIF('ACTUALS (M)'!$G$7:$DV$7,'ACTUALS (Y)'!L$7,'ACTUALS (M)'!$G30:$DV30)</f>
        <v>0</v>
      </c>
      <c r="M28" s="1116">
        <f>SUMIF('ACTUALS (M)'!$G$7:$DV$7,'ACTUALS (Y)'!M$7,'ACTUALS (M)'!$G30:$DV30)</f>
        <v>0</v>
      </c>
      <c r="N28" s="1116">
        <f>SUMIF('ACTUALS (M)'!$G$7:$DV$7,'ACTUALS (Y)'!N$7,'ACTUALS (M)'!$G30:$DV30)</f>
        <v>0</v>
      </c>
      <c r="O28" s="1116">
        <f>SUMIF('ACTUALS (M)'!$G$7:$DV$7,'ACTUALS (Y)'!O$7,'ACTUALS (M)'!$G30:$DV30)</f>
        <v>0</v>
      </c>
    </row>
    <row r="29" spans="1:22" s="1000" customFormat="1" ht="15" customHeight="1" x14ac:dyDescent="0.3">
      <c r="B29" s="334" t="str">
        <f>DASHBOARD!AQ120</f>
        <v xml:space="preserve">Property Management </v>
      </c>
      <c r="C29" s="1101">
        <f t="shared" si="5"/>
        <v>0</v>
      </c>
      <c r="D29" s="84"/>
      <c r="E29" s="1115">
        <f>SUMIF('ACTUALS (M)'!$G$7:$DV$7,'ACTUALS (Y)'!E$7,'ACTUALS (M)'!$G31:$DV31)</f>
        <v>0</v>
      </c>
      <c r="F29" s="1116">
        <f>SUMIF('ACTUALS (M)'!$G$7:$DV$7,'ACTUALS (Y)'!F$7,'ACTUALS (M)'!$G31:$DV31)</f>
        <v>0</v>
      </c>
      <c r="G29" s="1116">
        <f>SUMIF('ACTUALS (M)'!$G$7:$DV$7,'ACTUALS (Y)'!G$7,'ACTUALS (M)'!$G31:$DV31)</f>
        <v>0</v>
      </c>
      <c r="H29" s="1116">
        <f>SUMIF('ACTUALS (M)'!$G$7:$DV$7,'ACTUALS (Y)'!H$7,'ACTUALS (M)'!$G31:$DV31)</f>
        <v>0</v>
      </c>
      <c r="I29" s="1116">
        <f>SUMIF('ACTUALS (M)'!$G$7:$DV$7,'ACTUALS (Y)'!I$7,'ACTUALS (M)'!$G31:$DV31)</f>
        <v>0</v>
      </c>
      <c r="J29" s="1116">
        <f>SUMIF('ACTUALS (M)'!$G$7:$DV$7,'ACTUALS (Y)'!J$7,'ACTUALS (M)'!$G31:$DV31)</f>
        <v>0</v>
      </c>
      <c r="K29" s="1116">
        <f>SUMIF('ACTUALS (M)'!$G$7:$DV$7,'ACTUALS (Y)'!K$7,'ACTUALS (M)'!$G31:$DV31)</f>
        <v>0</v>
      </c>
      <c r="L29" s="1116">
        <f>SUMIF('ACTUALS (M)'!$G$7:$DV$7,'ACTUALS (Y)'!L$7,'ACTUALS (M)'!$G31:$DV31)</f>
        <v>0</v>
      </c>
      <c r="M29" s="1116">
        <f>SUMIF('ACTUALS (M)'!$G$7:$DV$7,'ACTUALS (Y)'!M$7,'ACTUALS (M)'!$G31:$DV31)</f>
        <v>0</v>
      </c>
      <c r="N29" s="1116">
        <f>SUMIF('ACTUALS (M)'!$G$7:$DV$7,'ACTUALS (Y)'!N$7,'ACTUALS (M)'!$G31:$DV31)</f>
        <v>0</v>
      </c>
      <c r="O29" s="1116">
        <f>SUMIF('ACTUALS (M)'!$G$7:$DV$7,'ACTUALS (Y)'!O$7,'ACTUALS (M)'!$G31:$DV31)</f>
        <v>0</v>
      </c>
    </row>
    <row r="30" spans="1:22" s="1000" customFormat="1" ht="15" customHeight="1" x14ac:dyDescent="0.3">
      <c r="B30" s="334" t="str">
        <f>DASHBOARD!AQ121</f>
        <v>Vacancy Insurance</v>
      </c>
      <c r="C30" s="1101">
        <f t="shared" si="5"/>
        <v>0</v>
      </c>
      <c r="D30" s="84"/>
      <c r="E30" s="1115">
        <f>SUMIF('ACTUALS (M)'!$G$7:$DV$7,'ACTUALS (Y)'!E$7,'ACTUALS (M)'!$G32:$DV32)</f>
        <v>0</v>
      </c>
      <c r="F30" s="1116">
        <f>SUMIF('ACTUALS (M)'!$G$7:$DV$7,'ACTUALS (Y)'!F$7,'ACTUALS (M)'!$G32:$DV32)</f>
        <v>0</v>
      </c>
      <c r="G30" s="1116">
        <f>SUMIF('ACTUALS (M)'!$G$7:$DV$7,'ACTUALS (Y)'!G$7,'ACTUALS (M)'!$G32:$DV32)</f>
        <v>0</v>
      </c>
      <c r="H30" s="1116">
        <f>SUMIF('ACTUALS (M)'!$G$7:$DV$7,'ACTUALS (Y)'!H$7,'ACTUALS (M)'!$G32:$DV32)</f>
        <v>0</v>
      </c>
      <c r="I30" s="1116">
        <f>SUMIF('ACTUALS (M)'!$G$7:$DV$7,'ACTUALS (Y)'!I$7,'ACTUALS (M)'!$G32:$DV32)</f>
        <v>0</v>
      </c>
      <c r="J30" s="1116">
        <f>SUMIF('ACTUALS (M)'!$G$7:$DV$7,'ACTUALS (Y)'!J$7,'ACTUALS (M)'!$G32:$DV32)</f>
        <v>0</v>
      </c>
      <c r="K30" s="1116">
        <f>SUMIF('ACTUALS (M)'!$G$7:$DV$7,'ACTUALS (Y)'!K$7,'ACTUALS (M)'!$G32:$DV32)</f>
        <v>0</v>
      </c>
      <c r="L30" s="1116">
        <f>SUMIF('ACTUALS (M)'!$G$7:$DV$7,'ACTUALS (Y)'!L$7,'ACTUALS (M)'!$G32:$DV32)</f>
        <v>0</v>
      </c>
      <c r="M30" s="1116">
        <f>SUMIF('ACTUALS (M)'!$G$7:$DV$7,'ACTUALS (Y)'!M$7,'ACTUALS (M)'!$G32:$DV32)</f>
        <v>0</v>
      </c>
      <c r="N30" s="1116">
        <f>SUMIF('ACTUALS (M)'!$G$7:$DV$7,'ACTUALS (Y)'!N$7,'ACTUALS (M)'!$G32:$DV32)</f>
        <v>0</v>
      </c>
      <c r="O30" s="1116">
        <f>SUMIF('ACTUALS (M)'!$G$7:$DV$7,'ACTUALS (Y)'!O$7,'ACTUALS (M)'!$G32:$DV32)</f>
        <v>0</v>
      </c>
    </row>
    <row r="31" spans="1:22" s="1000" customFormat="1" ht="15" customHeight="1" x14ac:dyDescent="0.3">
      <c r="B31" s="334" t="str">
        <f>DASHBOARD!AQ122</f>
        <v>Rent Insurance</v>
      </c>
      <c r="C31" s="1101">
        <f t="shared" si="5"/>
        <v>0</v>
      </c>
      <c r="D31" s="84"/>
      <c r="E31" s="1115">
        <f>SUMIF('ACTUALS (M)'!$G$7:$DV$7,'ACTUALS (Y)'!E$7,'ACTUALS (M)'!$G33:$DV33)</f>
        <v>0</v>
      </c>
      <c r="F31" s="1116">
        <f>SUMIF('ACTUALS (M)'!$G$7:$DV$7,'ACTUALS (Y)'!F$7,'ACTUALS (M)'!$G33:$DV33)</f>
        <v>0</v>
      </c>
      <c r="G31" s="1116">
        <f>SUMIF('ACTUALS (M)'!$G$7:$DV$7,'ACTUALS (Y)'!G$7,'ACTUALS (M)'!$G33:$DV33)</f>
        <v>0</v>
      </c>
      <c r="H31" s="1116">
        <f>SUMIF('ACTUALS (M)'!$G$7:$DV$7,'ACTUALS (Y)'!H$7,'ACTUALS (M)'!$G33:$DV33)</f>
        <v>0</v>
      </c>
      <c r="I31" s="1116">
        <f>SUMIF('ACTUALS (M)'!$G$7:$DV$7,'ACTUALS (Y)'!I$7,'ACTUALS (M)'!$G33:$DV33)</f>
        <v>0</v>
      </c>
      <c r="J31" s="1116">
        <f>SUMIF('ACTUALS (M)'!$G$7:$DV$7,'ACTUALS (Y)'!J$7,'ACTUALS (M)'!$G33:$DV33)</f>
        <v>0</v>
      </c>
      <c r="K31" s="1116">
        <f>SUMIF('ACTUALS (M)'!$G$7:$DV$7,'ACTUALS (Y)'!K$7,'ACTUALS (M)'!$G33:$DV33)</f>
        <v>0</v>
      </c>
      <c r="L31" s="1116">
        <f>SUMIF('ACTUALS (M)'!$G$7:$DV$7,'ACTUALS (Y)'!L$7,'ACTUALS (M)'!$G33:$DV33)</f>
        <v>0</v>
      </c>
      <c r="M31" s="1116">
        <f>SUMIF('ACTUALS (M)'!$G$7:$DV$7,'ACTUALS (Y)'!M$7,'ACTUALS (M)'!$G33:$DV33)</f>
        <v>0</v>
      </c>
      <c r="N31" s="1116">
        <f>SUMIF('ACTUALS (M)'!$G$7:$DV$7,'ACTUALS (Y)'!N$7,'ACTUALS (M)'!$G33:$DV33)</f>
        <v>0</v>
      </c>
      <c r="O31" s="1116">
        <f>SUMIF('ACTUALS (M)'!$G$7:$DV$7,'ACTUALS (Y)'!O$7,'ACTUALS (M)'!$G33:$DV33)</f>
        <v>0</v>
      </c>
    </row>
    <row r="32" spans="1:22" s="1000" customFormat="1" ht="15" customHeight="1" x14ac:dyDescent="0.3">
      <c r="B32" s="334" t="str">
        <f>DASHBOARD!AQ123</f>
        <v>Legal</v>
      </c>
      <c r="C32" s="1101">
        <f t="shared" si="5"/>
        <v>0</v>
      </c>
      <c r="D32" s="84"/>
      <c r="E32" s="1115">
        <f>SUMIF('ACTUALS (M)'!$G$7:$DV$7,'ACTUALS (Y)'!E$7,'ACTUALS (M)'!$G34:$DV34)</f>
        <v>0</v>
      </c>
      <c r="F32" s="1116">
        <f>SUMIF('ACTUALS (M)'!$G$7:$DV$7,'ACTUALS (Y)'!F$7,'ACTUALS (M)'!$G34:$DV34)</f>
        <v>0</v>
      </c>
      <c r="G32" s="1116">
        <f>SUMIF('ACTUALS (M)'!$G$7:$DV$7,'ACTUALS (Y)'!G$7,'ACTUALS (M)'!$G34:$DV34)</f>
        <v>0</v>
      </c>
      <c r="H32" s="1116">
        <f>SUMIF('ACTUALS (M)'!$G$7:$DV$7,'ACTUALS (Y)'!H$7,'ACTUALS (M)'!$G34:$DV34)</f>
        <v>0</v>
      </c>
      <c r="I32" s="1116">
        <f>SUMIF('ACTUALS (M)'!$G$7:$DV$7,'ACTUALS (Y)'!I$7,'ACTUALS (M)'!$G34:$DV34)</f>
        <v>0</v>
      </c>
      <c r="J32" s="1116">
        <f>SUMIF('ACTUALS (M)'!$G$7:$DV$7,'ACTUALS (Y)'!J$7,'ACTUALS (M)'!$G34:$DV34)</f>
        <v>0</v>
      </c>
      <c r="K32" s="1116">
        <f>SUMIF('ACTUALS (M)'!$G$7:$DV$7,'ACTUALS (Y)'!K$7,'ACTUALS (M)'!$G34:$DV34)</f>
        <v>0</v>
      </c>
      <c r="L32" s="1116">
        <f>SUMIF('ACTUALS (M)'!$G$7:$DV$7,'ACTUALS (Y)'!L$7,'ACTUALS (M)'!$G34:$DV34)</f>
        <v>0</v>
      </c>
      <c r="M32" s="1116">
        <f>SUMIF('ACTUALS (M)'!$G$7:$DV$7,'ACTUALS (Y)'!M$7,'ACTUALS (M)'!$G34:$DV34)</f>
        <v>0</v>
      </c>
      <c r="N32" s="1116">
        <f>SUMIF('ACTUALS (M)'!$G$7:$DV$7,'ACTUALS (Y)'!N$7,'ACTUALS (M)'!$G34:$DV34)</f>
        <v>0</v>
      </c>
      <c r="O32" s="1116">
        <f>SUMIF('ACTUALS (M)'!$G$7:$DV$7,'ACTUALS (Y)'!O$7,'ACTUALS (M)'!$G34:$DV34)</f>
        <v>0</v>
      </c>
    </row>
    <row r="33" spans="1:80" s="1000" customFormat="1" ht="15" customHeight="1" x14ac:dyDescent="0.3">
      <c r="B33" s="334" t="str">
        <f>DASHBOARD!AQ124</f>
        <v>Advertising</v>
      </c>
      <c r="C33" s="1101">
        <f t="shared" si="5"/>
        <v>0</v>
      </c>
      <c r="D33" s="84"/>
      <c r="E33" s="1115">
        <f>SUMIF('ACTUALS (M)'!$G$7:$DV$7,'ACTUALS (Y)'!E$7,'ACTUALS (M)'!$G35:$DV35)</f>
        <v>0</v>
      </c>
      <c r="F33" s="1116">
        <f>SUMIF('ACTUALS (M)'!$G$7:$DV$7,'ACTUALS (Y)'!F$7,'ACTUALS (M)'!$G35:$DV35)</f>
        <v>0</v>
      </c>
      <c r="G33" s="1116">
        <f>SUMIF('ACTUALS (M)'!$G$7:$DV$7,'ACTUALS (Y)'!G$7,'ACTUALS (M)'!$G35:$DV35)</f>
        <v>0</v>
      </c>
      <c r="H33" s="1116">
        <f>SUMIF('ACTUALS (M)'!$G$7:$DV$7,'ACTUALS (Y)'!H$7,'ACTUALS (M)'!$G35:$DV35)</f>
        <v>0</v>
      </c>
      <c r="I33" s="1116">
        <f>SUMIF('ACTUALS (M)'!$G$7:$DV$7,'ACTUALS (Y)'!I$7,'ACTUALS (M)'!$G35:$DV35)</f>
        <v>0</v>
      </c>
      <c r="J33" s="1116">
        <f>SUMIF('ACTUALS (M)'!$G$7:$DV$7,'ACTUALS (Y)'!J$7,'ACTUALS (M)'!$G35:$DV35)</f>
        <v>0</v>
      </c>
      <c r="K33" s="1116">
        <f>SUMIF('ACTUALS (M)'!$G$7:$DV$7,'ACTUALS (Y)'!K$7,'ACTUALS (M)'!$G35:$DV35)</f>
        <v>0</v>
      </c>
      <c r="L33" s="1116">
        <f>SUMIF('ACTUALS (M)'!$G$7:$DV$7,'ACTUALS (Y)'!L$7,'ACTUALS (M)'!$G35:$DV35)</f>
        <v>0</v>
      </c>
      <c r="M33" s="1116">
        <f>SUMIF('ACTUALS (M)'!$G$7:$DV$7,'ACTUALS (Y)'!M$7,'ACTUALS (M)'!$G35:$DV35)</f>
        <v>0</v>
      </c>
      <c r="N33" s="1116">
        <f>SUMIF('ACTUALS (M)'!$G$7:$DV$7,'ACTUALS (Y)'!N$7,'ACTUALS (M)'!$G35:$DV35)</f>
        <v>0</v>
      </c>
      <c r="O33" s="1116">
        <f>SUMIF('ACTUALS (M)'!$G$7:$DV$7,'ACTUALS (Y)'!O$7,'ACTUALS (M)'!$G35:$DV35)</f>
        <v>0</v>
      </c>
    </row>
    <row r="34" spans="1:80" s="1000" customFormat="1" ht="15" customHeight="1" x14ac:dyDescent="0.3">
      <c r="B34" s="334" t="str">
        <f>DASHBOARD!AQ125</f>
        <v>Other Cost 1</v>
      </c>
      <c r="C34" s="1101">
        <f t="shared" si="5"/>
        <v>0</v>
      </c>
      <c r="D34" s="84"/>
      <c r="E34" s="1115">
        <f>SUMIF('ACTUALS (M)'!$G$7:$DV$7,'ACTUALS (Y)'!E$7,'ACTUALS (M)'!$G36:$DV36)</f>
        <v>0</v>
      </c>
      <c r="F34" s="1116">
        <f>SUMIF('ACTUALS (M)'!$G$7:$DV$7,'ACTUALS (Y)'!F$7,'ACTUALS (M)'!$G36:$DV36)</f>
        <v>0</v>
      </c>
      <c r="G34" s="1116">
        <f>SUMIF('ACTUALS (M)'!$G$7:$DV$7,'ACTUALS (Y)'!G$7,'ACTUALS (M)'!$G36:$DV36)</f>
        <v>0</v>
      </c>
      <c r="H34" s="1116">
        <f>SUMIF('ACTUALS (M)'!$G$7:$DV$7,'ACTUALS (Y)'!H$7,'ACTUALS (M)'!$G36:$DV36)</f>
        <v>0</v>
      </c>
      <c r="I34" s="1116">
        <f>SUMIF('ACTUALS (M)'!$G$7:$DV$7,'ACTUALS (Y)'!I$7,'ACTUALS (M)'!$G36:$DV36)</f>
        <v>0</v>
      </c>
      <c r="J34" s="1116">
        <f>SUMIF('ACTUALS (M)'!$G$7:$DV$7,'ACTUALS (Y)'!J$7,'ACTUALS (M)'!$G36:$DV36)</f>
        <v>0</v>
      </c>
      <c r="K34" s="1116">
        <f>SUMIF('ACTUALS (M)'!$G$7:$DV$7,'ACTUALS (Y)'!K$7,'ACTUALS (M)'!$G36:$DV36)</f>
        <v>0</v>
      </c>
      <c r="L34" s="1116">
        <f>SUMIF('ACTUALS (M)'!$G$7:$DV$7,'ACTUALS (Y)'!L$7,'ACTUALS (M)'!$G36:$DV36)</f>
        <v>0</v>
      </c>
      <c r="M34" s="1116">
        <f>SUMIF('ACTUALS (M)'!$G$7:$DV$7,'ACTUALS (Y)'!M$7,'ACTUALS (M)'!$G36:$DV36)</f>
        <v>0</v>
      </c>
      <c r="N34" s="1116">
        <f>SUMIF('ACTUALS (M)'!$G$7:$DV$7,'ACTUALS (Y)'!N$7,'ACTUALS (M)'!$G36:$DV36)</f>
        <v>0</v>
      </c>
      <c r="O34" s="1116">
        <f>SUMIF('ACTUALS (M)'!$G$7:$DV$7,'ACTUALS (Y)'!O$7,'ACTUALS (M)'!$G36:$DV36)</f>
        <v>0</v>
      </c>
    </row>
    <row r="35" spans="1:80" s="1000" customFormat="1" ht="15" customHeight="1" x14ac:dyDescent="0.3">
      <c r="B35" s="334" t="str">
        <f>DASHBOARD!AQ126</f>
        <v>Other Cost 2</v>
      </c>
      <c r="C35" s="1101">
        <f t="shared" si="5"/>
        <v>0</v>
      </c>
      <c r="D35" s="84"/>
      <c r="E35" s="1115">
        <f>SUMIF('ACTUALS (M)'!$G$7:$DV$7,'ACTUALS (Y)'!E$7,'ACTUALS (M)'!$G37:$DV37)</f>
        <v>0</v>
      </c>
      <c r="F35" s="1116">
        <f>SUMIF('ACTUALS (M)'!$G$7:$DV$7,'ACTUALS (Y)'!F$7,'ACTUALS (M)'!$G37:$DV37)</f>
        <v>0</v>
      </c>
      <c r="G35" s="1116">
        <f>SUMIF('ACTUALS (M)'!$G$7:$DV$7,'ACTUALS (Y)'!G$7,'ACTUALS (M)'!$G37:$DV37)</f>
        <v>0</v>
      </c>
      <c r="H35" s="1116">
        <f>SUMIF('ACTUALS (M)'!$G$7:$DV$7,'ACTUALS (Y)'!H$7,'ACTUALS (M)'!$G37:$DV37)</f>
        <v>0</v>
      </c>
      <c r="I35" s="1116">
        <f>SUMIF('ACTUALS (M)'!$G$7:$DV$7,'ACTUALS (Y)'!I$7,'ACTUALS (M)'!$G37:$DV37)</f>
        <v>0</v>
      </c>
      <c r="J35" s="1116">
        <f>SUMIF('ACTUALS (M)'!$G$7:$DV$7,'ACTUALS (Y)'!J$7,'ACTUALS (M)'!$G37:$DV37)</f>
        <v>0</v>
      </c>
      <c r="K35" s="1116">
        <f>SUMIF('ACTUALS (M)'!$G$7:$DV$7,'ACTUALS (Y)'!K$7,'ACTUALS (M)'!$G37:$DV37)</f>
        <v>0</v>
      </c>
      <c r="L35" s="1116">
        <f>SUMIF('ACTUALS (M)'!$G$7:$DV$7,'ACTUALS (Y)'!L$7,'ACTUALS (M)'!$G37:$DV37)</f>
        <v>0</v>
      </c>
      <c r="M35" s="1116">
        <f>SUMIF('ACTUALS (M)'!$G$7:$DV$7,'ACTUALS (Y)'!M$7,'ACTUALS (M)'!$G37:$DV37)</f>
        <v>0</v>
      </c>
      <c r="N35" s="1116">
        <f>SUMIF('ACTUALS (M)'!$G$7:$DV$7,'ACTUALS (Y)'!N$7,'ACTUALS (M)'!$G37:$DV37)</f>
        <v>0</v>
      </c>
      <c r="O35" s="1116">
        <f>SUMIF('ACTUALS (M)'!$G$7:$DV$7,'ACTUALS (Y)'!O$7,'ACTUALS (M)'!$G37:$DV37)</f>
        <v>0</v>
      </c>
    </row>
    <row r="36" spans="1:80" s="1000" customFormat="1" ht="15" customHeight="1" x14ac:dyDescent="0.3">
      <c r="B36" s="334" t="str">
        <f>DASHBOARD!AQ127</f>
        <v>Miscellaneous (Variable)</v>
      </c>
      <c r="C36" s="1101">
        <f t="shared" si="5"/>
        <v>0</v>
      </c>
      <c r="D36" s="84"/>
      <c r="E36" s="1115">
        <f>SUMIF('ACTUALS (M)'!$G$7:$DV$7,'ACTUALS (Y)'!E$7,'ACTUALS (M)'!$G38:$DV38)</f>
        <v>0</v>
      </c>
      <c r="F36" s="1116">
        <f>SUMIF('ACTUALS (M)'!$G$7:$DV$7,'ACTUALS (Y)'!F$7,'ACTUALS (M)'!$G38:$DV38)</f>
        <v>0</v>
      </c>
      <c r="G36" s="1116">
        <f>SUMIF('ACTUALS (M)'!$G$7:$DV$7,'ACTUALS (Y)'!G$7,'ACTUALS (M)'!$G38:$DV38)</f>
        <v>0</v>
      </c>
      <c r="H36" s="1116">
        <f>SUMIF('ACTUALS (M)'!$G$7:$DV$7,'ACTUALS (Y)'!H$7,'ACTUALS (M)'!$G38:$DV38)</f>
        <v>0</v>
      </c>
      <c r="I36" s="1116">
        <f>SUMIF('ACTUALS (M)'!$G$7:$DV$7,'ACTUALS (Y)'!I$7,'ACTUALS (M)'!$G38:$DV38)</f>
        <v>0</v>
      </c>
      <c r="J36" s="1116">
        <f>SUMIF('ACTUALS (M)'!$G$7:$DV$7,'ACTUALS (Y)'!J$7,'ACTUALS (M)'!$G38:$DV38)</f>
        <v>0</v>
      </c>
      <c r="K36" s="1116">
        <f>SUMIF('ACTUALS (M)'!$G$7:$DV$7,'ACTUALS (Y)'!K$7,'ACTUALS (M)'!$G38:$DV38)</f>
        <v>0</v>
      </c>
      <c r="L36" s="1116">
        <f>SUMIF('ACTUALS (M)'!$G$7:$DV$7,'ACTUALS (Y)'!L$7,'ACTUALS (M)'!$G38:$DV38)</f>
        <v>0</v>
      </c>
      <c r="M36" s="1116">
        <f>SUMIF('ACTUALS (M)'!$G$7:$DV$7,'ACTUALS (Y)'!M$7,'ACTUALS (M)'!$G38:$DV38)</f>
        <v>0</v>
      </c>
      <c r="N36" s="1116">
        <f>SUMIF('ACTUALS (M)'!$G$7:$DV$7,'ACTUALS (Y)'!N$7,'ACTUALS (M)'!$G38:$DV38)</f>
        <v>0</v>
      </c>
      <c r="O36" s="1116">
        <f>SUMIF('ACTUALS (M)'!$G$7:$DV$7,'ACTUALS (Y)'!O$7,'ACTUALS (M)'!$G38:$DV38)</f>
        <v>0</v>
      </c>
    </row>
    <row r="37" spans="1:80" s="1068" customFormat="1" ht="15" customHeight="1" x14ac:dyDescent="0.3">
      <c r="A37" s="1000"/>
      <c r="B37" s="334" t="str">
        <f>FORECASTS!B66</f>
        <v>Custom Op. Expense 1</v>
      </c>
      <c r="C37" s="1101">
        <f t="shared" si="5"/>
        <v>0</v>
      </c>
      <c r="D37" s="84"/>
      <c r="E37" s="1115">
        <f>SUMIF('ACTUALS (M)'!$G$7:$DV$7,'ACTUALS (Y)'!E$7,'ACTUALS (M)'!$G39:$DV39)</f>
        <v>0</v>
      </c>
      <c r="F37" s="1116">
        <f>SUMIF('ACTUALS (M)'!$G$7:$DV$7,'ACTUALS (Y)'!F$7,'ACTUALS (M)'!$G39:$DV39)</f>
        <v>0</v>
      </c>
      <c r="G37" s="1116">
        <f>SUMIF('ACTUALS (M)'!$G$7:$DV$7,'ACTUALS (Y)'!G$7,'ACTUALS (M)'!$G39:$DV39)</f>
        <v>0</v>
      </c>
      <c r="H37" s="1116">
        <f>SUMIF('ACTUALS (M)'!$G$7:$DV$7,'ACTUALS (Y)'!H$7,'ACTUALS (M)'!$G39:$DV39)</f>
        <v>0</v>
      </c>
      <c r="I37" s="1116">
        <f>SUMIF('ACTUALS (M)'!$G$7:$DV$7,'ACTUALS (Y)'!I$7,'ACTUALS (M)'!$G39:$DV39)</f>
        <v>0</v>
      </c>
      <c r="J37" s="1116">
        <f>SUMIF('ACTUALS (M)'!$G$7:$DV$7,'ACTUALS (Y)'!J$7,'ACTUALS (M)'!$G39:$DV39)</f>
        <v>0</v>
      </c>
      <c r="K37" s="1116">
        <f>SUMIF('ACTUALS (M)'!$G$7:$DV$7,'ACTUALS (Y)'!K$7,'ACTUALS (M)'!$G39:$DV39)</f>
        <v>0</v>
      </c>
      <c r="L37" s="1116">
        <f>SUMIF('ACTUALS (M)'!$G$7:$DV$7,'ACTUALS (Y)'!L$7,'ACTUALS (M)'!$G39:$DV39)</f>
        <v>0</v>
      </c>
      <c r="M37" s="1116">
        <f>SUMIF('ACTUALS (M)'!$G$7:$DV$7,'ACTUALS (Y)'!M$7,'ACTUALS (M)'!$G39:$DV39)</f>
        <v>0</v>
      </c>
      <c r="N37" s="1116">
        <f>SUMIF('ACTUALS (M)'!$G$7:$DV$7,'ACTUALS (Y)'!N$7,'ACTUALS (M)'!$G39:$DV39)</f>
        <v>0</v>
      </c>
      <c r="O37" s="1116">
        <f>SUMIF('ACTUALS (M)'!$G$7:$DV$7,'ACTUALS (Y)'!O$7,'ACTUALS (M)'!$G39:$DV39)</f>
        <v>0</v>
      </c>
      <c r="P37" s="1000"/>
      <c r="Q37" s="1000"/>
      <c r="R37" s="1000"/>
      <c r="S37" s="1000"/>
      <c r="T37" s="1000"/>
      <c r="U37" s="1000"/>
      <c r="V37" s="1000"/>
      <c r="W37" s="1000"/>
      <c r="X37" s="1000"/>
      <c r="Y37" s="1000"/>
      <c r="Z37" s="1000"/>
      <c r="AA37" s="1000"/>
      <c r="AB37" s="1000"/>
      <c r="AC37" s="1000"/>
      <c r="AD37" s="1000"/>
      <c r="AE37" s="1000"/>
      <c r="AF37" s="1000"/>
      <c r="AG37" s="1000"/>
      <c r="AH37" s="1000"/>
      <c r="AI37" s="1000"/>
      <c r="AJ37" s="1000"/>
      <c r="AK37" s="1000"/>
      <c r="AL37" s="1000"/>
      <c r="AM37" s="1000"/>
      <c r="AN37" s="1000"/>
      <c r="AO37" s="1000"/>
      <c r="AP37" s="1000"/>
      <c r="AQ37" s="1000"/>
      <c r="AR37" s="1000"/>
      <c r="AS37" s="1000"/>
      <c r="AT37" s="1000"/>
      <c r="AU37" s="1000"/>
      <c r="AV37" s="1000"/>
      <c r="AW37" s="1000"/>
      <c r="AX37" s="1000"/>
      <c r="AY37" s="1000"/>
      <c r="AZ37" s="1000"/>
      <c r="BA37" s="1000"/>
      <c r="BB37" s="1000"/>
      <c r="BC37" s="1000"/>
      <c r="BD37" s="1000"/>
      <c r="BE37" s="1000"/>
      <c r="BF37" s="1000"/>
      <c r="BG37" s="1000"/>
      <c r="BH37" s="1000"/>
      <c r="BI37" s="1000"/>
      <c r="BJ37" s="1000"/>
      <c r="BK37" s="1000"/>
      <c r="BL37" s="1000"/>
      <c r="BM37" s="1000"/>
      <c r="BN37" s="1000"/>
      <c r="BO37" s="1000"/>
      <c r="BP37" s="1000"/>
      <c r="BQ37" s="1000"/>
      <c r="BR37" s="1000"/>
      <c r="BS37" s="1000"/>
      <c r="BT37" s="1000"/>
      <c r="BU37" s="1000"/>
      <c r="BV37" s="1000"/>
      <c r="BW37" s="1000"/>
      <c r="BX37" s="1000"/>
      <c r="BY37" s="1000"/>
      <c r="BZ37" s="1000"/>
      <c r="CA37" s="1000"/>
      <c r="CB37" s="1000"/>
    </row>
    <row r="38" spans="1:80" s="1000" customFormat="1" ht="15" customHeight="1" x14ac:dyDescent="0.3">
      <c r="B38" s="334"/>
      <c r="C38" s="1101"/>
      <c r="D38" s="84"/>
      <c r="E38" s="1115"/>
      <c r="F38" s="1116"/>
      <c r="G38" s="1116"/>
      <c r="H38" s="1116"/>
      <c r="I38" s="1116"/>
      <c r="J38" s="1116"/>
      <c r="K38" s="1116"/>
      <c r="L38" s="1116"/>
      <c r="M38" s="1116"/>
      <c r="N38" s="1116"/>
      <c r="O38" s="1116"/>
      <c r="W38" s="1068"/>
      <c r="X38" s="1068"/>
      <c r="Y38" s="1068"/>
      <c r="Z38" s="1068"/>
      <c r="AA38" s="1068"/>
      <c r="AB38" s="1068"/>
      <c r="AC38" s="1068"/>
      <c r="AD38" s="1068"/>
      <c r="AE38" s="1068"/>
      <c r="AF38" s="1068"/>
      <c r="AG38" s="1068"/>
      <c r="AH38" s="1068"/>
      <c r="AI38" s="1068"/>
      <c r="AJ38" s="1068"/>
      <c r="AK38" s="1068"/>
      <c r="AL38" s="1068"/>
      <c r="AM38" s="1068"/>
      <c r="AN38" s="1068"/>
      <c r="AO38" s="1068"/>
      <c r="AP38" s="1068"/>
      <c r="AQ38" s="1068"/>
      <c r="AR38" s="1068"/>
      <c r="AS38" s="1068"/>
      <c r="AT38" s="1068"/>
      <c r="AU38" s="1068"/>
      <c r="AV38" s="1068"/>
      <c r="AW38" s="1068"/>
      <c r="AX38" s="1068"/>
      <c r="AY38" s="1068"/>
      <c r="AZ38" s="1068"/>
      <c r="BA38" s="1068"/>
      <c r="BB38" s="1068"/>
      <c r="BC38" s="1068"/>
      <c r="BD38" s="1068"/>
      <c r="BE38" s="1068"/>
      <c r="BF38" s="1068"/>
      <c r="BG38" s="1068"/>
      <c r="BH38" s="1068"/>
      <c r="BI38" s="1068"/>
      <c r="BJ38" s="1068"/>
      <c r="BK38" s="1068"/>
      <c r="BL38" s="1068"/>
      <c r="BM38" s="1068"/>
      <c r="BN38" s="1068"/>
      <c r="BO38" s="1068"/>
      <c r="BP38" s="1068"/>
      <c r="BQ38" s="1068"/>
      <c r="BR38" s="1068"/>
      <c r="BS38" s="1068"/>
      <c r="BT38" s="1068"/>
      <c r="BU38" s="1068"/>
      <c r="BV38" s="1068"/>
      <c r="BW38" s="1068"/>
      <c r="BX38" s="1068"/>
      <c r="BY38" s="1068"/>
      <c r="BZ38" s="1068"/>
      <c r="CA38" s="1068"/>
      <c r="CB38" s="1068"/>
    </row>
    <row r="39" spans="1:80" s="1000" customFormat="1" ht="15" customHeight="1" x14ac:dyDescent="0.3">
      <c r="B39" s="334"/>
      <c r="C39" s="1101"/>
      <c r="D39" s="84"/>
      <c r="E39" s="1115"/>
      <c r="F39" s="1116"/>
      <c r="G39" s="1116"/>
      <c r="H39" s="1116"/>
      <c r="I39" s="1116"/>
      <c r="J39" s="1116"/>
      <c r="K39" s="1116"/>
      <c r="L39" s="1116"/>
      <c r="M39" s="1116"/>
      <c r="N39" s="1116"/>
      <c r="O39" s="1116"/>
    </row>
    <row r="40" spans="1:80" s="1068" customFormat="1" ht="15" customHeight="1" x14ac:dyDescent="0.3">
      <c r="A40" s="1000"/>
      <c r="B40" s="334"/>
      <c r="C40" s="1101"/>
      <c r="D40" s="84"/>
      <c r="E40" s="1115"/>
      <c r="F40" s="1116"/>
      <c r="G40" s="1116"/>
      <c r="H40" s="1116"/>
      <c r="I40" s="1116"/>
      <c r="J40" s="1116"/>
      <c r="K40" s="1116"/>
      <c r="L40" s="1116"/>
      <c r="M40" s="1116"/>
      <c r="N40" s="1116"/>
      <c r="O40" s="1116"/>
      <c r="P40" s="1000"/>
      <c r="Q40" s="1000"/>
      <c r="R40" s="1000"/>
      <c r="S40" s="1000"/>
      <c r="T40" s="1000"/>
      <c r="U40" s="1000"/>
      <c r="V40" s="1000"/>
      <c r="W40" s="1000"/>
      <c r="X40" s="1000"/>
      <c r="Y40" s="1000"/>
      <c r="Z40" s="1000"/>
      <c r="AA40" s="1000"/>
      <c r="AB40" s="1000"/>
      <c r="AC40" s="1000"/>
      <c r="AD40" s="1000"/>
      <c r="AE40" s="1000"/>
      <c r="AF40" s="1000"/>
      <c r="AG40" s="1000"/>
      <c r="AH40" s="1000"/>
      <c r="AI40" s="1000"/>
      <c r="AJ40" s="1000"/>
      <c r="AK40" s="1000"/>
      <c r="AL40" s="1000"/>
      <c r="AM40" s="1000"/>
      <c r="AN40" s="1000"/>
      <c r="AO40" s="1000"/>
      <c r="AP40" s="1000"/>
      <c r="AQ40" s="1000"/>
      <c r="AR40" s="1000"/>
      <c r="AS40" s="1000"/>
      <c r="AT40" s="1000"/>
      <c r="AU40" s="1000"/>
      <c r="AV40" s="1000"/>
      <c r="AW40" s="1000"/>
      <c r="AX40" s="1000"/>
      <c r="AY40" s="1000"/>
      <c r="AZ40" s="1000"/>
      <c r="BA40" s="1000"/>
      <c r="BB40" s="1000"/>
      <c r="BC40" s="1000"/>
      <c r="BD40" s="1000"/>
      <c r="BE40" s="1000"/>
      <c r="BF40" s="1000"/>
      <c r="BG40" s="1000"/>
      <c r="BH40" s="1000"/>
      <c r="BI40" s="1000"/>
      <c r="BJ40" s="1000"/>
      <c r="BK40" s="1000"/>
      <c r="BL40" s="1000"/>
      <c r="BM40" s="1000"/>
      <c r="BN40" s="1000"/>
      <c r="BO40" s="1000"/>
      <c r="BP40" s="1000"/>
      <c r="BQ40" s="1000"/>
      <c r="BR40" s="1000"/>
      <c r="BS40" s="1000"/>
      <c r="BT40" s="1000"/>
      <c r="BU40" s="1000"/>
      <c r="BV40" s="1000"/>
      <c r="BW40" s="1000"/>
      <c r="BX40" s="1000"/>
      <c r="BY40" s="1000"/>
      <c r="BZ40" s="1000"/>
      <c r="CA40" s="1000"/>
      <c r="CB40" s="1000"/>
    </row>
    <row r="41" spans="1:80" s="1000" customFormat="1" ht="15" customHeight="1" x14ac:dyDescent="0.3">
      <c r="B41" s="334"/>
      <c r="C41" s="1101"/>
      <c r="D41" s="84"/>
      <c r="E41" s="1115"/>
      <c r="F41" s="1116"/>
      <c r="G41" s="1116"/>
      <c r="H41" s="1116"/>
      <c r="I41" s="1116"/>
      <c r="J41" s="1116"/>
      <c r="K41" s="1116"/>
      <c r="L41" s="1116"/>
      <c r="M41" s="1116"/>
      <c r="N41" s="1116"/>
      <c r="O41" s="1116"/>
      <c r="W41" s="1068"/>
      <c r="X41" s="1068"/>
      <c r="Y41" s="1068"/>
      <c r="Z41" s="1068"/>
      <c r="AA41" s="1068"/>
      <c r="AB41" s="1068"/>
      <c r="AC41" s="1068"/>
      <c r="AD41" s="1068"/>
      <c r="AE41" s="1068"/>
      <c r="AF41" s="1068"/>
      <c r="AG41" s="1068"/>
      <c r="AH41" s="1068"/>
      <c r="AI41" s="1068"/>
      <c r="AJ41" s="1068"/>
      <c r="AK41" s="1068"/>
      <c r="AL41" s="1068"/>
      <c r="AM41" s="1068"/>
      <c r="AN41" s="1068"/>
      <c r="AO41" s="1068"/>
      <c r="AP41" s="1068"/>
      <c r="AQ41" s="1068"/>
      <c r="AR41" s="1068"/>
      <c r="AS41" s="1068"/>
      <c r="AT41" s="1068"/>
      <c r="AU41" s="1068"/>
      <c r="AV41" s="1068"/>
      <c r="AW41" s="1068"/>
      <c r="AX41" s="1068"/>
      <c r="AY41" s="1068"/>
      <c r="AZ41" s="1068"/>
      <c r="BA41" s="1068"/>
      <c r="BB41" s="1068"/>
      <c r="BC41" s="1068"/>
      <c r="BD41" s="1068"/>
      <c r="BE41" s="1068"/>
      <c r="BF41" s="1068"/>
      <c r="BG41" s="1068"/>
      <c r="BH41" s="1068"/>
      <c r="BI41" s="1068"/>
      <c r="BJ41" s="1068"/>
      <c r="BK41" s="1068"/>
      <c r="BL41" s="1068"/>
      <c r="BM41" s="1068"/>
      <c r="BN41" s="1068"/>
      <c r="BO41" s="1068"/>
      <c r="BP41" s="1068"/>
      <c r="BQ41" s="1068"/>
      <c r="BR41" s="1068"/>
      <c r="BS41" s="1068"/>
      <c r="BT41" s="1068"/>
      <c r="BU41" s="1068"/>
      <c r="BV41" s="1068"/>
      <c r="BW41" s="1068"/>
      <c r="BX41" s="1068"/>
      <c r="BY41" s="1068"/>
      <c r="BZ41" s="1068"/>
      <c r="CA41" s="1068"/>
      <c r="CB41" s="1068"/>
    </row>
    <row r="42" spans="1:80" s="1000" customFormat="1" ht="15" customHeight="1" x14ac:dyDescent="0.3">
      <c r="B42" s="334" t="str">
        <f>FORECASTS!B67</f>
        <v>Custom Op. Expense 2</v>
      </c>
      <c r="C42" s="1101">
        <f t="shared" si="5"/>
        <v>0</v>
      </c>
      <c r="D42" s="84"/>
      <c r="E42" s="1115">
        <f>SUMIF('ACTUALS (M)'!$G$7:$DV$7,'ACTUALS (Y)'!E$7,'ACTUALS (M)'!$G40:$DV40)</f>
        <v>0</v>
      </c>
      <c r="F42" s="1116">
        <f>SUMIF('ACTUALS (M)'!$G$7:$DV$7,'ACTUALS (Y)'!F$7,'ACTUALS (M)'!$G40:$DV40)</f>
        <v>0</v>
      </c>
      <c r="G42" s="1116">
        <f>SUMIF('ACTUALS (M)'!$G$7:$DV$7,'ACTUALS (Y)'!G$7,'ACTUALS (M)'!$G40:$DV40)</f>
        <v>0</v>
      </c>
      <c r="H42" s="1116">
        <f>SUMIF('ACTUALS (M)'!$G$7:$DV$7,'ACTUALS (Y)'!H$7,'ACTUALS (M)'!$G40:$DV40)</f>
        <v>0</v>
      </c>
      <c r="I42" s="1116">
        <f>SUMIF('ACTUALS (M)'!$G$7:$DV$7,'ACTUALS (Y)'!I$7,'ACTUALS (M)'!$G40:$DV40)</f>
        <v>0</v>
      </c>
      <c r="J42" s="1116">
        <f>SUMIF('ACTUALS (M)'!$G$7:$DV$7,'ACTUALS (Y)'!J$7,'ACTUALS (M)'!$G40:$DV40)</f>
        <v>0</v>
      </c>
      <c r="K42" s="1116">
        <f>SUMIF('ACTUALS (M)'!$G$7:$DV$7,'ACTUALS (Y)'!K$7,'ACTUALS (M)'!$G40:$DV40)</f>
        <v>0</v>
      </c>
      <c r="L42" s="1116">
        <f>SUMIF('ACTUALS (M)'!$G$7:$DV$7,'ACTUALS (Y)'!L$7,'ACTUALS (M)'!$G40:$DV40)</f>
        <v>0</v>
      </c>
      <c r="M42" s="1116">
        <f>SUMIF('ACTUALS (M)'!$G$7:$DV$7,'ACTUALS (Y)'!M$7,'ACTUALS (M)'!$G40:$DV40)</f>
        <v>0</v>
      </c>
      <c r="N42" s="1116">
        <f>SUMIF('ACTUALS (M)'!$G$7:$DV$7,'ACTUALS (Y)'!N$7,'ACTUALS (M)'!$G40:$DV40)</f>
        <v>0</v>
      </c>
      <c r="O42" s="1116">
        <f>SUMIF('ACTUALS (M)'!$G$7:$DV$7,'ACTUALS (Y)'!O$7,'ACTUALS (M)'!$G40:$DV40)</f>
        <v>0</v>
      </c>
    </row>
    <row r="43" spans="1:80" s="1000" customFormat="1" ht="15" customHeight="1" x14ac:dyDescent="0.3">
      <c r="B43" s="997" t="s">
        <v>1</v>
      </c>
      <c r="C43" s="1104">
        <f>SUM(C19:C42)</f>
        <v>0</v>
      </c>
      <c r="D43" s="970"/>
      <c r="E43" s="990">
        <f t="shared" ref="E43:O43" si="6">SUM(E19:E42)</f>
        <v>0</v>
      </c>
      <c r="F43" s="990">
        <f t="shared" si="6"/>
        <v>0</v>
      </c>
      <c r="G43" s="990">
        <f t="shared" si="6"/>
        <v>0</v>
      </c>
      <c r="H43" s="990">
        <f t="shared" si="6"/>
        <v>0</v>
      </c>
      <c r="I43" s="990">
        <f t="shared" si="6"/>
        <v>0</v>
      </c>
      <c r="J43" s="990">
        <f t="shared" si="6"/>
        <v>0</v>
      </c>
      <c r="K43" s="990">
        <f t="shared" si="6"/>
        <v>0</v>
      </c>
      <c r="L43" s="990">
        <f t="shared" si="6"/>
        <v>0</v>
      </c>
      <c r="M43" s="990">
        <f t="shared" si="6"/>
        <v>0</v>
      </c>
      <c r="N43" s="990">
        <f t="shared" si="6"/>
        <v>0</v>
      </c>
      <c r="O43" s="990">
        <f t="shared" si="6"/>
        <v>0</v>
      </c>
    </row>
    <row r="44" spans="1:80" s="1000" customFormat="1" ht="15" customHeight="1" x14ac:dyDescent="0.3">
      <c r="A44" s="1068"/>
      <c r="B44" s="1090" t="s">
        <v>588</v>
      </c>
      <c r="C44" s="1106">
        <f>IFERROR(-C43/C11,0)</f>
        <v>0</v>
      </c>
      <c r="D44" s="1091"/>
      <c r="E44" s="795">
        <f t="shared" ref="E44:O44" si="7">IFERROR(-E43/E11,0)</f>
        <v>0</v>
      </c>
      <c r="F44" s="795">
        <f t="shared" si="7"/>
        <v>0</v>
      </c>
      <c r="G44" s="795">
        <f t="shared" si="7"/>
        <v>0</v>
      </c>
      <c r="H44" s="795">
        <f t="shared" si="7"/>
        <v>0</v>
      </c>
      <c r="I44" s="795">
        <f t="shared" si="7"/>
        <v>0</v>
      </c>
      <c r="J44" s="795">
        <f t="shared" si="7"/>
        <v>0</v>
      </c>
      <c r="K44" s="795">
        <f t="shared" si="7"/>
        <v>0</v>
      </c>
      <c r="L44" s="795">
        <f t="shared" si="7"/>
        <v>0</v>
      </c>
      <c r="M44" s="795">
        <f t="shared" si="7"/>
        <v>0</v>
      </c>
      <c r="N44" s="795">
        <f t="shared" si="7"/>
        <v>0</v>
      </c>
      <c r="O44" s="795">
        <f t="shared" si="7"/>
        <v>0</v>
      </c>
      <c r="P44" s="1068"/>
      <c r="Q44" s="1068"/>
      <c r="R44" s="1068"/>
      <c r="S44" s="1068"/>
      <c r="T44" s="1068"/>
      <c r="U44" s="1068"/>
      <c r="V44" s="1068"/>
    </row>
    <row r="45" spans="1:80" s="1000" customFormat="1" ht="15" customHeight="1" x14ac:dyDescent="0.3">
      <c r="B45" s="334"/>
      <c r="C45" s="1105"/>
      <c r="D45" s="308"/>
      <c r="E45" s="15"/>
      <c r="F45" s="15"/>
      <c r="G45" s="20"/>
      <c r="H45" s="20"/>
      <c r="I45" s="20"/>
      <c r="J45" s="20"/>
      <c r="K45" s="20"/>
      <c r="L45" s="20"/>
      <c r="M45" s="20"/>
      <c r="N45" s="20"/>
      <c r="O45" s="20"/>
    </row>
    <row r="46" spans="1:80" s="1000" customFormat="1" ht="15" customHeight="1" x14ac:dyDescent="0.3">
      <c r="B46" s="1036" t="s">
        <v>18</v>
      </c>
      <c r="C46" s="1107">
        <f>C17+C43</f>
        <v>0</v>
      </c>
      <c r="D46" s="1039"/>
      <c r="E46" s="1040">
        <f t="shared" ref="E46:O46" si="8">E17+E43</f>
        <v>0</v>
      </c>
      <c r="F46" s="1040">
        <f t="shared" si="8"/>
        <v>0</v>
      </c>
      <c r="G46" s="1041">
        <f t="shared" si="8"/>
        <v>0</v>
      </c>
      <c r="H46" s="1041">
        <f t="shared" si="8"/>
        <v>0</v>
      </c>
      <c r="I46" s="1041">
        <f t="shared" si="8"/>
        <v>0</v>
      </c>
      <c r="J46" s="1041">
        <f t="shared" si="8"/>
        <v>0</v>
      </c>
      <c r="K46" s="1041">
        <f t="shared" si="8"/>
        <v>0</v>
      </c>
      <c r="L46" s="1041">
        <f t="shared" si="8"/>
        <v>0</v>
      </c>
      <c r="M46" s="1041">
        <f t="shared" si="8"/>
        <v>0</v>
      </c>
      <c r="N46" s="1041">
        <f t="shared" si="8"/>
        <v>0</v>
      </c>
      <c r="O46" s="1041">
        <f t="shared" si="8"/>
        <v>0</v>
      </c>
    </row>
    <row r="47" spans="1:80" s="1068" customFormat="1" ht="15" customHeight="1" x14ac:dyDescent="0.3">
      <c r="B47" s="1060" t="s">
        <v>588</v>
      </c>
      <c r="C47" s="1108">
        <f>IFERROR(C46/C11,0)</f>
        <v>0</v>
      </c>
      <c r="D47" s="1064"/>
      <c r="E47" s="1065">
        <f t="shared" ref="E47:O47" si="9">IFERROR(E46/E11,0)</f>
        <v>0</v>
      </c>
      <c r="F47" s="1065">
        <f t="shared" si="9"/>
        <v>0</v>
      </c>
      <c r="G47" s="1066">
        <f t="shared" si="9"/>
        <v>0</v>
      </c>
      <c r="H47" s="1066">
        <f t="shared" si="9"/>
        <v>0</v>
      </c>
      <c r="I47" s="1066">
        <f t="shared" si="9"/>
        <v>0</v>
      </c>
      <c r="J47" s="1066">
        <f t="shared" si="9"/>
        <v>0</v>
      </c>
      <c r="K47" s="1066">
        <f t="shared" si="9"/>
        <v>0</v>
      </c>
      <c r="L47" s="1066">
        <f t="shared" si="9"/>
        <v>0</v>
      </c>
      <c r="M47" s="1066">
        <f t="shared" si="9"/>
        <v>0</v>
      </c>
      <c r="N47" s="1066">
        <f t="shared" si="9"/>
        <v>0</v>
      </c>
      <c r="O47" s="1066">
        <f t="shared" si="9"/>
        <v>0</v>
      </c>
      <c r="W47" s="1000"/>
      <c r="X47" s="1000"/>
      <c r="Y47" s="1000"/>
      <c r="Z47" s="1000"/>
      <c r="AA47" s="1000"/>
      <c r="AB47" s="1000"/>
      <c r="AC47" s="1000"/>
      <c r="AD47" s="1000"/>
      <c r="AE47" s="1000"/>
      <c r="AF47" s="1000"/>
      <c r="AG47" s="1000"/>
      <c r="AH47" s="1000"/>
      <c r="AI47" s="1000"/>
      <c r="AJ47" s="1000"/>
      <c r="AK47" s="1000"/>
      <c r="AL47" s="1000"/>
      <c r="AM47" s="1000"/>
      <c r="AN47" s="1000"/>
      <c r="AO47" s="1000"/>
      <c r="AP47" s="1000"/>
      <c r="AQ47" s="1000"/>
      <c r="AR47" s="1000"/>
      <c r="AS47" s="1000"/>
      <c r="AT47" s="1000"/>
      <c r="AU47" s="1000"/>
      <c r="AV47" s="1000"/>
      <c r="AW47" s="1000"/>
      <c r="AX47" s="1000"/>
      <c r="AY47" s="1000"/>
      <c r="AZ47" s="1000"/>
      <c r="BA47" s="1000"/>
      <c r="BB47" s="1000"/>
      <c r="BC47" s="1000"/>
      <c r="BD47" s="1000"/>
      <c r="BE47" s="1000"/>
      <c r="BF47" s="1000"/>
      <c r="BG47" s="1000"/>
      <c r="BH47" s="1000"/>
      <c r="BI47" s="1000"/>
      <c r="BJ47" s="1000"/>
      <c r="BK47" s="1000"/>
      <c r="BL47" s="1000"/>
      <c r="BM47" s="1000"/>
      <c r="BN47" s="1000"/>
      <c r="BO47" s="1000"/>
      <c r="BP47" s="1000"/>
      <c r="BQ47" s="1000"/>
      <c r="BR47" s="1000"/>
      <c r="BS47" s="1000"/>
      <c r="BT47" s="1000"/>
      <c r="BU47" s="1000"/>
      <c r="BV47" s="1000"/>
      <c r="BW47" s="1000"/>
      <c r="BX47" s="1000"/>
      <c r="BY47" s="1000"/>
      <c r="BZ47" s="1000"/>
      <c r="CA47" s="1000"/>
      <c r="CB47" s="1000"/>
    </row>
    <row r="48" spans="1:80" ht="15" customHeight="1" x14ac:dyDescent="0.3">
      <c r="A48" s="1000"/>
      <c r="B48" s="334"/>
      <c r="C48" s="1105"/>
      <c r="D48" s="20"/>
      <c r="E48" s="15"/>
      <c r="F48" s="938"/>
      <c r="G48" s="938"/>
      <c r="H48" s="938"/>
      <c r="I48" s="938"/>
      <c r="J48" s="938"/>
      <c r="K48" s="938"/>
      <c r="L48" s="938"/>
      <c r="M48" s="938"/>
      <c r="N48" s="938"/>
      <c r="O48" s="938"/>
      <c r="P48" s="1000"/>
      <c r="Q48" s="1000"/>
      <c r="R48" s="1000"/>
      <c r="S48" s="1000"/>
      <c r="T48" s="1000"/>
      <c r="U48" s="1000"/>
      <c r="V48" s="1000"/>
      <c r="W48" s="1068"/>
      <c r="X48" s="1068"/>
      <c r="Y48" s="1068"/>
      <c r="Z48" s="1068"/>
      <c r="AA48" s="1068"/>
      <c r="AB48" s="1068"/>
      <c r="AC48" s="1068"/>
      <c r="AD48" s="1068"/>
      <c r="AE48" s="1068"/>
      <c r="AF48" s="1068"/>
      <c r="AG48" s="1068"/>
      <c r="AH48" s="1068"/>
      <c r="AI48" s="1068"/>
      <c r="AJ48" s="1068"/>
      <c r="AK48" s="1068"/>
      <c r="AL48" s="1068"/>
      <c r="AM48" s="1068"/>
      <c r="AN48" s="1068"/>
      <c r="AO48" s="1068"/>
      <c r="AP48" s="1068"/>
      <c r="AQ48" s="1068"/>
      <c r="AR48" s="1068"/>
      <c r="AS48" s="1068"/>
      <c r="AT48" s="1068"/>
      <c r="AU48" s="1068"/>
      <c r="AV48" s="1068"/>
      <c r="AW48" s="1068"/>
      <c r="AX48" s="1068"/>
      <c r="AY48" s="1068"/>
      <c r="AZ48" s="1068"/>
      <c r="BA48" s="1068"/>
      <c r="BB48" s="1068"/>
      <c r="BC48" s="1068"/>
      <c r="BD48" s="1068"/>
      <c r="BE48" s="1068"/>
      <c r="BF48" s="1068"/>
      <c r="BG48" s="1068"/>
      <c r="BH48" s="1068"/>
      <c r="BI48" s="1068"/>
      <c r="BJ48" s="1068"/>
      <c r="BK48" s="1068"/>
      <c r="BL48" s="1068"/>
      <c r="BM48" s="1068"/>
      <c r="BN48" s="1068"/>
      <c r="BO48" s="1068"/>
      <c r="BP48" s="1068"/>
      <c r="BQ48" s="1068"/>
      <c r="BR48" s="1068"/>
      <c r="BS48" s="1068"/>
      <c r="BT48" s="1068"/>
      <c r="BU48" s="1068"/>
      <c r="BV48" s="1068"/>
      <c r="BW48" s="1068"/>
      <c r="BX48" s="1068"/>
      <c r="BY48" s="1068"/>
      <c r="BZ48" s="1068"/>
      <c r="CA48" s="1068"/>
      <c r="CB48" s="1068"/>
    </row>
    <row r="49" spans="1:80" s="1000" customFormat="1" ht="15" customHeight="1" x14ac:dyDescent="0.3">
      <c r="B49" s="334" t="s">
        <v>191</v>
      </c>
      <c r="C49" s="1101">
        <f>SUM(E49:O49)</f>
        <v>0</v>
      </c>
      <c r="D49" s="20"/>
      <c r="E49" s="1115">
        <f>SUMIF('ACTUALS (M)'!$G$7:$DV$7,'ACTUALS (Y)'!E$7,'ACTUALS (M)'!$G47:$DV47)</f>
        <v>0</v>
      </c>
      <c r="F49" s="1116">
        <f>SUMIF('ACTUALS (M)'!$G$7:$DV$7,'ACTUALS (Y)'!F$7,'ACTUALS (M)'!$G47:$DV47)</f>
        <v>0</v>
      </c>
      <c r="G49" s="1116">
        <f>SUMIF('ACTUALS (M)'!$G$7:$DV$7,'ACTUALS (Y)'!G$7,'ACTUALS (M)'!$G47:$DV47)</f>
        <v>0</v>
      </c>
      <c r="H49" s="1116">
        <f>SUMIF('ACTUALS (M)'!$G$7:$DV$7,'ACTUALS (Y)'!H$7,'ACTUALS (M)'!$G47:$DV47)</f>
        <v>0</v>
      </c>
      <c r="I49" s="1116">
        <f>SUMIF('ACTUALS (M)'!$G$7:$DV$7,'ACTUALS (Y)'!I$7,'ACTUALS (M)'!$G47:$DV47)</f>
        <v>0</v>
      </c>
      <c r="J49" s="1116">
        <f>SUMIF('ACTUALS (M)'!$G$7:$DV$7,'ACTUALS (Y)'!J$7,'ACTUALS (M)'!$G47:$DV47)</f>
        <v>0</v>
      </c>
      <c r="K49" s="1116">
        <f>SUMIF('ACTUALS (M)'!$G$7:$DV$7,'ACTUALS (Y)'!K$7,'ACTUALS (M)'!$G47:$DV47)</f>
        <v>0</v>
      </c>
      <c r="L49" s="1116">
        <f>SUMIF('ACTUALS (M)'!$G$7:$DV$7,'ACTUALS (Y)'!L$7,'ACTUALS (M)'!$G47:$DV47)</f>
        <v>0</v>
      </c>
      <c r="M49" s="1116">
        <f>SUMIF('ACTUALS (M)'!$G$7:$DV$7,'ACTUALS (Y)'!M$7,'ACTUALS (M)'!$G47:$DV47)</f>
        <v>0</v>
      </c>
      <c r="N49" s="1116">
        <f>SUMIF('ACTUALS (M)'!$G$7:$DV$7,'ACTUALS (Y)'!N$7,'ACTUALS (M)'!$G47:$DV47)</f>
        <v>0</v>
      </c>
      <c r="O49" s="1116">
        <f>SUMIF('ACTUALS (M)'!$G$7:$DV$7,'ACTUALS (Y)'!O$7,'ACTUALS (M)'!$G47:$DV47)</f>
        <v>0</v>
      </c>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c r="BX49" s="93"/>
      <c r="BY49" s="93"/>
      <c r="BZ49" s="93"/>
      <c r="CA49" s="93"/>
      <c r="CB49" s="93"/>
    </row>
    <row r="50" spans="1:80" s="1000" customFormat="1" ht="15" customHeight="1" x14ac:dyDescent="0.3">
      <c r="B50" s="334" t="str">
        <f>FORECASTS!B76</f>
        <v>Non Op. Expense 1</v>
      </c>
      <c r="C50" s="1101">
        <f>SUM(E50:O50)</f>
        <v>0</v>
      </c>
      <c r="D50" s="20"/>
      <c r="E50" s="1115">
        <f>SUMIF('ACTUALS (M)'!$G$7:$DV$7,'ACTUALS (Y)'!E$7,'ACTUALS (M)'!$G48:$DV48)</f>
        <v>0</v>
      </c>
      <c r="F50" s="1116">
        <f>SUMIF('ACTUALS (M)'!$G$7:$DV$7,'ACTUALS (Y)'!F$7,'ACTUALS (M)'!$G48:$DV48)</f>
        <v>0</v>
      </c>
      <c r="G50" s="1116">
        <f>SUMIF('ACTUALS (M)'!$G$7:$DV$7,'ACTUALS (Y)'!G$7,'ACTUALS (M)'!$G48:$DV48)</f>
        <v>0</v>
      </c>
      <c r="H50" s="1116">
        <f>SUMIF('ACTUALS (M)'!$G$7:$DV$7,'ACTUALS (Y)'!H$7,'ACTUALS (M)'!$G48:$DV48)</f>
        <v>0</v>
      </c>
      <c r="I50" s="1116">
        <f>SUMIF('ACTUALS (M)'!$G$7:$DV$7,'ACTUALS (Y)'!I$7,'ACTUALS (M)'!$G48:$DV48)</f>
        <v>0</v>
      </c>
      <c r="J50" s="1116">
        <f>SUMIF('ACTUALS (M)'!$G$7:$DV$7,'ACTUALS (Y)'!J$7,'ACTUALS (M)'!$G48:$DV48)</f>
        <v>0</v>
      </c>
      <c r="K50" s="1116">
        <f>SUMIF('ACTUALS (M)'!$G$7:$DV$7,'ACTUALS (Y)'!K$7,'ACTUALS (M)'!$G48:$DV48)</f>
        <v>0</v>
      </c>
      <c r="L50" s="1116">
        <f>SUMIF('ACTUALS (M)'!$G$7:$DV$7,'ACTUALS (Y)'!L$7,'ACTUALS (M)'!$G48:$DV48)</f>
        <v>0</v>
      </c>
      <c r="M50" s="1116">
        <f>SUMIF('ACTUALS (M)'!$G$7:$DV$7,'ACTUALS (Y)'!M$7,'ACTUALS (M)'!$G48:$DV48)</f>
        <v>0</v>
      </c>
      <c r="N50" s="1116">
        <f>SUMIF('ACTUALS (M)'!$G$7:$DV$7,'ACTUALS (Y)'!N$7,'ACTUALS (M)'!$G48:$DV48)</f>
        <v>0</v>
      </c>
      <c r="O50" s="1116">
        <f>SUMIF('ACTUALS (M)'!$G$7:$DV$7,'ACTUALS (Y)'!O$7,'ACTUALS (M)'!$G48:$DV48)</f>
        <v>0</v>
      </c>
    </row>
    <row r="51" spans="1:80" s="1000" customFormat="1" ht="15" customHeight="1" x14ac:dyDescent="0.3">
      <c r="B51" s="334" t="str">
        <f>FORECASTS!B77</f>
        <v>Non Op. Expense 2</v>
      </c>
      <c r="C51" s="1101">
        <f>SUM(E51:O51)</f>
        <v>0</v>
      </c>
      <c r="D51" s="20"/>
      <c r="E51" s="1115">
        <f>SUMIF('ACTUALS (M)'!$G$7:$DV$7,'ACTUALS (Y)'!E$7,'ACTUALS (M)'!$G49:$DV49)</f>
        <v>0</v>
      </c>
      <c r="F51" s="1116">
        <f>SUMIF('ACTUALS (M)'!$G$7:$DV$7,'ACTUALS (Y)'!F$7,'ACTUALS (M)'!$G49:$DV49)</f>
        <v>0</v>
      </c>
      <c r="G51" s="1116">
        <f>SUMIF('ACTUALS (M)'!$G$7:$DV$7,'ACTUALS (Y)'!G$7,'ACTUALS (M)'!$G49:$DV49)</f>
        <v>0</v>
      </c>
      <c r="H51" s="1116">
        <f>SUMIF('ACTUALS (M)'!$G$7:$DV$7,'ACTUALS (Y)'!H$7,'ACTUALS (M)'!$G49:$DV49)</f>
        <v>0</v>
      </c>
      <c r="I51" s="1116">
        <f>SUMIF('ACTUALS (M)'!$G$7:$DV$7,'ACTUALS (Y)'!I$7,'ACTUALS (M)'!$G49:$DV49)</f>
        <v>0</v>
      </c>
      <c r="J51" s="1116">
        <f>SUMIF('ACTUALS (M)'!$G$7:$DV$7,'ACTUALS (Y)'!J$7,'ACTUALS (M)'!$G49:$DV49)</f>
        <v>0</v>
      </c>
      <c r="K51" s="1116">
        <f>SUMIF('ACTUALS (M)'!$G$7:$DV$7,'ACTUALS (Y)'!K$7,'ACTUALS (M)'!$G49:$DV49)</f>
        <v>0</v>
      </c>
      <c r="L51" s="1116">
        <f>SUMIF('ACTUALS (M)'!$G$7:$DV$7,'ACTUALS (Y)'!L$7,'ACTUALS (M)'!$G49:$DV49)</f>
        <v>0</v>
      </c>
      <c r="M51" s="1116">
        <f>SUMIF('ACTUALS (M)'!$G$7:$DV$7,'ACTUALS (Y)'!M$7,'ACTUALS (M)'!$G49:$DV49)</f>
        <v>0</v>
      </c>
      <c r="N51" s="1116">
        <f>SUMIF('ACTUALS (M)'!$G$7:$DV$7,'ACTUALS (Y)'!N$7,'ACTUALS (M)'!$G49:$DV49)</f>
        <v>0</v>
      </c>
      <c r="O51" s="1116">
        <f>SUMIF('ACTUALS (M)'!$G$7:$DV$7,'ACTUALS (Y)'!O$7,'ACTUALS (M)'!$G49:$DV49)</f>
        <v>0</v>
      </c>
    </row>
    <row r="52" spans="1:80" s="1000" customFormat="1" ht="15" customHeight="1" x14ac:dyDescent="0.3">
      <c r="B52" s="999"/>
      <c r="C52" s="1109"/>
      <c r="D52" s="20"/>
      <c r="E52" s="15"/>
      <c r="F52" s="15"/>
      <c r="G52" s="20"/>
      <c r="H52" s="20"/>
      <c r="I52" s="20"/>
      <c r="J52" s="20"/>
      <c r="K52" s="20"/>
      <c r="L52" s="20"/>
      <c r="M52" s="20"/>
      <c r="N52" s="20"/>
      <c r="O52" s="20"/>
    </row>
    <row r="53" spans="1:80" s="1000" customFormat="1" ht="15" customHeight="1" x14ac:dyDescent="0.3">
      <c r="B53" s="1052" t="s">
        <v>977</v>
      </c>
      <c r="C53" s="1110">
        <f>C46+C49+C50+C51</f>
        <v>0</v>
      </c>
      <c r="D53" s="1054"/>
      <c r="E53" s="1055">
        <f t="shared" ref="E53:N53" si="10">E46+E49+E50+E51</f>
        <v>0</v>
      </c>
      <c r="F53" s="1055">
        <f t="shared" si="10"/>
        <v>0</v>
      </c>
      <c r="G53" s="1056">
        <f t="shared" si="10"/>
        <v>0</v>
      </c>
      <c r="H53" s="1056">
        <f t="shared" si="10"/>
        <v>0</v>
      </c>
      <c r="I53" s="1056">
        <f t="shared" si="10"/>
        <v>0</v>
      </c>
      <c r="J53" s="1056">
        <f t="shared" si="10"/>
        <v>0</v>
      </c>
      <c r="K53" s="1056">
        <f t="shared" si="10"/>
        <v>0</v>
      </c>
      <c r="L53" s="1056">
        <f t="shared" si="10"/>
        <v>0</v>
      </c>
      <c r="M53" s="1056">
        <f t="shared" si="10"/>
        <v>0</v>
      </c>
      <c r="N53" s="1056">
        <f t="shared" si="10"/>
        <v>0</v>
      </c>
      <c r="O53" s="1056">
        <f>O46+O49+O50+O51</f>
        <v>0</v>
      </c>
    </row>
    <row r="54" spans="1:80" s="1068" customFormat="1" ht="15" customHeight="1" x14ac:dyDescent="0.3">
      <c r="B54" s="1069" t="s">
        <v>978</v>
      </c>
      <c r="C54" s="1111"/>
      <c r="D54" s="1073"/>
      <c r="E54" s="1074">
        <f>SUM($E$53:E53)</f>
        <v>0</v>
      </c>
      <c r="F54" s="1074">
        <f>SUM($E$53:F53)</f>
        <v>0</v>
      </c>
      <c r="G54" s="1074">
        <f>SUM($E$53:G53)</f>
        <v>0</v>
      </c>
      <c r="H54" s="1074">
        <f>SUM($E$53:H53)</f>
        <v>0</v>
      </c>
      <c r="I54" s="1074">
        <f>SUM($E$53:I53)</f>
        <v>0</v>
      </c>
      <c r="J54" s="1074">
        <f>SUM($E$53:J53)</f>
        <v>0</v>
      </c>
      <c r="K54" s="1074">
        <f>SUM($E$53:K53)</f>
        <v>0</v>
      </c>
      <c r="L54" s="1074">
        <f>SUM($E$53:L53)</f>
        <v>0</v>
      </c>
      <c r="M54" s="1074">
        <f>SUM($E$53:M53)</f>
        <v>0</v>
      </c>
      <c r="N54" s="1074">
        <f>SUM($E$53:N53)</f>
        <v>0</v>
      </c>
      <c r="O54" s="1074">
        <f>SUM($E$53:O53)</f>
        <v>0</v>
      </c>
      <c r="W54" s="1000"/>
      <c r="X54" s="1000"/>
      <c r="Y54" s="1000"/>
      <c r="Z54" s="1000"/>
      <c r="AA54" s="1000"/>
      <c r="AB54" s="1000"/>
      <c r="AC54" s="1000"/>
      <c r="AD54" s="1000"/>
      <c r="AE54" s="1000"/>
      <c r="AF54" s="1000"/>
      <c r="AG54" s="1000"/>
      <c r="AH54" s="1000"/>
      <c r="AI54" s="1000"/>
      <c r="AJ54" s="1000"/>
      <c r="AK54" s="1000"/>
      <c r="AL54" s="1000"/>
      <c r="AM54" s="1000"/>
      <c r="AN54" s="1000"/>
      <c r="AO54" s="1000"/>
      <c r="AP54" s="1000"/>
      <c r="AQ54" s="1000"/>
      <c r="AR54" s="1000"/>
      <c r="AS54" s="1000"/>
      <c r="AT54" s="1000"/>
      <c r="AU54" s="1000"/>
      <c r="AV54" s="1000"/>
      <c r="AW54" s="1000"/>
      <c r="AX54" s="1000"/>
      <c r="AY54" s="1000"/>
      <c r="AZ54" s="1000"/>
      <c r="BA54" s="1000"/>
      <c r="BB54" s="1000"/>
      <c r="BC54" s="1000"/>
      <c r="BD54" s="1000"/>
      <c r="BE54" s="1000"/>
      <c r="BF54" s="1000"/>
      <c r="BG54" s="1000"/>
      <c r="BH54" s="1000"/>
      <c r="BI54" s="1000"/>
      <c r="BJ54" s="1000"/>
      <c r="BK54" s="1000"/>
      <c r="BL54" s="1000"/>
      <c r="BM54" s="1000"/>
      <c r="BN54" s="1000"/>
      <c r="BO54" s="1000"/>
      <c r="BP54" s="1000"/>
      <c r="BQ54" s="1000"/>
      <c r="BR54" s="1000"/>
      <c r="BS54" s="1000"/>
      <c r="BT54" s="1000"/>
      <c r="BU54" s="1000"/>
      <c r="BV54" s="1000"/>
      <c r="BW54" s="1000"/>
      <c r="BX54" s="1000"/>
      <c r="BY54" s="1000"/>
      <c r="BZ54" s="1000"/>
      <c r="CA54" s="1000"/>
      <c r="CB54" s="1000"/>
    </row>
    <row r="55" spans="1:80" s="1000" customFormat="1" ht="15" customHeight="1" x14ac:dyDescent="0.3">
      <c r="B55" s="96"/>
      <c r="C55" s="1112"/>
      <c r="D55" s="96"/>
      <c r="E55" s="96"/>
      <c r="F55" s="96"/>
      <c r="G55" s="96"/>
      <c r="H55" s="96"/>
      <c r="I55" s="96"/>
      <c r="J55" s="1006"/>
      <c r="K55" s="96"/>
      <c r="L55" s="96"/>
      <c r="M55" s="96"/>
      <c r="N55" s="96"/>
      <c r="O55" s="96"/>
      <c r="P55" s="93"/>
      <c r="Q55" s="93"/>
      <c r="R55" s="93"/>
      <c r="S55" s="93"/>
      <c r="T55" s="93"/>
      <c r="U55" s="93"/>
      <c r="V55" s="93"/>
      <c r="W55" s="1068"/>
      <c r="X55" s="1068"/>
      <c r="Y55" s="1068"/>
      <c r="Z55" s="1068"/>
      <c r="AA55" s="1068"/>
      <c r="AB55" s="1068"/>
      <c r="AC55" s="1068"/>
      <c r="AD55" s="1068"/>
      <c r="AE55" s="1068"/>
      <c r="AF55" s="1068"/>
      <c r="AG55" s="1068"/>
      <c r="AH55" s="1068"/>
      <c r="AI55" s="1068"/>
      <c r="AJ55" s="1068"/>
      <c r="AK55" s="1068"/>
      <c r="AL55" s="1068"/>
      <c r="AM55" s="1068"/>
      <c r="AN55" s="1068"/>
      <c r="AO55" s="1068"/>
      <c r="AP55" s="1068"/>
      <c r="AQ55" s="1068"/>
      <c r="AR55" s="1068"/>
      <c r="AS55" s="1068"/>
      <c r="AT55" s="1068"/>
      <c r="AU55" s="1068"/>
      <c r="AV55" s="1068"/>
      <c r="AW55" s="1068"/>
      <c r="AX55" s="1068"/>
      <c r="AY55" s="1068"/>
      <c r="AZ55" s="1068"/>
      <c r="BA55" s="1068"/>
      <c r="BB55" s="1068"/>
      <c r="BC55" s="1068"/>
      <c r="BD55" s="1068"/>
      <c r="BE55" s="1068"/>
      <c r="BF55" s="1068"/>
      <c r="BG55" s="1068"/>
      <c r="BH55" s="1068"/>
      <c r="BI55" s="1068"/>
      <c r="BJ55" s="1068"/>
      <c r="BK55" s="1068"/>
      <c r="BL55" s="1068"/>
      <c r="BM55" s="1068"/>
      <c r="BN55" s="1068"/>
      <c r="BO55" s="1068"/>
      <c r="BP55" s="1068"/>
      <c r="BQ55" s="1068"/>
      <c r="BR55" s="1068"/>
      <c r="BS55" s="1068"/>
      <c r="BT55" s="1068"/>
      <c r="BU55" s="1068"/>
      <c r="BV55" s="1068"/>
      <c r="BW55" s="1068"/>
      <c r="BX55" s="1068"/>
      <c r="BY55" s="1068"/>
      <c r="BZ55" s="1068"/>
      <c r="CA55" s="1068"/>
      <c r="CB55" s="1068"/>
    </row>
    <row r="56" spans="1:80" s="1003" customFormat="1" ht="15" customHeight="1" x14ac:dyDescent="0.3">
      <c r="A56" s="1000"/>
      <c r="B56" s="334" t="s">
        <v>126</v>
      </c>
      <c r="C56" s="1113">
        <f>SUM(E56:O56)</f>
        <v>0</v>
      </c>
      <c r="D56" s="309"/>
      <c r="E56" s="1115">
        <f>SUMIF('ACTUALS (M)'!$G$7:$DV$7,'ACTUALS (Y)'!E$7,'ACTUALS (M)'!$G54:$DV54)</f>
        <v>0</v>
      </c>
      <c r="F56" s="1116">
        <f>SUMIF('ACTUALS (M)'!$G$7:$DV$7,'ACTUALS (Y)'!F$7,'ACTUALS (M)'!$G54:$DV54)</f>
        <v>0</v>
      </c>
      <c r="G56" s="1116">
        <f>SUMIF('ACTUALS (M)'!$G$7:$DV$7,'ACTUALS (Y)'!G$7,'ACTUALS (M)'!$G54:$DV54)</f>
        <v>0</v>
      </c>
      <c r="H56" s="1116">
        <f>SUMIF('ACTUALS (M)'!$G$7:$DV$7,'ACTUALS (Y)'!H$7,'ACTUALS (M)'!$G54:$DV54)</f>
        <v>0</v>
      </c>
      <c r="I56" s="1116">
        <f>SUMIF('ACTUALS (M)'!$G$7:$DV$7,'ACTUALS (Y)'!I$7,'ACTUALS (M)'!$G54:$DV54)</f>
        <v>0</v>
      </c>
      <c r="J56" s="1116">
        <f>SUMIF('ACTUALS (M)'!$G$7:$DV$7,'ACTUALS (Y)'!J$7,'ACTUALS (M)'!$G54:$DV54)</f>
        <v>0</v>
      </c>
      <c r="K56" s="1116">
        <f>SUMIF('ACTUALS (M)'!$G$7:$DV$7,'ACTUALS (Y)'!K$7,'ACTUALS (M)'!$G54:$DV54)</f>
        <v>0</v>
      </c>
      <c r="L56" s="1116">
        <f>SUMIF('ACTUALS (M)'!$G$7:$DV$7,'ACTUALS (Y)'!L$7,'ACTUALS (M)'!$G54:$DV54)</f>
        <v>0</v>
      </c>
      <c r="M56" s="1116">
        <f>SUMIF('ACTUALS (M)'!$G$7:$DV$7,'ACTUALS (Y)'!M$7,'ACTUALS (M)'!$G54:$DV54)</f>
        <v>0</v>
      </c>
      <c r="N56" s="1116">
        <f>SUMIF('ACTUALS (M)'!$G$7:$DV$7,'ACTUALS (Y)'!N$7,'ACTUALS (M)'!$G54:$DV54)</f>
        <v>0</v>
      </c>
      <c r="O56" s="1116">
        <f>SUMIF('ACTUALS (M)'!$G$7:$DV$7,'ACTUALS (Y)'!O$7,'ACTUALS (M)'!$G54:$DV54)</f>
        <v>0</v>
      </c>
      <c r="P56" s="1000"/>
      <c r="Q56" s="1000"/>
      <c r="R56" s="1000"/>
      <c r="S56" s="1000"/>
      <c r="T56" s="1000"/>
      <c r="U56" s="1000"/>
      <c r="V56" s="1000"/>
      <c r="W56" s="1000"/>
      <c r="X56" s="1000"/>
      <c r="Y56" s="1000"/>
      <c r="Z56" s="1000"/>
      <c r="AA56" s="1000"/>
      <c r="AB56" s="1000"/>
      <c r="AC56" s="1000"/>
      <c r="AD56" s="1000"/>
      <c r="AE56" s="1000"/>
      <c r="AF56" s="1000"/>
      <c r="AG56" s="1000"/>
      <c r="AH56" s="1000"/>
      <c r="AI56" s="1000"/>
      <c r="AJ56" s="1000"/>
      <c r="AK56" s="1000"/>
      <c r="AL56" s="1000"/>
      <c r="AM56" s="1000"/>
      <c r="AN56" s="1000"/>
      <c r="AO56" s="1000"/>
      <c r="AP56" s="1000"/>
      <c r="AQ56" s="1000"/>
      <c r="AR56" s="1000"/>
      <c r="AS56" s="1000"/>
      <c r="AT56" s="1000"/>
      <c r="AU56" s="1000"/>
      <c r="AV56" s="1000"/>
      <c r="AW56" s="1000"/>
      <c r="AX56" s="1000"/>
      <c r="AY56" s="1000"/>
      <c r="AZ56" s="1000"/>
      <c r="BA56" s="1000"/>
      <c r="BB56" s="1000"/>
      <c r="BC56" s="1000"/>
      <c r="BD56" s="1000"/>
      <c r="BE56" s="1000"/>
      <c r="BF56" s="1000"/>
      <c r="BG56" s="1000"/>
      <c r="BH56" s="1000"/>
      <c r="BI56" s="1000"/>
      <c r="BJ56" s="1000"/>
      <c r="BK56" s="1000"/>
      <c r="BL56" s="1000"/>
      <c r="BM56" s="1000"/>
      <c r="BN56" s="1000"/>
      <c r="BO56" s="1000"/>
      <c r="BP56" s="1000"/>
      <c r="BQ56" s="1000"/>
      <c r="BR56" s="1000"/>
      <c r="BS56" s="1000"/>
      <c r="BT56" s="1000"/>
      <c r="BU56" s="1000"/>
      <c r="BV56" s="1000"/>
      <c r="BW56" s="1000"/>
      <c r="BX56" s="1000"/>
      <c r="BY56" s="1000"/>
      <c r="BZ56" s="1000"/>
      <c r="CA56" s="1000"/>
      <c r="CB56" s="1000"/>
    </row>
    <row r="57" spans="1:80" s="1020" customFormat="1" ht="15" customHeight="1" x14ac:dyDescent="0.3">
      <c r="A57" s="1000"/>
      <c r="B57" s="334" t="s">
        <v>29</v>
      </c>
      <c r="C57" s="1113">
        <f>SUM(E57:O57)</f>
        <v>0</v>
      </c>
      <c r="D57" s="309"/>
      <c r="E57" s="1115">
        <f>SUMIF('ACTUALS (M)'!$G$7:$DV$7,'ACTUALS (Y)'!E$7,'ACTUALS (M)'!$G55:$DV55)</f>
        <v>0</v>
      </c>
      <c r="F57" s="1116">
        <f>SUMIF('ACTUALS (M)'!$G$7:$DV$7,'ACTUALS (Y)'!F$7,'ACTUALS (M)'!$G55:$DV55)</f>
        <v>0</v>
      </c>
      <c r="G57" s="1116">
        <f>SUMIF('ACTUALS (M)'!$G$7:$DV$7,'ACTUALS (Y)'!G$7,'ACTUALS (M)'!$G55:$DV55)</f>
        <v>0</v>
      </c>
      <c r="H57" s="1116">
        <f>SUMIF('ACTUALS (M)'!$G$7:$DV$7,'ACTUALS (Y)'!H$7,'ACTUALS (M)'!$G55:$DV55)</f>
        <v>0</v>
      </c>
      <c r="I57" s="1116">
        <f>SUMIF('ACTUALS (M)'!$G$7:$DV$7,'ACTUALS (Y)'!I$7,'ACTUALS (M)'!$G55:$DV55)</f>
        <v>0</v>
      </c>
      <c r="J57" s="1116">
        <f>SUMIF('ACTUALS (M)'!$G$7:$DV$7,'ACTUALS (Y)'!J$7,'ACTUALS (M)'!$G55:$DV55)</f>
        <v>0</v>
      </c>
      <c r="K57" s="1116">
        <f>SUMIF('ACTUALS (M)'!$G$7:$DV$7,'ACTUALS (Y)'!K$7,'ACTUALS (M)'!$G55:$DV55)</f>
        <v>0</v>
      </c>
      <c r="L57" s="1116">
        <f>SUMIF('ACTUALS (M)'!$G$7:$DV$7,'ACTUALS (Y)'!L$7,'ACTUALS (M)'!$G55:$DV55)</f>
        <v>0</v>
      </c>
      <c r="M57" s="1116">
        <f>SUMIF('ACTUALS (M)'!$G$7:$DV$7,'ACTUALS (Y)'!M$7,'ACTUALS (M)'!$G55:$DV55)</f>
        <v>0</v>
      </c>
      <c r="N57" s="1116">
        <f>SUMIF('ACTUALS (M)'!$G$7:$DV$7,'ACTUALS (Y)'!N$7,'ACTUALS (M)'!$G55:$DV55)</f>
        <v>0</v>
      </c>
      <c r="O57" s="1116">
        <f>SUMIF('ACTUALS (M)'!$G$7:$DV$7,'ACTUALS (Y)'!O$7,'ACTUALS (M)'!$G55:$DV55)</f>
        <v>0</v>
      </c>
      <c r="P57" s="1000"/>
      <c r="Q57" s="1000"/>
      <c r="R57" s="1000"/>
      <c r="S57" s="1000"/>
      <c r="T57" s="1000"/>
      <c r="U57" s="1000"/>
      <c r="V57" s="1000"/>
      <c r="W57" s="1003"/>
      <c r="X57" s="1003"/>
      <c r="Y57" s="1003"/>
      <c r="Z57" s="1003"/>
      <c r="AA57" s="1003"/>
      <c r="AB57" s="1003"/>
      <c r="AC57" s="1003"/>
      <c r="AD57" s="1003"/>
      <c r="AE57" s="1003"/>
      <c r="AF57" s="1003"/>
      <c r="AG57" s="1003"/>
      <c r="AH57" s="1003"/>
      <c r="AI57" s="1003"/>
      <c r="AJ57" s="1003"/>
      <c r="AK57" s="1003"/>
      <c r="AL57" s="1003"/>
      <c r="AM57" s="1003"/>
      <c r="AN57" s="1003"/>
      <c r="AO57" s="1003"/>
      <c r="AP57" s="1003"/>
      <c r="AQ57" s="1003"/>
      <c r="AR57" s="1003"/>
      <c r="AS57" s="1003"/>
      <c r="AT57" s="1003"/>
      <c r="AU57" s="1003"/>
      <c r="AV57" s="1003"/>
      <c r="AW57" s="1003"/>
      <c r="AX57" s="1003"/>
      <c r="AY57" s="1003"/>
      <c r="AZ57" s="1003"/>
      <c r="BA57" s="1003"/>
      <c r="BB57" s="1003"/>
      <c r="BC57" s="1003"/>
      <c r="BD57" s="1003"/>
      <c r="BE57" s="1003"/>
      <c r="BF57" s="1003"/>
      <c r="BG57" s="1003"/>
      <c r="BH57" s="1003"/>
      <c r="BI57" s="1003"/>
      <c r="BJ57" s="1003"/>
      <c r="BK57" s="1003"/>
      <c r="BL57" s="1003"/>
      <c r="BM57" s="1003"/>
      <c r="BN57" s="1003"/>
      <c r="BO57" s="1003"/>
      <c r="BP57" s="1003"/>
      <c r="BQ57" s="1003"/>
      <c r="BR57" s="1003"/>
      <c r="BS57" s="1003"/>
      <c r="BT57" s="1003"/>
      <c r="BU57" s="1003"/>
      <c r="BV57" s="1003"/>
      <c r="BW57" s="1003"/>
      <c r="BX57" s="1003"/>
      <c r="BY57" s="1003"/>
      <c r="BZ57" s="1003"/>
      <c r="CA57" s="1003"/>
      <c r="CB57" s="1003"/>
    </row>
    <row r="58" spans="1:80" x14ac:dyDescent="0.3">
      <c r="A58" s="1000"/>
      <c r="B58" s="997" t="s">
        <v>981</v>
      </c>
      <c r="C58" s="1104">
        <f>SUM(C56:C57)</f>
        <v>0</v>
      </c>
      <c r="D58" s="239"/>
      <c r="E58" s="323">
        <f t="shared" ref="E58:O58" si="11">SUM(E56:E57)</f>
        <v>0</v>
      </c>
      <c r="F58" s="323">
        <f t="shared" si="11"/>
        <v>0</v>
      </c>
      <c r="G58" s="323">
        <f t="shared" si="11"/>
        <v>0</v>
      </c>
      <c r="H58" s="323">
        <f t="shared" si="11"/>
        <v>0</v>
      </c>
      <c r="I58" s="323">
        <f t="shared" si="11"/>
        <v>0</v>
      </c>
      <c r="J58" s="323">
        <f t="shared" si="11"/>
        <v>0</v>
      </c>
      <c r="K58" s="323">
        <f t="shared" si="11"/>
        <v>0</v>
      </c>
      <c r="L58" s="323">
        <f t="shared" si="11"/>
        <v>0</v>
      </c>
      <c r="M58" s="323">
        <f t="shared" si="11"/>
        <v>0</v>
      </c>
      <c r="N58" s="323">
        <f t="shared" si="11"/>
        <v>0</v>
      </c>
      <c r="O58" s="323">
        <f t="shared" si="11"/>
        <v>0</v>
      </c>
      <c r="P58" s="1000"/>
      <c r="Q58" s="1000"/>
      <c r="R58" s="1000"/>
      <c r="S58" s="1000"/>
      <c r="T58" s="1000"/>
      <c r="U58" s="1000"/>
      <c r="V58" s="1000"/>
      <c r="W58" s="1020"/>
      <c r="X58" s="1020"/>
      <c r="Y58" s="1020"/>
      <c r="Z58" s="1020"/>
      <c r="AA58" s="1020"/>
      <c r="AB58" s="1020"/>
      <c r="AC58" s="1020"/>
      <c r="AD58" s="1020"/>
      <c r="AE58" s="1020"/>
      <c r="AF58" s="1020"/>
      <c r="AG58" s="1020"/>
      <c r="AH58" s="1020"/>
      <c r="AI58" s="1020"/>
      <c r="AJ58" s="1020"/>
      <c r="AK58" s="1020"/>
      <c r="AL58" s="1020"/>
      <c r="AM58" s="1020"/>
      <c r="AN58" s="1020"/>
      <c r="AO58" s="1020"/>
      <c r="AP58" s="1020"/>
      <c r="AQ58" s="1020"/>
      <c r="AR58" s="1020"/>
      <c r="AS58" s="1020"/>
      <c r="AT58" s="1020"/>
      <c r="AU58" s="1020"/>
      <c r="AV58" s="1020"/>
      <c r="AW58" s="1020"/>
      <c r="AX58" s="1020"/>
      <c r="AY58" s="1020"/>
      <c r="AZ58" s="1020"/>
      <c r="BA58" s="1020"/>
      <c r="BB58" s="1020"/>
      <c r="BC58" s="1020"/>
      <c r="BD58" s="1020"/>
      <c r="BE58" s="1020"/>
      <c r="BF58" s="1020"/>
      <c r="BG58" s="1020"/>
      <c r="BH58" s="1020"/>
      <c r="BI58" s="1020"/>
      <c r="BJ58" s="1020"/>
      <c r="BK58" s="1020"/>
      <c r="BL58" s="1020"/>
      <c r="BM58" s="1020"/>
      <c r="BN58" s="1020"/>
      <c r="BO58" s="1020"/>
      <c r="BP58" s="1020"/>
      <c r="BQ58" s="1020"/>
      <c r="BR58" s="1020"/>
      <c r="BS58" s="1020"/>
      <c r="BT58" s="1020"/>
      <c r="BU58" s="1020"/>
      <c r="BV58" s="1020"/>
      <c r="BW58" s="1020"/>
      <c r="BX58" s="1020"/>
      <c r="BY58" s="1020"/>
      <c r="BZ58" s="1020"/>
      <c r="CA58" s="1020"/>
      <c r="CB58" s="1020"/>
    </row>
    <row r="59" spans="1:80" x14ac:dyDescent="0.3">
      <c r="A59" s="1000"/>
      <c r="B59" s="334"/>
      <c r="C59" s="1114"/>
      <c r="D59" s="84"/>
      <c r="E59" s="15"/>
      <c r="F59" s="15"/>
      <c r="G59" s="15"/>
      <c r="H59" s="15"/>
      <c r="I59" s="15"/>
      <c r="J59" s="15"/>
      <c r="K59" s="15"/>
      <c r="L59" s="15"/>
      <c r="M59" s="15"/>
      <c r="N59" s="15"/>
      <c r="O59" s="15"/>
      <c r="P59" s="1000"/>
      <c r="Q59" s="1000"/>
      <c r="R59" s="1000"/>
      <c r="S59" s="1000"/>
      <c r="T59" s="1000"/>
      <c r="U59" s="1000"/>
      <c r="V59" s="1000"/>
    </row>
    <row r="60" spans="1:80" x14ac:dyDescent="0.3">
      <c r="A60" s="1000"/>
      <c r="B60" s="1052" t="s">
        <v>982</v>
      </c>
      <c r="C60" s="1053">
        <f>C58+C53</f>
        <v>0</v>
      </c>
      <c r="D60" s="1081"/>
      <c r="E60" s="1055">
        <f t="shared" ref="E60:O60" si="12">E58+E53</f>
        <v>0</v>
      </c>
      <c r="F60" s="1055">
        <f t="shared" si="12"/>
        <v>0</v>
      </c>
      <c r="G60" s="1055">
        <f t="shared" si="12"/>
        <v>0</v>
      </c>
      <c r="H60" s="1055">
        <f t="shared" si="12"/>
        <v>0</v>
      </c>
      <c r="I60" s="1055">
        <f t="shared" si="12"/>
        <v>0</v>
      </c>
      <c r="J60" s="1055">
        <f t="shared" si="12"/>
        <v>0</v>
      </c>
      <c r="K60" s="1055">
        <f t="shared" si="12"/>
        <v>0</v>
      </c>
      <c r="L60" s="1055">
        <f t="shared" si="12"/>
        <v>0</v>
      </c>
      <c r="M60" s="1055">
        <f t="shared" si="12"/>
        <v>0</v>
      </c>
      <c r="N60" s="1055">
        <f t="shared" si="12"/>
        <v>0</v>
      </c>
      <c r="O60" s="1055">
        <f t="shared" si="12"/>
        <v>0</v>
      </c>
      <c r="P60" s="1000"/>
      <c r="Q60" s="1000"/>
      <c r="R60" s="1000"/>
      <c r="S60" s="1000"/>
      <c r="T60" s="1000"/>
      <c r="U60" s="1000"/>
      <c r="V60" s="1000"/>
    </row>
    <row r="61" spans="1:80" x14ac:dyDescent="0.3">
      <c r="A61" s="1068"/>
      <c r="B61" s="1069" t="s">
        <v>525</v>
      </c>
      <c r="C61" s="1070"/>
      <c r="D61" s="1073"/>
      <c r="E61" s="1074">
        <f>SUM($E$60:E60)</f>
        <v>0</v>
      </c>
      <c r="F61" s="1074">
        <f>SUM($E$60:F60)</f>
        <v>0</v>
      </c>
      <c r="G61" s="1074">
        <f>SUM($E$60:G60)</f>
        <v>0</v>
      </c>
      <c r="H61" s="1074">
        <f>SUM($E$60:H60)</f>
        <v>0</v>
      </c>
      <c r="I61" s="1074">
        <f>SUM($E$60:I60)</f>
        <v>0</v>
      </c>
      <c r="J61" s="1074">
        <f>SUM($E$60:J60)</f>
        <v>0</v>
      </c>
      <c r="K61" s="1074">
        <f>SUM($E$60:K60)</f>
        <v>0</v>
      </c>
      <c r="L61" s="1074">
        <f>SUM($E$60:L60)</f>
        <v>0</v>
      </c>
      <c r="M61" s="1074">
        <f>SUM($E$60:M60)</f>
        <v>0</v>
      </c>
      <c r="N61" s="1074">
        <f>SUM($E$60:N60)</f>
        <v>0</v>
      </c>
      <c r="O61" s="1074">
        <f>SUM($E$60:O60)</f>
        <v>0</v>
      </c>
      <c r="P61" s="1068"/>
      <c r="Q61" s="1068"/>
      <c r="R61" s="1068"/>
      <c r="S61" s="1068"/>
      <c r="T61" s="1068"/>
      <c r="U61" s="1068"/>
      <c r="V61" s="1068"/>
    </row>
    <row r="62" spans="1:80" x14ac:dyDescent="0.3">
      <c r="A62" s="1000"/>
      <c r="B62" s="125"/>
      <c r="C62" s="125"/>
      <c r="D62" s="125"/>
      <c r="E62" s="125"/>
      <c r="F62" s="1021"/>
      <c r="G62" s="125"/>
      <c r="H62" s="125"/>
      <c r="I62" s="125"/>
      <c r="J62" s="125"/>
      <c r="K62" s="125"/>
      <c r="L62" s="125"/>
      <c r="M62" s="125"/>
      <c r="N62" s="125"/>
      <c r="O62" s="125"/>
      <c r="P62" s="1000"/>
      <c r="Q62" s="1000"/>
      <c r="R62" s="1000"/>
      <c r="S62" s="1000"/>
      <c r="T62" s="1000"/>
      <c r="U62" s="1000"/>
      <c r="V62" s="1000"/>
    </row>
    <row r="63" spans="1:80" x14ac:dyDescent="0.3">
      <c r="A63" s="1000"/>
      <c r="B63" s="489"/>
      <c r="C63" s="489"/>
      <c r="D63" s="489"/>
      <c r="E63" s="489"/>
      <c r="F63" s="489"/>
      <c r="G63" s="489"/>
      <c r="H63" s="489"/>
      <c r="I63" s="489"/>
      <c r="J63" s="489"/>
      <c r="K63" s="489"/>
      <c r="L63" s="489"/>
      <c r="M63" s="1022"/>
      <c r="N63" s="489"/>
      <c r="O63" s="489"/>
      <c r="P63" s="1003"/>
      <c r="Q63" s="1003"/>
      <c r="R63" s="1003"/>
      <c r="S63" s="1003"/>
      <c r="T63" s="1003"/>
      <c r="U63" s="1003"/>
      <c r="V63" s="1003"/>
    </row>
    <row r="64" spans="1:80" x14ac:dyDescent="0.3">
      <c r="A64" s="1004"/>
      <c r="B64" s="675" t="str">
        <f>DISCLAIMER!$A$35</f>
        <v>© 2025 by WinsWithMike.com or Michael Forsberg Nampa, Idaho. All rights reserved</v>
      </c>
      <c r="C64" s="786"/>
      <c r="D64" s="786"/>
      <c r="E64" s="787"/>
      <c r="F64" s="787"/>
      <c r="G64" s="787"/>
      <c r="H64" s="787"/>
      <c r="I64" s="787"/>
      <c r="J64" s="787"/>
      <c r="K64" s="788"/>
      <c r="L64" s="788"/>
      <c r="M64" s="788"/>
      <c r="N64" s="788"/>
      <c r="O64" s="788"/>
      <c r="P64" s="1020"/>
      <c r="Q64" s="1020"/>
      <c r="R64" s="1020"/>
      <c r="S64" s="1020"/>
      <c r="T64" s="1020"/>
      <c r="U64" s="1020"/>
      <c r="V64" s="1020"/>
    </row>
  </sheetData>
  <sheetProtection sheet="1" objects="1" scenarios="1" selectLockedCells="1"/>
  <dataValidations disablePrompts="1" count="1">
    <dataValidation allowBlank="1" showInputMessage="1" showErrorMessage="1" promptTitle="Custom Operating Expense" prompt="Enter non-recurring and custom operating expenses. Note that these expenses will impact your Net Operating Income (NOI) and all NOI-related financial ratios" sqref="B50:B51 B37:C42" xr:uid="{4C308D91-4224-450A-9F5A-0B286E90AD60}"/>
  </dataValidations>
  <pageMargins left="0.25" right="0.25" top="0.75" bottom="0.75" header="0.3" footer="0.3"/>
  <pageSetup scale="65"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3" id="{4C9E862F-1594-4710-B163-67A2DA00EA9D}">
            <xm:f>DASHBOARD!$L$140&lt;&gt;0</xm:f>
            <x14:dxf>
              <font>
                <b val="0"/>
                <i val="0"/>
                <color theme="0" tint="-0.24994659260841701"/>
              </font>
              <fill>
                <patternFill>
                  <bgColor theme="0" tint="-4.9989318521683403E-2"/>
                </patternFill>
              </fill>
            </x14:dxf>
          </x14:cfRule>
          <xm:sqref>B19:C42 B49:C51</xm:sqref>
        </x14:conditionalFormatting>
        <x14:conditionalFormatting xmlns:xm="http://schemas.microsoft.com/office/excel/2006/main">
          <x14:cfRule type="expression" priority="1" id="{5E7A272A-3B53-4373-A143-49A7386765DC}">
            <xm:f>DASHBOARD!$L$140&lt;&gt;0</xm:f>
            <x14:dxf>
              <font>
                <b val="0"/>
                <i val="0"/>
                <color theme="0" tint="-0.24994659260841701"/>
              </font>
              <fill>
                <patternFill>
                  <bgColor theme="0" tint="-4.9989318521683403E-2"/>
                </patternFill>
              </fill>
            </x14:dxf>
          </x14:cfRule>
          <xm:sqref>C56:C57</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16579-71D9-45FA-AB75-64CF4CDE5DD5}">
  <sheetPr codeName="Sheet29">
    <tabColor theme="9" tint="0.79998168889431442"/>
  </sheetPr>
  <dimension ref="A1:CB229"/>
  <sheetViews>
    <sheetView showGridLines="0" showRowColHeaders="0" zoomScaleNormal="100" zoomScaleSheetLayoutView="100" workbookViewId="0">
      <pane ySplit="5" topLeftCell="A6" activePane="bottomLeft" state="frozen"/>
      <selection pane="bottomLeft" activeCell="A6" sqref="A6"/>
    </sheetView>
  </sheetViews>
  <sheetFormatPr defaultColWidth="9.109375" defaultRowHeight="13.8" outlineLevelRow="1" x14ac:dyDescent="0.25"/>
  <cols>
    <col min="1" max="3" width="2.88671875" style="274" customWidth="1"/>
    <col min="4" max="4" width="23.33203125" style="274" bestFit="1" customWidth="1"/>
    <col min="5" max="5" width="1.44140625" style="274" customWidth="1"/>
    <col min="6" max="16" width="15.6640625" style="274" customWidth="1"/>
    <col min="17" max="17" width="2.109375" style="274" customWidth="1"/>
    <col min="18" max="19" width="15.6640625" style="274" customWidth="1"/>
    <col min="20" max="20" width="2.88671875" style="274" customWidth="1"/>
    <col min="21" max="16384" width="9.109375" style="274"/>
  </cols>
  <sheetData>
    <row r="1" spans="1:74" s="1244" customFormat="1" ht="30" customHeight="1" x14ac:dyDescent="0.25">
      <c r="A1" s="1685" t="s">
        <v>766</v>
      </c>
      <c r="T1" s="1363"/>
    </row>
    <row r="2" spans="1:74" s="1" customFormat="1" ht="15.6" x14ac:dyDescent="0.25">
      <c r="A2" s="1685"/>
      <c r="B2" s="1244"/>
      <c r="C2" s="1244"/>
      <c r="D2" s="1244"/>
      <c r="E2" s="1244"/>
      <c r="F2" s="1244"/>
      <c r="G2" s="1244"/>
      <c r="H2" s="1244"/>
      <c r="I2" s="1244"/>
      <c r="J2" s="1244"/>
      <c r="K2" s="1244"/>
      <c r="L2" s="1244"/>
      <c r="M2" s="1244"/>
      <c r="N2" s="1244"/>
      <c r="O2" s="1244"/>
      <c r="P2" s="1244"/>
      <c r="Q2" s="1244"/>
      <c r="R2" s="1244"/>
      <c r="S2" s="1244"/>
      <c r="T2" s="1363"/>
      <c r="U2" s="1244"/>
    </row>
    <row r="3" spans="1:74" s="1" customFormat="1" ht="37.5" customHeight="1" x14ac:dyDescent="0.25">
      <c r="A3" s="1685"/>
      <c r="B3" s="1244"/>
      <c r="C3" s="1244"/>
      <c r="D3" s="1244"/>
      <c r="E3" s="1244"/>
      <c r="F3" s="1244"/>
      <c r="G3" s="1244"/>
      <c r="H3" s="1244"/>
      <c r="I3" s="1244"/>
      <c r="J3" s="1244"/>
      <c r="K3" s="1244"/>
      <c r="L3" s="1244"/>
      <c r="M3" s="1244"/>
      <c r="N3" s="1244"/>
      <c r="O3" s="1244"/>
      <c r="P3" s="1244"/>
      <c r="Q3" s="1244"/>
      <c r="R3" s="1244"/>
      <c r="S3" s="1244"/>
      <c r="T3" s="1363"/>
      <c r="U3" s="1244"/>
    </row>
    <row r="4" spans="1:74" ht="15" customHeight="1" x14ac:dyDescent="0.3">
      <c r="A4" s="979"/>
      <c r="B4" s="1"/>
      <c r="C4" s="1"/>
      <c r="D4" s="593" t="s">
        <v>963</v>
      </c>
      <c r="E4" s="1"/>
      <c r="F4" s="674" t="s">
        <v>186</v>
      </c>
      <c r="G4" s="674" t="s">
        <v>964</v>
      </c>
      <c r="H4" s="674" t="s">
        <v>965</v>
      </c>
      <c r="I4" s="1"/>
      <c r="J4" s="1"/>
      <c r="K4" s="1"/>
      <c r="L4" s="1"/>
      <c r="M4" s="1"/>
      <c r="N4" s="1"/>
      <c r="O4" s="1"/>
      <c r="P4" s="1"/>
      <c r="Q4" s="1"/>
      <c r="R4" s="1"/>
      <c r="S4" s="1"/>
      <c r="T4" s="980"/>
      <c r="U4" s="1"/>
      <c r="V4" s="1876"/>
      <c r="W4" s="1876"/>
      <c r="X4" s="1876"/>
      <c r="Y4" s="1876"/>
      <c r="Z4" s="1876"/>
      <c r="AA4" s="1876"/>
      <c r="AB4" s="1876"/>
      <c r="AC4" s="1876"/>
      <c r="AD4" s="1876"/>
      <c r="AE4" s="1876"/>
      <c r="AF4" s="1876"/>
      <c r="AG4" s="1876"/>
      <c r="AH4" s="1876"/>
      <c r="AI4" s="1876"/>
      <c r="AJ4" s="1876"/>
      <c r="AK4" s="1876"/>
      <c r="AL4" s="1876"/>
      <c r="AM4" s="1876"/>
      <c r="AN4" s="1876"/>
      <c r="AO4" s="1876"/>
      <c r="AP4" s="1876"/>
      <c r="AQ4" s="1876"/>
      <c r="AR4" s="1876"/>
      <c r="AS4" s="1876"/>
      <c r="AT4" s="1876"/>
      <c r="AU4" s="1876"/>
      <c r="AV4" s="1876"/>
      <c r="AW4" s="1876"/>
      <c r="AX4" s="1876"/>
      <c r="AY4" s="1876"/>
      <c r="AZ4" s="1876"/>
      <c r="BA4" s="1876"/>
      <c r="BB4" s="1876"/>
      <c r="BC4" s="1876"/>
      <c r="BD4" s="1876"/>
      <c r="BE4" s="1876"/>
      <c r="BF4" s="1876"/>
      <c r="BG4" s="1876"/>
      <c r="BH4" s="1876"/>
      <c r="BI4" s="1876"/>
      <c r="BJ4" s="1876"/>
      <c r="BK4" s="1876"/>
      <c r="BL4" s="1876"/>
      <c r="BM4" s="1876"/>
      <c r="BN4" s="1876"/>
      <c r="BO4" s="1876"/>
      <c r="BP4" s="1876"/>
      <c r="BQ4" s="1876"/>
      <c r="BR4" s="1876"/>
      <c r="BS4" s="1876"/>
      <c r="BT4" s="1876"/>
      <c r="BU4" s="1876"/>
      <c r="BV4" s="1876"/>
    </row>
    <row r="5" spans="1:74" x14ac:dyDescent="0.25">
      <c r="A5" s="1"/>
      <c r="B5" s="1"/>
      <c r="C5" s="1"/>
      <c r="D5" s="593" t="s">
        <v>890</v>
      </c>
      <c r="E5" s="1"/>
      <c r="F5" s="954" t="str">
        <f>IF(F12="","",F12)</f>
        <v/>
      </c>
      <c r="G5" s="954" t="str">
        <f t="shared" ref="G5:P5" si="0">IF(G12="","",G12)</f>
        <v/>
      </c>
      <c r="H5" s="954" t="str">
        <f t="shared" si="0"/>
        <v/>
      </c>
      <c r="I5" s="954" t="str">
        <f t="shared" si="0"/>
        <v/>
      </c>
      <c r="J5" s="954" t="str">
        <f t="shared" si="0"/>
        <v/>
      </c>
      <c r="K5" s="954" t="str">
        <f t="shared" si="0"/>
        <v/>
      </c>
      <c r="L5" s="954" t="str">
        <f t="shared" si="0"/>
        <v/>
      </c>
      <c r="M5" s="954" t="str">
        <f t="shared" si="0"/>
        <v/>
      </c>
      <c r="N5" s="954" t="str">
        <f t="shared" si="0"/>
        <v/>
      </c>
      <c r="O5" s="954" t="str">
        <f t="shared" si="0"/>
        <v/>
      </c>
      <c r="P5" s="954" t="str">
        <f t="shared" si="0"/>
        <v/>
      </c>
      <c r="Q5" s="1"/>
      <c r="R5" s="1"/>
      <c r="S5" s="1"/>
      <c r="T5" s="1"/>
      <c r="U5" s="1"/>
    </row>
    <row r="6" spans="1:74" outlineLevel="1" x14ac:dyDescent="0.25">
      <c r="A6" s="1860"/>
    </row>
    <row r="7" spans="1:74" outlineLevel="1" x14ac:dyDescent="0.25">
      <c r="B7" s="562">
        <v>1</v>
      </c>
      <c r="C7" s="563" t="s">
        <v>767</v>
      </c>
      <c r="D7" s="564"/>
      <c r="E7" s="564"/>
      <c r="F7" s="564"/>
      <c r="G7" s="564"/>
      <c r="H7" s="564"/>
      <c r="I7" s="564"/>
      <c r="J7" s="564"/>
      <c r="K7" s="564"/>
      <c r="L7" s="564"/>
      <c r="M7" s="564"/>
      <c r="N7" s="564"/>
      <c r="O7" s="564"/>
      <c r="P7" s="564"/>
      <c r="Q7" s="564"/>
      <c r="R7" s="564"/>
      <c r="S7" s="564"/>
      <c r="T7" s="565"/>
    </row>
    <row r="8" spans="1:74" outlineLevel="1" x14ac:dyDescent="0.25">
      <c r="B8" s="559"/>
      <c r="C8" s="9"/>
      <c r="D8" s="9"/>
      <c r="E8" s="9"/>
      <c r="F8" s="9"/>
      <c r="G8" s="9"/>
      <c r="H8" s="9"/>
      <c r="I8" s="9"/>
      <c r="J8" s="9"/>
      <c r="K8" s="9"/>
      <c r="L8" s="9"/>
      <c r="M8" s="9"/>
      <c r="N8" s="9"/>
      <c r="O8" s="9"/>
      <c r="P8" s="9"/>
      <c r="Q8" s="9"/>
      <c r="R8" s="9"/>
      <c r="S8" s="9"/>
      <c r="T8" s="560"/>
    </row>
    <row r="9" spans="1:74" ht="15" customHeight="1" outlineLevel="1" x14ac:dyDescent="0.25">
      <c r="B9" s="559"/>
      <c r="C9" s="566">
        <v>1</v>
      </c>
      <c r="D9" s="380" t="s">
        <v>780</v>
      </c>
      <c r="E9" s="537"/>
      <c r="F9" s="537"/>
      <c r="G9" s="537"/>
      <c r="H9" s="537"/>
      <c r="I9" s="537"/>
      <c r="J9" s="537"/>
      <c r="K9" s="537"/>
      <c r="L9" s="537"/>
      <c r="M9" s="568"/>
      <c r="N9" s="569"/>
      <c r="O9" s="569"/>
      <c r="P9" s="570"/>
      <c r="Q9" s="570"/>
      <c r="R9" s="570"/>
      <c r="S9" s="570"/>
      <c r="T9" s="567"/>
    </row>
    <row r="10" spans="1:74" ht="37.5" customHeight="1" outlineLevel="1" x14ac:dyDescent="0.25">
      <c r="B10" s="559"/>
      <c r="C10" s="571"/>
      <c r="D10" s="572"/>
      <c r="E10" s="572"/>
      <c r="F10" s="572"/>
      <c r="G10" s="572"/>
      <c r="H10" s="572"/>
      <c r="I10" s="572"/>
      <c r="J10" s="573"/>
      <c r="K10" s="573"/>
      <c r="L10" s="573"/>
      <c r="M10" s="573"/>
      <c r="N10" s="573"/>
      <c r="O10" s="572"/>
      <c r="P10" s="571"/>
      <c r="Q10" s="571"/>
      <c r="R10" s="571"/>
      <c r="S10" s="571"/>
      <c r="T10" s="567"/>
    </row>
    <row r="11" spans="1:74" ht="14.4" outlineLevel="1" thickBot="1" x14ac:dyDescent="0.3">
      <c r="B11" s="559"/>
      <c r="C11" s="571"/>
      <c r="D11" s="572"/>
      <c r="E11" s="572"/>
      <c r="F11" s="929" t="s">
        <v>769</v>
      </c>
      <c r="G11" s="929" t="s">
        <v>770</v>
      </c>
      <c r="H11" s="929" t="s">
        <v>771</v>
      </c>
      <c r="I11" s="929" t="s">
        <v>772</v>
      </c>
      <c r="J11" s="929" t="s">
        <v>773</v>
      </c>
      <c r="K11" s="929" t="s">
        <v>774</v>
      </c>
      <c r="L11" s="929" t="s">
        <v>775</v>
      </c>
      <c r="M11" s="929" t="s">
        <v>776</v>
      </c>
      <c r="N11" s="929" t="s">
        <v>777</v>
      </c>
      <c r="O11" s="929" t="s">
        <v>778</v>
      </c>
      <c r="P11" s="929" t="s">
        <v>779</v>
      </c>
      <c r="Q11" s="571"/>
      <c r="R11" s="929" t="s">
        <v>570</v>
      </c>
      <c r="S11" s="929" t="s">
        <v>781</v>
      </c>
      <c r="T11" s="567"/>
    </row>
    <row r="12" spans="1:74" ht="15" outlineLevel="1" thickTop="1" thickBot="1" x14ac:dyDescent="0.3">
      <c r="B12" s="559"/>
      <c r="C12" s="571"/>
      <c r="D12" s="943" t="s">
        <v>768</v>
      </c>
      <c r="E12" s="572"/>
      <c r="F12" s="1736"/>
      <c r="G12" s="1736"/>
      <c r="H12" s="1736"/>
      <c r="I12" s="1736"/>
      <c r="J12" s="1736"/>
      <c r="K12" s="1736"/>
      <c r="L12" s="1736"/>
      <c r="M12" s="1736"/>
      <c r="N12" s="1736"/>
      <c r="O12" s="1736"/>
      <c r="P12" s="1736"/>
      <c r="Q12" s="571"/>
      <c r="R12" s="572"/>
      <c r="S12" s="572"/>
      <c r="T12" s="567"/>
    </row>
    <row r="13" spans="1:74" ht="15" outlineLevel="1" thickTop="1" thickBot="1" x14ac:dyDescent="0.3">
      <c r="B13" s="559"/>
      <c r="C13" s="571"/>
      <c r="D13" s="943" t="s">
        <v>819</v>
      </c>
      <c r="E13" s="572"/>
      <c r="F13" s="1737"/>
      <c r="G13" s="1737"/>
      <c r="H13" s="1737"/>
      <c r="I13" s="1737"/>
      <c r="J13" s="1737"/>
      <c r="K13" s="1737"/>
      <c r="L13" s="1737"/>
      <c r="M13" s="1737"/>
      <c r="N13" s="1737"/>
      <c r="O13" s="1737"/>
      <c r="P13" s="1737"/>
      <c r="Q13" s="572"/>
      <c r="R13" s="572"/>
      <c r="S13" s="572"/>
      <c r="T13" s="567"/>
    </row>
    <row r="14" spans="1:74" ht="15" outlineLevel="1" thickTop="1" thickBot="1" x14ac:dyDescent="0.3">
      <c r="B14" s="559"/>
      <c r="C14" s="571"/>
      <c r="D14" s="943" t="s">
        <v>793</v>
      </c>
      <c r="E14" s="572"/>
      <c r="F14" s="1737"/>
      <c r="G14" s="1737"/>
      <c r="H14" s="1737"/>
      <c r="I14" s="1737"/>
      <c r="J14" s="1737"/>
      <c r="K14" s="1737"/>
      <c r="L14" s="1737"/>
      <c r="M14" s="1737"/>
      <c r="N14" s="1737"/>
      <c r="O14" s="1737"/>
      <c r="P14" s="1737"/>
      <c r="Q14" s="572"/>
      <c r="R14" s="572"/>
      <c r="S14" s="572"/>
      <c r="T14" s="567"/>
    </row>
    <row r="15" spans="1:74" ht="15" outlineLevel="1" thickTop="1" thickBot="1" x14ac:dyDescent="0.3">
      <c r="B15" s="559"/>
      <c r="C15" s="571"/>
      <c r="D15" s="943" t="s">
        <v>794</v>
      </c>
      <c r="E15" s="572"/>
      <c r="F15" s="1737"/>
      <c r="G15" s="1737"/>
      <c r="H15" s="1737"/>
      <c r="I15" s="1737"/>
      <c r="J15" s="1737"/>
      <c r="K15" s="1737"/>
      <c r="L15" s="1737"/>
      <c r="M15" s="1737"/>
      <c r="N15" s="1737"/>
      <c r="O15" s="1737"/>
      <c r="P15" s="1737"/>
      <c r="Q15" s="572"/>
      <c r="R15" s="572"/>
      <c r="S15" s="572"/>
      <c r="T15" s="567"/>
    </row>
    <row r="16" spans="1:74" ht="15" outlineLevel="1" thickTop="1" thickBot="1" x14ac:dyDescent="0.3">
      <c r="B16" s="559"/>
      <c r="C16" s="571"/>
      <c r="D16" s="943" t="s">
        <v>803</v>
      </c>
      <c r="E16" s="572"/>
      <c r="F16" s="1738"/>
      <c r="G16" s="1738"/>
      <c r="H16" s="1738"/>
      <c r="I16" s="1738"/>
      <c r="J16" s="1738"/>
      <c r="K16" s="1738"/>
      <c r="L16" s="1738"/>
      <c r="M16" s="1738"/>
      <c r="N16" s="1738"/>
      <c r="O16" s="1738"/>
      <c r="P16" s="1738"/>
      <c r="Q16" s="946"/>
      <c r="R16" s="981">
        <f>IFERROR(AVERAGE(F16:P16),0)</f>
        <v>0</v>
      </c>
      <c r="S16" s="981">
        <f>IFERROR(MEDIAN(F16:P16),0)</f>
        <v>0</v>
      </c>
      <c r="T16" s="567"/>
    </row>
    <row r="17" spans="2:20" ht="15" outlineLevel="1" thickTop="1" thickBot="1" x14ac:dyDescent="0.3">
      <c r="B17" s="559"/>
      <c r="C17" s="571"/>
      <c r="D17" s="943" t="s">
        <v>804</v>
      </c>
      <c r="E17" s="572"/>
      <c r="F17" s="1739"/>
      <c r="G17" s="1739"/>
      <c r="H17" s="1739"/>
      <c r="I17" s="1739"/>
      <c r="J17" s="1739"/>
      <c r="K17" s="1739"/>
      <c r="L17" s="1739"/>
      <c r="M17" s="1739"/>
      <c r="N17" s="1739"/>
      <c r="O17" s="1739"/>
      <c r="P17" s="1739"/>
      <c r="Q17" s="947"/>
      <c r="R17" s="982">
        <f>IFERROR(AVERAGE(F17:P17),0)</f>
        <v>0</v>
      </c>
      <c r="S17" s="982">
        <f>IFERROR(MEDIAN(F17:P17),0)</f>
        <v>0</v>
      </c>
      <c r="T17" s="567"/>
    </row>
    <row r="18" spans="2:20" ht="15" customHeight="1" outlineLevel="1" thickTop="1" thickBot="1" x14ac:dyDescent="0.3">
      <c r="B18" s="559"/>
      <c r="C18" s="571"/>
      <c r="D18" s="943" t="s">
        <v>813</v>
      </c>
      <c r="E18" s="572"/>
      <c r="F18" s="1739"/>
      <c r="G18" s="1739"/>
      <c r="H18" s="1739"/>
      <c r="I18" s="1739"/>
      <c r="J18" s="1739"/>
      <c r="K18" s="1739"/>
      <c r="L18" s="1739"/>
      <c r="M18" s="1739"/>
      <c r="N18" s="1739"/>
      <c r="O18" s="1739"/>
      <c r="P18" s="1739"/>
      <c r="Q18" s="947"/>
      <c r="R18" s="572"/>
      <c r="S18" s="572"/>
      <c r="T18" s="567"/>
    </row>
    <row r="19" spans="2:20" ht="15" customHeight="1" outlineLevel="1" thickTop="1" thickBot="1" x14ac:dyDescent="0.3">
      <c r="B19" s="559"/>
      <c r="C19" s="571"/>
      <c r="D19" s="9"/>
      <c r="E19" s="572"/>
      <c r="F19" s="572"/>
      <c r="G19" s="572"/>
      <c r="H19" s="572"/>
      <c r="I19" s="572"/>
      <c r="J19" s="572"/>
      <c r="K19" s="572"/>
      <c r="L19" s="572"/>
      <c r="M19" s="572"/>
      <c r="N19" s="572"/>
      <c r="O19" s="572"/>
      <c r="P19" s="572"/>
      <c r="Q19" s="572"/>
      <c r="R19" s="572"/>
      <c r="S19" s="572"/>
      <c r="T19" s="567"/>
    </row>
    <row r="20" spans="2:20" ht="15" customHeight="1" outlineLevel="1" thickTop="1" thickBot="1" x14ac:dyDescent="0.3">
      <c r="B20" s="559"/>
      <c r="C20" s="571"/>
      <c r="D20" s="943" t="s">
        <v>789</v>
      </c>
      <c r="E20" s="572"/>
      <c r="F20" s="1740"/>
      <c r="G20" s="1740"/>
      <c r="H20" s="1740"/>
      <c r="I20" s="1740"/>
      <c r="J20" s="1740"/>
      <c r="K20" s="1740"/>
      <c r="L20" s="1740"/>
      <c r="M20" s="1740"/>
      <c r="N20" s="1740"/>
      <c r="O20" s="1740"/>
      <c r="P20" s="1740"/>
      <c r="Q20" s="945"/>
      <c r="R20" s="983">
        <f>IFERROR(AVERAGE(F20:P20),0)</f>
        <v>0</v>
      </c>
      <c r="S20" s="983">
        <f>IFERROR(MEDIAN(F20:P20),0)</f>
        <v>0</v>
      </c>
      <c r="T20" s="567"/>
    </row>
    <row r="21" spans="2:20" ht="15" customHeight="1" outlineLevel="1" thickTop="1" thickBot="1" x14ac:dyDescent="0.3">
      <c r="B21" s="559"/>
      <c r="C21" s="571"/>
      <c r="D21" s="943" t="s">
        <v>788</v>
      </c>
      <c r="E21" s="572"/>
      <c r="F21" s="1740"/>
      <c r="G21" s="1740"/>
      <c r="H21" s="1740"/>
      <c r="I21" s="1740"/>
      <c r="J21" s="1740"/>
      <c r="K21" s="1740"/>
      <c r="L21" s="1740"/>
      <c r="M21" s="1740"/>
      <c r="N21" s="1740"/>
      <c r="O21" s="1740"/>
      <c r="P21" s="1740"/>
      <c r="Q21" s="945"/>
      <c r="R21" s="983">
        <f>IFERROR(AVERAGE(F21:P21),0)</f>
        <v>0</v>
      </c>
      <c r="S21" s="983">
        <f>IFERROR(MEDIAN(F21:P21),0)</f>
        <v>0</v>
      </c>
      <c r="T21" s="567"/>
    </row>
    <row r="22" spans="2:20" ht="15" customHeight="1" outlineLevel="1" thickTop="1" thickBot="1" x14ac:dyDescent="0.3">
      <c r="B22" s="559"/>
      <c r="C22" s="571"/>
      <c r="D22" s="943" t="s">
        <v>790</v>
      </c>
      <c r="E22" s="572"/>
      <c r="F22" s="572"/>
      <c r="G22" s="572"/>
      <c r="H22" s="572"/>
      <c r="I22" s="572"/>
      <c r="J22" s="572"/>
      <c r="K22" s="572"/>
      <c r="L22" s="572"/>
      <c r="M22" s="572"/>
      <c r="N22" s="572"/>
      <c r="O22" s="572"/>
      <c r="P22" s="572"/>
      <c r="Q22" s="571"/>
      <c r="R22" s="572"/>
      <c r="S22" s="572"/>
      <c r="T22" s="567"/>
    </row>
    <row r="23" spans="2:20" ht="15" customHeight="1" outlineLevel="1" thickTop="1" thickBot="1" x14ac:dyDescent="0.3">
      <c r="B23" s="559"/>
      <c r="C23" s="571"/>
      <c r="D23" s="944" t="s">
        <v>782</v>
      </c>
      <c r="E23" s="572"/>
      <c r="F23" s="1737"/>
      <c r="G23" s="1737"/>
      <c r="H23" s="1737"/>
      <c r="I23" s="1737"/>
      <c r="J23" s="1737"/>
      <c r="K23" s="1737"/>
      <c r="L23" s="1737"/>
      <c r="M23" s="1737"/>
      <c r="N23" s="1737"/>
      <c r="O23" s="1737"/>
      <c r="P23" s="1737"/>
      <c r="Q23" s="571"/>
      <c r="R23" s="572"/>
      <c r="S23" s="572"/>
      <c r="T23" s="567"/>
    </row>
    <row r="24" spans="2:20" ht="15" customHeight="1" outlineLevel="1" thickTop="1" thickBot="1" x14ac:dyDescent="0.3">
      <c r="B24" s="559"/>
      <c r="C24" s="571"/>
      <c r="D24" s="944" t="s">
        <v>783</v>
      </c>
      <c r="E24" s="572"/>
      <c r="F24" s="1737"/>
      <c r="G24" s="1737"/>
      <c r="H24" s="1737"/>
      <c r="I24" s="1737"/>
      <c r="J24" s="1737"/>
      <c r="K24" s="1737"/>
      <c r="L24" s="1737"/>
      <c r="M24" s="1737"/>
      <c r="N24" s="1737"/>
      <c r="O24" s="1737"/>
      <c r="P24" s="1737"/>
      <c r="Q24" s="571"/>
      <c r="R24" s="572"/>
      <c r="S24" s="572"/>
      <c r="T24" s="567"/>
    </row>
    <row r="25" spans="2:20" ht="15" customHeight="1" outlineLevel="1" thickTop="1" thickBot="1" x14ac:dyDescent="0.3">
      <c r="B25" s="559"/>
      <c r="C25" s="571"/>
      <c r="D25" s="944" t="s">
        <v>784</v>
      </c>
      <c r="E25" s="572"/>
      <c r="F25" s="1737"/>
      <c r="G25" s="1737"/>
      <c r="H25" s="1737"/>
      <c r="I25" s="1737"/>
      <c r="J25" s="1737"/>
      <c r="K25" s="1737"/>
      <c r="L25" s="1737"/>
      <c r="M25" s="1737"/>
      <c r="N25" s="1737"/>
      <c r="O25" s="1737"/>
      <c r="P25" s="1737"/>
      <c r="Q25" s="571"/>
      <c r="R25" s="572"/>
      <c r="S25" s="572"/>
      <c r="T25" s="567"/>
    </row>
    <row r="26" spans="2:20" ht="15" customHeight="1" outlineLevel="1" thickTop="1" thickBot="1" x14ac:dyDescent="0.3">
      <c r="B26" s="559"/>
      <c r="C26" s="571"/>
      <c r="D26" s="944" t="s">
        <v>785</v>
      </c>
      <c r="E26" s="572"/>
      <c r="F26" s="1737"/>
      <c r="G26" s="1737"/>
      <c r="H26" s="1737"/>
      <c r="I26" s="1737"/>
      <c r="J26" s="1737"/>
      <c r="K26" s="1737"/>
      <c r="L26" s="1737"/>
      <c r="M26" s="1737"/>
      <c r="N26" s="1737"/>
      <c r="O26" s="1737"/>
      <c r="P26" s="1737"/>
      <c r="Q26" s="571"/>
      <c r="R26" s="572"/>
      <c r="S26" s="572"/>
      <c r="T26" s="567"/>
    </row>
    <row r="27" spans="2:20" ht="15" customHeight="1" outlineLevel="1" thickTop="1" thickBot="1" x14ac:dyDescent="0.3">
      <c r="B27" s="559"/>
      <c r="C27" s="571"/>
      <c r="D27" s="944" t="s">
        <v>786</v>
      </c>
      <c r="E27" s="572"/>
      <c r="F27" s="1737"/>
      <c r="G27" s="1737"/>
      <c r="H27" s="1737"/>
      <c r="I27" s="1737"/>
      <c r="J27" s="1737"/>
      <c r="K27" s="1737"/>
      <c r="L27" s="1737"/>
      <c r="M27" s="1737"/>
      <c r="N27" s="1737"/>
      <c r="O27" s="1737"/>
      <c r="P27" s="1737"/>
      <c r="Q27" s="571"/>
      <c r="R27" s="572"/>
      <c r="S27" s="572"/>
      <c r="T27" s="567"/>
    </row>
    <row r="28" spans="2:20" ht="15" customHeight="1" outlineLevel="1" thickTop="1" thickBot="1" x14ac:dyDescent="0.3">
      <c r="B28" s="559"/>
      <c r="C28" s="571"/>
      <c r="D28" s="944" t="s">
        <v>787</v>
      </c>
      <c r="E28" s="572"/>
      <c r="F28" s="1737"/>
      <c r="G28" s="1737"/>
      <c r="H28" s="1737"/>
      <c r="I28" s="1737"/>
      <c r="J28" s="1737"/>
      <c r="K28" s="1737"/>
      <c r="L28" s="1737"/>
      <c r="M28" s="1737"/>
      <c r="N28" s="1737"/>
      <c r="O28" s="1737"/>
      <c r="P28" s="1737"/>
      <c r="Q28" s="571"/>
      <c r="R28" s="572"/>
      <c r="S28" s="572"/>
      <c r="T28" s="567"/>
    </row>
    <row r="29" spans="2:20" ht="15" customHeight="1" outlineLevel="1" thickTop="1" thickBot="1" x14ac:dyDescent="0.3">
      <c r="B29" s="559"/>
      <c r="C29" s="571"/>
      <c r="D29" s="572"/>
      <c r="E29" s="572"/>
      <c r="F29" s="572"/>
      <c r="G29" s="572"/>
      <c r="H29" s="572"/>
      <c r="I29" s="572"/>
      <c r="J29" s="572"/>
      <c r="K29" s="572"/>
      <c r="L29" s="572"/>
      <c r="M29" s="572"/>
      <c r="N29" s="572"/>
      <c r="O29" s="572"/>
      <c r="P29" s="572"/>
      <c r="Q29" s="571"/>
      <c r="R29" s="572"/>
      <c r="S29" s="572"/>
      <c r="T29" s="567"/>
    </row>
    <row r="30" spans="2:20" ht="15" customHeight="1" outlineLevel="1" thickTop="1" thickBot="1" x14ac:dyDescent="0.3">
      <c r="B30" s="559"/>
      <c r="C30" s="571"/>
      <c r="D30" s="943" t="s">
        <v>791</v>
      </c>
      <c r="E30" s="572"/>
      <c r="F30" s="1740"/>
      <c r="G30" s="1740"/>
      <c r="H30" s="1740"/>
      <c r="I30" s="1740"/>
      <c r="J30" s="1740"/>
      <c r="K30" s="1740"/>
      <c r="L30" s="1740"/>
      <c r="M30" s="1740"/>
      <c r="N30" s="1740"/>
      <c r="O30" s="1740"/>
      <c r="P30" s="1740"/>
      <c r="Q30" s="945"/>
      <c r="R30" s="983">
        <f>IFERROR(AVERAGE(F30:P30),0)</f>
        <v>0</v>
      </c>
      <c r="S30" s="983">
        <f>IFERROR(MEDIAN(F30:P30),0)</f>
        <v>0</v>
      </c>
      <c r="T30" s="567"/>
    </row>
    <row r="31" spans="2:20" ht="15" outlineLevel="1" thickTop="1" thickBot="1" x14ac:dyDescent="0.3">
      <c r="B31" s="559"/>
      <c r="C31" s="571"/>
      <c r="D31" s="943" t="s">
        <v>792</v>
      </c>
      <c r="E31" s="572"/>
      <c r="F31" s="1765"/>
      <c r="G31" s="1765"/>
      <c r="H31" s="1765"/>
      <c r="I31" s="1765"/>
      <c r="J31" s="1765"/>
      <c r="K31" s="1765"/>
      <c r="L31" s="1765"/>
      <c r="M31" s="1765"/>
      <c r="N31" s="1765"/>
      <c r="O31" s="1765"/>
      <c r="P31" s="1765"/>
      <c r="Q31" s="571"/>
      <c r="R31" s="983">
        <f>IFERROR(AVERAGE(F31:P31),0)</f>
        <v>0</v>
      </c>
      <c r="S31" s="983">
        <f>IFERROR(MEDIAN(F31:P31),0)</f>
        <v>0</v>
      </c>
      <c r="T31" s="567"/>
    </row>
    <row r="32" spans="2:20" ht="14.4" outlineLevel="1" thickTop="1" x14ac:dyDescent="0.25">
      <c r="B32" s="559"/>
      <c r="C32" s="948"/>
      <c r="D32" s="1771"/>
      <c r="E32" s="1771"/>
      <c r="F32" s="1771"/>
      <c r="G32" s="1771"/>
      <c r="H32" s="1771"/>
      <c r="I32" s="1771"/>
      <c r="J32" s="1771"/>
      <c r="K32" s="1771"/>
      <c r="L32" s="1771"/>
      <c r="M32" s="1771"/>
      <c r="N32" s="1771"/>
      <c r="O32" s="1771"/>
      <c r="P32" s="1771"/>
      <c r="Q32" s="1771"/>
      <c r="R32" s="1771"/>
      <c r="S32" s="1771"/>
      <c r="T32" s="567"/>
    </row>
    <row r="33" spans="1:80" outlineLevel="1" x14ac:dyDescent="0.25">
      <c r="B33" s="575"/>
      <c r="C33" s="566">
        <v>2</v>
      </c>
      <c r="D33" s="380" t="s">
        <v>805</v>
      </c>
      <c r="E33" s="537"/>
      <c r="F33" s="537"/>
      <c r="G33" s="928" t="s">
        <v>808</v>
      </c>
      <c r="H33" s="1741">
        <v>2</v>
      </c>
      <c r="I33" s="1742" t="s">
        <v>809</v>
      </c>
      <c r="J33" s="1718">
        <f>MATCH(I33,HIDE5!W21:W23,0)</f>
        <v>1</v>
      </c>
      <c r="K33" s="1719">
        <f>CHOOSE(J33,1,7,30)*H33</f>
        <v>2</v>
      </c>
      <c r="L33" s="537"/>
      <c r="M33" s="568"/>
      <c r="N33" s="569"/>
      <c r="O33" s="569"/>
      <c r="P33" s="570"/>
      <c r="Q33" s="570"/>
      <c r="R33" s="570"/>
      <c r="S33" s="570"/>
      <c r="T33" s="567"/>
    </row>
    <row r="34" spans="1:80" ht="14.4" outlineLevel="1" thickBot="1" x14ac:dyDescent="0.3">
      <c r="B34" s="1767"/>
      <c r="C34" s="1768"/>
      <c r="D34" s="1771"/>
      <c r="E34" s="1771"/>
      <c r="F34" s="1771"/>
      <c r="G34" s="1771"/>
      <c r="H34" s="1771"/>
      <c r="I34" s="1771"/>
      <c r="J34" s="1771"/>
      <c r="K34" s="1771"/>
      <c r="L34" s="1771"/>
      <c r="M34" s="1771"/>
      <c r="N34" s="1771"/>
      <c r="O34" s="1771"/>
      <c r="P34" s="1771"/>
      <c r="Q34" s="1771"/>
      <c r="R34" s="1771"/>
      <c r="S34" s="1771"/>
      <c r="T34" s="567"/>
    </row>
    <row r="35" spans="1:80" ht="15" outlineLevel="1" thickTop="1" thickBot="1" x14ac:dyDescent="0.3">
      <c r="B35" s="1767"/>
      <c r="C35" s="1768"/>
      <c r="D35" s="943" t="s">
        <v>534</v>
      </c>
      <c r="E35" s="572"/>
      <c r="F35" s="1743"/>
      <c r="G35" s="1743"/>
      <c r="H35" s="1743"/>
      <c r="I35" s="1743"/>
      <c r="J35" s="1743"/>
      <c r="K35" s="1743"/>
      <c r="L35" s="1743"/>
      <c r="M35" s="1743"/>
      <c r="N35" s="1743"/>
      <c r="O35" s="1743"/>
      <c r="P35" s="1743"/>
      <c r="Q35" s="953"/>
      <c r="R35" s="984">
        <f t="shared" ref="R35:R40" si="1">IFERROR(AVERAGEIF(F35:P35,"&lt;&gt;0",F35:P35),0)</f>
        <v>0</v>
      </c>
      <c r="S35" s="984">
        <f t="shared" ref="S35:S40" si="2">IFERROR(MEDIAN(F35:P35),0)</f>
        <v>0</v>
      </c>
      <c r="T35" s="567"/>
    </row>
    <row r="36" spans="1:80" s="949" customFormat="1" ht="15" customHeight="1" outlineLevel="1" thickTop="1" thickBot="1" x14ac:dyDescent="0.3">
      <c r="A36" s="274"/>
      <c r="B36" s="1767"/>
      <c r="C36" s="1768"/>
      <c r="D36" s="943" t="s">
        <v>806</v>
      </c>
      <c r="E36" s="572"/>
      <c r="F36" s="1743"/>
      <c r="G36" s="1743"/>
      <c r="H36" s="1743"/>
      <c r="I36" s="1743"/>
      <c r="J36" s="1743"/>
      <c r="K36" s="1743"/>
      <c r="L36" s="1743"/>
      <c r="M36" s="1743"/>
      <c r="N36" s="1743"/>
      <c r="O36" s="1743"/>
      <c r="P36" s="1743"/>
      <c r="Q36" s="953"/>
      <c r="R36" s="984">
        <f t="shared" si="1"/>
        <v>0</v>
      </c>
      <c r="S36" s="984">
        <f t="shared" si="2"/>
        <v>0</v>
      </c>
      <c r="T36" s="567"/>
      <c r="U36" s="274"/>
      <c r="V36" s="274"/>
      <c r="W36" s="274"/>
      <c r="X36" s="274"/>
      <c r="Y36" s="274"/>
      <c r="Z36" s="274"/>
      <c r="AA36" s="274"/>
      <c r="AB36" s="274"/>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274"/>
      <c r="BO36" s="274"/>
      <c r="BP36" s="274"/>
      <c r="BQ36" s="274"/>
      <c r="BR36" s="274"/>
      <c r="BS36" s="274"/>
      <c r="BT36" s="274"/>
      <c r="BU36" s="274"/>
      <c r="BV36" s="274"/>
      <c r="BW36" s="274"/>
      <c r="BX36" s="274"/>
      <c r="BY36" s="274"/>
      <c r="BZ36" s="274"/>
      <c r="CA36" s="274"/>
      <c r="CB36" s="274"/>
    </row>
    <row r="37" spans="1:80" ht="15" customHeight="1" outlineLevel="1" thickTop="1" thickBot="1" x14ac:dyDescent="0.3">
      <c r="B37" s="1767"/>
      <c r="C37" s="1768"/>
      <c r="D37" s="943" t="s">
        <v>807</v>
      </c>
      <c r="E37" s="572"/>
      <c r="F37" s="1743"/>
      <c r="G37" s="1743"/>
      <c r="H37" s="1743"/>
      <c r="I37" s="1743"/>
      <c r="J37" s="1743"/>
      <c r="K37" s="1743"/>
      <c r="L37" s="1743"/>
      <c r="M37" s="1743"/>
      <c r="N37" s="1743"/>
      <c r="O37" s="1743"/>
      <c r="P37" s="1743"/>
      <c r="Q37" s="953"/>
      <c r="R37" s="984">
        <f t="shared" si="1"/>
        <v>0</v>
      </c>
      <c r="S37" s="984">
        <f t="shared" si="2"/>
        <v>0</v>
      </c>
      <c r="T37" s="567"/>
      <c r="V37" s="949"/>
      <c r="W37" s="949"/>
      <c r="X37" s="949"/>
      <c r="Y37" s="949"/>
      <c r="Z37" s="949"/>
      <c r="AA37" s="949"/>
      <c r="AB37" s="949"/>
      <c r="AC37" s="949"/>
      <c r="AD37" s="949"/>
      <c r="AE37" s="949"/>
      <c r="AF37" s="949"/>
      <c r="AG37" s="949"/>
      <c r="AH37" s="949"/>
      <c r="AI37" s="949"/>
      <c r="AJ37" s="949"/>
      <c r="AK37" s="949"/>
      <c r="AL37" s="949"/>
      <c r="AM37" s="949"/>
      <c r="AN37" s="949"/>
      <c r="AO37" s="949"/>
      <c r="AP37" s="949"/>
      <c r="AQ37" s="949"/>
      <c r="AR37" s="949"/>
      <c r="AS37" s="949"/>
      <c r="AT37" s="949"/>
      <c r="AU37" s="949"/>
      <c r="AV37" s="949"/>
      <c r="AW37" s="949"/>
      <c r="AX37" s="949"/>
      <c r="AY37" s="949"/>
      <c r="AZ37" s="949"/>
      <c r="BA37" s="949"/>
      <c r="BB37" s="949"/>
      <c r="BC37" s="949"/>
      <c r="BD37" s="949"/>
      <c r="BE37" s="949"/>
      <c r="BF37" s="949"/>
      <c r="BG37" s="949"/>
      <c r="BH37" s="949"/>
      <c r="BI37" s="949"/>
      <c r="BJ37" s="949"/>
      <c r="BK37" s="949"/>
      <c r="BL37" s="949"/>
      <c r="BM37" s="949"/>
      <c r="BN37" s="949"/>
      <c r="BO37" s="949"/>
      <c r="BP37" s="949"/>
      <c r="BQ37" s="949"/>
      <c r="BR37" s="949"/>
      <c r="BS37" s="949"/>
      <c r="BT37" s="949"/>
      <c r="BU37" s="949"/>
      <c r="BV37" s="949"/>
      <c r="BW37" s="949"/>
      <c r="BX37" s="949"/>
      <c r="BY37" s="949"/>
      <c r="BZ37" s="949"/>
      <c r="CA37" s="949"/>
      <c r="CB37" s="949"/>
    </row>
    <row r="38" spans="1:80" ht="15" customHeight="1" outlineLevel="1" thickTop="1" thickBot="1" x14ac:dyDescent="0.3">
      <c r="A38" s="949"/>
      <c r="B38" s="950"/>
      <c r="C38" s="1775"/>
      <c r="D38" s="951" t="str">
        <f>"Total ("&amp;H33&amp;" "&amp;I33&amp;") :"</f>
        <v>Total (2 Nights) :</v>
      </c>
      <c r="E38" s="1776"/>
      <c r="F38" s="1716" t="str">
        <f>IF($K$33*F35+F36+F37=0,"",$K$33*F35+F36+F37)</f>
        <v/>
      </c>
      <c r="G38" s="1716" t="str">
        <f t="shared" ref="G38:P38" si="3">IF($K$33*G35+G36+G37=0,"",$K$33*G35+G36+G37)</f>
        <v/>
      </c>
      <c r="H38" s="1716" t="str">
        <f t="shared" si="3"/>
        <v/>
      </c>
      <c r="I38" s="1716" t="str">
        <f t="shared" si="3"/>
        <v/>
      </c>
      <c r="J38" s="1716" t="str">
        <f t="shared" si="3"/>
        <v/>
      </c>
      <c r="K38" s="1716" t="str">
        <f t="shared" si="3"/>
        <v/>
      </c>
      <c r="L38" s="1716" t="str">
        <f t="shared" si="3"/>
        <v/>
      </c>
      <c r="M38" s="1716" t="str">
        <f t="shared" si="3"/>
        <v/>
      </c>
      <c r="N38" s="1716" t="str">
        <f t="shared" si="3"/>
        <v/>
      </c>
      <c r="O38" s="1716" t="str">
        <f t="shared" si="3"/>
        <v/>
      </c>
      <c r="P38" s="1716" t="str">
        <f t="shared" si="3"/>
        <v/>
      </c>
      <c r="Q38" s="1776"/>
      <c r="R38" s="984">
        <f t="shared" si="1"/>
        <v>0</v>
      </c>
      <c r="S38" s="984">
        <f t="shared" si="2"/>
        <v>0</v>
      </c>
      <c r="T38" s="952"/>
      <c r="U38" s="949"/>
    </row>
    <row r="39" spans="1:80" ht="15" outlineLevel="1" thickTop="1" thickBot="1" x14ac:dyDescent="0.3">
      <c r="B39" s="559"/>
      <c r="C39" s="1768"/>
      <c r="D39" s="943" t="s">
        <v>1118</v>
      </c>
      <c r="E39" s="1771"/>
      <c r="F39" s="1717" t="str">
        <f>IFERROR(F35/F20,"")</f>
        <v/>
      </c>
      <c r="G39" s="1717" t="str">
        <f t="shared" ref="G39:P39" si="4">IFERROR(G35/G20,"")</f>
        <v/>
      </c>
      <c r="H39" s="1717" t="str">
        <f t="shared" si="4"/>
        <v/>
      </c>
      <c r="I39" s="1717" t="str">
        <f t="shared" si="4"/>
        <v/>
      </c>
      <c r="J39" s="1717" t="str">
        <f t="shared" si="4"/>
        <v/>
      </c>
      <c r="K39" s="1717" t="str">
        <f t="shared" si="4"/>
        <v/>
      </c>
      <c r="L39" s="1717" t="str">
        <f t="shared" si="4"/>
        <v/>
      </c>
      <c r="M39" s="1717" t="str">
        <f t="shared" si="4"/>
        <v/>
      </c>
      <c r="N39" s="1717" t="str">
        <f t="shared" si="4"/>
        <v/>
      </c>
      <c r="O39" s="1717" t="str">
        <f t="shared" si="4"/>
        <v/>
      </c>
      <c r="P39" s="1717" t="str">
        <f t="shared" si="4"/>
        <v/>
      </c>
      <c r="Q39" s="1771"/>
      <c r="R39" s="984">
        <f t="shared" si="1"/>
        <v>0</v>
      </c>
      <c r="S39" s="984">
        <f t="shared" si="2"/>
        <v>0</v>
      </c>
      <c r="T39" s="567"/>
    </row>
    <row r="40" spans="1:80" s="558" customFormat="1" ht="15" customHeight="1" outlineLevel="1" thickTop="1" thickBot="1" x14ac:dyDescent="0.3">
      <c r="A40" s="274"/>
      <c r="B40" s="559"/>
      <c r="C40" s="1768"/>
      <c r="D40" s="943" t="s">
        <v>812</v>
      </c>
      <c r="E40" s="1771"/>
      <c r="F40" s="1717" t="str">
        <f>IFERROR(F38/$K$33/F20,"")</f>
        <v/>
      </c>
      <c r="G40" s="1717" t="str">
        <f t="shared" ref="G40:P40" si="5">IFERROR(G38/$K$33/G20,"")</f>
        <v/>
      </c>
      <c r="H40" s="1717" t="str">
        <f t="shared" si="5"/>
        <v/>
      </c>
      <c r="I40" s="1717" t="str">
        <f t="shared" si="5"/>
        <v/>
      </c>
      <c r="J40" s="1717" t="str">
        <f t="shared" si="5"/>
        <v/>
      </c>
      <c r="K40" s="1717" t="str">
        <f t="shared" si="5"/>
        <v/>
      </c>
      <c r="L40" s="1717" t="str">
        <f t="shared" si="5"/>
        <v/>
      </c>
      <c r="M40" s="1717" t="str">
        <f t="shared" si="5"/>
        <v/>
      </c>
      <c r="N40" s="1717" t="str">
        <f t="shared" si="5"/>
        <v/>
      </c>
      <c r="O40" s="1717" t="str">
        <f t="shared" si="5"/>
        <v/>
      </c>
      <c r="P40" s="1717" t="str">
        <f t="shared" si="5"/>
        <v/>
      </c>
      <c r="Q40" s="1771"/>
      <c r="R40" s="984">
        <f t="shared" si="1"/>
        <v>0</v>
      </c>
      <c r="S40" s="984">
        <f t="shared" si="2"/>
        <v>0</v>
      </c>
      <c r="T40" s="567"/>
      <c r="U40" s="274"/>
      <c r="V40" s="274"/>
      <c r="W40" s="274"/>
      <c r="X40" s="274"/>
      <c r="Y40" s="274"/>
      <c r="Z40" s="274"/>
      <c r="AA40" s="274"/>
      <c r="AB40" s="274"/>
      <c r="AC40" s="274"/>
      <c r="AD40" s="274"/>
      <c r="AE40" s="274"/>
      <c r="AF40" s="274"/>
      <c r="AG40" s="274"/>
      <c r="AH40" s="274"/>
      <c r="AI40" s="274"/>
      <c r="AJ40" s="274"/>
      <c r="AK40" s="274"/>
      <c r="AL40" s="274"/>
      <c r="AM40" s="274"/>
      <c r="AN40" s="274"/>
      <c r="AO40" s="274"/>
      <c r="AP40" s="274"/>
      <c r="AQ40" s="274"/>
      <c r="AR40" s="274"/>
      <c r="AS40" s="274"/>
      <c r="AT40" s="274"/>
      <c r="AU40" s="274"/>
      <c r="AV40" s="274"/>
      <c r="AW40" s="274"/>
      <c r="AX40" s="274"/>
      <c r="AY40" s="274"/>
      <c r="AZ40" s="274"/>
      <c r="BA40" s="274"/>
      <c r="BB40" s="274"/>
      <c r="BC40" s="274"/>
      <c r="BD40" s="274"/>
      <c r="BE40" s="274"/>
      <c r="BF40" s="274"/>
      <c r="BG40" s="274"/>
      <c r="BH40" s="274"/>
      <c r="BI40" s="274"/>
      <c r="BJ40" s="274"/>
      <c r="BK40" s="274"/>
      <c r="BL40" s="274"/>
      <c r="BM40" s="274"/>
      <c r="BN40" s="274"/>
      <c r="BO40" s="274"/>
      <c r="BP40" s="274"/>
      <c r="BQ40" s="274"/>
      <c r="BR40" s="274"/>
      <c r="BS40" s="274"/>
      <c r="BT40" s="274"/>
      <c r="BU40" s="274"/>
      <c r="BV40" s="274"/>
      <c r="BW40" s="274"/>
      <c r="BX40" s="274"/>
      <c r="BY40" s="274"/>
      <c r="BZ40" s="274"/>
      <c r="CA40" s="274"/>
      <c r="CB40" s="274"/>
    </row>
    <row r="41" spans="1:80" ht="15" customHeight="1" thickTop="1" x14ac:dyDescent="0.25">
      <c r="B41" s="575"/>
      <c r="C41" s="9"/>
      <c r="D41" s="9"/>
      <c r="E41" s="9"/>
      <c r="F41" s="9"/>
      <c r="G41" s="9"/>
      <c r="H41" s="9"/>
      <c r="I41" s="9"/>
      <c r="J41" s="9"/>
      <c r="K41" s="9"/>
      <c r="L41" s="9"/>
      <c r="M41" s="9"/>
      <c r="N41" s="9"/>
      <c r="O41" s="9"/>
      <c r="P41" s="9"/>
      <c r="Q41" s="9"/>
      <c r="R41" s="9"/>
      <c r="S41" s="9"/>
      <c r="T41" s="567"/>
      <c r="V41" s="558"/>
      <c r="W41" s="558"/>
      <c r="X41" s="558"/>
      <c r="Y41" s="558"/>
      <c r="Z41" s="558"/>
      <c r="AA41" s="558"/>
      <c r="AB41" s="558"/>
      <c r="AC41" s="558"/>
      <c r="AD41" s="558"/>
      <c r="AE41" s="558"/>
      <c r="AF41" s="558"/>
      <c r="AG41" s="558"/>
      <c r="AH41" s="558"/>
      <c r="AI41" s="558"/>
      <c r="AJ41" s="558"/>
      <c r="AK41" s="558"/>
      <c r="AL41" s="558"/>
      <c r="AM41" s="558"/>
      <c r="AN41" s="558"/>
      <c r="AO41" s="558"/>
      <c r="AP41" s="558"/>
      <c r="AQ41" s="558"/>
      <c r="AR41" s="558"/>
      <c r="AS41" s="558"/>
      <c r="AT41" s="558"/>
      <c r="AU41" s="558"/>
      <c r="AV41" s="558"/>
      <c r="AW41" s="558"/>
      <c r="AX41" s="558"/>
      <c r="AY41" s="558"/>
      <c r="AZ41" s="558"/>
      <c r="BA41" s="558"/>
      <c r="BB41" s="558"/>
      <c r="BC41" s="558"/>
      <c r="BD41" s="558"/>
      <c r="BE41" s="558"/>
      <c r="BF41" s="558"/>
      <c r="BG41" s="558"/>
      <c r="BH41" s="558"/>
      <c r="BI41" s="558"/>
      <c r="BJ41" s="558"/>
      <c r="BK41" s="558"/>
      <c r="BL41" s="558"/>
      <c r="BM41" s="558"/>
      <c r="BN41" s="558"/>
      <c r="BO41" s="558"/>
      <c r="BP41" s="558"/>
      <c r="BQ41" s="558"/>
      <c r="BR41" s="558"/>
      <c r="BS41" s="558"/>
      <c r="BT41" s="558"/>
      <c r="BU41" s="558"/>
      <c r="BV41" s="558"/>
      <c r="BW41" s="558"/>
      <c r="BX41" s="558"/>
      <c r="BY41" s="558"/>
      <c r="BZ41" s="558"/>
      <c r="CA41" s="558"/>
      <c r="CB41" s="558"/>
    </row>
    <row r="42" spans="1:80" x14ac:dyDescent="0.25">
      <c r="A42" s="558"/>
      <c r="B42" s="561"/>
      <c r="C42" s="578"/>
      <c r="D42" s="578"/>
      <c r="E42" s="578"/>
      <c r="F42" s="578"/>
      <c r="G42" s="578"/>
      <c r="H42" s="578"/>
      <c r="I42" s="578"/>
      <c r="J42" s="578"/>
      <c r="K42" s="578"/>
      <c r="L42" s="578"/>
      <c r="M42" s="579"/>
      <c r="N42" s="579"/>
      <c r="O42" s="579"/>
      <c r="P42" s="579"/>
      <c r="Q42" s="579"/>
      <c r="R42" s="579"/>
      <c r="S42" s="579"/>
      <c r="T42" s="580"/>
      <c r="U42" s="558"/>
    </row>
    <row r="43" spans="1:80" outlineLevel="1" x14ac:dyDescent="0.25"/>
    <row r="44" spans="1:80" outlineLevel="1" x14ac:dyDescent="0.25">
      <c r="B44" s="562">
        <v>2</v>
      </c>
      <c r="C44" s="563" t="s">
        <v>844</v>
      </c>
      <c r="D44" s="564"/>
      <c r="E44" s="564"/>
      <c r="F44" s="564"/>
      <c r="G44" s="564"/>
      <c r="H44" s="564"/>
      <c r="I44" s="564"/>
      <c r="J44" s="564"/>
      <c r="K44" s="564"/>
      <c r="L44" s="564"/>
      <c r="M44" s="564"/>
      <c r="N44" s="564"/>
      <c r="O44" s="564"/>
      <c r="P44" s="564"/>
      <c r="Q44" s="564"/>
      <c r="R44" s="564"/>
      <c r="S44" s="564"/>
      <c r="T44" s="565"/>
    </row>
    <row r="45" spans="1:80" outlineLevel="1" x14ac:dyDescent="0.25">
      <c r="B45" s="559"/>
      <c r="C45" s="9"/>
      <c r="D45" s="9"/>
      <c r="E45" s="9"/>
      <c r="F45" s="9"/>
      <c r="G45" s="9"/>
      <c r="H45" s="9"/>
      <c r="I45" s="9"/>
      <c r="J45" s="9"/>
      <c r="K45" s="9"/>
      <c r="L45" s="9"/>
      <c r="M45" s="9"/>
      <c r="N45" s="9"/>
      <c r="O45" s="9"/>
      <c r="P45" s="9"/>
      <c r="Q45" s="9"/>
      <c r="R45" s="9"/>
      <c r="S45" s="9"/>
      <c r="T45" s="560"/>
    </row>
    <row r="46" spans="1:80" ht="15" customHeight="1" outlineLevel="1" x14ac:dyDescent="0.25">
      <c r="B46" s="559"/>
      <c r="C46" s="566">
        <v>1</v>
      </c>
      <c r="D46" s="380" t="s">
        <v>815</v>
      </c>
      <c r="E46" s="537"/>
      <c r="F46" s="537"/>
      <c r="G46" s="537"/>
      <c r="H46" s="537"/>
      <c r="I46" s="537"/>
      <c r="J46" s="537"/>
      <c r="K46" s="537"/>
      <c r="L46" s="537"/>
      <c r="M46" s="568"/>
      <c r="N46" s="569"/>
      <c r="O46" s="569"/>
      <c r="P46" s="570"/>
      <c r="Q46" s="570"/>
      <c r="R46" s="570"/>
      <c r="S46" s="572"/>
      <c r="T46" s="567"/>
    </row>
    <row r="47" spans="1:80" outlineLevel="1" x14ac:dyDescent="0.25">
      <c r="B47" s="559"/>
      <c r="C47" s="571"/>
      <c r="D47" s="572"/>
      <c r="E47" s="572"/>
      <c r="F47" s="572"/>
      <c r="G47" s="572"/>
      <c r="H47" s="572"/>
      <c r="I47" s="572"/>
      <c r="J47" s="573"/>
      <c r="K47" s="573"/>
      <c r="L47" s="573"/>
      <c r="M47" s="573"/>
      <c r="N47" s="573"/>
      <c r="O47" s="572"/>
      <c r="P47" s="571"/>
      <c r="Q47" s="571"/>
      <c r="R47" s="571"/>
      <c r="S47" s="572"/>
      <c r="T47" s="567"/>
    </row>
    <row r="48" spans="1:80" ht="14.4" outlineLevel="1" thickBot="1" x14ac:dyDescent="0.3">
      <c r="B48" s="559"/>
      <c r="C48" s="571"/>
      <c r="D48" s="572"/>
      <c r="E48" s="572"/>
      <c r="F48" s="929" t="s">
        <v>769</v>
      </c>
      <c r="G48" s="929" t="s">
        <v>770</v>
      </c>
      <c r="H48" s="929" t="s">
        <v>771</v>
      </c>
      <c r="I48" s="929" t="s">
        <v>772</v>
      </c>
      <c r="J48" s="929" t="s">
        <v>773</v>
      </c>
      <c r="K48" s="929" t="s">
        <v>774</v>
      </c>
      <c r="L48" s="929" t="s">
        <v>775</v>
      </c>
      <c r="M48" s="929" t="s">
        <v>776</v>
      </c>
      <c r="N48" s="929" t="s">
        <v>777</v>
      </c>
      <c r="O48" s="929" t="s">
        <v>778</v>
      </c>
      <c r="P48" s="929" t="s">
        <v>779</v>
      </c>
      <c r="Q48" s="571"/>
      <c r="R48" s="929" t="s">
        <v>888</v>
      </c>
      <c r="S48" s="572"/>
      <c r="T48" s="567"/>
    </row>
    <row r="49" spans="2:20" ht="15" outlineLevel="1" thickTop="1" thickBot="1" x14ac:dyDescent="0.3">
      <c r="B49" s="559"/>
      <c r="C49" s="571"/>
      <c r="D49" s="943" t="s">
        <v>816</v>
      </c>
      <c r="E49" s="572"/>
      <c r="F49" s="1737"/>
      <c r="G49" s="1737"/>
      <c r="H49" s="1737"/>
      <c r="I49" s="1737"/>
      <c r="J49" s="1737"/>
      <c r="K49" s="1737"/>
      <c r="L49" s="1737"/>
      <c r="M49" s="1737"/>
      <c r="N49" s="1737"/>
      <c r="O49" s="1737"/>
      <c r="P49" s="1737"/>
      <c r="Q49" s="572"/>
      <c r="R49" s="572"/>
      <c r="S49" s="572"/>
      <c r="T49" s="567"/>
    </row>
    <row r="50" spans="2:20" ht="15" outlineLevel="1" thickTop="1" thickBot="1" x14ac:dyDescent="0.3">
      <c r="B50" s="559"/>
      <c r="C50" s="571"/>
      <c r="D50" s="943" t="s">
        <v>820</v>
      </c>
      <c r="E50" s="572"/>
      <c r="F50" s="1738"/>
      <c r="G50" s="1738"/>
      <c r="H50" s="1738"/>
      <c r="I50" s="1738"/>
      <c r="J50" s="1738"/>
      <c r="K50" s="1738"/>
      <c r="L50" s="1738"/>
      <c r="M50" s="1738"/>
      <c r="N50" s="1738"/>
      <c r="O50" s="1738"/>
      <c r="P50" s="1738"/>
      <c r="Q50" s="946"/>
      <c r="R50" s="572"/>
      <c r="S50" s="572"/>
      <c r="T50" s="567"/>
    </row>
    <row r="51" spans="2:20" ht="15" customHeight="1" outlineLevel="1" thickTop="1" x14ac:dyDescent="0.25">
      <c r="B51" s="559"/>
      <c r="C51" s="571"/>
      <c r="D51" s="9"/>
      <c r="E51" s="572"/>
      <c r="F51" s="572"/>
      <c r="G51" s="572"/>
      <c r="H51" s="572"/>
      <c r="I51" s="572"/>
      <c r="J51" s="572"/>
      <c r="K51" s="572"/>
      <c r="L51" s="572"/>
      <c r="M51" s="572"/>
      <c r="N51" s="572"/>
      <c r="O51" s="572"/>
      <c r="P51" s="572"/>
      <c r="Q51" s="572"/>
      <c r="R51" s="572"/>
      <c r="S51" s="572"/>
      <c r="T51" s="567"/>
    </row>
    <row r="52" spans="2:20" ht="15" customHeight="1" outlineLevel="1" x14ac:dyDescent="0.25">
      <c r="B52" s="559"/>
      <c r="C52" s="566">
        <v>2</v>
      </c>
      <c r="D52" s="380" t="s">
        <v>421</v>
      </c>
      <c r="E52" s="537"/>
      <c r="F52" s="978">
        <f>IFERROR(COUNTIF(F54:F69,HIDE5!$K$8),0)</f>
        <v>0</v>
      </c>
      <c r="G52" s="978">
        <f>IFERROR(COUNTIF(G54:G69,HIDE5!$K$8),0)</f>
        <v>0</v>
      </c>
      <c r="H52" s="978">
        <f>IFERROR(COUNTIF(H54:H69,HIDE5!$K$8),0)</f>
        <v>0</v>
      </c>
      <c r="I52" s="978">
        <f>IFERROR(COUNTIF(I54:I69,HIDE5!$K$8),0)</f>
        <v>0</v>
      </c>
      <c r="J52" s="978">
        <f>IFERROR(COUNTIF(J54:J69,HIDE5!$K$8),0)</f>
        <v>0</v>
      </c>
      <c r="K52" s="978">
        <f>IFERROR(COUNTIF(K54:K69,HIDE5!$K$8),0)</f>
        <v>0</v>
      </c>
      <c r="L52" s="978">
        <f>IFERROR(COUNTIF(L54:L69,HIDE5!$K$8),0)</f>
        <v>0</v>
      </c>
      <c r="M52" s="978">
        <f>IFERROR(COUNTIF(M54:M69,HIDE5!$K$8),0)</f>
        <v>0</v>
      </c>
      <c r="N52" s="978">
        <f>IFERROR(COUNTIF(N54:N69,HIDE5!$K$8),0)</f>
        <v>0</v>
      </c>
      <c r="O52" s="978">
        <f>IFERROR(COUNTIF(O54:O69,HIDE5!$K$8),0)</f>
        <v>0</v>
      </c>
      <c r="P52" s="978">
        <f>IFERROR(COUNTIF(P54:P69,HIDE5!$K$8),0)</f>
        <v>0</v>
      </c>
      <c r="Q52" s="570"/>
      <c r="R52" s="570"/>
      <c r="S52" s="572"/>
      <c r="T52" s="567"/>
    </row>
    <row r="53" spans="2:20" ht="15" customHeight="1" outlineLevel="1" thickBot="1" x14ac:dyDescent="0.3">
      <c r="B53" s="559"/>
      <c r="C53" s="571"/>
      <c r="D53" s="9"/>
      <c r="E53" s="9"/>
      <c r="F53" s="9"/>
      <c r="G53" s="9"/>
      <c r="H53" s="9"/>
      <c r="I53" s="9"/>
      <c r="J53" s="9"/>
      <c r="K53" s="9"/>
      <c r="L53" s="9"/>
      <c r="M53" s="9"/>
      <c r="N53" s="9"/>
      <c r="O53" s="9"/>
      <c r="P53" s="9"/>
      <c r="Q53" s="9"/>
      <c r="R53" s="9"/>
      <c r="S53" s="572"/>
      <c r="T53" s="567"/>
    </row>
    <row r="54" spans="2:20" ht="15" customHeight="1" outlineLevel="1" thickTop="1" thickBot="1" x14ac:dyDescent="0.3">
      <c r="B54" s="559"/>
      <c r="C54" s="571"/>
      <c r="D54" s="943" t="s">
        <v>826</v>
      </c>
      <c r="E54" s="9"/>
      <c r="F54" s="1738"/>
      <c r="G54" s="1738"/>
      <c r="H54" s="1738"/>
      <c r="I54" s="1738"/>
      <c r="J54" s="1738"/>
      <c r="K54" s="1738"/>
      <c r="L54" s="1738"/>
      <c r="M54" s="1738"/>
      <c r="N54" s="1738"/>
      <c r="O54" s="1738"/>
      <c r="P54" s="1738"/>
      <c r="Q54" s="9"/>
      <c r="R54" s="792">
        <f>IFERROR(COUNTIF(G54:P54,HIDE5!$K$8),0)</f>
        <v>0</v>
      </c>
      <c r="S54" s="572"/>
      <c r="T54" s="567"/>
    </row>
    <row r="55" spans="2:20" ht="15" customHeight="1" outlineLevel="1" thickTop="1" thickBot="1" x14ac:dyDescent="0.3">
      <c r="B55" s="559"/>
      <c r="C55" s="948"/>
      <c r="D55" s="943" t="s">
        <v>901</v>
      </c>
      <c r="E55" s="9"/>
      <c r="F55" s="1738"/>
      <c r="G55" s="1738"/>
      <c r="H55" s="1738"/>
      <c r="I55" s="1738"/>
      <c r="J55" s="1738"/>
      <c r="K55" s="1738"/>
      <c r="L55" s="1738"/>
      <c r="M55" s="1738"/>
      <c r="N55" s="1738"/>
      <c r="O55" s="1738"/>
      <c r="P55" s="1738"/>
      <c r="Q55" s="9"/>
      <c r="R55" s="792">
        <f>IFERROR(COUNTIF(G55:P55,HIDE5!$K$8),0)</f>
        <v>0</v>
      </c>
      <c r="S55" s="572"/>
      <c r="T55" s="567"/>
    </row>
    <row r="56" spans="2:20" ht="15" customHeight="1" outlineLevel="1" thickTop="1" thickBot="1" x14ac:dyDescent="0.3">
      <c r="B56" s="559"/>
      <c r="C56" s="948"/>
      <c r="D56" s="943" t="s">
        <v>902</v>
      </c>
      <c r="E56" s="9"/>
      <c r="F56" s="1738"/>
      <c r="G56" s="1738"/>
      <c r="H56" s="1738"/>
      <c r="I56" s="1738"/>
      <c r="J56" s="1738"/>
      <c r="K56" s="1738"/>
      <c r="L56" s="1738"/>
      <c r="M56" s="1738"/>
      <c r="N56" s="1738"/>
      <c r="O56" s="1738"/>
      <c r="P56" s="1738"/>
      <c r="Q56" s="9"/>
      <c r="R56" s="792">
        <f>IFERROR(COUNTIF(G56:P56,HIDE5!$K$8),0)</f>
        <v>0</v>
      </c>
      <c r="S56" s="572"/>
      <c r="T56" s="567"/>
    </row>
    <row r="57" spans="2:20" ht="15" customHeight="1" outlineLevel="1" thickTop="1" thickBot="1" x14ac:dyDescent="0.3">
      <c r="B57" s="559"/>
      <c r="C57" s="948"/>
      <c r="D57" s="943" t="s">
        <v>827</v>
      </c>
      <c r="E57" s="9"/>
      <c r="F57" s="1738"/>
      <c r="G57" s="1738"/>
      <c r="H57" s="1738"/>
      <c r="I57" s="1738"/>
      <c r="J57" s="1738"/>
      <c r="K57" s="1738"/>
      <c r="L57" s="1738"/>
      <c r="M57" s="1738"/>
      <c r="N57" s="1738"/>
      <c r="O57" s="1738"/>
      <c r="P57" s="1738"/>
      <c r="Q57" s="9"/>
      <c r="R57" s="792">
        <f>IFERROR(COUNTIF(G57:P57,HIDE5!$K$8),0)</f>
        <v>0</v>
      </c>
      <c r="S57" s="572"/>
      <c r="T57" s="567"/>
    </row>
    <row r="58" spans="2:20" ht="15" customHeight="1" outlineLevel="1" thickTop="1" thickBot="1" x14ac:dyDescent="0.3">
      <c r="B58" s="559"/>
      <c r="C58" s="948"/>
      <c r="D58" s="943" t="s">
        <v>1120</v>
      </c>
      <c r="E58" s="9"/>
      <c r="F58" s="1738"/>
      <c r="G58" s="1738"/>
      <c r="H58" s="1738"/>
      <c r="I58" s="1738"/>
      <c r="J58" s="1738"/>
      <c r="K58" s="1738"/>
      <c r="L58" s="1738"/>
      <c r="M58" s="1738"/>
      <c r="N58" s="1738"/>
      <c r="O58" s="1738"/>
      <c r="P58" s="1738"/>
      <c r="Q58" s="9"/>
      <c r="R58" s="792">
        <f>IFERROR(COUNTIF(G58:P58,HIDE5!$K$8),0)</f>
        <v>0</v>
      </c>
      <c r="S58" s="572"/>
      <c r="T58" s="567"/>
    </row>
    <row r="59" spans="2:20" ht="15" customHeight="1" outlineLevel="1" thickTop="1" thickBot="1" x14ac:dyDescent="0.3">
      <c r="B59" s="559"/>
      <c r="C59" s="948"/>
      <c r="D59" s="943" t="s">
        <v>828</v>
      </c>
      <c r="E59" s="9"/>
      <c r="F59" s="1738"/>
      <c r="G59" s="1738"/>
      <c r="H59" s="1738"/>
      <c r="I59" s="1738"/>
      <c r="J59" s="1738"/>
      <c r="K59" s="1738"/>
      <c r="L59" s="1738"/>
      <c r="M59" s="1738"/>
      <c r="N59" s="1738"/>
      <c r="O59" s="1738"/>
      <c r="P59" s="1738"/>
      <c r="Q59" s="9"/>
      <c r="R59" s="792">
        <f>IFERROR(COUNTIF(G59:P59,HIDE5!$K$8),0)</f>
        <v>0</v>
      </c>
      <c r="S59" s="572"/>
      <c r="T59" s="567"/>
    </row>
    <row r="60" spans="2:20" ht="15" customHeight="1" outlineLevel="1" thickTop="1" thickBot="1" x14ac:dyDescent="0.3">
      <c r="B60" s="559"/>
      <c r="C60" s="948"/>
      <c r="D60" s="943" t="s">
        <v>829</v>
      </c>
      <c r="E60" s="9"/>
      <c r="F60" s="1738"/>
      <c r="G60" s="1738"/>
      <c r="H60" s="1738"/>
      <c r="I60" s="1738"/>
      <c r="J60" s="1738"/>
      <c r="K60" s="1738"/>
      <c r="L60" s="1738"/>
      <c r="M60" s="1738"/>
      <c r="N60" s="1738"/>
      <c r="O60" s="1738"/>
      <c r="P60" s="1738"/>
      <c r="Q60" s="9"/>
      <c r="R60" s="792">
        <f>IFERROR(COUNTIF(G60:P60,HIDE5!$K$8),0)</f>
        <v>0</v>
      </c>
      <c r="S60" s="572"/>
      <c r="T60" s="567"/>
    </row>
    <row r="61" spans="2:20" ht="15" customHeight="1" outlineLevel="1" thickTop="1" thickBot="1" x14ac:dyDescent="0.3">
      <c r="B61" s="559"/>
      <c r="C61" s="948"/>
      <c r="D61" s="943" t="s">
        <v>957</v>
      </c>
      <c r="E61" s="9"/>
      <c r="F61" s="1738"/>
      <c r="G61" s="1738"/>
      <c r="H61" s="1738"/>
      <c r="I61" s="1738"/>
      <c r="J61" s="1738"/>
      <c r="K61" s="1738"/>
      <c r="L61" s="1738"/>
      <c r="M61" s="1738"/>
      <c r="N61" s="1738"/>
      <c r="O61" s="1738"/>
      <c r="P61" s="1738"/>
      <c r="Q61" s="9"/>
      <c r="R61" s="792">
        <f>IFERROR(COUNTIF(G61:P61,HIDE5!$K$8),0)</f>
        <v>0</v>
      </c>
      <c r="S61" s="572"/>
      <c r="T61" s="567"/>
    </row>
    <row r="62" spans="2:20" ht="15" customHeight="1" outlineLevel="1" thickTop="1" thickBot="1" x14ac:dyDescent="0.3">
      <c r="B62" s="559"/>
      <c r="C62" s="948"/>
      <c r="D62" s="943" t="s">
        <v>958</v>
      </c>
      <c r="E62" s="9"/>
      <c r="F62" s="1738"/>
      <c r="G62" s="1738"/>
      <c r="H62" s="1738"/>
      <c r="I62" s="1738"/>
      <c r="J62" s="1738"/>
      <c r="K62" s="1738"/>
      <c r="L62" s="1738"/>
      <c r="M62" s="1738"/>
      <c r="N62" s="1738"/>
      <c r="O62" s="1738"/>
      <c r="P62" s="1738"/>
      <c r="Q62" s="9"/>
      <c r="R62" s="792">
        <f>IFERROR(COUNTIF(G62:P62,HIDE5!$K$8),0)</f>
        <v>0</v>
      </c>
      <c r="S62" s="572"/>
      <c r="T62" s="567"/>
    </row>
    <row r="63" spans="2:20" ht="15" customHeight="1" outlineLevel="1" thickTop="1" thickBot="1" x14ac:dyDescent="0.3">
      <c r="B63" s="559"/>
      <c r="C63" s="948"/>
      <c r="D63" s="943" t="s">
        <v>914</v>
      </c>
      <c r="E63" s="9"/>
      <c r="F63" s="1738"/>
      <c r="G63" s="1738"/>
      <c r="H63" s="1738"/>
      <c r="I63" s="1738"/>
      <c r="J63" s="1738"/>
      <c r="K63" s="1738"/>
      <c r="L63" s="1738"/>
      <c r="M63" s="1738"/>
      <c r="N63" s="1738"/>
      <c r="O63" s="1738"/>
      <c r="P63" s="1738"/>
      <c r="Q63" s="9"/>
      <c r="R63" s="792">
        <f>IFERROR(COUNTIF(G63:P63,HIDE5!$K$8),0)</f>
        <v>0</v>
      </c>
      <c r="S63" s="572"/>
      <c r="T63" s="567"/>
    </row>
    <row r="64" spans="2:20" ht="15" customHeight="1" outlineLevel="1" thickTop="1" thickBot="1" x14ac:dyDescent="0.3">
      <c r="B64" s="559"/>
      <c r="C64" s="948"/>
      <c r="D64" s="943" t="s">
        <v>904</v>
      </c>
      <c r="E64" s="9"/>
      <c r="F64" s="1738"/>
      <c r="G64" s="1738"/>
      <c r="H64" s="1738"/>
      <c r="I64" s="1738"/>
      <c r="J64" s="1738"/>
      <c r="K64" s="1738"/>
      <c r="L64" s="1738"/>
      <c r="M64" s="1738"/>
      <c r="N64" s="1738"/>
      <c r="O64" s="1738"/>
      <c r="P64" s="1738"/>
      <c r="Q64" s="9"/>
      <c r="R64" s="792">
        <f>IFERROR(COUNTIF(G64:P64,HIDE5!$K$8),0)</f>
        <v>0</v>
      </c>
      <c r="S64" s="572"/>
      <c r="T64" s="567"/>
    </row>
    <row r="65" spans="2:20" ht="15" customHeight="1" outlineLevel="1" thickTop="1" thickBot="1" x14ac:dyDescent="0.3">
      <c r="B65" s="559"/>
      <c r="C65" s="948"/>
      <c r="D65" s="943" t="s">
        <v>1121</v>
      </c>
      <c r="E65" s="9"/>
      <c r="F65" s="1738"/>
      <c r="G65" s="1738"/>
      <c r="H65" s="1738"/>
      <c r="I65" s="1738"/>
      <c r="J65" s="1738"/>
      <c r="K65" s="1738"/>
      <c r="L65" s="1738"/>
      <c r="M65" s="1738"/>
      <c r="N65" s="1738"/>
      <c r="O65" s="1738"/>
      <c r="P65" s="1738"/>
      <c r="Q65" s="9"/>
      <c r="R65" s="792">
        <f>IFERROR(COUNTIF(G65:P65,HIDE5!$K$8),0)</f>
        <v>0</v>
      </c>
      <c r="S65" s="572"/>
      <c r="T65" s="567"/>
    </row>
    <row r="66" spans="2:20" ht="15" customHeight="1" outlineLevel="1" thickTop="1" thickBot="1" x14ac:dyDescent="0.3">
      <c r="B66" s="559"/>
      <c r="C66" s="948"/>
      <c r="D66" s="943" t="s">
        <v>956</v>
      </c>
      <c r="E66" s="9"/>
      <c r="F66" s="1738"/>
      <c r="G66" s="1738"/>
      <c r="H66" s="1738"/>
      <c r="I66" s="1738"/>
      <c r="J66" s="1738"/>
      <c r="K66" s="1738"/>
      <c r="L66" s="1738"/>
      <c r="M66" s="1738"/>
      <c r="N66" s="1738"/>
      <c r="O66" s="1738"/>
      <c r="P66" s="1738"/>
      <c r="Q66" s="9"/>
      <c r="R66" s="792">
        <f>IFERROR(COUNTIF(G66:P66,HIDE5!$K$8),0)</f>
        <v>0</v>
      </c>
      <c r="S66" s="572"/>
      <c r="T66" s="567"/>
    </row>
    <row r="67" spans="2:20" ht="15" customHeight="1" outlineLevel="1" thickTop="1" thickBot="1" x14ac:dyDescent="0.3">
      <c r="B67" s="559"/>
      <c r="C67" s="948"/>
      <c r="D67" s="943" t="s">
        <v>961</v>
      </c>
      <c r="E67" s="9"/>
      <c r="F67" s="1738"/>
      <c r="G67" s="1738"/>
      <c r="H67" s="1738"/>
      <c r="I67" s="1738"/>
      <c r="J67" s="1738"/>
      <c r="K67" s="1738"/>
      <c r="L67" s="1738"/>
      <c r="M67" s="1738"/>
      <c r="N67" s="1738"/>
      <c r="O67" s="1738"/>
      <c r="P67" s="1738"/>
      <c r="Q67" s="9"/>
      <c r="R67" s="792">
        <f>IFERROR(COUNTIF(G67:P67,HIDE5!$K$8),0)</f>
        <v>0</v>
      </c>
      <c r="S67" s="572"/>
      <c r="T67" s="567"/>
    </row>
    <row r="68" spans="2:20" ht="15" customHeight="1" outlineLevel="1" thickTop="1" thickBot="1" x14ac:dyDescent="0.3">
      <c r="B68" s="559"/>
      <c r="C68" s="948"/>
      <c r="D68" s="1744" t="s">
        <v>871</v>
      </c>
      <c r="E68" s="9"/>
      <c r="F68" s="1738"/>
      <c r="G68" s="1738"/>
      <c r="H68" s="1738"/>
      <c r="I68" s="1738"/>
      <c r="J68" s="1738"/>
      <c r="K68" s="1738"/>
      <c r="L68" s="1738"/>
      <c r="M68" s="1738"/>
      <c r="N68" s="1738"/>
      <c r="O68" s="1738"/>
      <c r="P68" s="1738"/>
      <c r="Q68" s="9"/>
      <c r="R68" s="792">
        <f>IFERROR(COUNTIF(G68:P68,HIDE5!$K$8),0)</f>
        <v>0</v>
      </c>
      <c r="S68" s="572"/>
      <c r="T68" s="567"/>
    </row>
    <row r="69" spans="2:20" ht="15" outlineLevel="1" thickTop="1" thickBot="1" x14ac:dyDescent="0.3">
      <c r="B69" s="559"/>
      <c r="C69" s="948"/>
      <c r="D69" s="1744" t="s">
        <v>872</v>
      </c>
      <c r="E69" s="9"/>
      <c r="F69" s="1738"/>
      <c r="G69" s="1738"/>
      <c r="H69" s="1738"/>
      <c r="I69" s="1738"/>
      <c r="J69" s="1738"/>
      <c r="K69" s="1738"/>
      <c r="L69" s="1738"/>
      <c r="M69" s="1738"/>
      <c r="N69" s="1738"/>
      <c r="O69" s="1738"/>
      <c r="P69" s="1738"/>
      <c r="Q69" s="9"/>
      <c r="R69" s="792">
        <f>IFERROR(COUNTIF(G69:P69,HIDE5!$K$8),0)</f>
        <v>0</v>
      </c>
      <c r="S69" s="572"/>
      <c r="T69" s="567"/>
    </row>
    <row r="70" spans="2:20" ht="15" customHeight="1" outlineLevel="1" thickTop="1" x14ac:dyDescent="0.25">
      <c r="B70" s="559"/>
      <c r="C70" s="948"/>
      <c r="D70" s="9"/>
      <c r="E70" s="9"/>
      <c r="F70" s="9"/>
      <c r="G70" s="9"/>
      <c r="H70" s="9"/>
      <c r="I70" s="9"/>
      <c r="J70" s="9"/>
      <c r="K70" s="9"/>
      <c r="L70" s="9"/>
      <c r="M70" s="9"/>
      <c r="N70" s="9"/>
      <c r="O70" s="9"/>
      <c r="P70" s="9"/>
      <c r="Q70" s="948"/>
      <c r="R70" s="9"/>
      <c r="S70" s="572"/>
      <c r="T70" s="567"/>
    </row>
    <row r="71" spans="2:20" ht="15" customHeight="1" outlineLevel="1" x14ac:dyDescent="0.25">
      <c r="B71" s="559"/>
      <c r="C71" s="566">
        <v>3</v>
      </c>
      <c r="D71" s="380" t="s">
        <v>643</v>
      </c>
      <c r="E71" s="537"/>
      <c r="F71" s="978">
        <f>IFERROR(COUNTIF(F73:F95,HIDE5!$K$8),0)</f>
        <v>0</v>
      </c>
      <c r="G71" s="978">
        <f>IFERROR(COUNTIF(G73:G95,HIDE5!$K$8),0)</f>
        <v>0</v>
      </c>
      <c r="H71" s="978">
        <f>IFERROR(COUNTIF(H73:H95,HIDE5!$K$8),0)</f>
        <v>0</v>
      </c>
      <c r="I71" s="978">
        <f>IFERROR(COUNTIF(I73:I95,HIDE5!$K$8),0)</f>
        <v>0</v>
      </c>
      <c r="J71" s="978">
        <f>IFERROR(COUNTIF(J73:J95,HIDE5!$K$8),0)</f>
        <v>0</v>
      </c>
      <c r="K71" s="978">
        <f>IFERROR(COUNTIF(K73:K95,HIDE5!$K$8),0)</f>
        <v>0</v>
      </c>
      <c r="L71" s="978">
        <f>IFERROR(COUNTIF(L73:L95,HIDE5!$K$8),0)</f>
        <v>0</v>
      </c>
      <c r="M71" s="978">
        <f>IFERROR(COUNTIF(M73:M95,HIDE5!$K$8),0)</f>
        <v>0</v>
      </c>
      <c r="N71" s="978">
        <f>IFERROR(COUNTIF(N73:N95,HIDE5!$K$8),0)</f>
        <v>0</v>
      </c>
      <c r="O71" s="978">
        <f>IFERROR(COUNTIF(O73:O95,HIDE5!$K$8),0)</f>
        <v>0</v>
      </c>
      <c r="P71" s="978">
        <f>IFERROR(COUNTIF(P73:P95,HIDE5!$K$8),0)</f>
        <v>0</v>
      </c>
      <c r="Q71" s="570"/>
      <c r="R71" s="570"/>
      <c r="S71" s="572"/>
      <c r="T71" s="567"/>
    </row>
    <row r="72" spans="2:20" ht="15" customHeight="1" outlineLevel="1" thickBot="1" x14ac:dyDescent="0.3">
      <c r="B72" s="559"/>
      <c r="C72" s="571"/>
      <c r="D72" s="9"/>
      <c r="E72" s="9"/>
      <c r="F72" s="9"/>
      <c r="G72" s="9"/>
      <c r="H72" s="9"/>
      <c r="I72" s="9"/>
      <c r="J72" s="9"/>
      <c r="K72" s="9"/>
      <c r="L72" s="9"/>
      <c r="M72" s="9"/>
      <c r="N72" s="9"/>
      <c r="O72" s="9"/>
      <c r="P72" s="9"/>
      <c r="Q72" s="9"/>
      <c r="R72" s="9"/>
      <c r="S72" s="572"/>
      <c r="T72" s="567"/>
    </row>
    <row r="73" spans="2:20" ht="15" customHeight="1" outlineLevel="1" thickTop="1" thickBot="1" x14ac:dyDescent="0.3">
      <c r="B73" s="559"/>
      <c r="C73" s="571"/>
      <c r="D73" s="943" t="s">
        <v>1122</v>
      </c>
      <c r="E73" s="9"/>
      <c r="F73" s="1738"/>
      <c r="G73" s="1738"/>
      <c r="H73" s="1738"/>
      <c r="I73" s="1738"/>
      <c r="J73" s="1738"/>
      <c r="K73" s="1738"/>
      <c r="L73" s="1738"/>
      <c r="M73" s="1738"/>
      <c r="N73" s="1738"/>
      <c r="O73" s="1738"/>
      <c r="P73" s="1738"/>
      <c r="Q73" s="9"/>
      <c r="R73" s="792">
        <f>IFERROR(COUNTIF(G73:P73,HIDE5!$K$8),0)</f>
        <v>0</v>
      </c>
      <c r="S73" s="572"/>
      <c r="T73" s="567"/>
    </row>
    <row r="74" spans="2:20" ht="15" customHeight="1" outlineLevel="1" thickTop="1" thickBot="1" x14ac:dyDescent="0.3">
      <c r="B74" s="559"/>
      <c r="C74" s="948"/>
      <c r="D74" s="943" t="s">
        <v>830</v>
      </c>
      <c r="E74" s="9"/>
      <c r="F74" s="1738"/>
      <c r="G74" s="1738"/>
      <c r="H74" s="1738"/>
      <c r="I74" s="1738"/>
      <c r="J74" s="1738"/>
      <c r="K74" s="1738"/>
      <c r="L74" s="1738"/>
      <c r="M74" s="1738"/>
      <c r="N74" s="1738"/>
      <c r="O74" s="1738"/>
      <c r="P74" s="1738"/>
      <c r="Q74" s="9"/>
      <c r="R74" s="792">
        <f>IFERROR(COUNTIF(G74:P74,HIDE5!$K$8),0)</f>
        <v>0</v>
      </c>
      <c r="S74" s="572"/>
      <c r="T74" s="567"/>
    </row>
    <row r="75" spans="2:20" ht="15" customHeight="1" outlineLevel="1" thickTop="1" thickBot="1" x14ac:dyDescent="0.3">
      <c r="B75" s="559"/>
      <c r="C75" s="948"/>
      <c r="D75" s="943" t="s">
        <v>903</v>
      </c>
      <c r="E75" s="9"/>
      <c r="F75" s="1738"/>
      <c r="G75" s="1738"/>
      <c r="H75" s="1738"/>
      <c r="I75" s="1738"/>
      <c r="J75" s="1738"/>
      <c r="K75" s="1738"/>
      <c r="L75" s="1738"/>
      <c r="M75" s="1738"/>
      <c r="N75" s="1738"/>
      <c r="O75" s="1738"/>
      <c r="P75" s="1738"/>
      <c r="Q75" s="9"/>
      <c r="R75" s="792">
        <f>IFERROR(COUNTIF(G75:P75,HIDE5!$K$8),0)</f>
        <v>0</v>
      </c>
      <c r="S75" s="572"/>
      <c r="T75" s="567"/>
    </row>
    <row r="76" spans="2:20" ht="15" customHeight="1" outlineLevel="1" thickTop="1" thickBot="1" x14ac:dyDescent="0.3">
      <c r="B76" s="559"/>
      <c r="C76" s="948"/>
      <c r="D76" s="943" t="s">
        <v>831</v>
      </c>
      <c r="E76" s="9"/>
      <c r="F76" s="1738"/>
      <c r="G76" s="1738"/>
      <c r="H76" s="1738"/>
      <c r="I76" s="1738"/>
      <c r="J76" s="1738"/>
      <c r="K76" s="1738"/>
      <c r="L76" s="1738"/>
      <c r="M76" s="1738"/>
      <c r="N76" s="1738"/>
      <c r="O76" s="1738"/>
      <c r="P76" s="1738"/>
      <c r="Q76" s="9"/>
      <c r="R76" s="792">
        <f>IFERROR(COUNTIF(G76:P76,HIDE5!$K$8),0)</f>
        <v>0</v>
      </c>
      <c r="S76" s="9"/>
      <c r="T76" s="567"/>
    </row>
    <row r="77" spans="2:20" ht="15" customHeight="1" outlineLevel="1" thickTop="1" thickBot="1" x14ac:dyDescent="0.3">
      <c r="B77" s="559"/>
      <c r="C77" s="948"/>
      <c r="D77" s="943" t="s">
        <v>947</v>
      </c>
      <c r="E77" s="9"/>
      <c r="F77" s="1738"/>
      <c r="G77" s="1738"/>
      <c r="H77" s="1738"/>
      <c r="I77" s="1738"/>
      <c r="J77" s="1738"/>
      <c r="K77" s="1738"/>
      <c r="L77" s="1738"/>
      <c r="M77" s="1738"/>
      <c r="N77" s="1738"/>
      <c r="O77" s="1738"/>
      <c r="P77" s="1738"/>
      <c r="Q77" s="9"/>
      <c r="R77" s="792">
        <f>IFERROR(COUNTIF(G77:P77,HIDE5!$K$8),0)</f>
        <v>0</v>
      </c>
      <c r="S77" s="9"/>
      <c r="T77" s="567"/>
    </row>
    <row r="78" spans="2:20" ht="15" customHeight="1" outlineLevel="1" thickTop="1" thickBot="1" x14ac:dyDescent="0.3">
      <c r="B78" s="559"/>
      <c r="C78" s="948"/>
      <c r="D78" s="943" t="s">
        <v>832</v>
      </c>
      <c r="E78" s="9"/>
      <c r="F78" s="1738"/>
      <c r="G78" s="1738"/>
      <c r="H78" s="1738"/>
      <c r="I78" s="1738"/>
      <c r="J78" s="1738"/>
      <c r="K78" s="1738"/>
      <c r="L78" s="1738"/>
      <c r="M78" s="1738"/>
      <c r="N78" s="1738"/>
      <c r="O78" s="1738"/>
      <c r="P78" s="1738"/>
      <c r="Q78" s="9"/>
      <c r="R78" s="792">
        <f>IFERROR(COUNTIF(G78:P78,HIDE5!$K$8),0)</f>
        <v>0</v>
      </c>
      <c r="S78" s="9"/>
      <c r="T78" s="567"/>
    </row>
    <row r="79" spans="2:20" ht="15" customHeight="1" outlineLevel="1" thickTop="1" thickBot="1" x14ac:dyDescent="0.3">
      <c r="B79" s="559"/>
      <c r="C79" s="948"/>
      <c r="D79" s="943" t="s">
        <v>833</v>
      </c>
      <c r="E79" s="9"/>
      <c r="F79" s="1738"/>
      <c r="G79" s="1738"/>
      <c r="H79" s="1738"/>
      <c r="I79" s="1738"/>
      <c r="J79" s="1738"/>
      <c r="K79" s="1738"/>
      <c r="L79" s="1738"/>
      <c r="M79" s="1738"/>
      <c r="N79" s="1738"/>
      <c r="O79" s="1738"/>
      <c r="P79" s="1738"/>
      <c r="Q79" s="9"/>
      <c r="R79" s="792">
        <f>IFERROR(COUNTIF(G79:P79,HIDE5!$K$8),0)</f>
        <v>0</v>
      </c>
      <c r="S79" s="9"/>
      <c r="T79" s="567"/>
    </row>
    <row r="80" spans="2:20" ht="15" customHeight="1" outlineLevel="1" thickTop="1" thickBot="1" x14ac:dyDescent="0.3">
      <c r="B80" s="559"/>
      <c r="C80" s="948"/>
      <c r="D80" s="943" t="s">
        <v>834</v>
      </c>
      <c r="E80" s="9"/>
      <c r="F80" s="1738"/>
      <c r="G80" s="1738"/>
      <c r="H80" s="1738"/>
      <c r="I80" s="1738"/>
      <c r="J80" s="1738"/>
      <c r="K80" s="1738"/>
      <c r="L80" s="1738"/>
      <c r="M80" s="1738"/>
      <c r="N80" s="1738"/>
      <c r="O80" s="1738"/>
      <c r="P80" s="1738"/>
      <c r="Q80" s="9"/>
      <c r="R80" s="792">
        <f>IFERROR(COUNTIF(G80:P80,HIDE5!$K$8),0)</f>
        <v>0</v>
      </c>
      <c r="S80" s="9"/>
      <c r="T80" s="567"/>
    </row>
    <row r="81" spans="2:20" ht="15" customHeight="1" outlineLevel="1" thickTop="1" thickBot="1" x14ac:dyDescent="0.3">
      <c r="B81" s="559"/>
      <c r="C81" s="948"/>
      <c r="D81" s="943" t="s">
        <v>835</v>
      </c>
      <c r="E81" s="9"/>
      <c r="F81" s="1738"/>
      <c r="G81" s="1738"/>
      <c r="H81" s="1738"/>
      <c r="I81" s="1738"/>
      <c r="J81" s="1738"/>
      <c r="K81" s="1738"/>
      <c r="L81" s="1738"/>
      <c r="M81" s="1738"/>
      <c r="N81" s="1738"/>
      <c r="O81" s="1738"/>
      <c r="P81" s="1738"/>
      <c r="Q81" s="9"/>
      <c r="R81" s="792">
        <f>IFERROR(COUNTIF(G81:P81,HIDE5!$K$8),0)</f>
        <v>0</v>
      </c>
      <c r="S81" s="9"/>
      <c r="T81" s="567"/>
    </row>
    <row r="82" spans="2:20" ht="15" customHeight="1" outlineLevel="1" thickTop="1" thickBot="1" x14ac:dyDescent="0.3">
      <c r="B82" s="559"/>
      <c r="C82" s="948"/>
      <c r="D82" s="943" t="s">
        <v>836</v>
      </c>
      <c r="E82" s="9"/>
      <c r="F82" s="1738"/>
      <c r="G82" s="1738"/>
      <c r="H82" s="1738"/>
      <c r="I82" s="1738"/>
      <c r="J82" s="1738"/>
      <c r="K82" s="1738"/>
      <c r="L82" s="1738"/>
      <c r="M82" s="1738"/>
      <c r="N82" s="1738"/>
      <c r="O82" s="1738"/>
      <c r="P82" s="1738"/>
      <c r="Q82" s="9"/>
      <c r="R82" s="792">
        <f>IFERROR(COUNTIF(G82:P82,HIDE5!$K$8),0)</f>
        <v>0</v>
      </c>
      <c r="S82" s="9"/>
      <c r="T82" s="567"/>
    </row>
    <row r="83" spans="2:20" ht="15" customHeight="1" outlineLevel="1" thickTop="1" thickBot="1" x14ac:dyDescent="0.3">
      <c r="B83" s="559"/>
      <c r="C83" s="948"/>
      <c r="D83" s="943" t="s">
        <v>837</v>
      </c>
      <c r="E83" s="9"/>
      <c r="F83" s="1738"/>
      <c r="G83" s="1738"/>
      <c r="H83" s="1738"/>
      <c r="I83" s="1738"/>
      <c r="J83" s="1738"/>
      <c r="K83" s="1738"/>
      <c r="L83" s="1738"/>
      <c r="M83" s="1738"/>
      <c r="N83" s="1738"/>
      <c r="O83" s="1738"/>
      <c r="P83" s="1738"/>
      <c r="Q83" s="9"/>
      <c r="R83" s="792">
        <f>IFERROR(COUNTIF(G83:P83,HIDE5!$K$8),0)</f>
        <v>0</v>
      </c>
      <c r="S83" s="9"/>
      <c r="T83" s="567"/>
    </row>
    <row r="84" spans="2:20" ht="15" customHeight="1" outlineLevel="1" thickTop="1" thickBot="1" x14ac:dyDescent="0.3">
      <c r="B84" s="559"/>
      <c r="C84" s="948"/>
      <c r="D84" s="943" t="s">
        <v>838</v>
      </c>
      <c r="E84" s="9"/>
      <c r="F84" s="1738"/>
      <c r="G84" s="1738"/>
      <c r="H84" s="1738"/>
      <c r="I84" s="1738"/>
      <c r="J84" s="1738"/>
      <c r="K84" s="1738"/>
      <c r="L84" s="1738"/>
      <c r="M84" s="1738"/>
      <c r="N84" s="1738"/>
      <c r="O84" s="1738"/>
      <c r="P84" s="1738"/>
      <c r="Q84" s="9"/>
      <c r="R84" s="792">
        <f>IFERROR(COUNTIF(G84:P84,HIDE5!$K$8),0)</f>
        <v>0</v>
      </c>
      <c r="S84" s="9"/>
      <c r="T84" s="567"/>
    </row>
    <row r="85" spans="2:20" ht="15" customHeight="1" outlineLevel="1" thickTop="1" thickBot="1" x14ac:dyDescent="0.3">
      <c r="B85" s="559"/>
      <c r="C85" s="948"/>
      <c r="D85" s="943" t="s">
        <v>839</v>
      </c>
      <c r="E85" s="9"/>
      <c r="F85" s="1738"/>
      <c r="G85" s="1738"/>
      <c r="H85" s="1738"/>
      <c r="I85" s="1738"/>
      <c r="J85" s="1738"/>
      <c r="K85" s="1738"/>
      <c r="L85" s="1738"/>
      <c r="M85" s="1738"/>
      <c r="N85" s="1738"/>
      <c r="O85" s="1738"/>
      <c r="P85" s="1738"/>
      <c r="Q85" s="9"/>
      <c r="R85" s="792">
        <f>IFERROR(COUNTIF(G85:P85,HIDE5!$K$8),0)</f>
        <v>0</v>
      </c>
      <c r="S85" s="9"/>
      <c r="T85" s="567"/>
    </row>
    <row r="86" spans="2:20" ht="15" customHeight="1" outlineLevel="1" thickTop="1" thickBot="1" x14ac:dyDescent="0.3">
      <c r="B86" s="559"/>
      <c r="C86" s="948"/>
      <c r="D86" s="943" t="s">
        <v>946</v>
      </c>
      <c r="E86" s="9"/>
      <c r="F86" s="1738"/>
      <c r="G86" s="1738"/>
      <c r="H86" s="1738"/>
      <c r="I86" s="1738"/>
      <c r="J86" s="1738"/>
      <c r="K86" s="1738"/>
      <c r="L86" s="1738"/>
      <c r="M86" s="1738"/>
      <c r="N86" s="1738"/>
      <c r="O86" s="1738"/>
      <c r="P86" s="1738"/>
      <c r="Q86" s="9"/>
      <c r="R86" s="792">
        <f>IFERROR(COUNTIF(G86:P86,HIDE5!$K$8),0)</f>
        <v>0</v>
      </c>
      <c r="S86" s="9"/>
      <c r="T86" s="567"/>
    </row>
    <row r="87" spans="2:20" ht="15" customHeight="1" outlineLevel="1" thickTop="1" thickBot="1" x14ac:dyDescent="0.3">
      <c r="B87" s="559"/>
      <c r="C87" s="948"/>
      <c r="D87" s="943" t="s">
        <v>948</v>
      </c>
      <c r="E87" s="9"/>
      <c r="F87" s="1738"/>
      <c r="G87" s="1738"/>
      <c r="H87" s="1738"/>
      <c r="I87" s="1738"/>
      <c r="J87" s="1738"/>
      <c r="K87" s="1738"/>
      <c r="L87" s="1738"/>
      <c r="M87" s="1738"/>
      <c r="N87" s="1738"/>
      <c r="O87" s="1738"/>
      <c r="P87" s="1738"/>
      <c r="Q87" s="9"/>
      <c r="R87" s="792">
        <f>IFERROR(COUNTIF(G87:P87,HIDE5!$K$8),0)</f>
        <v>0</v>
      </c>
      <c r="S87" s="9"/>
      <c r="T87" s="567"/>
    </row>
    <row r="88" spans="2:20" ht="15" customHeight="1" outlineLevel="1" thickTop="1" thickBot="1" x14ac:dyDescent="0.3">
      <c r="B88" s="559"/>
      <c r="C88" s="948"/>
      <c r="D88" s="943" t="s">
        <v>913</v>
      </c>
      <c r="E88" s="9"/>
      <c r="F88" s="1738"/>
      <c r="G88" s="1738"/>
      <c r="H88" s="1738"/>
      <c r="I88" s="1738"/>
      <c r="J88" s="1738"/>
      <c r="K88" s="1738"/>
      <c r="L88" s="1738"/>
      <c r="M88" s="1738"/>
      <c r="N88" s="1738"/>
      <c r="O88" s="1738"/>
      <c r="P88" s="1738"/>
      <c r="Q88" s="9"/>
      <c r="R88" s="792">
        <f>IFERROR(COUNTIF(G88:P88,HIDE5!$K$8),0)</f>
        <v>0</v>
      </c>
      <c r="S88" s="9"/>
      <c r="T88" s="567"/>
    </row>
    <row r="89" spans="2:20" ht="15" customHeight="1" outlineLevel="1" thickTop="1" thickBot="1" x14ac:dyDescent="0.3">
      <c r="B89" s="559"/>
      <c r="C89" s="948"/>
      <c r="D89" s="943" t="s">
        <v>840</v>
      </c>
      <c r="E89" s="9"/>
      <c r="F89" s="1738"/>
      <c r="G89" s="1738"/>
      <c r="H89" s="1738"/>
      <c r="I89" s="1738"/>
      <c r="J89" s="1738"/>
      <c r="K89" s="1738"/>
      <c r="L89" s="1738"/>
      <c r="M89" s="1738"/>
      <c r="N89" s="1738"/>
      <c r="O89" s="1738"/>
      <c r="P89" s="1738"/>
      <c r="Q89" s="9"/>
      <c r="R89" s="792">
        <f>IFERROR(COUNTIF(G89:P89,HIDE5!$K$8),0)</f>
        <v>0</v>
      </c>
      <c r="S89" s="9"/>
      <c r="T89" s="567"/>
    </row>
    <row r="90" spans="2:20" ht="15" customHeight="1" outlineLevel="1" thickTop="1" thickBot="1" x14ac:dyDescent="0.3">
      <c r="B90" s="559"/>
      <c r="C90" s="948"/>
      <c r="D90" s="943" t="s">
        <v>841</v>
      </c>
      <c r="E90" s="9"/>
      <c r="F90" s="1738"/>
      <c r="G90" s="1738"/>
      <c r="H90" s="1738"/>
      <c r="I90" s="1738"/>
      <c r="J90" s="1738"/>
      <c r="K90" s="1738"/>
      <c r="L90" s="1738"/>
      <c r="M90" s="1738"/>
      <c r="N90" s="1738"/>
      <c r="O90" s="1738"/>
      <c r="P90" s="1738"/>
      <c r="Q90" s="9"/>
      <c r="R90" s="792">
        <f>IFERROR(COUNTIF(G90:P90,HIDE5!$K$8),0)</f>
        <v>0</v>
      </c>
      <c r="S90" s="9"/>
      <c r="T90" s="567"/>
    </row>
    <row r="91" spans="2:20" ht="15" customHeight="1" outlineLevel="1" thickTop="1" thickBot="1" x14ac:dyDescent="0.3">
      <c r="B91" s="559"/>
      <c r="C91" s="948"/>
      <c r="D91" s="943" t="s">
        <v>842</v>
      </c>
      <c r="E91" s="9"/>
      <c r="F91" s="1738"/>
      <c r="G91" s="1738"/>
      <c r="H91" s="1738"/>
      <c r="I91" s="1738"/>
      <c r="J91" s="1738"/>
      <c r="K91" s="1738"/>
      <c r="L91" s="1738"/>
      <c r="M91" s="1738"/>
      <c r="N91" s="1738"/>
      <c r="O91" s="1738"/>
      <c r="P91" s="1738"/>
      <c r="Q91" s="9"/>
      <c r="R91" s="792">
        <f>IFERROR(COUNTIF(G91:P91,HIDE5!$K$8),0)</f>
        <v>0</v>
      </c>
      <c r="S91" s="9"/>
      <c r="T91" s="567"/>
    </row>
    <row r="92" spans="2:20" ht="15" customHeight="1" outlineLevel="1" thickTop="1" thickBot="1" x14ac:dyDescent="0.3">
      <c r="B92" s="559"/>
      <c r="C92" s="948"/>
      <c r="D92" s="943" t="s">
        <v>843</v>
      </c>
      <c r="E92" s="9"/>
      <c r="F92" s="1738"/>
      <c r="G92" s="1738"/>
      <c r="H92" s="1738"/>
      <c r="I92" s="1738"/>
      <c r="J92" s="1738"/>
      <c r="K92" s="1738"/>
      <c r="L92" s="1738"/>
      <c r="M92" s="1738"/>
      <c r="N92" s="1738"/>
      <c r="O92" s="1738"/>
      <c r="P92" s="1738"/>
      <c r="Q92" s="9"/>
      <c r="R92" s="792">
        <f>IFERROR(COUNTIF(G92:P92,HIDE5!$K$8),0)</f>
        <v>0</v>
      </c>
      <c r="S92" s="9"/>
      <c r="T92" s="567"/>
    </row>
    <row r="93" spans="2:20" ht="15" customHeight="1" outlineLevel="1" thickTop="1" thickBot="1" x14ac:dyDescent="0.3">
      <c r="B93" s="559"/>
      <c r="C93" s="948"/>
      <c r="D93" s="943" t="s">
        <v>949</v>
      </c>
      <c r="E93" s="9"/>
      <c r="F93" s="1738"/>
      <c r="G93" s="1738"/>
      <c r="H93" s="1738"/>
      <c r="I93" s="1738"/>
      <c r="J93" s="1738"/>
      <c r="K93" s="1738"/>
      <c r="L93" s="1738"/>
      <c r="M93" s="1738"/>
      <c r="N93" s="1738"/>
      <c r="O93" s="1738"/>
      <c r="P93" s="1738"/>
      <c r="Q93" s="9"/>
      <c r="R93" s="792">
        <f>IFERROR(COUNTIF(G93:P93,HIDE5!$K$8),0)</f>
        <v>0</v>
      </c>
      <c r="S93" s="9"/>
      <c r="T93" s="567"/>
    </row>
    <row r="94" spans="2:20" ht="15" customHeight="1" outlineLevel="1" thickTop="1" thickBot="1" x14ac:dyDescent="0.3">
      <c r="B94" s="559"/>
      <c r="C94" s="948"/>
      <c r="D94" s="1744" t="s">
        <v>871</v>
      </c>
      <c r="E94" s="9"/>
      <c r="F94" s="1738"/>
      <c r="G94" s="1738"/>
      <c r="H94" s="1738"/>
      <c r="I94" s="1738"/>
      <c r="J94" s="1738"/>
      <c r="K94" s="1738"/>
      <c r="L94" s="1738"/>
      <c r="M94" s="1738"/>
      <c r="N94" s="1738"/>
      <c r="O94" s="1738"/>
      <c r="P94" s="1738"/>
      <c r="Q94" s="9"/>
      <c r="R94" s="792">
        <f>IFERROR(COUNTIF(G94:P94,HIDE5!$K$8),0)</f>
        <v>0</v>
      </c>
      <c r="S94" s="572"/>
      <c r="T94" s="567"/>
    </row>
    <row r="95" spans="2:20" ht="15" outlineLevel="1" thickTop="1" thickBot="1" x14ac:dyDescent="0.3">
      <c r="B95" s="559"/>
      <c r="C95" s="948"/>
      <c r="D95" s="1744" t="s">
        <v>872</v>
      </c>
      <c r="E95" s="9"/>
      <c r="F95" s="1738"/>
      <c r="G95" s="1738"/>
      <c r="H95" s="1738"/>
      <c r="I95" s="1738"/>
      <c r="J95" s="1738"/>
      <c r="K95" s="1738"/>
      <c r="L95" s="1738"/>
      <c r="M95" s="1738"/>
      <c r="N95" s="1738"/>
      <c r="O95" s="1738"/>
      <c r="P95" s="1738"/>
      <c r="Q95" s="9"/>
      <c r="R95" s="792">
        <f>IFERROR(COUNTIF(G95:P95,HIDE5!$K$8),0)</f>
        <v>0</v>
      </c>
      <c r="S95" s="572"/>
      <c r="T95" s="567"/>
    </row>
    <row r="96" spans="2:20" ht="15" customHeight="1" outlineLevel="1" thickTop="1" x14ac:dyDescent="0.25">
      <c r="B96" s="559"/>
      <c r="C96" s="948"/>
      <c r="D96" s="9"/>
      <c r="E96" s="9"/>
      <c r="F96" s="9"/>
      <c r="G96" s="9"/>
      <c r="H96" s="9"/>
      <c r="I96" s="9"/>
      <c r="J96" s="9"/>
      <c r="K96" s="9"/>
      <c r="L96" s="9"/>
      <c r="M96" s="9"/>
      <c r="N96" s="9"/>
      <c r="O96" s="9"/>
      <c r="P96" s="9"/>
      <c r="Q96" s="948"/>
      <c r="R96" s="9"/>
      <c r="S96" s="9"/>
      <c r="T96" s="567"/>
    </row>
    <row r="97" spans="2:20" ht="15" customHeight="1" outlineLevel="1" x14ac:dyDescent="0.25">
      <c r="B97" s="559"/>
      <c r="C97" s="566">
        <v>4</v>
      </c>
      <c r="D97" s="380" t="s">
        <v>845</v>
      </c>
      <c r="E97" s="537"/>
      <c r="F97" s="978">
        <f>IFERROR(COUNTIF(F99:F109,HIDE5!$K$8),0)</f>
        <v>0</v>
      </c>
      <c r="G97" s="978">
        <f>IFERROR(COUNTIF(G99:G109,HIDE5!$K$8),0)</f>
        <v>0</v>
      </c>
      <c r="H97" s="978">
        <f>IFERROR(COUNTIF(H99:H109,HIDE5!$K$8),0)</f>
        <v>0</v>
      </c>
      <c r="I97" s="978">
        <f>IFERROR(COUNTIF(I99:I109,HIDE5!$K$8),0)</f>
        <v>0</v>
      </c>
      <c r="J97" s="978">
        <f>IFERROR(COUNTIF(J99:J109,HIDE5!$K$8),0)</f>
        <v>0</v>
      </c>
      <c r="K97" s="978">
        <f>IFERROR(COUNTIF(K99:K109,HIDE5!$K$8),0)</f>
        <v>0</v>
      </c>
      <c r="L97" s="978">
        <f>IFERROR(COUNTIF(L99:L109,HIDE5!$K$8),0)</f>
        <v>0</v>
      </c>
      <c r="M97" s="978">
        <f>IFERROR(COUNTIF(M99:M109,HIDE5!$K$8),0)</f>
        <v>0</v>
      </c>
      <c r="N97" s="978">
        <f>IFERROR(COUNTIF(N99:N109,HIDE5!$K$8),0)</f>
        <v>0</v>
      </c>
      <c r="O97" s="978">
        <f>IFERROR(COUNTIF(O99:O109,HIDE5!$K$8),0)</f>
        <v>0</v>
      </c>
      <c r="P97" s="978">
        <f>IFERROR(COUNTIF(P99:P109,HIDE5!$K$8),0)</f>
        <v>0</v>
      </c>
      <c r="Q97" s="570"/>
      <c r="R97" s="570"/>
      <c r="S97" s="9"/>
      <c r="T97" s="567"/>
    </row>
    <row r="98" spans="2:20" ht="15" customHeight="1" outlineLevel="1" thickBot="1" x14ac:dyDescent="0.3">
      <c r="B98" s="559"/>
      <c r="C98" s="571"/>
      <c r="D98" s="9"/>
      <c r="E98" s="9"/>
      <c r="F98" s="9"/>
      <c r="G98" s="9"/>
      <c r="H98" s="9"/>
      <c r="I98" s="9"/>
      <c r="J98" s="9"/>
      <c r="K98" s="9"/>
      <c r="L98" s="9"/>
      <c r="M98" s="9"/>
      <c r="N98" s="9"/>
      <c r="O98" s="9"/>
      <c r="P98" s="9"/>
      <c r="Q98" s="9"/>
      <c r="R98" s="9"/>
      <c r="S98" s="9"/>
      <c r="T98" s="567"/>
    </row>
    <row r="99" spans="2:20" ht="15" customHeight="1" outlineLevel="1" thickTop="1" thickBot="1" x14ac:dyDescent="0.3">
      <c r="B99" s="559"/>
      <c r="C99" s="571"/>
      <c r="D99" s="943" t="s">
        <v>846</v>
      </c>
      <c r="E99" s="9"/>
      <c r="F99" s="1738"/>
      <c r="G99" s="1738"/>
      <c r="H99" s="1738"/>
      <c r="I99" s="1738"/>
      <c r="J99" s="1738"/>
      <c r="K99" s="1738"/>
      <c r="L99" s="1738"/>
      <c r="M99" s="1738"/>
      <c r="N99" s="1738"/>
      <c r="O99" s="1738"/>
      <c r="P99" s="1738"/>
      <c r="Q99" s="9"/>
      <c r="R99" s="792">
        <f>IFERROR(COUNTIF(G99:P99,HIDE5!$K$8),0)</f>
        <v>0</v>
      </c>
      <c r="S99" s="9"/>
      <c r="T99" s="567"/>
    </row>
    <row r="100" spans="2:20" ht="15" customHeight="1" outlineLevel="1" thickTop="1" thickBot="1" x14ac:dyDescent="0.3">
      <c r="B100" s="559"/>
      <c r="C100" s="571"/>
      <c r="D100" s="943" t="s">
        <v>931</v>
      </c>
      <c r="E100" s="9"/>
      <c r="F100" s="1738"/>
      <c r="G100" s="1738"/>
      <c r="H100" s="1738"/>
      <c r="I100" s="1738"/>
      <c r="J100" s="1738"/>
      <c r="K100" s="1738"/>
      <c r="L100" s="1738"/>
      <c r="M100" s="1738"/>
      <c r="N100" s="1738"/>
      <c r="O100" s="1738"/>
      <c r="P100" s="1738"/>
      <c r="Q100" s="9"/>
      <c r="R100" s="792">
        <f>IFERROR(COUNTIF(G100:P100,HIDE5!$K$8),0)</f>
        <v>0</v>
      </c>
      <c r="S100" s="9"/>
      <c r="T100" s="567"/>
    </row>
    <row r="101" spans="2:20" ht="15" customHeight="1" outlineLevel="1" thickTop="1" thickBot="1" x14ac:dyDescent="0.3">
      <c r="B101" s="559"/>
      <c r="C101" s="948"/>
      <c r="D101" s="943" t="s">
        <v>851</v>
      </c>
      <c r="E101" s="9"/>
      <c r="F101" s="1738"/>
      <c r="G101" s="1738"/>
      <c r="H101" s="1738"/>
      <c r="I101" s="1738"/>
      <c r="J101" s="1738"/>
      <c r="K101" s="1738"/>
      <c r="L101" s="1738"/>
      <c r="M101" s="1738"/>
      <c r="N101" s="1738"/>
      <c r="O101" s="1738"/>
      <c r="P101" s="1738"/>
      <c r="Q101" s="9"/>
      <c r="R101" s="792">
        <f>IFERROR(COUNTIF(G101:P101,HIDE5!$K$8),0)</f>
        <v>0</v>
      </c>
      <c r="S101" s="9"/>
      <c r="T101" s="567"/>
    </row>
    <row r="102" spans="2:20" ht="15" customHeight="1" outlineLevel="1" thickTop="1" thickBot="1" x14ac:dyDescent="0.3">
      <c r="B102" s="559"/>
      <c r="C102" s="948"/>
      <c r="D102" s="943" t="s">
        <v>848</v>
      </c>
      <c r="E102" s="9"/>
      <c r="F102" s="1738"/>
      <c r="G102" s="1738"/>
      <c r="H102" s="1738"/>
      <c r="I102" s="1738"/>
      <c r="J102" s="1738"/>
      <c r="K102" s="1738"/>
      <c r="L102" s="1738"/>
      <c r="M102" s="1738"/>
      <c r="N102" s="1738"/>
      <c r="O102" s="1738"/>
      <c r="P102" s="1738"/>
      <c r="Q102" s="9"/>
      <c r="R102" s="792">
        <f>IFERROR(COUNTIF(G102:P102,HIDE5!$K$8),0)</f>
        <v>0</v>
      </c>
      <c r="S102" s="9"/>
      <c r="T102" s="567"/>
    </row>
    <row r="103" spans="2:20" ht="15" customHeight="1" outlineLevel="1" thickTop="1" thickBot="1" x14ac:dyDescent="0.3">
      <c r="B103" s="559"/>
      <c r="C103" s="948"/>
      <c r="D103" s="943" t="s">
        <v>850</v>
      </c>
      <c r="E103" s="9"/>
      <c r="F103" s="1738"/>
      <c r="G103" s="1738"/>
      <c r="H103" s="1738"/>
      <c r="I103" s="1738"/>
      <c r="J103" s="1738"/>
      <c r="K103" s="1738"/>
      <c r="L103" s="1738"/>
      <c r="M103" s="1738"/>
      <c r="N103" s="1738"/>
      <c r="O103" s="1738"/>
      <c r="P103" s="1738"/>
      <c r="Q103" s="9"/>
      <c r="R103" s="792">
        <f>IFERROR(COUNTIF(G103:P103,HIDE5!$K$8),0)</f>
        <v>0</v>
      </c>
      <c r="S103" s="9"/>
      <c r="T103" s="567"/>
    </row>
    <row r="104" spans="2:20" ht="15" customHeight="1" outlineLevel="1" thickTop="1" thickBot="1" x14ac:dyDescent="0.3">
      <c r="B104" s="559"/>
      <c r="C104" s="948"/>
      <c r="D104" s="943" t="s">
        <v>847</v>
      </c>
      <c r="E104" s="9"/>
      <c r="F104" s="1738"/>
      <c r="G104" s="1738"/>
      <c r="H104" s="1738"/>
      <c r="I104" s="1738"/>
      <c r="J104" s="1738"/>
      <c r="K104" s="1738"/>
      <c r="L104" s="1738"/>
      <c r="M104" s="1738"/>
      <c r="N104" s="1738"/>
      <c r="O104" s="1738"/>
      <c r="P104" s="1738"/>
      <c r="Q104" s="9"/>
      <c r="R104" s="792">
        <f>IFERROR(COUNTIF(G104:P104,HIDE5!$K$8),0)</f>
        <v>0</v>
      </c>
      <c r="S104" s="9"/>
      <c r="T104" s="567"/>
    </row>
    <row r="105" spans="2:20" ht="15" customHeight="1" outlineLevel="1" thickTop="1" thickBot="1" x14ac:dyDescent="0.3">
      <c r="B105" s="559"/>
      <c r="C105" s="948"/>
      <c r="D105" s="943" t="s">
        <v>852</v>
      </c>
      <c r="E105" s="9"/>
      <c r="F105" s="1738"/>
      <c r="G105" s="1738"/>
      <c r="H105" s="1738"/>
      <c r="I105" s="1738"/>
      <c r="J105" s="1738"/>
      <c r="K105" s="1738"/>
      <c r="L105" s="1738"/>
      <c r="M105" s="1738"/>
      <c r="N105" s="1738"/>
      <c r="O105" s="1738"/>
      <c r="P105" s="1738"/>
      <c r="Q105" s="9"/>
      <c r="R105" s="792">
        <f>IFERROR(COUNTIF(G105:P105,HIDE5!$K$8),0)</f>
        <v>0</v>
      </c>
      <c r="S105" s="9"/>
      <c r="T105" s="567"/>
    </row>
    <row r="106" spans="2:20" ht="15" customHeight="1" outlineLevel="1" thickTop="1" thickBot="1" x14ac:dyDescent="0.3">
      <c r="B106" s="559"/>
      <c r="C106" s="948"/>
      <c r="D106" s="943" t="s">
        <v>849</v>
      </c>
      <c r="E106" s="9"/>
      <c r="F106" s="1738"/>
      <c r="G106" s="1738"/>
      <c r="H106" s="1738"/>
      <c r="I106" s="1738"/>
      <c r="J106" s="1738"/>
      <c r="K106" s="1738"/>
      <c r="L106" s="1738"/>
      <c r="M106" s="1738"/>
      <c r="N106" s="1738"/>
      <c r="O106" s="1738"/>
      <c r="P106" s="1738"/>
      <c r="Q106" s="9"/>
      <c r="R106" s="792">
        <f>IFERROR(COUNTIF(G106:P106,HIDE5!$K$8),0)</f>
        <v>0</v>
      </c>
      <c r="S106" s="9"/>
      <c r="T106" s="567"/>
    </row>
    <row r="107" spans="2:20" ht="15" customHeight="1" outlineLevel="1" thickTop="1" thickBot="1" x14ac:dyDescent="0.3">
      <c r="B107" s="559"/>
      <c r="C107" s="948"/>
      <c r="D107" s="943" t="s">
        <v>853</v>
      </c>
      <c r="E107" s="9"/>
      <c r="F107" s="1738"/>
      <c r="G107" s="1738"/>
      <c r="H107" s="1738"/>
      <c r="I107" s="1738"/>
      <c r="J107" s="1738"/>
      <c r="K107" s="1738"/>
      <c r="L107" s="1738"/>
      <c r="M107" s="1738"/>
      <c r="N107" s="1738"/>
      <c r="O107" s="1738"/>
      <c r="P107" s="1738"/>
      <c r="Q107" s="9"/>
      <c r="R107" s="792">
        <f>IFERROR(COUNTIF(G107:P107,HIDE5!$K$8),0)</f>
        <v>0</v>
      </c>
      <c r="S107" s="9"/>
      <c r="T107" s="567"/>
    </row>
    <row r="108" spans="2:20" ht="15" customHeight="1" outlineLevel="1" thickTop="1" thickBot="1" x14ac:dyDescent="0.3">
      <c r="B108" s="559"/>
      <c r="C108" s="948"/>
      <c r="D108" s="1744" t="s">
        <v>871</v>
      </c>
      <c r="E108" s="9"/>
      <c r="F108" s="1738"/>
      <c r="G108" s="1738"/>
      <c r="H108" s="1738"/>
      <c r="I108" s="1738"/>
      <c r="J108" s="1738"/>
      <c r="K108" s="1738"/>
      <c r="L108" s="1738"/>
      <c r="M108" s="1738"/>
      <c r="N108" s="1738"/>
      <c r="O108" s="1738"/>
      <c r="P108" s="1738"/>
      <c r="Q108" s="9"/>
      <c r="R108" s="792">
        <f>IFERROR(COUNTIF(G108:P108,HIDE5!$K$8),0)</f>
        <v>0</v>
      </c>
      <c r="S108" s="572"/>
      <c r="T108" s="567"/>
    </row>
    <row r="109" spans="2:20" ht="15" outlineLevel="1" thickTop="1" thickBot="1" x14ac:dyDescent="0.3">
      <c r="B109" s="559"/>
      <c r="C109" s="948"/>
      <c r="D109" s="1744" t="s">
        <v>872</v>
      </c>
      <c r="E109" s="9"/>
      <c r="F109" s="1738"/>
      <c r="G109" s="1738"/>
      <c r="H109" s="1738"/>
      <c r="I109" s="1738"/>
      <c r="J109" s="1738"/>
      <c r="K109" s="1738"/>
      <c r="L109" s="1738"/>
      <c r="M109" s="1738"/>
      <c r="N109" s="1738"/>
      <c r="O109" s="1738"/>
      <c r="P109" s="1738"/>
      <c r="Q109" s="9"/>
      <c r="R109" s="792">
        <f>IFERROR(COUNTIF(G109:P109,HIDE5!$K$8),0)</f>
        <v>0</v>
      </c>
      <c r="S109" s="572"/>
      <c r="T109" s="567"/>
    </row>
    <row r="110" spans="2:20" ht="15" customHeight="1" outlineLevel="1" thickTop="1" x14ac:dyDescent="0.25">
      <c r="B110" s="559"/>
      <c r="C110" s="948"/>
      <c r="D110" s="9"/>
      <c r="E110" s="9"/>
      <c r="F110" s="9"/>
      <c r="G110" s="9"/>
      <c r="H110" s="9"/>
      <c r="I110" s="9"/>
      <c r="J110" s="9"/>
      <c r="K110" s="9"/>
      <c r="L110" s="9"/>
      <c r="M110" s="9"/>
      <c r="N110" s="9"/>
      <c r="O110" s="9"/>
      <c r="P110" s="9"/>
      <c r="Q110" s="948"/>
      <c r="R110" s="9"/>
      <c r="S110" s="9"/>
      <c r="T110" s="567"/>
    </row>
    <row r="111" spans="2:20" ht="15" customHeight="1" outlineLevel="1" x14ac:dyDescent="0.25">
      <c r="B111" s="559"/>
      <c r="C111" s="566">
        <v>5</v>
      </c>
      <c r="D111" s="380" t="s">
        <v>854</v>
      </c>
      <c r="E111" s="537"/>
      <c r="F111" s="978">
        <f>IFERROR(COUNTIF(F113:F126,HIDE5!$K$8),0)</f>
        <v>0</v>
      </c>
      <c r="G111" s="978">
        <f>IFERROR(COUNTIF(G113:G126,HIDE5!$K$8),0)</f>
        <v>0</v>
      </c>
      <c r="H111" s="978">
        <f>IFERROR(COUNTIF(H113:H126,HIDE5!$K$8),0)</f>
        <v>0</v>
      </c>
      <c r="I111" s="978">
        <f>IFERROR(COUNTIF(I113:I126,HIDE5!$K$8),0)</f>
        <v>0</v>
      </c>
      <c r="J111" s="978">
        <f>IFERROR(COUNTIF(J113:J126,HIDE5!$K$8),0)</f>
        <v>0</v>
      </c>
      <c r="K111" s="978">
        <f>IFERROR(COUNTIF(K113:K126,HIDE5!$K$8),0)</f>
        <v>0</v>
      </c>
      <c r="L111" s="978">
        <f>IFERROR(COUNTIF(L113:L126,HIDE5!$K$8),0)</f>
        <v>0</v>
      </c>
      <c r="M111" s="978">
        <f>IFERROR(COUNTIF(M113:M126,HIDE5!$K$8),0)</f>
        <v>0</v>
      </c>
      <c r="N111" s="978">
        <f>IFERROR(COUNTIF(N113:N126,HIDE5!$K$8),0)</f>
        <v>0</v>
      </c>
      <c r="O111" s="978">
        <f>IFERROR(COUNTIF(O113:O126,HIDE5!$K$8),0)</f>
        <v>0</v>
      </c>
      <c r="P111" s="978">
        <f>IFERROR(COUNTIF(P113:P126,HIDE5!$K$8),0)</f>
        <v>0</v>
      </c>
      <c r="Q111" s="570"/>
      <c r="R111" s="570"/>
      <c r="S111" s="9"/>
      <c r="T111" s="567"/>
    </row>
    <row r="112" spans="2:20" ht="15" customHeight="1" outlineLevel="1" thickBot="1" x14ac:dyDescent="0.3">
      <c r="B112" s="559"/>
      <c r="C112" s="571"/>
      <c r="D112" s="9"/>
      <c r="E112" s="9"/>
      <c r="F112" s="9"/>
      <c r="G112" s="9"/>
      <c r="H112" s="9"/>
      <c r="I112" s="9"/>
      <c r="J112" s="9"/>
      <c r="K112" s="9"/>
      <c r="L112" s="9"/>
      <c r="M112" s="9"/>
      <c r="N112" s="9"/>
      <c r="O112" s="9"/>
      <c r="P112" s="9"/>
      <c r="Q112" s="9"/>
      <c r="R112" s="9"/>
      <c r="S112" s="572"/>
      <c r="T112" s="567"/>
    </row>
    <row r="113" spans="2:20" ht="15" customHeight="1" outlineLevel="1" thickTop="1" thickBot="1" x14ac:dyDescent="0.3">
      <c r="B113" s="559"/>
      <c r="C113" s="571"/>
      <c r="D113" s="943" t="s">
        <v>855</v>
      </c>
      <c r="E113" s="9"/>
      <c r="F113" s="1738"/>
      <c r="G113" s="1738"/>
      <c r="H113" s="1738"/>
      <c r="I113" s="1738"/>
      <c r="J113" s="1738"/>
      <c r="K113" s="1738"/>
      <c r="L113" s="1738"/>
      <c r="M113" s="1738"/>
      <c r="N113" s="1738"/>
      <c r="O113" s="1738"/>
      <c r="P113" s="1738"/>
      <c r="Q113" s="9"/>
      <c r="R113" s="792">
        <f>IFERROR(COUNTIF(G113:P113,HIDE5!$K$8),0)</f>
        <v>0</v>
      </c>
      <c r="S113" s="572"/>
      <c r="T113" s="567"/>
    </row>
    <row r="114" spans="2:20" ht="15" customHeight="1" outlineLevel="1" thickTop="1" thickBot="1" x14ac:dyDescent="0.3">
      <c r="B114" s="559"/>
      <c r="C114" s="948"/>
      <c r="D114" s="943" t="s">
        <v>856</v>
      </c>
      <c r="E114" s="9"/>
      <c r="F114" s="1738"/>
      <c r="G114" s="1738"/>
      <c r="H114" s="1738"/>
      <c r="I114" s="1738"/>
      <c r="J114" s="1738"/>
      <c r="K114" s="1738"/>
      <c r="L114" s="1738"/>
      <c r="M114" s="1738"/>
      <c r="N114" s="1738"/>
      <c r="O114" s="1738"/>
      <c r="P114" s="1738"/>
      <c r="Q114" s="9"/>
      <c r="R114" s="792">
        <f>IFERROR(COUNTIF(G114:P114,HIDE5!$K$8),0)</f>
        <v>0</v>
      </c>
      <c r="S114" s="9"/>
      <c r="T114" s="567"/>
    </row>
    <row r="115" spans="2:20" ht="15" customHeight="1" outlineLevel="1" thickTop="1" thickBot="1" x14ac:dyDescent="0.3">
      <c r="B115" s="559"/>
      <c r="C115" s="948"/>
      <c r="D115" s="943" t="s">
        <v>857</v>
      </c>
      <c r="E115" s="9"/>
      <c r="F115" s="1738"/>
      <c r="G115" s="1738"/>
      <c r="H115" s="1738"/>
      <c r="I115" s="1738"/>
      <c r="J115" s="1738"/>
      <c r="K115" s="1738"/>
      <c r="L115" s="1738"/>
      <c r="M115" s="1738"/>
      <c r="N115" s="1738"/>
      <c r="O115" s="1738"/>
      <c r="P115" s="1738"/>
      <c r="Q115" s="9"/>
      <c r="R115" s="792">
        <f>IFERROR(COUNTIF(G115:P115,HIDE5!$K$8),0)</f>
        <v>0</v>
      </c>
      <c r="S115" s="9"/>
      <c r="T115" s="567"/>
    </row>
    <row r="116" spans="2:20" ht="15" customHeight="1" outlineLevel="1" thickTop="1" thickBot="1" x14ac:dyDescent="0.3">
      <c r="B116" s="559"/>
      <c r="C116" s="948"/>
      <c r="D116" s="943" t="s">
        <v>858</v>
      </c>
      <c r="E116" s="9"/>
      <c r="F116" s="1738"/>
      <c r="G116" s="1738"/>
      <c r="H116" s="1738"/>
      <c r="I116" s="1738"/>
      <c r="J116" s="1738"/>
      <c r="K116" s="1738"/>
      <c r="L116" s="1738"/>
      <c r="M116" s="1738"/>
      <c r="N116" s="1738"/>
      <c r="O116" s="1738"/>
      <c r="P116" s="1738"/>
      <c r="Q116" s="9"/>
      <c r="R116" s="792">
        <f>IFERROR(COUNTIF(G116:P116,HIDE5!$K$8),0)</f>
        <v>0</v>
      </c>
      <c r="S116" s="9"/>
      <c r="T116" s="567"/>
    </row>
    <row r="117" spans="2:20" ht="15" customHeight="1" outlineLevel="1" thickTop="1" thickBot="1" x14ac:dyDescent="0.3">
      <c r="B117" s="559"/>
      <c r="C117" s="948"/>
      <c r="D117" s="943" t="s">
        <v>859</v>
      </c>
      <c r="E117" s="9"/>
      <c r="F117" s="1738"/>
      <c r="G117" s="1738"/>
      <c r="H117" s="1738"/>
      <c r="I117" s="1738"/>
      <c r="J117" s="1738"/>
      <c r="K117" s="1738"/>
      <c r="L117" s="1738"/>
      <c r="M117" s="1738"/>
      <c r="N117" s="1738"/>
      <c r="O117" s="1738"/>
      <c r="P117" s="1738"/>
      <c r="Q117" s="9"/>
      <c r="R117" s="792">
        <f>IFERROR(COUNTIF(G117:P117,HIDE5!$K$8),0)</f>
        <v>0</v>
      </c>
      <c r="S117" s="9"/>
      <c r="T117" s="567"/>
    </row>
    <row r="118" spans="2:20" ht="15" customHeight="1" outlineLevel="1" thickTop="1" thickBot="1" x14ac:dyDescent="0.3">
      <c r="B118" s="559"/>
      <c r="C118" s="948"/>
      <c r="D118" s="943" t="s">
        <v>860</v>
      </c>
      <c r="E118" s="9"/>
      <c r="F118" s="1738"/>
      <c r="G118" s="1738"/>
      <c r="H118" s="1738"/>
      <c r="I118" s="1738"/>
      <c r="J118" s="1738"/>
      <c r="K118" s="1738"/>
      <c r="L118" s="1738"/>
      <c r="M118" s="1738"/>
      <c r="N118" s="1738"/>
      <c r="O118" s="1738"/>
      <c r="P118" s="1738"/>
      <c r="Q118" s="9"/>
      <c r="R118" s="792">
        <f>IFERROR(COUNTIF(G118:P118,HIDE5!$K$8),0)</f>
        <v>0</v>
      </c>
      <c r="S118" s="9"/>
      <c r="T118" s="567"/>
    </row>
    <row r="119" spans="2:20" ht="15" customHeight="1" outlineLevel="1" thickTop="1" thickBot="1" x14ac:dyDescent="0.3">
      <c r="B119" s="559"/>
      <c r="C119" s="948"/>
      <c r="D119" s="943" t="s">
        <v>861</v>
      </c>
      <c r="E119" s="9"/>
      <c r="F119" s="1738"/>
      <c r="G119" s="1738"/>
      <c r="H119" s="1738"/>
      <c r="I119" s="1738"/>
      <c r="J119" s="1738"/>
      <c r="K119" s="1738"/>
      <c r="L119" s="1738"/>
      <c r="M119" s="1738"/>
      <c r="N119" s="1738"/>
      <c r="O119" s="1738"/>
      <c r="P119" s="1738"/>
      <c r="Q119" s="9"/>
      <c r="R119" s="792">
        <f>IFERROR(COUNTIF(G119:P119,HIDE5!$K$8),0)</f>
        <v>0</v>
      </c>
      <c r="S119" s="9"/>
      <c r="T119" s="567"/>
    </row>
    <row r="120" spans="2:20" ht="15" customHeight="1" outlineLevel="1" thickTop="1" thickBot="1" x14ac:dyDescent="0.3">
      <c r="B120" s="559"/>
      <c r="C120" s="948"/>
      <c r="D120" s="943" t="s">
        <v>862</v>
      </c>
      <c r="E120" s="9"/>
      <c r="F120" s="1738"/>
      <c r="G120" s="1738"/>
      <c r="H120" s="1738"/>
      <c r="I120" s="1738"/>
      <c r="J120" s="1738"/>
      <c r="K120" s="1738"/>
      <c r="L120" s="1738"/>
      <c r="M120" s="1738"/>
      <c r="N120" s="1738"/>
      <c r="O120" s="1738"/>
      <c r="P120" s="1738"/>
      <c r="Q120" s="9"/>
      <c r="R120" s="792">
        <f>IFERROR(COUNTIF(G120:P120,HIDE5!$K$8),0)</f>
        <v>0</v>
      </c>
      <c r="S120" s="9"/>
      <c r="T120" s="567"/>
    </row>
    <row r="121" spans="2:20" ht="15" customHeight="1" outlineLevel="1" thickTop="1" thickBot="1" x14ac:dyDescent="0.3">
      <c r="B121" s="559"/>
      <c r="C121" s="948"/>
      <c r="D121" s="943" t="s">
        <v>863</v>
      </c>
      <c r="E121" s="9"/>
      <c r="F121" s="1738"/>
      <c r="G121" s="1738"/>
      <c r="H121" s="1738"/>
      <c r="I121" s="1738"/>
      <c r="J121" s="1738"/>
      <c r="K121" s="1738"/>
      <c r="L121" s="1738"/>
      <c r="M121" s="1738"/>
      <c r="N121" s="1738"/>
      <c r="O121" s="1738"/>
      <c r="P121" s="1738"/>
      <c r="Q121" s="9"/>
      <c r="R121" s="792">
        <f>IFERROR(COUNTIF(G121:P121,HIDE5!$K$8),0)</f>
        <v>0</v>
      </c>
      <c r="S121" s="9"/>
      <c r="T121" s="567"/>
    </row>
    <row r="122" spans="2:20" ht="15" customHeight="1" outlineLevel="1" thickTop="1" thickBot="1" x14ac:dyDescent="0.3">
      <c r="B122" s="559"/>
      <c r="C122" s="948"/>
      <c r="D122" s="943" t="s">
        <v>899</v>
      </c>
      <c r="E122" s="9"/>
      <c r="F122" s="1738"/>
      <c r="G122" s="1738"/>
      <c r="H122" s="1738"/>
      <c r="I122" s="1738"/>
      <c r="J122" s="1738"/>
      <c r="K122" s="1738"/>
      <c r="L122" s="1738"/>
      <c r="M122" s="1738"/>
      <c r="N122" s="1738"/>
      <c r="O122" s="1738"/>
      <c r="P122" s="1738"/>
      <c r="Q122" s="9"/>
      <c r="R122" s="792">
        <f>IFERROR(COUNTIF(G122:P122,HIDE5!$K$8),0)</f>
        <v>0</v>
      </c>
      <c r="S122" s="9"/>
      <c r="T122" s="567"/>
    </row>
    <row r="123" spans="2:20" ht="15" customHeight="1" outlineLevel="1" thickTop="1" thickBot="1" x14ac:dyDescent="0.3">
      <c r="B123" s="559"/>
      <c r="C123" s="948"/>
      <c r="D123" s="943" t="s">
        <v>900</v>
      </c>
      <c r="E123" s="9"/>
      <c r="F123" s="1738"/>
      <c r="G123" s="1738"/>
      <c r="H123" s="1738"/>
      <c r="I123" s="1738"/>
      <c r="J123" s="1738"/>
      <c r="K123" s="1738"/>
      <c r="L123" s="1738"/>
      <c r="M123" s="1738"/>
      <c r="N123" s="1738"/>
      <c r="O123" s="1738"/>
      <c r="P123" s="1738"/>
      <c r="Q123" s="9"/>
      <c r="R123" s="792">
        <f>IFERROR(COUNTIF(G123:P123,HIDE5!$K$8),0)</f>
        <v>0</v>
      </c>
      <c r="S123" s="9"/>
      <c r="T123" s="567"/>
    </row>
    <row r="124" spans="2:20" ht="15" customHeight="1" outlineLevel="1" thickTop="1" thickBot="1" x14ac:dyDescent="0.3">
      <c r="B124" s="559"/>
      <c r="C124" s="948"/>
      <c r="D124" s="943" t="s">
        <v>933</v>
      </c>
      <c r="E124" s="9"/>
      <c r="F124" s="1738"/>
      <c r="G124" s="1738"/>
      <c r="H124" s="1738"/>
      <c r="I124" s="1738"/>
      <c r="J124" s="1738"/>
      <c r="K124" s="1738"/>
      <c r="L124" s="1738"/>
      <c r="M124" s="1738"/>
      <c r="N124" s="1738"/>
      <c r="O124" s="1738"/>
      <c r="P124" s="1738"/>
      <c r="Q124" s="9"/>
      <c r="R124" s="792">
        <f>IFERROR(COUNTIF(G124:P124,HIDE5!$K$8),0)</f>
        <v>0</v>
      </c>
      <c r="S124" s="9"/>
      <c r="T124" s="567"/>
    </row>
    <row r="125" spans="2:20" ht="15" customHeight="1" outlineLevel="1" thickTop="1" thickBot="1" x14ac:dyDescent="0.3">
      <c r="B125" s="559"/>
      <c r="C125" s="948"/>
      <c r="D125" s="1744" t="s">
        <v>871</v>
      </c>
      <c r="E125" s="9"/>
      <c r="F125" s="1738"/>
      <c r="G125" s="1738"/>
      <c r="H125" s="1738"/>
      <c r="I125" s="1738"/>
      <c r="J125" s="1738"/>
      <c r="K125" s="1738"/>
      <c r="L125" s="1738"/>
      <c r="M125" s="1738"/>
      <c r="N125" s="1738"/>
      <c r="O125" s="1738"/>
      <c r="P125" s="1738"/>
      <c r="Q125" s="9"/>
      <c r="R125" s="792">
        <f>IFERROR(COUNTIF(G125:P125,HIDE5!$K$8),0)</f>
        <v>0</v>
      </c>
      <c r="S125" s="572"/>
      <c r="T125" s="567"/>
    </row>
    <row r="126" spans="2:20" ht="15" outlineLevel="1" thickTop="1" thickBot="1" x14ac:dyDescent="0.3">
      <c r="B126" s="559"/>
      <c r="C126" s="948"/>
      <c r="D126" s="1744" t="s">
        <v>872</v>
      </c>
      <c r="E126" s="9"/>
      <c r="F126" s="1738"/>
      <c r="G126" s="1738"/>
      <c r="H126" s="1738"/>
      <c r="I126" s="1738"/>
      <c r="J126" s="1738"/>
      <c r="K126" s="1738"/>
      <c r="L126" s="1738"/>
      <c r="M126" s="1738"/>
      <c r="N126" s="1738"/>
      <c r="O126" s="1738"/>
      <c r="P126" s="1738"/>
      <c r="Q126" s="9"/>
      <c r="R126" s="792">
        <f>IFERROR(COUNTIF(G126:P126,HIDE5!$K$8),0)</f>
        <v>0</v>
      </c>
      <c r="S126" s="572"/>
      <c r="T126" s="567"/>
    </row>
    <row r="127" spans="2:20" ht="15" customHeight="1" outlineLevel="1" thickTop="1" x14ac:dyDescent="0.25">
      <c r="B127" s="559"/>
      <c r="C127" s="948"/>
      <c r="D127" s="9"/>
      <c r="E127" s="9"/>
      <c r="F127" s="9"/>
      <c r="G127" s="9"/>
      <c r="H127" s="9"/>
      <c r="I127" s="9"/>
      <c r="J127" s="9"/>
      <c r="K127" s="9"/>
      <c r="L127" s="9"/>
      <c r="M127" s="9"/>
      <c r="N127" s="9"/>
      <c r="O127" s="9"/>
      <c r="P127" s="9"/>
      <c r="Q127" s="948"/>
      <c r="R127" s="9"/>
      <c r="S127" s="9"/>
      <c r="T127" s="567"/>
    </row>
    <row r="128" spans="2:20" ht="15" customHeight="1" outlineLevel="1" x14ac:dyDescent="0.25">
      <c r="B128" s="559"/>
      <c r="C128" s="566">
        <v>6</v>
      </c>
      <c r="D128" s="380" t="s">
        <v>864</v>
      </c>
      <c r="E128" s="537"/>
      <c r="F128" s="978">
        <f>IFERROR(COUNTIF(F130:F156,HIDE5!$K$8),0)</f>
        <v>0</v>
      </c>
      <c r="G128" s="978">
        <f>IFERROR(COUNTIF(G130:G156,HIDE5!$K$8),0)</f>
        <v>0</v>
      </c>
      <c r="H128" s="978">
        <f>IFERROR(COUNTIF(H130:H156,HIDE5!$K$8),0)</f>
        <v>0</v>
      </c>
      <c r="I128" s="978">
        <f>IFERROR(COUNTIF(I130:I156,HIDE5!$K$8),0)</f>
        <v>0</v>
      </c>
      <c r="J128" s="978">
        <f>IFERROR(COUNTIF(J130:J156,HIDE5!$K$8),0)</f>
        <v>0</v>
      </c>
      <c r="K128" s="978">
        <f>IFERROR(COUNTIF(K130:K156,HIDE5!$K$8),0)</f>
        <v>0</v>
      </c>
      <c r="L128" s="978">
        <f>IFERROR(COUNTIF(L130:L156,HIDE5!$K$8),0)</f>
        <v>0</v>
      </c>
      <c r="M128" s="978">
        <f>IFERROR(COUNTIF(M130:M156,HIDE5!$K$8),0)</f>
        <v>0</v>
      </c>
      <c r="N128" s="978">
        <f>IFERROR(COUNTIF(N130:N156,HIDE5!$K$8),0)</f>
        <v>0</v>
      </c>
      <c r="O128" s="978">
        <f>IFERROR(COUNTIF(O130:O156,HIDE5!$K$8),0)</f>
        <v>0</v>
      </c>
      <c r="P128" s="978">
        <f>IFERROR(COUNTIF(P130:P156,HIDE5!$K$8),0)</f>
        <v>0</v>
      </c>
      <c r="Q128" s="570"/>
      <c r="R128" s="570"/>
      <c r="S128" s="9"/>
      <c r="T128" s="567"/>
    </row>
    <row r="129" spans="2:20" ht="15" customHeight="1" outlineLevel="1" thickBot="1" x14ac:dyDescent="0.3">
      <c r="B129" s="559"/>
      <c r="C129" s="571"/>
      <c r="D129" s="9"/>
      <c r="E129" s="9"/>
      <c r="F129" s="9"/>
      <c r="G129" s="9"/>
      <c r="H129" s="9"/>
      <c r="I129" s="9"/>
      <c r="J129" s="9"/>
      <c r="K129" s="9"/>
      <c r="L129" s="9"/>
      <c r="M129" s="9"/>
      <c r="N129" s="9"/>
      <c r="O129" s="9"/>
      <c r="P129" s="9"/>
      <c r="Q129" s="9"/>
      <c r="R129" s="9"/>
      <c r="S129" s="572"/>
      <c r="T129" s="567"/>
    </row>
    <row r="130" spans="2:20" ht="15" customHeight="1" outlineLevel="1" thickTop="1" thickBot="1" x14ac:dyDescent="0.3">
      <c r="B130" s="559"/>
      <c r="C130" s="571"/>
      <c r="D130" s="943" t="s">
        <v>865</v>
      </c>
      <c r="E130" s="9"/>
      <c r="F130" s="1738"/>
      <c r="G130" s="1738"/>
      <c r="H130" s="1738"/>
      <c r="I130" s="1738"/>
      <c r="J130" s="1738"/>
      <c r="K130" s="1738"/>
      <c r="L130" s="1738"/>
      <c r="M130" s="1738"/>
      <c r="N130" s="1738"/>
      <c r="O130" s="1738"/>
      <c r="P130" s="1738"/>
      <c r="Q130" s="9"/>
      <c r="R130" s="792">
        <f>IFERROR(COUNTIF(G130:P130,HIDE5!$K$8),0)</f>
        <v>0</v>
      </c>
      <c r="S130" s="572"/>
      <c r="T130" s="567"/>
    </row>
    <row r="131" spans="2:20" ht="15" customHeight="1" outlineLevel="1" thickTop="1" thickBot="1" x14ac:dyDescent="0.3">
      <c r="B131" s="559"/>
      <c r="C131" s="948"/>
      <c r="D131" s="943" t="s">
        <v>909</v>
      </c>
      <c r="E131" s="9"/>
      <c r="F131" s="1738"/>
      <c r="G131" s="1738"/>
      <c r="H131" s="1738"/>
      <c r="I131" s="1738"/>
      <c r="J131" s="1738"/>
      <c r="K131" s="1738"/>
      <c r="L131" s="1738"/>
      <c r="M131" s="1738"/>
      <c r="N131" s="1738"/>
      <c r="O131" s="1738"/>
      <c r="P131" s="1738"/>
      <c r="Q131" s="9"/>
      <c r="R131" s="792">
        <f>IFERROR(COUNTIF(G131:P131,HIDE5!$K$8),0)</f>
        <v>0</v>
      </c>
      <c r="S131" s="9"/>
      <c r="T131" s="567"/>
    </row>
    <row r="132" spans="2:20" ht="15" customHeight="1" outlineLevel="1" thickTop="1" thickBot="1" x14ac:dyDescent="0.3">
      <c r="B132" s="559"/>
      <c r="C132" s="948"/>
      <c r="D132" s="943" t="s">
        <v>943</v>
      </c>
      <c r="E132" s="9"/>
      <c r="F132" s="1738"/>
      <c r="G132" s="1738"/>
      <c r="H132" s="1738"/>
      <c r="I132" s="1738"/>
      <c r="J132" s="1738"/>
      <c r="K132" s="1738"/>
      <c r="L132" s="1738"/>
      <c r="M132" s="1738"/>
      <c r="N132" s="1738"/>
      <c r="O132" s="1738"/>
      <c r="P132" s="1738"/>
      <c r="Q132" s="9"/>
      <c r="R132" s="792">
        <f>IFERROR(COUNTIF(G132:P132,HIDE5!$K$8),0)</f>
        <v>0</v>
      </c>
      <c r="S132" s="9"/>
      <c r="T132" s="567"/>
    </row>
    <row r="133" spans="2:20" ht="15" customHeight="1" outlineLevel="1" thickTop="1" thickBot="1" x14ac:dyDescent="0.3">
      <c r="B133" s="559"/>
      <c r="C133" s="948"/>
      <c r="D133" s="943" t="s">
        <v>866</v>
      </c>
      <c r="E133" s="9"/>
      <c r="F133" s="1738"/>
      <c r="G133" s="1738"/>
      <c r="H133" s="1738"/>
      <c r="I133" s="1738"/>
      <c r="J133" s="1738"/>
      <c r="K133" s="1738"/>
      <c r="L133" s="1738"/>
      <c r="M133" s="1738"/>
      <c r="N133" s="1738"/>
      <c r="O133" s="1738"/>
      <c r="P133" s="1738"/>
      <c r="Q133" s="9"/>
      <c r="R133" s="792">
        <f>IFERROR(COUNTIF(G133:P133,HIDE5!$K$8),0)</f>
        <v>0</v>
      </c>
      <c r="S133" s="9"/>
      <c r="T133" s="567"/>
    </row>
    <row r="134" spans="2:20" ht="15" customHeight="1" outlineLevel="1" thickTop="1" thickBot="1" x14ac:dyDescent="0.3">
      <c r="B134" s="559"/>
      <c r="C134" s="948"/>
      <c r="D134" s="943" t="s">
        <v>867</v>
      </c>
      <c r="E134" s="9"/>
      <c r="F134" s="1738"/>
      <c r="G134" s="1738"/>
      <c r="H134" s="1738"/>
      <c r="I134" s="1738"/>
      <c r="J134" s="1738"/>
      <c r="K134" s="1738"/>
      <c r="L134" s="1738"/>
      <c r="M134" s="1738"/>
      <c r="N134" s="1738"/>
      <c r="O134" s="1738"/>
      <c r="P134" s="1738"/>
      <c r="Q134" s="9"/>
      <c r="R134" s="792">
        <f>IFERROR(COUNTIF(G134:P134,HIDE5!$K$8),0)</f>
        <v>0</v>
      </c>
      <c r="S134" s="9"/>
      <c r="T134" s="567"/>
    </row>
    <row r="135" spans="2:20" ht="15" customHeight="1" outlineLevel="1" thickTop="1" thickBot="1" x14ac:dyDescent="0.3">
      <c r="B135" s="559"/>
      <c r="C135" s="948"/>
      <c r="D135" s="943" t="s">
        <v>937</v>
      </c>
      <c r="E135" s="9"/>
      <c r="F135" s="1738"/>
      <c r="G135" s="1738"/>
      <c r="H135" s="1738"/>
      <c r="I135" s="1738"/>
      <c r="J135" s="1738"/>
      <c r="K135" s="1738"/>
      <c r="L135" s="1738"/>
      <c r="M135" s="1738"/>
      <c r="N135" s="1738"/>
      <c r="O135" s="1738"/>
      <c r="P135" s="1738"/>
      <c r="Q135" s="9"/>
      <c r="R135" s="792">
        <f>IFERROR(COUNTIF(G135:P135,HIDE5!$K$8),0)</f>
        <v>0</v>
      </c>
      <c r="S135" s="9"/>
      <c r="T135" s="567"/>
    </row>
    <row r="136" spans="2:20" ht="15" customHeight="1" outlineLevel="1" thickTop="1" thickBot="1" x14ac:dyDescent="0.3">
      <c r="B136" s="559"/>
      <c r="C136" s="948"/>
      <c r="D136" s="943" t="s">
        <v>916</v>
      </c>
      <c r="E136" s="9"/>
      <c r="F136" s="1738"/>
      <c r="G136" s="1738"/>
      <c r="H136" s="1738"/>
      <c r="I136" s="1738"/>
      <c r="J136" s="1738"/>
      <c r="K136" s="1738"/>
      <c r="L136" s="1738"/>
      <c r="M136" s="1738"/>
      <c r="N136" s="1738"/>
      <c r="O136" s="1738"/>
      <c r="P136" s="1738"/>
      <c r="Q136" s="9"/>
      <c r="R136" s="792">
        <f>IFERROR(COUNTIF(G136:P136,HIDE5!$K$8),0)</f>
        <v>0</v>
      </c>
      <c r="S136" s="9"/>
      <c r="T136" s="567"/>
    </row>
    <row r="137" spans="2:20" ht="15" customHeight="1" outlineLevel="1" thickTop="1" thickBot="1" x14ac:dyDescent="0.3">
      <c r="B137" s="559"/>
      <c r="C137" s="948"/>
      <c r="D137" s="943" t="s">
        <v>868</v>
      </c>
      <c r="E137" s="9"/>
      <c r="F137" s="1738"/>
      <c r="G137" s="1738"/>
      <c r="H137" s="1738"/>
      <c r="I137" s="1738"/>
      <c r="J137" s="1738"/>
      <c r="K137" s="1738"/>
      <c r="L137" s="1738"/>
      <c r="M137" s="1738"/>
      <c r="N137" s="1738"/>
      <c r="O137" s="1738"/>
      <c r="P137" s="1738"/>
      <c r="Q137" s="9"/>
      <c r="R137" s="792">
        <f>IFERROR(COUNTIF(G137:P137,HIDE5!$K$8),0)</f>
        <v>0</v>
      </c>
      <c r="S137" s="9"/>
      <c r="T137" s="567"/>
    </row>
    <row r="138" spans="2:20" ht="15" customHeight="1" outlineLevel="1" thickTop="1" thickBot="1" x14ac:dyDescent="0.3">
      <c r="B138" s="559"/>
      <c r="C138" s="948"/>
      <c r="D138" s="943" t="s">
        <v>869</v>
      </c>
      <c r="E138" s="9"/>
      <c r="F138" s="1738"/>
      <c r="G138" s="1738"/>
      <c r="H138" s="1738"/>
      <c r="I138" s="1738"/>
      <c r="J138" s="1738"/>
      <c r="K138" s="1738"/>
      <c r="L138" s="1738"/>
      <c r="M138" s="1738"/>
      <c r="N138" s="1738"/>
      <c r="O138" s="1738"/>
      <c r="P138" s="1738"/>
      <c r="Q138" s="9"/>
      <c r="R138" s="792">
        <f>IFERROR(COUNTIF(G138:P138,HIDE5!$K$8),0)</f>
        <v>0</v>
      </c>
      <c r="S138" s="9"/>
      <c r="T138" s="567"/>
    </row>
    <row r="139" spans="2:20" ht="15" customHeight="1" outlineLevel="1" thickTop="1" thickBot="1" x14ac:dyDescent="0.3">
      <c r="B139" s="559"/>
      <c r="C139" s="948"/>
      <c r="D139" s="943" t="s">
        <v>911</v>
      </c>
      <c r="E139" s="9"/>
      <c r="F139" s="1738"/>
      <c r="G139" s="1738"/>
      <c r="H139" s="1738"/>
      <c r="I139" s="1738"/>
      <c r="J139" s="1738"/>
      <c r="K139" s="1738"/>
      <c r="L139" s="1738"/>
      <c r="M139" s="1738"/>
      <c r="N139" s="1738"/>
      <c r="O139" s="1738"/>
      <c r="P139" s="1738"/>
      <c r="Q139" s="9"/>
      <c r="R139" s="792">
        <f>IFERROR(COUNTIF(G139:P139,HIDE5!$K$8),0)</f>
        <v>0</v>
      </c>
      <c r="S139" s="9"/>
      <c r="T139" s="567"/>
    </row>
    <row r="140" spans="2:20" ht="15" customHeight="1" outlineLevel="1" thickTop="1" thickBot="1" x14ac:dyDescent="0.3">
      <c r="B140" s="559"/>
      <c r="C140" s="948"/>
      <c r="D140" s="943" t="s">
        <v>915</v>
      </c>
      <c r="E140" s="9"/>
      <c r="F140" s="1738"/>
      <c r="G140" s="1738"/>
      <c r="H140" s="1738"/>
      <c r="I140" s="1738"/>
      <c r="J140" s="1738"/>
      <c r="K140" s="1738"/>
      <c r="L140" s="1738"/>
      <c r="M140" s="1738"/>
      <c r="N140" s="1738"/>
      <c r="O140" s="1738"/>
      <c r="P140" s="1738"/>
      <c r="Q140" s="9"/>
      <c r="R140" s="792">
        <f>IFERROR(COUNTIF(G140:P140,HIDE5!$K$8),0)</f>
        <v>0</v>
      </c>
      <c r="S140" s="9"/>
      <c r="T140" s="567"/>
    </row>
    <row r="141" spans="2:20" ht="15" customHeight="1" outlineLevel="1" thickTop="1" thickBot="1" x14ac:dyDescent="0.3">
      <c r="B141" s="559"/>
      <c r="C141" s="948"/>
      <c r="D141" s="943" t="s">
        <v>934</v>
      </c>
      <c r="E141" s="9"/>
      <c r="F141" s="1738"/>
      <c r="G141" s="1738"/>
      <c r="H141" s="1738"/>
      <c r="I141" s="1738"/>
      <c r="J141" s="1738"/>
      <c r="K141" s="1738"/>
      <c r="L141" s="1738"/>
      <c r="M141" s="1738"/>
      <c r="N141" s="1738"/>
      <c r="O141" s="1738"/>
      <c r="P141" s="1738"/>
      <c r="Q141" s="9"/>
      <c r="R141" s="792">
        <f>IFERROR(COUNTIF(G141:P141,HIDE5!$K$8),0)</f>
        <v>0</v>
      </c>
      <c r="S141" s="9"/>
      <c r="T141" s="567"/>
    </row>
    <row r="142" spans="2:20" ht="15" customHeight="1" outlineLevel="1" thickTop="1" thickBot="1" x14ac:dyDescent="0.3">
      <c r="B142" s="559"/>
      <c r="C142" s="948"/>
      <c r="D142" s="943" t="s">
        <v>935</v>
      </c>
      <c r="E142" s="9"/>
      <c r="F142" s="1738"/>
      <c r="G142" s="1738"/>
      <c r="H142" s="1738"/>
      <c r="I142" s="1738"/>
      <c r="J142" s="1738"/>
      <c r="K142" s="1738"/>
      <c r="L142" s="1738"/>
      <c r="M142" s="1738"/>
      <c r="N142" s="1738"/>
      <c r="O142" s="1738"/>
      <c r="P142" s="1738"/>
      <c r="Q142" s="9"/>
      <c r="R142" s="792">
        <f>IFERROR(COUNTIF(G142:P142,HIDE5!$K$8),0)</f>
        <v>0</v>
      </c>
      <c r="S142" s="9"/>
      <c r="T142" s="567"/>
    </row>
    <row r="143" spans="2:20" ht="15" customHeight="1" outlineLevel="1" thickTop="1" thickBot="1" x14ac:dyDescent="0.3">
      <c r="B143" s="559"/>
      <c r="C143" s="948"/>
      <c r="D143" s="943" t="s">
        <v>936</v>
      </c>
      <c r="E143" s="9"/>
      <c r="F143" s="1738"/>
      <c r="G143" s="1738"/>
      <c r="H143" s="1738"/>
      <c r="I143" s="1738"/>
      <c r="J143" s="1738"/>
      <c r="K143" s="1738"/>
      <c r="L143" s="1738"/>
      <c r="M143" s="1738"/>
      <c r="N143" s="1738"/>
      <c r="O143" s="1738"/>
      <c r="P143" s="1738"/>
      <c r="Q143" s="9"/>
      <c r="R143" s="792">
        <f>IFERROR(COUNTIF(G143:P143,HIDE5!$K$8),0)</f>
        <v>0</v>
      </c>
      <c r="S143" s="9"/>
      <c r="T143" s="567"/>
    </row>
    <row r="144" spans="2:20" ht="15" customHeight="1" outlineLevel="1" thickTop="1" thickBot="1" x14ac:dyDescent="0.3">
      <c r="B144" s="559"/>
      <c r="C144" s="948"/>
      <c r="D144" s="943" t="s">
        <v>938</v>
      </c>
      <c r="E144" s="9"/>
      <c r="F144" s="1738"/>
      <c r="G144" s="1738"/>
      <c r="H144" s="1738"/>
      <c r="I144" s="1738"/>
      <c r="J144" s="1738"/>
      <c r="K144" s="1738"/>
      <c r="L144" s="1738"/>
      <c r="M144" s="1738"/>
      <c r="N144" s="1738"/>
      <c r="O144" s="1738"/>
      <c r="P144" s="1738"/>
      <c r="Q144" s="9"/>
      <c r="R144" s="792">
        <f>IFERROR(COUNTIF(G144:P144,HIDE5!$K$8),0)</f>
        <v>0</v>
      </c>
      <c r="S144" s="9"/>
      <c r="T144" s="567"/>
    </row>
    <row r="145" spans="2:20" ht="15" customHeight="1" outlineLevel="1" thickTop="1" thickBot="1" x14ac:dyDescent="0.3">
      <c r="B145" s="559"/>
      <c r="C145" s="948"/>
      <c r="D145" s="943" t="s">
        <v>939</v>
      </c>
      <c r="E145" s="9"/>
      <c r="F145" s="1738"/>
      <c r="G145" s="1738"/>
      <c r="H145" s="1738"/>
      <c r="I145" s="1738"/>
      <c r="J145" s="1738"/>
      <c r="K145" s="1738"/>
      <c r="L145" s="1738"/>
      <c r="M145" s="1738"/>
      <c r="N145" s="1738"/>
      <c r="O145" s="1738"/>
      <c r="P145" s="1738"/>
      <c r="Q145" s="9"/>
      <c r="R145" s="792">
        <f>IFERROR(COUNTIF(G145:P145,HIDE5!$K$8),0)</f>
        <v>0</v>
      </c>
      <c r="S145" s="9"/>
      <c r="T145" s="567"/>
    </row>
    <row r="146" spans="2:20" ht="15" customHeight="1" outlineLevel="1" thickTop="1" thickBot="1" x14ac:dyDescent="0.3">
      <c r="B146" s="559"/>
      <c r="C146" s="948"/>
      <c r="D146" s="943" t="s">
        <v>940</v>
      </c>
      <c r="E146" s="9"/>
      <c r="F146" s="1738"/>
      <c r="G146" s="1738"/>
      <c r="H146" s="1738"/>
      <c r="I146" s="1738"/>
      <c r="J146" s="1738"/>
      <c r="K146" s="1738"/>
      <c r="L146" s="1738"/>
      <c r="M146" s="1738"/>
      <c r="N146" s="1738"/>
      <c r="O146" s="1738"/>
      <c r="P146" s="1738"/>
      <c r="Q146" s="9"/>
      <c r="R146" s="792">
        <f>IFERROR(COUNTIF(G146:P146,HIDE5!$K$8),0)</f>
        <v>0</v>
      </c>
      <c r="S146" s="9"/>
      <c r="T146" s="567"/>
    </row>
    <row r="147" spans="2:20" ht="15" customHeight="1" outlineLevel="1" thickTop="1" thickBot="1" x14ac:dyDescent="0.3">
      <c r="B147" s="559"/>
      <c r="C147" s="948"/>
      <c r="D147" s="943" t="s">
        <v>941</v>
      </c>
      <c r="E147" s="9"/>
      <c r="F147" s="1738"/>
      <c r="G147" s="1738"/>
      <c r="H147" s="1738"/>
      <c r="I147" s="1738"/>
      <c r="J147" s="1738"/>
      <c r="K147" s="1738"/>
      <c r="L147" s="1738"/>
      <c r="M147" s="1738"/>
      <c r="N147" s="1738"/>
      <c r="O147" s="1738"/>
      <c r="P147" s="1738"/>
      <c r="Q147" s="9"/>
      <c r="R147" s="792">
        <f>IFERROR(COUNTIF(G147:P147,HIDE5!$K$8),0)</f>
        <v>0</v>
      </c>
      <c r="S147" s="9"/>
      <c r="T147" s="567"/>
    </row>
    <row r="148" spans="2:20" ht="15" customHeight="1" outlineLevel="1" thickTop="1" thickBot="1" x14ac:dyDescent="0.3">
      <c r="B148" s="559"/>
      <c r="C148" s="948"/>
      <c r="D148" s="943" t="s">
        <v>942</v>
      </c>
      <c r="E148" s="9"/>
      <c r="F148" s="1738"/>
      <c r="G148" s="1738"/>
      <c r="H148" s="1738"/>
      <c r="I148" s="1738"/>
      <c r="J148" s="1738"/>
      <c r="K148" s="1738"/>
      <c r="L148" s="1738"/>
      <c r="M148" s="1738"/>
      <c r="N148" s="1738"/>
      <c r="O148" s="1738"/>
      <c r="P148" s="1738"/>
      <c r="Q148" s="9"/>
      <c r="R148" s="792">
        <f>IFERROR(COUNTIF(G148:P148,HIDE5!$K$8),0)</f>
        <v>0</v>
      </c>
      <c r="S148" s="9"/>
      <c r="T148" s="567"/>
    </row>
    <row r="149" spans="2:20" ht="15" customHeight="1" outlineLevel="1" thickTop="1" thickBot="1" x14ac:dyDescent="0.3">
      <c r="B149" s="559"/>
      <c r="C149" s="948"/>
      <c r="D149" s="943" t="s">
        <v>944</v>
      </c>
      <c r="E149" s="9"/>
      <c r="F149" s="1738"/>
      <c r="G149" s="1738"/>
      <c r="H149" s="1738"/>
      <c r="I149" s="1738"/>
      <c r="J149" s="1738"/>
      <c r="K149" s="1738"/>
      <c r="L149" s="1738"/>
      <c r="M149" s="1738"/>
      <c r="N149" s="1738"/>
      <c r="O149" s="1738"/>
      <c r="P149" s="1738"/>
      <c r="Q149" s="9"/>
      <c r="R149" s="792">
        <f>IFERROR(COUNTIF(G149:P149,HIDE5!$K$8),0)</f>
        <v>0</v>
      </c>
      <c r="S149" s="9"/>
      <c r="T149" s="567"/>
    </row>
    <row r="150" spans="2:20" ht="15" customHeight="1" outlineLevel="1" thickTop="1" thickBot="1" x14ac:dyDescent="0.3">
      <c r="B150" s="559"/>
      <c r="C150" s="948"/>
      <c r="D150" s="943" t="s">
        <v>945</v>
      </c>
      <c r="E150" s="9"/>
      <c r="F150" s="1738"/>
      <c r="G150" s="1738"/>
      <c r="H150" s="1738"/>
      <c r="I150" s="1738"/>
      <c r="J150" s="1738"/>
      <c r="K150" s="1738"/>
      <c r="L150" s="1738"/>
      <c r="M150" s="1738"/>
      <c r="N150" s="1738"/>
      <c r="O150" s="1738"/>
      <c r="P150" s="1738"/>
      <c r="Q150" s="9"/>
      <c r="R150" s="792">
        <f>IFERROR(COUNTIF(G150:P150,HIDE5!$K$8),0)</f>
        <v>0</v>
      </c>
      <c r="S150" s="9"/>
      <c r="T150" s="567"/>
    </row>
    <row r="151" spans="2:20" ht="15" customHeight="1" outlineLevel="1" thickTop="1" thickBot="1" x14ac:dyDescent="0.3">
      <c r="B151" s="559"/>
      <c r="C151" s="948"/>
      <c r="D151" s="943" t="s">
        <v>951</v>
      </c>
      <c r="E151" s="9"/>
      <c r="F151" s="1738"/>
      <c r="G151" s="1738"/>
      <c r="H151" s="1738"/>
      <c r="I151" s="1738"/>
      <c r="J151" s="1738"/>
      <c r="K151" s="1738"/>
      <c r="L151" s="1738"/>
      <c r="M151" s="1738"/>
      <c r="N151" s="1738"/>
      <c r="O151" s="1738"/>
      <c r="P151" s="1738"/>
      <c r="Q151" s="9"/>
      <c r="R151" s="792">
        <f>IFERROR(COUNTIF(G151:P151,HIDE5!$K$8),0)</f>
        <v>0</v>
      </c>
      <c r="S151" s="9"/>
      <c r="T151" s="567"/>
    </row>
    <row r="152" spans="2:20" ht="15" customHeight="1" outlineLevel="1" thickTop="1" thickBot="1" x14ac:dyDescent="0.3">
      <c r="B152" s="559"/>
      <c r="C152" s="948"/>
      <c r="D152" s="943" t="s">
        <v>954</v>
      </c>
      <c r="E152" s="9"/>
      <c r="F152" s="1738"/>
      <c r="G152" s="1738"/>
      <c r="H152" s="1738"/>
      <c r="I152" s="1738"/>
      <c r="J152" s="1738"/>
      <c r="K152" s="1738"/>
      <c r="L152" s="1738"/>
      <c r="M152" s="1738"/>
      <c r="N152" s="1738"/>
      <c r="O152" s="1738"/>
      <c r="P152" s="1738"/>
      <c r="Q152" s="9"/>
      <c r="R152" s="792">
        <f>IFERROR(COUNTIF(G152:P152,HIDE5!$K$8),0)</f>
        <v>0</v>
      </c>
      <c r="S152" s="9"/>
      <c r="T152" s="567"/>
    </row>
    <row r="153" spans="2:20" ht="15" customHeight="1" outlineLevel="1" thickTop="1" thickBot="1" x14ac:dyDescent="0.3">
      <c r="B153" s="559"/>
      <c r="C153" s="948"/>
      <c r="D153" s="943" t="s">
        <v>959</v>
      </c>
      <c r="E153" s="9"/>
      <c r="F153" s="1738"/>
      <c r="G153" s="1738"/>
      <c r="H153" s="1738"/>
      <c r="I153" s="1738"/>
      <c r="J153" s="1738"/>
      <c r="K153" s="1738"/>
      <c r="L153" s="1738"/>
      <c r="M153" s="1738"/>
      <c r="N153" s="1738"/>
      <c r="O153" s="1738"/>
      <c r="P153" s="1738"/>
      <c r="Q153" s="9"/>
      <c r="R153" s="792">
        <f>IFERROR(COUNTIF(G153:P153,HIDE5!$K$8),0)</f>
        <v>0</v>
      </c>
      <c r="S153" s="9"/>
      <c r="T153" s="567"/>
    </row>
    <row r="154" spans="2:20" ht="15" customHeight="1" outlineLevel="1" thickTop="1" thickBot="1" x14ac:dyDescent="0.3">
      <c r="B154" s="559"/>
      <c r="C154" s="948"/>
      <c r="D154" s="943" t="s">
        <v>960</v>
      </c>
      <c r="E154" s="9"/>
      <c r="F154" s="1738"/>
      <c r="G154" s="1738"/>
      <c r="H154" s="1738"/>
      <c r="I154" s="1738"/>
      <c r="J154" s="1738"/>
      <c r="K154" s="1738"/>
      <c r="L154" s="1738"/>
      <c r="M154" s="1738"/>
      <c r="N154" s="1738"/>
      <c r="O154" s="1738"/>
      <c r="P154" s="1738"/>
      <c r="Q154" s="9"/>
      <c r="R154" s="792">
        <f>IFERROR(COUNTIF(G154:P154,HIDE5!$K$8),0)</f>
        <v>0</v>
      </c>
      <c r="S154" s="9"/>
      <c r="T154" s="567"/>
    </row>
    <row r="155" spans="2:20" ht="15" customHeight="1" outlineLevel="1" thickTop="1" thickBot="1" x14ac:dyDescent="0.3">
      <c r="B155" s="559"/>
      <c r="C155" s="948"/>
      <c r="D155" s="1744" t="s">
        <v>871</v>
      </c>
      <c r="E155" s="9"/>
      <c r="F155" s="1738"/>
      <c r="G155" s="1738"/>
      <c r="H155" s="1738"/>
      <c r="I155" s="1738"/>
      <c r="J155" s="1738"/>
      <c r="K155" s="1738"/>
      <c r="L155" s="1738"/>
      <c r="M155" s="1738"/>
      <c r="N155" s="1738"/>
      <c r="O155" s="1738"/>
      <c r="P155" s="1738"/>
      <c r="Q155" s="9"/>
      <c r="R155" s="792">
        <f>IFERROR(COUNTIF(G155:P155,HIDE5!$K$8),0)</f>
        <v>0</v>
      </c>
      <c r="S155" s="572"/>
      <c r="T155" s="567"/>
    </row>
    <row r="156" spans="2:20" ht="15" outlineLevel="1" thickTop="1" thickBot="1" x14ac:dyDescent="0.3">
      <c r="B156" s="559"/>
      <c r="C156" s="948"/>
      <c r="D156" s="1744" t="s">
        <v>872</v>
      </c>
      <c r="E156" s="9"/>
      <c r="F156" s="1738"/>
      <c r="G156" s="1738"/>
      <c r="H156" s="1738"/>
      <c r="I156" s="1738"/>
      <c r="J156" s="1738"/>
      <c r="K156" s="1738"/>
      <c r="L156" s="1738"/>
      <c r="M156" s="1738"/>
      <c r="N156" s="1738"/>
      <c r="O156" s="1738"/>
      <c r="P156" s="1738"/>
      <c r="Q156" s="9"/>
      <c r="R156" s="792">
        <f>IFERROR(COUNTIF(G156:P156,HIDE5!$K$8),0)</f>
        <v>0</v>
      </c>
      <c r="S156" s="572"/>
      <c r="T156" s="567"/>
    </row>
    <row r="157" spans="2:20" ht="15" customHeight="1" outlineLevel="1" thickTop="1" x14ac:dyDescent="0.25">
      <c r="B157" s="559"/>
      <c r="C157" s="948"/>
      <c r="D157" s="9"/>
      <c r="E157" s="9"/>
      <c r="F157" s="9"/>
      <c r="G157" s="9"/>
      <c r="H157" s="9"/>
      <c r="I157" s="9"/>
      <c r="J157" s="9"/>
      <c r="K157" s="9"/>
      <c r="L157" s="9"/>
      <c r="M157" s="9"/>
      <c r="N157" s="9"/>
      <c r="O157" s="9"/>
      <c r="P157" s="9"/>
      <c r="Q157" s="948"/>
      <c r="R157" s="9"/>
      <c r="S157" s="9"/>
      <c r="T157" s="567"/>
    </row>
    <row r="158" spans="2:20" ht="15" customHeight="1" outlineLevel="1" x14ac:dyDescent="0.25">
      <c r="B158" s="559"/>
      <c r="C158" s="566">
        <v>7</v>
      </c>
      <c r="D158" s="380" t="s">
        <v>870</v>
      </c>
      <c r="E158" s="537"/>
      <c r="F158" s="978">
        <f>IFERROR(COUNTIF(F160:F176,HIDE5!$K$8),0)</f>
        <v>0</v>
      </c>
      <c r="G158" s="978">
        <f>IFERROR(COUNTIF(G160:G176,HIDE5!$K$8),0)</f>
        <v>0</v>
      </c>
      <c r="H158" s="978">
        <f>IFERROR(COUNTIF(H160:H176,HIDE5!$K$8),0)</f>
        <v>0</v>
      </c>
      <c r="I158" s="978">
        <f>IFERROR(COUNTIF(I160:I176,HIDE5!$K$8),0)</f>
        <v>0</v>
      </c>
      <c r="J158" s="978">
        <f>IFERROR(COUNTIF(J160:J176,HIDE5!$K$8),0)</f>
        <v>0</v>
      </c>
      <c r="K158" s="978">
        <f>IFERROR(COUNTIF(K160:K176,HIDE5!$K$8),0)</f>
        <v>0</v>
      </c>
      <c r="L158" s="978">
        <f>IFERROR(COUNTIF(L160:L176,HIDE5!$K$8),0)</f>
        <v>0</v>
      </c>
      <c r="M158" s="978">
        <f>IFERROR(COUNTIF(M160:M176,HIDE5!$K$8),0)</f>
        <v>0</v>
      </c>
      <c r="N158" s="978">
        <f>IFERROR(COUNTIF(N160:N176,HIDE5!$K$8),0)</f>
        <v>0</v>
      </c>
      <c r="O158" s="978">
        <f>IFERROR(COUNTIF(O160:O176,HIDE5!$K$8),0)</f>
        <v>0</v>
      </c>
      <c r="P158" s="978">
        <f>IFERROR(COUNTIF(P160:P176,HIDE5!$K$8),0)</f>
        <v>0</v>
      </c>
      <c r="Q158" s="570"/>
      <c r="R158" s="570"/>
      <c r="S158" s="9"/>
      <c r="T158" s="567"/>
    </row>
    <row r="159" spans="2:20" ht="15" customHeight="1" outlineLevel="1" thickBot="1" x14ac:dyDescent="0.3">
      <c r="B159" s="559"/>
      <c r="C159" s="571"/>
      <c r="D159" s="9"/>
      <c r="E159" s="9"/>
      <c r="F159" s="9"/>
      <c r="G159" s="9"/>
      <c r="H159" s="9"/>
      <c r="I159" s="9"/>
      <c r="J159" s="9"/>
      <c r="K159" s="9"/>
      <c r="L159" s="9"/>
      <c r="M159" s="9"/>
      <c r="N159" s="9"/>
      <c r="O159" s="9"/>
      <c r="P159" s="9"/>
      <c r="Q159" s="9"/>
      <c r="R159" s="9"/>
      <c r="S159" s="572"/>
      <c r="T159" s="567"/>
    </row>
    <row r="160" spans="2:20" ht="15" customHeight="1" outlineLevel="1" thickTop="1" thickBot="1" x14ac:dyDescent="0.3">
      <c r="B160" s="559"/>
      <c r="C160" s="571"/>
      <c r="D160" s="943" t="s">
        <v>905</v>
      </c>
      <c r="E160" s="9"/>
      <c r="F160" s="1738"/>
      <c r="G160" s="1738"/>
      <c r="H160" s="1738"/>
      <c r="I160" s="1738"/>
      <c r="J160" s="1738"/>
      <c r="K160" s="1738"/>
      <c r="L160" s="1738"/>
      <c r="M160" s="1738"/>
      <c r="N160" s="1738"/>
      <c r="O160" s="1738"/>
      <c r="P160" s="1738"/>
      <c r="Q160" s="9"/>
      <c r="R160" s="792">
        <f>IFERROR(COUNTIF(G160:P160,HIDE5!$K$8),0)</f>
        <v>0</v>
      </c>
      <c r="S160" s="572"/>
      <c r="T160" s="567"/>
    </row>
    <row r="161" spans="2:20" ht="15" customHeight="1" outlineLevel="1" thickTop="1" thickBot="1" x14ac:dyDescent="0.3">
      <c r="B161" s="559"/>
      <c r="C161" s="948"/>
      <c r="D161" s="943" t="s">
        <v>873</v>
      </c>
      <c r="E161" s="9"/>
      <c r="F161" s="1738"/>
      <c r="G161" s="1738"/>
      <c r="H161" s="1738"/>
      <c r="I161" s="1738"/>
      <c r="J161" s="1738"/>
      <c r="K161" s="1738"/>
      <c r="L161" s="1738"/>
      <c r="M161" s="1738"/>
      <c r="N161" s="1738"/>
      <c r="O161" s="1738"/>
      <c r="P161" s="1738"/>
      <c r="Q161" s="9"/>
      <c r="R161" s="792">
        <f>IFERROR(COUNTIF(G161:P161,HIDE5!$K$8),0)</f>
        <v>0</v>
      </c>
      <c r="S161" s="9"/>
      <c r="T161" s="567"/>
    </row>
    <row r="162" spans="2:20" ht="15" customHeight="1" outlineLevel="1" thickTop="1" thickBot="1" x14ac:dyDescent="0.3">
      <c r="B162" s="559"/>
      <c r="C162" s="948"/>
      <c r="D162" s="943" t="s">
        <v>874</v>
      </c>
      <c r="E162" s="9"/>
      <c r="F162" s="1738"/>
      <c r="G162" s="1738"/>
      <c r="H162" s="1738"/>
      <c r="I162" s="1738"/>
      <c r="J162" s="1738"/>
      <c r="K162" s="1738"/>
      <c r="L162" s="1738"/>
      <c r="M162" s="1738"/>
      <c r="N162" s="1738"/>
      <c r="O162" s="1738"/>
      <c r="P162" s="1738"/>
      <c r="Q162" s="9"/>
      <c r="R162" s="792">
        <f>IFERROR(COUNTIF(G162:P162,HIDE5!$K$8),0)</f>
        <v>0</v>
      </c>
      <c r="S162" s="9"/>
      <c r="T162" s="567"/>
    </row>
    <row r="163" spans="2:20" ht="15" customHeight="1" outlineLevel="1" thickTop="1" thickBot="1" x14ac:dyDescent="0.3">
      <c r="B163" s="559"/>
      <c r="C163" s="948"/>
      <c r="D163" s="943" t="s">
        <v>875</v>
      </c>
      <c r="E163" s="9"/>
      <c r="F163" s="1738"/>
      <c r="G163" s="1738"/>
      <c r="H163" s="1738"/>
      <c r="I163" s="1738"/>
      <c r="J163" s="1738"/>
      <c r="K163" s="1738"/>
      <c r="L163" s="1738"/>
      <c r="M163" s="1738"/>
      <c r="N163" s="1738"/>
      <c r="O163" s="1738"/>
      <c r="P163" s="1738"/>
      <c r="Q163" s="9"/>
      <c r="R163" s="792">
        <f>IFERROR(COUNTIF(G163:P163,HIDE5!$K$8),0)</f>
        <v>0</v>
      </c>
      <c r="S163" s="9"/>
      <c r="T163" s="567"/>
    </row>
    <row r="164" spans="2:20" ht="15" customHeight="1" outlineLevel="1" thickTop="1" thickBot="1" x14ac:dyDescent="0.3">
      <c r="B164" s="559"/>
      <c r="C164" s="948"/>
      <c r="D164" s="943" t="s">
        <v>910</v>
      </c>
      <c r="E164" s="9"/>
      <c r="F164" s="1738"/>
      <c r="G164" s="1738"/>
      <c r="H164" s="1738"/>
      <c r="I164" s="1738"/>
      <c r="J164" s="1738"/>
      <c r="K164" s="1738"/>
      <c r="L164" s="1738"/>
      <c r="M164" s="1738"/>
      <c r="N164" s="1738"/>
      <c r="O164" s="1738"/>
      <c r="P164" s="1738"/>
      <c r="Q164" s="9"/>
      <c r="R164" s="792">
        <f>IFERROR(COUNTIF(G164:P164,HIDE5!$K$8),0)</f>
        <v>0</v>
      </c>
      <c r="S164" s="9"/>
      <c r="T164" s="567"/>
    </row>
    <row r="165" spans="2:20" ht="15" customHeight="1" outlineLevel="1" thickTop="1" thickBot="1" x14ac:dyDescent="0.3">
      <c r="B165" s="559"/>
      <c r="C165" s="948"/>
      <c r="D165" s="943" t="s">
        <v>906</v>
      </c>
      <c r="E165" s="9"/>
      <c r="F165" s="1738"/>
      <c r="G165" s="1738"/>
      <c r="H165" s="1738"/>
      <c r="I165" s="1738"/>
      <c r="J165" s="1738"/>
      <c r="K165" s="1738"/>
      <c r="L165" s="1738"/>
      <c r="M165" s="1738"/>
      <c r="N165" s="1738"/>
      <c r="O165" s="1738"/>
      <c r="P165" s="1738"/>
      <c r="Q165" s="9"/>
      <c r="R165" s="792">
        <f>IFERROR(COUNTIF(G165:P165,HIDE5!$K$8),0)</f>
        <v>0</v>
      </c>
      <c r="S165" s="9"/>
      <c r="T165" s="567"/>
    </row>
    <row r="166" spans="2:20" ht="15" customHeight="1" outlineLevel="1" thickTop="1" thickBot="1" x14ac:dyDescent="0.3">
      <c r="B166" s="559"/>
      <c r="C166" s="948"/>
      <c r="D166" s="943" t="s">
        <v>955</v>
      </c>
      <c r="E166" s="9"/>
      <c r="F166" s="1738"/>
      <c r="G166" s="1738"/>
      <c r="H166" s="1738"/>
      <c r="I166" s="1738"/>
      <c r="J166" s="1738"/>
      <c r="K166" s="1738"/>
      <c r="L166" s="1738"/>
      <c r="M166" s="1738"/>
      <c r="N166" s="1738"/>
      <c r="O166" s="1738"/>
      <c r="P166" s="1738"/>
      <c r="Q166" s="9"/>
      <c r="R166" s="792">
        <f>IFERROR(COUNTIF(G166:P166,HIDE5!$K$8),0)</f>
        <v>0</v>
      </c>
      <c r="S166" s="9"/>
      <c r="T166" s="567"/>
    </row>
    <row r="167" spans="2:20" ht="15" customHeight="1" outlineLevel="1" thickTop="1" thickBot="1" x14ac:dyDescent="0.3">
      <c r="B167" s="559"/>
      <c r="C167" s="948"/>
      <c r="D167" s="943" t="s">
        <v>876</v>
      </c>
      <c r="E167" s="9"/>
      <c r="F167" s="1738"/>
      <c r="G167" s="1738"/>
      <c r="H167" s="1738"/>
      <c r="I167" s="1738"/>
      <c r="J167" s="1738"/>
      <c r="K167" s="1738"/>
      <c r="L167" s="1738"/>
      <c r="M167" s="1738"/>
      <c r="N167" s="1738"/>
      <c r="O167" s="1738"/>
      <c r="P167" s="1738"/>
      <c r="Q167" s="9"/>
      <c r="R167" s="792">
        <f>IFERROR(COUNTIF(G167:P167,HIDE5!$K$8),0)</f>
        <v>0</v>
      </c>
      <c r="S167" s="9"/>
      <c r="T167" s="567"/>
    </row>
    <row r="168" spans="2:20" ht="15" customHeight="1" outlineLevel="1" thickTop="1" thickBot="1" x14ac:dyDescent="0.3">
      <c r="B168" s="559"/>
      <c r="C168" s="948"/>
      <c r="D168" s="943" t="s">
        <v>1119</v>
      </c>
      <c r="E168" s="9"/>
      <c r="F168" s="1738"/>
      <c r="G168" s="1738"/>
      <c r="H168" s="1738"/>
      <c r="I168" s="1738"/>
      <c r="J168" s="1738"/>
      <c r="K168" s="1738"/>
      <c r="L168" s="1738"/>
      <c r="M168" s="1738"/>
      <c r="N168" s="1738"/>
      <c r="O168" s="1738"/>
      <c r="P168" s="1738"/>
      <c r="Q168" s="9"/>
      <c r="R168" s="792">
        <f>IFERROR(COUNTIF(G168:P168,HIDE5!$K$8),0)</f>
        <v>0</v>
      </c>
      <c r="S168" s="9"/>
      <c r="T168" s="567"/>
    </row>
    <row r="169" spans="2:20" ht="15" customHeight="1" outlineLevel="1" thickTop="1" thickBot="1" x14ac:dyDescent="0.3">
      <c r="B169" s="559"/>
      <c r="C169" s="948"/>
      <c r="D169" s="943" t="s">
        <v>877</v>
      </c>
      <c r="E169" s="9"/>
      <c r="F169" s="1738"/>
      <c r="G169" s="1738"/>
      <c r="H169" s="1738"/>
      <c r="I169" s="1738"/>
      <c r="J169" s="1738"/>
      <c r="K169" s="1738"/>
      <c r="L169" s="1738"/>
      <c r="M169" s="1738"/>
      <c r="N169" s="1738"/>
      <c r="O169" s="1738"/>
      <c r="P169" s="1738"/>
      <c r="Q169" s="9"/>
      <c r="R169" s="792">
        <f>IFERROR(COUNTIF(G169:P169,HIDE5!$K$8),0)</f>
        <v>0</v>
      </c>
      <c r="S169" s="9"/>
      <c r="T169" s="567"/>
    </row>
    <row r="170" spans="2:20" ht="15" customHeight="1" outlineLevel="1" thickTop="1" thickBot="1" x14ac:dyDescent="0.3">
      <c r="B170" s="559"/>
      <c r="C170" s="948"/>
      <c r="D170" s="943" t="s">
        <v>878</v>
      </c>
      <c r="E170" s="9"/>
      <c r="F170" s="1738"/>
      <c r="G170" s="1738"/>
      <c r="H170" s="1738"/>
      <c r="I170" s="1738"/>
      <c r="J170" s="1738"/>
      <c r="K170" s="1738"/>
      <c r="L170" s="1738"/>
      <c r="M170" s="1738"/>
      <c r="N170" s="1738"/>
      <c r="O170" s="1738"/>
      <c r="P170" s="1738"/>
      <c r="Q170" s="9"/>
      <c r="R170" s="792">
        <f>IFERROR(COUNTIF(G170:P170,HIDE5!$K$8),0)</f>
        <v>0</v>
      </c>
      <c r="S170" s="9"/>
      <c r="T170" s="567"/>
    </row>
    <row r="171" spans="2:20" ht="15" customHeight="1" outlineLevel="1" thickTop="1" thickBot="1" x14ac:dyDescent="0.3">
      <c r="B171" s="559"/>
      <c r="C171" s="948"/>
      <c r="D171" s="943" t="s">
        <v>932</v>
      </c>
      <c r="E171" s="9"/>
      <c r="F171" s="1738"/>
      <c r="G171" s="1738"/>
      <c r="H171" s="1738"/>
      <c r="I171" s="1738"/>
      <c r="J171" s="1738"/>
      <c r="K171" s="1738"/>
      <c r="L171" s="1738"/>
      <c r="M171" s="1738"/>
      <c r="N171" s="1738"/>
      <c r="O171" s="1738"/>
      <c r="P171" s="1738"/>
      <c r="Q171" s="9"/>
      <c r="R171" s="792">
        <f>IFERROR(COUNTIF(G171:P171,HIDE5!$K$8),0)</f>
        <v>0</v>
      </c>
      <c r="S171" s="9"/>
      <c r="T171" s="567"/>
    </row>
    <row r="172" spans="2:20" ht="15" customHeight="1" outlineLevel="1" thickTop="1" thickBot="1" x14ac:dyDescent="0.3">
      <c r="B172" s="559"/>
      <c r="C172" s="948"/>
      <c r="D172" s="943" t="s">
        <v>950</v>
      </c>
      <c r="E172" s="9"/>
      <c r="F172" s="1738"/>
      <c r="G172" s="1738"/>
      <c r="H172" s="1738"/>
      <c r="I172" s="1738"/>
      <c r="J172" s="1738"/>
      <c r="K172" s="1738"/>
      <c r="L172" s="1738"/>
      <c r="M172" s="1738"/>
      <c r="N172" s="1738"/>
      <c r="O172" s="1738"/>
      <c r="P172" s="1738"/>
      <c r="Q172" s="9"/>
      <c r="R172" s="792">
        <f>IFERROR(COUNTIF(G172:P172,HIDE5!$K$8),0)</f>
        <v>0</v>
      </c>
      <c r="S172" s="9"/>
      <c r="T172" s="567"/>
    </row>
    <row r="173" spans="2:20" ht="15" customHeight="1" outlineLevel="1" thickTop="1" thickBot="1" x14ac:dyDescent="0.3">
      <c r="B173" s="559"/>
      <c r="C173" s="948"/>
      <c r="D173" s="943" t="s">
        <v>952</v>
      </c>
      <c r="E173" s="9"/>
      <c r="F173" s="1738"/>
      <c r="G173" s="1738"/>
      <c r="H173" s="1738"/>
      <c r="I173" s="1738"/>
      <c r="J173" s="1738"/>
      <c r="K173" s="1738"/>
      <c r="L173" s="1738"/>
      <c r="M173" s="1738"/>
      <c r="N173" s="1738"/>
      <c r="O173" s="1738"/>
      <c r="P173" s="1738"/>
      <c r="Q173" s="9"/>
      <c r="R173" s="792">
        <f>IFERROR(COUNTIF(G173:P173,HIDE5!$K$8),0)</f>
        <v>0</v>
      </c>
      <c r="S173" s="9"/>
      <c r="T173" s="567"/>
    </row>
    <row r="174" spans="2:20" ht="15" customHeight="1" outlineLevel="1" thickTop="1" thickBot="1" x14ac:dyDescent="0.3">
      <c r="B174" s="559"/>
      <c r="C174" s="948"/>
      <c r="D174" s="943" t="s">
        <v>953</v>
      </c>
      <c r="E174" s="9"/>
      <c r="F174" s="1738"/>
      <c r="G174" s="1738"/>
      <c r="H174" s="1738"/>
      <c r="I174" s="1738"/>
      <c r="J174" s="1738"/>
      <c r="K174" s="1738"/>
      <c r="L174" s="1738"/>
      <c r="M174" s="1738"/>
      <c r="N174" s="1738"/>
      <c r="O174" s="1738"/>
      <c r="P174" s="1738"/>
      <c r="Q174" s="9"/>
      <c r="R174" s="792">
        <f>IFERROR(COUNTIF(G174:P174,HIDE5!$K$8),0)</f>
        <v>0</v>
      </c>
      <c r="S174" s="9"/>
      <c r="T174" s="567"/>
    </row>
    <row r="175" spans="2:20" ht="15" outlineLevel="1" thickTop="1" thickBot="1" x14ac:dyDescent="0.3">
      <c r="B175" s="559"/>
      <c r="C175" s="948"/>
      <c r="D175" s="1744" t="s">
        <v>871</v>
      </c>
      <c r="E175" s="9"/>
      <c r="F175" s="1738"/>
      <c r="G175" s="1738"/>
      <c r="H175" s="1738"/>
      <c r="I175" s="1738"/>
      <c r="J175" s="1738"/>
      <c r="K175" s="1738"/>
      <c r="L175" s="1738"/>
      <c r="M175" s="1738"/>
      <c r="N175" s="1738"/>
      <c r="O175" s="1738"/>
      <c r="P175" s="1738"/>
      <c r="Q175" s="9"/>
      <c r="R175" s="792">
        <f>IFERROR(COUNTIF(G175:P175,HIDE5!$K$8),0)</f>
        <v>0</v>
      </c>
      <c r="S175" s="572"/>
      <c r="T175" s="567"/>
    </row>
    <row r="176" spans="2:20" ht="15" outlineLevel="1" thickTop="1" thickBot="1" x14ac:dyDescent="0.3">
      <c r="B176" s="559"/>
      <c r="C176" s="948"/>
      <c r="D176" s="1744" t="s">
        <v>872</v>
      </c>
      <c r="E176" s="9"/>
      <c r="F176" s="1738"/>
      <c r="G176" s="1738"/>
      <c r="H176" s="1738"/>
      <c r="I176" s="1738"/>
      <c r="J176" s="1738"/>
      <c r="K176" s="1738"/>
      <c r="L176" s="1738"/>
      <c r="M176" s="1738"/>
      <c r="N176" s="1738"/>
      <c r="O176" s="1738"/>
      <c r="P176" s="1738"/>
      <c r="Q176" s="9"/>
      <c r="R176" s="792">
        <f>IFERROR(COUNTIF(G176:P176,HIDE5!$K$8),0)</f>
        <v>0</v>
      </c>
      <c r="S176" s="572"/>
      <c r="T176" s="567"/>
    </row>
    <row r="177" spans="2:20" ht="15" customHeight="1" outlineLevel="1" thickTop="1" x14ac:dyDescent="0.25">
      <c r="B177" s="575"/>
      <c r="C177" s="9"/>
      <c r="D177" s="9"/>
      <c r="E177" s="9"/>
      <c r="F177" s="9"/>
      <c r="G177" s="9"/>
      <c r="H177" s="9"/>
      <c r="I177" s="9"/>
      <c r="J177" s="9"/>
      <c r="K177" s="9"/>
      <c r="L177" s="9"/>
      <c r="M177" s="9"/>
      <c r="N177" s="9"/>
      <c r="O177" s="9"/>
      <c r="P177" s="9"/>
      <c r="Q177" s="9"/>
      <c r="R177" s="9"/>
      <c r="S177" s="9"/>
      <c r="T177" s="567"/>
    </row>
    <row r="178" spans="2:20" ht="15" customHeight="1" outlineLevel="1" x14ac:dyDescent="0.25">
      <c r="B178" s="559"/>
      <c r="C178" s="566">
        <v>8</v>
      </c>
      <c r="D178" s="380" t="s">
        <v>879</v>
      </c>
      <c r="E178" s="537"/>
      <c r="F178" s="978">
        <f>IFERROR(COUNTIF(F180:F199,HIDE5!$K$8),0)</f>
        <v>0</v>
      </c>
      <c r="G178" s="978">
        <f>IFERROR(COUNTIF(G180:G199,HIDE5!$K$8),0)</f>
        <v>0</v>
      </c>
      <c r="H178" s="978">
        <f>IFERROR(COUNTIF(H180:H199,HIDE5!$K$8),0)</f>
        <v>0</v>
      </c>
      <c r="I178" s="978">
        <f>IFERROR(COUNTIF(I180:I199,HIDE5!$K$8),0)</f>
        <v>0</v>
      </c>
      <c r="J178" s="978">
        <f>IFERROR(COUNTIF(J180:J199,HIDE5!$K$8),0)</f>
        <v>0</v>
      </c>
      <c r="K178" s="978">
        <f>IFERROR(COUNTIF(K180:K199,HIDE5!$K$8),0)</f>
        <v>0</v>
      </c>
      <c r="L178" s="978">
        <f>IFERROR(COUNTIF(L180:L199,HIDE5!$K$8),0)</f>
        <v>0</v>
      </c>
      <c r="M178" s="978">
        <f>IFERROR(COUNTIF(M180:M199,HIDE5!$K$8),0)</f>
        <v>0</v>
      </c>
      <c r="N178" s="978">
        <f>IFERROR(COUNTIF(N180:N199,HIDE5!$K$8),0)</f>
        <v>0</v>
      </c>
      <c r="O178" s="978">
        <f>IFERROR(COUNTIF(O180:O199,HIDE5!$K$8),0)</f>
        <v>0</v>
      </c>
      <c r="P178" s="978">
        <f>IFERROR(COUNTIF(P180:P199,HIDE5!$K$8),0)</f>
        <v>0</v>
      </c>
      <c r="Q178" s="570"/>
      <c r="R178" s="570"/>
      <c r="S178" s="9"/>
      <c r="T178" s="567"/>
    </row>
    <row r="179" spans="2:20" ht="15" customHeight="1" outlineLevel="1" thickBot="1" x14ac:dyDescent="0.3">
      <c r="B179" s="559"/>
      <c r="C179" s="571"/>
      <c r="D179" s="9"/>
      <c r="E179" s="9"/>
      <c r="F179" s="9"/>
      <c r="G179" s="9"/>
      <c r="H179" s="9"/>
      <c r="I179" s="9"/>
      <c r="J179" s="9"/>
      <c r="K179" s="9"/>
      <c r="L179" s="9"/>
      <c r="M179" s="9"/>
      <c r="N179" s="9"/>
      <c r="O179" s="9"/>
      <c r="P179" s="9"/>
      <c r="Q179" s="9"/>
      <c r="R179" s="9"/>
      <c r="S179" s="572"/>
      <c r="T179" s="567"/>
    </row>
    <row r="180" spans="2:20" ht="15" customHeight="1" outlineLevel="1" thickTop="1" thickBot="1" x14ac:dyDescent="0.3">
      <c r="B180" s="559"/>
      <c r="C180" s="571"/>
      <c r="D180" s="943" t="s">
        <v>880</v>
      </c>
      <c r="E180" s="9"/>
      <c r="F180" s="1738"/>
      <c r="G180" s="1738"/>
      <c r="H180" s="1738"/>
      <c r="I180" s="1738"/>
      <c r="J180" s="1738"/>
      <c r="K180" s="1738"/>
      <c r="L180" s="1738"/>
      <c r="M180" s="1738"/>
      <c r="N180" s="1738"/>
      <c r="O180" s="1738"/>
      <c r="P180" s="1738"/>
      <c r="Q180" s="9"/>
      <c r="R180" s="792">
        <f>IFERROR(COUNTIF(G180:P180,HIDE5!$K$8),0)</f>
        <v>0</v>
      </c>
      <c r="S180" s="572"/>
      <c r="T180" s="567"/>
    </row>
    <row r="181" spans="2:20" ht="15" customHeight="1" outlineLevel="1" thickTop="1" thickBot="1" x14ac:dyDescent="0.3">
      <c r="B181" s="559"/>
      <c r="C181" s="571"/>
      <c r="D181" s="943" t="s">
        <v>928</v>
      </c>
      <c r="E181" s="9"/>
      <c r="F181" s="1738"/>
      <c r="G181" s="1738"/>
      <c r="H181" s="1738"/>
      <c r="I181" s="1738"/>
      <c r="J181" s="1738"/>
      <c r="K181" s="1738"/>
      <c r="L181" s="1738"/>
      <c r="M181" s="1738"/>
      <c r="N181" s="1738"/>
      <c r="O181" s="1738"/>
      <c r="P181" s="1738"/>
      <c r="Q181" s="9"/>
      <c r="R181" s="792">
        <f>IFERROR(COUNTIF(G181:P181,HIDE5!$K$8),0)</f>
        <v>0</v>
      </c>
      <c r="S181" s="572"/>
      <c r="T181" s="567"/>
    </row>
    <row r="182" spans="2:20" ht="15" customHeight="1" outlineLevel="1" thickTop="1" thickBot="1" x14ac:dyDescent="0.3">
      <c r="B182" s="559"/>
      <c r="C182" s="948"/>
      <c r="D182" s="943" t="s">
        <v>912</v>
      </c>
      <c r="E182" s="9"/>
      <c r="F182" s="1738"/>
      <c r="G182" s="1738"/>
      <c r="H182" s="1738"/>
      <c r="I182" s="1738"/>
      <c r="J182" s="1738"/>
      <c r="K182" s="1738"/>
      <c r="L182" s="1738"/>
      <c r="M182" s="1738"/>
      <c r="N182" s="1738"/>
      <c r="O182" s="1738"/>
      <c r="P182" s="1738"/>
      <c r="Q182" s="9"/>
      <c r="R182" s="792">
        <f>IFERROR(COUNTIF(G182:P182,HIDE5!$K$8),0)</f>
        <v>0</v>
      </c>
      <c r="S182" s="9"/>
      <c r="T182" s="567"/>
    </row>
    <row r="183" spans="2:20" ht="15" customHeight="1" outlineLevel="1" thickTop="1" thickBot="1" x14ac:dyDescent="0.3">
      <c r="B183" s="559"/>
      <c r="C183" s="948"/>
      <c r="D183" s="943" t="s">
        <v>922</v>
      </c>
      <c r="E183" s="9"/>
      <c r="F183" s="1738"/>
      <c r="G183" s="1738"/>
      <c r="H183" s="1738"/>
      <c r="I183" s="1738"/>
      <c r="J183" s="1738"/>
      <c r="K183" s="1738"/>
      <c r="L183" s="1738"/>
      <c r="M183" s="1738"/>
      <c r="N183" s="1738"/>
      <c r="O183" s="1738"/>
      <c r="P183" s="1738"/>
      <c r="Q183" s="9"/>
      <c r="R183" s="792">
        <f>IFERROR(COUNTIF(G183:P183,HIDE5!$K$8),0)</f>
        <v>0</v>
      </c>
      <c r="S183" s="9"/>
      <c r="T183" s="567"/>
    </row>
    <row r="184" spans="2:20" ht="15" customHeight="1" outlineLevel="1" thickTop="1" thickBot="1" x14ac:dyDescent="0.3">
      <c r="B184" s="559"/>
      <c r="C184" s="948"/>
      <c r="D184" s="943" t="s">
        <v>926</v>
      </c>
      <c r="E184" s="9"/>
      <c r="F184" s="1738"/>
      <c r="G184" s="1738"/>
      <c r="H184" s="1738"/>
      <c r="I184" s="1738"/>
      <c r="J184" s="1738"/>
      <c r="K184" s="1738"/>
      <c r="L184" s="1738"/>
      <c r="M184" s="1738"/>
      <c r="N184" s="1738"/>
      <c r="O184" s="1738"/>
      <c r="P184" s="1738"/>
      <c r="Q184" s="9"/>
      <c r="R184" s="792">
        <f>IFERROR(COUNTIF(G184:P184,HIDE5!$K$8),0)</f>
        <v>0</v>
      </c>
      <c r="S184" s="9"/>
      <c r="T184" s="567"/>
    </row>
    <row r="185" spans="2:20" ht="15" customHeight="1" outlineLevel="1" thickTop="1" thickBot="1" x14ac:dyDescent="0.3">
      <c r="B185" s="559"/>
      <c r="C185" s="948"/>
      <c r="D185" s="943" t="s">
        <v>923</v>
      </c>
      <c r="E185" s="9"/>
      <c r="F185" s="1738"/>
      <c r="G185" s="1738"/>
      <c r="H185" s="1738"/>
      <c r="I185" s="1738"/>
      <c r="J185" s="1738"/>
      <c r="K185" s="1738"/>
      <c r="L185" s="1738"/>
      <c r="M185" s="1738"/>
      <c r="N185" s="1738"/>
      <c r="O185" s="1738"/>
      <c r="P185" s="1738"/>
      <c r="Q185" s="9"/>
      <c r="R185" s="792">
        <f>IFERROR(COUNTIF(G185:P185,HIDE5!$K$8),0)</f>
        <v>0</v>
      </c>
      <c r="S185" s="9"/>
      <c r="T185" s="567"/>
    </row>
    <row r="186" spans="2:20" ht="15" customHeight="1" outlineLevel="1" thickTop="1" thickBot="1" x14ac:dyDescent="0.3">
      <c r="B186" s="559"/>
      <c r="C186" s="948"/>
      <c r="D186" s="943" t="s">
        <v>917</v>
      </c>
      <c r="E186" s="9"/>
      <c r="F186" s="1738"/>
      <c r="G186" s="1738"/>
      <c r="H186" s="1738"/>
      <c r="I186" s="1738"/>
      <c r="J186" s="1738"/>
      <c r="K186" s="1738"/>
      <c r="L186" s="1738"/>
      <c r="M186" s="1738"/>
      <c r="N186" s="1738"/>
      <c r="O186" s="1738"/>
      <c r="P186" s="1738"/>
      <c r="Q186" s="9"/>
      <c r="R186" s="792">
        <f>IFERROR(COUNTIF(G186:P186,HIDE5!$K$8),0)</f>
        <v>0</v>
      </c>
      <c r="S186" s="9"/>
      <c r="T186" s="567"/>
    </row>
    <row r="187" spans="2:20" ht="15" customHeight="1" outlineLevel="1" thickTop="1" thickBot="1" x14ac:dyDescent="0.3">
      <c r="B187" s="559"/>
      <c r="C187" s="948"/>
      <c r="D187" s="943" t="s">
        <v>881</v>
      </c>
      <c r="E187" s="9"/>
      <c r="F187" s="1738"/>
      <c r="G187" s="1738"/>
      <c r="H187" s="1738"/>
      <c r="I187" s="1738"/>
      <c r="J187" s="1738"/>
      <c r="K187" s="1738"/>
      <c r="L187" s="1738"/>
      <c r="M187" s="1738"/>
      <c r="N187" s="1738"/>
      <c r="O187" s="1738"/>
      <c r="P187" s="1738"/>
      <c r="Q187" s="9"/>
      <c r="R187" s="792">
        <f>IFERROR(COUNTIF(G187:P187,HIDE5!$K$8),0)</f>
        <v>0</v>
      </c>
      <c r="S187" s="9"/>
      <c r="T187" s="567"/>
    </row>
    <row r="188" spans="2:20" ht="15" customHeight="1" outlineLevel="1" thickTop="1" thickBot="1" x14ac:dyDescent="0.3">
      <c r="B188" s="559"/>
      <c r="C188" s="948"/>
      <c r="D188" s="943" t="s">
        <v>882</v>
      </c>
      <c r="E188" s="9"/>
      <c r="F188" s="1738"/>
      <c r="G188" s="1738"/>
      <c r="H188" s="1738"/>
      <c r="I188" s="1738"/>
      <c r="J188" s="1738"/>
      <c r="K188" s="1738"/>
      <c r="L188" s="1738"/>
      <c r="M188" s="1738"/>
      <c r="N188" s="1738"/>
      <c r="O188" s="1738"/>
      <c r="P188" s="1738"/>
      <c r="Q188" s="9"/>
      <c r="R188" s="792">
        <f>IFERROR(COUNTIF(G188:P188,HIDE5!$K$8),0)</f>
        <v>0</v>
      </c>
      <c r="S188" s="9"/>
      <c r="T188" s="567"/>
    </row>
    <row r="189" spans="2:20" ht="15" customHeight="1" outlineLevel="1" thickTop="1" thickBot="1" x14ac:dyDescent="0.3">
      <c r="B189" s="559"/>
      <c r="C189" s="948"/>
      <c r="D189" s="943" t="s">
        <v>919</v>
      </c>
      <c r="E189" s="9"/>
      <c r="F189" s="1738"/>
      <c r="G189" s="1738"/>
      <c r="H189" s="1738"/>
      <c r="I189" s="1738"/>
      <c r="J189" s="1738"/>
      <c r="K189" s="1738"/>
      <c r="L189" s="1738"/>
      <c r="M189" s="1738"/>
      <c r="N189" s="1738"/>
      <c r="O189" s="1738"/>
      <c r="P189" s="1738"/>
      <c r="Q189" s="9"/>
      <c r="R189" s="792">
        <f>IFERROR(COUNTIF(G189:P189,HIDE5!$K$8),0)</f>
        <v>0</v>
      </c>
      <c r="S189" s="9"/>
      <c r="T189" s="567"/>
    </row>
    <row r="190" spans="2:20" ht="15" customHeight="1" outlineLevel="1" thickTop="1" thickBot="1" x14ac:dyDescent="0.3">
      <c r="B190" s="559"/>
      <c r="C190" s="948"/>
      <c r="D190" s="943" t="s">
        <v>921</v>
      </c>
      <c r="E190" s="9"/>
      <c r="F190" s="1738"/>
      <c r="G190" s="1738"/>
      <c r="H190" s="1738"/>
      <c r="I190" s="1738"/>
      <c r="J190" s="1738"/>
      <c r="K190" s="1738"/>
      <c r="L190" s="1738"/>
      <c r="M190" s="1738"/>
      <c r="N190" s="1738"/>
      <c r="O190" s="1738"/>
      <c r="P190" s="1738"/>
      <c r="Q190" s="9"/>
      <c r="R190" s="792">
        <f>IFERROR(COUNTIF(G190:P190,HIDE5!$K$8),0)</f>
        <v>0</v>
      </c>
      <c r="S190" s="9"/>
      <c r="T190" s="567"/>
    </row>
    <row r="191" spans="2:20" ht="15" customHeight="1" outlineLevel="1" thickTop="1" thickBot="1" x14ac:dyDescent="0.3">
      <c r="B191" s="559"/>
      <c r="C191" s="948"/>
      <c r="D191" s="943" t="s">
        <v>924</v>
      </c>
      <c r="E191" s="9"/>
      <c r="F191" s="1738"/>
      <c r="G191" s="1738"/>
      <c r="H191" s="1738"/>
      <c r="I191" s="1738"/>
      <c r="J191" s="1738"/>
      <c r="K191" s="1738"/>
      <c r="L191" s="1738"/>
      <c r="M191" s="1738"/>
      <c r="N191" s="1738"/>
      <c r="O191" s="1738"/>
      <c r="P191" s="1738"/>
      <c r="Q191" s="9"/>
      <c r="R191" s="792">
        <f>IFERROR(COUNTIF(G191:P191,HIDE5!$K$8),0)</f>
        <v>0</v>
      </c>
      <c r="S191" s="9"/>
      <c r="T191" s="567"/>
    </row>
    <row r="192" spans="2:20" ht="15" customHeight="1" outlineLevel="1" thickTop="1" thickBot="1" x14ac:dyDescent="0.3">
      <c r="B192" s="559"/>
      <c r="C192" s="948"/>
      <c r="D192" s="943" t="s">
        <v>918</v>
      </c>
      <c r="E192" s="9"/>
      <c r="F192" s="1738"/>
      <c r="G192" s="1738"/>
      <c r="H192" s="1738"/>
      <c r="I192" s="1738"/>
      <c r="J192" s="1738"/>
      <c r="K192" s="1738"/>
      <c r="L192" s="1738"/>
      <c r="M192" s="1738"/>
      <c r="N192" s="1738"/>
      <c r="O192" s="1738"/>
      <c r="P192" s="1738"/>
      <c r="Q192" s="9"/>
      <c r="R192" s="792">
        <f>IFERROR(COUNTIF(G192:P192,HIDE5!$K$8),0)</f>
        <v>0</v>
      </c>
      <c r="S192" s="9"/>
      <c r="T192" s="567"/>
    </row>
    <row r="193" spans="2:20" ht="15" customHeight="1" outlineLevel="1" thickTop="1" thickBot="1" x14ac:dyDescent="0.3">
      <c r="B193" s="559"/>
      <c r="C193" s="948"/>
      <c r="D193" s="943" t="s">
        <v>925</v>
      </c>
      <c r="E193" s="9"/>
      <c r="F193" s="1738"/>
      <c r="G193" s="1738"/>
      <c r="H193" s="1738"/>
      <c r="I193" s="1738"/>
      <c r="J193" s="1738"/>
      <c r="K193" s="1738"/>
      <c r="L193" s="1738"/>
      <c r="M193" s="1738"/>
      <c r="N193" s="1738"/>
      <c r="O193" s="1738"/>
      <c r="P193" s="1738"/>
      <c r="Q193" s="9"/>
      <c r="R193" s="792">
        <f>IFERROR(COUNTIF(G193:P193,HIDE5!$K$8),0)</f>
        <v>0</v>
      </c>
      <c r="S193" s="9"/>
      <c r="T193" s="567"/>
    </row>
    <row r="194" spans="2:20" ht="15" customHeight="1" outlineLevel="1" thickTop="1" thickBot="1" x14ac:dyDescent="0.3">
      <c r="B194" s="559"/>
      <c r="C194" s="948"/>
      <c r="D194" s="943" t="s">
        <v>930</v>
      </c>
      <c r="E194" s="9"/>
      <c r="F194" s="1738"/>
      <c r="G194" s="1738"/>
      <c r="H194" s="1738"/>
      <c r="I194" s="1738"/>
      <c r="J194" s="1738"/>
      <c r="K194" s="1738"/>
      <c r="L194" s="1738"/>
      <c r="M194" s="1738"/>
      <c r="N194" s="1738"/>
      <c r="O194" s="1738"/>
      <c r="P194" s="1738"/>
      <c r="Q194" s="9"/>
      <c r="R194" s="792">
        <f>IFERROR(COUNTIF(G194:P194,HIDE5!$K$8),0)</f>
        <v>0</v>
      </c>
      <c r="S194" s="9"/>
      <c r="T194" s="567"/>
    </row>
    <row r="195" spans="2:20" ht="15" customHeight="1" outlineLevel="1" thickTop="1" thickBot="1" x14ac:dyDescent="0.3">
      <c r="B195" s="559"/>
      <c r="C195" s="948"/>
      <c r="D195" s="943" t="s">
        <v>927</v>
      </c>
      <c r="E195" s="9"/>
      <c r="F195" s="1738"/>
      <c r="G195" s="1738"/>
      <c r="H195" s="1738"/>
      <c r="I195" s="1738"/>
      <c r="J195" s="1738"/>
      <c r="K195" s="1738"/>
      <c r="L195" s="1738"/>
      <c r="M195" s="1738"/>
      <c r="N195" s="1738"/>
      <c r="O195" s="1738"/>
      <c r="P195" s="1738"/>
      <c r="Q195" s="9"/>
      <c r="R195" s="792">
        <f>IFERROR(COUNTIF(G195:P195,HIDE5!$K$8),0)</f>
        <v>0</v>
      </c>
      <c r="S195" s="9"/>
      <c r="T195" s="567"/>
    </row>
    <row r="196" spans="2:20" ht="15" customHeight="1" outlineLevel="1" thickTop="1" thickBot="1" x14ac:dyDescent="0.3">
      <c r="B196" s="559"/>
      <c r="C196" s="948"/>
      <c r="D196" s="943" t="s">
        <v>929</v>
      </c>
      <c r="E196" s="9"/>
      <c r="F196" s="1738"/>
      <c r="G196" s="1738"/>
      <c r="H196" s="1738"/>
      <c r="I196" s="1738"/>
      <c r="J196" s="1738"/>
      <c r="K196" s="1738"/>
      <c r="L196" s="1738"/>
      <c r="M196" s="1738"/>
      <c r="N196" s="1738"/>
      <c r="O196" s="1738"/>
      <c r="P196" s="1738"/>
      <c r="Q196" s="9"/>
      <c r="R196" s="792">
        <f>IFERROR(COUNTIF(G196:P196,HIDE5!$K$8),0)</f>
        <v>0</v>
      </c>
      <c r="S196" s="9"/>
      <c r="T196" s="567"/>
    </row>
    <row r="197" spans="2:20" ht="15" customHeight="1" outlineLevel="1" thickTop="1" thickBot="1" x14ac:dyDescent="0.3">
      <c r="B197" s="559"/>
      <c r="C197" s="948"/>
      <c r="D197" s="943" t="s">
        <v>920</v>
      </c>
      <c r="E197" s="9"/>
      <c r="F197" s="1738"/>
      <c r="G197" s="1738"/>
      <c r="H197" s="1738"/>
      <c r="I197" s="1738"/>
      <c r="J197" s="1738"/>
      <c r="K197" s="1738"/>
      <c r="L197" s="1738"/>
      <c r="M197" s="1738"/>
      <c r="N197" s="1738"/>
      <c r="O197" s="1738"/>
      <c r="P197" s="1738"/>
      <c r="Q197" s="9"/>
      <c r="R197" s="792">
        <f>IFERROR(COUNTIF(G197:P197,HIDE5!$K$8),0)</f>
        <v>0</v>
      </c>
      <c r="S197" s="9"/>
      <c r="T197" s="567"/>
    </row>
    <row r="198" spans="2:20" ht="15" outlineLevel="1" thickTop="1" thickBot="1" x14ac:dyDescent="0.3">
      <c r="B198" s="559"/>
      <c r="C198" s="948"/>
      <c r="D198" s="1744" t="s">
        <v>871</v>
      </c>
      <c r="E198" s="9"/>
      <c r="F198" s="1738"/>
      <c r="G198" s="1738"/>
      <c r="H198" s="1738"/>
      <c r="I198" s="1738"/>
      <c r="J198" s="1738"/>
      <c r="K198" s="1738"/>
      <c r="L198" s="1738"/>
      <c r="M198" s="1738"/>
      <c r="N198" s="1738"/>
      <c r="O198" s="1738"/>
      <c r="P198" s="1738"/>
      <c r="Q198" s="9"/>
      <c r="R198" s="792">
        <f>IFERROR(COUNTIF(G198:P198,HIDE5!$K$8),0)</f>
        <v>0</v>
      </c>
      <c r="S198" s="572"/>
      <c r="T198" s="567"/>
    </row>
    <row r="199" spans="2:20" ht="15" outlineLevel="1" thickTop="1" thickBot="1" x14ac:dyDescent="0.3">
      <c r="B199" s="559"/>
      <c r="C199" s="948"/>
      <c r="D199" s="1744" t="s">
        <v>872</v>
      </c>
      <c r="E199" s="9"/>
      <c r="F199" s="1738"/>
      <c r="G199" s="1738"/>
      <c r="H199" s="1738"/>
      <c r="I199" s="1738"/>
      <c r="J199" s="1738"/>
      <c r="K199" s="1738"/>
      <c r="L199" s="1738"/>
      <c r="M199" s="1738"/>
      <c r="N199" s="1738"/>
      <c r="O199" s="1738"/>
      <c r="P199" s="1738"/>
      <c r="Q199" s="9"/>
      <c r="R199" s="792">
        <f>IFERROR(COUNTIF(G199:P199,HIDE5!$K$8),0)</f>
        <v>0</v>
      </c>
      <c r="S199" s="572"/>
      <c r="T199" s="567"/>
    </row>
    <row r="200" spans="2:20" ht="15" customHeight="1" outlineLevel="1" thickTop="1" x14ac:dyDescent="0.25">
      <c r="B200" s="575"/>
      <c r="C200" s="9"/>
      <c r="D200" s="9"/>
      <c r="E200" s="9"/>
      <c r="F200" s="9"/>
      <c r="G200" s="9"/>
      <c r="H200" s="9"/>
      <c r="I200" s="9"/>
      <c r="J200" s="9"/>
      <c r="K200" s="9"/>
      <c r="L200" s="9"/>
      <c r="M200" s="9"/>
      <c r="N200" s="9"/>
      <c r="O200" s="9"/>
      <c r="P200" s="9"/>
      <c r="Q200" s="9"/>
      <c r="R200" s="9"/>
      <c r="S200" s="9"/>
      <c r="T200" s="567"/>
    </row>
    <row r="201" spans="2:20" ht="15" customHeight="1" outlineLevel="1" x14ac:dyDescent="0.25">
      <c r="B201" s="559"/>
      <c r="C201" s="566">
        <v>9</v>
      </c>
      <c r="D201" s="380" t="s">
        <v>883</v>
      </c>
      <c r="E201" s="537"/>
      <c r="F201" s="978">
        <f>IFERROR(COUNTIF(F203:F209,HIDE5!$K$8),0)</f>
        <v>0</v>
      </c>
      <c r="G201" s="978">
        <f>IFERROR(COUNTIF(G203:G209,HIDE5!$K$8),0)</f>
        <v>0</v>
      </c>
      <c r="H201" s="978">
        <f>IFERROR(COUNTIF(H203:H209,HIDE5!$K$8),0)</f>
        <v>0</v>
      </c>
      <c r="I201" s="978">
        <f>IFERROR(COUNTIF(I203:I209,HIDE5!$K$8),0)</f>
        <v>0</v>
      </c>
      <c r="J201" s="978">
        <f>IFERROR(COUNTIF(J203:J209,HIDE5!$K$8),0)</f>
        <v>0</v>
      </c>
      <c r="K201" s="978">
        <f>IFERROR(COUNTIF(K203:K209,HIDE5!$K$8),0)</f>
        <v>0</v>
      </c>
      <c r="L201" s="978">
        <f>IFERROR(COUNTIF(L203:L209,HIDE5!$K$8),0)</f>
        <v>0</v>
      </c>
      <c r="M201" s="978">
        <f>IFERROR(COUNTIF(M203:M209,HIDE5!$K$8),0)</f>
        <v>0</v>
      </c>
      <c r="N201" s="978">
        <f>IFERROR(COUNTIF(N203:N209,HIDE5!$K$8),0)</f>
        <v>0</v>
      </c>
      <c r="O201" s="978">
        <f>IFERROR(COUNTIF(O203:O209,HIDE5!$K$8),0)</f>
        <v>0</v>
      </c>
      <c r="P201" s="978">
        <f>IFERROR(COUNTIF(P203:P209,HIDE5!$K$8),0)</f>
        <v>0</v>
      </c>
      <c r="Q201" s="570"/>
      <c r="R201" s="570"/>
      <c r="S201" s="9"/>
      <c r="T201" s="567"/>
    </row>
    <row r="202" spans="2:20" ht="15" customHeight="1" outlineLevel="1" thickBot="1" x14ac:dyDescent="0.3">
      <c r="B202" s="559"/>
      <c r="C202" s="571"/>
      <c r="D202" s="9"/>
      <c r="E202" s="9"/>
      <c r="F202" s="9"/>
      <c r="G202" s="9"/>
      <c r="H202" s="9"/>
      <c r="I202" s="9"/>
      <c r="J202" s="9"/>
      <c r="K202" s="9"/>
      <c r="L202" s="9"/>
      <c r="M202" s="9"/>
      <c r="N202" s="9"/>
      <c r="O202" s="9"/>
      <c r="P202" s="9"/>
      <c r="Q202" s="9"/>
      <c r="R202" s="9"/>
      <c r="S202" s="572"/>
      <c r="T202" s="567"/>
    </row>
    <row r="203" spans="2:20" ht="15" customHeight="1" outlineLevel="1" thickTop="1" thickBot="1" x14ac:dyDescent="0.3">
      <c r="B203" s="559"/>
      <c r="C203" s="571"/>
      <c r="D203" s="943" t="s">
        <v>884</v>
      </c>
      <c r="E203" s="9"/>
      <c r="F203" s="1738"/>
      <c r="G203" s="1738"/>
      <c r="H203" s="1738"/>
      <c r="I203" s="1738"/>
      <c r="J203" s="1738"/>
      <c r="K203" s="1738"/>
      <c r="L203" s="1738"/>
      <c r="M203" s="1738"/>
      <c r="N203" s="1738"/>
      <c r="O203" s="1738"/>
      <c r="P203" s="1738"/>
      <c r="Q203" s="9"/>
      <c r="R203" s="792">
        <f>IFERROR(COUNTIF(G203:P203,HIDE5!$K$8),0)</f>
        <v>0</v>
      </c>
      <c r="S203" s="572"/>
      <c r="T203" s="567"/>
    </row>
    <row r="204" spans="2:20" ht="15" customHeight="1" outlineLevel="1" thickTop="1" thickBot="1" x14ac:dyDescent="0.3">
      <c r="B204" s="559"/>
      <c r="C204" s="948"/>
      <c r="D204" s="943" t="s">
        <v>885</v>
      </c>
      <c r="E204" s="9"/>
      <c r="F204" s="1738"/>
      <c r="G204" s="1738"/>
      <c r="H204" s="1738"/>
      <c r="I204" s="1738"/>
      <c r="J204" s="1738"/>
      <c r="K204" s="1738"/>
      <c r="L204" s="1738"/>
      <c r="M204" s="1738"/>
      <c r="N204" s="1738"/>
      <c r="O204" s="1738"/>
      <c r="P204" s="1738"/>
      <c r="Q204" s="9"/>
      <c r="R204" s="792">
        <f>IFERROR(COUNTIF(G204:P204,HIDE5!$K$8),0)</f>
        <v>0</v>
      </c>
      <c r="S204" s="9"/>
      <c r="T204" s="567"/>
    </row>
    <row r="205" spans="2:20" ht="15" customHeight="1" outlineLevel="1" thickTop="1" thickBot="1" x14ac:dyDescent="0.3">
      <c r="B205" s="559"/>
      <c r="C205" s="948"/>
      <c r="D205" s="943" t="s">
        <v>886</v>
      </c>
      <c r="E205" s="9"/>
      <c r="F205" s="1738"/>
      <c r="G205" s="1738"/>
      <c r="H205" s="1738"/>
      <c r="I205" s="1738"/>
      <c r="J205" s="1738"/>
      <c r="K205" s="1738"/>
      <c r="L205" s="1738"/>
      <c r="M205" s="1738"/>
      <c r="N205" s="1738"/>
      <c r="O205" s="1738"/>
      <c r="P205" s="1738"/>
      <c r="Q205" s="9"/>
      <c r="R205" s="792">
        <f>IFERROR(COUNTIF(G205:P205,HIDE5!$K$8),0)</f>
        <v>0</v>
      </c>
      <c r="S205" s="9"/>
      <c r="T205" s="567"/>
    </row>
    <row r="206" spans="2:20" ht="15" customHeight="1" outlineLevel="1" thickTop="1" thickBot="1" x14ac:dyDescent="0.3">
      <c r="B206" s="559"/>
      <c r="C206" s="948"/>
      <c r="D206" s="943" t="s">
        <v>887</v>
      </c>
      <c r="E206" s="9"/>
      <c r="F206" s="1738"/>
      <c r="G206" s="1738"/>
      <c r="H206" s="1738"/>
      <c r="I206" s="1738"/>
      <c r="J206" s="1738"/>
      <c r="K206" s="1738"/>
      <c r="L206" s="1738"/>
      <c r="M206" s="1738"/>
      <c r="N206" s="1738"/>
      <c r="O206" s="1738"/>
      <c r="P206" s="1738"/>
      <c r="Q206" s="9"/>
      <c r="R206" s="792">
        <f>IFERROR(COUNTIF(G206:P206,HIDE5!$K$8),0)</f>
        <v>0</v>
      </c>
      <c r="S206" s="9"/>
      <c r="T206" s="567"/>
    </row>
    <row r="207" spans="2:20" ht="15" customHeight="1" outlineLevel="1" thickTop="1" thickBot="1" x14ac:dyDescent="0.3">
      <c r="B207" s="559"/>
      <c r="C207" s="948"/>
      <c r="D207" s="943" t="s">
        <v>896</v>
      </c>
      <c r="E207" s="9"/>
      <c r="F207" s="1738"/>
      <c r="G207" s="1738"/>
      <c r="H207" s="1738"/>
      <c r="I207" s="1738"/>
      <c r="J207" s="1738"/>
      <c r="K207" s="1738"/>
      <c r="L207" s="1738"/>
      <c r="M207" s="1738"/>
      <c r="N207" s="1738"/>
      <c r="O207" s="1738"/>
      <c r="P207" s="1738"/>
      <c r="Q207" s="9"/>
      <c r="R207" s="792">
        <f>IFERROR(COUNTIF(G207:P207,HIDE5!$K$8),0)</f>
        <v>0</v>
      </c>
      <c r="S207" s="9"/>
      <c r="T207" s="567"/>
    </row>
    <row r="208" spans="2:20" ht="15" outlineLevel="1" thickTop="1" thickBot="1" x14ac:dyDescent="0.3">
      <c r="B208" s="559"/>
      <c r="C208" s="948"/>
      <c r="D208" s="1744" t="s">
        <v>871</v>
      </c>
      <c r="E208" s="9"/>
      <c r="F208" s="1738"/>
      <c r="G208" s="1738"/>
      <c r="H208" s="1738"/>
      <c r="I208" s="1738"/>
      <c r="J208" s="1738"/>
      <c r="K208" s="1738"/>
      <c r="L208" s="1738"/>
      <c r="M208" s="1738"/>
      <c r="N208" s="1738"/>
      <c r="O208" s="1738"/>
      <c r="P208" s="1738"/>
      <c r="Q208" s="9"/>
      <c r="R208" s="792">
        <f>IFERROR(COUNTIF(G208:P208,HIDE5!$K$8),0)</f>
        <v>0</v>
      </c>
      <c r="S208" s="572"/>
      <c r="T208" s="567"/>
    </row>
    <row r="209" spans="1:80" s="558" customFormat="1" ht="15" customHeight="1" outlineLevel="1" thickTop="1" thickBot="1" x14ac:dyDescent="0.3">
      <c r="A209" s="274"/>
      <c r="B209" s="559"/>
      <c r="C209" s="948"/>
      <c r="D209" s="1744" t="s">
        <v>872</v>
      </c>
      <c r="E209" s="9"/>
      <c r="F209" s="1738"/>
      <c r="G209" s="1738"/>
      <c r="H209" s="1738"/>
      <c r="I209" s="1738"/>
      <c r="J209" s="1738"/>
      <c r="K209" s="1738"/>
      <c r="L209" s="1738"/>
      <c r="M209" s="1738"/>
      <c r="N209" s="1738"/>
      <c r="O209" s="1738"/>
      <c r="P209" s="1738"/>
      <c r="Q209" s="9"/>
      <c r="R209" s="792">
        <f>IFERROR(COUNTIF(G209:P209,HIDE5!$K$8),0)</f>
        <v>0</v>
      </c>
      <c r="S209" s="572"/>
      <c r="T209" s="567"/>
      <c r="U209" s="274"/>
      <c r="V209" s="274"/>
      <c r="W209" s="274"/>
      <c r="X209" s="274"/>
      <c r="Y209" s="274"/>
      <c r="Z209" s="274"/>
      <c r="AA209" s="274"/>
      <c r="AB209" s="274"/>
      <c r="AC209" s="274"/>
      <c r="AD209" s="274"/>
      <c r="AE209" s="274"/>
      <c r="AF209" s="274"/>
      <c r="AG209" s="274"/>
      <c r="AH209" s="274"/>
      <c r="AI209" s="274"/>
      <c r="AJ209" s="274"/>
      <c r="AK209" s="274"/>
      <c r="AL209" s="274"/>
      <c r="AM209" s="274"/>
      <c r="AN209" s="274"/>
      <c r="AO209" s="274"/>
      <c r="AP209" s="274"/>
      <c r="AQ209" s="274"/>
      <c r="AR209" s="274"/>
      <c r="AS209" s="274"/>
      <c r="AT209" s="274"/>
      <c r="AU209" s="274"/>
      <c r="AV209" s="274"/>
      <c r="AW209" s="274"/>
      <c r="AX209" s="274"/>
      <c r="AY209" s="274"/>
      <c r="AZ209" s="274"/>
      <c r="BA209" s="274"/>
      <c r="BB209" s="274"/>
      <c r="BC209" s="274"/>
      <c r="BD209" s="274"/>
      <c r="BE209" s="274"/>
      <c r="BF209" s="274"/>
      <c r="BG209" s="274"/>
      <c r="BH209" s="274"/>
      <c r="BI209" s="274"/>
      <c r="BJ209" s="274"/>
      <c r="BK209" s="274"/>
      <c r="BL209" s="274"/>
      <c r="BM209" s="274"/>
      <c r="BN209" s="274"/>
      <c r="BO209" s="274"/>
      <c r="BP209" s="274"/>
      <c r="BQ209" s="274"/>
      <c r="BR209" s="274"/>
      <c r="BS209" s="274"/>
      <c r="BT209" s="274"/>
      <c r="BU209" s="274"/>
      <c r="BV209" s="274"/>
      <c r="BW209" s="274"/>
      <c r="BX209" s="274"/>
      <c r="BY209" s="274"/>
      <c r="BZ209" s="274"/>
      <c r="CA209" s="274"/>
      <c r="CB209" s="274"/>
    </row>
    <row r="210" spans="1:80" ht="15" customHeight="1" thickTop="1" x14ac:dyDescent="0.25">
      <c r="B210" s="575"/>
      <c r="C210" s="9"/>
      <c r="D210" s="9"/>
      <c r="E210" s="9"/>
      <c r="F210" s="9"/>
      <c r="G210" s="9"/>
      <c r="H210" s="9"/>
      <c r="I210" s="9"/>
      <c r="J210" s="9"/>
      <c r="K210" s="9"/>
      <c r="L210" s="9"/>
      <c r="M210" s="9"/>
      <c r="N210" s="9"/>
      <c r="O210" s="9"/>
      <c r="P210" s="9"/>
      <c r="Q210" s="9"/>
      <c r="R210" s="9"/>
      <c r="S210" s="9"/>
      <c r="T210" s="567"/>
      <c r="V210" s="558"/>
      <c r="W210" s="558"/>
      <c r="X210" s="558"/>
      <c r="Y210" s="558"/>
      <c r="Z210" s="558"/>
      <c r="AA210" s="558"/>
      <c r="AB210" s="558"/>
      <c r="AC210" s="558"/>
      <c r="AD210" s="558"/>
      <c r="AE210" s="558"/>
      <c r="AF210" s="558"/>
      <c r="AG210" s="558"/>
      <c r="AH210" s="558"/>
      <c r="AI210" s="558"/>
      <c r="AJ210" s="558"/>
      <c r="AK210" s="558"/>
      <c r="AL210" s="558"/>
      <c r="AM210" s="558"/>
      <c r="AN210" s="558"/>
      <c r="AO210" s="558"/>
      <c r="AP210" s="558"/>
      <c r="AQ210" s="558"/>
      <c r="AR210" s="558"/>
      <c r="AS210" s="558"/>
      <c r="AT210" s="558"/>
      <c r="AU210" s="558"/>
      <c r="AV210" s="558"/>
      <c r="AW210" s="558"/>
      <c r="AX210" s="558"/>
      <c r="AY210" s="558"/>
      <c r="AZ210" s="558"/>
      <c r="BA210" s="558"/>
      <c r="BB210" s="558"/>
      <c r="BC210" s="558"/>
      <c r="BD210" s="558"/>
      <c r="BE210" s="558"/>
      <c r="BF210" s="558"/>
      <c r="BG210" s="558"/>
      <c r="BH210" s="558"/>
      <c r="BI210" s="558"/>
      <c r="BJ210" s="558"/>
      <c r="BK210" s="558"/>
      <c r="BL210" s="558"/>
      <c r="BM210" s="558"/>
      <c r="BN210" s="558"/>
      <c r="BO210" s="558"/>
      <c r="BP210" s="558"/>
      <c r="BQ210" s="558"/>
      <c r="BR210" s="558"/>
      <c r="BS210" s="558"/>
      <c r="BT210" s="558"/>
      <c r="BU210" s="558"/>
      <c r="BV210" s="558"/>
      <c r="BW210" s="558"/>
      <c r="BX210" s="558"/>
      <c r="BY210" s="558"/>
      <c r="BZ210" s="558"/>
      <c r="CA210" s="558"/>
      <c r="CB210" s="558"/>
    </row>
    <row r="211" spans="1:80" x14ac:dyDescent="0.25">
      <c r="A211" s="558"/>
      <c r="B211" s="561"/>
      <c r="C211" s="578"/>
      <c r="D211" s="578"/>
      <c r="E211" s="578"/>
      <c r="F211" s="578"/>
      <c r="G211" s="578"/>
      <c r="H211" s="578"/>
      <c r="I211" s="578"/>
      <c r="J211" s="578"/>
      <c r="K211" s="578"/>
      <c r="L211" s="578"/>
      <c r="M211" s="579"/>
      <c r="N211" s="579"/>
      <c r="O211" s="579"/>
      <c r="P211" s="579"/>
      <c r="Q211" s="579"/>
      <c r="R211" s="579"/>
      <c r="S211" s="579"/>
      <c r="T211" s="580"/>
      <c r="U211" s="558"/>
    </row>
    <row r="212" spans="1:80" outlineLevel="1" x14ac:dyDescent="0.25"/>
    <row r="213" spans="1:80" ht="15" customHeight="1" outlineLevel="1" x14ac:dyDescent="0.25">
      <c r="B213" s="562">
        <v>3</v>
      </c>
      <c r="C213" s="563" t="s">
        <v>889</v>
      </c>
      <c r="D213" s="564"/>
      <c r="E213" s="564"/>
      <c r="F213" s="564"/>
      <c r="G213" s="564"/>
      <c r="H213" s="564"/>
      <c r="I213" s="564"/>
      <c r="J213" s="564"/>
      <c r="K213" s="564"/>
      <c r="L213" s="564"/>
      <c r="M213" s="564"/>
      <c r="N213" s="564"/>
      <c r="O213" s="564"/>
      <c r="P213" s="564"/>
      <c r="Q213" s="564"/>
      <c r="R213" s="564"/>
      <c r="S213" s="564"/>
      <c r="T213" s="565"/>
    </row>
    <row r="214" spans="1:80" outlineLevel="1" x14ac:dyDescent="0.25">
      <c r="B214" s="559"/>
      <c r="C214" s="9"/>
      <c r="D214" s="9"/>
      <c r="E214" s="9"/>
      <c r="F214" s="9"/>
      <c r="G214" s="9"/>
      <c r="H214" s="9"/>
      <c r="I214" s="9"/>
      <c r="J214" s="9"/>
      <c r="K214" s="9"/>
      <c r="L214" s="9"/>
      <c r="M214" s="9"/>
      <c r="N214" s="9"/>
      <c r="O214" s="9"/>
      <c r="P214" s="9"/>
      <c r="Q214" s="9"/>
      <c r="R214" s="9"/>
      <c r="S214" s="9"/>
      <c r="T214" s="560"/>
    </row>
    <row r="215" spans="1:80" ht="14.4" outlineLevel="1" thickBot="1" x14ac:dyDescent="0.3">
      <c r="B215" s="559"/>
      <c r="C215" s="571"/>
      <c r="D215" s="572"/>
      <c r="E215" s="572"/>
      <c r="F215" s="929" t="s">
        <v>769</v>
      </c>
      <c r="G215" s="929" t="s">
        <v>770</v>
      </c>
      <c r="H215" s="929" t="s">
        <v>771</v>
      </c>
      <c r="I215" s="929" t="s">
        <v>772</v>
      </c>
      <c r="J215" s="929" t="s">
        <v>773</v>
      </c>
      <c r="K215" s="929" t="s">
        <v>774</v>
      </c>
      <c r="L215" s="929" t="s">
        <v>775</v>
      </c>
      <c r="M215" s="929" t="s">
        <v>776</v>
      </c>
      <c r="N215" s="929" t="s">
        <v>777</v>
      </c>
      <c r="O215" s="929" t="s">
        <v>778</v>
      </c>
      <c r="P215" s="929" t="s">
        <v>779</v>
      </c>
      <c r="Q215" s="571"/>
      <c r="R215" s="929" t="s">
        <v>888</v>
      </c>
      <c r="S215" s="572"/>
      <c r="T215" s="567"/>
    </row>
    <row r="216" spans="1:80" ht="15" outlineLevel="1" thickTop="1" thickBot="1" x14ac:dyDescent="0.3">
      <c r="B216" s="559"/>
      <c r="C216" s="571"/>
      <c r="D216" s="943" t="s">
        <v>891</v>
      </c>
      <c r="E216" s="572"/>
      <c r="F216" s="1737"/>
      <c r="G216" s="1737"/>
      <c r="H216" s="1737"/>
      <c r="I216" s="1737"/>
      <c r="J216" s="1737"/>
      <c r="K216" s="1737"/>
      <c r="L216" s="1737"/>
      <c r="M216" s="1737"/>
      <c r="N216" s="1737"/>
      <c r="O216" s="1737"/>
      <c r="P216" s="1737"/>
      <c r="Q216" s="572"/>
      <c r="R216" s="572"/>
      <c r="S216" s="572"/>
      <c r="T216" s="567"/>
    </row>
    <row r="217" spans="1:80" ht="15" outlineLevel="1" thickTop="1" thickBot="1" x14ac:dyDescent="0.3">
      <c r="B217" s="559"/>
      <c r="C217" s="571"/>
      <c r="D217" s="943" t="s">
        <v>892</v>
      </c>
      <c r="E217" s="572"/>
      <c r="F217" s="1737"/>
      <c r="G217" s="1737"/>
      <c r="H217" s="1737"/>
      <c r="I217" s="1737"/>
      <c r="J217" s="1737"/>
      <c r="K217" s="1737"/>
      <c r="L217" s="1737"/>
      <c r="M217" s="1737"/>
      <c r="N217" s="1737"/>
      <c r="O217" s="1737"/>
      <c r="P217" s="1737"/>
      <c r="Q217" s="946"/>
      <c r="R217" s="572"/>
      <c r="S217" s="572"/>
      <c r="T217" s="567"/>
    </row>
    <row r="218" spans="1:80" ht="15" outlineLevel="1" thickTop="1" thickBot="1" x14ac:dyDescent="0.3">
      <c r="B218" s="559"/>
      <c r="C218" s="571"/>
      <c r="D218" s="943" t="s">
        <v>893</v>
      </c>
      <c r="E218" s="572"/>
      <c r="F218" s="1738"/>
      <c r="G218" s="1738"/>
      <c r="H218" s="1738"/>
      <c r="I218" s="1738"/>
      <c r="J218" s="1738"/>
      <c r="K218" s="1738"/>
      <c r="L218" s="1738"/>
      <c r="M218" s="1738"/>
      <c r="N218" s="1738"/>
      <c r="O218" s="1738"/>
      <c r="P218" s="1738"/>
      <c r="Q218" s="947"/>
      <c r="R218" s="792">
        <f>IFERROR(COUNTIF(G218:P218,HIDE5!$K$8),0)</f>
        <v>0</v>
      </c>
      <c r="S218" s="572"/>
      <c r="T218" s="567"/>
    </row>
    <row r="219" spans="1:80" ht="15" outlineLevel="1" thickTop="1" thickBot="1" x14ac:dyDescent="0.3">
      <c r="B219" s="559"/>
      <c r="C219" s="571"/>
      <c r="D219" s="943" t="s">
        <v>894</v>
      </c>
      <c r="E219" s="572"/>
      <c r="F219" s="1738"/>
      <c r="G219" s="1738"/>
      <c r="H219" s="1738"/>
      <c r="I219" s="1738"/>
      <c r="J219" s="1738"/>
      <c r="K219" s="1738"/>
      <c r="L219" s="1738"/>
      <c r="M219" s="1738"/>
      <c r="N219" s="1738"/>
      <c r="O219" s="1738"/>
      <c r="P219" s="1738"/>
      <c r="Q219" s="947"/>
      <c r="R219" s="792">
        <f>IFERROR(COUNTIF(G219:P219,HIDE5!$K$8),0)</f>
        <v>0</v>
      </c>
      <c r="S219" s="572"/>
      <c r="T219" s="567"/>
    </row>
    <row r="220" spans="1:80" ht="15" outlineLevel="1" thickTop="1" thickBot="1" x14ac:dyDescent="0.3">
      <c r="B220" s="559"/>
      <c r="C220" s="571"/>
      <c r="D220" s="943" t="s">
        <v>895</v>
      </c>
      <c r="E220" s="572"/>
      <c r="F220" s="1738"/>
      <c r="G220" s="1738"/>
      <c r="H220" s="1738"/>
      <c r="I220" s="1738"/>
      <c r="J220" s="1738"/>
      <c r="K220" s="1738"/>
      <c r="L220" s="1738"/>
      <c r="M220" s="1738"/>
      <c r="N220" s="1738"/>
      <c r="O220" s="1738"/>
      <c r="P220" s="1738"/>
      <c r="Q220" s="947"/>
      <c r="R220" s="792">
        <f>IFERROR(COUNTIF(G220:P220,HIDE5!$K$8),0)</f>
        <v>0</v>
      </c>
      <c r="S220" s="572"/>
      <c r="T220" s="567"/>
    </row>
    <row r="221" spans="1:80" ht="15" outlineLevel="1" thickTop="1" thickBot="1" x14ac:dyDescent="0.3">
      <c r="B221" s="559"/>
      <c r="C221" s="571"/>
      <c r="D221" s="943" t="s">
        <v>907</v>
      </c>
      <c r="E221" s="572"/>
      <c r="F221" s="1738"/>
      <c r="G221" s="1738"/>
      <c r="H221" s="1738"/>
      <c r="I221" s="1738"/>
      <c r="J221" s="1738"/>
      <c r="K221" s="1738"/>
      <c r="L221" s="1738"/>
      <c r="M221" s="1738"/>
      <c r="N221" s="1738"/>
      <c r="O221" s="1738"/>
      <c r="P221" s="1738"/>
      <c r="Q221" s="947"/>
      <c r="R221" s="792">
        <f>IFERROR(COUNTIF(G221:P221,HIDE5!$K$8),0)</f>
        <v>0</v>
      </c>
      <c r="S221" s="572"/>
      <c r="T221" s="567"/>
    </row>
    <row r="222" spans="1:80" ht="15" outlineLevel="1" thickTop="1" thickBot="1" x14ac:dyDescent="0.3">
      <c r="B222" s="559"/>
      <c r="C222" s="571"/>
      <c r="D222" s="943" t="s">
        <v>962</v>
      </c>
      <c r="E222" s="572"/>
      <c r="F222" s="1738"/>
      <c r="G222" s="1738"/>
      <c r="H222" s="1738"/>
      <c r="I222" s="1738"/>
      <c r="J222" s="1738"/>
      <c r="K222" s="1738"/>
      <c r="L222" s="1738"/>
      <c r="M222" s="1738"/>
      <c r="N222" s="1738"/>
      <c r="O222" s="1738"/>
      <c r="P222" s="1738"/>
      <c r="Q222" s="947"/>
      <c r="R222" s="792">
        <f>IFERROR(COUNTIF(G222:P222,HIDE5!$K$8),0)</f>
        <v>0</v>
      </c>
      <c r="S222" s="572"/>
      <c r="T222" s="567"/>
    </row>
    <row r="223" spans="1:80" ht="15" outlineLevel="1" thickTop="1" thickBot="1" x14ac:dyDescent="0.3">
      <c r="B223" s="559"/>
      <c r="C223" s="571"/>
      <c r="D223" s="943" t="s">
        <v>897</v>
      </c>
      <c r="E223" s="572"/>
      <c r="F223" s="1738"/>
      <c r="G223" s="1738"/>
      <c r="H223" s="1738"/>
      <c r="I223" s="1738"/>
      <c r="J223" s="1738"/>
      <c r="K223" s="1738"/>
      <c r="L223" s="1738"/>
      <c r="M223" s="1738"/>
      <c r="N223" s="1738"/>
      <c r="O223" s="1738"/>
      <c r="P223" s="1738"/>
      <c r="Q223" s="947"/>
      <c r="R223" s="792">
        <f>IFERROR(COUNTIF(G223:P223,HIDE5!$K$8),0)</f>
        <v>0</v>
      </c>
      <c r="S223" s="572"/>
      <c r="T223" s="567"/>
    </row>
    <row r="224" spans="1:80" ht="15" outlineLevel="1" thickTop="1" thickBot="1" x14ac:dyDescent="0.3">
      <c r="B224" s="559"/>
      <c r="C224" s="571"/>
      <c r="D224" s="943" t="s">
        <v>898</v>
      </c>
      <c r="E224" s="572"/>
      <c r="F224" s="1738"/>
      <c r="G224" s="1738"/>
      <c r="H224" s="1738"/>
      <c r="I224" s="1738"/>
      <c r="J224" s="1738"/>
      <c r="K224" s="1738"/>
      <c r="L224" s="1738"/>
      <c r="M224" s="1738"/>
      <c r="N224" s="1738"/>
      <c r="O224" s="1738"/>
      <c r="P224" s="1738"/>
      <c r="Q224" s="947"/>
      <c r="R224" s="792">
        <f>IFERROR(COUNTIF(G224:P224,HIDE5!$K$8),0)</f>
        <v>0</v>
      </c>
      <c r="S224" s="572"/>
      <c r="T224" s="567"/>
    </row>
    <row r="225" spans="1:80" ht="15" customHeight="1" thickTop="1" x14ac:dyDescent="0.25">
      <c r="B225" s="559"/>
      <c r="C225" s="571"/>
      <c r="D225" s="9"/>
      <c r="E225" s="572"/>
      <c r="F225" s="572"/>
      <c r="G225" s="572"/>
      <c r="H225" s="572"/>
      <c r="I225" s="572"/>
      <c r="J225" s="572"/>
      <c r="K225" s="572"/>
      <c r="L225" s="572"/>
      <c r="M225" s="572"/>
      <c r="N225" s="572"/>
      <c r="O225" s="572"/>
      <c r="P225" s="572"/>
      <c r="Q225" s="572"/>
      <c r="R225" s="572"/>
      <c r="S225" s="572"/>
      <c r="T225" s="567"/>
    </row>
    <row r="226" spans="1:80" ht="14.25" customHeight="1" x14ac:dyDescent="0.25">
      <c r="B226" s="561"/>
      <c r="C226" s="955"/>
      <c r="D226" s="956"/>
      <c r="E226" s="956"/>
      <c r="F226" s="956"/>
      <c r="G226" s="956"/>
      <c r="H226" s="956"/>
      <c r="I226" s="956"/>
      <c r="J226" s="956"/>
      <c r="K226" s="956"/>
      <c r="L226" s="956"/>
      <c r="M226" s="956"/>
      <c r="N226" s="956"/>
      <c r="O226" s="956"/>
      <c r="P226" s="956"/>
      <c r="Q226" s="956"/>
      <c r="R226" s="956"/>
      <c r="S226" s="956"/>
      <c r="T226" s="580"/>
    </row>
    <row r="227" spans="1:80" s="1735" customFormat="1" ht="15" customHeight="1" x14ac:dyDescent="0.25">
      <c r="A227" s="274"/>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c r="AA227" s="274"/>
      <c r="AB227" s="274"/>
      <c r="AC227" s="274"/>
      <c r="AD227" s="274"/>
      <c r="AE227" s="274"/>
      <c r="AF227" s="274"/>
      <c r="AG227" s="274"/>
      <c r="AH227" s="274"/>
      <c r="AI227" s="274"/>
      <c r="AJ227" s="274"/>
      <c r="AK227" s="274"/>
      <c r="AL227" s="274"/>
      <c r="AM227" s="274"/>
      <c r="AN227" s="274"/>
      <c r="AO227" s="274"/>
      <c r="AP227" s="274"/>
      <c r="AQ227" s="274"/>
      <c r="AR227" s="274"/>
      <c r="AS227" s="274"/>
      <c r="AT227" s="274"/>
      <c r="AU227" s="274"/>
      <c r="AV227" s="274"/>
      <c r="AW227" s="274"/>
      <c r="AX227" s="274"/>
      <c r="AY227" s="274"/>
      <c r="AZ227" s="274"/>
      <c r="BA227" s="274"/>
      <c r="BB227" s="274"/>
      <c r="BC227" s="274"/>
      <c r="BD227" s="274"/>
      <c r="BE227" s="274"/>
      <c r="BF227" s="274"/>
      <c r="BG227" s="274"/>
      <c r="BH227" s="274"/>
      <c r="BI227" s="274"/>
      <c r="BJ227" s="274"/>
      <c r="BK227" s="274"/>
      <c r="BL227" s="274"/>
      <c r="BM227" s="274"/>
      <c r="BN227" s="274"/>
      <c r="BO227" s="274"/>
      <c r="BP227" s="274"/>
      <c r="BQ227" s="274"/>
      <c r="BR227" s="274"/>
      <c r="BS227" s="274"/>
      <c r="BT227" s="274"/>
      <c r="BU227" s="274"/>
      <c r="BV227" s="274"/>
      <c r="BW227" s="274"/>
      <c r="BX227" s="274"/>
      <c r="BY227" s="274"/>
      <c r="BZ227" s="274"/>
      <c r="CA227" s="274"/>
      <c r="CB227" s="274"/>
    </row>
    <row r="228" spans="1:80" x14ac:dyDescent="0.25">
      <c r="V228" s="1735"/>
      <c r="W228" s="1735"/>
      <c r="X228" s="1735"/>
      <c r="Y228" s="1735"/>
      <c r="Z228" s="1735"/>
      <c r="AA228" s="1735"/>
      <c r="AB228" s="1735"/>
      <c r="AC228" s="1735"/>
      <c r="AD228" s="1735"/>
      <c r="AE228" s="1735"/>
      <c r="AF228" s="1735"/>
      <c r="AG228" s="1735"/>
      <c r="AH228" s="1735"/>
      <c r="AI228" s="1735"/>
      <c r="AJ228" s="1735"/>
      <c r="AK228" s="1735"/>
      <c r="AL228" s="1735"/>
      <c r="AM228" s="1735"/>
      <c r="AN228" s="1735"/>
      <c r="AO228" s="1735"/>
      <c r="AP228" s="1735"/>
      <c r="AQ228" s="1735"/>
      <c r="AR228" s="1735"/>
      <c r="AS228" s="1735"/>
      <c r="AT228" s="1735"/>
      <c r="AU228" s="1735"/>
      <c r="AV228" s="1735"/>
      <c r="AW228" s="1735"/>
      <c r="AX228" s="1735"/>
      <c r="AY228" s="1735"/>
      <c r="AZ228" s="1735"/>
      <c r="BA228" s="1735"/>
      <c r="BB228" s="1735"/>
      <c r="BC228" s="1735"/>
      <c r="BD228" s="1735"/>
      <c r="BE228" s="1735"/>
      <c r="BF228" s="1735"/>
      <c r="BG228" s="1735"/>
      <c r="BH228" s="1735"/>
      <c r="BI228" s="1735"/>
      <c r="BJ228" s="1735"/>
      <c r="BK228" s="1735"/>
      <c r="BL228" s="1735"/>
      <c r="BM228" s="1735"/>
      <c r="BN228" s="1735"/>
      <c r="BO228" s="1735"/>
      <c r="BP228" s="1735"/>
      <c r="BQ228" s="1735"/>
      <c r="BR228" s="1735"/>
      <c r="BS228" s="1735"/>
      <c r="BT228" s="1735"/>
      <c r="BU228" s="1735"/>
      <c r="BV228" s="1735"/>
      <c r="BW228" s="1735"/>
      <c r="BX228" s="1735"/>
      <c r="BY228" s="1735"/>
      <c r="BZ228" s="1735"/>
      <c r="CA228" s="1735"/>
      <c r="CB228" s="1735"/>
    </row>
    <row r="229" spans="1:80" x14ac:dyDescent="0.25">
      <c r="A229" s="582"/>
      <c r="B229" s="1734" t="str">
        <f>DISCLAIMER!$A$35</f>
        <v>© 2025 by WinsWithMike.com or Michael Forsberg Nampa, Idaho. All rights reserved</v>
      </c>
      <c r="C229" s="1734"/>
      <c r="D229" s="1734"/>
      <c r="E229" s="1734"/>
      <c r="F229" s="1734"/>
      <c r="G229" s="1734"/>
      <c r="H229" s="1734"/>
      <c r="I229" s="1734"/>
      <c r="J229" s="1734"/>
      <c r="K229" s="1734"/>
      <c r="L229" s="1734"/>
      <c r="M229" s="1734"/>
      <c r="N229" s="1734"/>
      <c r="O229" s="1734"/>
      <c r="P229" s="1734"/>
      <c r="Q229" s="1734"/>
      <c r="R229" s="1734"/>
      <c r="S229" s="1734"/>
      <c r="T229" s="1734"/>
      <c r="U229" s="1735"/>
    </row>
  </sheetData>
  <sheetProtection sheet="1" objects="1" scenarios="1" selectLockedCells="1"/>
  <dataConsolidate/>
  <phoneticPr fontId="2" type="noConversion"/>
  <dataValidations count="5">
    <dataValidation allowBlank="1" showErrorMessage="1" sqref="R11:S11 J10:O10 F11:P11 F48:P48 J47:O47 R48 F215:P215 R215" xr:uid="{1AC57D6C-65FC-43C8-8032-597491AF8D00}"/>
    <dataValidation operator="greaterThanOrEqual" allowBlank="1" showInputMessage="1" showErrorMessage="1" sqref="D32:S32 D34:S34 E38:E40 Q38:Q40 T7:T42 T213:T226 T44:T211" xr:uid="{D8C8FBA9-25EF-44ED-92C2-A5857AF1B1BF}"/>
    <dataValidation type="whole" operator="greaterThan" allowBlank="1" showInputMessage="1" showErrorMessage="1" sqref="H33" xr:uid="{549973CA-575C-4CF5-A6F4-0589B6175DC6}">
      <formula1>0</formula1>
    </dataValidation>
    <dataValidation type="decimal" operator="greaterThan" allowBlank="1" showInputMessage="1" showErrorMessage="1" sqref="F35:P37 F30:P31 F20:P21 F16:P17" xr:uid="{2D694502-AE95-4BED-8F42-E8268E26152A}">
      <formula1>0</formula1>
    </dataValidation>
    <dataValidation operator="greaterThan" allowBlank="1" showInputMessage="1" showErrorMessage="1" sqref="F50:P50" xr:uid="{D6B86E61-240B-410E-BAA6-7F8D6B6D661E}"/>
  </dataValidations>
  <hyperlinks>
    <hyperlink ref="F4" location="Peers_1" display="Information" xr:uid="{456FBAF7-0EC0-4E14-B72A-6C0F90660C78}"/>
    <hyperlink ref="G4" location="Peers_2" display="Amenities" xr:uid="{2AA4DC92-71FD-4AA6-ACA2-FFB8C3B7AE5E}"/>
    <hyperlink ref="H4" location="Peers_3" display="Policy" xr:uid="{FBA598D2-74E1-41B6-9ED9-880DC99CBAA3}"/>
  </hyperlinks>
  <pageMargins left="0.7" right="0.7" top="0.75" bottom="0.75" header="0.3" footer="0.3"/>
  <pageSetup scale="51" fitToHeight="0" orientation="landscape" r:id="rId1"/>
  <rowBreaks count="3" manualBreakCount="3">
    <brk id="43" min="1" max="19" man="1"/>
    <brk id="110" min="1" max="19" man="1"/>
    <brk id="177" min="1" max="19"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7A2FB074-3E18-487E-A4D8-A63E43D59A42}">
          <x14:formula1>
            <xm:f>HIDE5!$U$21:$U$28</xm:f>
          </x14:formula1>
          <xm:sqref>F23:P28</xm:sqref>
        </x14:dataValidation>
        <x14:dataValidation type="list" allowBlank="1" showInputMessage="1" showErrorMessage="1" xr:uid="{2CC7995D-0150-41A0-9279-1039415D3366}">
          <x14:formula1>
            <xm:f>HIDE5!$W$21:$W$23</xm:f>
          </x14:formula1>
          <xm:sqref>I33</xm:sqref>
        </x14:dataValidation>
        <x14:dataValidation type="list" operator="greaterThan" allowBlank="1" showInputMessage="1" showErrorMessage="1" xr:uid="{710DDCDB-0392-4BFE-B12A-B066C0E63D46}">
          <x14:formula1>
            <xm:f>HIDE5!$J$3:$J$4</xm:f>
          </x14:formula1>
          <xm:sqref>F18:P18</xm:sqref>
        </x14:dataValidation>
        <x14:dataValidation type="list" allowBlank="1" showInputMessage="1" showErrorMessage="1" xr:uid="{063E302E-C32F-4F95-B937-86C9A9B60065}">
          <x14:formula1>
            <xm:f>HIDE5!$Q$28:$Q$35</xm:f>
          </x14:formula1>
          <xm:sqref>F49:P49</xm:sqref>
        </x14:dataValidation>
        <x14:dataValidation type="list" operator="greaterThan" allowBlank="1" showInputMessage="1" showErrorMessage="1" xr:uid="{FBCD789C-30D1-40BF-B5DF-6B42F626E167}">
          <x14:formula1>
            <xm:f>HIDE5!$Q$3</xm:f>
          </x14:formula1>
          <xm:sqref>F180:P199 F218:P224 F130:P156 F113:P126 F73:P95 F160:P176 F203:P209 F99:P109 F54:P69</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664DE-0654-4549-912B-44CC289D1D01}">
  <sheetPr codeName="Sheet7">
    <tabColor theme="7" tint="0.79998168889431442"/>
  </sheetPr>
  <dimension ref="A1:CB100"/>
  <sheetViews>
    <sheetView showGridLines="0" showRowColHeaders="0" zoomScaleNormal="100" zoomScaleSheetLayoutView="100" workbookViewId="0">
      <pane ySplit="4" topLeftCell="A5" activePane="bottomLeft" state="frozen"/>
      <selection pane="bottomLeft" activeCell="A5" sqref="A5"/>
    </sheetView>
  </sheetViews>
  <sheetFormatPr defaultColWidth="9.109375" defaultRowHeight="13.5" customHeight="1" x14ac:dyDescent="0.25"/>
  <cols>
    <col min="1" max="37" width="2.88671875" style="331" customWidth="1"/>
    <col min="38" max="38" width="9.109375" style="331" customWidth="1"/>
    <col min="39" max="16384" width="9.109375" style="331"/>
  </cols>
  <sheetData>
    <row r="1" spans="1:80" s="1244" customFormat="1" ht="30" customHeight="1" x14ac:dyDescent="0.25">
      <c r="A1" s="1685" t="s">
        <v>1065</v>
      </c>
      <c r="BP1" s="1378"/>
    </row>
    <row r="2" spans="1:80" s="673" customFormat="1" ht="18.75" customHeight="1" x14ac:dyDescent="0.25">
      <c r="A2" s="1685"/>
      <c r="B2" s="1244"/>
      <c r="C2" s="1244"/>
      <c r="D2" s="1244"/>
      <c r="E2" s="1244"/>
      <c r="F2" s="1244"/>
      <c r="G2" s="1244"/>
      <c r="H2" s="1244"/>
      <c r="I2" s="1244"/>
      <c r="J2" s="1244"/>
      <c r="K2" s="1244"/>
      <c r="L2" s="1244"/>
      <c r="M2" s="1244"/>
      <c r="N2" s="1244"/>
      <c r="O2" s="1244"/>
      <c r="P2" s="1244"/>
      <c r="Q2" s="1244"/>
      <c r="R2" s="1244"/>
      <c r="S2" s="1244"/>
      <c r="T2" s="1244"/>
      <c r="U2" s="1244"/>
      <c r="V2" s="1244"/>
      <c r="W2" s="1244"/>
      <c r="X2" s="1244"/>
      <c r="Y2" s="1244"/>
      <c r="Z2" s="1244"/>
      <c r="AA2" s="1244"/>
      <c r="AB2" s="1244"/>
      <c r="AC2" s="1244"/>
      <c r="AD2" s="1244"/>
      <c r="AE2" s="1244"/>
      <c r="AF2" s="1244"/>
      <c r="AG2" s="1244"/>
      <c r="AH2" s="1244"/>
      <c r="AI2" s="1244"/>
      <c r="AJ2" s="1244"/>
      <c r="AK2" s="1244"/>
      <c r="AL2" s="1244"/>
      <c r="AM2" s="1244"/>
      <c r="AN2" s="1244"/>
      <c r="AO2" s="1244"/>
      <c r="AP2" s="1244"/>
      <c r="AQ2" s="1244"/>
      <c r="AR2" s="1244"/>
      <c r="AS2" s="1244"/>
      <c r="AT2" s="1244"/>
      <c r="AU2" s="1244"/>
      <c r="AV2" s="1244"/>
      <c r="AW2" s="1244"/>
      <c r="AX2" s="1244"/>
      <c r="AY2" s="1244"/>
      <c r="AZ2" s="1244"/>
      <c r="BA2" s="1244"/>
      <c r="BB2" s="1244"/>
      <c r="BC2" s="1244"/>
      <c r="BD2" s="1244"/>
      <c r="BE2" s="1244"/>
      <c r="BF2" s="1244"/>
      <c r="BG2" s="1244"/>
      <c r="BH2" s="1244"/>
      <c r="BI2" s="1244"/>
      <c r="BJ2" s="1244"/>
      <c r="BK2" s="1244"/>
      <c r="BL2" s="1244"/>
      <c r="BM2" s="1244"/>
      <c r="BN2" s="1244"/>
      <c r="BO2" s="1244"/>
      <c r="BP2" s="1378"/>
      <c r="BQ2" s="1244"/>
    </row>
    <row r="3" spans="1:80" ht="9.75" customHeight="1" x14ac:dyDescent="0.25">
      <c r="A3" s="1685"/>
      <c r="B3" s="1244"/>
      <c r="C3" s="1244"/>
      <c r="D3" s="1244"/>
      <c r="E3" s="1244"/>
      <c r="F3" s="1244"/>
      <c r="G3" s="1244"/>
      <c r="H3" s="1244"/>
      <c r="I3" s="1244"/>
      <c r="J3" s="1244"/>
      <c r="K3" s="1244"/>
      <c r="L3" s="1244"/>
      <c r="M3" s="1244"/>
      <c r="N3" s="1244"/>
      <c r="O3" s="1244"/>
      <c r="P3" s="1244"/>
      <c r="Q3" s="1244"/>
      <c r="R3" s="1244"/>
      <c r="S3" s="1244"/>
      <c r="T3" s="1244"/>
      <c r="U3" s="1244"/>
      <c r="V3" s="1244"/>
      <c r="W3" s="1244"/>
      <c r="X3" s="1244"/>
      <c r="Y3" s="1244"/>
      <c r="Z3" s="1244"/>
      <c r="AA3" s="1244"/>
      <c r="AB3" s="1244"/>
      <c r="AC3" s="1244"/>
      <c r="AD3" s="1244"/>
      <c r="AE3" s="1244"/>
      <c r="AF3" s="1244"/>
      <c r="AG3" s="1244"/>
      <c r="AH3" s="1244"/>
      <c r="AI3" s="1244"/>
      <c r="AJ3" s="1244"/>
      <c r="AK3" s="1244"/>
      <c r="AL3" s="1244"/>
      <c r="AM3" s="1244"/>
      <c r="AN3" s="1244"/>
      <c r="AO3" s="1244"/>
      <c r="AP3" s="1244"/>
      <c r="AQ3" s="1244"/>
      <c r="AR3" s="1244"/>
      <c r="AS3" s="1244"/>
      <c r="AT3" s="1244"/>
      <c r="AU3" s="1244"/>
      <c r="AV3" s="1244"/>
      <c r="AW3" s="1244"/>
      <c r="AX3" s="1244"/>
      <c r="AY3" s="1244"/>
      <c r="AZ3" s="1244"/>
      <c r="BA3" s="1244"/>
      <c r="BB3" s="1244"/>
      <c r="BC3" s="1244"/>
      <c r="BD3" s="1244"/>
      <c r="BE3" s="1244"/>
      <c r="BF3" s="1244"/>
      <c r="BG3" s="1244"/>
      <c r="BH3" s="1244"/>
      <c r="BI3" s="1244"/>
      <c r="BJ3" s="1244"/>
      <c r="BK3" s="1244"/>
      <c r="BL3" s="1244"/>
      <c r="BM3" s="1244"/>
      <c r="BN3" s="1244"/>
      <c r="BO3" s="1244"/>
      <c r="BP3" s="1378"/>
      <c r="BQ3" s="1244"/>
    </row>
    <row r="4" spans="1:80" ht="15" customHeight="1" x14ac:dyDescent="0.3">
      <c r="A4" s="673"/>
      <c r="B4" s="1377" t="s">
        <v>1006</v>
      </c>
      <c r="C4" s="1357"/>
      <c r="D4" s="1357"/>
      <c r="E4" s="1357"/>
      <c r="F4" s="2605" t="s">
        <v>1007</v>
      </c>
      <c r="G4" s="2606"/>
      <c r="H4" s="2606"/>
      <c r="I4" s="2607"/>
      <c r="J4" s="2602" t="s">
        <v>10</v>
      </c>
      <c r="K4" s="2603"/>
      <c r="L4" s="2603"/>
      <c r="M4" s="2604"/>
      <c r="N4" s="2602" t="s">
        <v>1094</v>
      </c>
      <c r="O4" s="2603"/>
      <c r="P4" s="2603"/>
      <c r="Q4" s="2604"/>
      <c r="R4" s="2602" t="s">
        <v>1063</v>
      </c>
      <c r="S4" s="2603"/>
      <c r="T4" s="2603"/>
      <c r="U4" s="2604"/>
      <c r="V4" s="2602" t="s">
        <v>1008</v>
      </c>
      <c r="W4" s="2603"/>
      <c r="X4" s="2603"/>
      <c r="Y4" s="2604"/>
      <c r="Z4" s="2602" t="s">
        <v>172</v>
      </c>
      <c r="AA4" s="2603"/>
      <c r="AB4" s="2603"/>
      <c r="AC4" s="2604"/>
      <c r="AD4" s="2602" t="s">
        <v>1009</v>
      </c>
      <c r="AE4" s="2603"/>
      <c r="AF4" s="2603"/>
      <c r="AG4" s="2604"/>
      <c r="AH4" s="2602" t="s">
        <v>1005</v>
      </c>
      <c r="AI4" s="2603"/>
      <c r="AJ4" s="2603"/>
      <c r="AK4" s="2604"/>
      <c r="AL4" s="1357"/>
      <c r="AM4" s="1357"/>
      <c r="AN4" s="1357"/>
      <c r="AO4" s="1357"/>
      <c r="AP4" s="1357"/>
      <c r="AQ4" s="1357"/>
      <c r="AR4" s="1357"/>
      <c r="AS4" s="1357"/>
      <c r="AT4" s="1357"/>
      <c r="AU4" s="1357"/>
      <c r="AV4" s="1357"/>
      <c r="AW4" s="1357"/>
      <c r="AX4" s="1357"/>
      <c r="AY4" s="1357"/>
      <c r="AZ4" s="1357"/>
      <c r="BA4" s="1357"/>
      <c r="BB4" s="1357"/>
      <c r="BC4" s="1495"/>
      <c r="BD4" s="1496"/>
      <c r="BE4" s="1496"/>
      <c r="BF4" s="1497"/>
      <c r="BG4" s="673"/>
      <c r="BH4" s="673"/>
      <c r="BI4" s="673"/>
      <c r="BJ4" s="673"/>
      <c r="BK4" s="673"/>
      <c r="BL4" s="673"/>
      <c r="BM4" s="673"/>
      <c r="BN4" s="673"/>
      <c r="BO4" s="673"/>
      <c r="BP4" s="1379"/>
      <c r="BQ4" s="673"/>
      <c r="BR4" s="1876"/>
      <c r="BS4" s="1876"/>
      <c r="BT4" s="1876"/>
      <c r="BU4" s="1876"/>
      <c r="BV4" s="1876"/>
      <c r="BW4" s="1876"/>
      <c r="BX4" s="1876"/>
      <c r="BY4" s="1876"/>
      <c r="BZ4" s="1876"/>
      <c r="CA4" s="1876"/>
      <c r="CB4" s="1876"/>
    </row>
    <row r="5" spans="1:80" s="344" customFormat="1" ht="15" customHeight="1" x14ac:dyDescent="0.25">
      <c r="A5" s="1871"/>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row>
    <row r="6" spans="1:80" s="344" customFormat="1" ht="15" customHeight="1" thickBot="1" x14ac:dyDescent="0.3">
      <c r="A6" s="9"/>
      <c r="B6" s="1237" t="s">
        <v>234</v>
      </c>
      <c r="C6" s="1358"/>
      <c r="D6" s="1358"/>
      <c r="E6" s="1358"/>
      <c r="F6" s="1358"/>
      <c r="G6" s="1358"/>
      <c r="H6" s="1358"/>
      <c r="I6" s="1358"/>
      <c r="J6" s="1359"/>
      <c r="K6" s="1358"/>
      <c r="L6" s="1358"/>
      <c r="M6" s="1358"/>
      <c r="N6" s="1358"/>
      <c r="O6" s="1358"/>
      <c r="P6" s="1358"/>
      <c r="Q6" s="1358"/>
      <c r="R6" s="1358"/>
      <c r="S6" s="1359"/>
      <c r="T6" s="1359"/>
      <c r="U6" s="1359"/>
      <c r="V6" s="1359"/>
      <c r="W6" s="1359"/>
      <c r="X6" s="1359"/>
      <c r="Y6" s="1359"/>
      <c r="Z6" s="1359"/>
      <c r="AA6" s="1359"/>
      <c r="AB6" s="1359"/>
      <c r="AC6" s="1359"/>
      <c r="AD6" s="1359"/>
      <c r="AE6" s="1359"/>
      <c r="AF6" s="1359"/>
      <c r="AG6" s="1359"/>
      <c r="AH6" s="1359"/>
      <c r="AI6" s="1359"/>
      <c r="AJ6" s="1359"/>
      <c r="AK6" s="9"/>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row>
    <row r="7" spans="1:80" s="345" customFormat="1" ht="15" customHeight="1" thickTop="1" x14ac:dyDescent="0.25">
      <c r="A7" s="100"/>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9"/>
      <c r="AL7" s="344"/>
      <c r="AM7" s="344"/>
      <c r="AN7" s="344"/>
      <c r="AO7" s="344"/>
      <c r="AP7" s="344"/>
      <c r="AQ7" s="344"/>
      <c r="AR7" s="344"/>
      <c r="AS7" s="344"/>
      <c r="AT7" s="344"/>
      <c r="AU7" s="344"/>
      <c r="AV7" s="344"/>
      <c r="AW7" s="344"/>
      <c r="AX7" s="344"/>
      <c r="AY7" s="344"/>
      <c r="AZ7" s="344"/>
      <c r="BA7" s="344"/>
      <c r="BB7" s="344"/>
      <c r="BC7" s="344"/>
      <c r="BD7" s="344"/>
      <c r="BE7" s="344"/>
      <c r="BF7" s="344"/>
      <c r="BG7" s="344"/>
      <c r="BH7" s="344"/>
      <c r="BI7" s="344"/>
      <c r="BJ7" s="344"/>
      <c r="BK7" s="344"/>
      <c r="BL7" s="344"/>
      <c r="BM7" s="344"/>
      <c r="BN7" s="344"/>
      <c r="BO7" s="344"/>
      <c r="BP7" s="344"/>
      <c r="BQ7" s="344"/>
      <c r="BR7" s="344"/>
      <c r="BS7" s="344"/>
      <c r="BT7" s="344"/>
      <c r="BU7" s="344"/>
      <c r="BV7" s="344"/>
      <c r="BW7" s="344"/>
      <c r="BX7" s="344"/>
      <c r="BY7" s="344"/>
      <c r="BZ7" s="344"/>
      <c r="CA7" s="344"/>
      <c r="CB7" s="344"/>
    </row>
    <row r="8" spans="1:80" s="346" customFormat="1" ht="15" customHeight="1" x14ac:dyDescent="0.25">
      <c r="A8" s="100"/>
      <c r="B8" s="32" t="s">
        <v>731</v>
      </c>
      <c r="C8" s="32"/>
      <c r="D8" s="32"/>
      <c r="E8" s="32"/>
      <c r="F8" s="32"/>
      <c r="G8" s="32"/>
      <c r="H8" s="32"/>
      <c r="I8" s="32"/>
      <c r="J8" s="33"/>
      <c r="K8" s="100"/>
      <c r="L8" s="42"/>
      <c r="M8" s="100"/>
      <c r="N8" s="100"/>
      <c r="O8" s="42"/>
      <c r="P8" s="42"/>
      <c r="Q8" s="42" t="str">
        <f>IFERROR(DASHBOARD!K12,"")</f>
        <v>WinsWithMike.com</v>
      </c>
      <c r="R8" s="42"/>
      <c r="S8" s="42"/>
      <c r="T8" s="34"/>
      <c r="U8" s="34"/>
      <c r="V8" s="34"/>
      <c r="W8" s="34"/>
      <c r="X8" s="34"/>
      <c r="Y8" s="32" t="str">
        <f>"MLS Number : "&amp;DASHBOARD!K17</f>
        <v xml:space="preserve">MLS Number : </v>
      </c>
      <c r="Z8" s="36"/>
      <c r="AA8" s="34"/>
      <c r="AB8" s="34"/>
      <c r="AC8" s="34"/>
      <c r="AD8" s="34"/>
      <c r="AE8" s="34"/>
      <c r="AF8" s="34"/>
      <c r="AG8" s="34"/>
      <c r="AH8" s="34"/>
      <c r="AI8" s="34"/>
      <c r="AJ8" s="34"/>
      <c r="AK8" s="9"/>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5"/>
      <c r="BS8" s="345"/>
      <c r="BT8" s="345"/>
      <c r="BU8" s="345"/>
      <c r="BV8" s="345"/>
      <c r="BW8" s="345"/>
      <c r="BX8" s="345"/>
      <c r="BY8" s="345"/>
      <c r="BZ8" s="345"/>
      <c r="CA8" s="345"/>
      <c r="CB8" s="345"/>
    </row>
    <row r="9" spans="1:80" s="344" customFormat="1" ht="15" customHeight="1" x14ac:dyDescent="0.25">
      <c r="A9" s="194"/>
      <c r="B9" s="35" t="str">
        <f>DASHBOARD!K13&amp;" "&amp;DASHBOARD!K14</f>
        <v xml:space="preserve"> Nampa</v>
      </c>
      <c r="C9" s="35"/>
      <c r="D9" s="35"/>
      <c r="E9" s="35"/>
      <c r="F9" s="35"/>
      <c r="G9" s="35"/>
      <c r="H9" s="35"/>
      <c r="I9" s="35"/>
      <c r="J9" s="33"/>
      <c r="K9" s="194"/>
      <c r="L9" s="33"/>
      <c r="M9" s="100"/>
      <c r="N9" s="100"/>
      <c r="O9" s="33"/>
      <c r="P9" s="33"/>
      <c r="Q9" s="33" t="s">
        <v>96</v>
      </c>
      <c r="R9" s="33"/>
      <c r="S9" s="33"/>
      <c r="T9" s="34"/>
      <c r="U9" s="34"/>
      <c r="V9" s="34"/>
      <c r="W9" s="34"/>
      <c r="X9" s="34"/>
      <c r="Y9" s="35" t="str">
        <f>"Surface Area: "&amp;DASHBOARD!K20&amp;" ft²"</f>
        <v>Surface Area: 1420 ft²</v>
      </c>
      <c r="Z9" s="36"/>
      <c r="AA9" s="34"/>
      <c r="AB9" s="34"/>
      <c r="AC9" s="34"/>
      <c r="AD9" s="34"/>
      <c r="AE9" s="34"/>
      <c r="AF9" s="34"/>
      <c r="AG9" s="34"/>
      <c r="AH9" s="34"/>
      <c r="AI9" s="34"/>
      <c r="AJ9" s="34"/>
      <c r="AK9" s="194"/>
      <c r="AL9" s="345"/>
      <c r="AM9" s="345"/>
      <c r="AN9" s="345"/>
      <c r="AO9" s="345"/>
      <c r="AP9" s="345"/>
      <c r="AQ9" s="345"/>
      <c r="AR9" s="345"/>
      <c r="AS9" s="345"/>
      <c r="AT9" s="345"/>
      <c r="AU9" s="345"/>
      <c r="AV9" s="345"/>
      <c r="AW9" s="345"/>
      <c r="AX9" s="345"/>
      <c r="AY9" s="345"/>
      <c r="AZ9" s="345"/>
      <c r="BA9" s="345"/>
      <c r="BB9" s="345"/>
      <c r="BC9" s="345"/>
      <c r="BD9" s="345"/>
      <c r="BE9" s="345"/>
      <c r="BF9" s="345"/>
      <c r="BG9" s="345"/>
      <c r="BH9" s="345"/>
      <c r="BI9" s="345"/>
      <c r="BJ9" s="345"/>
      <c r="BK9" s="345"/>
      <c r="BL9" s="345"/>
      <c r="BM9" s="345"/>
      <c r="BN9" s="345"/>
      <c r="BO9" s="345"/>
      <c r="BP9" s="345"/>
      <c r="BQ9" s="345"/>
      <c r="BR9" s="346"/>
      <c r="BS9" s="346"/>
      <c r="BT9" s="346"/>
      <c r="BU9" s="346"/>
      <c r="BV9" s="346"/>
      <c r="BW9" s="346"/>
      <c r="BX9" s="346"/>
      <c r="BY9" s="346"/>
      <c r="BZ9" s="346"/>
      <c r="CA9" s="346"/>
      <c r="CB9" s="346"/>
    </row>
    <row r="10" spans="1:80" s="344" customFormat="1" ht="15" customHeight="1" x14ac:dyDescent="0.25">
      <c r="A10" s="117"/>
      <c r="B10" s="35" t="str">
        <f>DASHBOARD!K15&amp;" - "&amp;DASHBOARD!K16</f>
        <v xml:space="preserve">Idaho - </v>
      </c>
      <c r="C10" s="35"/>
      <c r="D10" s="35"/>
      <c r="E10" s="35"/>
      <c r="F10" s="35"/>
      <c r="G10" s="35"/>
      <c r="H10" s="35"/>
      <c r="I10" s="35"/>
      <c r="J10" s="33"/>
      <c r="K10" s="117"/>
      <c r="L10" s="33"/>
      <c r="M10" s="100"/>
      <c r="N10" s="100"/>
      <c r="O10" s="2608">
        <f ca="1">TODAY()</f>
        <v>45920</v>
      </c>
      <c r="P10" s="2608"/>
      <c r="Q10" s="2608"/>
      <c r="R10" s="2608"/>
      <c r="S10" s="2608"/>
      <c r="T10" s="34"/>
      <c r="U10" s="34"/>
      <c r="V10" s="34"/>
      <c r="W10" s="34"/>
      <c r="X10" s="34"/>
      <c r="Y10" s="35" t="str">
        <f>DASHBOARD!K21&amp;" Bedroom(s) / "&amp;DASHBOARD!K22&amp;" Bathroom(s)"</f>
        <v>3 Bedroom(s) / 3 Bathroom(s)</v>
      </c>
      <c r="Z10" s="36"/>
      <c r="AA10" s="34"/>
      <c r="AB10" s="34"/>
      <c r="AC10" s="34"/>
      <c r="AD10" s="34"/>
      <c r="AE10" s="34"/>
      <c r="AF10" s="34"/>
      <c r="AG10" s="34"/>
      <c r="AH10" s="34"/>
      <c r="AI10" s="34"/>
      <c r="AJ10" s="34"/>
      <c r="AK10" s="9"/>
      <c r="AL10" s="346"/>
      <c r="AM10" s="346"/>
      <c r="AN10" s="346"/>
      <c r="AO10" s="346"/>
      <c r="AP10" s="346"/>
      <c r="AQ10" s="346"/>
      <c r="AR10" s="346"/>
      <c r="AS10" s="346"/>
      <c r="AT10" s="346"/>
      <c r="AU10" s="346"/>
      <c r="AV10" s="346"/>
      <c r="AW10" s="346"/>
      <c r="AX10" s="346"/>
      <c r="AY10" s="346"/>
      <c r="AZ10" s="346"/>
      <c r="BA10" s="346"/>
      <c r="BB10" s="346"/>
      <c r="BC10" s="346"/>
      <c r="BD10" s="346"/>
      <c r="BE10" s="346"/>
      <c r="BF10" s="346"/>
      <c r="BG10" s="346"/>
      <c r="BH10" s="346"/>
      <c r="BI10" s="346"/>
      <c r="BJ10" s="346"/>
      <c r="BK10" s="346"/>
      <c r="BL10" s="346"/>
      <c r="BM10" s="346"/>
      <c r="BN10" s="346"/>
      <c r="BO10" s="346"/>
      <c r="BP10" s="346"/>
      <c r="BQ10" s="346"/>
    </row>
    <row r="11" spans="1:80" s="344" customFormat="1" ht="15" customHeight="1" x14ac:dyDescent="0.25">
      <c r="A11" s="100"/>
      <c r="B11" s="33"/>
      <c r="C11" s="33"/>
      <c r="D11" s="33"/>
      <c r="E11" s="33"/>
      <c r="F11" s="33"/>
      <c r="G11" s="33"/>
      <c r="H11" s="33"/>
      <c r="I11" s="33"/>
      <c r="J11" s="33"/>
      <c r="K11" s="100"/>
      <c r="L11" s="100"/>
      <c r="M11" s="33"/>
      <c r="N11" s="33"/>
      <c r="O11" s="33"/>
      <c r="P11" s="33"/>
      <c r="Q11" s="33"/>
      <c r="R11" s="100"/>
      <c r="S11" s="33"/>
      <c r="T11" s="34"/>
      <c r="U11" s="34"/>
      <c r="V11" s="34"/>
      <c r="W11" s="34"/>
      <c r="X11" s="34"/>
      <c r="Y11" s="35" t="str">
        <f>"Built : "&amp;DASHBOARD!$K$23&amp;" / Renovated : "&amp;DASHBOARD!$K$24</f>
        <v>Built : 2008 / Renovated : 2018</v>
      </c>
      <c r="Z11" s="36"/>
      <c r="AA11" s="34"/>
      <c r="AB11" s="34"/>
      <c r="AC11" s="34"/>
      <c r="AD11" s="34"/>
      <c r="AE11" s="34"/>
      <c r="AF11" s="34"/>
      <c r="AG11" s="34"/>
      <c r="AH11" s="34"/>
      <c r="AI11" s="34"/>
      <c r="AJ11" s="34"/>
      <c r="AK11" s="9"/>
    </row>
    <row r="12" spans="1:80" s="344" customFormat="1" ht="15" customHeight="1" x14ac:dyDescent="0.25">
      <c r="A12" s="100"/>
      <c r="B12" s="36"/>
      <c r="C12" s="36"/>
      <c r="D12" s="36"/>
      <c r="E12" s="36"/>
      <c r="F12" s="36"/>
      <c r="G12" s="36"/>
      <c r="H12" s="36"/>
      <c r="I12" s="36"/>
      <c r="J12" s="33"/>
      <c r="K12" s="100"/>
      <c r="L12" s="33"/>
      <c r="M12" s="33"/>
      <c r="N12" s="33"/>
      <c r="O12" s="33"/>
      <c r="P12" s="33"/>
      <c r="Q12" s="33"/>
      <c r="R12" s="33"/>
      <c r="S12" s="33"/>
      <c r="T12" s="34"/>
      <c r="U12" s="34"/>
      <c r="V12" s="34"/>
      <c r="W12" s="34"/>
      <c r="X12" s="34"/>
      <c r="Y12" s="34"/>
      <c r="Z12" s="34"/>
      <c r="AA12" s="34"/>
      <c r="AB12" s="34"/>
      <c r="AC12" s="34"/>
      <c r="AD12" s="34"/>
      <c r="AE12" s="34"/>
      <c r="AF12" s="34"/>
      <c r="AG12" s="34"/>
      <c r="AH12" s="34"/>
      <c r="AI12" s="34"/>
      <c r="AJ12" s="34"/>
      <c r="AK12" s="9"/>
    </row>
    <row r="13" spans="1:80" s="344" customFormat="1" ht="15" customHeight="1" x14ac:dyDescent="0.25">
      <c r="A13" s="118"/>
      <c r="B13" s="1500" t="s">
        <v>235</v>
      </c>
      <c r="C13" s="1500"/>
      <c r="D13" s="1500"/>
      <c r="E13" s="1500"/>
      <c r="F13" s="1500"/>
      <c r="G13" s="1500"/>
      <c r="H13" s="1500"/>
      <c r="I13" s="1500"/>
      <c r="J13" s="1500"/>
      <c r="K13" s="1500"/>
      <c r="L13" s="1500"/>
      <c r="M13" s="1500"/>
      <c r="N13" s="1500"/>
      <c r="O13" s="1500"/>
      <c r="P13" s="1500"/>
      <c r="Q13" s="1500"/>
      <c r="R13" s="1500"/>
      <c r="S13" s="1500"/>
      <c r="T13" s="1500"/>
      <c r="U13" s="1500"/>
      <c r="V13" s="1500"/>
      <c r="W13" s="1500"/>
      <c r="X13" s="1500"/>
      <c r="Y13" s="1500"/>
      <c r="Z13" s="1500"/>
      <c r="AA13" s="1500"/>
      <c r="AB13" s="1500"/>
      <c r="AC13" s="1500"/>
      <c r="AD13" s="1500"/>
      <c r="AE13" s="1500"/>
      <c r="AF13" s="1500"/>
      <c r="AG13" s="1500"/>
      <c r="AH13" s="1500"/>
      <c r="AI13" s="1500"/>
      <c r="AJ13" s="1500"/>
      <c r="AK13" s="19"/>
    </row>
    <row r="14" spans="1:80" s="344" customFormat="1" ht="15" customHeight="1" x14ac:dyDescent="0.25">
      <c r="A14" s="100"/>
      <c r="B14" s="33"/>
      <c r="C14" s="33"/>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9"/>
    </row>
    <row r="15" spans="1:80" s="344" customFormat="1" ht="15" customHeight="1" x14ac:dyDescent="0.25">
      <c r="A15" s="100"/>
      <c r="B15" s="2609" t="s">
        <v>214</v>
      </c>
      <c r="C15" s="2609"/>
      <c r="D15" s="2609"/>
      <c r="E15" s="2609"/>
      <c r="F15" s="2609"/>
      <c r="G15" s="2609"/>
      <c r="H15" s="2609"/>
      <c r="I15" s="2609"/>
      <c r="J15" s="37"/>
      <c r="K15" s="2609" t="s">
        <v>98</v>
      </c>
      <c r="L15" s="2609"/>
      <c r="M15" s="2609"/>
      <c r="N15" s="2609"/>
      <c r="O15" s="2609"/>
      <c r="P15" s="2609"/>
      <c r="Q15" s="2609"/>
      <c r="R15" s="2609"/>
      <c r="S15" s="37"/>
      <c r="T15" s="2609" t="str">
        <f>IF(DASHBOARD!K90&gt;0,"DEBT SERVICE (IOP)","DEBTSERVICE")</f>
        <v>DEBTSERVICE</v>
      </c>
      <c r="U15" s="2609"/>
      <c r="V15" s="2609"/>
      <c r="W15" s="2609"/>
      <c r="X15" s="2609"/>
      <c r="Y15" s="2609"/>
      <c r="Z15" s="2609"/>
      <c r="AA15" s="2609"/>
      <c r="AB15" s="37"/>
      <c r="AC15" s="2609" t="s">
        <v>97</v>
      </c>
      <c r="AD15" s="2609"/>
      <c r="AE15" s="2609"/>
      <c r="AF15" s="2609"/>
      <c r="AG15" s="2609"/>
      <c r="AH15" s="2609"/>
      <c r="AI15" s="2609"/>
      <c r="AJ15" s="2609"/>
      <c r="AK15" s="9"/>
    </row>
    <row r="16" spans="1:80" s="344" customFormat="1" ht="15" customHeight="1" x14ac:dyDescent="0.25">
      <c r="A16" s="100"/>
      <c r="B16" s="2610">
        <f>IFERROR(DASHBOARD!BM192+DASHBOARD!BM194+DASHBOARD!BM195,0)</f>
        <v>0</v>
      </c>
      <c r="C16" s="2610"/>
      <c r="D16" s="2610"/>
      <c r="E16" s="2610"/>
      <c r="F16" s="2610"/>
      <c r="G16" s="2610"/>
      <c r="H16" s="2610"/>
      <c r="I16" s="2610"/>
      <c r="J16" s="187"/>
      <c r="K16" s="2610">
        <f>-DASHBOARD!K245-DASHBOARD!K248</f>
        <v>0</v>
      </c>
      <c r="L16" s="2610"/>
      <c r="M16" s="2610"/>
      <c r="N16" s="2610"/>
      <c r="O16" s="2610"/>
      <c r="P16" s="2610"/>
      <c r="Q16" s="2610"/>
      <c r="R16" s="2610"/>
      <c r="S16" s="187"/>
      <c r="T16" s="2610">
        <f>-DASHBOARD!K249</f>
        <v>0</v>
      </c>
      <c r="U16" s="2610"/>
      <c r="V16" s="2610"/>
      <c r="W16" s="2610"/>
      <c r="X16" s="2610"/>
      <c r="Y16" s="2610"/>
      <c r="Z16" s="2610"/>
      <c r="AA16" s="2610"/>
      <c r="AB16" s="187"/>
      <c r="AC16" s="2610">
        <f>DASHBOARD!K251</f>
        <v>0</v>
      </c>
      <c r="AD16" s="2610"/>
      <c r="AE16" s="2610"/>
      <c r="AF16" s="2610"/>
      <c r="AG16" s="2610"/>
      <c r="AH16" s="2610"/>
      <c r="AI16" s="2610"/>
      <c r="AJ16" s="2610"/>
      <c r="AK16" s="9"/>
    </row>
    <row r="17" spans="1:80" s="344" customFormat="1" ht="15" customHeight="1" x14ac:dyDescent="0.25">
      <c r="A17" s="100"/>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9"/>
    </row>
    <row r="18" spans="1:80" s="349" customFormat="1" ht="15" customHeight="1" x14ac:dyDescent="0.3">
      <c r="A18" s="100"/>
      <c r="B18" s="2611" t="s">
        <v>99</v>
      </c>
      <c r="C18" s="2611"/>
      <c r="D18" s="2611"/>
      <c r="E18" s="2611"/>
      <c r="F18" s="2611"/>
      <c r="G18" s="2611"/>
      <c r="H18" s="2611"/>
      <c r="I18" s="2611"/>
      <c r="J18" s="38"/>
      <c r="K18" s="2611" t="s">
        <v>102</v>
      </c>
      <c r="L18" s="2611"/>
      <c r="M18" s="2611"/>
      <c r="N18" s="2611"/>
      <c r="O18" s="2611"/>
      <c r="P18" s="2611"/>
      <c r="Q18" s="2611"/>
      <c r="R18" s="2611"/>
      <c r="S18" s="38"/>
      <c r="T18" s="2611" t="s">
        <v>100</v>
      </c>
      <c r="U18" s="2611"/>
      <c r="V18" s="2611"/>
      <c r="W18" s="2611"/>
      <c r="X18" s="2611"/>
      <c r="Y18" s="2611"/>
      <c r="Z18" s="2611"/>
      <c r="AA18" s="2611"/>
      <c r="AB18" s="38"/>
      <c r="AC18" s="2611" t="s">
        <v>101</v>
      </c>
      <c r="AD18" s="2611"/>
      <c r="AE18" s="2611"/>
      <c r="AF18" s="2611"/>
      <c r="AG18" s="2611"/>
      <c r="AH18" s="2611"/>
      <c r="AI18" s="2611"/>
      <c r="AJ18" s="2611"/>
      <c r="AK18" s="9"/>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row>
    <row r="19" spans="1:80" s="344" customFormat="1" ht="15" customHeight="1" x14ac:dyDescent="0.3">
      <c r="A19" s="100"/>
      <c r="B19" s="2615">
        <f>DASHBOARD!K246</f>
        <v>0</v>
      </c>
      <c r="C19" s="2615"/>
      <c r="D19" s="2615"/>
      <c r="E19" s="2615"/>
      <c r="F19" s="2615"/>
      <c r="G19" s="2615"/>
      <c r="H19" s="2615"/>
      <c r="I19" s="2615"/>
      <c r="J19" s="39"/>
      <c r="K19" s="2617" t="str">
        <f>DASHBOARD!AI248</f>
        <v>n.a</v>
      </c>
      <c r="L19" s="2617"/>
      <c r="M19" s="2617"/>
      <c r="N19" s="2617"/>
      <c r="O19" s="2617"/>
      <c r="P19" s="2617"/>
      <c r="Q19" s="2617"/>
      <c r="R19" s="2617"/>
      <c r="S19" s="39"/>
      <c r="T19" s="2613">
        <f>DASHBOARD!$AA$245</f>
        <v>0</v>
      </c>
      <c r="U19" s="2613"/>
      <c r="V19" s="2613"/>
      <c r="W19" s="2613"/>
      <c r="X19" s="2613"/>
      <c r="Y19" s="2613"/>
      <c r="Z19" s="2613"/>
      <c r="AA19" s="2613"/>
      <c r="AB19" s="39"/>
      <c r="AC19" s="2613">
        <f>DASHBOARD!AI245</f>
        <v>0</v>
      </c>
      <c r="AD19" s="2613"/>
      <c r="AE19" s="2613"/>
      <c r="AF19" s="2613"/>
      <c r="AG19" s="2613"/>
      <c r="AH19" s="2613"/>
      <c r="AI19" s="2613"/>
      <c r="AJ19" s="2613"/>
      <c r="AK19" s="9"/>
      <c r="BR19" s="349"/>
      <c r="BS19" s="349"/>
      <c r="BT19" s="349"/>
      <c r="BU19" s="349"/>
      <c r="BV19" s="349"/>
      <c r="BW19" s="349"/>
      <c r="BX19" s="349"/>
      <c r="BY19" s="349"/>
      <c r="BZ19" s="349"/>
      <c r="CA19" s="349"/>
      <c r="CB19" s="349"/>
    </row>
    <row r="20" spans="1:80" ht="15" customHeight="1" x14ac:dyDescent="0.3">
      <c r="A20" s="196"/>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9"/>
      <c r="AL20" s="349"/>
      <c r="AM20" s="349"/>
      <c r="AN20" s="349"/>
      <c r="AO20" s="349"/>
      <c r="AP20" s="349"/>
      <c r="AQ20" s="349"/>
      <c r="AR20" s="349"/>
      <c r="AS20" s="349"/>
      <c r="AT20" s="349"/>
      <c r="AU20" s="349"/>
      <c r="AV20" s="349"/>
      <c r="AW20" s="349"/>
      <c r="AX20" s="349"/>
      <c r="AY20" s="349"/>
      <c r="AZ20" s="349"/>
      <c r="BA20" s="349"/>
      <c r="BB20" s="349"/>
      <c r="BC20" s="349"/>
      <c r="BD20" s="349"/>
      <c r="BE20" s="349"/>
      <c r="BF20" s="349"/>
      <c r="BG20" s="349"/>
      <c r="BH20" s="349"/>
      <c r="BI20" s="349"/>
      <c r="BJ20" s="349"/>
      <c r="BK20" s="349"/>
      <c r="BL20" s="349"/>
      <c r="BM20" s="349"/>
      <c r="BN20" s="349"/>
      <c r="BO20" s="349"/>
      <c r="BP20" s="349"/>
      <c r="BQ20" s="349"/>
      <c r="BR20" s="344"/>
      <c r="BS20" s="344"/>
      <c r="BT20" s="344"/>
      <c r="BU20" s="344"/>
      <c r="BV20" s="344"/>
      <c r="BW20" s="344"/>
      <c r="BX20" s="344"/>
      <c r="BY20" s="344"/>
      <c r="BZ20" s="344"/>
      <c r="CA20" s="344"/>
      <c r="CB20" s="344"/>
    </row>
    <row r="21" spans="1:80" ht="15" customHeight="1" x14ac:dyDescent="0.25">
      <c r="A21" s="100"/>
      <c r="B21" s="2614" t="s">
        <v>103</v>
      </c>
      <c r="C21" s="2614"/>
      <c r="D21" s="2614"/>
      <c r="E21" s="2614"/>
      <c r="F21" s="2614"/>
      <c r="G21" s="2614"/>
      <c r="H21" s="2614"/>
      <c r="I21" s="2614"/>
      <c r="J21" s="40"/>
      <c r="K21" s="2614" t="s">
        <v>104</v>
      </c>
      <c r="L21" s="2614"/>
      <c r="M21" s="2614"/>
      <c r="N21" s="2614"/>
      <c r="O21" s="2614"/>
      <c r="P21" s="2614"/>
      <c r="Q21" s="2614"/>
      <c r="R21" s="2614"/>
      <c r="S21" s="40"/>
      <c r="T21" s="2614" t="s">
        <v>105</v>
      </c>
      <c r="U21" s="2614"/>
      <c r="V21" s="2614"/>
      <c r="W21" s="2614"/>
      <c r="X21" s="2614"/>
      <c r="Y21" s="2614"/>
      <c r="Z21" s="2614"/>
      <c r="AA21" s="2614"/>
      <c r="AB21" s="40"/>
      <c r="AC21" s="2614" t="s">
        <v>106</v>
      </c>
      <c r="AD21" s="2614"/>
      <c r="AE21" s="2614"/>
      <c r="AF21" s="2614"/>
      <c r="AG21" s="2614"/>
      <c r="AH21" s="2614"/>
      <c r="AI21" s="2614"/>
      <c r="AJ21" s="2614"/>
      <c r="AK21" s="9"/>
      <c r="AL21" s="344"/>
      <c r="AM21" s="344"/>
      <c r="AN21" s="344"/>
      <c r="AO21" s="344"/>
      <c r="AP21" s="344"/>
      <c r="AQ21" s="344"/>
      <c r="AR21" s="344"/>
      <c r="AS21" s="344"/>
      <c r="AT21" s="344"/>
      <c r="AU21" s="344"/>
      <c r="AV21" s="344"/>
      <c r="AW21" s="344"/>
      <c r="AX21" s="344"/>
      <c r="AY21" s="344"/>
      <c r="AZ21" s="344"/>
      <c r="BA21" s="344"/>
      <c r="BB21" s="344"/>
      <c r="BC21" s="344"/>
      <c r="BD21" s="344"/>
      <c r="BE21" s="344"/>
      <c r="BF21" s="344"/>
      <c r="BG21" s="344"/>
      <c r="BH21" s="344"/>
      <c r="BI21" s="344"/>
      <c r="BJ21" s="344"/>
      <c r="BK21" s="344"/>
      <c r="BL21" s="344"/>
      <c r="BM21" s="344"/>
      <c r="BN21" s="344"/>
      <c r="BO21" s="344"/>
      <c r="BP21" s="344"/>
      <c r="BQ21" s="344"/>
    </row>
    <row r="22" spans="1:80" ht="15" customHeight="1" x14ac:dyDescent="0.25">
      <c r="A22" s="9"/>
      <c r="B22" s="2616" t="str">
        <f>FORECASTS!$U$3</f>
        <v>n.a</v>
      </c>
      <c r="C22" s="2616"/>
      <c r="D22" s="2616"/>
      <c r="E22" s="2616"/>
      <c r="F22" s="2616"/>
      <c r="G22" s="2616"/>
      <c r="H22" s="2616"/>
      <c r="I22" s="2616"/>
      <c r="J22" s="41"/>
      <c r="K22" s="2618">
        <f ca="1">FORECASTS!W3</f>
        <v>31.383204884537385</v>
      </c>
      <c r="L22" s="2618"/>
      <c r="M22" s="2618"/>
      <c r="N22" s="2618"/>
      <c r="O22" s="2618"/>
      <c r="P22" s="2618"/>
      <c r="Q22" s="2618"/>
      <c r="R22" s="2618"/>
      <c r="S22" s="41"/>
      <c r="T22" s="2624">
        <f>FORECASTS!Y3</f>
        <v>32.383204884537385</v>
      </c>
      <c r="U22" s="2624"/>
      <c r="V22" s="2624"/>
      <c r="W22" s="2624"/>
      <c r="X22" s="2624"/>
      <c r="Y22" s="2624"/>
      <c r="Z22" s="2624"/>
      <c r="AA22" s="2624"/>
      <c r="AB22" s="41"/>
      <c r="AC22" s="2612">
        <f>FORECASTS!AA3</f>
        <v>221231.06510901553</v>
      </c>
      <c r="AD22" s="2612"/>
      <c r="AE22" s="2612"/>
      <c r="AF22" s="2612"/>
      <c r="AG22" s="2612"/>
      <c r="AH22" s="2612"/>
      <c r="AI22" s="2612"/>
      <c r="AJ22" s="2612"/>
      <c r="AK22" s="9"/>
    </row>
    <row r="23" spans="1:80" ht="15" customHeight="1" x14ac:dyDescent="0.25">
      <c r="A23" s="9"/>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9"/>
    </row>
    <row r="24" spans="1:80" ht="15" customHeight="1" x14ac:dyDescent="0.25">
      <c r="A24" s="9"/>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row>
    <row r="25" spans="1:80" ht="15" customHeight="1" x14ac:dyDescent="0.25">
      <c r="A25" s="9"/>
      <c r="B25" s="1500" t="s">
        <v>111</v>
      </c>
      <c r="C25" s="1500"/>
      <c r="D25" s="1500"/>
      <c r="E25" s="1500"/>
      <c r="F25" s="1500"/>
      <c r="G25" s="1500"/>
      <c r="H25" s="1500"/>
      <c r="I25" s="1500"/>
      <c r="J25" s="1500"/>
      <c r="K25" s="1500"/>
      <c r="L25" s="1500"/>
      <c r="M25" s="1500"/>
      <c r="N25" s="1500"/>
      <c r="O25" s="1500"/>
      <c r="P25" s="1500"/>
      <c r="Q25" s="24"/>
      <c r="R25" s="1500" t="s">
        <v>107</v>
      </c>
      <c r="S25" s="1500"/>
      <c r="T25" s="1500"/>
      <c r="U25" s="1500"/>
      <c r="V25" s="1500"/>
      <c r="W25" s="1500"/>
      <c r="X25" s="1500"/>
      <c r="Y25" s="1500"/>
      <c r="Z25" s="1500"/>
      <c r="AA25" s="1500"/>
      <c r="AB25" s="1500"/>
      <c r="AC25" s="1500"/>
      <c r="AD25" s="1500"/>
      <c r="AE25" s="1500"/>
      <c r="AF25" s="1500"/>
      <c r="AG25" s="1500"/>
      <c r="AH25" s="1500"/>
      <c r="AI25" s="1500"/>
      <c r="AJ25" s="1500"/>
      <c r="AK25" s="23"/>
    </row>
    <row r="26" spans="1:80" s="350" customFormat="1" ht="15" customHeight="1" x14ac:dyDescent="0.25">
      <c r="A26" s="9"/>
      <c r="B26" s="22"/>
      <c r="C26" s="22"/>
      <c r="D26" s="22"/>
      <c r="E26" s="22"/>
      <c r="F26" s="22"/>
      <c r="G26" s="22"/>
      <c r="H26" s="22"/>
      <c r="I26" s="22"/>
      <c r="J26" s="22"/>
      <c r="K26" s="22"/>
      <c r="L26" s="22"/>
      <c r="M26" s="22"/>
      <c r="N26" s="22"/>
      <c r="O26" s="22"/>
      <c r="P26" s="22"/>
      <c r="Q26" s="24"/>
      <c r="R26" s="22"/>
      <c r="S26" s="22"/>
      <c r="T26" s="22"/>
      <c r="U26" s="22"/>
      <c r="V26" s="22"/>
      <c r="W26" s="22"/>
      <c r="X26" s="22"/>
      <c r="Y26" s="22"/>
      <c r="Z26" s="22"/>
      <c r="AA26" s="2631" t="s">
        <v>521</v>
      </c>
      <c r="AB26" s="2631"/>
      <c r="AC26" s="2631"/>
      <c r="AD26" s="2631"/>
      <c r="AE26" s="2631"/>
      <c r="AF26" s="2631" t="s">
        <v>485</v>
      </c>
      <c r="AG26" s="2631"/>
      <c r="AH26" s="2631"/>
      <c r="AI26" s="2631"/>
      <c r="AJ26" s="2631"/>
      <c r="AK26" s="23"/>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row>
    <row r="27" spans="1:80" s="350" customFormat="1" ht="15" customHeight="1" x14ac:dyDescent="0.25">
      <c r="A27" s="9"/>
      <c r="B27" s="44" t="str">
        <f>DASHBOARD!V12</f>
        <v>Purchase Price (PP) :</v>
      </c>
      <c r="C27" s="44"/>
      <c r="D27" s="44"/>
      <c r="E27" s="44"/>
      <c r="F27" s="44"/>
      <c r="G27" s="44"/>
      <c r="H27" s="44"/>
      <c r="I27" s="44"/>
      <c r="J27" s="44"/>
      <c r="K27" s="44"/>
      <c r="L27" s="2625">
        <f>DASHBOARD!D27</f>
        <v>116000</v>
      </c>
      <c r="M27" s="2625"/>
      <c r="N27" s="2625"/>
      <c r="O27" s="2625"/>
      <c r="P27" s="2625"/>
      <c r="Q27" s="24"/>
      <c r="R27" s="44" t="str">
        <f>"Down Payment ("&amp;DASHBOARD!K80*100&amp;"%) :"</f>
        <v>Down Payment (3%) :</v>
      </c>
      <c r="S27" s="44"/>
      <c r="T27" s="44"/>
      <c r="U27" s="44"/>
      <c r="V27" s="44"/>
      <c r="W27" s="44"/>
      <c r="X27" s="44"/>
      <c r="Y27" s="44"/>
      <c r="Z27" s="44"/>
      <c r="AA27" s="2625">
        <f>DASHBOARD!O80</f>
        <v>3480</v>
      </c>
      <c r="AB27" s="2625"/>
      <c r="AC27" s="2625"/>
      <c r="AD27" s="2625"/>
      <c r="AE27" s="2625"/>
      <c r="AF27" s="2625">
        <f>DASHBOARD!AZ103*active_refi</f>
        <v>0</v>
      </c>
      <c r="AG27" s="2625"/>
      <c r="AH27" s="2625"/>
      <c r="AI27" s="2625"/>
      <c r="AJ27" s="2625"/>
      <c r="AK27" s="23"/>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row>
    <row r="28" spans="1:80" s="350" customFormat="1" ht="15" customHeight="1" x14ac:dyDescent="0.25">
      <c r="A28" s="9"/>
      <c r="B28" s="44" t="str">
        <f>DASHBOARD!V13</f>
        <v>Refurbishment / Repair Costs :</v>
      </c>
      <c r="C28" s="44"/>
      <c r="D28" s="44"/>
      <c r="E28" s="44"/>
      <c r="F28" s="44"/>
      <c r="G28" s="44"/>
      <c r="H28" s="44"/>
      <c r="I28" s="44"/>
      <c r="J28" s="44"/>
      <c r="K28" s="44"/>
      <c r="L28" s="2625">
        <f>DASHBOARD!AE13</f>
        <v>0</v>
      </c>
      <c r="M28" s="2625"/>
      <c r="N28" s="2625"/>
      <c r="O28" s="2625"/>
      <c r="P28" s="2625"/>
      <c r="Q28" s="24"/>
      <c r="R28" s="44" t="s">
        <v>6</v>
      </c>
      <c r="S28" s="44"/>
      <c r="T28" s="44"/>
      <c r="U28" s="44"/>
      <c r="V28" s="44"/>
      <c r="W28" s="44"/>
      <c r="X28" s="44"/>
      <c r="Y28" s="44"/>
      <c r="Z28" s="44"/>
      <c r="AA28" s="2625">
        <f>loan_amount</f>
        <v>118970</v>
      </c>
      <c r="AB28" s="2625"/>
      <c r="AC28" s="2625"/>
      <c r="AD28" s="2625"/>
      <c r="AE28" s="2625"/>
      <c r="AF28" s="2625">
        <f>Refi_Amount*active_refi</f>
        <v>0</v>
      </c>
      <c r="AG28" s="2625"/>
      <c r="AH28" s="2625"/>
      <c r="AI28" s="2625"/>
      <c r="AJ28" s="2625"/>
      <c r="AK28" s="23"/>
    </row>
    <row r="29" spans="1:80" s="350" customFormat="1" ht="15" customHeight="1" x14ac:dyDescent="0.25">
      <c r="A29" s="9"/>
      <c r="B29" s="44" t="str">
        <f>DASHBOARD!V16</f>
        <v>Furniture &amp; Appliances :</v>
      </c>
      <c r="C29" s="44"/>
      <c r="D29" s="44"/>
      <c r="E29" s="44"/>
      <c r="F29" s="44"/>
      <c r="G29" s="44"/>
      <c r="H29" s="44"/>
      <c r="I29" s="44"/>
      <c r="J29" s="44"/>
      <c r="K29" s="44"/>
      <c r="L29" s="2625">
        <f>DASHBOARD!AE16</f>
        <v>0.25</v>
      </c>
      <c r="M29" s="2625"/>
      <c r="N29" s="2625"/>
      <c r="O29" s="2625"/>
      <c r="P29" s="2625"/>
      <c r="Q29" s="24"/>
      <c r="R29" s="67" t="s">
        <v>108</v>
      </c>
      <c r="S29" s="1492"/>
      <c r="T29" s="1492"/>
      <c r="U29" s="1492"/>
      <c r="V29" s="1492"/>
      <c r="W29" s="1492"/>
      <c r="X29" s="1492"/>
      <c r="Y29" s="1492"/>
      <c r="Z29" s="1492"/>
      <c r="AA29" s="2632">
        <f>IF(AA28=0,0,tenor)</f>
        <v>0</v>
      </c>
      <c r="AB29" s="2632"/>
      <c r="AC29" s="2632"/>
      <c r="AD29" s="2632"/>
      <c r="AE29" s="2632"/>
      <c r="AF29" s="2632">
        <f>DASHBOARD!AD102*active_refi</f>
        <v>0</v>
      </c>
      <c r="AG29" s="2632"/>
      <c r="AH29" s="2632"/>
      <c r="AI29" s="2632"/>
      <c r="AJ29" s="2634"/>
      <c r="AK29" s="23"/>
    </row>
    <row r="30" spans="1:80" s="350" customFormat="1" ht="15" customHeight="1" x14ac:dyDescent="0.25">
      <c r="A30" s="9"/>
      <c r="B30" s="44" t="str">
        <f>DASHBOARD!AP84</f>
        <v>Financing Cost :</v>
      </c>
      <c r="C30" s="44"/>
      <c r="D30" s="44"/>
      <c r="E30" s="44"/>
      <c r="F30" s="44"/>
      <c r="G30" s="44"/>
      <c r="H30" s="44"/>
      <c r="I30" s="44"/>
      <c r="J30" s="44"/>
      <c r="K30" s="44"/>
      <c r="L30" s="2625">
        <f>DASHBOARD!AZ84</f>
        <v>3569.0958498885466</v>
      </c>
      <c r="M30" s="2625"/>
      <c r="N30" s="2625"/>
      <c r="O30" s="2625"/>
      <c r="P30" s="2625"/>
      <c r="Q30" s="24"/>
      <c r="R30" s="68" t="s">
        <v>109</v>
      </c>
      <c r="S30" s="1493"/>
      <c r="T30" s="1493"/>
      <c r="U30" s="1493"/>
      <c r="V30" s="1493"/>
      <c r="W30" s="1493"/>
      <c r="X30" s="1493"/>
      <c r="Y30" s="1493"/>
      <c r="Z30" s="1493"/>
      <c r="AA30" s="2633">
        <f>IF(AA28=0,0,interest_rate)</f>
        <v>0</v>
      </c>
      <c r="AB30" s="2633"/>
      <c r="AC30" s="2633"/>
      <c r="AD30" s="2633"/>
      <c r="AE30" s="2633"/>
      <c r="AF30" s="2635">
        <f>DASHBOARD!AD101*active_refi</f>
        <v>0</v>
      </c>
      <c r="AG30" s="2635"/>
      <c r="AH30" s="2635"/>
      <c r="AI30" s="2635"/>
      <c r="AJ30" s="2635"/>
      <c r="AK30" s="23"/>
    </row>
    <row r="31" spans="1:80" ht="15" customHeight="1" x14ac:dyDescent="0.25">
      <c r="A31" s="9"/>
      <c r="B31" s="44" t="str">
        <f>DASHBOARD!AP83</f>
        <v>Other Acquisition Costs :</v>
      </c>
      <c r="C31" s="44"/>
      <c r="D31" s="44"/>
      <c r="E31" s="44"/>
      <c r="F31" s="44"/>
      <c r="G31" s="44"/>
      <c r="H31" s="44"/>
      <c r="I31" s="44"/>
      <c r="J31" s="44"/>
      <c r="K31" s="44"/>
      <c r="L31" s="2626">
        <f>DASHBOARD!AE14+DASHBOARD!AE15</f>
        <v>6450</v>
      </c>
      <c r="M31" s="2626"/>
      <c r="N31" s="2626"/>
      <c r="O31" s="2626"/>
      <c r="P31" s="2626"/>
      <c r="Q31" s="24"/>
      <c r="R31" s="68" t="s">
        <v>110</v>
      </c>
      <c r="S31" s="1493"/>
      <c r="T31" s="1493"/>
      <c r="U31" s="1493"/>
      <c r="V31" s="1493"/>
      <c r="W31" s="1493"/>
      <c r="X31" s="1493"/>
      <c r="Y31" s="1493"/>
      <c r="Z31" s="1493"/>
      <c r="AA31" s="2627">
        <f>DASHBOARD!$AD$89</f>
        <v>1090.7326605107758</v>
      </c>
      <c r="AB31" s="2627"/>
      <c r="AC31" s="2627"/>
      <c r="AD31" s="2627"/>
      <c r="AE31" s="2627"/>
      <c r="AF31" s="2629">
        <f>MORTGAGE!J12*active_refi</f>
        <v>0</v>
      </c>
      <c r="AG31" s="2629"/>
      <c r="AH31" s="2629"/>
      <c r="AI31" s="2629"/>
      <c r="AJ31" s="2629"/>
      <c r="AK31" s="23"/>
      <c r="AL31" s="350"/>
      <c r="AM31" s="350"/>
      <c r="AN31" s="350"/>
      <c r="AO31" s="350"/>
      <c r="AP31" s="350"/>
      <c r="AQ31" s="350"/>
      <c r="AR31" s="350"/>
      <c r="AS31" s="350"/>
      <c r="AT31" s="350"/>
      <c r="AU31" s="350"/>
      <c r="AV31" s="350"/>
      <c r="AW31" s="350"/>
      <c r="AX31" s="350"/>
      <c r="AY31" s="350"/>
      <c r="AZ31" s="350"/>
      <c r="BA31" s="350"/>
      <c r="BB31" s="350"/>
      <c r="BC31" s="350"/>
      <c r="BD31" s="350"/>
      <c r="BE31" s="350"/>
      <c r="BF31" s="350"/>
      <c r="BG31" s="350"/>
      <c r="BH31" s="350"/>
      <c r="BI31" s="350"/>
      <c r="BJ31" s="350"/>
      <c r="BK31" s="350"/>
      <c r="BL31" s="350"/>
      <c r="BM31" s="350"/>
      <c r="BN31" s="350"/>
      <c r="BO31" s="350"/>
      <c r="BP31" s="350"/>
      <c r="BQ31" s="350"/>
      <c r="BR31" s="350"/>
      <c r="BS31" s="350"/>
      <c r="BT31" s="350"/>
      <c r="BU31" s="350"/>
      <c r="BV31" s="350"/>
      <c r="BW31" s="350"/>
      <c r="BX31" s="350"/>
      <c r="BY31" s="350"/>
      <c r="BZ31" s="350"/>
      <c r="CA31" s="350"/>
      <c r="CB31" s="350"/>
    </row>
    <row r="32" spans="1:80" ht="15" customHeight="1" x14ac:dyDescent="0.25">
      <c r="A32" s="9"/>
      <c r="B32" s="1175" t="str">
        <f>DASHBOARD!AP85</f>
        <v>Total Project Cost :</v>
      </c>
      <c r="C32" s="1176"/>
      <c r="D32" s="1176"/>
      <c r="E32" s="1176"/>
      <c r="F32" s="1176"/>
      <c r="G32" s="1176"/>
      <c r="H32" s="1176"/>
      <c r="I32" s="1176"/>
      <c r="J32" s="1176"/>
      <c r="K32" s="1176"/>
      <c r="L32" s="2619">
        <f>SUM(L27:L31)</f>
        <v>126019.34584988854</v>
      </c>
      <c r="M32" s="2619"/>
      <c r="N32" s="2619"/>
      <c r="O32" s="2619"/>
      <c r="P32" s="2620"/>
      <c r="Q32" s="24"/>
      <c r="R32" s="69" t="s">
        <v>216</v>
      </c>
      <c r="S32" s="1494"/>
      <c r="T32" s="1494"/>
      <c r="U32" s="1494"/>
      <c r="V32" s="1494"/>
      <c r="W32" s="1494"/>
      <c r="X32" s="1494"/>
      <c r="Y32" s="1494"/>
      <c r="Z32" s="1494"/>
      <c r="AA32" s="2628">
        <f>DASHBOARD!AH80</f>
        <v>3569.0958498885466</v>
      </c>
      <c r="AB32" s="2628"/>
      <c r="AC32" s="2628"/>
      <c r="AD32" s="2628"/>
      <c r="AE32" s="2628"/>
      <c r="AF32" s="2628">
        <f>DASHBOARD!AI104*active_refi</f>
        <v>0</v>
      </c>
      <c r="AG32" s="2628"/>
      <c r="AH32" s="2628"/>
      <c r="AI32" s="2628"/>
      <c r="AJ32" s="2630"/>
      <c r="AK32" s="23"/>
      <c r="AL32" s="350"/>
      <c r="AM32" s="350"/>
      <c r="AN32" s="350"/>
      <c r="AO32" s="350"/>
      <c r="AP32" s="350"/>
      <c r="AQ32" s="350"/>
      <c r="AR32" s="350"/>
      <c r="AS32" s="350"/>
      <c r="AT32" s="350"/>
      <c r="AU32" s="350"/>
      <c r="AV32" s="350"/>
      <c r="AW32" s="350"/>
      <c r="AX32" s="350"/>
      <c r="AY32" s="350"/>
      <c r="AZ32" s="350"/>
      <c r="BA32" s="350"/>
      <c r="BB32" s="350"/>
      <c r="BC32" s="350"/>
      <c r="BD32" s="350"/>
      <c r="BE32" s="350"/>
      <c r="BF32" s="350"/>
      <c r="BG32" s="350"/>
      <c r="BH32" s="350"/>
      <c r="BI32" s="350"/>
      <c r="BJ32" s="350"/>
      <c r="BK32" s="350"/>
      <c r="BL32" s="350"/>
      <c r="BM32" s="350"/>
      <c r="BN32" s="350"/>
      <c r="BO32" s="350"/>
      <c r="BP32" s="350"/>
      <c r="BQ32" s="350"/>
    </row>
    <row r="33" spans="1:80" ht="15" customHeight="1" x14ac:dyDescent="0.25">
      <c r="A33" s="9"/>
      <c r="B33" s="44" t="s">
        <v>117</v>
      </c>
      <c r="C33" s="44"/>
      <c r="D33" s="44"/>
      <c r="E33" s="44"/>
      <c r="F33" s="44"/>
      <c r="G33" s="44"/>
      <c r="H33" s="44"/>
      <c r="I33" s="44"/>
      <c r="J33" s="44"/>
      <c r="K33" s="44"/>
      <c r="L33" s="2621">
        <f>DASHBOARD!I27</f>
        <v>330000</v>
      </c>
      <c r="M33" s="2621"/>
      <c r="N33" s="2621"/>
      <c r="O33" s="2621"/>
      <c r="P33" s="2621"/>
      <c r="Q33" s="24"/>
      <c r="R33" s="44"/>
      <c r="S33" s="44"/>
      <c r="T33" s="44"/>
      <c r="U33" s="44"/>
      <c r="V33" s="44"/>
      <c r="W33" s="44"/>
      <c r="X33" s="44"/>
      <c r="Y33" s="44"/>
      <c r="Z33" s="44"/>
      <c r="AA33" s="44"/>
      <c r="AB33" s="44"/>
      <c r="AC33" s="44"/>
      <c r="AD33" s="44"/>
      <c r="AE33" s="44"/>
      <c r="AF33" s="44"/>
      <c r="AG33" s="44"/>
      <c r="AH33" s="44"/>
      <c r="AI33" s="44"/>
      <c r="AJ33" s="44"/>
      <c r="AK33" s="23"/>
    </row>
    <row r="34" spans="1:80" ht="15" customHeight="1" x14ac:dyDescent="0.25">
      <c r="A34" s="9"/>
      <c r="B34" s="45" t="s">
        <v>114</v>
      </c>
      <c r="C34" s="45"/>
      <c r="D34" s="45"/>
      <c r="E34" s="45"/>
      <c r="F34" s="45"/>
      <c r="G34" s="45"/>
      <c r="H34" s="45"/>
      <c r="I34" s="45"/>
      <c r="J34" s="45"/>
      <c r="K34" s="45"/>
      <c r="L34" s="2622">
        <f>DASHBOARD!AJ12</f>
        <v>81.690140845070417</v>
      </c>
      <c r="M34" s="2622"/>
      <c r="N34" s="2622"/>
      <c r="O34" s="2622"/>
      <c r="P34" s="2622"/>
      <c r="Q34" s="24"/>
      <c r="R34" s="1498" t="s">
        <v>118</v>
      </c>
      <c r="S34" s="1499"/>
      <c r="T34" s="1499"/>
      <c r="U34" s="1499"/>
      <c r="V34" s="1499"/>
      <c r="W34" s="1499"/>
      <c r="X34" s="1499"/>
      <c r="Y34" s="1499"/>
      <c r="Z34" s="1499"/>
      <c r="AA34" s="2637">
        <f>DASHBOARD!AZ87</f>
        <v>7049.3458498885448</v>
      </c>
      <c r="AB34" s="2637"/>
      <c r="AC34" s="2637"/>
      <c r="AD34" s="2637"/>
      <c r="AE34" s="2638"/>
      <c r="AF34" s="122"/>
      <c r="AG34" s="122"/>
      <c r="AH34" s="122"/>
      <c r="AI34" s="122"/>
      <c r="AJ34" s="122"/>
      <c r="AK34" s="23"/>
    </row>
    <row r="35" spans="1:80" ht="15" customHeight="1" x14ac:dyDescent="0.25">
      <c r="A35" s="9"/>
      <c r="B35" s="45" t="s">
        <v>115</v>
      </c>
      <c r="C35" s="45"/>
      <c r="D35" s="45"/>
      <c r="E35" s="45"/>
      <c r="F35" s="45"/>
      <c r="G35" s="45"/>
      <c r="H35" s="45"/>
      <c r="I35" s="45"/>
      <c r="J35" s="45"/>
      <c r="K35" s="45"/>
      <c r="L35" s="2623">
        <f>IFERROR(DASHBOARD!BM192/DASHBOARD!K20,0)</f>
        <v>0</v>
      </c>
      <c r="M35" s="2623"/>
      <c r="N35" s="2623"/>
      <c r="O35" s="2623"/>
      <c r="P35" s="2623"/>
      <c r="Q35" s="24"/>
      <c r="R35" s="44"/>
      <c r="S35" s="44"/>
      <c r="T35" s="44"/>
      <c r="U35" s="44"/>
      <c r="V35" s="44"/>
      <c r="W35" s="44"/>
      <c r="X35" s="44"/>
      <c r="Y35" s="44"/>
      <c r="Z35" s="44"/>
      <c r="AA35" s="44"/>
      <c r="AB35" s="44"/>
      <c r="AC35" s="44"/>
      <c r="AD35" s="44"/>
      <c r="AE35" s="44"/>
      <c r="AF35" s="44"/>
      <c r="AG35" s="44"/>
      <c r="AH35" s="44"/>
      <c r="AI35" s="44"/>
      <c r="AJ35" s="44"/>
      <c r="AK35" s="23"/>
    </row>
    <row r="36" spans="1:80" ht="15" customHeight="1" x14ac:dyDescent="0.25">
      <c r="A36" s="9"/>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23"/>
    </row>
    <row r="37" spans="1:80" s="351" customFormat="1" ht="15" customHeight="1" x14ac:dyDescent="0.3">
      <c r="A37" s="9"/>
      <c r="B37" s="1500" t="s">
        <v>112</v>
      </c>
      <c r="C37" s="1500"/>
      <c r="D37" s="1500"/>
      <c r="E37" s="1500"/>
      <c r="F37" s="1500"/>
      <c r="G37" s="1500"/>
      <c r="H37" s="1500"/>
      <c r="I37" s="1500"/>
      <c r="J37" s="1500"/>
      <c r="K37" s="1500"/>
      <c r="L37" s="1500"/>
      <c r="M37" s="1500"/>
      <c r="N37" s="1500"/>
      <c r="O37" s="1500"/>
      <c r="P37" s="1500"/>
      <c r="Q37" s="44"/>
      <c r="R37" s="44"/>
      <c r="S37" s="44"/>
      <c r="T37" s="44"/>
      <c r="U37" s="44"/>
      <c r="V37" s="44"/>
      <c r="W37" s="44"/>
      <c r="X37" s="44"/>
      <c r="Y37" s="44"/>
      <c r="Z37" s="44"/>
      <c r="AA37" s="44"/>
      <c r="AB37" s="44"/>
      <c r="AC37" s="44"/>
      <c r="AD37" s="44"/>
      <c r="AE37" s="44"/>
      <c r="AF37" s="44"/>
      <c r="AG37" s="44"/>
      <c r="AH37" s="44"/>
      <c r="AI37" s="44"/>
      <c r="AJ37" s="44"/>
      <c r="AK37" s="23"/>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331"/>
      <c r="BR37" s="331"/>
      <c r="BS37" s="331"/>
      <c r="BT37" s="331"/>
      <c r="BU37" s="331"/>
      <c r="BV37" s="331"/>
      <c r="BW37" s="331"/>
      <c r="BX37" s="331"/>
      <c r="BY37" s="331"/>
      <c r="BZ37" s="331"/>
      <c r="CA37" s="331"/>
      <c r="CB37" s="331"/>
    </row>
    <row r="38" spans="1:80" s="351" customFormat="1" ht="7.5" customHeight="1" x14ac:dyDescent="0.3">
      <c r="A38" s="9"/>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23"/>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row>
    <row r="39" spans="1:80" ht="15" customHeight="1" x14ac:dyDescent="0.3">
      <c r="A39" s="197"/>
      <c r="B39" s="1177" t="s">
        <v>215</v>
      </c>
      <c r="C39" s="1178"/>
      <c r="D39" s="1178"/>
      <c r="E39" s="1178"/>
      <c r="F39" s="1178"/>
      <c r="G39" s="1178"/>
      <c r="H39" s="1178"/>
      <c r="I39" s="1178"/>
      <c r="J39" s="1178"/>
      <c r="K39" s="1178"/>
      <c r="L39" s="2639">
        <f>IFERROR(DASHBOARD!BM192+DASHBOARD!BM194+DASHBOARD!BM195,0)</f>
        <v>0</v>
      </c>
      <c r="M39" s="2639"/>
      <c r="N39" s="2639"/>
      <c r="O39" s="2639"/>
      <c r="P39" s="2640"/>
      <c r="Q39" s="44"/>
      <c r="R39" s="44"/>
      <c r="S39" s="44"/>
      <c r="T39" s="44"/>
      <c r="U39" s="44"/>
      <c r="V39" s="44"/>
      <c r="W39" s="44"/>
      <c r="X39" s="44"/>
      <c r="Y39" s="44"/>
      <c r="Z39" s="44"/>
      <c r="AA39" s="44"/>
      <c r="AB39" s="44"/>
      <c r="AC39" s="44"/>
      <c r="AD39" s="44"/>
      <c r="AE39" s="44"/>
      <c r="AF39" s="44"/>
      <c r="AG39" s="44"/>
      <c r="AH39" s="44"/>
      <c r="AI39" s="44"/>
      <c r="AJ39" s="44"/>
      <c r="AK39" s="23"/>
      <c r="AL39" s="351"/>
      <c r="AM39" s="351"/>
      <c r="AN39" s="351"/>
      <c r="AO39" s="351"/>
      <c r="AP39" s="351"/>
      <c r="AQ39" s="351"/>
      <c r="AR39" s="351"/>
      <c r="AS39" s="351"/>
      <c r="AT39" s="351"/>
      <c r="AU39" s="351"/>
      <c r="AV39" s="351"/>
      <c r="AW39" s="351"/>
      <c r="AX39" s="351"/>
      <c r="AY39" s="351"/>
      <c r="AZ39" s="351"/>
      <c r="BA39" s="351"/>
      <c r="BB39" s="351"/>
      <c r="BC39" s="351"/>
      <c r="BD39" s="351"/>
      <c r="BE39" s="351"/>
      <c r="BF39" s="351"/>
      <c r="BG39" s="351"/>
      <c r="BH39" s="351"/>
      <c r="BI39" s="351"/>
      <c r="BJ39" s="351"/>
      <c r="BK39" s="351"/>
      <c r="BL39" s="351"/>
      <c r="BM39" s="351"/>
      <c r="BN39" s="351"/>
      <c r="BO39" s="351"/>
      <c r="BP39" s="351"/>
      <c r="BQ39" s="351"/>
      <c r="BR39" s="351"/>
      <c r="BS39" s="351"/>
      <c r="BT39" s="351"/>
      <c r="BU39" s="351"/>
      <c r="BV39" s="351"/>
      <c r="BW39" s="351"/>
      <c r="BX39" s="351"/>
      <c r="BY39" s="351"/>
      <c r="BZ39" s="351"/>
      <c r="CA39" s="351"/>
      <c r="CB39" s="351"/>
    </row>
    <row r="40" spans="1:80" ht="15" customHeight="1" x14ac:dyDescent="0.3">
      <c r="A40" s="197"/>
      <c r="B40" s="121"/>
      <c r="C40" s="121"/>
      <c r="D40" s="121"/>
      <c r="E40" s="121"/>
      <c r="F40" s="121"/>
      <c r="G40" s="121"/>
      <c r="H40" s="121"/>
      <c r="I40" s="121"/>
      <c r="J40" s="121"/>
      <c r="K40" s="121"/>
      <c r="L40" s="122"/>
      <c r="M40" s="122"/>
      <c r="N40" s="122"/>
      <c r="O40" s="122"/>
      <c r="P40" s="122"/>
      <c r="Q40" s="44"/>
      <c r="R40" s="44"/>
      <c r="S40" s="44"/>
      <c r="T40" s="44"/>
      <c r="U40" s="44"/>
      <c r="V40" s="44"/>
      <c r="W40" s="44"/>
      <c r="X40" s="44"/>
      <c r="Y40" s="44"/>
      <c r="Z40" s="44"/>
      <c r="AA40" s="44"/>
      <c r="AB40" s="44"/>
      <c r="AC40" s="44"/>
      <c r="AD40" s="44"/>
      <c r="AE40" s="44"/>
      <c r="AF40" s="44"/>
      <c r="AG40" s="44"/>
      <c r="AH40" s="44"/>
      <c r="AI40" s="44"/>
      <c r="AJ40" s="44"/>
      <c r="AK40" s="23"/>
      <c r="AL40" s="351"/>
      <c r="AM40" s="351"/>
      <c r="AN40" s="351"/>
      <c r="AO40" s="351"/>
      <c r="AP40" s="351"/>
      <c r="AQ40" s="351"/>
      <c r="AR40" s="351"/>
      <c r="AS40" s="351"/>
      <c r="AT40" s="351"/>
      <c r="AU40" s="351"/>
      <c r="AV40" s="351"/>
      <c r="AW40" s="351"/>
      <c r="AX40" s="351"/>
      <c r="AY40" s="351"/>
      <c r="AZ40" s="351"/>
      <c r="BA40" s="351"/>
      <c r="BB40" s="351"/>
      <c r="BC40" s="351"/>
      <c r="BD40" s="351"/>
      <c r="BE40" s="351"/>
      <c r="BF40" s="351"/>
      <c r="BG40" s="351"/>
      <c r="BH40" s="351"/>
      <c r="BI40" s="351"/>
      <c r="BJ40" s="351"/>
      <c r="BK40" s="351"/>
      <c r="BL40" s="351"/>
      <c r="BM40" s="351"/>
      <c r="BN40" s="351"/>
      <c r="BO40" s="351"/>
      <c r="BP40" s="351"/>
      <c r="BQ40" s="351"/>
    </row>
    <row r="41" spans="1:80" ht="15" customHeight="1" x14ac:dyDescent="0.25">
      <c r="A41" s="9"/>
      <c r="B41" s="44" t="str">
        <f>IFERROR(IF(L41=0,"",HIDE2!L62),"")</f>
        <v/>
      </c>
      <c r="C41" s="44"/>
      <c r="D41" s="44"/>
      <c r="E41" s="44"/>
      <c r="F41" s="44"/>
      <c r="G41" s="44"/>
      <c r="H41" s="44"/>
      <c r="I41" s="44"/>
      <c r="J41" s="2641">
        <f t="shared" ref="J41:J50" si="0">IFERROR(L41/$L$52,0)</f>
        <v>0</v>
      </c>
      <c r="K41" s="2641"/>
      <c r="L41" s="2636">
        <f>IF(thumb&lt;&gt;0,0,HIDE2!N62)</f>
        <v>0</v>
      </c>
      <c r="M41" s="2636"/>
      <c r="N41" s="2636"/>
      <c r="O41" s="2636"/>
      <c r="P41" s="2636"/>
      <c r="Q41" s="44"/>
      <c r="R41" s="44"/>
      <c r="S41" s="44"/>
      <c r="T41" s="44"/>
      <c r="U41" s="44"/>
      <c r="V41" s="44"/>
      <c r="W41" s="44"/>
      <c r="X41" s="44"/>
      <c r="Y41" s="44"/>
      <c r="Z41" s="44"/>
      <c r="AA41" s="44"/>
      <c r="AB41" s="44"/>
      <c r="AC41" s="44"/>
      <c r="AD41" s="44"/>
      <c r="AE41" s="44"/>
      <c r="AF41" s="44"/>
      <c r="AG41" s="44"/>
      <c r="AH41" s="44"/>
      <c r="AI41" s="44"/>
      <c r="AJ41" s="44"/>
      <c r="AK41" s="23"/>
    </row>
    <row r="42" spans="1:80" ht="13.8" x14ac:dyDescent="0.25">
      <c r="A42" s="9"/>
      <c r="B42" s="44" t="str">
        <f>IFERROR(IF(L42=0,"",HIDE2!L63),"")</f>
        <v/>
      </c>
      <c r="C42" s="44"/>
      <c r="D42" s="44"/>
      <c r="E42" s="44"/>
      <c r="F42" s="44"/>
      <c r="G42" s="44"/>
      <c r="H42" s="44"/>
      <c r="I42" s="44"/>
      <c r="J42" s="2641">
        <f t="shared" si="0"/>
        <v>0</v>
      </c>
      <c r="K42" s="2641"/>
      <c r="L42" s="2636">
        <f>IF(thumb&lt;&gt;0,0,HIDE2!N63)</f>
        <v>0</v>
      </c>
      <c r="M42" s="2636"/>
      <c r="N42" s="2636"/>
      <c r="O42" s="2636"/>
      <c r="P42" s="2636"/>
      <c r="Q42" s="44"/>
      <c r="R42" s="44"/>
      <c r="S42" s="44"/>
      <c r="T42" s="44"/>
      <c r="U42" s="44"/>
      <c r="V42" s="44"/>
      <c r="W42" s="44"/>
      <c r="X42" s="44"/>
      <c r="Y42" s="44"/>
      <c r="Z42" s="44"/>
      <c r="AA42" s="44"/>
      <c r="AB42" s="44"/>
      <c r="AC42" s="44"/>
      <c r="AD42" s="44"/>
      <c r="AE42" s="44"/>
      <c r="AF42" s="44"/>
      <c r="AG42" s="44"/>
      <c r="AH42" s="44"/>
      <c r="AI42" s="44"/>
      <c r="AJ42" s="44"/>
      <c r="AK42" s="23"/>
    </row>
    <row r="43" spans="1:80" ht="13.8" x14ac:dyDescent="0.25">
      <c r="A43" s="9"/>
      <c r="B43" s="44" t="str">
        <f>IFERROR(IF(L43=0,"",HIDE2!L64),"")</f>
        <v/>
      </c>
      <c r="C43" s="44"/>
      <c r="D43" s="44"/>
      <c r="E43" s="44"/>
      <c r="F43" s="44"/>
      <c r="G43" s="44"/>
      <c r="H43" s="44"/>
      <c r="I43" s="44"/>
      <c r="J43" s="2641">
        <f t="shared" si="0"/>
        <v>0</v>
      </c>
      <c r="K43" s="2641"/>
      <c r="L43" s="2636">
        <f>IF(thumb&lt;&gt;0,0,HIDE2!N64)</f>
        <v>0</v>
      </c>
      <c r="M43" s="2636"/>
      <c r="N43" s="2636"/>
      <c r="O43" s="2636"/>
      <c r="P43" s="2636"/>
      <c r="Q43" s="44"/>
      <c r="R43" s="44"/>
      <c r="S43" s="44"/>
      <c r="T43" s="44"/>
      <c r="U43" s="44"/>
      <c r="V43" s="44"/>
      <c r="W43" s="44"/>
      <c r="X43" s="44"/>
      <c r="Y43" s="44"/>
      <c r="Z43" s="44"/>
      <c r="AA43" s="44"/>
      <c r="AB43" s="44"/>
      <c r="AC43" s="44"/>
      <c r="AD43" s="44"/>
      <c r="AE43" s="44"/>
      <c r="AF43" s="44"/>
      <c r="AG43" s="44"/>
      <c r="AH43" s="44"/>
      <c r="AI43" s="44"/>
      <c r="AJ43" s="44"/>
      <c r="AK43" s="23"/>
    </row>
    <row r="44" spans="1:80" ht="13.8" x14ac:dyDescent="0.25">
      <c r="A44" s="9"/>
      <c r="B44" s="44" t="str">
        <f>IFERROR(IF(L44=0,"",HIDE2!L65),"")</f>
        <v/>
      </c>
      <c r="C44" s="44"/>
      <c r="D44" s="44"/>
      <c r="E44" s="44"/>
      <c r="F44" s="44"/>
      <c r="G44" s="44"/>
      <c r="H44" s="44"/>
      <c r="I44" s="44"/>
      <c r="J44" s="2641">
        <f t="shared" si="0"/>
        <v>0</v>
      </c>
      <c r="K44" s="2641"/>
      <c r="L44" s="2636">
        <f>IF(thumb&lt;&gt;0,0,HIDE2!N65)</f>
        <v>0</v>
      </c>
      <c r="M44" s="2636"/>
      <c r="N44" s="2636"/>
      <c r="O44" s="2636"/>
      <c r="P44" s="2636"/>
      <c r="Q44" s="44"/>
      <c r="R44" s="44"/>
      <c r="S44" s="22"/>
      <c r="T44" s="22"/>
      <c r="U44" s="22"/>
      <c r="V44" s="22"/>
      <c r="W44" s="22"/>
      <c r="X44" s="22"/>
      <c r="Y44" s="22"/>
      <c r="Z44" s="22"/>
      <c r="AA44" s="22"/>
      <c r="AB44" s="22"/>
      <c r="AC44" s="22"/>
      <c r="AD44" s="22"/>
      <c r="AE44" s="22"/>
      <c r="AF44" s="22"/>
      <c r="AG44" s="22"/>
      <c r="AH44" s="22"/>
      <c r="AI44" s="22"/>
      <c r="AJ44" s="22"/>
      <c r="AK44" s="23"/>
    </row>
    <row r="45" spans="1:80" ht="13.8" x14ac:dyDescent="0.25">
      <c r="A45" s="9"/>
      <c r="B45" s="44" t="str">
        <f>IFERROR(IF(L45=0,"",HIDE2!L66),"")</f>
        <v/>
      </c>
      <c r="C45" s="44"/>
      <c r="D45" s="44"/>
      <c r="E45" s="44"/>
      <c r="F45" s="44"/>
      <c r="G45" s="44"/>
      <c r="H45" s="44"/>
      <c r="I45" s="44"/>
      <c r="J45" s="2641">
        <f t="shared" si="0"/>
        <v>0</v>
      </c>
      <c r="K45" s="2641"/>
      <c r="L45" s="2636">
        <f>IF(thumb&lt;&gt;0,0,HIDE2!N66)</f>
        <v>0</v>
      </c>
      <c r="M45" s="2636"/>
      <c r="N45" s="2636"/>
      <c r="O45" s="2636"/>
      <c r="P45" s="2636"/>
      <c r="Q45" s="44"/>
      <c r="R45" s="44"/>
      <c r="S45" s="22"/>
      <c r="T45" s="22"/>
      <c r="U45" s="22"/>
      <c r="V45" s="22"/>
      <c r="W45" s="22"/>
      <c r="X45" s="22"/>
      <c r="Y45" s="22"/>
      <c r="Z45" s="22"/>
      <c r="AA45" s="22"/>
      <c r="AB45" s="22"/>
      <c r="AC45" s="22"/>
      <c r="AD45" s="22"/>
      <c r="AE45" s="22"/>
      <c r="AF45" s="22"/>
      <c r="AG45" s="22"/>
      <c r="AH45" s="22"/>
      <c r="AI45" s="22"/>
      <c r="AJ45" s="22"/>
      <c r="AK45" s="23"/>
    </row>
    <row r="46" spans="1:80" ht="13.8" x14ac:dyDescent="0.25">
      <c r="A46" s="9"/>
      <c r="B46" s="44" t="str">
        <f>IFERROR(IF(L46=0,"",HIDE2!L67),"")</f>
        <v/>
      </c>
      <c r="C46" s="44"/>
      <c r="D46" s="44"/>
      <c r="E46" s="44"/>
      <c r="F46" s="44"/>
      <c r="G46" s="44"/>
      <c r="H46" s="44"/>
      <c r="I46" s="44"/>
      <c r="J46" s="2641">
        <f t="shared" si="0"/>
        <v>0</v>
      </c>
      <c r="K46" s="2641"/>
      <c r="L46" s="2636">
        <f>IF(thumb&lt;&gt;0,0,HIDE2!N67)</f>
        <v>0</v>
      </c>
      <c r="M46" s="2636"/>
      <c r="N46" s="2636"/>
      <c r="O46" s="2636"/>
      <c r="P46" s="2636"/>
      <c r="Q46" s="44"/>
      <c r="R46" s="44"/>
      <c r="S46" s="23"/>
      <c r="T46" s="23"/>
      <c r="U46" s="23"/>
      <c r="V46" s="23"/>
      <c r="W46" s="23"/>
      <c r="X46" s="23"/>
      <c r="Y46" s="23"/>
      <c r="Z46" s="23"/>
      <c r="AA46" s="23"/>
      <c r="AB46" s="23"/>
      <c r="AC46" s="23"/>
      <c r="AD46" s="23"/>
      <c r="AE46" s="23"/>
      <c r="AF46" s="23"/>
      <c r="AG46" s="23"/>
      <c r="AH46" s="23"/>
      <c r="AI46" s="23"/>
      <c r="AJ46" s="23"/>
      <c r="AK46" s="23"/>
    </row>
    <row r="47" spans="1:80" ht="13.8" x14ac:dyDescent="0.25">
      <c r="A47" s="9"/>
      <c r="B47" s="44" t="str">
        <f>IFERROR(IF(L47=0,"",HIDE2!L68),"")</f>
        <v/>
      </c>
      <c r="C47" s="44"/>
      <c r="D47" s="44"/>
      <c r="E47" s="44"/>
      <c r="F47" s="44"/>
      <c r="G47" s="44"/>
      <c r="H47" s="44"/>
      <c r="I47" s="44"/>
      <c r="J47" s="2641">
        <f t="shared" si="0"/>
        <v>0</v>
      </c>
      <c r="K47" s="2641"/>
      <c r="L47" s="2636">
        <f>IF(thumb&lt;&gt;0,0,HIDE2!N68)</f>
        <v>0</v>
      </c>
      <c r="M47" s="2636"/>
      <c r="N47" s="2636"/>
      <c r="O47" s="2636"/>
      <c r="P47" s="2636"/>
      <c r="Q47" s="44"/>
      <c r="R47" s="44"/>
      <c r="S47" s="23"/>
      <c r="T47" s="23"/>
      <c r="U47" s="23"/>
      <c r="V47" s="23"/>
      <c r="W47" s="23"/>
      <c r="X47" s="23"/>
      <c r="Y47" s="23"/>
      <c r="Z47" s="23"/>
      <c r="AA47" s="23"/>
      <c r="AB47" s="23"/>
      <c r="AC47" s="23"/>
      <c r="AD47" s="23"/>
      <c r="AE47" s="23"/>
      <c r="AF47" s="23"/>
      <c r="AG47" s="23"/>
      <c r="AH47" s="23"/>
      <c r="AI47" s="23"/>
      <c r="AJ47" s="23"/>
      <c r="AK47" s="23"/>
    </row>
    <row r="48" spans="1:80" ht="13.8" x14ac:dyDescent="0.25">
      <c r="A48" s="9"/>
      <c r="B48" s="44" t="str">
        <f>IFERROR(IF(L48=0,"",HIDE2!L69),"")</f>
        <v/>
      </c>
      <c r="C48" s="44"/>
      <c r="D48" s="44"/>
      <c r="E48" s="44"/>
      <c r="F48" s="44"/>
      <c r="G48" s="44"/>
      <c r="H48" s="44"/>
      <c r="I48" s="44"/>
      <c r="J48" s="2641">
        <f t="shared" si="0"/>
        <v>0</v>
      </c>
      <c r="K48" s="2641"/>
      <c r="L48" s="2636">
        <f>IF(thumb&lt;&gt;0,0,HIDE2!N69)</f>
        <v>0</v>
      </c>
      <c r="M48" s="2636"/>
      <c r="N48" s="2636"/>
      <c r="O48" s="2636"/>
      <c r="P48" s="2636"/>
      <c r="Q48" s="44"/>
      <c r="R48" s="44"/>
      <c r="S48" s="23"/>
      <c r="T48" s="23"/>
      <c r="U48" s="23"/>
      <c r="V48" s="23"/>
      <c r="W48" s="23"/>
      <c r="X48" s="23"/>
      <c r="Y48" s="23"/>
      <c r="Z48" s="23"/>
      <c r="AA48" s="23"/>
      <c r="AB48" s="23"/>
      <c r="AC48" s="23"/>
      <c r="AD48" s="23"/>
      <c r="AE48" s="23"/>
      <c r="AF48" s="23"/>
      <c r="AG48" s="23"/>
      <c r="AH48" s="23"/>
      <c r="AI48" s="23"/>
      <c r="AJ48" s="23"/>
      <c r="AK48" s="23"/>
    </row>
    <row r="49" spans="1:80" s="351" customFormat="1" ht="7.5" customHeight="1" x14ac:dyDescent="0.3">
      <c r="A49" s="9"/>
      <c r="B49" s="54" t="str">
        <f>IF(L49=0,"","Capital Expenditures")</f>
        <v/>
      </c>
      <c r="C49" s="54"/>
      <c r="D49" s="54"/>
      <c r="E49" s="54"/>
      <c r="F49" s="54"/>
      <c r="G49" s="54"/>
      <c r="H49" s="54"/>
      <c r="I49" s="54"/>
      <c r="J49" s="2641">
        <f t="shared" si="0"/>
        <v>0</v>
      </c>
      <c r="K49" s="2641"/>
      <c r="L49" s="2636">
        <f>IF(thumb&lt;&gt;0,0,-DASHBOARD!BM223)</f>
        <v>0</v>
      </c>
      <c r="M49" s="2636"/>
      <c r="N49" s="2636"/>
      <c r="O49" s="2636"/>
      <c r="P49" s="2636"/>
      <c r="Q49" s="44"/>
      <c r="R49" s="44"/>
      <c r="S49" s="23"/>
      <c r="T49" s="23"/>
      <c r="U49" s="23"/>
      <c r="V49" s="23"/>
      <c r="W49" s="23"/>
      <c r="X49" s="23"/>
      <c r="Y49" s="23"/>
      <c r="Z49" s="23"/>
      <c r="AA49" s="23"/>
      <c r="AB49" s="23"/>
      <c r="AC49" s="23"/>
      <c r="AD49" s="23"/>
      <c r="AE49" s="23"/>
      <c r="AF49" s="23"/>
      <c r="AG49" s="23"/>
      <c r="AH49" s="23"/>
      <c r="AI49" s="23"/>
      <c r="AJ49" s="23"/>
      <c r="AK49" s="23"/>
      <c r="AL49" s="331"/>
      <c r="AM49" s="331"/>
      <c r="AN49" s="331"/>
      <c r="AO49" s="331"/>
      <c r="AP49" s="331"/>
      <c r="AQ49" s="331"/>
      <c r="AR49" s="331"/>
      <c r="AS49" s="331"/>
      <c r="AT49" s="331"/>
      <c r="AU49" s="331"/>
      <c r="AV49" s="331"/>
      <c r="AW49" s="331"/>
      <c r="AX49" s="331"/>
      <c r="AY49" s="331"/>
      <c r="AZ49" s="331"/>
      <c r="BA49" s="331"/>
      <c r="BB49" s="331"/>
      <c r="BC49" s="331"/>
      <c r="BD49" s="331"/>
      <c r="BE49" s="331"/>
      <c r="BF49" s="331"/>
      <c r="BG49" s="331"/>
      <c r="BH49" s="331"/>
      <c r="BI49" s="331"/>
      <c r="BJ49" s="331"/>
      <c r="BK49" s="331"/>
      <c r="BL49" s="331"/>
      <c r="BM49" s="331"/>
      <c r="BN49" s="331"/>
      <c r="BO49" s="331"/>
      <c r="BP49" s="331"/>
      <c r="BQ49" s="331"/>
      <c r="BR49" s="331"/>
      <c r="BS49" s="331"/>
      <c r="BT49" s="331"/>
      <c r="BU49" s="331"/>
      <c r="BV49" s="331"/>
      <c r="BW49" s="331"/>
      <c r="BX49" s="331"/>
      <c r="BY49" s="331"/>
      <c r="BZ49" s="331"/>
      <c r="CA49" s="331"/>
      <c r="CB49" s="331"/>
    </row>
    <row r="50" spans="1:80" ht="14.4" x14ac:dyDescent="0.3">
      <c r="A50" s="9"/>
      <c r="B50" s="44" t="str">
        <f>IF(thumb&lt;&gt;0,"Total Estimated Expenses",IF(L50=0,"","Other expenses"))</f>
        <v>Total Estimated Expenses</v>
      </c>
      <c r="C50" s="44"/>
      <c r="D50" s="44"/>
      <c r="E50" s="44"/>
      <c r="F50" s="44"/>
      <c r="G50" s="44"/>
      <c r="H50" s="44"/>
      <c r="I50" s="44"/>
      <c r="J50" s="2641">
        <f t="shared" si="0"/>
        <v>0</v>
      </c>
      <c r="K50" s="2641"/>
      <c r="L50" s="2636">
        <f>IF(thumb&lt;&gt;0,L52,L52-SUM(L41:L49))</f>
        <v>0</v>
      </c>
      <c r="M50" s="2636"/>
      <c r="N50" s="2636"/>
      <c r="O50" s="2636"/>
      <c r="P50" s="2636"/>
      <c r="Q50" s="44"/>
      <c r="R50" s="44"/>
      <c r="S50" s="23"/>
      <c r="T50" s="23"/>
      <c r="U50" s="23"/>
      <c r="V50" s="23"/>
      <c r="W50" s="23"/>
      <c r="X50" s="23"/>
      <c r="Y50" s="23"/>
      <c r="Z50" s="23"/>
      <c r="AA50" s="23"/>
      <c r="AB50" s="23"/>
      <c r="AC50" s="23"/>
      <c r="AD50" s="23"/>
      <c r="AE50" s="23"/>
      <c r="AF50" s="23"/>
      <c r="AG50" s="23"/>
      <c r="AH50" s="23"/>
      <c r="AI50" s="23"/>
      <c r="AJ50" s="23"/>
      <c r="AK50" s="23"/>
      <c r="BR50" s="351"/>
      <c r="BS50" s="351"/>
      <c r="BT50" s="351"/>
      <c r="BU50" s="351"/>
      <c r="BV50" s="351"/>
      <c r="BW50" s="351"/>
      <c r="BX50" s="351"/>
      <c r="BY50" s="351"/>
      <c r="BZ50" s="351"/>
      <c r="CA50" s="351"/>
      <c r="CB50" s="351"/>
    </row>
    <row r="51" spans="1:80" ht="14.4" x14ac:dyDescent="0.3">
      <c r="A51" s="197"/>
      <c r="B51" s="121"/>
      <c r="C51" s="121"/>
      <c r="D51" s="121"/>
      <c r="E51" s="121"/>
      <c r="F51" s="121"/>
      <c r="G51" s="121"/>
      <c r="H51" s="121"/>
      <c r="I51" s="121"/>
      <c r="J51" s="121"/>
      <c r="K51" s="121"/>
      <c r="L51" s="122"/>
      <c r="M51" s="122"/>
      <c r="N51" s="122"/>
      <c r="O51" s="122"/>
      <c r="P51" s="122"/>
      <c r="Q51" s="44"/>
      <c r="R51" s="44"/>
      <c r="S51" s="44"/>
      <c r="T51" s="44"/>
      <c r="U51" s="44"/>
      <c r="V51" s="44"/>
      <c r="W51" s="44"/>
      <c r="X51" s="44"/>
      <c r="Y51" s="44"/>
      <c r="Z51" s="44"/>
      <c r="AA51" s="44"/>
      <c r="AB51" s="44"/>
      <c r="AC51" s="44"/>
      <c r="AD51" s="44"/>
      <c r="AE51" s="44"/>
      <c r="AF51" s="44"/>
      <c r="AG51" s="44"/>
      <c r="AH51" s="44"/>
      <c r="AI51" s="44"/>
      <c r="AJ51" s="44"/>
      <c r="AK51" s="23"/>
      <c r="AL51" s="351"/>
      <c r="AM51" s="351"/>
      <c r="AN51" s="351"/>
      <c r="AO51" s="351"/>
      <c r="AP51" s="351"/>
      <c r="AQ51" s="351"/>
      <c r="AR51" s="351"/>
      <c r="AS51" s="351"/>
      <c r="AT51" s="351"/>
      <c r="AU51" s="351"/>
      <c r="AV51" s="351"/>
      <c r="AW51" s="351"/>
      <c r="AX51" s="351"/>
      <c r="AY51" s="351"/>
      <c r="AZ51" s="351"/>
      <c r="BA51" s="351"/>
      <c r="BB51" s="351"/>
      <c r="BC51" s="351"/>
      <c r="BD51" s="351"/>
      <c r="BE51" s="351"/>
      <c r="BF51" s="351"/>
      <c r="BG51" s="351"/>
      <c r="BH51" s="351"/>
      <c r="BI51" s="351"/>
      <c r="BJ51" s="351"/>
      <c r="BK51" s="351"/>
      <c r="BL51" s="351"/>
      <c r="BM51" s="351"/>
      <c r="BN51" s="351"/>
      <c r="BO51" s="351"/>
      <c r="BP51" s="351"/>
      <c r="BQ51" s="351"/>
    </row>
    <row r="52" spans="1:80" ht="13.8" x14ac:dyDescent="0.25">
      <c r="A52" s="9"/>
      <c r="B52" s="1177" t="s">
        <v>113</v>
      </c>
      <c r="C52" s="1178"/>
      <c r="D52" s="1178"/>
      <c r="E52" s="1178"/>
      <c r="F52" s="1178"/>
      <c r="G52" s="1178"/>
      <c r="H52" s="1178"/>
      <c r="I52" s="1178"/>
      <c r="J52" s="2642">
        <f>SUM(J41:J50)</f>
        <v>0</v>
      </c>
      <c r="K52" s="2642"/>
      <c r="L52" s="2639">
        <f>IF(thumb&lt;&gt;0,DASHBOARD!BD135+IFERROR(-FORECASTS!E76/12,0)+IFERROR(-FORECASTS!E77/12,0),DASHBOARD!AE128+DASHBOARD!AX128-DASHBOARD!K248+IF(AND(thumb=0,FORECASTS!E5&lt;&gt;3),-FORECASTS!E66/12,0)+IF(AND(thumb=0,FORECASTS!$E$5&lt;&gt;3),-FORECASTS!E67/12,0))</f>
        <v>0</v>
      </c>
      <c r="M52" s="2639"/>
      <c r="N52" s="2639"/>
      <c r="O52" s="2639"/>
      <c r="P52" s="2640"/>
      <c r="Q52" s="44"/>
      <c r="R52" s="44"/>
      <c r="S52" s="23"/>
      <c r="T52" s="23"/>
      <c r="U52" s="23"/>
      <c r="V52" s="23"/>
      <c r="W52" s="23"/>
      <c r="X52" s="23"/>
      <c r="Y52" s="23"/>
      <c r="Z52" s="23"/>
      <c r="AA52" s="23"/>
      <c r="AB52" s="23"/>
      <c r="AC52" s="23"/>
      <c r="AD52" s="23"/>
      <c r="AE52" s="23"/>
      <c r="AF52" s="23"/>
      <c r="AG52" s="23"/>
      <c r="AH52" s="23"/>
      <c r="AI52" s="23"/>
      <c r="AJ52" s="23"/>
      <c r="AK52" s="23"/>
    </row>
    <row r="53" spans="1:80" ht="13.8" x14ac:dyDescent="0.25">
      <c r="A53" s="9"/>
      <c r="B53" s="23"/>
      <c r="C53" s="23"/>
      <c r="D53" s="23"/>
      <c r="E53" s="23"/>
      <c r="F53" s="23"/>
      <c r="G53" s="23"/>
      <c r="H53" s="23"/>
      <c r="I53" s="23"/>
      <c r="J53" s="23"/>
      <c r="K53" s="23"/>
      <c r="L53" s="23"/>
      <c r="M53" s="23"/>
      <c r="N53" s="23"/>
      <c r="O53" s="23"/>
      <c r="P53" s="23"/>
      <c r="Q53" s="44"/>
      <c r="R53" s="44"/>
      <c r="S53" s="23"/>
      <c r="T53" s="23"/>
      <c r="U53" s="23"/>
      <c r="V53" s="23"/>
      <c r="W53" s="23"/>
      <c r="X53" s="23"/>
      <c r="Y53" s="23"/>
      <c r="Z53" s="23"/>
      <c r="AA53" s="23"/>
      <c r="AB53" s="23"/>
      <c r="AC53" s="23"/>
      <c r="AD53" s="23"/>
      <c r="AE53" s="23"/>
      <c r="AF53" s="23"/>
      <c r="AG53" s="23"/>
      <c r="AH53" s="23"/>
      <c r="AI53" s="23"/>
      <c r="AJ53" s="23"/>
      <c r="AK53" s="23"/>
    </row>
    <row r="54" spans="1:80" ht="13.8" x14ac:dyDescent="0.25">
      <c r="A54" s="9"/>
      <c r="B54" s="1500" t="s">
        <v>119</v>
      </c>
      <c r="C54" s="1500"/>
      <c r="D54" s="1500"/>
      <c r="E54" s="1500"/>
      <c r="F54" s="1500"/>
      <c r="G54" s="1500"/>
      <c r="H54" s="1500"/>
      <c r="I54" s="1500"/>
      <c r="J54" s="1500"/>
      <c r="K54" s="1500"/>
      <c r="L54" s="1500"/>
      <c r="M54" s="1500"/>
      <c r="N54" s="1500"/>
      <c r="O54" s="1500"/>
      <c r="P54" s="1500"/>
      <c r="Q54" s="44"/>
      <c r="R54" s="44"/>
      <c r="S54" s="23"/>
      <c r="T54" s="23"/>
      <c r="U54" s="23"/>
      <c r="V54" s="23"/>
      <c r="W54" s="23"/>
      <c r="X54" s="23"/>
      <c r="Y54" s="23"/>
      <c r="Z54" s="23"/>
      <c r="AA54" s="23"/>
      <c r="AB54" s="23"/>
      <c r="AC54" s="23"/>
      <c r="AD54" s="23"/>
      <c r="AE54" s="23"/>
      <c r="AF54" s="23"/>
      <c r="AG54" s="23"/>
      <c r="AH54" s="23"/>
      <c r="AI54" s="23"/>
      <c r="AJ54" s="23"/>
      <c r="AK54" s="23"/>
    </row>
    <row r="55" spans="1:80" ht="13.8" x14ac:dyDescent="0.25">
      <c r="A55" s="9"/>
      <c r="B55" s="23"/>
      <c r="C55" s="23"/>
      <c r="D55" s="23"/>
      <c r="E55" s="23"/>
      <c r="F55" s="23"/>
      <c r="G55" s="23"/>
      <c r="H55" s="23"/>
      <c r="I55" s="23"/>
      <c r="J55" s="23"/>
      <c r="K55" s="23"/>
      <c r="L55" s="23"/>
      <c r="M55" s="23"/>
      <c r="N55" s="23"/>
      <c r="O55" s="23"/>
      <c r="P55" s="23"/>
      <c r="Q55" s="44"/>
      <c r="R55" s="44"/>
      <c r="S55" s="23"/>
      <c r="T55" s="23"/>
      <c r="U55" s="23"/>
      <c r="V55" s="23"/>
      <c r="W55" s="23"/>
      <c r="X55" s="23"/>
      <c r="Y55" s="23"/>
      <c r="Z55" s="23"/>
      <c r="AA55" s="23"/>
      <c r="AB55" s="23"/>
      <c r="AC55" s="23"/>
      <c r="AD55" s="23"/>
      <c r="AE55" s="23"/>
      <c r="AF55" s="23"/>
      <c r="AG55" s="23"/>
      <c r="AH55" s="23"/>
      <c r="AI55" s="23"/>
      <c r="AJ55" s="23"/>
      <c r="AK55" s="23"/>
      <c r="AM55" s="378"/>
      <c r="AN55" s="378"/>
      <c r="AO55" s="378"/>
      <c r="AP55" s="378"/>
      <c r="AQ55" s="378"/>
      <c r="AR55" s="378"/>
      <c r="AS55" s="378"/>
    </row>
    <row r="56" spans="1:80" ht="13.8" x14ac:dyDescent="0.25">
      <c r="A56" s="9"/>
      <c r="B56" s="44" t="s">
        <v>120</v>
      </c>
      <c r="C56" s="44"/>
      <c r="D56" s="44"/>
      <c r="E56" s="44"/>
      <c r="F56" s="44"/>
      <c r="G56" s="44"/>
      <c r="H56" s="44"/>
      <c r="I56" s="44"/>
      <c r="J56" s="23"/>
      <c r="K56" s="23"/>
      <c r="L56" s="2625">
        <f>IF(thumb=0,0,DASHBOARD!BM192+DASHBOARD!BM194+DASHBOARD!BM195)</f>
        <v>0</v>
      </c>
      <c r="M56" s="2625"/>
      <c r="N56" s="2625"/>
      <c r="O56" s="2625"/>
      <c r="P56" s="2625"/>
      <c r="Q56" s="44"/>
      <c r="R56" s="44"/>
      <c r="S56" s="23"/>
      <c r="T56" s="23"/>
      <c r="U56" s="23"/>
      <c r="V56" s="23"/>
      <c r="W56" s="23"/>
      <c r="X56" s="23"/>
      <c r="Y56" s="23"/>
      <c r="Z56" s="23"/>
      <c r="AA56" s="23"/>
      <c r="AB56" s="23"/>
      <c r="AC56" s="23"/>
      <c r="AD56" s="23"/>
      <c r="AE56" s="23"/>
      <c r="AF56" s="23"/>
      <c r="AG56" s="23"/>
      <c r="AH56" s="23"/>
      <c r="AI56" s="23"/>
      <c r="AJ56" s="23"/>
      <c r="AK56" s="23"/>
      <c r="AM56" s="378"/>
      <c r="AN56" s="378"/>
      <c r="AO56" s="378"/>
      <c r="AP56" s="378"/>
      <c r="AQ56" s="378"/>
      <c r="AR56" s="378"/>
      <c r="AS56" s="378"/>
    </row>
    <row r="57" spans="1:80" ht="13.8" x14ac:dyDescent="0.25">
      <c r="A57" s="9"/>
      <c r="B57" s="44" t="s">
        <v>1002</v>
      </c>
      <c r="C57" s="44"/>
      <c r="D57" s="44"/>
      <c r="E57" s="44"/>
      <c r="F57" s="44"/>
      <c r="G57" s="44"/>
      <c r="H57" s="44"/>
      <c r="I57" s="44"/>
      <c r="J57" s="23"/>
      <c r="K57" s="23"/>
      <c r="L57" s="2625">
        <f>IF(thumb=0,0,-DASHBOARD!BM196)</f>
        <v>0</v>
      </c>
      <c r="M57" s="2625"/>
      <c r="N57" s="2625"/>
      <c r="O57" s="2625"/>
      <c r="P57" s="2625"/>
      <c r="Q57" s="44"/>
      <c r="R57" s="44"/>
      <c r="S57" s="23"/>
      <c r="T57" s="23"/>
      <c r="U57" s="23"/>
      <c r="V57" s="23"/>
      <c r="W57" s="23"/>
      <c r="X57" s="23"/>
      <c r="Y57" s="23"/>
      <c r="Z57" s="23"/>
      <c r="AA57" s="23"/>
      <c r="AB57" s="23"/>
      <c r="AC57" s="23"/>
      <c r="AD57" s="23"/>
      <c r="AE57" s="23"/>
      <c r="AF57" s="23"/>
      <c r="AG57" s="23"/>
      <c r="AH57" s="23"/>
      <c r="AI57" s="23"/>
      <c r="AJ57" s="23"/>
      <c r="AK57" s="23"/>
      <c r="AM57" s="378"/>
      <c r="AN57" s="378"/>
      <c r="AO57" s="378"/>
      <c r="AP57" s="378"/>
      <c r="AQ57" s="378"/>
      <c r="AR57" s="378"/>
      <c r="AS57" s="378"/>
    </row>
    <row r="58" spans="1:80" ht="13.8" x14ac:dyDescent="0.25">
      <c r="A58" s="9"/>
      <c r="B58" s="44" t="str">
        <f>thumb*100&amp;"% of Operating Expenses :"</f>
        <v>25% of Operating Expenses :</v>
      </c>
      <c r="C58" s="44"/>
      <c r="D58" s="44"/>
      <c r="E58" s="44"/>
      <c r="F58" s="44"/>
      <c r="G58" s="44"/>
      <c r="H58" s="44"/>
      <c r="I58" s="44"/>
      <c r="J58" s="23"/>
      <c r="K58" s="23"/>
      <c r="L58" s="2625">
        <f>IF(thumb=0,0,DASHBOARD!BM192*DASHBOARD!BD134)</f>
        <v>0</v>
      </c>
      <c r="M58" s="2625"/>
      <c r="N58" s="2625"/>
      <c r="O58" s="2625"/>
      <c r="P58" s="2625"/>
      <c r="Q58" s="44"/>
      <c r="R58" s="44"/>
      <c r="S58" s="23"/>
      <c r="T58" s="23"/>
      <c r="U58" s="23"/>
      <c r="V58" s="23"/>
      <c r="W58" s="23"/>
      <c r="X58" s="23"/>
      <c r="Y58" s="23"/>
      <c r="Z58" s="23"/>
      <c r="AA58" s="23"/>
      <c r="AB58" s="23"/>
      <c r="AC58" s="23"/>
      <c r="AD58" s="23"/>
      <c r="AE58" s="23"/>
      <c r="AF58" s="23"/>
      <c r="AG58" s="23"/>
      <c r="AH58" s="23"/>
      <c r="AI58" s="23"/>
      <c r="AJ58" s="23"/>
      <c r="AK58" s="23"/>
      <c r="AM58" s="378"/>
      <c r="AN58" s="378"/>
      <c r="AO58" s="378"/>
      <c r="AP58" s="378"/>
      <c r="AQ58" s="378"/>
      <c r="AR58" s="378"/>
      <c r="AS58" s="378"/>
    </row>
    <row r="59" spans="1:80" ht="13.8" x14ac:dyDescent="0.25">
      <c r="A59" s="9"/>
      <c r="B59" s="44" t="s">
        <v>110</v>
      </c>
      <c r="C59" s="44"/>
      <c r="D59" s="44"/>
      <c r="E59" s="44"/>
      <c r="F59" s="44"/>
      <c r="G59" s="44"/>
      <c r="H59" s="44"/>
      <c r="I59" s="44"/>
      <c r="J59" s="23"/>
      <c r="K59" s="23"/>
      <c r="L59" s="2625">
        <f>IF(thumb=0,0,AA31)</f>
        <v>1090.7326605107758</v>
      </c>
      <c r="M59" s="2625"/>
      <c r="N59" s="2625"/>
      <c r="O59" s="2625"/>
      <c r="P59" s="2625"/>
      <c r="Q59" s="44"/>
      <c r="R59" s="44"/>
      <c r="S59" s="23"/>
      <c r="T59" s="23"/>
      <c r="U59" s="23"/>
      <c r="V59" s="23"/>
      <c r="W59" s="23"/>
      <c r="X59" s="23"/>
      <c r="Y59" s="23"/>
      <c r="Z59" s="23"/>
      <c r="AA59" s="23"/>
      <c r="AB59" s="23"/>
      <c r="AC59" s="23"/>
      <c r="AD59" s="23"/>
      <c r="AE59" s="23"/>
      <c r="AF59" s="23"/>
      <c r="AG59" s="23"/>
      <c r="AH59" s="23"/>
      <c r="AI59" s="23"/>
      <c r="AJ59" s="23"/>
      <c r="AK59" s="23"/>
      <c r="AM59" s="378"/>
      <c r="AN59" s="378"/>
      <c r="AO59" s="378"/>
      <c r="AP59" s="378"/>
      <c r="AQ59" s="378"/>
      <c r="AR59" s="378"/>
      <c r="AS59" s="378"/>
    </row>
    <row r="60" spans="1:80" ht="13.8" x14ac:dyDescent="0.25">
      <c r="A60" s="9"/>
      <c r="B60" s="46" t="s">
        <v>121</v>
      </c>
      <c r="C60" s="46"/>
      <c r="D60" s="46"/>
      <c r="E60" s="46"/>
      <c r="F60" s="46"/>
      <c r="G60" s="46"/>
      <c r="H60" s="46"/>
      <c r="I60" s="46"/>
      <c r="J60" s="47"/>
      <c r="K60" s="47"/>
      <c r="L60" s="2643">
        <f>L56-L57-L58-L59</f>
        <v>-1090.7326605107758</v>
      </c>
      <c r="M60" s="2643"/>
      <c r="N60" s="2643"/>
      <c r="O60" s="2643"/>
      <c r="P60" s="2643"/>
      <c r="Q60" s="44"/>
      <c r="R60" s="44"/>
      <c r="S60" s="23"/>
      <c r="T60" s="23"/>
      <c r="U60" s="23"/>
      <c r="V60" s="23"/>
      <c r="W60" s="23"/>
      <c r="X60" s="23"/>
      <c r="Y60" s="23"/>
      <c r="Z60" s="23"/>
      <c r="AA60" s="23"/>
      <c r="AB60" s="23"/>
      <c r="AC60" s="23"/>
      <c r="AD60" s="23"/>
      <c r="AE60" s="23"/>
      <c r="AF60" s="23"/>
      <c r="AG60" s="23"/>
      <c r="AH60" s="23"/>
      <c r="AI60" s="23"/>
      <c r="AJ60" s="23"/>
      <c r="AK60" s="23"/>
      <c r="AM60" s="378"/>
      <c r="AN60" s="378"/>
      <c r="AO60" s="378"/>
      <c r="AP60" s="378"/>
      <c r="AQ60" s="378"/>
      <c r="AR60" s="378"/>
      <c r="AS60" s="378"/>
    </row>
    <row r="61" spans="1:80" ht="13.8" x14ac:dyDescent="0.25">
      <c r="A61" s="9"/>
      <c r="B61" s="81"/>
      <c r="C61" s="81"/>
      <c r="D61" s="81"/>
      <c r="E61" s="81"/>
      <c r="F61" s="81"/>
      <c r="G61" s="81"/>
      <c r="H61" s="81"/>
      <c r="I61" s="81"/>
      <c r="J61" s="80"/>
      <c r="K61" s="82"/>
      <c r="L61" s="82"/>
      <c r="M61" s="82"/>
      <c r="N61" s="82"/>
      <c r="O61" s="82"/>
      <c r="P61" s="82"/>
      <c r="Q61" s="82"/>
      <c r="R61" s="82"/>
      <c r="S61" s="80"/>
      <c r="T61" s="80"/>
      <c r="U61" s="80"/>
      <c r="V61" s="80"/>
      <c r="W61" s="80"/>
      <c r="X61" s="80"/>
      <c r="Y61" s="80"/>
      <c r="Z61" s="80"/>
      <c r="AA61" s="80"/>
      <c r="AB61" s="80"/>
      <c r="AC61" s="80"/>
      <c r="AD61" s="80"/>
      <c r="AE61" s="80"/>
      <c r="AF61" s="80"/>
      <c r="AG61" s="80"/>
      <c r="AH61" s="80"/>
      <c r="AI61" s="80"/>
      <c r="AJ61" s="80"/>
      <c r="AK61" s="23"/>
      <c r="AM61" s="378"/>
      <c r="AN61" s="378"/>
      <c r="AO61" s="378"/>
      <c r="AP61" s="378"/>
      <c r="AQ61" s="378"/>
      <c r="AR61" s="378"/>
      <c r="AS61" s="378"/>
    </row>
    <row r="62" spans="1:80" ht="13.8" x14ac:dyDescent="0.25">
      <c r="A62" s="9"/>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23"/>
      <c r="AE62" s="23"/>
      <c r="AF62" s="23"/>
      <c r="AG62" s="23"/>
      <c r="AH62" s="23"/>
      <c r="AI62" s="23"/>
      <c r="AJ62" s="23"/>
      <c r="AK62" s="23"/>
      <c r="AM62" s="378"/>
      <c r="AN62" s="378"/>
      <c r="AO62" s="378"/>
      <c r="AP62" s="378"/>
      <c r="AQ62" s="378"/>
      <c r="AR62" s="378"/>
      <c r="AS62" s="378"/>
    </row>
    <row r="63" spans="1:80" ht="13.8" x14ac:dyDescent="0.25">
      <c r="A63" s="9"/>
      <c r="B63" s="1500" t="s">
        <v>125</v>
      </c>
      <c r="C63" s="1500"/>
      <c r="D63" s="1500"/>
      <c r="E63" s="1500"/>
      <c r="F63" s="1500"/>
      <c r="G63" s="1500"/>
      <c r="H63" s="1500"/>
      <c r="I63" s="1500"/>
      <c r="J63" s="1500"/>
      <c r="K63" s="1500"/>
      <c r="L63" s="1500"/>
      <c r="M63" s="1500"/>
      <c r="N63" s="1500"/>
      <c r="O63" s="1500"/>
      <c r="P63" s="1500"/>
      <c r="Q63" s="1500"/>
      <c r="R63" s="1500"/>
      <c r="S63" s="1500"/>
      <c r="T63" s="1500"/>
      <c r="U63" s="1500"/>
      <c r="V63" s="1500"/>
      <c r="W63" s="1500"/>
      <c r="X63" s="1500"/>
      <c r="Y63" s="1500"/>
      <c r="Z63" s="1500"/>
      <c r="AA63" s="1500"/>
      <c r="AB63" s="1500"/>
      <c r="AC63" s="1500"/>
      <c r="AD63" s="1500"/>
      <c r="AE63" s="1500"/>
      <c r="AF63" s="1500"/>
      <c r="AG63" s="1500"/>
      <c r="AH63" s="1500"/>
      <c r="AI63" s="1500"/>
      <c r="AJ63" s="1500"/>
      <c r="AK63" s="23"/>
      <c r="AM63" s="378"/>
      <c r="AN63" s="378"/>
      <c r="AO63" s="378"/>
      <c r="AP63" s="378"/>
      <c r="AQ63" s="378"/>
      <c r="AR63" s="378"/>
      <c r="AS63" s="378"/>
    </row>
    <row r="64" spans="1:80" ht="13.8" x14ac:dyDescent="0.25">
      <c r="A64" s="9"/>
      <c r="B64" s="44"/>
      <c r="C64" s="44"/>
      <c r="D64" s="44"/>
      <c r="E64" s="44"/>
      <c r="F64" s="44"/>
      <c r="G64" s="44"/>
      <c r="H64" s="44"/>
      <c r="I64" s="44"/>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M64" s="378"/>
      <c r="AN64" s="378"/>
      <c r="AO64" s="378"/>
      <c r="AP64" s="378"/>
      <c r="AQ64" s="378"/>
      <c r="AR64" s="378"/>
      <c r="AS64" s="378"/>
    </row>
    <row r="65" spans="1:80" ht="13.8" x14ac:dyDescent="0.25">
      <c r="A65" s="9"/>
      <c r="B65" s="44"/>
      <c r="C65" s="44"/>
      <c r="D65" s="44"/>
      <c r="E65" s="44"/>
      <c r="F65" s="44"/>
      <c r="G65" s="44"/>
      <c r="H65" s="44"/>
      <c r="I65" s="44"/>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M65" s="378"/>
      <c r="AN65" s="378"/>
      <c r="AO65" s="378"/>
      <c r="AP65" s="378"/>
      <c r="AQ65" s="378"/>
      <c r="AR65" s="378"/>
      <c r="AS65" s="378"/>
    </row>
    <row r="66" spans="1:80" ht="13.8" x14ac:dyDescent="0.25">
      <c r="A66" s="9"/>
      <c r="B66" s="44"/>
      <c r="C66" s="44"/>
      <c r="D66" s="44"/>
      <c r="E66" s="44"/>
      <c r="F66" s="44"/>
      <c r="G66" s="44"/>
      <c r="H66" s="44"/>
      <c r="I66" s="44"/>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M66" s="378"/>
      <c r="AN66" s="378"/>
      <c r="AO66" s="378"/>
      <c r="AP66" s="378"/>
      <c r="AQ66" s="378"/>
      <c r="AR66" s="378"/>
      <c r="AS66" s="378"/>
    </row>
    <row r="67" spans="1:80" ht="13.8" x14ac:dyDescent="0.25">
      <c r="A67" s="9"/>
      <c r="B67" s="44"/>
      <c r="C67" s="44"/>
      <c r="D67" s="44"/>
      <c r="E67" s="44"/>
      <c r="F67" s="44"/>
      <c r="G67" s="44"/>
      <c r="H67" s="44"/>
      <c r="I67" s="44"/>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M67" s="378"/>
      <c r="AN67" s="378"/>
      <c r="AO67" s="378"/>
      <c r="AP67" s="378"/>
      <c r="AQ67" s="378"/>
      <c r="AR67" s="378"/>
      <c r="AS67" s="378"/>
    </row>
    <row r="68" spans="1:80" ht="13.8" x14ac:dyDescent="0.25">
      <c r="A68" s="9"/>
      <c r="B68" s="44"/>
      <c r="C68" s="44"/>
      <c r="D68" s="44"/>
      <c r="E68" s="44"/>
      <c r="F68" s="44"/>
      <c r="G68" s="44"/>
      <c r="H68" s="44"/>
      <c r="I68" s="44"/>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M68" s="378"/>
      <c r="AN68" s="378"/>
      <c r="AO68" s="378"/>
      <c r="AP68" s="378"/>
      <c r="AQ68" s="378"/>
      <c r="AR68" s="378"/>
      <c r="AS68" s="378"/>
    </row>
    <row r="69" spans="1:80" ht="13.8" x14ac:dyDescent="0.25">
      <c r="A69" s="9"/>
      <c r="B69" s="44"/>
      <c r="C69" s="44"/>
      <c r="D69" s="44"/>
      <c r="E69" s="44"/>
      <c r="F69" s="44"/>
      <c r="G69" s="44"/>
      <c r="H69" s="44"/>
      <c r="I69" s="44"/>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row>
    <row r="70" spans="1:80" ht="13.8" x14ac:dyDescent="0.25">
      <c r="A70" s="9"/>
      <c r="B70" s="44"/>
      <c r="C70" s="44"/>
      <c r="D70" s="44"/>
      <c r="E70" s="44"/>
      <c r="F70" s="44"/>
      <c r="G70" s="44"/>
      <c r="H70" s="44"/>
      <c r="I70" s="44"/>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row>
    <row r="71" spans="1:80" ht="13.8" x14ac:dyDescent="0.25">
      <c r="A71" s="9"/>
      <c r="B71" s="44"/>
      <c r="C71" s="44"/>
      <c r="D71" s="44"/>
      <c r="E71" s="44"/>
      <c r="F71" s="44"/>
      <c r="G71" s="44"/>
      <c r="H71" s="44"/>
      <c r="I71" s="44"/>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row>
    <row r="72" spans="1:80" ht="13.8" x14ac:dyDescent="0.25">
      <c r="A72" s="9"/>
      <c r="B72" s="44"/>
      <c r="C72" s="44"/>
      <c r="D72" s="44"/>
      <c r="E72" s="44"/>
      <c r="F72" s="44"/>
      <c r="G72" s="44"/>
      <c r="H72" s="44"/>
      <c r="I72" s="44"/>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row>
    <row r="73" spans="1:80" ht="13.8" x14ac:dyDescent="0.25">
      <c r="A73" s="9"/>
      <c r="B73" s="44"/>
      <c r="C73" s="44"/>
      <c r="D73" s="44"/>
      <c r="E73" s="44"/>
      <c r="F73" s="44"/>
      <c r="G73" s="44"/>
      <c r="H73" s="44"/>
      <c r="I73" s="44"/>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row>
    <row r="74" spans="1:80" ht="13.8" x14ac:dyDescent="0.25">
      <c r="A74" s="9"/>
      <c r="B74" s="44"/>
      <c r="C74" s="44"/>
      <c r="D74" s="44"/>
      <c r="E74" s="44"/>
      <c r="F74" s="44"/>
      <c r="G74" s="44"/>
      <c r="H74" s="44"/>
      <c r="I74" s="44"/>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row>
    <row r="75" spans="1:80" ht="13.8" x14ac:dyDescent="0.25">
      <c r="A75" s="9"/>
      <c r="B75" s="44"/>
      <c r="C75" s="44"/>
      <c r="D75" s="44"/>
      <c r="E75" s="44"/>
      <c r="F75" s="44"/>
      <c r="G75" s="44"/>
      <c r="H75" s="44"/>
      <c r="I75" s="44"/>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row>
    <row r="76" spans="1:80" ht="13.8" x14ac:dyDescent="0.25">
      <c r="A76" s="9"/>
      <c r="B76" s="44"/>
      <c r="C76" s="44"/>
      <c r="D76" s="44"/>
      <c r="E76" s="44"/>
      <c r="F76" s="44"/>
      <c r="G76" s="44"/>
      <c r="H76" s="44"/>
      <c r="I76" s="44"/>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row>
    <row r="77" spans="1:80" ht="13.8" x14ac:dyDescent="0.25">
      <c r="A77" s="9"/>
      <c r="B77" s="44"/>
      <c r="C77" s="44"/>
      <c r="D77" s="44"/>
      <c r="E77" s="44"/>
      <c r="F77" s="44"/>
      <c r="G77" s="44"/>
      <c r="H77" s="44"/>
      <c r="I77" s="44"/>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row>
    <row r="78" spans="1:80" ht="13.8" x14ac:dyDescent="0.25">
      <c r="A78" s="9"/>
      <c r="B78" s="44"/>
      <c r="C78" s="44"/>
      <c r="D78" s="44"/>
      <c r="E78" s="44"/>
      <c r="F78" s="44"/>
      <c r="G78" s="44"/>
      <c r="H78" s="44"/>
      <c r="I78" s="44"/>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row>
    <row r="79" spans="1:80" s="352" customFormat="1" ht="13.8" x14ac:dyDescent="0.25">
      <c r="A79" s="9"/>
      <c r="B79" s="44"/>
      <c r="C79" s="44"/>
      <c r="D79" s="44"/>
      <c r="E79" s="44"/>
      <c r="F79" s="44"/>
      <c r="G79" s="44"/>
      <c r="H79" s="44"/>
      <c r="I79" s="44"/>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331"/>
      <c r="AM79" s="331"/>
      <c r="AN79" s="331"/>
      <c r="AO79" s="331"/>
      <c r="AP79" s="331"/>
      <c r="AQ79" s="331"/>
      <c r="AR79" s="331"/>
      <c r="AS79" s="331"/>
      <c r="AT79" s="331"/>
      <c r="AU79" s="331"/>
      <c r="AV79" s="331"/>
      <c r="AW79" s="331"/>
      <c r="AX79" s="331"/>
      <c r="AY79" s="331"/>
      <c r="AZ79" s="331"/>
      <c r="BA79" s="331"/>
      <c r="BB79" s="331"/>
      <c r="BC79" s="331"/>
      <c r="BD79" s="331"/>
      <c r="BE79" s="331"/>
      <c r="BF79" s="331"/>
      <c r="BG79" s="331"/>
      <c r="BH79" s="331"/>
      <c r="BI79" s="331"/>
      <c r="BJ79" s="331"/>
      <c r="BK79" s="331"/>
      <c r="BL79" s="331"/>
      <c r="BM79" s="331"/>
      <c r="BN79" s="331"/>
      <c r="BO79" s="331"/>
      <c r="BP79" s="331"/>
      <c r="BQ79" s="331"/>
      <c r="BR79" s="331"/>
      <c r="BS79" s="331"/>
      <c r="BT79" s="331"/>
      <c r="BU79" s="331"/>
      <c r="BV79" s="331"/>
      <c r="BW79" s="331"/>
      <c r="BX79" s="331"/>
      <c r="BY79" s="331"/>
      <c r="BZ79" s="331"/>
      <c r="CA79" s="331"/>
      <c r="CB79" s="331"/>
    </row>
    <row r="80" spans="1:80" s="349" customFormat="1" ht="14.4" x14ac:dyDescent="0.3">
      <c r="A80" s="9"/>
      <c r="B80" s="44"/>
      <c r="C80" s="44"/>
      <c r="D80" s="44"/>
      <c r="E80" s="44"/>
      <c r="F80" s="44"/>
      <c r="G80" s="44"/>
      <c r="H80" s="44"/>
      <c r="I80" s="44"/>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331"/>
      <c r="AM80" s="331"/>
      <c r="AN80" s="331"/>
      <c r="AO80" s="331"/>
      <c r="AP80" s="331"/>
      <c r="AQ80" s="331"/>
      <c r="AR80" s="331"/>
      <c r="AS80" s="331"/>
      <c r="AT80" s="331"/>
      <c r="AU80" s="331"/>
      <c r="AV80" s="331"/>
      <c r="AW80" s="331"/>
      <c r="AX80" s="331"/>
      <c r="AY80" s="331"/>
      <c r="AZ80" s="331"/>
      <c r="BA80" s="331"/>
      <c r="BB80" s="331"/>
      <c r="BC80" s="331"/>
      <c r="BD80" s="331"/>
      <c r="BE80" s="331"/>
      <c r="BF80" s="331"/>
      <c r="BG80" s="331"/>
      <c r="BH80" s="331"/>
      <c r="BI80" s="331"/>
      <c r="BJ80" s="331"/>
      <c r="BK80" s="331"/>
      <c r="BL80" s="331"/>
      <c r="BM80" s="331"/>
      <c r="BN80" s="331"/>
      <c r="BO80" s="331"/>
      <c r="BP80" s="331"/>
      <c r="BQ80" s="331"/>
      <c r="BR80" s="352"/>
      <c r="BS80" s="352"/>
      <c r="BT80" s="352"/>
      <c r="BU80" s="352"/>
      <c r="BV80" s="352"/>
      <c r="BW80" s="352"/>
      <c r="BX80" s="352"/>
      <c r="BY80" s="352"/>
      <c r="BZ80" s="352"/>
      <c r="CA80" s="352"/>
      <c r="CB80" s="352"/>
    </row>
    <row r="81" spans="1:80" ht="14.4" x14ac:dyDescent="0.3">
      <c r="A81" s="198"/>
      <c r="B81" s="44"/>
      <c r="C81" s="44"/>
      <c r="D81" s="44"/>
      <c r="E81" s="44"/>
      <c r="F81" s="44"/>
      <c r="G81" s="44"/>
      <c r="H81" s="44"/>
      <c r="I81" s="44"/>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352"/>
      <c r="AM81" s="352"/>
      <c r="AN81" s="352"/>
      <c r="AO81" s="352"/>
      <c r="AP81" s="352"/>
      <c r="AQ81" s="352"/>
      <c r="AR81" s="352"/>
      <c r="AS81" s="352"/>
      <c r="AT81" s="352"/>
      <c r="AU81" s="352"/>
      <c r="AV81" s="352"/>
      <c r="AW81" s="352"/>
      <c r="AX81" s="352"/>
      <c r="AY81" s="352"/>
      <c r="AZ81" s="352"/>
      <c r="BA81" s="352"/>
      <c r="BB81" s="352"/>
      <c r="BC81" s="352"/>
      <c r="BD81" s="352"/>
      <c r="BE81" s="352"/>
      <c r="BF81" s="352"/>
      <c r="BG81" s="352"/>
      <c r="BH81" s="352"/>
      <c r="BI81" s="352"/>
      <c r="BJ81" s="352"/>
      <c r="BK81" s="352"/>
      <c r="BL81" s="352"/>
      <c r="BM81" s="352"/>
      <c r="BN81" s="352"/>
      <c r="BO81" s="352"/>
      <c r="BP81" s="352"/>
      <c r="BQ81" s="352"/>
      <c r="BR81" s="349"/>
      <c r="BS81" s="349"/>
      <c r="BT81" s="349"/>
      <c r="BU81" s="349"/>
      <c r="BV81" s="349"/>
      <c r="BW81" s="349"/>
      <c r="BX81" s="349"/>
      <c r="BY81" s="349"/>
      <c r="BZ81" s="349"/>
      <c r="CA81" s="349"/>
      <c r="CB81" s="349"/>
    </row>
    <row r="82" spans="1:80" ht="14.4" x14ac:dyDescent="0.3">
      <c r="A82" s="196"/>
      <c r="B82" s="44"/>
      <c r="C82" s="44"/>
      <c r="D82" s="44"/>
      <c r="E82" s="44"/>
      <c r="F82" s="44"/>
      <c r="G82" s="44"/>
      <c r="H82" s="44"/>
      <c r="I82" s="44"/>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349"/>
      <c r="AM82" s="349"/>
      <c r="AN82" s="349"/>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row>
    <row r="83" spans="1:80" ht="13.8" x14ac:dyDescent="0.25">
      <c r="A83" s="9"/>
      <c r="B83" s="44"/>
      <c r="C83" s="44"/>
      <c r="D83" s="44"/>
      <c r="E83" s="44"/>
      <c r="F83" s="44"/>
      <c r="G83" s="44"/>
      <c r="H83" s="44"/>
      <c r="I83" s="44"/>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row>
    <row r="84" spans="1:80" ht="13.8" x14ac:dyDescent="0.25">
      <c r="A84" s="9"/>
      <c r="B84" s="44"/>
      <c r="C84" s="44"/>
      <c r="D84" s="44"/>
      <c r="E84" s="44"/>
      <c r="F84" s="44"/>
      <c r="G84" s="44"/>
      <c r="H84" s="44"/>
      <c r="I84" s="44"/>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row>
    <row r="85" spans="1:80" ht="13.8" x14ac:dyDescent="0.25">
      <c r="A85" s="9"/>
      <c r="B85" s="44"/>
      <c r="C85" s="44"/>
      <c r="D85" s="44"/>
      <c r="E85" s="44"/>
      <c r="F85" s="44"/>
      <c r="G85" s="44"/>
      <c r="H85" s="44"/>
      <c r="I85" s="44"/>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row>
    <row r="86" spans="1:80" ht="13.8" x14ac:dyDescent="0.25">
      <c r="A86" s="9"/>
      <c r="B86" s="44"/>
      <c r="C86" s="44"/>
      <c r="D86" s="44"/>
      <c r="E86" s="44"/>
      <c r="F86" s="44"/>
      <c r="G86" s="44"/>
      <c r="H86" s="44"/>
      <c r="I86" s="44"/>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row>
    <row r="87" spans="1:80" ht="13.8" x14ac:dyDescent="0.25">
      <c r="A87" s="9"/>
      <c r="B87" s="44"/>
      <c r="C87" s="44"/>
      <c r="D87" s="44"/>
      <c r="E87" s="44"/>
      <c r="F87" s="44"/>
      <c r="G87" s="44"/>
      <c r="H87" s="44"/>
      <c r="I87" s="44"/>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row>
    <row r="88" spans="1:80" ht="13.8" x14ac:dyDescent="0.25">
      <c r="A88" s="9"/>
      <c r="B88" s="44"/>
      <c r="C88" s="44"/>
      <c r="D88" s="44"/>
      <c r="E88" s="44"/>
      <c r="F88" s="44"/>
      <c r="G88" s="44"/>
      <c r="H88" s="44"/>
      <c r="I88" s="44"/>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row>
    <row r="89" spans="1:80" ht="13.8" x14ac:dyDescent="0.25">
      <c r="A89" s="9"/>
      <c r="B89" s="44"/>
      <c r="C89" s="44"/>
      <c r="D89" s="44"/>
      <c r="E89" s="44"/>
      <c r="F89" s="44"/>
      <c r="G89" s="44"/>
      <c r="H89" s="44"/>
      <c r="I89" s="44"/>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row>
    <row r="90" spans="1:80" ht="13.8" x14ac:dyDescent="0.25">
      <c r="A90" s="9"/>
      <c r="B90" s="44"/>
      <c r="C90" s="44"/>
      <c r="D90" s="44"/>
      <c r="E90" s="44"/>
      <c r="F90" s="44"/>
      <c r="G90" s="44"/>
      <c r="H90" s="44"/>
      <c r="I90" s="44"/>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row>
    <row r="91" spans="1:80" ht="13.8" x14ac:dyDescent="0.25">
      <c r="A91" s="9"/>
      <c r="B91" s="44"/>
      <c r="C91" s="44"/>
      <c r="D91" s="44"/>
      <c r="E91" s="44"/>
      <c r="F91" s="44"/>
      <c r="G91" s="44"/>
      <c r="H91" s="44"/>
      <c r="I91" s="44"/>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row>
    <row r="92" spans="1:80" ht="13.8" x14ac:dyDescent="0.25">
      <c r="A92" s="9"/>
      <c r="B92" s="44"/>
      <c r="C92" s="44"/>
      <c r="D92" s="44"/>
      <c r="E92" s="44"/>
      <c r="F92" s="44"/>
      <c r="G92" s="44"/>
      <c r="H92" s="44"/>
      <c r="I92" s="44"/>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row>
    <row r="93" spans="1:80" ht="13.8" x14ac:dyDescent="0.25">
      <c r="A93" s="9"/>
      <c r="B93" s="44"/>
      <c r="C93" s="44"/>
      <c r="D93" s="44"/>
      <c r="E93" s="44"/>
      <c r="F93" s="44"/>
      <c r="G93" s="44"/>
      <c r="H93" s="44"/>
      <c r="I93" s="44"/>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row>
    <row r="94" spans="1:80" ht="13.8" x14ac:dyDescent="0.25">
      <c r="A94" s="9"/>
      <c r="B94" s="44"/>
      <c r="C94" s="44"/>
      <c r="D94" s="44"/>
      <c r="E94" s="44"/>
      <c r="F94" s="44"/>
      <c r="G94" s="44"/>
      <c r="H94" s="44"/>
      <c r="I94" s="44"/>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row>
    <row r="95" spans="1:80" ht="13.8" x14ac:dyDescent="0.25">
      <c r="A95" s="9"/>
      <c r="B95" s="44"/>
      <c r="C95" s="44"/>
      <c r="D95" s="44"/>
      <c r="E95" s="44"/>
      <c r="F95" s="44"/>
      <c r="G95" s="44"/>
      <c r="H95" s="44"/>
      <c r="I95" s="44"/>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row>
    <row r="96" spans="1:80" ht="13.8" x14ac:dyDescent="0.25">
      <c r="A96" s="9"/>
      <c r="B96" s="44"/>
      <c r="C96" s="44"/>
      <c r="D96" s="44"/>
      <c r="E96" s="44"/>
      <c r="F96" s="44"/>
      <c r="G96" s="44"/>
      <c r="H96" s="44"/>
      <c r="I96" s="44"/>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row>
    <row r="97" spans="1:80" ht="14.25" customHeight="1" x14ac:dyDescent="0.25">
      <c r="A97" s="9"/>
      <c r="B97" s="44"/>
      <c r="C97" s="44"/>
      <c r="D97" s="44"/>
      <c r="E97" s="44"/>
      <c r="F97" s="44"/>
      <c r="G97" s="44"/>
      <c r="H97" s="44"/>
      <c r="I97" s="44"/>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row>
    <row r="98" spans="1:80" s="353" customFormat="1" ht="13.5" customHeight="1" x14ac:dyDescent="0.25">
      <c r="A98" s="9"/>
      <c r="B98" s="44"/>
      <c r="C98" s="44"/>
      <c r="D98" s="44"/>
      <c r="E98" s="44"/>
      <c r="F98" s="44"/>
      <c r="G98" s="44"/>
      <c r="H98" s="44"/>
      <c r="I98" s="44"/>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331"/>
      <c r="AM98" s="331"/>
      <c r="AN98" s="331"/>
      <c r="AO98" s="331"/>
      <c r="AP98" s="331"/>
      <c r="AQ98" s="331"/>
      <c r="AR98" s="331"/>
      <c r="AS98" s="331"/>
      <c r="AT98" s="331"/>
      <c r="AU98" s="331"/>
      <c r="AV98" s="331"/>
      <c r="AW98" s="331"/>
      <c r="AX98" s="331"/>
      <c r="AY98" s="331"/>
      <c r="AZ98" s="331"/>
      <c r="BA98" s="331"/>
      <c r="BB98" s="331"/>
      <c r="BC98" s="331"/>
      <c r="BD98" s="331"/>
      <c r="BE98" s="331"/>
      <c r="BF98" s="331"/>
      <c r="BG98" s="331"/>
      <c r="BH98" s="331"/>
      <c r="BI98" s="331"/>
      <c r="BJ98" s="331"/>
      <c r="BK98" s="331"/>
      <c r="BL98" s="331"/>
      <c r="BM98" s="331"/>
      <c r="BN98" s="331"/>
      <c r="BO98" s="331"/>
      <c r="BP98" s="331"/>
      <c r="BQ98" s="331"/>
      <c r="BR98" s="331"/>
      <c r="BS98" s="331"/>
      <c r="BT98" s="331"/>
      <c r="BU98" s="331"/>
      <c r="BV98" s="331"/>
      <c r="BW98" s="331"/>
      <c r="BX98" s="331"/>
      <c r="BY98" s="331"/>
      <c r="BZ98" s="331"/>
      <c r="CA98" s="331"/>
      <c r="CB98" s="331"/>
    </row>
    <row r="99" spans="1:80" ht="13.5" customHeight="1" x14ac:dyDescent="0.25">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BR99" s="353"/>
      <c r="BS99" s="353"/>
      <c r="BT99" s="353"/>
      <c r="BU99" s="353"/>
      <c r="BV99" s="353"/>
      <c r="BW99" s="353"/>
      <c r="BX99" s="353"/>
      <c r="BY99" s="353"/>
      <c r="BZ99" s="353"/>
      <c r="CA99" s="353"/>
      <c r="CB99" s="353"/>
    </row>
    <row r="100" spans="1:80" ht="13.5" customHeight="1" x14ac:dyDescent="0.25">
      <c r="A100" s="173" t="str">
        <f>DISCLAIMER!$A$35</f>
        <v>© 2025 by WinsWithMike.com or Michael Forsberg Nampa, Idaho. All rights reserved</v>
      </c>
      <c r="B100" s="173"/>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353"/>
      <c r="AM100" s="353"/>
      <c r="AN100" s="353"/>
      <c r="AO100" s="353"/>
      <c r="AP100" s="353"/>
      <c r="AQ100" s="353"/>
      <c r="AR100" s="353"/>
      <c r="AS100" s="353"/>
      <c r="AT100" s="353"/>
      <c r="AU100" s="353"/>
      <c r="AV100" s="353"/>
      <c r="AW100" s="353"/>
      <c r="AX100" s="353"/>
      <c r="AY100" s="353"/>
      <c r="AZ100" s="353"/>
      <c r="BA100" s="353"/>
      <c r="BB100" s="353"/>
      <c r="BC100" s="353"/>
      <c r="BD100" s="353"/>
      <c r="BE100" s="353"/>
      <c r="BF100" s="353"/>
      <c r="BG100" s="353"/>
      <c r="BH100" s="353"/>
      <c r="BI100" s="353"/>
      <c r="BJ100" s="353"/>
      <c r="BK100" s="353"/>
      <c r="BL100" s="353"/>
      <c r="BM100" s="353"/>
      <c r="BN100" s="353"/>
      <c r="BO100" s="353"/>
      <c r="BP100" s="353"/>
      <c r="BQ100" s="353"/>
    </row>
  </sheetData>
  <sheetProtection sheet="1" objects="1" scenarios="1" selectLockedCells="1"/>
  <mergeCells count="85">
    <mergeCell ref="L56:P56"/>
    <mergeCell ref="L57:P57"/>
    <mergeCell ref="L58:P58"/>
    <mergeCell ref="L59:P59"/>
    <mergeCell ref="L60:P60"/>
    <mergeCell ref="L49:P49"/>
    <mergeCell ref="L50:P50"/>
    <mergeCell ref="L52:P52"/>
    <mergeCell ref="J41:K41"/>
    <mergeCell ref="J42:K42"/>
    <mergeCell ref="J43:K43"/>
    <mergeCell ref="J44:K44"/>
    <mergeCell ref="J45:K45"/>
    <mergeCell ref="J46:K46"/>
    <mergeCell ref="J47:K47"/>
    <mergeCell ref="J48:K48"/>
    <mergeCell ref="J49:K49"/>
    <mergeCell ref="J50:K50"/>
    <mergeCell ref="J52:K52"/>
    <mergeCell ref="L44:P44"/>
    <mergeCell ref="L45:P45"/>
    <mergeCell ref="L46:P46"/>
    <mergeCell ref="L47:P47"/>
    <mergeCell ref="L48:P48"/>
    <mergeCell ref="AA34:AE34"/>
    <mergeCell ref="L39:P39"/>
    <mergeCell ref="L41:P41"/>
    <mergeCell ref="L42:P42"/>
    <mergeCell ref="L43:P43"/>
    <mergeCell ref="AF31:AJ31"/>
    <mergeCell ref="AF32:AJ32"/>
    <mergeCell ref="AA26:AE26"/>
    <mergeCell ref="AA27:AE27"/>
    <mergeCell ref="AA28:AE28"/>
    <mergeCell ref="AA29:AE29"/>
    <mergeCell ref="AA30:AE30"/>
    <mergeCell ref="AF26:AJ26"/>
    <mergeCell ref="AF27:AJ27"/>
    <mergeCell ref="AF28:AJ28"/>
    <mergeCell ref="AF29:AJ29"/>
    <mergeCell ref="AF30:AJ30"/>
    <mergeCell ref="L32:P32"/>
    <mergeCell ref="L33:P33"/>
    <mergeCell ref="L34:P34"/>
    <mergeCell ref="L35:P35"/>
    <mergeCell ref="T19:AA19"/>
    <mergeCell ref="T21:AA21"/>
    <mergeCell ref="T22:AA22"/>
    <mergeCell ref="L27:P27"/>
    <mergeCell ref="L28:P28"/>
    <mergeCell ref="L29:P29"/>
    <mergeCell ref="L30:P30"/>
    <mergeCell ref="L31:P31"/>
    <mergeCell ref="AA31:AE31"/>
    <mergeCell ref="AA32:AE32"/>
    <mergeCell ref="B19:I19"/>
    <mergeCell ref="B21:I21"/>
    <mergeCell ref="B22:I22"/>
    <mergeCell ref="K15:R15"/>
    <mergeCell ref="K16:R16"/>
    <mergeCell ref="K18:R18"/>
    <mergeCell ref="K19:R19"/>
    <mergeCell ref="K21:R21"/>
    <mergeCell ref="K22:R22"/>
    <mergeCell ref="B15:I15"/>
    <mergeCell ref="B16:I16"/>
    <mergeCell ref="B18:I18"/>
    <mergeCell ref="O10:S10"/>
    <mergeCell ref="T15:AA15"/>
    <mergeCell ref="T16:AA16"/>
    <mergeCell ref="T18:AA18"/>
    <mergeCell ref="AC22:AJ22"/>
    <mergeCell ref="AC15:AJ15"/>
    <mergeCell ref="AC16:AJ16"/>
    <mergeCell ref="AC18:AJ18"/>
    <mergeCell ref="AC19:AJ19"/>
    <mergeCell ref="AC21:AJ21"/>
    <mergeCell ref="Z4:AC4"/>
    <mergeCell ref="AD4:AG4"/>
    <mergeCell ref="AH4:AK4"/>
    <mergeCell ref="F4:I4"/>
    <mergeCell ref="J4:M4"/>
    <mergeCell ref="N4:Q4"/>
    <mergeCell ref="R4:U4"/>
    <mergeCell ref="V4:Y4"/>
  </mergeCells>
  <conditionalFormatting sqref="J50 L50">
    <cfRule type="expression" dxfId="20" priority="2160">
      <formula>$L$50=0</formula>
    </cfRule>
  </conditionalFormatting>
  <conditionalFormatting sqref="L41:L50">
    <cfRule type="dataBar" priority="2162">
      <dataBar>
        <cfvo type="min"/>
        <cfvo type="max"/>
        <color rgb="FFD3E0ED"/>
      </dataBar>
      <extLst>
        <ext xmlns:x14="http://schemas.microsoft.com/office/spreadsheetml/2009/9/main" uri="{B025F937-C7B1-47D3-B67F-A62EFF666E3E}">
          <x14:id>{3446736C-4D86-4911-926F-FBC01F382703}</x14:id>
        </ext>
      </extLst>
    </cfRule>
  </conditionalFormatting>
  <hyperlinks>
    <hyperlink ref="F4:I4" location="'SUMMARY (R)'!A1" display="Summary" xr:uid="{4111ECAE-FACA-4DD4-AD43-C520013540C3}"/>
    <hyperlink ref="J4:M4" location="'MONTHLY (R)'!A1" display="Monthly" xr:uid="{B3F83352-637F-4E02-8198-DF59E0580729}"/>
    <hyperlink ref="N4:Q4" location="'YTD (R)'!A1" display="Year To Date" xr:uid="{BAB32C0A-D858-469A-9237-4E356D6AF1B6}"/>
    <hyperlink ref="R4:U4" location="'VERSUS (R)'!A1" display="Versus" xr:uid="{6909749E-6FE2-4831-962B-B3EC26C6A1E5}"/>
    <hyperlink ref="V4:Y4" location="'AMORTIZATION (R)'!A1" display="Amortization" xr:uid="{3BDC457B-FE13-4ECE-9BF9-4ECE4ECD8376}"/>
    <hyperlink ref="Z4:AC4" location="'FINANCING (R)'!A1" display="Financing" xr:uid="{C0A1A4E4-28AC-4AE4-813C-34A89563C9E1}"/>
    <hyperlink ref="AD4:AG4" location="'EXPENSES (R)'!A1" display="Expenses" xr:uid="{A336A5E6-5276-40BF-9E6B-BE8D3F278F32}"/>
    <hyperlink ref="AH4:AK4" location="'FORECASTS (R)'!A1" display="Forecasts" xr:uid="{1CC4F65E-0029-4E2F-90B5-D033656792F1}"/>
  </hyperlinks>
  <pageMargins left="0.7" right="0.7" top="0.75" bottom="0.75" header="0.3" footer="0.3"/>
  <pageSetup scale="79" orientation="portrait" r:id="rId1"/>
  <rowBreaks count="1" manualBreakCount="1">
    <brk id="61" max="36" man="1"/>
  </rowBreaks>
  <drawing r:id="rId2"/>
  <legacyDrawing r:id="rId3"/>
  <extLst>
    <ext xmlns:x14="http://schemas.microsoft.com/office/spreadsheetml/2009/9/main" uri="{78C0D931-6437-407d-A8EE-F0AAD7539E65}">
      <x14:conditionalFormattings>
        <x14:conditionalFormatting xmlns:xm="http://schemas.microsoft.com/office/excel/2006/main">
          <x14:cfRule type="dataBar" id="{3446736C-4D86-4911-926F-FBC01F382703}">
            <x14:dataBar minLength="0" maxLength="100" gradient="0" negativeBarColorSameAsPositive="1">
              <x14:cfvo type="autoMin"/>
              <x14:cfvo type="autoMax"/>
              <x14:axisColor rgb="FF000000"/>
            </x14:dataBar>
          </x14:cfRule>
          <xm:sqref>L41:L50</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D3B1A-B0CF-4B33-9A35-F05FAC0B7CAC}">
  <sheetPr codeName="Sheet27">
    <tabColor theme="7" tint="0.79998168889431442"/>
    <pageSetUpPr autoPageBreaks="0" fitToPage="1"/>
  </sheetPr>
  <dimension ref="A1:CB62"/>
  <sheetViews>
    <sheetView showGridLines="0" showRowColHeaders="0" zoomScaleNormal="100" zoomScaleSheetLayoutView="100" workbookViewId="0">
      <pane ySplit="4" topLeftCell="A5" activePane="bottomLeft" state="frozen"/>
      <selection pane="bottomLeft" activeCell="A5" sqref="A5"/>
    </sheetView>
  </sheetViews>
  <sheetFormatPr defaultColWidth="9.109375" defaultRowHeight="15" customHeight="1" x14ac:dyDescent="0.25"/>
  <cols>
    <col min="1" max="1" width="2.88671875" style="353" customWidth="1"/>
    <col min="2" max="15" width="2.88671875" style="331" customWidth="1"/>
    <col min="16" max="18" width="2.88671875" style="353" customWidth="1"/>
    <col min="19" max="22" width="2.88671875" style="331" customWidth="1"/>
    <col min="23" max="27" width="2.88671875" style="353" customWidth="1"/>
    <col min="28" max="31" width="2.88671875" style="331" customWidth="1"/>
    <col min="32" max="34" width="2.88671875" style="353" customWidth="1"/>
    <col min="35" max="38" width="2.88671875" style="331" customWidth="1"/>
    <col min="39" max="41" width="2.88671875" style="353" customWidth="1"/>
    <col min="42" max="42" width="3.44140625" style="331" customWidth="1"/>
    <col min="43" max="43" width="9.109375" style="331" customWidth="1"/>
    <col min="44" max="44" width="2.88671875" style="331" customWidth="1"/>
    <col min="45" max="45" width="15.109375" style="331" customWidth="1"/>
    <col min="46" max="46" width="2.88671875" style="331" customWidth="1"/>
    <col min="47" max="47" width="15" style="331" customWidth="1"/>
    <col min="48" max="49" width="9.109375" style="331" customWidth="1"/>
    <col min="50" max="50" width="14" style="331" customWidth="1"/>
    <col min="51" max="16384" width="9.109375" style="331"/>
  </cols>
  <sheetData>
    <row r="1" spans="1:80" s="1244" customFormat="1" ht="30" customHeight="1" x14ac:dyDescent="0.25">
      <c r="A1" s="1685" t="s">
        <v>1042</v>
      </c>
    </row>
    <row r="2" spans="1:80" s="673" customFormat="1" ht="18.75" customHeight="1" x14ac:dyDescent="0.25">
      <c r="A2" s="1685"/>
      <c r="B2" s="1244"/>
      <c r="C2" s="1244"/>
      <c r="D2" s="1244"/>
      <c r="E2" s="1244"/>
      <c r="F2" s="1244"/>
      <c r="G2" s="1244"/>
      <c r="H2" s="1244"/>
      <c r="I2" s="1244"/>
      <c r="J2" s="1244"/>
      <c r="K2" s="1244"/>
      <c r="L2" s="1244"/>
      <c r="M2" s="1244"/>
      <c r="N2" s="1244"/>
      <c r="O2" s="1244"/>
      <c r="P2" s="1244"/>
      <c r="Q2" s="1244"/>
      <c r="R2" s="1244"/>
      <c r="S2" s="1244"/>
      <c r="T2" s="1244"/>
      <c r="U2" s="1244"/>
      <c r="V2" s="1244"/>
      <c r="W2" s="1244"/>
      <c r="X2" s="1244"/>
      <c r="Y2" s="1244"/>
      <c r="Z2" s="1244"/>
      <c r="AA2" s="1244"/>
      <c r="AB2" s="1244"/>
      <c r="AC2" s="1244"/>
      <c r="AD2" s="1244"/>
      <c r="AE2" s="1244"/>
      <c r="AF2" s="1244"/>
      <c r="AG2" s="1244"/>
      <c r="AH2" s="1244"/>
      <c r="AI2" s="1244"/>
      <c r="AJ2" s="1244"/>
      <c r="AK2" s="1244"/>
      <c r="AL2" s="1244"/>
      <c r="AM2" s="1244"/>
      <c r="AN2" s="1244"/>
      <c r="AO2" s="1244"/>
      <c r="AP2" s="1244"/>
      <c r="AQ2" s="1244"/>
      <c r="AR2" s="1244"/>
      <c r="AS2" s="1244"/>
      <c r="AT2" s="1244"/>
      <c r="AU2" s="1244"/>
      <c r="AV2" s="1244"/>
      <c r="AW2" s="1244"/>
      <c r="AX2" s="1244"/>
      <c r="AY2" s="1244"/>
      <c r="AZ2" s="1244"/>
      <c r="BA2" s="1244"/>
      <c r="BB2" s="1244"/>
      <c r="BC2" s="1244"/>
      <c r="BD2" s="1244"/>
      <c r="BE2" s="1244"/>
      <c r="BF2" s="1244"/>
      <c r="BG2" s="1244"/>
      <c r="BH2" s="1244"/>
      <c r="BI2" s="1244"/>
      <c r="BJ2" s="1244"/>
      <c r="BK2" s="1244"/>
      <c r="BL2" s="1244"/>
      <c r="BM2" s="1244"/>
      <c r="BN2" s="1244"/>
      <c r="BO2" s="1244"/>
      <c r="BP2" s="1244"/>
      <c r="BQ2" s="1244"/>
      <c r="BR2" s="1244"/>
      <c r="BS2" s="1244"/>
      <c r="BT2" s="1244"/>
      <c r="BU2" s="1244"/>
      <c r="BV2" s="1244"/>
      <c r="BW2" s="1244"/>
      <c r="BX2" s="1244"/>
      <c r="BY2" s="1244"/>
      <c r="BZ2" s="1244"/>
      <c r="CA2" s="1244"/>
      <c r="CB2" s="1244"/>
    </row>
    <row r="3" spans="1:80" ht="15.6" x14ac:dyDescent="0.25">
      <c r="A3" s="1685"/>
      <c r="B3" s="1244"/>
      <c r="C3" s="1244"/>
      <c r="D3" s="1244"/>
      <c r="E3" s="1244"/>
      <c r="F3" s="1244"/>
      <c r="G3" s="1244"/>
      <c r="H3" s="1244"/>
      <c r="I3" s="1244"/>
      <c r="J3" s="1244"/>
      <c r="K3" s="1244"/>
      <c r="L3" s="1244"/>
      <c r="M3" s="1244"/>
      <c r="N3" s="1244"/>
      <c r="O3" s="1244"/>
      <c r="P3" s="1244"/>
      <c r="Q3" s="1244"/>
      <c r="R3" s="1244"/>
      <c r="S3" s="1244"/>
      <c r="T3" s="1244"/>
      <c r="U3" s="1244"/>
      <c r="V3" s="1244"/>
      <c r="W3" s="1244"/>
      <c r="X3" s="1244"/>
      <c r="Y3" s="1244"/>
      <c r="Z3" s="1244"/>
      <c r="AA3" s="1244"/>
      <c r="AB3" s="1244"/>
      <c r="AC3" s="1244"/>
      <c r="AD3" s="1244"/>
      <c r="AE3" s="1244"/>
      <c r="AF3" s="1244"/>
      <c r="AG3" s="1244"/>
      <c r="AH3" s="1244"/>
      <c r="AI3" s="1244"/>
      <c r="AJ3" s="1244"/>
      <c r="AK3" s="1244"/>
      <c r="AL3" s="1244"/>
      <c r="AM3" s="1244"/>
      <c r="AN3" s="1244"/>
      <c r="AO3" s="1244"/>
      <c r="AP3" s="1244"/>
      <c r="AQ3" s="1244"/>
      <c r="AR3" s="1244"/>
      <c r="AS3" s="1244"/>
      <c r="AT3" s="1244"/>
      <c r="AU3" s="1244"/>
      <c r="AV3" s="1244"/>
      <c r="AW3" s="1244"/>
      <c r="AX3" s="1244"/>
      <c r="AY3" s="1244"/>
      <c r="AZ3" s="1244"/>
      <c r="BA3" s="1244"/>
      <c r="BB3" s="1244"/>
      <c r="BC3" s="1244"/>
      <c r="BD3" s="1244"/>
      <c r="BE3" s="1244"/>
      <c r="BF3" s="1244"/>
      <c r="BG3" s="1244"/>
      <c r="BH3" s="1244"/>
      <c r="BI3" s="1244"/>
      <c r="BJ3" s="1244"/>
      <c r="BK3" s="1244"/>
      <c r="BL3" s="1244"/>
      <c r="BM3" s="1244"/>
      <c r="BN3" s="1244"/>
      <c r="BO3" s="1244"/>
      <c r="BP3" s="1244"/>
      <c r="BQ3" s="1244"/>
      <c r="BR3" s="1244"/>
      <c r="BS3" s="1244"/>
      <c r="BT3" s="1244"/>
      <c r="BU3" s="1244"/>
      <c r="BV3" s="1244"/>
      <c r="BW3" s="1244"/>
      <c r="BX3" s="1244"/>
      <c r="BY3" s="1244"/>
      <c r="BZ3" s="1244"/>
      <c r="CA3" s="1244"/>
      <c r="CB3" s="1244"/>
    </row>
    <row r="4" spans="1:80" ht="15" customHeight="1" x14ac:dyDescent="0.25">
      <c r="A4" s="673"/>
      <c r="B4" s="1377" t="s">
        <v>1006</v>
      </c>
      <c r="C4" s="1357"/>
      <c r="D4" s="1357"/>
      <c r="E4" s="1357"/>
      <c r="F4" s="2602" t="s">
        <v>1007</v>
      </c>
      <c r="G4" s="2603"/>
      <c r="H4" s="2603"/>
      <c r="I4" s="2604"/>
      <c r="J4" s="2605" t="s">
        <v>10</v>
      </c>
      <c r="K4" s="2606"/>
      <c r="L4" s="2606"/>
      <c r="M4" s="2607"/>
      <c r="N4" s="2602" t="s">
        <v>1094</v>
      </c>
      <c r="O4" s="2603"/>
      <c r="P4" s="2603"/>
      <c r="Q4" s="2604"/>
      <c r="R4" s="2602" t="s">
        <v>1063</v>
      </c>
      <c r="S4" s="2603"/>
      <c r="T4" s="2603"/>
      <c r="U4" s="2604"/>
      <c r="V4" s="2602" t="s">
        <v>1008</v>
      </c>
      <c r="W4" s="2603"/>
      <c r="X4" s="2603"/>
      <c r="Y4" s="2604"/>
      <c r="Z4" s="2602" t="s">
        <v>172</v>
      </c>
      <c r="AA4" s="2603"/>
      <c r="AB4" s="2603"/>
      <c r="AC4" s="2604"/>
      <c r="AD4" s="2602" t="s">
        <v>1009</v>
      </c>
      <c r="AE4" s="2603"/>
      <c r="AF4" s="2603"/>
      <c r="AG4" s="2604"/>
      <c r="AH4" s="2602" t="s">
        <v>1005</v>
      </c>
      <c r="AI4" s="2603"/>
      <c r="AJ4" s="2603"/>
      <c r="AK4" s="2604"/>
      <c r="AL4" s="1357"/>
      <c r="AM4" s="1357"/>
      <c r="AN4" s="1357"/>
      <c r="AO4" s="1357"/>
      <c r="AP4" s="1357"/>
      <c r="AQ4" s="1357"/>
      <c r="AR4" s="1357"/>
      <c r="AS4" s="1357"/>
      <c r="AT4" s="1357"/>
      <c r="AU4" s="1357"/>
      <c r="AV4" s="1357"/>
      <c r="AW4" s="1357"/>
      <c r="AX4" s="1357"/>
      <c r="AY4" s="1357"/>
      <c r="AZ4" s="1357"/>
      <c r="BA4" s="1357"/>
      <c r="BB4" s="1357"/>
      <c r="BC4" s="1495"/>
      <c r="BD4" s="1496"/>
      <c r="BE4" s="1496"/>
      <c r="BF4" s="1497"/>
      <c r="BG4" s="673"/>
      <c r="BH4" s="673"/>
      <c r="BI4" s="673"/>
      <c r="BJ4" s="673"/>
      <c r="BK4" s="673"/>
      <c r="BL4" s="673"/>
      <c r="BM4" s="673"/>
      <c r="BN4" s="673"/>
      <c r="BO4" s="673"/>
      <c r="BP4" s="1379"/>
      <c r="BQ4" s="673"/>
      <c r="BR4" s="673"/>
      <c r="BS4" s="673"/>
      <c r="BT4" s="673"/>
      <c r="BU4" s="673"/>
      <c r="BV4" s="673"/>
      <c r="BW4" s="673"/>
      <c r="BX4" s="673"/>
      <c r="BY4" s="673"/>
      <c r="BZ4" s="673"/>
      <c r="CA4" s="673"/>
      <c r="CB4" s="673"/>
    </row>
    <row r="5" spans="1:80" ht="14.25" customHeight="1" x14ac:dyDescent="0.25">
      <c r="A5" s="1867"/>
      <c r="B5" s="9"/>
      <c r="C5" s="9"/>
      <c r="D5" s="9"/>
      <c r="E5" s="9"/>
      <c r="F5" s="9"/>
      <c r="G5" s="9"/>
      <c r="H5" s="9"/>
      <c r="I5" s="9"/>
      <c r="J5" s="9"/>
      <c r="K5" s="9"/>
      <c r="L5" s="9"/>
      <c r="M5" s="9"/>
      <c r="N5" s="9"/>
      <c r="O5" s="9"/>
      <c r="P5" s="377"/>
      <c r="Q5" s="377"/>
      <c r="R5" s="377"/>
      <c r="S5" s="9"/>
      <c r="T5" s="9"/>
      <c r="U5" s="9"/>
      <c r="V5" s="9"/>
      <c r="W5" s="377"/>
      <c r="X5" s="377"/>
      <c r="Y5" s="377"/>
      <c r="Z5" s="377"/>
      <c r="AA5" s="377"/>
      <c r="AB5" s="9"/>
      <c r="AC5" s="9"/>
      <c r="AD5" s="9"/>
      <c r="AE5" s="9"/>
      <c r="AF5" s="377"/>
      <c r="AG5" s="377"/>
      <c r="AH5" s="377"/>
      <c r="AI5" s="9"/>
      <c r="AJ5" s="9"/>
      <c r="AK5" s="9"/>
      <c r="AL5" s="9"/>
      <c r="AM5" s="377"/>
      <c r="AN5" s="377"/>
      <c r="AO5" s="377"/>
      <c r="AP5" s="9"/>
    </row>
    <row r="6" spans="1:80" ht="15" customHeight="1" thickBot="1" x14ac:dyDescent="0.3">
      <c r="A6" s="156"/>
      <c r="B6" s="1777" t="s">
        <v>1041</v>
      </c>
      <c r="C6" s="1358"/>
      <c r="D6" s="1359"/>
      <c r="E6" s="1358"/>
      <c r="F6" s="1359"/>
      <c r="G6" s="1235"/>
      <c r="H6" s="1235"/>
      <c r="I6" s="1235"/>
      <c r="J6" s="1235"/>
      <c r="K6" s="1180"/>
      <c r="L6" s="1240"/>
      <c r="M6" s="1235"/>
      <c r="N6" s="1235"/>
      <c r="O6" s="1235"/>
      <c r="P6" s="1235"/>
      <c r="Q6" s="1235"/>
      <c r="R6" s="1235"/>
      <c r="S6" s="1235"/>
      <c r="T6" s="1235"/>
      <c r="U6" s="1235"/>
      <c r="V6" s="1235"/>
      <c r="W6" s="1235"/>
      <c r="X6" s="1235"/>
      <c r="Y6" s="1235"/>
      <c r="Z6" s="1235"/>
      <c r="AA6" s="1235"/>
      <c r="AB6" s="1235"/>
      <c r="AC6" s="1235"/>
      <c r="AD6" s="1235"/>
      <c r="AE6" s="1235"/>
      <c r="AF6" s="1235"/>
      <c r="AG6" s="1235"/>
      <c r="AH6" s="1235"/>
      <c r="AI6" s="1235"/>
      <c r="AJ6" s="1180" t="s">
        <v>96</v>
      </c>
      <c r="AK6" s="2650">
        <f ca="1">TODAY()</f>
        <v>45920</v>
      </c>
      <c r="AL6" s="2650"/>
      <c r="AM6" s="2650"/>
      <c r="AN6" s="2650"/>
      <c r="AO6" s="2650"/>
      <c r="AP6" s="9"/>
      <c r="AR6" s="2651" t="s">
        <v>1043</v>
      </c>
      <c r="AS6" s="2652"/>
      <c r="AT6" s="2653"/>
    </row>
    <row r="7" spans="1:80" ht="14.25" customHeight="1" thickTop="1" x14ac:dyDescent="0.25">
      <c r="A7" s="377"/>
      <c r="B7" s="9"/>
      <c r="C7" s="9"/>
      <c r="D7" s="9"/>
      <c r="E7" s="9"/>
      <c r="F7" s="9"/>
      <c r="G7" s="9"/>
      <c r="H7" s="9"/>
      <c r="I7" s="9"/>
      <c r="J7" s="9"/>
      <c r="K7" s="9"/>
      <c r="L7" s="9"/>
      <c r="M7" s="9"/>
      <c r="N7" s="9"/>
      <c r="O7" s="9"/>
      <c r="P7" s="377"/>
      <c r="Q7" s="377"/>
      <c r="R7" s="377"/>
      <c r="S7" s="9"/>
      <c r="T7" s="9"/>
      <c r="U7" s="9"/>
      <c r="V7" s="9"/>
      <c r="W7" s="377"/>
      <c r="X7" s="377"/>
      <c r="Y7" s="377"/>
      <c r="Z7" s="377"/>
      <c r="AA7" s="377"/>
      <c r="AB7" s="9"/>
      <c r="AC7" s="9"/>
      <c r="AD7" s="9"/>
      <c r="AE7" s="9"/>
      <c r="AF7" s="377"/>
      <c r="AG7" s="377"/>
      <c r="AH7" s="377"/>
      <c r="AI7" s="9"/>
      <c r="AJ7" s="9"/>
      <c r="AK7" s="9"/>
      <c r="AL7" s="9"/>
      <c r="AM7" s="377"/>
      <c r="AN7" s="377"/>
      <c r="AO7" s="377"/>
      <c r="AP7" s="9"/>
      <c r="AR7" s="1722"/>
      <c r="AS7" s="1723"/>
      <c r="AT7" s="1724"/>
    </row>
    <row r="8" spans="1:80" ht="14.25" customHeight="1" x14ac:dyDescent="0.25">
      <c r="A8" s="377"/>
      <c r="B8" s="1383" t="s">
        <v>372</v>
      </c>
      <c r="C8" s="1360"/>
      <c r="D8" s="1360"/>
      <c r="E8" s="1360"/>
      <c r="F8" s="1360"/>
      <c r="G8" s="1360"/>
      <c r="H8" s="1360"/>
      <c r="I8" s="1360"/>
      <c r="J8" s="1360"/>
      <c r="K8" s="1360"/>
      <c r="L8" s="1360"/>
      <c r="M8" s="1360"/>
      <c r="N8" s="1360"/>
      <c r="O8" s="1360"/>
      <c r="P8" s="1360"/>
      <c r="Q8" s="1360"/>
      <c r="R8" s="1360"/>
      <c r="S8" s="1360"/>
      <c r="T8" s="1360"/>
      <c r="U8" s="1360"/>
      <c r="V8" s="1360"/>
      <c r="W8" s="1360"/>
      <c r="X8" s="1360"/>
      <c r="Y8" s="1360"/>
      <c r="Z8" s="1360"/>
      <c r="AA8" s="1360"/>
      <c r="AB8" s="1360"/>
      <c r="AC8" s="1360"/>
      <c r="AD8" s="1360"/>
      <c r="AE8" s="1360"/>
      <c r="AF8" s="1360"/>
      <c r="AG8" s="1360"/>
      <c r="AH8" s="1360"/>
      <c r="AI8" s="1360"/>
      <c r="AJ8" s="1360"/>
      <c r="AK8" s="1360"/>
      <c r="AL8" s="1360"/>
      <c r="AM8" s="1360"/>
      <c r="AN8" s="1360"/>
      <c r="AO8" s="1360"/>
      <c r="AP8" s="9"/>
      <c r="AR8" s="1725"/>
      <c r="AS8" s="1721"/>
      <c r="AT8" s="1726" t="e">
        <f>MATCH(AS8,HIDE5!C10:C21,0)</f>
        <v>#N/A</v>
      </c>
    </row>
    <row r="9" spans="1:80" ht="16.5" customHeight="1" x14ac:dyDescent="0.25">
      <c r="A9" s="377"/>
      <c r="B9" s="1361"/>
      <c r="C9" s="1361"/>
      <c r="D9" s="1361"/>
      <c r="E9" s="1361"/>
      <c r="F9" s="1361"/>
      <c r="G9" s="1361"/>
      <c r="H9" s="1361"/>
      <c r="I9" s="1361"/>
      <c r="J9" s="1361"/>
      <c r="K9" s="1361"/>
      <c r="L9" s="1361"/>
      <c r="M9" s="1361"/>
      <c r="N9" s="1361"/>
      <c r="O9" s="1361"/>
      <c r="P9" s="1361"/>
      <c r="Q9" s="1361"/>
      <c r="R9" s="1361"/>
      <c r="S9" s="1361"/>
      <c r="T9" s="1361"/>
      <c r="U9" s="1361"/>
      <c r="V9" s="1361"/>
      <c r="W9" s="1361"/>
      <c r="X9" s="1361"/>
      <c r="Y9" s="1361"/>
      <c r="Z9" s="1361"/>
      <c r="AA9" s="1361"/>
      <c r="AB9" s="1361"/>
      <c r="AC9" s="1361"/>
      <c r="AD9" s="1361"/>
      <c r="AE9" s="1361"/>
      <c r="AF9" s="1361"/>
      <c r="AG9" s="1361"/>
      <c r="AH9" s="1361"/>
      <c r="AI9" s="1361"/>
      <c r="AJ9" s="1361"/>
      <c r="AK9" s="1361"/>
      <c r="AL9" s="1361"/>
      <c r="AM9" s="1361"/>
      <c r="AN9" s="1361"/>
      <c r="AO9" s="1361"/>
      <c r="AP9" s="9"/>
      <c r="AR9" s="1725"/>
      <c r="AS9" s="1721"/>
      <c r="AT9" s="1727"/>
    </row>
    <row r="10" spans="1:80" ht="16.5" customHeight="1" x14ac:dyDescent="0.25">
      <c r="A10" s="377"/>
      <c r="B10" s="1778" t="str">
        <f>AS8&amp;" "&amp;AS9</f>
        <v xml:space="preserve"> </v>
      </c>
      <c r="C10" s="1779"/>
      <c r="D10" s="1779"/>
      <c r="E10" s="1779"/>
      <c r="F10" s="1779"/>
      <c r="G10" s="1779"/>
      <c r="H10" s="1779"/>
      <c r="I10" s="1779"/>
      <c r="J10" s="1779"/>
      <c r="K10" s="1779"/>
      <c r="L10" s="1779"/>
      <c r="M10" s="1779"/>
      <c r="N10" s="1779"/>
      <c r="O10" s="1779"/>
      <c r="P10" s="1779"/>
      <c r="Q10" s="1779"/>
      <c r="R10" s="1779"/>
      <c r="S10" s="1779"/>
      <c r="T10" s="1779"/>
      <c r="U10" s="1779"/>
      <c r="V10" s="1779"/>
      <c r="W10" s="1779"/>
      <c r="X10" s="1779"/>
      <c r="Y10" s="1779"/>
      <c r="Z10" s="1779"/>
      <c r="AA10" s="1779"/>
      <c r="AB10" s="1779"/>
      <c r="AC10" s="1779"/>
      <c r="AD10" s="1779"/>
      <c r="AE10" s="1779"/>
      <c r="AF10" s="1779"/>
      <c r="AG10" s="1779"/>
      <c r="AH10" s="1779"/>
      <c r="AI10" s="1779"/>
      <c r="AJ10" s="1779"/>
      <c r="AK10" s="1779"/>
      <c r="AL10" s="1779"/>
      <c r="AM10" s="1779"/>
      <c r="AN10" s="1779"/>
      <c r="AO10" s="1780"/>
      <c r="AP10" s="9"/>
      <c r="AR10" s="1728"/>
      <c r="AS10" s="1729">
        <f t="array" aca="1" ref="AS10" ca="1">IFERROR(SpecialFunction(AS9),AS9)</f>
        <v>0</v>
      </c>
      <c r="AT10" s="1730"/>
    </row>
    <row r="11" spans="1:80" s="1246" customFormat="1" ht="11.25" customHeight="1" x14ac:dyDescent="0.25">
      <c r="A11" s="377"/>
      <c r="B11" s="2647" t="s">
        <v>1021</v>
      </c>
      <c r="C11" s="2647"/>
      <c r="D11" s="2647"/>
      <c r="E11" s="2647"/>
      <c r="F11" s="2647"/>
      <c r="G11" s="2647"/>
      <c r="H11" s="2647"/>
      <c r="I11" s="2647"/>
      <c r="J11" s="2647" t="s">
        <v>1020</v>
      </c>
      <c r="K11" s="2647"/>
      <c r="L11" s="2647"/>
      <c r="M11" s="2647"/>
      <c r="N11" s="2647"/>
      <c r="O11" s="2647"/>
      <c r="P11" s="2647"/>
      <c r="Q11" s="2647"/>
      <c r="R11" s="2647" t="s">
        <v>1022</v>
      </c>
      <c r="S11" s="2647"/>
      <c r="T11" s="2647"/>
      <c r="U11" s="2647"/>
      <c r="V11" s="2647"/>
      <c r="W11" s="2647"/>
      <c r="X11" s="2647"/>
      <c r="Y11" s="2647"/>
      <c r="Z11" s="2647" t="s">
        <v>1023</v>
      </c>
      <c r="AA11" s="2647"/>
      <c r="AB11" s="2647"/>
      <c r="AC11" s="2647"/>
      <c r="AD11" s="2647"/>
      <c r="AE11" s="2647"/>
      <c r="AF11" s="2647"/>
      <c r="AG11" s="2647"/>
      <c r="AH11" s="2647" t="s">
        <v>990</v>
      </c>
      <c r="AI11" s="2647"/>
      <c r="AJ11" s="2647"/>
      <c r="AK11" s="2647"/>
      <c r="AL11" s="2647"/>
      <c r="AM11" s="2647"/>
      <c r="AN11" s="2647"/>
      <c r="AO11" s="2647"/>
      <c r="AP11" s="9"/>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row>
    <row r="12" spans="1:80" ht="16.5" customHeight="1" x14ac:dyDescent="0.25">
      <c r="A12" s="377"/>
      <c r="B12" s="2648">
        <f>SUMIFS('ACTUALS (M)'!G19:DV19,'ACTUALS (M)'!$G$7:$DV$7,'MONTHLY (R)'!$AS$9,'ACTUALS (M)'!G6:DV6,'MONTHLY (R)'!AT8)</f>
        <v>0</v>
      </c>
      <c r="C12" s="2648"/>
      <c r="D12" s="2648"/>
      <c r="E12" s="2648"/>
      <c r="F12" s="2648"/>
      <c r="G12" s="2648"/>
      <c r="H12" s="2648"/>
      <c r="I12" s="2648"/>
      <c r="J12" s="2648">
        <f>-SUMIFS('ACTUALS (M)'!G41:DV41,'ACTUALS (M)'!$G$7:$DV$7,'MONTHLY (R)'!$AS$9,'ACTUALS (M)'!G6:DV6,'MONTHLY (R)'!AT8)</f>
        <v>0</v>
      </c>
      <c r="K12" s="2648"/>
      <c r="L12" s="2648"/>
      <c r="M12" s="2648"/>
      <c r="N12" s="2648"/>
      <c r="O12" s="2648"/>
      <c r="P12" s="2648"/>
      <c r="Q12" s="2648"/>
      <c r="R12" s="2648">
        <f>-SUMIFS('ACTUALS (M)'!G47:DV47,'ACTUALS (M)'!$G$7:$DV$7,'MONTHLY (R)'!$AS$9,'ACTUALS (M)'!G6:DV6,'MONTHLY (R)'!AT8)-SUMIFS('ACTUALS (M)'!G48:DV48,'ACTUALS (M)'!$G$7:$DV$7,'MONTHLY (R)'!$AS$9,'ACTUALS (M)'!G6:DV6,'MONTHLY (R)'!AT8)-SUMIFS('ACTUALS (M)'!G49:DV49,'ACTUALS (M)'!$G$7:$DV$7,'MONTHLY (R)'!$AS$9,'ACTUALS (M)'!G6:DV6,'MONTHLY (R)'!AT8)</f>
        <v>0</v>
      </c>
      <c r="S12" s="2648"/>
      <c r="T12" s="2648"/>
      <c r="U12" s="2648"/>
      <c r="V12" s="2648"/>
      <c r="W12" s="2648"/>
      <c r="X12" s="2648"/>
      <c r="Y12" s="2648"/>
      <c r="Z12" s="2648">
        <f>-SUMIFS('ACTUALS (M)'!G56:DV56,'ACTUALS (M)'!$G$7:$DV$7,'MONTHLY (R)'!$AS$9,'ACTUALS (M)'!G6:DV6,'MONTHLY (R)'!AT8)</f>
        <v>0</v>
      </c>
      <c r="AA12" s="2648"/>
      <c r="AB12" s="2648"/>
      <c r="AC12" s="2648"/>
      <c r="AD12" s="2648"/>
      <c r="AE12" s="2648"/>
      <c r="AF12" s="2648"/>
      <c r="AG12" s="2648"/>
      <c r="AH12" s="2648">
        <f>SUMIFS('ACTUALS (M)'!G58:DV58,'ACTUALS (M)'!$G$7:$DV$7,'MONTHLY (R)'!$AS$9,'ACTUALS (M)'!G6:DV6,'MONTHLY (R)'!AT8)</f>
        <v>0</v>
      </c>
      <c r="AI12" s="2648"/>
      <c r="AJ12" s="2648"/>
      <c r="AK12" s="2648"/>
      <c r="AL12" s="2648"/>
      <c r="AM12" s="2648"/>
      <c r="AN12" s="2648"/>
      <c r="AO12" s="2648"/>
      <c r="AP12" s="9"/>
    </row>
    <row r="13" spans="1:80" ht="16.5" customHeight="1" x14ac:dyDescent="0.25">
      <c r="A13" s="8"/>
      <c r="B13" s="2656">
        <f>SUMIFS('ACTUALS (M)'!G11:DV11,'ACTUALS (M)'!$G$7:$DV$7,'MONTHLY (R)'!$AS$9,'ACTUALS (M)'!G6:DV6,'MONTHLY (R)'!AT8)</f>
        <v>0</v>
      </c>
      <c r="C13" s="2656"/>
      <c r="D13" s="2656"/>
      <c r="E13" s="2656"/>
      <c r="F13" s="2656"/>
      <c r="G13" s="2656"/>
      <c r="H13" s="2656"/>
      <c r="I13" s="2656"/>
      <c r="J13" s="2649">
        <f>IFERROR(J12/$B$12,0)</f>
        <v>0</v>
      </c>
      <c r="K13" s="2649"/>
      <c r="L13" s="2649"/>
      <c r="M13" s="2649"/>
      <c r="N13" s="2649"/>
      <c r="O13" s="2649"/>
      <c r="P13" s="2649"/>
      <c r="Q13" s="2649"/>
      <c r="R13" s="2649">
        <f>IFERROR(R12/$B$12,0)</f>
        <v>0</v>
      </c>
      <c r="S13" s="2649"/>
      <c r="T13" s="2649"/>
      <c r="U13" s="2649"/>
      <c r="V13" s="2649"/>
      <c r="W13" s="2649"/>
      <c r="X13" s="2649"/>
      <c r="Y13" s="2649"/>
      <c r="Z13" s="2649">
        <f>IFERROR(Z12/$B$12,0)</f>
        <v>0</v>
      </c>
      <c r="AA13" s="2649"/>
      <c r="AB13" s="2649"/>
      <c r="AC13" s="2649"/>
      <c r="AD13" s="2649"/>
      <c r="AE13" s="2649"/>
      <c r="AF13" s="2649"/>
      <c r="AG13" s="2649"/>
      <c r="AH13" s="2649">
        <f>IFERROR(AH12/$B$12,0)</f>
        <v>0</v>
      </c>
      <c r="AI13" s="2649"/>
      <c r="AJ13" s="2649"/>
      <c r="AK13" s="2649"/>
      <c r="AL13" s="2649"/>
      <c r="AM13" s="2649"/>
      <c r="AN13" s="2649"/>
      <c r="AO13" s="2649"/>
      <c r="AP13" s="8"/>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L13" s="1246"/>
      <c r="BM13" s="1246"/>
      <c r="BN13" s="1246"/>
      <c r="BO13" s="1246"/>
      <c r="BP13" s="1246"/>
      <c r="BQ13" s="1246"/>
      <c r="BR13" s="1246"/>
      <c r="BS13" s="1246"/>
      <c r="BT13" s="1246"/>
      <c r="BU13" s="1246"/>
      <c r="BV13" s="1246"/>
      <c r="BW13" s="1246"/>
      <c r="BX13" s="1246"/>
      <c r="BY13" s="1246"/>
      <c r="BZ13" s="1246"/>
      <c r="CA13" s="1246"/>
      <c r="CB13" s="1246"/>
    </row>
    <row r="14" spans="1:80" ht="16.5" customHeight="1" x14ac:dyDescent="0.25">
      <c r="A14" s="377"/>
      <c r="B14" s="1361"/>
      <c r="C14" s="1361"/>
      <c r="D14" s="1361"/>
      <c r="E14" s="1361"/>
      <c r="F14" s="1361"/>
      <c r="G14" s="1361"/>
      <c r="H14" s="1361"/>
      <c r="I14" s="1361"/>
      <c r="J14" s="1361"/>
      <c r="K14" s="1361"/>
      <c r="L14" s="1361"/>
      <c r="M14" s="1361"/>
      <c r="N14" s="159"/>
      <c r="O14" s="159"/>
      <c r="P14" s="159"/>
      <c r="Q14" s="159"/>
      <c r="R14" s="159"/>
      <c r="S14" s="1361"/>
      <c r="T14" s="1361"/>
      <c r="U14" s="159"/>
      <c r="V14" s="159"/>
      <c r="W14" s="159"/>
      <c r="X14" s="159"/>
      <c r="Y14" s="159"/>
      <c r="Z14" s="159"/>
      <c r="AA14" s="159"/>
      <c r="AB14" s="1361"/>
      <c r="AC14" s="1361"/>
      <c r="AD14" s="159"/>
      <c r="AE14" s="159"/>
      <c r="AF14" s="159"/>
      <c r="AG14" s="159"/>
      <c r="AH14" s="159"/>
      <c r="AI14" s="1361"/>
      <c r="AJ14" s="1361"/>
      <c r="AK14" s="159"/>
      <c r="AL14" s="159"/>
      <c r="AM14" s="159"/>
      <c r="AN14" s="159"/>
      <c r="AO14" s="159"/>
      <c r="AP14" s="9"/>
    </row>
    <row r="15" spans="1:80" ht="16.5" customHeight="1" x14ac:dyDescent="0.25">
      <c r="A15" s="377"/>
      <c r="B15" s="1361"/>
      <c r="C15" s="1361"/>
      <c r="D15" s="1361"/>
      <c r="E15" s="1361"/>
      <c r="F15" s="1361"/>
      <c r="G15" s="1361"/>
      <c r="H15" s="1361"/>
      <c r="I15" s="1361"/>
      <c r="J15" s="1361"/>
      <c r="K15" s="1361"/>
      <c r="L15" s="1361"/>
      <c r="M15" s="1361"/>
      <c r="N15" s="1361"/>
      <c r="O15" s="1361"/>
      <c r="P15" s="1361"/>
      <c r="Q15" s="1361"/>
      <c r="R15" s="1361"/>
      <c r="S15" s="1361"/>
      <c r="T15" s="1361"/>
      <c r="U15" s="1361"/>
      <c r="V15" s="1361"/>
      <c r="W15" s="1361"/>
      <c r="X15" s="1361"/>
      <c r="Y15" s="1361"/>
      <c r="Z15" s="1361"/>
      <c r="AA15" s="1361"/>
      <c r="AB15" s="1361"/>
      <c r="AC15" s="1361"/>
      <c r="AD15" s="1361"/>
      <c r="AE15" s="1361"/>
      <c r="AF15" s="1361"/>
      <c r="AG15" s="1361"/>
      <c r="AH15" s="1361"/>
      <c r="AI15" s="1361"/>
      <c r="AJ15" s="1361"/>
      <c r="AK15" s="1361"/>
      <c r="AL15" s="1361"/>
      <c r="AM15" s="1361"/>
      <c r="AN15" s="1361"/>
      <c r="AO15" s="1361"/>
      <c r="AP15" s="1361"/>
    </row>
    <row r="16" spans="1:80" ht="16.5" customHeight="1" x14ac:dyDescent="0.25">
      <c r="A16" s="377"/>
      <c r="B16" s="1361"/>
      <c r="C16" s="1361"/>
      <c r="D16" s="1361"/>
      <c r="E16" s="1361"/>
      <c r="F16" s="1361"/>
      <c r="G16" s="1361"/>
      <c r="H16" s="1361"/>
      <c r="I16" s="1361"/>
      <c r="J16" s="1361"/>
      <c r="K16" s="1361"/>
      <c r="L16" s="1361"/>
      <c r="M16" s="1361"/>
      <c r="N16" s="1361"/>
      <c r="O16" s="1361"/>
      <c r="P16" s="1361"/>
      <c r="Q16" s="1361"/>
      <c r="R16" s="1361"/>
      <c r="S16" s="1361"/>
      <c r="T16" s="1361"/>
      <c r="U16" s="1361"/>
      <c r="V16" s="1361"/>
      <c r="W16" s="1361"/>
      <c r="X16" s="1361"/>
      <c r="Y16" s="1361"/>
      <c r="Z16" s="1361"/>
      <c r="AA16" s="1361"/>
      <c r="AB16" s="1361"/>
      <c r="AC16" s="1361"/>
      <c r="AD16" s="1361"/>
      <c r="AE16" s="1361"/>
      <c r="AF16" s="1361"/>
      <c r="AG16" s="1361"/>
      <c r="AH16" s="1361"/>
      <c r="AI16" s="1361"/>
      <c r="AJ16" s="1361"/>
      <c r="AK16" s="1361"/>
      <c r="AL16" s="1361"/>
      <c r="AM16" s="1361"/>
      <c r="AN16" s="1361"/>
      <c r="AO16" s="1361"/>
      <c r="AP16" s="1361"/>
    </row>
    <row r="17" spans="1:49" ht="16.5" customHeight="1" x14ac:dyDescent="0.25">
      <c r="A17" s="377"/>
      <c r="B17" s="1361"/>
      <c r="C17" s="1361"/>
      <c r="D17" s="1361"/>
      <c r="E17" s="1361"/>
      <c r="F17" s="1361"/>
      <c r="G17" s="1361"/>
      <c r="H17" s="1361"/>
      <c r="I17" s="1361"/>
      <c r="J17" s="1361"/>
      <c r="K17" s="1361"/>
      <c r="L17" s="1361"/>
      <c r="M17" s="1361"/>
      <c r="N17" s="1361"/>
      <c r="O17" s="1361"/>
      <c r="P17" s="1361"/>
      <c r="Q17" s="1361"/>
      <c r="R17" s="1361"/>
      <c r="S17" s="1361"/>
      <c r="T17" s="1361"/>
      <c r="U17" s="1361"/>
      <c r="V17" s="1361"/>
      <c r="W17" s="1361"/>
      <c r="X17" s="1361"/>
      <c r="Y17" s="1361"/>
      <c r="Z17" s="1361"/>
      <c r="AA17" s="1361"/>
      <c r="AB17" s="1361"/>
      <c r="AC17" s="1361"/>
      <c r="AD17" s="1361"/>
      <c r="AE17" s="1361"/>
      <c r="AF17" s="1361"/>
      <c r="AG17" s="1361"/>
      <c r="AH17" s="1361"/>
      <c r="AI17" s="1361"/>
      <c r="AJ17" s="1361"/>
      <c r="AK17" s="1361"/>
      <c r="AL17" s="1361"/>
      <c r="AM17" s="1361"/>
      <c r="AN17" s="1361"/>
      <c r="AO17" s="1361"/>
      <c r="AP17" s="1361"/>
    </row>
    <row r="18" spans="1:49" ht="16.5" customHeight="1" x14ac:dyDescent="0.25">
      <c r="A18" s="377"/>
      <c r="B18" s="1361"/>
      <c r="C18" s="1361"/>
      <c r="D18" s="1361"/>
      <c r="E18" s="1361"/>
      <c r="F18" s="1361"/>
      <c r="G18" s="1361"/>
      <c r="H18" s="1361"/>
      <c r="I18" s="1361"/>
      <c r="J18" s="1361"/>
      <c r="K18" s="1361"/>
      <c r="L18" s="1361"/>
      <c r="M18" s="1361"/>
      <c r="N18" s="1361"/>
      <c r="O18" s="1361"/>
      <c r="P18" s="1361"/>
      <c r="Q18" s="1361"/>
      <c r="R18" s="1361"/>
      <c r="S18" s="1361"/>
      <c r="T18" s="1361"/>
      <c r="U18" s="1361"/>
      <c r="V18" s="1361"/>
      <c r="W18" s="1361"/>
      <c r="X18" s="1361"/>
      <c r="Y18" s="1361"/>
      <c r="Z18" s="1361"/>
      <c r="AA18" s="1361"/>
      <c r="AB18" s="1361"/>
      <c r="AC18" s="1361"/>
      <c r="AD18" s="1361"/>
      <c r="AE18" s="1361"/>
      <c r="AF18" s="1361"/>
      <c r="AG18" s="1361"/>
      <c r="AH18" s="1361"/>
      <c r="AI18" s="1361"/>
      <c r="AJ18" s="1361"/>
      <c r="AK18" s="1361"/>
      <c r="AL18" s="1361"/>
      <c r="AM18" s="1361"/>
      <c r="AN18" s="1361"/>
      <c r="AO18" s="1361"/>
      <c r="AP18" s="1361"/>
    </row>
    <row r="19" spans="1:49" ht="16.5" customHeight="1" x14ac:dyDescent="0.25">
      <c r="A19" s="377"/>
      <c r="B19" s="1361"/>
      <c r="C19" s="1361"/>
      <c r="D19" s="1361"/>
      <c r="E19" s="1361"/>
      <c r="F19" s="1361"/>
      <c r="G19" s="1361"/>
      <c r="H19" s="1361"/>
      <c r="I19" s="1361"/>
      <c r="J19" s="1361"/>
      <c r="K19" s="1361"/>
      <c r="L19" s="1361"/>
      <c r="M19" s="1361"/>
      <c r="N19" s="159"/>
      <c r="O19" s="159"/>
      <c r="P19" s="159"/>
      <c r="Q19" s="159"/>
      <c r="R19" s="159"/>
      <c r="S19" s="1361"/>
      <c r="T19" s="1361"/>
      <c r="U19" s="159"/>
      <c r="V19" s="159"/>
      <c r="W19" s="159"/>
      <c r="X19" s="159"/>
      <c r="Y19" s="159"/>
      <c r="Z19" s="159"/>
      <c r="AA19" s="159"/>
      <c r="AB19" s="1361"/>
      <c r="AC19" s="1361"/>
      <c r="AD19" s="159"/>
      <c r="AE19" s="159"/>
      <c r="AF19" s="159"/>
      <c r="AG19" s="159"/>
      <c r="AH19" s="159"/>
      <c r="AI19" s="1361"/>
      <c r="AJ19" s="1361"/>
      <c r="AK19" s="159"/>
      <c r="AL19" s="159"/>
      <c r="AM19" s="159"/>
      <c r="AN19" s="159"/>
      <c r="AO19" s="159"/>
      <c r="AP19" s="9"/>
    </row>
    <row r="20" spans="1:49" ht="16.5" customHeight="1" x14ac:dyDescent="0.25">
      <c r="A20" s="377"/>
      <c r="B20" s="1361"/>
      <c r="C20" s="1361"/>
      <c r="D20" s="1361"/>
      <c r="E20" s="1361"/>
      <c r="F20" s="1361"/>
      <c r="G20" s="1361"/>
      <c r="H20" s="1361"/>
      <c r="I20" s="1361"/>
      <c r="J20" s="1361"/>
      <c r="K20" s="1361"/>
      <c r="L20" s="1361"/>
      <c r="M20" s="1361"/>
      <c r="N20" s="159"/>
      <c r="O20" s="159"/>
      <c r="P20" s="159"/>
      <c r="Q20" s="159"/>
      <c r="R20" s="159"/>
      <c r="S20" s="1361"/>
      <c r="T20" s="1361"/>
      <c r="U20" s="159"/>
      <c r="V20" s="159"/>
      <c r="W20" s="159"/>
      <c r="X20" s="159"/>
      <c r="Y20" s="159"/>
      <c r="Z20" s="159"/>
      <c r="AA20" s="159"/>
      <c r="AB20" s="1361"/>
      <c r="AC20" s="1361"/>
      <c r="AD20" s="159"/>
      <c r="AE20" s="159"/>
      <c r="AF20" s="159"/>
      <c r="AG20" s="159"/>
      <c r="AH20" s="159"/>
      <c r="AI20" s="1361"/>
      <c r="AJ20" s="1361"/>
      <c r="AK20" s="159"/>
      <c r="AL20" s="159"/>
      <c r="AM20" s="159"/>
      <c r="AN20" s="159"/>
      <c r="AO20" s="159"/>
      <c r="AP20" s="9"/>
    </row>
    <row r="21" spans="1:49" ht="16.5" customHeight="1" x14ac:dyDescent="0.25">
      <c r="A21" s="377"/>
      <c r="B21" s="1361"/>
      <c r="C21" s="1361"/>
      <c r="D21" s="1361"/>
      <c r="E21" s="1361"/>
      <c r="F21" s="1361"/>
      <c r="G21" s="1361"/>
      <c r="H21" s="1361"/>
      <c r="I21" s="1361"/>
      <c r="J21" s="1361"/>
      <c r="K21" s="1361"/>
      <c r="L21" s="1361"/>
      <c r="M21" s="1361"/>
      <c r="N21" s="159"/>
      <c r="O21" s="159"/>
      <c r="P21" s="159"/>
      <c r="Q21" s="159"/>
      <c r="R21" s="159"/>
      <c r="S21" s="1361"/>
      <c r="T21" s="1361"/>
      <c r="U21" s="159"/>
      <c r="V21" s="159"/>
      <c r="W21" s="159"/>
      <c r="X21" s="159"/>
      <c r="Y21" s="159"/>
      <c r="Z21" s="159"/>
      <c r="AA21" s="159"/>
      <c r="AB21" s="1361"/>
      <c r="AC21" s="1361"/>
      <c r="AD21" s="159"/>
      <c r="AE21" s="159"/>
      <c r="AF21" s="159"/>
      <c r="AG21" s="159"/>
      <c r="AH21" s="159"/>
      <c r="AI21" s="1361"/>
      <c r="AJ21" s="1361"/>
      <c r="AK21" s="159"/>
      <c r="AL21" s="159"/>
      <c r="AM21" s="159"/>
      <c r="AN21" s="159"/>
      <c r="AO21" s="159"/>
      <c r="AP21" s="9"/>
    </row>
    <row r="22" spans="1:49" ht="16.5" customHeight="1" x14ac:dyDescent="0.25">
      <c r="A22" s="377"/>
      <c r="B22" s="1361"/>
      <c r="C22" s="1361"/>
      <c r="D22" s="1361"/>
      <c r="E22" s="1361"/>
      <c r="F22" s="1361"/>
      <c r="G22" s="1361"/>
      <c r="H22" s="1361"/>
      <c r="I22" s="1361"/>
      <c r="J22" s="1361"/>
      <c r="K22" s="1361"/>
      <c r="L22" s="1361"/>
      <c r="M22" s="1361"/>
      <c r="N22" s="159"/>
      <c r="O22" s="159"/>
      <c r="P22" s="159"/>
      <c r="Q22" s="159"/>
      <c r="R22" s="159"/>
      <c r="S22" s="1361"/>
      <c r="T22" s="1361"/>
      <c r="U22" s="159"/>
      <c r="V22" s="159"/>
      <c r="W22" s="159"/>
      <c r="X22" s="159"/>
      <c r="Y22" s="159"/>
      <c r="Z22" s="159"/>
      <c r="AA22" s="159"/>
      <c r="AB22" s="1361"/>
      <c r="AC22" s="1361"/>
      <c r="AD22" s="159"/>
      <c r="AE22" s="159"/>
      <c r="AF22" s="159"/>
      <c r="AG22" s="159"/>
      <c r="AH22" s="159"/>
      <c r="AI22" s="1361"/>
      <c r="AJ22" s="1361"/>
      <c r="AK22" s="159"/>
      <c r="AL22" s="159"/>
      <c r="AM22" s="159"/>
      <c r="AN22" s="159"/>
      <c r="AO22" s="159"/>
      <c r="AP22" s="9"/>
    </row>
    <row r="23" spans="1:49" ht="16.5" customHeight="1" x14ac:dyDescent="0.25">
      <c r="A23" s="377"/>
      <c r="B23" s="1383" t="s">
        <v>1019</v>
      </c>
      <c r="C23" s="1360"/>
      <c r="D23" s="1360"/>
      <c r="E23" s="1360"/>
      <c r="F23" s="1360"/>
      <c r="G23" s="1360"/>
      <c r="H23" s="1360"/>
      <c r="I23" s="1360"/>
      <c r="J23" s="1360"/>
      <c r="K23" s="1360"/>
      <c r="L23" s="1360"/>
      <c r="M23" s="1360"/>
      <c r="N23" s="159"/>
      <c r="O23" s="159"/>
      <c r="P23" s="1383" t="s">
        <v>434</v>
      </c>
      <c r="Q23" s="1360"/>
      <c r="R23" s="1360"/>
      <c r="S23" s="1360"/>
      <c r="T23" s="1360"/>
      <c r="U23" s="1360"/>
      <c r="V23" s="1360"/>
      <c r="W23" s="1360"/>
      <c r="X23" s="1360"/>
      <c r="Y23" s="1360"/>
      <c r="Z23" s="1360"/>
      <c r="AA23" s="1360"/>
      <c r="AB23" s="159"/>
      <c r="AC23" s="159"/>
      <c r="AD23" s="1383" t="s">
        <v>990</v>
      </c>
      <c r="AE23" s="1360"/>
      <c r="AF23" s="1360"/>
      <c r="AG23" s="1360"/>
      <c r="AH23" s="1360"/>
      <c r="AI23" s="1360"/>
      <c r="AJ23" s="1360"/>
      <c r="AK23" s="1360"/>
      <c r="AL23" s="1360"/>
      <c r="AM23" s="1360"/>
      <c r="AN23" s="1360"/>
      <c r="AO23" s="1360"/>
      <c r="AP23" s="9"/>
    </row>
    <row r="24" spans="1:49" ht="16.5" customHeight="1" x14ac:dyDescent="0.25">
      <c r="A24" s="377"/>
      <c r="B24" s="1361"/>
      <c r="C24" s="1361"/>
      <c r="D24" s="1361"/>
      <c r="E24" s="1361"/>
      <c r="F24" s="1361"/>
      <c r="G24" s="1361"/>
      <c r="H24" s="1361"/>
      <c r="I24" s="1361"/>
      <c r="J24" s="1361"/>
      <c r="K24" s="1361"/>
      <c r="L24" s="1361"/>
      <c r="M24" s="1361"/>
      <c r="N24" s="159"/>
      <c r="O24" s="159"/>
      <c r="P24" s="159"/>
      <c r="Q24" s="159"/>
      <c r="R24" s="159"/>
      <c r="S24" s="1361"/>
      <c r="T24" s="1361"/>
      <c r="U24" s="159"/>
      <c r="V24" s="159"/>
      <c r="W24" s="159"/>
      <c r="X24" s="159"/>
      <c r="Y24" s="159"/>
      <c r="Z24" s="159"/>
      <c r="AA24" s="159"/>
      <c r="AB24" s="1361"/>
      <c r="AC24" s="1361"/>
      <c r="AD24" s="159"/>
      <c r="AE24" s="159"/>
      <c r="AF24" s="159"/>
      <c r="AG24" s="159"/>
      <c r="AH24" s="159"/>
      <c r="AI24" s="1361"/>
      <c r="AJ24" s="1361"/>
      <c r="AK24" s="159"/>
      <c r="AL24" s="159"/>
      <c r="AM24" s="159"/>
      <c r="AN24" s="159"/>
      <c r="AO24" s="159"/>
      <c r="AP24" s="9"/>
    </row>
    <row r="25" spans="1:49" ht="16.5" customHeight="1" x14ac:dyDescent="0.25">
      <c r="A25" s="377"/>
      <c r="B25" s="1361"/>
      <c r="C25" s="1361"/>
      <c r="D25" s="1361"/>
      <c r="E25" s="1361"/>
      <c r="F25" s="1361"/>
      <c r="G25" s="1361"/>
      <c r="H25" s="1361"/>
      <c r="I25" s="1361"/>
      <c r="J25" s="1361"/>
      <c r="K25" s="1361"/>
      <c r="L25" s="1361"/>
      <c r="M25" s="1361"/>
      <c r="N25" s="159"/>
      <c r="O25" s="159"/>
      <c r="P25" s="159"/>
      <c r="Q25" s="159"/>
      <c r="R25" s="159"/>
      <c r="S25" s="1361"/>
      <c r="T25" s="1361"/>
      <c r="U25" s="159"/>
      <c r="V25" s="159"/>
      <c r="W25" s="159"/>
      <c r="X25" s="159"/>
      <c r="Y25" s="159"/>
      <c r="Z25" s="159"/>
      <c r="AA25" s="159"/>
      <c r="AB25" s="1361"/>
      <c r="AC25" s="1361"/>
      <c r="AD25" s="159"/>
      <c r="AE25" s="159"/>
      <c r="AF25" s="159"/>
      <c r="AG25" s="159"/>
      <c r="AH25" s="159"/>
      <c r="AI25" s="1361"/>
      <c r="AJ25" s="1361"/>
      <c r="AK25" s="159"/>
      <c r="AL25" s="159"/>
      <c r="AM25" s="159"/>
      <c r="AN25" s="159"/>
      <c r="AO25" s="159"/>
      <c r="AP25" s="9"/>
    </row>
    <row r="26" spans="1:49" ht="16.5" customHeight="1" x14ac:dyDescent="0.25">
      <c r="A26" s="377"/>
      <c r="B26" s="1361"/>
      <c r="C26" s="1361"/>
      <c r="D26" s="1361"/>
      <c r="E26" s="1361"/>
      <c r="F26" s="1361"/>
      <c r="G26" s="1361"/>
      <c r="H26" s="1361"/>
      <c r="I26" s="1361"/>
      <c r="J26" s="1361"/>
      <c r="K26" s="1361"/>
      <c r="L26" s="1361"/>
      <c r="M26" s="1361"/>
      <c r="N26" s="160"/>
      <c r="O26" s="160"/>
      <c r="P26" s="160"/>
      <c r="Q26" s="160"/>
      <c r="R26" s="160"/>
      <c r="S26" s="1361"/>
      <c r="T26" s="1361"/>
      <c r="U26" s="160"/>
      <c r="V26" s="160"/>
      <c r="W26" s="160"/>
      <c r="X26" s="160"/>
      <c r="Y26" s="160"/>
      <c r="Z26" s="160"/>
      <c r="AA26" s="160"/>
      <c r="AB26" s="1361"/>
      <c r="AC26" s="1361"/>
      <c r="AD26" s="160"/>
      <c r="AE26" s="160"/>
      <c r="AF26" s="160"/>
      <c r="AG26" s="160"/>
      <c r="AH26" s="160"/>
      <c r="AI26" s="1361"/>
      <c r="AJ26" s="1361"/>
      <c r="AK26" s="160"/>
      <c r="AL26" s="160"/>
      <c r="AM26" s="160"/>
      <c r="AN26" s="160"/>
      <c r="AO26" s="160"/>
      <c r="AP26" s="9"/>
    </row>
    <row r="27" spans="1:49" ht="16.5" customHeight="1" x14ac:dyDescent="0.25">
      <c r="A27" s="377"/>
      <c r="B27" s="1361"/>
      <c r="C27" s="1361"/>
      <c r="D27" s="1361"/>
      <c r="E27" s="1361"/>
      <c r="F27" s="1361"/>
      <c r="G27" s="1361"/>
      <c r="H27" s="1361"/>
      <c r="I27" s="1361"/>
      <c r="J27" s="1361"/>
      <c r="K27" s="1361"/>
      <c r="L27" s="1361"/>
      <c r="M27" s="1361"/>
      <c r="N27" s="160"/>
      <c r="O27" s="160"/>
      <c r="P27" s="160"/>
      <c r="Q27" s="160"/>
      <c r="R27" s="160"/>
      <c r="S27" s="1361"/>
      <c r="T27" s="1361"/>
      <c r="U27" s="160"/>
      <c r="V27" s="160"/>
      <c r="W27" s="160"/>
      <c r="X27" s="160"/>
      <c r="Y27" s="160"/>
      <c r="Z27" s="160"/>
      <c r="AA27" s="160"/>
      <c r="AB27" s="1361"/>
      <c r="AC27" s="1361"/>
      <c r="AD27" s="160"/>
      <c r="AE27" s="160"/>
      <c r="AF27" s="160"/>
      <c r="AG27" s="160"/>
      <c r="AH27" s="160"/>
      <c r="AI27" s="1361"/>
      <c r="AJ27" s="1361"/>
      <c r="AK27" s="160"/>
      <c r="AL27" s="160"/>
      <c r="AM27" s="160"/>
      <c r="AN27" s="160"/>
      <c r="AO27" s="160"/>
      <c r="AP27" s="9"/>
    </row>
    <row r="28" spans="1:49" ht="16.5" customHeight="1" x14ac:dyDescent="0.25">
      <c r="A28" s="377"/>
      <c r="B28" s="1361"/>
      <c r="C28" s="1361"/>
      <c r="D28" s="1361"/>
      <c r="E28" s="1361"/>
      <c r="F28" s="1361"/>
      <c r="G28" s="1361"/>
      <c r="H28" s="1361"/>
      <c r="I28" s="1361"/>
      <c r="J28" s="1361"/>
      <c r="K28" s="1361"/>
      <c r="L28" s="1361"/>
      <c r="M28" s="1361"/>
      <c r="N28" s="160"/>
      <c r="O28" s="160"/>
      <c r="P28" s="160"/>
      <c r="Q28" s="160"/>
      <c r="R28" s="160"/>
      <c r="S28" s="1361"/>
      <c r="T28" s="1361"/>
      <c r="U28" s="160"/>
      <c r="V28" s="160"/>
      <c r="W28" s="160"/>
      <c r="X28" s="160"/>
      <c r="Y28" s="160"/>
      <c r="Z28" s="160"/>
      <c r="AA28" s="160"/>
      <c r="AB28" s="1361"/>
      <c r="AC28" s="1361"/>
      <c r="AD28" s="160"/>
      <c r="AE28" s="160"/>
      <c r="AF28" s="160"/>
      <c r="AG28" s="160"/>
      <c r="AH28" s="160"/>
      <c r="AI28" s="1361"/>
      <c r="AJ28" s="1361"/>
      <c r="AK28" s="160"/>
      <c r="AL28" s="160"/>
      <c r="AM28" s="160"/>
      <c r="AN28" s="160"/>
      <c r="AO28" s="160"/>
      <c r="AP28" s="9"/>
    </row>
    <row r="29" spans="1:49" ht="16.5" customHeight="1" x14ac:dyDescent="0.25">
      <c r="A29" s="377"/>
      <c r="B29" s="1361"/>
      <c r="C29" s="1361"/>
      <c r="D29" s="1361"/>
      <c r="E29" s="1361"/>
      <c r="F29" s="1361"/>
      <c r="G29" s="1361"/>
      <c r="H29" s="1361"/>
      <c r="I29" s="1361"/>
      <c r="J29" s="1361"/>
      <c r="K29" s="1361"/>
      <c r="L29" s="1361"/>
      <c r="M29" s="1361"/>
      <c r="N29" s="160"/>
      <c r="O29" s="160"/>
      <c r="P29" s="160"/>
      <c r="Q29" s="160"/>
      <c r="R29" s="160"/>
      <c r="S29" s="1361"/>
      <c r="T29" s="1361"/>
      <c r="U29" s="160"/>
      <c r="V29" s="160"/>
      <c r="W29" s="160"/>
      <c r="X29" s="160"/>
      <c r="Y29" s="160"/>
      <c r="Z29" s="160"/>
      <c r="AA29" s="160"/>
      <c r="AB29" s="1361"/>
      <c r="AC29" s="1361"/>
      <c r="AD29" s="160"/>
      <c r="AE29" s="160"/>
      <c r="AF29" s="160"/>
      <c r="AG29" s="160"/>
      <c r="AH29" s="160"/>
      <c r="AI29" s="1361"/>
      <c r="AJ29" s="1361"/>
      <c r="AK29" s="160"/>
      <c r="AL29" s="160"/>
      <c r="AM29" s="160"/>
      <c r="AN29" s="160"/>
      <c r="AO29" s="160"/>
      <c r="AP29" s="9"/>
    </row>
    <row r="30" spans="1:49" ht="16.5" customHeight="1" x14ac:dyDescent="0.25">
      <c r="A30" s="377"/>
      <c r="B30" s="1361"/>
      <c r="C30" s="1361"/>
      <c r="D30" s="1361"/>
      <c r="E30" s="1361"/>
      <c r="F30" s="1361"/>
      <c r="G30" s="1361"/>
      <c r="H30" s="1361"/>
      <c r="I30" s="1361"/>
      <c r="J30" s="1361"/>
      <c r="K30" s="1361"/>
      <c r="L30" s="1361"/>
      <c r="M30" s="1361"/>
      <c r="N30" s="160"/>
      <c r="O30" s="160"/>
      <c r="P30" s="160"/>
      <c r="Q30" s="160"/>
      <c r="R30" s="160"/>
      <c r="S30" s="1361"/>
      <c r="T30" s="1361"/>
      <c r="U30" s="160"/>
      <c r="V30" s="160"/>
      <c r="W30" s="160"/>
      <c r="X30" s="160"/>
      <c r="Y30" s="160"/>
      <c r="Z30" s="160"/>
      <c r="AA30" s="160"/>
      <c r="AB30" s="1361"/>
      <c r="AC30" s="1361"/>
      <c r="AD30" s="160"/>
      <c r="AE30" s="160"/>
      <c r="AF30" s="160"/>
      <c r="AG30" s="160"/>
      <c r="AH30" s="160"/>
      <c r="AI30" s="1361"/>
      <c r="AJ30" s="1361"/>
      <c r="AK30" s="160"/>
      <c r="AL30" s="160"/>
      <c r="AM30" s="160"/>
      <c r="AN30" s="160"/>
      <c r="AO30" s="160"/>
      <c r="AP30" s="9"/>
    </row>
    <row r="31" spans="1:49" ht="16.5" customHeight="1" x14ac:dyDescent="0.25">
      <c r="A31" s="377"/>
      <c r="B31" s="1383" t="s">
        <v>1047</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0"/>
      <c r="Z31" s="1360"/>
      <c r="AA31" s="1360"/>
      <c r="AB31" s="1360"/>
      <c r="AC31" s="1360"/>
      <c r="AD31" s="1360"/>
      <c r="AE31" s="1360"/>
      <c r="AF31" s="1360"/>
      <c r="AG31" s="1360"/>
      <c r="AH31" s="1360"/>
      <c r="AI31" s="1360"/>
      <c r="AJ31" s="1360"/>
      <c r="AK31" s="1360"/>
      <c r="AL31" s="1360"/>
      <c r="AM31" s="1360"/>
      <c r="AN31" s="1360"/>
      <c r="AO31" s="1360"/>
      <c r="AP31" s="9"/>
      <c r="AS31" s="1366"/>
      <c r="AT31" s="1366"/>
      <c r="AU31" s="1366"/>
      <c r="AV31" s="1366"/>
      <c r="AW31" s="1366"/>
    </row>
    <row r="32" spans="1:49" ht="7.5" customHeight="1" thickBot="1" x14ac:dyDescent="0.3">
      <c r="A32" s="377"/>
      <c r="B32" s="24"/>
      <c r="C32" s="24"/>
      <c r="D32" s="24"/>
      <c r="E32" s="24"/>
      <c r="F32" s="24"/>
      <c r="G32" s="24"/>
      <c r="H32" s="24"/>
      <c r="I32" s="24"/>
      <c r="J32" s="24"/>
      <c r="K32" s="24"/>
      <c r="L32" s="2654" t="str">
        <f>IFERROR(DATE(AS9,AT8,1),"")</f>
        <v/>
      </c>
      <c r="M32" s="2654"/>
      <c r="N32" s="2654"/>
      <c r="O32" s="2654"/>
      <c r="P32" s="2654"/>
      <c r="Q32" s="2654" t="str">
        <f>IFERROR(DATE(AS9,AT8,1),"")</f>
        <v/>
      </c>
      <c r="R32" s="2654"/>
      <c r="S32" s="2654"/>
      <c r="T32" s="2654"/>
      <c r="U32" s="2654"/>
      <c r="V32" s="14"/>
      <c r="W32" s="14"/>
      <c r="X32" s="14"/>
      <c r="Y32" s="2654" t="str">
        <f>IFERROR(DATE(AS9,(AT8-1),1),"")</f>
        <v/>
      </c>
      <c r="Z32" s="2654"/>
      <c r="AA32" s="2654"/>
      <c r="AB32" s="2654"/>
      <c r="AC32" s="2654"/>
      <c r="AD32" s="14"/>
      <c r="AE32" s="14"/>
      <c r="AF32" s="14"/>
      <c r="AG32" s="2654" t="str">
        <f>IFERROR(DATE(AS9-1,AT8,1),"")</f>
        <v/>
      </c>
      <c r="AH32" s="2654"/>
      <c r="AI32" s="2654"/>
      <c r="AJ32" s="2654"/>
      <c r="AK32" s="2654"/>
      <c r="AL32" s="14"/>
      <c r="AM32" s="14"/>
      <c r="AN32" s="14"/>
      <c r="AO32" s="160"/>
      <c r="AP32" s="9"/>
      <c r="AS32" s="1366"/>
      <c r="AT32" s="1366"/>
      <c r="AU32" s="1366"/>
      <c r="AV32" s="1366"/>
      <c r="AW32" s="1366"/>
    </row>
    <row r="33" spans="1:80" s="1366" customFormat="1" ht="16.5" customHeight="1" thickBot="1" x14ac:dyDescent="0.3">
      <c r="A33" s="377"/>
      <c r="B33" s="24"/>
      <c r="C33" s="24"/>
      <c r="D33" s="24"/>
      <c r="E33" s="24"/>
      <c r="F33" s="24"/>
      <c r="G33" s="24"/>
      <c r="H33" s="24"/>
      <c r="I33" s="24"/>
      <c r="J33" s="24"/>
      <c r="K33" s="24"/>
      <c r="L33" s="2655" t="s">
        <v>986</v>
      </c>
      <c r="M33" s="2655"/>
      <c r="N33" s="2655"/>
      <c r="O33" s="2655"/>
      <c r="P33" s="2655"/>
      <c r="Q33" s="2655" t="s">
        <v>1046</v>
      </c>
      <c r="R33" s="2655"/>
      <c r="S33" s="2655"/>
      <c r="T33" s="2655"/>
      <c r="U33" s="2655"/>
      <c r="V33" s="2655" t="s">
        <v>987</v>
      </c>
      <c r="W33" s="2655"/>
      <c r="X33" s="2655"/>
      <c r="Y33" s="2655" t="s">
        <v>1044</v>
      </c>
      <c r="Z33" s="2655"/>
      <c r="AA33" s="2655"/>
      <c r="AB33" s="2655"/>
      <c r="AC33" s="2655"/>
      <c r="AD33" s="2655" t="s">
        <v>987</v>
      </c>
      <c r="AE33" s="2655"/>
      <c r="AF33" s="2655"/>
      <c r="AG33" s="2655" t="s">
        <v>1048</v>
      </c>
      <c r="AH33" s="2655"/>
      <c r="AI33" s="2655"/>
      <c r="AJ33" s="2655"/>
      <c r="AK33" s="2655"/>
      <c r="AL33" s="2655" t="s">
        <v>987</v>
      </c>
      <c r="AM33" s="2655"/>
      <c r="AN33" s="2655"/>
      <c r="AO33" s="1661">
        <f>SUM(AO35:AO59)</f>
        <v>0</v>
      </c>
      <c r="AP33" s="160"/>
      <c r="AQ33" s="331"/>
      <c r="AR33" s="331"/>
      <c r="AX33" s="331"/>
      <c r="AY33" s="331"/>
      <c r="AZ33" s="331"/>
      <c r="BA33" s="331"/>
      <c r="BB33" s="331"/>
      <c r="BC33" s="331"/>
      <c r="BD33" s="331"/>
      <c r="BE33" s="331"/>
      <c r="BF33" s="331"/>
      <c r="BG33" s="331"/>
      <c r="BH33" s="331"/>
      <c r="BI33" s="331"/>
      <c r="BJ33" s="331"/>
      <c r="BK33" s="331"/>
      <c r="BL33" s="331"/>
      <c r="BM33" s="331"/>
      <c r="BN33" s="331"/>
      <c r="BO33" s="331"/>
      <c r="BP33" s="331"/>
      <c r="BQ33" s="331"/>
      <c r="BR33" s="331"/>
      <c r="BS33" s="331"/>
      <c r="BT33" s="331"/>
      <c r="BU33" s="331"/>
      <c r="BV33" s="331"/>
      <c r="BW33" s="331"/>
      <c r="BX33" s="331"/>
      <c r="BY33" s="331"/>
      <c r="BZ33" s="331"/>
      <c r="CA33" s="331"/>
      <c r="CB33" s="331"/>
    </row>
    <row r="34" spans="1:80" s="1366" customFormat="1" ht="15" customHeight="1" x14ac:dyDescent="0.25">
      <c r="A34" s="377"/>
      <c r="B34" s="24"/>
      <c r="C34" s="24"/>
      <c r="D34" s="24"/>
      <c r="E34" s="24"/>
      <c r="F34" s="24"/>
      <c r="G34" s="24"/>
      <c r="H34" s="24"/>
      <c r="I34" s="24"/>
      <c r="J34" s="24"/>
      <c r="K34" s="24"/>
      <c r="L34" s="1288"/>
      <c r="M34" s="1288"/>
      <c r="N34" s="1288"/>
      <c r="O34" s="1288"/>
      <c r="P34" s="1288"/>
      <c r="Q34" s="1288"/>
      <c r="R34" s="1288"/>
      <c r="S34" s="1288"/>
      <c r="T34" s="1288"/>
      <c r="U34" s="1288"/>
      <c r="V34" s="1288"/>
      <c r="W34" s="1288"/>
      <c r="X34" s="1288"/>
      <c r="Y34" s="1288"/>
      <c r="Z34" s="1288"/>
      <c r="AA34" s="1288"/>
      <c r="AB34" s="1288"/>
      <c r="AC34" s="1288"/>
      <c r="AD34" s="1288"/>
      <c r="AE34" s="1288"/>
      <c r="AF34" s="1288"/>
      <c r="AG34" s="1288"/>
      <c r="AH34" s="1288"/>
      <c r="AI34" s="1288"/>
      <c r="AJ34" s="1288"/>
      <c r="AK34" s="1288"/>
      <c r="AL34" s="1288"/>
      <c r="AM34" s="1447"/>
      <c r="AN34" s="1447"/>
      <c r="AO34" s="1661">
        <v>1</v>
      </c>
      <c r="AP34" s="9"/>
      <c r="AQ34" s="331"/>
      <c r="AR34" s="331"/>
      <c r="AX34" s="331"/>
      <c r="AY34" s="331"/>
      <c r="AZ34" s="331"/>
      <c r="BA34" s="331"/>
      <c r="BB34" s="331"/>
      <c r="BC34" s="331"/>
      <c r="BD34" s="331"/>
      <c r="BE34" s="331"/>
      <c r="BF34" s="331"/>
      <c r="BG34" s="331"/>
      <c r="BH34" s="331"/>
      <c r="BI34" s="331"/>
      <c r="BJ34" s="331"/>
      <c r="BK34" s="331"/>
      <c r="BL34" s="331"/>
      <c r="BM34" s="331"/>
      <c r="BN34" s="331"/>
      <c r="BO34" s="331"/>
      <c r="BP34" s="331"/>
      <c r="BQ34" s="331"/>
      <c r="BR34" s="331"/>
      <c r="BS34" s="331"/>
      <c r="BT34" s="331"/>
      <c r="BU34" s="331"/>
      <c r="BV34" s="331"/>
      <c r="BW34" s="331"/>
      <c r="BX34" s="331"/>
      <c r="BY34" s="331"/>
      <c r="BZ34" s="331"/>
      <c r="CA34" s="331"/>
      <c r="CB34" s="331"/>
    </row>
    <row r="35" spans="1:80" s="1366" customFormat="1" ht="15" customHeight="1" x14ac:dyDescent="0.3">
      <c r="A35" s="1361"/>
      <c r="B35" s="1412">
        <v>1</v>
      </c>
      <c r="C35" s="24"/>
      <c r="D35" s="20" t="str">
        <f>HIDE5!H100</f>
        <v>Electrical Utilities</v>
      </c>
      <c r="E35" s="20"/>
      <c r="F35" s="20"/>
      <c r="G35" s="1450"/>
      <c r="H35" s="20"/>
      <c r="I35" s="20"/>
      <c r="J35" s="20"/>
      <c r="K35" s="20"/>
      <c r="L35" s="2646">
        <f>HIDE5!G100</f>
        <v>0</v>
      </c>
      <c r="M35" s="2646"/>
      <c r="N35" s="2646"/>
      <c r="O35" s="2646"/>
      <c r="P35" s="2646"/>
      <c r="Q35" s="2646" cm="1">
        <f t="array" ref="Q35">IFERROR(-INDEX(HIDE5!$E$100:$E$125,MATCH(D35,HIDE5!$C$100:$C$124,0),0),0)</f>
        <v>0</v>
      </c>
      <c r="R35" s="2646"/>
      <c r="S35" s="2646"/>
      <c r="T35" s="2646"/>
      <c r="U35" s="2646"/>
      <c r="V35" s="2645">
        <f>IFERROR($L35/Q35-1,0)</f>
        <v>0</v>
      </c>
      <c r="W35" s="2645"/>
      <c r="X35" s="2645"/>
      <c r="Y35" s="2646" cm="1">
        <f t="array" ref="Y35">INDEX(HIDE5!I$100:I$124,MATCH('MONTHLY (R)'!D35,HIDE5!$C$100:$C$124,0),0)</f>
        <v>0</v>
      </c>
      <c r="Z35" s="2646"/>
      <c r="AA35" s="2646"/>
      <c r="AB35" s="2646"/>
      <c r="AC35" s="2646"/>
      <c r="AD35" s="2645">
        <f>IFERROR($L35/Y35-1,0)</f>
        <v>0</v>
      </c>
      <c r="AE35" s="2645"/>
      <c r="AF35" s="2645"/>
      <c r="AG35" s="2646" cm="1">
        <f t="array" ref="AG35">INDEX(HIDE5!$K$100:$K$124,MATCH('MONTHLY (R)'!D35,HIDE5!$C$100:$C$124,0),0)</f>
        <v>0</v>
      </c>
      <c r="AH35" s="2646"/>
      <c r="AI35" s="2646"/>
      <c r="AJ35" s="2646"/>
      <c r="AK35" s="2646"/>
      <c r="AL35" s="2645">
        <f>IFERROR($L35/AG35-1,0)</f>
        <v>0</v>
      </c>
      <c r="AM35" s="2645"/>
      <c r="AN35" s="2645"/>
      <c r="AO35" s="1661">
        <f>IF(L35+Q35+Y35+AG35=0,0,1)</f>
        <v>0</v>
      </c>
      <c r="AP35" s="23"/>
    </row>
    <row r="36" spans="1:80" s="1366" customFormat="1" ht="15" customHeight="1" x14ac:dyDescent="0.3">
      <c r="A36" s="1361"/>
      <c r="B36" s="1412">
        <f>B35+1</f>
        <v>2</v>
      </c>
      <c r="C36" s="24"/>
      <c r="D36" s="20" t="str">
        <f>HIDE5!H101</f>
        <v>Gas Utilities</v>
      </c>
      <c r="E36" s="20"/>
      <c r="F36" s="20"/>
      <c r="G36" s="1450"/>
      <c r="H36" s="20"/>
      <c r="I36" s="20"/>
      <c r="J36" s="20"/>
      <c r="K36" s="20"/>
      <c r="L36" s="2646">
        <f>HIDE5!G101</f>
        <v>0</v>
      </c>
      <c r="M36" s="2646"/>
      <c r="N36" s="2646"/>
      <c r="O36" s="2646"/>
      <c r="P36" s="2646"/>
      <c r="Q36" s="2646" cm="1">
        <f t="array" ref="Q36">IFERROR(-INDEX(HIDE5!$E$100:$E$125,MATCH(D36,HIDE5!$C$100:$C$124,0),0),0)</f>
        <v>0</v>
      </c>
      <c r="R36" s="2646"/>
      <c r="S36" s="2646"/>
      <c r="T36" s="2646"/>
      <c r="U36" s="2646"/>
      <c r="V36" s="2645">
        <f t="shared" ref="V36:V59" si="0">IFERROR($L36/Q36-1,0)</f>
        <v>0</v>
      </c>
      <c r="W36" s="2645"/>
      <c r="X36" s="2645"/>
      <c r="Y36" s="2646" cm="1">
        <f t="array" ref="Y36">INDEX(HIDE5!I$100:I$124,MATCH('MONTHLY (R)'!D36,HIDE5!$C$100:$C$124,0),0)</f>
        <v>0</v>
      </c>
      <c r="Z36" s="2646"/>
      <c r="AA36" s="2646"/>
      <c r="AB36" s="2646"/>
      <c r="AC36" s="2646"/>
      <c r="AD36" s="2645">
        <f t="shared" ref="AD36:AD59" si="1">IFERROR($L36/Y36-1,0)</f>
        <v>0</v>
      </c>
      <c r="AE36" s="2645"/>
      <c r="AF36" s="2645"/>
      <c r="AG36" s="2646" cm="1">
        <f t="array" ref="AG36">INDEX(HIDE5!$K$100:$K$124,MATCH('MONTHLY (R)'!D36,HIDE5!$C$100:$C$124,0),0)</f>
        <v>0</v>
      </c>
      <c r="AH36" s="2646"/>
      <c r="AI36" s="2646"/>
      <c r="AJ36" s="2646"/>
      <c r="AK36" s="2646"/>
      <c r="AL36" s="2645">
        <f t="shared" ref="AL36:AL59" si="2">IFERROR($L36/AG36-1,0)</f>
        <v>0</v>
      </c>
      <c r="AM36" s="2645"/>
      <c r="AN36" s="2645"/>
      <c r="AO36" s="1661">
        <f t="shared" ref="AO36:AO59" si="3">IF(L36+Q36+Y36+AG36=0,0,1)</f>
        <v>0</v>
      </c>
      <c r="AP36" s="23"/>
    </row>
    <row r="37" spans="1:80" s="1366" customFormat="1" ht="15" customHeight="1" x14ac:dyDescent="0.3">
      <c r="A37" s="1361"/>
      <c r="B37" s="1412">
        <f t="shared" ref="B37:B44" si="4">B36+1</f>
        <v>3</v>
      </c>
      <c r="C37" s="24"/>
      <c r="D37" s="20" t="str">
        <f>HIDE5!H102</f>
        <v>Water Utilities</v>
      </c>
      <c r="E37" s="20"/>
      <c r="F37" s="20"/>
      <c r="G37" s="1450"/>
      <c r="H37" s="20"/>
      <c r="I37" s="20"/>
      <c r="J37" s="20"/>
      <c r="K37" s="20"/>
      <c r="L37" s="2646">
        <f>HIDE5!G102</f>
        <v>0</v>
      </c>
      <c r="M37" s="2646"/>
      <c r="N37" s="2646"/>
      <c r="O37" s="2646"/>
      <c r="P37" s="2646"/>
      <c r="Q37" s="2646" cm="1">
        <f t="array" ref="Q37">IFERROR(-INDEX(HIDE5!$E$100:$E$125,MATCH(D37,HIDE5!$C$100:$C$124,0),0),0)</f>
        <v>0</v>
      </c>
      <c r="R37" s="2646"/>
      <c r="S37" s="2646"/>
      <c r="T37" s="2646"/>
      <c r="U37" s="2646"/>
      <c r="V37" s="2645">
        <f t="shared" si="0"/>
        <v>0</v>
      </c>
      <c r="W37" s="2645"/>
      <c r="X37" s="2645"/>
      <c r="Y37" s="2646" cm="1">
        <f t="array" ref="Y37">INDEX(HIDE5!I$100:I$124,MATCH('MONTHLY (R)'!D37,HIDE5!$C$100:$C$124,0),0)</f>
        <v>0</v>
      </c>
      <c r="Z37" s="2646"/>
      <c r="AA37" s="2646"/>
      <c r="AB37" s="2646"/>
      <c r="AC37" s="2646"/>
      <c r="AD37" s="2645">
        <f t="shared" si="1"/>
        <v>0</v>
      </c>
      <c r="AE37" s="2645"/>
      <c r="AF37" s="2645"/>
      <c r="AG37" s="2646" cm="1">
        <f t="array" ref="AG37">INDEX(HIDE5!$K$100:$K$124,MATCH('MONTHLY (R)'!D37,HIDE5!$C$100:$C$124,0),0)</f>
        <v>0</v>
      </c>
      <c r="AH37" s="2646"/>
      <c r="AI37" s="2646"/>
      <c r="AJ37" s="2646"/>
      <c r="AK37" s="2646"/>
      <c r="AL37" s="2645">
        <f t="shared" si="2"/>
        <v>0</v>
      </c>
      <c r="AM37" s="2645"/>
      <c r="AN37" s="2645"/>
      <c r="AO37" s="1661">
        <f t="shared" si="3"/>
        <v>0</v>
      </c>
      <c r="AP37" s="23"/>
    </row>
    <row r="38" spans="1:80" s="1366" customFormat="1" ht="15" customHeight="1" x14ac:dyDescent="0.3">
      <c r="A38" s="1361"/>
      <c r="B38" s="1412">
        <f t="shared" si="4"/>
        <v>4</v>
      </c>
      <c r="C38" s="24"/>
      <c r="D38" s="20" t="str">
        <f>HIDE5!H103</f>
        <v>Phone</v>
      </c>
      <c r="E38" s="20"/>
      <c r="F38" s="20"/>
      <c r="G38" s="1450"/>
      <c r="H38" s="20"/>
      <c r="I38" s="20"/>
      <c r="J38" s="20"/>
      <c r="K38" s="20"/>
      <c r="L38" s="2646">
        <f>HIDE5!G103</f>
        <v>0</v>
      </c>
      <c r="M38" s="2646"/>
      <c r="N38" s="2646"/>
      <c r="O38" s="2646"/>
      <c r="P38" s="2646"/>
      <c r="Q38" s="2646" cm="1">
        <f t="array" ref="Q38">IFERROR(-INDEX(HIDE5!$E$100:$E$125,MATCH(D38,HIDE5!$C$100:$C$124,0),0),0)</f>
        <v>0</v>
      </c>
      <c r="R38" s="2646"/>
      <c r="S38" s="2646"/>
      <c r="T38" s="2646"/>
      <c r="U38" s="2646"/>
      <c r="V38" s="2645">
        <f t="shared" si="0"/>
        <v>0</v>
      </c>
      <c r="W38" s="2645"/>
      <c r="X38" s="2645"/>
      <c r="Y38" s="2646" cm="1">
        <f t="array" ref="Y38">INDEX(HIDE5!I$100:I$124,MATCH('MONTHLY (R)'!D38,HIDE5!$C$100:$C$124,0),0)</f>
        <v>0</v>
      </c>
      <c r="Z38" s="2646"/>
      <c r="AA38" s="2646"/>
      <c r="AB38" s="2646"/>
      <c r="AC38" s="2646"/>
      <c r="AD38" s="2645">
        <f t="shared" si="1"/>
        <v>0</v>
      </c>
      <c r="AE38" s="2645"/>
      <c r="AF38" s="2645"/>
      <c r="AG38" s="2646" cm="1">
        <f t="array" ref="AG38">INDEX(HIDE5!$K$100:$K$124,MATCH('MONTHLY (R)'!D38,HIDE5!$C$100:$C$124,0),0)</f>
        <v>0</v>
      </c>
      <c r="AH38" s="2646"/>
      <c r="AI38" s="2646"/>
      <c r="AJ38" s="2646"/>
      <c r="AK38" s="2646"/>
      <c r="AL38" s="2645">
        <f t="shared" si="2"/>
        <v>0</v>
      </c>
      <c r="AM38" s="2645"/>
      <c r="AN38" s="2645"/>
      <c r="AO38" s="1661">
        <f t="shared" si="3"/>
        <v>0</v>
      </c>
      <c r="AP38" s="23"/>
    </row>
    <row r="39" spans="1:80" s="1366" customFormat="1" ht="15" customHeight="1" x14ac:dyDescent="0.3">
      <c r="A39" s="1361"/>
      <c r="B39" s="1412">
        <f t="shared" si="4"/>
        <v>5</v>
      </c>
      <c r="C39" s="24"/>
      <c r="D39" s="20" t="str">
        <f>HIDE5!H104</f>
        <v>Internet</v>
      </c>
      <c r="E39" s="20"/>
      <c r="F39" s="20"/>
      <c r="G39" s="1450"/>
      <c r="H39" s="20"/>
      <c r="I39" s="20"/>
      <c r="J39" s="20"/>
      <c r="K39" s="20"/>
      <c r="L39" s="2646">
        <f>HIDE5!G104</f>
        <v>0</v>
      </c>
      <c r="M39" s="2646"/>
      <c r="N39" s="2646"/>
      <c r="O39" s="2646"/>
      <c r="P39" s="2646"/>
      <c r="Q39" s="2646" cm="1">
        <f t="array" ref="Q39">IFERROR(-INDEX(HIDE5!$E$100:$E$125,MATCH(D39,HIDE5!$C$100:$C$124,0),0),0)</f>
        <v>0</v>
      </c>
      <c r="R39" s="2646"/>
      <c r="S39" s="2646"/>
      <c r="T39" s="2646"/>
      <c r="U39" s="2646"/>
      <c r="V39" s="2645">
        <f t="shared" si="0"/>
        <v>0</v>
      </c>
      <c r="W39" s="2645"/>
      <c r="X39" s="2645"/>
      <c r="Y39" s="2646" cm="1">
        <f t="array" ref="Y39">INDEX(HIDE5!I$100:I$124,MATCH('MONTHLY (R)'!D39,HIDE5!$C$100:$C$124,0),0)</f>
        <v>0</v>
      </c>
      <c r="Z39" s="2646"/>
      <c r="AA39" s="2646"/>
      <c r="AB39" s="2646"/>
      <c r="AC39" s="2646"/>
      <c r="AD39" s="2645">
        <f t="shared" si="1"/>
        <v>0</v>
      </c>
      <c r="AE39" s="2645"/>
      <c r="AF39" s="2645"/>
      <c r="AG39" s="2646" cm="1">
        <f t="array" ref="AG39">INDEX(HIDE5!$K$100:$K$124,MATCH('MONTHLY (R)'!D39,HIDE5!$C$100:$C$124,0),0)</f>
        <v>0</v>
      </c>
      <c r="AH39" s="2646"/>
      <c r="AI39" s="2646"/>
      <c r="AJ39" s="2646"/>
      <c r="AK39" s="2646"/>
      <c r="AL39" s="2645">
        <f t="shared" si="2"/>
        <v>0</v>
      </c>
      <c r="AM39" s="2645"/>
      <c r="AN39" s="2645"/>
      <c r="AO39" s="1661">
        <f t="shared" si="3"/>
        <v>0</v>
      </c>
      <c r="AP39" s="23"/>
    </row>
    <row r="40" spans="1:80" s="1366" customFormat="1" ht="15" customHeight="1" x14ac:dyDescent="0.3">
      <c r="A40" s="1361"/>
      <c r="B40" s="1412">
        <f t="shared" si="4"/>
        <v>6</v>
      </c>
      <c r="C40" s="24"/>
      <c r="D40" s="20" t="str">
        <f>HIDE5!H105</f>
        <v>Property Insurance + Tax</v>
      </c>
      <c r="E40" s="20"/>
      <c r="F40" s="20"/>
      <c r="G40" s="1450"/>
      <c r="H40" s="20"/>
      <c r="I40" s="20"/>
      <c r="J40" s="20"/>
      <c r="K40" s="20"/>
      <c r="L40" s="2646">
        <f>HIDE5!G105</f>
        <v>0</v>
      </c>
      <c r="M40" s="2646"/>
      <c r="N40" s="2646"/>
      <c r="O40" s="2646"/>
      <c r="P40" s="2646"/>
      <c r="Q40" s="2646" cm="1">
        <f t="array" ref="Q40">IFERROR(-INDEX(HIDE5!$E$100:$E$125,MATCH(D40,HIDE5!$C$100:$C$124,0),0),0)</f>
        <v>0</v>
      </c>
      <c r="R40" s="2646"/>
      <c r="S40" s="2646"/>
      <c r="T40" s="2646"/>
      <c r="U40" s="2646"/>
      <c r="V40" s="2645">
        <f t="shared" si="0"/>
        <v>0</v>
      </c>
      <c r="W40" s="2645"/>
      <c r="X40" s="2645"/>
      <c r="Y40" s="2646" cm="1">
        <f t="array" ref="Y40">INDEX(HIDE5!I$100:I$124,MATCH('MONTHLY (R)'!D40,HIDE5!$C$100:$C$124,0),0)</f>
        <v>0</v>
      </c>
      <c r="Z40" s="2646"/>
      <c r="AA40" s="2646"/>
      <c r="AB40" s="2646"/>
      <c r="AC40" s="2646"/>
      <c r="AD40" s="2645">
        <f t="shared" si="1"/>
        <v>0</v>
      </c>
      <c r="AE40" s="2645"/>
      <c r="AF40" s="2645"/>
      <c r="AG40" s="2646" cm="1">
        <f t="array" ref="AG40">INDEX(HIDE5!$K$100:$K$124,MATCH('MONTHLY (R)'!D40,HIDE5!$C$100:$C$124,0),0)</f>
        <v>0</v>
      </c>
      <c r="AH40" s="2646"/>
      <c r="AI40" s="2646"/>
      <c r="AJ40" s="2646"/>
      <c r="AK40" s="2646"/>
      <c r="AL40" s="2645">
        <f t="shared" si="2"/>
        <v>0</v>
      </c>
      <c r="AM40" s="2645"/>
      <c r="AN40" s="2645"/>
      <c r="AO40" s="1661">
        <f t="shared" si="3"/>
        <v>0</v>
      </c>
      <c r="AP40" s="23"/>
    </row>
    <row r="41" spans="1:80" s="1366" customFormat="1" ht="15" customHeight="1" x14ac:dyDescent="0.3">
      <c r="A41" s="1361"/>
      <c r="B41" s="1412">
        <f t="shared" si="4"/>
        <v>7</v>
      </c>
      <c r="C41" s="24"/>
      <c r="D41" s="20" t="str">
        <f>HIDE5!H106</f>
        <v>Irrigation</v>
      </c>
      <c r="E41" s="20"/>
      <c r="F41" s="20"/>
      <c r="G41" s="1450"/>
      <c r="H41" s="20"/>
      <c r="I41" s="20"/>
      <c r="J41" s="20"/>
      <c r="K41" s="20"/>
      <c r="L41" s="2646">
        <f>HIDE5!G106</f>
        <v>0</v>
      </c>
      <c r="M41" s="2646"/>
      <c r="N41" s="2646"/>
      <c r="O41" s="2646"/>
      <c r="P41" s="2646"/>
      <c r="Q41" s="2646" cm="1">
        <f t="array" ref="Q41">IFERROR(-INDEX(HIDE5!$E$100:$E$125,MATCH(D41,HIDE5!$C$100:$C$124,0),0),0)</f>
        <v>0</v>
      </c>
      <c r="R41" s="2646"/>
      <c r="S41" s="2646"/>
      <c r="T41" s="2646"/>
      <c r="U41" s="2646"/>
      <c r="V41" s="2645">
        <f t="shared" si="0"/>
        <v>0</v>
      </c>
      <c r="W41" s="2645"/>
      <c r="X41" s="2645"/>
      <c r="Y41" s="2646" cm="1">
        <f t="array" ref="Y41">INDEX(HIDE5!I$100:I$124,MATCH('MONTHLY (R)'!D41,HIDE5!$C$100:$C$124,0),0)</f>
        <v>0</v>
      </c>
      <c r="Z41" s="2646"/>
      <c r="AA41" s="2646"/>
      <c r="AB41" s="2646"/>
      <c r="AC41" s="2646"/>
      <c r="AD41" s="2645">
        <f t="shared" si="1"/>
        <v>0</v>
      </c>
      <c r="AE41" s="2645"/>
      <c r="AF41" s="2645"/>
      <c r="AG41" s="2646" cm="1">
        <f t="array" ref="AG41">INDEX(HIDE5!$K$100:$K$124,MATCH('MONTHLY (R)'!D41,HIDE5!$C$100:$C$124,0),0)</f>
        <v>0</v>
      </c>
      <c r="AH41" s="2646"/>
      <c r="AI41" s="2646"/>
      <c r="AJ41" s="2646"/>
      <c r="AK41" s="2646"/>
      <c r="AL41" s="2645">
        <f t="shared" si="2"/>
        <v>0</v>
      </c>
      <c r="AM41" s="2645"/>
      <c r="AN41" s="2645"/>
      <c r="AO41" s="1661">
        <f t="shared" si="3"/>
        <v>0</v>
      </c>
      <c r="AP41" s="23"/>
    </row>
    <row r="42" spans="1:80" s="1366" customFormat="1" ht="15" customHeight="1" x14ac:dyDescent="0.3">
      <c r="A42" s="1361"/>
      <c r="B42" s="1412">
        <f t="shared" si="4"/>
        <v>8</v>
      </c>
      <c r="C42" s="24"/>
      <c r="D42" s="20" t="str">
        <f>HIDE5!H107</f>
        <v>Security</v>
      </c>
      <c r="E42" s="20"/>
      <c r="F42" s="20"/>
      <c r="G42" s="1450"/>
      <c r="H42" s="20"/>
      <c r="I42" s="20"/>
      <c r="J42" s="20"/>
      <c r="K42" s="20"/>
      <c r="L42" s="2646">
        <f>HIDE5!G107</f>
        <v>0</v>
      </c>
      <c r="M42" s="2646"/>
      <c r="N42" s="2646"/>
      <c r="O42" s="2646"/>
      <c r="P42" s="2646"/>
      <c r="Q42" s="2646" cm="1">
        <f t="array" ref="Q42">IFERROR(-INDEX(HIDE5!$E$100:$E$125,MATCH(D42,HIDE5!$C$100:$C$124,0),0),0)</f>
        <v>0</v>
      </c>
      <c r="R42" s="2646"/>
      <c r="S42" s="2646"/>
      <c r="T42" s="2646"/>
      <c r="U42" s="2646"/>
      <c r="V42" s="2645">
        <f t="shared" si="0"/>
        <v>0</v>
      </c>
      <c r="W42" s="2645"/>
      <c r="X42" s="2645"/>
      <c r="Y42" s="2646" cm="1">
        <f t="array" ref="Y42">INDEX(HIDE5!I$100:I$124,MATCH('MONTHLY (R)'!D42,HIDE5!$C$100:$C$124,0),0)</f>
        <v>0</v>
      </c>
      <c r="Z42" s="2646"/>
      <c r="AA42" s="2646"/>
      <c r="AB42" s="2646"/>
      <c r="AC42" s="2646"/>
      <c r="AD42" s="2645">
        <f t="shared" si="1"/>
        <v>0</v>
      </c>
      <c r="AE42" s="2645"/>
      <c r="AF42" s="2645"/>
      <c r="AG42" s="2646" cm="1">
        <f t="array" ref="AG42">INDEX(HIDE5!$K$100:$K$124,MATCH('MONTHLY (R)'!D42,HIDE5!$C$100:$C$124,0),0)</f>
        <v>0</v>
      </c>
      <c r="AH42" s="2646"/>
      <c r="AI42" s="2646"/>
      <c r="AJ42" s="2646"/>
      <c r="AK42" s="2646"/>
      <c r="AL42" s="2645">
        <f t="shared" si="2"/>
        <v>0</v>
      </c>
      <c r="AM42" s="2645"/>
      <c r="AN42" s="2645"/>
      <c r="AO42" s="1661">
        <f t="shared" si="3"/>
        <v>0</v>
      </c>
      <c r="AP42" s="23"/>
    </row>
    <row r="43" spans="1:80" s="1366" customFormat="1" ht="15" customHeight="1" x14ac:dyDescent="0.3">
      <c r="A43" s="161"/>
      <c r="B43" s="1412">
        <f t="shared" si="4"/>
        <v>9</v>
      </c>
      <c r="C43" s="24"/>
      <c r="D43" s="20" t="str">
        <f>HIDE5!H108</f>
        <v>Accounting</v>
      </c>
      <c r="E43" s="20"/>
      <c r="F43" s="20"/>
      <c r="G43" s="1450"/>
      <c r="H43" s="20"/>
      <c r="I43" s="20"/>
      <c r="J43" s="20"/>
      <c r="K43" s="20"/>
      <c r="L43" s="2646">
        <f>HIDE5!G108</f>
        <v>0</v>
      </c>
      <c r="M43" s="2646"/>
      <c r="N43" s="2646"/>
      <c r="O43" s="2646"/>
      <c r="P43" s="2646"/>
      <c r="Q43" s="2646" cm="1">
        <f t="array" ref="Q43">IFERROR(-INDEX(HIDE5!$E$100:$E$125,MATCH(D43,HIDE5!$C$100:$C$124,0),0),0)</f>
        <v>0</v>
      </c>
      <c r="R43" s="2646"/>
      <c r="S43" s="2646"/>
      <c r="T43" s="2646"/>
      <c r="U43" s="2646"/>
      <c r="V43" s="2645">
        <f t="shared" si="0"/>
        <v>0</v>
      </c>
      <c r="W43" s="2645"/>
      <c r="X43" s="2645"/>
      <c r="Y43" s="2646" cm="1">
        <f t="array" ref="Y43">INDEX(HIDE5!I$100:I$124,MATCH('MONTHLY (R)'!D43,HIDE5!$C$100:$C$124,0),0)</f>
        <v>0</v>
      </c>
      <c r="Z43" s="2646"/>
      <c r="AA43" s="2646"/>
      <c r="AB43" s="2646"/>
      <c r="AC43" s="2646"/>
      <c r="AD43" s="2645">
        <f t="shared" si="1"/>
        <v>0</v>
      </c>
      <c r="AE43" s="2645"/>
      <c r="AF43" s="2645"/>
      <c r="AG43" s="2646" cm="1">
        <f t="array" ref="AG43">INDEX(HIDE5!$K$100:$K$124,MATCH('MONTHLY (R)'!D43,HIDE5!$C$100:$C$124,0),0)</f>
        <v>0</v>
      </c>
      <c r="AH43" s="2646"/>
      <c r="AI43" s="2646"/>
      <c r="AJ43" s="2646"/>
      <c r="AK43" s="2646"/>
      <c r="AL43" s="2645">
        <f t="shared" si="2"/>
        <v>0</v>
      </c>
      <c r="AM43" s="2645"/>
      <c r="AN43" s="2645"/>
      <c r="AO43" s="1661">
        <f t="shared" si="3"/>
        <v>0</v>
      </c>
      <c r="AP43" s="23"/>
    </row>
    <row r="44" spans="1:80" s="1366" customFormat="1" ht="15" customHeight="1" x14ac:dyDescent="0.3">
      <c r="A44" s="1361"/>
      <c r="B44" s="1412">
        <f t="shared" si="4"/>
        <v>10</v>
      </c>
      <c r="C44" s="24"/>
      <c r="D44" s="20" t="str">
        <f>HIDE5!H109</f>
        <v>Repairs &amp; Maintenance</v>
      </c>
      <c r="E44" s="20"/>
      <c r="F44" s="20"/>
      <c r="G44" s="1450"/>
      <c r="H44" s="20"/>
      <c r="I44" s="20"/>
      <c r="J44" s="20"/>
      <c r="K44" s="20"/>
      <c r="L44" s="2646">
        <f>HIDE5!G109</f>
        <v>0</v>
      </c>
      <c r="M44" s="2646"/>
      <c r="N44" s="2646"/>
      <c r="O44" s="2646"/>
      <c r="P44" s="2646"/>
      <c r="Q44" s="2646" cm="1">
        <f t="array" ref="Q44">IFERROR(-INDEX(HIDE5!$E$100:$E$125,MATCH(D44,HIDE5!$C$100:$C$124,0),0),0)</f>
        <v>0</v>
      </c>
      <c r="R44" s="2646"/>
      <c r="S44" s="2646"/>
      <c r="T44" s="2646"/>
      <c r="U44" s="2646"/>
      <c r="V44" s="2645">
        <f t="shared" si="0"/>
        <v>0</v>
      </c>
      <c r="W44" s="2645"/>
      <c r="X44" s="2645"/>
      <c r="Y44" s="2646" cm="1">
        <f t="array" ref="Y44">INDEX(HIDE5!I$100:I$124,MATCH('MONTHLY (R)'!D44,HIDE5!$C$100:$C$124,0),0)</f>
        <v>0</v>
      </c>
      <c r="Z44" s="2646"/>
      <c r="AA44" s="2646"/>
      <c r="AB44" s="2646"/>
      <c r="AC44" s="2646"/>
      <c r="AD44" s="2645">
        <f t="shared" si="1"/>
        <v>0</v>
      </c>
      <c r="AE44" s="2645"/>
      <c r="AF44" s="2645"/>
      <c r="AG44" s="2646" cm="1">
        <f t="array" ref="AG44">INDEX(HIDE5!$K$100:$K$124,MATCH('MONTHLY (R)'!D44,HIDE5!$C$100:$C$124,0),0)</f>
        <v>0</v>
      </c>
      <c r="AH44" s="2646"/>
      <c r="AI44" s="2646"/>
      <c r="AJ44" s="2646"/>
      <c r="AK44" s="2646"/>
      <c r="AL44" s="2645">
        <f t="shared" si="2"/>
        <v>0</v>
      </c>
      <c r="AM44" s="2645"/>
      <c r="AN44" s="2645"/>
      <c r="AO44" s="1661">
        <f t="shared" si="3"/>
        <v>0</v>
      </c>
      <c r="AP44" s="23"/>
    </row>
    <row r="45" spans="1:80" s="1366" customFormat="1" ht="15" customHeight="1" x14ac:dyDescent="0.3">
      <c r="A45" s="1361"/>
      <c r="B45" s="1412">
        <f>B44+1</f>
        <v>11</v>
      </c>
      <c r="C45" s="24"/>
      <c r="D45" s="20" t="str">
        <f>HIDE5!H110</f>
        <v xml:space="preserve">Property Management </v>
      </c>
      <c r="E45" s="20"/>
      <c r="F45" s="20"/>
      <c r="G45" s="20"/>
      <c r="H45" s="20"/>
      <c r="I45" s="20"/>
      <c r="J45" s="20"/>
      <c r="K45" s="20"/>
      <c r="L45" s="2646">
        <f>HIDE5!G110</f>
        <v>0</v>
      </c>
      <c r="M45" s="2646"/>
      <c r="N45" s="2646"/>
      <c r="O45" s="2646"/>
      <c r="P45" s="2646"/>
      <c r="Q45" s="2646" cm="1">
        <f t="array" ref="Q45">IFERROR(-INDEX(HIDE5!$E$100:$E$125,MATCH(D45,HIDE5!$C$100:$C$124,0),0),0)</f>
        <v>0</v>
      </c>
      <c r="R45" s="2646"/>
      <c r="S45" s="2646"/>
      <c r="T45" s="2646"/>
      <c r="U45" s="2646"/>
      <c r="V45" s="2645">
        <f t="shared" si="0"/>
        <v>0</v>
      </c>
      <c r="W45" s="2645"/>
      <c r="X45" s="2645"/>
      <c r="Y45" s="2646" cm="1">
        <f t="array" ref="Y45">INDEX(HIDE5!I$100:I$124,MATCH('MONTHLY (R)'!D45,HIDE5!$C$100:$C$124,0),0)</f>
        <v>0</v>
      </c>
      <c r="Z45" s="2646"/>
      <c r="AA45" s="2646"/>
      <c r="AB45" s="2646"/>
      <c r="AC45" s="2646"/>
      <c r="AD45" s="2645">
        <f t="shared" si="1"/>
        <v>0</v>
      </c>
      <c r="AE45" s="2645"/>
      <c r="AF45" s="2645"/>
      <c r="AG45" s="2646" cm="1">
        <f t="array" ref="AG45">INDEX(HIDE5!$K$100:$K$124,MATCH('MONTHLY (R)'!D45,HIDE5!$C$100:$C$124,0),0)</f>
        <v>0</v>
      </c>
      <c r="AH45" s="2646"/>
      <c r="AI45" s="2646"/>
      <c r="AJ45" s="2646"/>
      <c r="AK45" s="2646"/>
      <c r="AL45" s="2645">
        <f t="shared" si="2"/>
        <v>0</v>
      </c>
      <c r="AM45" s="2645"/>
      <c r="AN45" s="2645"/>
      <c r="AO45" s="1661">
        <f t="shared" si="3"/>
        <v>0</v>
      </c>
      <c r="AP45" s="23"/>
    </row>
    <row r="46" spans="1:80" s="1366" customFormat="1" ht="15" customHeight="1" x14ac:dyDescent="0.3">
      <c r="A46" s="161"/>
      <c r="B46" s="1412">
        <f>B45+1</f>
        <v>12</v>
      </c>
      <c r="C46" s="24"/>
      <c r="D46" s="20" t="str">
        <f>HIDE5!H111</f>
        <v>Vacancy Insurance</v>
      </c>
      <c r="E46" s="20"/>
      <c r="F46" s="20"/>
      <c r="G46" s="20"/>
      <c r="H46" s="20"/>
      <c r="I46" s="20"/>
      <c r="J46" s="20"/>
      <c r="K46" s="20"/>
      <c r="L46" s="2646">
        <f>HIDE5!G111</f>
        <v>0</v>
      </c>
      <c r="M46" s="2646"/>
      <c r="N46" s="2646"/>
      <c r="O46" s="2646"/>
      <c r="P46" s="2646"/>
      <c r="Q46" s="2646" cm="1">
        <f t="array" ref="Q46">IFERROR(-INDEX(HIDE5!$E$100:$E$125,MATCH(D46,HIDE5!$C$100:$C$124,0),0),0)</f>
        <v>0</v>
      </c>
      <c r="R46" s="2646"/>
      <c r="S46" s="2646"/>
      <c r="T46" s="2646"/>
      <c r="U46" s="2646"/>
      <c r="V46" s="2645">
        <f t="shared" si="0"/>
        <v>0</v>
      </c>
      <c r="W46" s="2645"/>
      <c r="X46" s="2645"/>
      <c r="Y46" s="2646" cm="1">
        <f t="array" ref="Y46">INDEX(HIDE5!I$100:I$124,MATCH('MONTHLY (R)'!D46,HIDE5!$C$100:$C$124,0),0)</f>
        <v>0</v>
      </c>
      <c r="Z46" s="2646"/>
      <c r="AA46" s="2646"/>
      <c r="AB46" s="2646"/>
      <c r="AC46" s="2646"/>
      <c r="AD46" s="2645">
        <f t="shared" si="1"/>
        <v>0</v>
      </c>
      <c r="AE46" s="2645"/>
      <c r="AF46" s="2645"/>
      <c r="AG46" s="2646" cm="1">
        <f t="array" ref="AG46">INDEX(HIDE5!$K$100:$K$124,MATCH('MONTHLY (R)'!D46,HIDE5!$C$100:$C$124,0),0)</f>
        <v>0</v>
      </c>
      <c r="AH46" s="2646"/>
      <c r="AI46" s="2646"/>
      <c r="AJ46" s="2646"/>
      <c r="AK46" s="2646"/>
      <c r="AL46" s="2645">
        <f t="shared" si="2"/>
        <v>0</v>
      </c>
      <c r="AM46" s="2645"/>
      <c r="AN46" s="2645"/>
      <c r="AO46" s="1661">
        <f t="shared" si="3"/>
        <v>0</v>
      </c>
      <c r="AP46" s="23"/>
    </row>
    <row r="47" spans="1:80" s="1366" customFormat="1" ht="15" customHeight="1" x14ac:dyDescent="0.3">
      <c r="A47" s="1361"/>
      <c r="B47" s="1412">
        <f t="shared" ref="B47:B59" si="5">B46+1</f>
        <v>13</v>
      </c>
      <c r="C47" s="24"/>
      <c r="D47" s="20" t="str">
        <f>HIDE5!H112</f>
        <v>Rent Insurance</v>
      </c>
      <c r="E47" s="20"/>
      <c r="F47" s="20"/>
      <c r="G47" s="20"/>
      <c r="H47" s="20"/>
      <c r="I47" s="20"/>
      <c r="J47" s="20"/>
      <c r="K47" s="20"/>
      <c r="L47" s="2646">
        <f>HIDE5!G112</f>
        <v>0</v>
      </c>
      <c r="M47" s="2646"/>
      <c r="N47" s="2646"/>
      <c r="O47" s="2646"/>
      <c r="P47" s="2646"/>
      <c r="Q47" s="2646" cm="1">
        <f t="array" ref="Q47">IFERROR(-INDEX(HIDE5!$E$100:$E$125,MATCH(D47,HIDE5!$C$100:$C$124,0),0),0)</f>
        <v>0</v>
      </c>
      <c r="R47" s="2646"/>
      <c r="S47" s="2646"/>
      <c r="T47" s="2646"/>
      <c r="U47" s="2646"/>
      <c r="V47" s="2645">
        <f t="shared" si="0"/>
        <v>0</v>
      </c>
      <c r="W47" s="2645"/>
      <c r="X47" s="2645"/>
      <c r="Y47" s="2646" cm="1">
        <f t="array" ref="Y47">INDEX(HIDE5!I$100:I$124,MATCH('MONTHLY (R)'!D47,HIDE5!$C$100:$C$124,0),0)</f>
        <v>0</v>
      </c>
      <c r="Z47" s="2646"/>
      <c r="AA47" s="2646"/>
      <c r="AB47" s="2646"/>
      <c r="AC47" s="2646"/>
      <c r="AD47" s="2645">
        <f t="shared" si="1"/>
        <v>0</v>
      </c>
      <c r="AE47" s="2645"/>
      <c r="AF47" s="2645"/>
      <c r="AG47" s="2646" cm="1">
        <f t="array" ref="AG47">INDEX(HIDE5!$K$100:$K$124,MATCH('MONTHLY (R)'!D47,HIDE5!$C$100:$C$124,0),0)</f>
        <v>0</v>
      </c>
      <c r="AH47" s="2646"/>
      <c r="AI47" s="2646"/>
      <c r="AJ47" s="2646"/>
      <c r="AK47" s="2646"/>
      <c r="AL47" s="2645">
        <f t="shared" si="2"/>
        <v>0</v>
      </c>
      <c r="AM47" s="2645"/>
      <c r="AN47" s="2645"/>
      <c r="AO47" s="1661">
        <f t="shared" si="3"/>
        <v>0</v>
      </c>
      <c r="AP47" s="23"/>
    </row>
    <row r="48" spans="1:80" s="1366" customFormat="1" ht="15" customHeight="1" x14ac:dyDescent="0.3">
      <c r="A48" s="1361"/>
      <c r="B48" s="1412">
        <f t="shared" si="5"/>
        <v>14</v>
      </c>
      <c r="C48" s="24"/>
      <c r="D48" s="20" t="str">
        <f>HIDE5!H113</f>
        <v>Legal</v>
      </c>
      <c r="E48" s="20"/>
      <c r="F48" s="20"/>
      <c r="G48" s="20"/>
      <c r="H48" s="20"/>
      <c r="I48" s="20"/>
      <c r="J48" s="20"/>
      <c r="K48" s="20"/>
      <c r="L48" s="2646">
        <f>HIDE5!G113</f>
        <v>0</v>
      </c>
      <c r="M48" s="2646"/>
      <c r="N48" s="2646"/>
      <c r="O48" s="2646"/>
      <c r="P48" s="2646"/>
      <c r="Q48" s="2646" cm="1">
        <f t="array" ref="Q48">IFERROR(-INDEX(HIDE5!$E$100:$E$125,MATCH(D48,HIDE5!$C$100:$C$124,0),0),0)</f>
        <v>0</v>
      </c>
      <c r="R48" s="2646"/>
      <c r="S48" s="2646"/>
      <c r="T48" s="2646"/>
      <c r="U48" s="2646"/>
      <c r="V48" s="2645">
        <f t="shared" si="0"/>
        <v>0</v>
      </c>
      <c r="W48" s="2645"/>
      <c r="X48" s="2645"/>
      <c r="Y48" s="2646" cm="1">
        <f t="array" ref="Y48">INDEX(HIDE5!I$100:I$124,MATCH('MONTHLY (R)'!D48,HIDE5!$C$100:$C$124,0),0)</f>
        <v>0</v>
      </c>
      <c r="Z48" s="2646"/>
      <c r="AA48" s="2646"/>
      <c r="AB48" s="2646"/>
      <c r="AC48" s="2646"/>
      <c r="AD48" s="2645">
        <f t="shared" si="1"/>
        <v>0</v>
      </c>
      <c r="AE48" s="2645"/>
      <c r="AF48" s="2645"/>
      <c r="AG48" s="2646" cm="1">
        <f t="array" ref="AG48">INDEX(HIDE5!$K$100:$K$124,MATCH('MONTHLY (R)'!D48,HIDE5!$C$100:$C$124,0),0)</f>
        <v>0</v>
      </c>
      <c r="AH48" s="2646"/>
      <c r="AI48" s="2646"/>
      <c r="AJ48" s="2646"/>
      <c r="AK48" s="2646"/>
      <c r="AL48" s="2645">
        <f t="shared" si="2"/>
        <v>0</v>
      </c>
      <c r="AM48" s="2645"/>
      <c r="AN48" s="2645"/>
      <c r="AO48" s="1661">
        <f t="shared" si="3"/>
        <v>0</v>
      </c>
      <c r="AP48" s="23"/>
    </row>
    <row r="49" spans="1:80" s="1366" customFormat="1" ht="15" customHeight="1" x14ac:dyDescent="0.3">
      <c r="A49" s="161"/>
      <c r="B49" s="1412">
        <f t="shared" si="5"/>
        <v>15</v>
      </c>
      <c r="C49" s="24"/>
      <c r="D49" s="20" t="str">
        <f>HIDE5!H114</f>
        <v>Advertising</v>
      </c>
      <c r="E49" s="20"/>
      <c r="F49" s="20"/>
      <c r="G49" s="20"/>
      <c r="H49" s="20"/>
      <c r="I49" s="20"/>
      <c r="J49" s="20"/>
      <c r="K49" s="20"/>
      <c r="L49" s="2646">
        <f>HIDE5!G114</f>
        <v>0</v>
      </c>
      <c r="M49" s="2646"/>
      <c r="N49" s="2646"/>
      <c r="O49" s="2646"/>
      <c r="P49" s="2646"/>
      <c r="Q49" s="2646" cm="1">
        <f t="array" ref="Q49">IFERROR(-INDEX(HIDE5!$E$100:$E$125,MATCH(D49,HIDE5!$C$100:$C$124,0),0),0)</f>
        <v>0</v>
      </c>
      <c r="R49" s="2646"/>
      <c r="S49" s="2646"/>
      <c r="T49" s="2646"/>
      <c r="U49" s="2646"/>
      <c r="V49" s="2645">
        <f t="shared" si="0"/>
        <v>0</v>
      </c>
      <c r="W49" s="2645"/>
      <c r="X49" s="2645"/>
      <c r="Y49" s="2646" cm="1">
        <f t="array" ref="Y49">INDEX(HIDE5!I$100:I$124,MATCH('MONTHLY (R)'!D49,HIDE5!$C$100:$C$124,0),0)</f>
        <v>0</v>
      </c>
      <c r="Z49" s="2646"/>
      <c r="AA49" s="2646"/>
      <c r="AB49" s="2646"/>
      <c r="AC49" s="2646"/>
      <c r="AD49" s="2645">
        <f t="shared" si="1"/>
        <v>0</v>
      </c>
      <c r="AE49" s="2645"/>
      <c r="AF49" s="2645"/>
      <c r="AG49" s="2646" cm="1">
        <f t="array" ref="AG49">INDEX(HIDE5!$K$100:$K$124,MATCH('MONTHLY (R)'!D49,HIDE5!$C$100:$C$124,0),0)</f>
        <v>0</v>
      </c>
      <c r="AH49" s="2646"/>
      <c r="AI49" s="2646"/>
      <c r="AJ49" s="2646"/>
      <c r="AK49" s="2646"/>
      <c r="AL49" s="2645">
        <f t="shared" si="2"/>
        <v>0</v>
      </c>
      <c r="AM49" s="2645"/>
      <c r="AN49" s="2645"/>
      <c r="AO49" s="1661">
        <f t="shared" si="3"/>
        <v>0</v>
      </c>
      <c r="AP49" s="23"/>
    </row>
    <row r="50" spans="1:80" s="1366" customFormat="1" ht="15" customHeight="1" x14ac:dyDescent="0.3">
      <c r="A50" s="1361"/>
      <c r="B50" s="1412">
        <f t="shared" si="5"/>
        <v>16</v>
      </c>
      <c r="C50" s="24"/>
      <c r="D50" s="20" t="str">
        <f>HIDE5!H115</f>
        <v>Other Cost 1</v>
      </c>
      <c r="E50" s="20"/>
      <c r="F50" s="20"/>
      <c r="G50" s="20"/>
      <c r="H50" s="20"/>
      <c r="I50" s="20"/>
      <c r="J50" s="20"/>
      <c r="K50" s="20"/>
      <c r="L50" s="2646">
        <f>HIDE5!G115</f>
        <v>0</v>
      </c>
      <c r="M50" s="2646"/>
      <c r="N50" s="2646"/>
      <c r="O50" s="2646"/>
      <c r="P50" s="2646"/>
      <c r="Q50" s="2646" cm="1">
        <f t="array" ref="Q50">IFERROR(-INDEX(HIDE5!$E$100:$E$125,MATCH(D50,HIDE5!$C$100:$C$124,0),0),0)</f>
        <v>0</v>
      </c>
      <c r="R50" s="2646"/>
      <c r="S50" s="2646"/>
      <c r="T50" s="2646"/>
      <c r="U50" s="2646"/>
      <c r="V50" s="2645">
        <f t="shared" si="0"/>
        <v>0</v>
      </c>
      <c r="W50" s="2645"/>
      <c r="X50" s="2645"/>
      <c r="Y50" s="2646" cm="1">
        <f t="array" ref="Y50">INDEX(HIDE5!I$100:I$124,MATCH('MONTHLY (R)'!D50,HIDE5!$C$100:$C$124,0),0)</f>
        <v>0</v>
      </c>
      <c r="Z50" s="2646"/>
      <c r="AA50" s="2646"/>
      <c r="AB50" s="2646"/>
      <c r="AC50" s="2646"/>
      <c r="AD50" s="2645">
        <f t="shared" si="1"/>
        <v>0</v>
      </c>
      <c r="AE50" s="2645"/>
      <c r="AF50" s="2645"/>
      <c r="AG50" s="2646" cm="1">
        <f t="array" ref="AG50">INDEX(HIDE5!$K$100:$K$124,MATCH('MONTHLY (R)'!D50,HIDE5!$C$100:$C$124,0),0)</f>
        <v>0</v>
      </c>
      <c r="AH50" s="2646"/>
      <c r="AI50" s="2646"/>
      <c r="AJ50" s="2646"/>
      <c r="AK50" s="2646"/>
      <c r="AL50" s="2645">
        <f t="shared" si="2"/>
        <v>0</v>
      </c>
      <c r="AM50" s="2645"/>
      <c r="AN50" s="2645"/>
      <c r="AO50" s="1661">
        <f t="shared" si="3"/>
        <v>0</v>
      </c>
      <c r="AP50" s="23"/>
    </row>
    <row r="51" spans="1:80" s="1366" customFormat="1" ht="15" customHeight="1" x14ac:dyDescent="0.3">
      <c r="A51" s="1361"/>
      <c r="B51" s="1412">
        <f t="shared" si="5"/>
        <v>17</v>
      </c>
      <c r="C51" s="24"/>
      <c r="D51" s="20" t="str">
        <f>HIDE5!H116</f>
        <v>Other Cost 2</v>
      </c>
      <c r="E51" s="20"/>
      <c r="F51" s="20"/>
      <c r="G51" s="20"/>
      <c r="H51" s="20"/>
      <c r="I51" s="20"/>
      <c r="J51" s="20"/>
      <c r="K51" s="20"/>
      <c r="L51" s="2646">
        <f>HIDE5!G116</f>
        <v>0</v>
      </c>
      <c r="M51" s="2646"/>
      <c r="N51" s="2646"/>
      <c r="O51" s="2646"/>
      <c r="P51" s="2646"/>
      <c r="Q51" s="2646" cm="1">
        <f t="array" ref="Q51">IFERROR(-INDEX(HIDE5!$E$100:$E$125,MATCH(D51,HIDE5!$C$100:$C$124,0),0),0)</f>
        <v>0</v>
      </c>
      <c r="R51" s="2646"/>
      <c r="S51" s="2646"/>
      <c r="T51" s="2646"/>
      <c r="U51" s="2646"/>
      <c r="V51" s="2645">
        <f t="shared" si="0"/>
        <v>0</v>
      </c>
      <c r="W51" s="2645"/>
      <c r="X51" s="2645"/>
      <c r="Y51" s="2646" cm="1">
        <f t="array" ref="Y51">INDEX(HIDE5!I$100:I$124,MATCH('MONTHLY (R)'!D51,HIDE5!$C$100:$C$124,0),0)</f>
        <v>0</v>
      </c>
      <c r="Z51" s="2646"/>
      <c r="AA51" s="2646"/>
      <c r="AB51" s="2646"/>
      <c r="AC51" s="2646"/>
      <c r="AD51" s="2645">
        <f t="shared" si="1"/>
        <v>0</v>
      </c>
      <c r="AE51" s="2645"/>
      <c r="AF51" s="2645"/>
      <c r="AG51" s="2646" cm="1">
        <f t="array" ref="AG51">INDEX(HIDE5!$K$100:$K$124,MATCH('MONTHLY (R)'!D51,HIDE5!$C$100:$C$124,0),0)</f>
        <v>0</v>
      </c>
      <c r="AH51" s="2646"/>
      <c r="AI51" s="2646"/>
      <c r="AJ51" s="2646"/>
      <c r="AK51" s="2646"/>
      <c r="AL51" s="2645">
        <f t="shared" si="2"/>
        <v>0</v>
      </c>
      <c r="AM51" s="2645"/>
      <c r="AN51" s="2645"/>
      <c r="AO51" s="1661">
        <f t="shared" si="3"/>
        <v>0</v>
      </c>
      <c r="AP51" s="23"/>
    </row>
    <row r="52" spans="1:80" s="1366" customFormat="1" ht="15" customHeight="1" x14ac:dyDescent="0.3">
      <c r="A52" s="1361"/>
      <c r="B52" s="1412">
        <f t="shared" si="5"/>
        <v>18</v>
      </c>
      <c r="C52" s="24"/>
      <c r="D52" s="20" t="str">
        <f>HIDE5!H117</f>
        <v>Miscellaneous (Variable)</v>
      </c>
      <c r="E52" s="20"/>
      <c r="F52" s="20"/>
      <c r="G52" s="20"/>
      <c r="H52" s="20"/>
      <c r="I52" s="20"/>
      <c r="J52" s="20"/>
      <c r="K52" s="20"/>
      <c r="L52" s="2646">
        <f>HIDE5!G117</f>
        <v>0</v>
      </c>
      <c r="M52" s="2646"/>
      <c r="N52" s="2646"/>
      <c r="O52" s="2646"/>
      <c r="P52" s="2646"/>
      <c r="Q52" s="2646" cm="1">
        <f t="array" ref="Q52">IFERROR(-INDEX(HIDE5!$E$100:$E$125,MATCH(D52,HIDE5!$C$100:$C$124,0),0),0)</f>
        <v>0</v>
      </c>
      <c r="R52" s="2646"/>
      <c r="S52" s="2646"/>
      <c r="T52" s="2646"/>
      <c r="U52" s="2646"/>
      <c r="V52" s="2645">
        <f t="shared" si="0"/>
        <v>0</v>
      </c>
      <c r="W52" s="2645"/>
      <c r="X52" s="2645"/>
      <c r="Y52" s="2646" cm="1">
        <f t="array" ref="Y52">INDEX(HIDE5!I$100:I$124,MATCH('MONTHLY (R)'!D52,HIDE5!$C$100:$C$124,0),0)</f>
        <v>0</v>
      </c>
      <c r="Z52" s="2646"/>
      <c r="AA52" s="2646"/>
      <c r="AB52" s="2646"/>
      <c r="AC52" s="2646"/>
      <c r="AD52" s="2645">
        <f t="shared" si="1"/>
        <v>0</v>
      </c>
      <c r="AE52" s="2645"/>
      <c r="AF52" s="2645"/>
      <c r="AG52" s="2646" cm="1">
        <f t="array" ref="AG52">INDEX(HIDE5!$K$100:$K$124,MATCH('MONTHLY (R)'!D52,HIDE5!$C$100:$C$124,0),0)</f>
        <v>0</v>
      </c>
      <c r="AH52" s="2646"/>
      <c r="AI52" s="2646"/>
      <c r="AJ52" s="2646"/>
      <c r="AK52" s="2646"/>
      <c r="AL52" s="2645">
        <f t="shared" si="2"/>
        <v>0</v>
      </c>
      <c r="AM52" s="2645"/>
      <c r="AN52" s="2645"/>
      <c r="AO52" s="1661">
        <f t="shared" si="3"/>
        <v>0</v>
      </c>
      <c r="AP52" s="23"/>
    </row>
    <row r="53" spans="1:80" s="1366" customFormat="1" ht="15" customHeight="1" x14ac:dyDescent="0.3">
      <c r="A53" s="1361"/>
      <c r="B53" s="1412">
        <f t="shared" si="5"/>
        <v>19</v>
      </c>
      <c r="C53" s="24"/>
      <c r="D53" s="20" t="str">
        <f>HIDE5!H118</f>
        <v>Custom Op. Expense 1</v>
      </c>
      <c r="E53" s="20"/>
      <c r="F53" s="20"/>
      <c r="G53" s="20"/>
      <c r="H53" s="20"/>
      <c r="I53" s="20"/>
      <c r="J53" s="20"/>
      <c r="K53" s="20"/>
      <c r="L53" s="2646">
        <f>HIDE5!G118</f>
        <v>0</v>
      </c>
      <c r="M53" s="2646"/>
      <c r="N53" s="2646"/>
      <c r="O53" s="2646"/>
      <c r="P53" s="2646"/>
      <c r="Q53" s="2646" cm="1">
        <f t="array" ref="Q53">IFERROR(-INDEX(HIDE5!$E$100:$E$125,MATCH(D53,HIDE5!$C$100:$C$124,0),0),0)</f>
        <v>0</v>
      </c>
      <c r="R53" s="2646"/>
      <c r="S53" s="2646"/>
      <c r="T53" s="2646"/>
      <c r="U53" s="2646"/>
      <c r="V53" s="2645">
        <f t="shared" si="0"/>
        <v>0</v>
      </c>
      <c r="W53" s="2645"/>
      <c r="X53" s="2645"/>
      <c r="Y53" s="2646" cm="1">
        <f t="array" ref="Y53">INDEX(HIDE5!I$100:I$124,MATCH('MONTHLY (R)'!D53,HIDE5!$C$100:$C$124,0),0)</f>
        <v>0</v>
      </c>
      <c r="Z53" s="2646"/>
      <c r="AA53" s="2646"/>
      <c r="AB53" s="2646"/>
      <c r="AC53" s="2646"/>
      <c r="AD53" s="2645">
        <f t="shared" si="1"/>
        <v>0</v>
      </c>
      <c r="AE53" s="2645"/>
      <c r="AF53" s="2645"/>
      <c r="AG53" s="2646" cm="1">
        <f t="array" ref="AG53">INDEX(HIDE5!$K$100:$K$124,MATCH('MONTHLY (R)'!D53,HIDE5!$C$100:$C$124,0),0)</f>
        <v>0</v>
      </c>
      <c r="AH53" s="2646"/>
      <c r="AI53" s="2646"/>
      <c r="AJ53" s="2646"/>
      <c r="AK53" s="2646"/>
      <c r="AL53" s="2645">
        <f t="shared" si="2"/>
        <v>0</v>
      </c>
      <c r="AM53" s="2645"/>
      <c r="AN53" s="2645"/>
      <c r="AO53" s="1661">
        <f t="shared" si="3"/>
        <v>0</v>
      </c>
      <c r="AP53" s="23"/>
    </row>
    <row r="54" spans="1:80" s="1366" customFormat="1" ht="15" customHeight="1" x14ac:dyDescent="0.3">
      <c r="A54" s="1424"/>
      <c r="B54" s="1412">
        <f t="shared" si="5"/>
        <v>20</v>
      </c>
      <c r="C54" s="24"/>
      <c r="D54" s="20" t="str">
        <f>HIDE5!H119</f>
        <v>Custom Op. Expense 2</v>
      </c>
      <c r="E54" s="20"/>
      <c r="F54" s="20"/>
      <c r="G54" s="20"/>
      <c r="H54" s="20"/>
      <c r="I54" s="20"/>
      <c r="J54" s="20"/>
      <c r="K54" s="20"/>
      <c r="L54" s="2646">
        <f>HIDE5!G119</f>
        <v>0</v>
      </c>
      <c r="M54" s="2646"/>
      <c r="N54" s="2646"/>
      <c r="O54" s="2646"/>
      <c r="P54" s="2646"/>
      <c r="Q54" s="2646" cm="1">
        <f t="array" ref="Q54">IFERROR(-INDEX(HIDE5!$E$100:$E$125,MATCH(D54,HIDE5!$C$100:$C$124,0),0),0)</f>
        <v>0</v>
      </c>
      <c r="R54" s="2646"/>
      <c r="S54" s="2646"/>
      <c r="T54" s="2646"/>
      <c r="U54" s="2646"/>
      <c r="V54" s="2645">
        <f t="shared" si="0"/>
        <v>0</v>
      </c>
      <c r="W54" s="2645"/>
      <c r="X54" s="2645"/>
      <c r="Y54" s="2646" cm="1">
        <f t="array" ref="Y54">INDEX(HIDE5!I$100:I$124,MATCH('MONTHLY (R)'!D54,HIDE5!$C$100:$C$124,0),0)</f>
        <v>0</v>
      </c>
      <c r="Z54" s="2646"/>
      <c r="AA54" s="2646"/>
      <c r="AB54" s="2646"/>
      <c r="AC54" s="2646"/>
      <c r="AD54" s="2645">
        <f t="shared" si="1"/>
        <v>0</v>
      </c>
      <c r="AE54" s="2645"/>
      <c r="AF54" s="2645"/>
      <c r="AG54" s="2646" cm="1">
        <f t="array" ref="AG54">INDEX(HIDE5!$K$100:$K$124,MATCH('MONTHLY (R)'!D54,HIDE5!$C$100:$C$124,0),0)</f>
        <v>0</v>
      </c>
      <c r="AH54" s="2646"/>
      <c r="AI54" s="2646"/>
      <c r="AJ54" s="2646"/>
      <c r="AK54" s="2646"/>
      <c r="AL54" s="2645">
        <f t="shared" si="2"/>
        <v>0</v>
      </c>
      <c r="AM54" s="2645"/>
      <c r="AN54" s="2645"/>
      <c r="AO54" s="1661">
        <f t="shared" si="3"/>
        <v>0</v>
      </c>
      <c r="AP54" s="44"/>
    </row>
    <row r="55" spans="1:80" s="1366" customFormat="1" ht="15" customHeight="1" x14ac:dyDescent="0.3">
      <c r="A55" s="1424"/>
      <c r="B55" s="1412">
        <f t="shared" si="5"/>
        <v>21</v>
      </c>
      <c r="C55" s="24"/>
      <c r="D55" s="20" t="str">
        <f>HIDE5!H120</f>
        <v>Capital Expenditures</v>
      </c>
      <c r="E55" s="24"/>
      <c r="F55" s="24"/>
      <c r="G55" s="24"/>
      <c r="H55" s="24"/>
      <c r="I55" s="24"/>
      <c r="J55" s="24"/>
      <c r="K55" s="24"/>
      <c r="L55" s="2646">
        <f>HIDE5!G120</f>
        <v>0</v>
      </c>
      <c r="M55" s="2646"/>
      <c r="N55" s="2646"/>
      <c r="O55" s="2646"/>
      <c r="P55" s="2646"/>
      <c r="Q55" s="2646" cm="1">
        <f t="array" ref="Q55">IFERROR(-INDEX(HIDE5!$E$100:$E$125,MATCH(D55,HIDE5!$C$100:$C$124,0),0),0)</f>
        <v>0</v>
      </c>
      <c r="R55" s="2646"/>
      <c r="S55" s="2646"/>
      <c r="T55" s="2646"/>
      <c r="U55" s="2646"/>
      <c r="V55" s="2645">
        <f t="shared" si="0"/>
        <v>0</v>
      </c>
      <c r="W55" s="2645"/>
      <c r="X55" s="2645"/>
      <c r="Y55" s="2646" cm="1">
        <f t="array" ref="Y55">INDEX(HIDE5!I$100:I$124,MATCH('MONTHLY (R)'!D55,HIDE5!$C$100:$C$124,0),0)</f>
        <v>0</v>
      </c>
      <c r="Z55" s="2646"/>
      <c r="AA55" s="2646"/>
      <c r="AB55" s="2646"/>
      <c r="AC55" s="2646"/>
      <c r="AD55" s="2645">
        <f t="shared" si="1"/>
        <v>0</v>
      </c>
      <c r="AE55" s="2645"/>
      <c r="AF55" s="2645"/>
      <c r="AG55" s="2646" cm="1">
        <f t="array" ref="AG55">INDEX(HIDE5!$K$100:$K$124,MATCH('MONTHLY (R)'!D55,HIDE5!$C$100:$C$124,0),0)</f>
        <v>0</v>
      </c>
      <c r="AH55" s="2646"/>
      <c r="AI55" s="2646"/>
      <c r="AJ55" s="2646"/>
      <c r="AK55" s="2646"/>
      <c r="AL55" s="2645">
        <f t="shared" si="2"/>
        <v>0</v>
      </c>
      <c r="AM55" s="2645"/>
      <c r="AN55" s="2645"/>
      <c r="AO55" s="1661">
        <f t="shared" si="3"/>
        <v>0</v>
      </c>
      <c r="AP55" s="44"/>
    </row>
    <row r="56" spans="1:80" s="1366" customFormat="1" ht="15" customHeight="1" x14ac:dyDescent="0.3">
      <c r="A56" s="1424"/>
      <c r="B56" s="1412">
        <f t="shared" si="5"/>
        <v>22</v>
      </c>
      <c r="C56" s="24"/>
      <c r="D56" s="20" t="str">
        <f>HIDE5!H121</f>
        <v>Non Op. Expense 1</v>
      </c>
      <c r="E56" s="24"/>
      <c r="F56" s="24"/>
      <c r="G56" s="24"/>
      <c r="H56" s="24"/>
      <c r="I56" s="24"/>
      <c r="J56" s="24"/>
      <c r="K56" s="24"/>
      <c r="L56" s="2646">
        <f>HIDE5!G121</f>
        <v>0</v>
      </c>
      <c r="M56" s="2646"/>
      <c r="N56" s="2646"/>
      <c r="O56" s="2646"/>
      <c r="P56" s="2646"/>
      <c r="Q56" s="2646" cm="1">
        <f t="array" ref="Q56">IFERROR(-INDEX(HIDE5!$E$100:$E$125,MATCH(D56,HIDE5!$C$100:$C$124,0),0),0)</f>
        <v>0</v>
      </c>
      <c r="R56" s="2646"/>
      <c r="S56" s="2646"/>
      <c r="T56" s="2646"/>
      <c r="U56" s="2646"/>
      <c r="V56" s="2645">
        <f t="shared" si="0"/>
        <v>0</v>
      </c>
      <c r="W56" s="2645"/>
      <c r="X56" s="2645"/>
      <c r="Y56" s="2646" cm="1">
        <f t="array" ref="Y56">INDEX(HIDE5!I$100:I$124,MATCH('MONTHLY (R)'!D56,HIDE5!$C$100:$C$124,0),0)</f>
        <v>0</v>
      </c>
      <c r="Z56" s="2646"/>
      <c r="AA56" s="2646"/>
      <c r="AB56" s="2646"/>
      <c r="AC56" s="2646"/>
      <c r="AD56" s="2645">
        <f t="shared" si="1"/>
        <v>0</v>
      </c>
      <c r="AE56" s="2645"/>
      <c r="AF56" s="2645"/>
      <c r="AG56" s="2646" cm="1">
        <f t="array" ref="AG56">INDEX(HIDE5!$K$100:$K$124,MATCH('MONTHLY (R)'!D56,HIDE5!$C$100:$C$124,0),0)</f>
        <v>0</v>
      </c>
      <c r="AH56" s="2646"/>
      <c r="AI56" s="2646"/>
      <c r="AJ56" s="2646"/>
      <c r="AK56" s="2646"/>
      <c r="AL56" s="2645">
        <f t="shared" si="2"/>
        <v>0</v>
      </c>
      <c r="AM56" s="2645"/>
      <c r="AN56" s="2645"/>
      <c r="AO56" s="1661">
        <f t="shared" si="3"/>
        <v>0</v>
      </c>
      <c r="AP56" s="44"/>
    </row>
    <row r="57" spans="1:80" s="1366" customFormat="1" ht="15" customHeight="1" x14ac:dyDescent="0.3">
      <c r="A57" s="1424"/>
      <c r="B57" s="1412">
        <f t="shared" si="5"/>
        <v>23</v>
      </c>
      <c r="C57" s="24"/>
      <c r="D57" s="20" t="str">
        <f>HIDE5!H122</f>
        <v>Non Op. Expense 2</v>
      </c>
      <c r="E57" s="24"/>
      <c r="F57" s="24"/>
      <c r="G57" s="24"/>
      <c r="H57" s="24"/>
      <c r="I57" s="24"/>
      <c r="J57" s="24"/>
      <c r="K57" s="24"/>
      <c r="L57" s="2646">
        <f>HIDE5!G122</f>
        <v>0</v>
      </c>
      <c r="M57" s="2646"/>
      <c r="N57" s="2646"/>
      <c r="O57" s="2646"/>
      <c r="P57" s="2646"/>
      <c r="Q57" s="2646" cm="1">
        <f t="array" ref="Q57">IFERROR(-INDEX(HIDE5!$E$100:$E$125,MATCH(D57,HIDE5!$C$100:$C$124,0),0),0)</f>
        <v>0</v>
      </c>
      <c r="R57" s="2646"/>
      <c r="S57" s="2646"/>
      <c r="T57" s="2646"/>
      <c r="U57" s="2646"/>
      <c r="V57" s="2645">
        <f t="shared" si="0"/>
        <v>0</v>
      </c>
      <c r="W57" s="2645"/>
      <c r="X57" s="2645"/>
      <c r="Y57" s="2646" cm="1">
        <f t="array" ref="Y57">INDEX(HIDE5!I$100:I$124,MATCH('MONTHLY (R)'!D57,HIDE5!$C$100:$C$124,0),0)</f>
        <v>0</v>
      </c>
      <c r="Z57" s="2646"/>
      <c r="AA57" s="2646"/>
      <c r="AB57" s="2646"/>
      <c r="AC57" s="2646"/>
      <c r="AD57" s="2645">
        <f t="shared" si="1"/>
        <v>0</v>
      </c>
      <c r="AE57" s="2645"/>
      <c r="AF57" s="2645"/>
      <c r="AG57" s="2646" cm="1">
        <f t="array" ref="AG57">INDEX(HIDE5!$K$100:$K$124,MATCH('MONTHLY (R)'!D57,HIDE5!$C$100:$C$124,0),0)</f>
        <v>0</v>
      </c>
      <c r="AH57" s="2646"/>
      <c r="AI57" s="2646"/>
      <c r="AJ57" s="2646"/>
      <c r="AK57" s="2646"/>
      <c r="AL57" s="2645">
        <f t="shared" si="2"/>
        <v>0</v>
      </c>
      <c r="AM57" s="2645"/>
      <c r="AN57" s="2645"/>
      <c r="AO57" s="1661">
        <f t="shared" si="3"/>
        <v>0</v>
      </c>
      <c r="AP57" s="44"/>
    </row>
    <row r="58" spans="1:80" s="1366" customFormat="1" ht="15" customHeight="1" x14ac:dyDescent="0.3">
      <c r="A58" s="1424"/>
      <c r="B58" s="1412">
        <f t="shared" si="5"/>
        <v>24</v>
      </c>
      <c r="C58" s="24"/>
      <c r="D58" s="20" t="str">
        <f>HIDE5!H123</f>
        <v>Mortgage Payment</v>
      </c>
      <c r="E58" s="24"/>
      <c r="F58" s="24"/>
      <c r="G58" s="24"/>
      <c r="H58" s="24"/>
      <c r="I58" s="24"/>
      <c r="J58" s="24"/>
      <c r="K58" s="24"/>
      <c r="L58" s="2646">
        <f>HIDE5!G123</f>
        <v>0</v>
      </c>
      <c r="M58" s="2646"/>
      <c r="N58" s="2646"/>
      <c r="O58" s="2646"/>
      <c r="P58" s="2646"/>
      <c r="Q58" s="2646" cm="1">
        <f t="array" ref="Q58">IFERROR(-INDEX(HIDE5!$E$100:$E$125,MATCH(D58,HIDE5!$C$100:$C$124,0),0),0)</f>
        <v>0</v>
      </c>
      <c r="R58" s="2646"/>
      <c r="S58" s="2646"/>
      <c r="T58" s="2646"/>
      <c r="U58" s="2646"/>
      <c r="V58" s="2645">
        <f t="shared" si="0"/>
        <v>0</v>
      </c>
      <c r="W58" s="2645"/>
      <c r="X58" s="2645"/>
      <c r="Y58" s="2646" cm="1">
        <f t="array" ref="Y58">INDEX(HIDE5!I$100:I$124,MATCH('MONTHLY (R)'!D58,HIDE5!$C$100:$C$124,0),0)</f>
        <v>0</v>
      </c>
      <c r="Z58" s="2646"/>
      <c r="AA58" s="2646"/>
      <c r="AB58" s="2646"/>
      <c r="AC58" s="2646"/>
      <c r="AD58" s="2645">
        <f t="shared" si="1"/>
        <v>0</v>
      </c>
      <c r="AE58" s="2645"/>
      <c r="AF58" s="2645"/>
      <c r="AG58" s="2646" cm="1">
        <f t="array" ref="AG58">INDEX(HIDE5!$K$100:$K$124,MATCH('MONTHLY (R)'!D58,HIDE5!$C$100:$C$124,0),0)</f>
        <v>0</v>
      </c>
      <c r="AH58" s="2646"/>
      <c r="AI58" s="2646"/>
      <c r="AJ58" s="2646"/>
      <c r="AK58" s="2646"/>
      <c r="AL58" s="2645">
        <f t="shared" si="2"/>
        <v>0</v>
      </c>
      <c r="AM58" s="2645"/>
      <c r="AN58" s="2645"/>
      <c r="AO58" s="1661">
        <f t="shared" si="3"/>
        <v>0</v>
      </c>
      <c r="AP58" s="44"/>
    </row>
    <row r="59" spans="1:80" ht="15" customHeight="1" x14ac:dyDescent="0.25">
      <c r="A59" s="1424"/>
      <c r="B59" s="1412">
        <f t="shared" si="5"/>
        <v>25</v>
      </c>
      <c r="C59" s="24"/>
      <c r="D59" s="20" t="str">
        <f>HIDE5!H124</f>
        <v>Loan Insurance</v>
      </c>
      <c r="E59" s="24"/>
      <c r="F59" s="24"/>
      <c r="G59" s="24"/>
      <c r="H59" s="24"/>
      <c r="I59" s="24"/>
      <c r="J59" s="24"/>
      <c r="K59" s="24"/>
      <c r="L59" s="2646">
        <f>HIDE5!G124</f>
        <v>0</v>
      </c>
      <c r="M59" s="2646"/>
      <c r="N59" s="2646"/>
      <c r="O59" s="2646"/>
      <c r="P59" s="2646"/>
      <c r="Q59" s="2646" cm="1">
        <f t="array" ref="Q59">IFERROR(-INDEX(HIDE5!$E$100:$E$125,MATCH(D59,HIDE5!$C$100:$C$124,0),0),0)</f>
        <v>0</v>
      </c>
      <c r="R59" s="2646"/>
      <c r="S59" s="2646"/>
      <c r="T59" s="2646"/>
      <c r="U59" s="2646"/>
      <c r="V59" s="2645">
        <f t="shared" si="0"/>
        <v>0</v>
      </c>
      <c r="W59" s="2645"/>
      <c r="X59" s="2645"/>
      <c r="Y59" s="2646" cm="1">
        <f t="array" ref="Y59">INDEX(HIDE5!I$100:I$124,MATCH('MONTHLY (R)'!D59,HIDE5!$C$100:$C$124,0),0)</f>
        <v>0</v>
      </c>
      <c r="Z59" s="2646"/>
      <c r="AA59" s="2646"/>
      <c r="AB59" s="2646"/>
      <c r="AC59" s="2646"/>
      <c r="AD59" s="2645">
        <f t="shared" si="1"/>
        <v>0</v>
      </c>
      <c r="AE59" s="2645"/>
      <c r="AF59" s="2645"/>
      <c r="AG59" s="2646" cm="1">
        <f t="array" ref="AG59">INDEX(HIDE5!$K$100:$K$124,MATCH('MONTHLY (R)'!D59,HIDE5!$C$100:$C$124,0),0)</f>
        <v>0</v>
      </c>
      <c r="AH59" s="2646"/>
      <c r="AI59" s="2646"/>
      <c r="AJ59" s="2646"/>
      <c r="AK59" s="2646"/>
      <c r="AL59" s="2645">
        <f t="shared" si="2"/>
        <v>0</v>
      </c>
      <c r="AM59" s="2645"/>
      <c r="AN59" s="2645"/>
      <c r="AO59" s="1661">
        <f t="shared" si="3"/>
        <v>0</v>
      </c>
      <c r="AP59" s="44"/>
      <c r="AQ59" s="1366"/>
      <c r="AR59" s="1366"/>
      <c r="AS59" s="1366"/>
      <c r="AT59" s="1366"/>
      <c r="AU59" s="1366"/>
      <c r="AV59" s="1366"/>
      <c r="AW59" s="1366"/>
      <c r="AX59" s="1366"/>
      <c r="AY59" s="1366"/>
      <c r="AZ59" s="1366"/>
      <c r="BA59" s="1366"/>
      <c r="BB59" s="1366"/>
      <c r="BC59" s="1366"/>
      <c r="BD59" s="1366"/>
      <c r="BE59" s="1366"/>
      <c r="BF59" s="1366"/>
      <c r="BG59" s="1366"/>
      <c r="BH59" s="1366"/>
      <c r="BI59" s="1366"/>
      <c r="BJ59" s="1366"/>
      <c r="BK59" s="1366"/>
      <c r="BL59" s="1366"/>
      <c r="BM59" s="1366"/>
      <c r="BN59" s="1366"/>
      <c r="BO59" s="1366"/>
      <c r="BP59" s="1366"/>
      <c r="BQ59" s="1366"/>
      <c r="BR59" s="1366"/>
      <c r="BS59" s="1366"/>
      <c r="BT59" s="1366"/>
      <c r="BU59" s="1366"/>
      <c r="BV59" s="1366"/>
      <c r="BW59" s="1366"/>
      <c r="BX59" s="1366"/>
      <c r="BY59" s="1366"/>
      <c r="BZ59" s="1366"/>
      <c r="CA59" s="1366"/>
      <c r="CB59" s="1366"/>
    </row>
    <row r="60" spans="1:80" s="353" customFormat="1" ht="15" customHeight="1" x14ac:dyDescent="0.2">
      <c r="A60" s="1424"/>
      <c r="B60" s="867"/>
      <c r="C60" s="867"/>
      <c r="D60" s="1451" t="s">
        <v>20</v>
      </c>
      <c r="E60" s="867"/>
      <c r="F60" s="867"/>
      <c r="G60" s="867"/>
      <c r="H60" s="867"/>
      <c r="I60" s="867"/>
      <c r="J60" s="867"/>
      <c r="K60" s="867"/>
      <c r="L60" s="2644">
        <f>SUM(L35:P59)</f>
        <v>0</v>
      </c>
      <c r="M60" s="2644"/>
      <c r="N60" s="2644"/>
      <c r="O60" s="2644"/>
      <c r="P60" s="2644"/>
      <c r="Q60" s="2644">
        <f>SUM(Q35:U59)</f>
        <v>0</v>
      </c>
      <c r="R60" s="2644"/>
      <c r="S60" s="2644"/>
      <c r="T60" s="2644"/>
      <c r="U60" s="2644"/>
      <c r="V60" s="1452"/>
      <c r="W60" s="1452"/>
      <c r="X60" s="1452"/>
      <c r="Y60" s="2644">
        <f>SUM(Y35:AC59)</f>
        <v>0</v>
      </c>
      <c r="Z60" s="2644"/>
      <c r="AA60" s="2644"/>
      <c r="AB60" s="2644"/>
      <c r="AC60" s="2644"/>
      <c r="AD60" s="1452"/>
      <c r="AE60" s="1452"/>
      <c r="AF60" s="1452"/>
      <c r="AG60" s="2644">
        <f>SUM(AG35:AK59)</f>
        <v>0</v>
      </c>
      <c r="AH60" s="2644"/>
      <c r="AI60" s="2644"/>
      <c r="AJ60" s="2644"/>
      <c r="AK60" s="2644"/>
      <c r="AL60" s="1452"/>
      <c r="AM60" s="1452"/>
      <c r="AN60" s="1452"/>
      <c r="AO60" s="269"/>
      <c r="AP60" s="44"/>
      <c r="AQ60" s="1366"/>
      <c r="AR60" s="1366"/>
      <c r="AS60" s="1366"/>
      <c r="AT60" s="1366"/>
      <c r="AU60" s="1366"/>
      <c r="AV60" s="1366"/>
      <c r="AW60" s="1366"/>
      <c r="AX60" s="1366"/>
      <c r="AY60" s="1366"/>
      <c r="AZ60" s="1366"/>
      <c r="BA60" s="1366"/>
      <c r="BB60" s="1366"/>
      <c r="BC60" s="1366"/>
      <c r="BD60" s="1366"/>
      <c r="BE60" s="1366"/>
      <c r="BF60" s="1366"/>
      <c r="BG60" s="1366"/>
      <c r="BH60" s="1366"/>
      <c r="BI60" s="1366"/>
      <c r="BJ60" s="1366"/>
      <c r="BK60" s="1366"/>
      <c r="BL60" s="1366"/>
      <c r="BM60" s="1366"/>
      <c r="BN60" s="1366"/>
      <c r="BO60" s="1366"/>
      <c r="BP60" s="1366"/>
      <c r="BQ60" s="1366"/>
      <c r="BR60" s="1366"/>
      <c r="BS60" s="1366"/>
      <c r="BT60" s="1366"/>
      <c r="BU60" s="1366"/>
      <c r="BV60" s="1366"/>
      <c r="BW60" s="1366"/>
      <c r="BX60" s="1366"/>
      <c r="BY60" s="1366"/>
      <c r="BZ60" s="1366"/>
      <c r="CA60" s="1366"/>
      <c r="CB60" s="1366"/>
    </row>
    <row r="61" spans="1:80" ht="15" customHeight="1" x14ac:dyDescent="0.25">
      <c r="A61" s="1409"/>
      <c r="B61" s="1409"/>
      <c r="C61" s="1409"/>
      <c r="D61" s="1409"/>
      <c r="E61" s="1410"/>
      <c r="F61" s="1409"/>
      <c r="G61" s="1409"/>
      <c r="H61" s="1409"/>
      <c r="I61" s="1409"/>
      <c r="J61" s="1409"/>
      <c r="K61" s="1409"/>
      <c r="L61" s="1409"/>
      <c r="M61" s="1409"/>
      <c r="N61" s="1409"/>
      <c r="O61" s="1409"/>
      <c r="P61" s="1409"/>
      <c r="Q61" s="1409"/>
      <c r="R61" s="1409"/>
      <c r="S61" s="1409"/>
      <c r="T61" s="1409"/>
      <c r="U61" s="1409"/>
      <c r="V61" s="1409"/>
      <c r="W61" s="1409"/>
      <c r="X61" s="1409"/>
      <c r="Y61" s="1409"/>
      <c r="Z61" s="1409"/>
      <c r="AA61" s="1409"/>
      <c r="AB61" s="1409"/>
      <c r="AC61" s="1409"/>
      <c r="AD61" s="1409"/>
      <c r="AE61" s="1409"/>
      <c r="AF61" s="1409"/>
      <c r="AG61" s="1409"/>
      <c r="AH61" s="1409"/>
      <c r="AI61" s="1409"/>
      <c r="AJ61" s="1409"/>
      <c r="AK61" s="1409"/>
      <c r="AL61" s="1409"/>
      <c r="AM61" s="1409"/>
      <c r="AN61" s="1409"/>
      <c r="AO61" s="1409"/>
      <c r="AP61" s="9"/>
    </row>
    <row r="62" spans="1:80" ht="15" customHeight="1" x14ac:dyDescent="0.25">
      <c r="A62" s="173" t="str">
        <f>DISCLAIMER!$A$35</f>
        <v>© 2025 by WinsWithMike.com or Michael Forsberg Nampa, Idaho. All rights reserved</v>
      </c>
      <c r="B62" s="174"/>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353"/>
      <c r="AR62" s="353"/>
      <c r="AS62" s="353"/>
      <c r="AT62" s="353"/>
      <c r="AU62" s="353"/>
      <c r="AV62" s="353"/>
      <c r="AW62" s="353"/>
      <c r="AX62" s="353"/>
      <c r="AY62" s="353"/>
      <c r="AZ62" s="353"/>
      <c r="BA62" s="353"/>
      <c r="BB62" s="353"/>
      <c r="BC62" s="353"/>
      <c r="BD62" s="353"/>
      <c r="BE62" s="353"/>
      <c r="BF62" s="353"/>
      <c r="BG62" s="353"/>
      <c r="BH62" s="353"/>
      <c r="BI62" s="353"/>
      <c r="BJ62" s="353"/>
      <c r="BK62" s="353"/>
      <c r="BL62" s="353"/>
      <c r="BM62" s="353"/>
      <c r="BN62" s="353"/>
      <c r="BO62" s="353"/>
      <c r="BP62" s="353"/>
      <c r="BQ62" s="353"/>
      <c r="BR62" s="353"/>
      <c r="BS62" s="353"/>
      <c r="BT62" s="353"/>
      <c r="BU62" s="353"/>
      <c r="BV62" s="353"/>
      <c r="BW62" s="353"/>
      <c r="BX62" s="353"/>
      <c r="BY62" s="353"/>
      <c r="BZ62" s="353"/>
      <c r="CA62" s="353"/>
      <c r="CB62" s="353"/>
    </row>
  </sheetData>
  <sheetProtection sheet="1" objects="1" scenarios="1" selectLockedCells="1"/>
  <mergeCells count="215">
    <mergeCell ref="Y32:AC32"/>
    <mergeCell ref="AG32:AK32"/>
    <mergeCell ref="AD33:AF33"/>
    <mergeCell ref="AL33:AN33"/>
    <mergeCell ref="Y55:AC55"/>
    <mergeCell ref="Y56:AC56"/>
    <mergeCell ref="Y57:AC57"/>
    <mergeCell ref="Y58:AC58"/>
    <mergeCell ref="Y59:AC59"/>
    <mergeCell ref="Y50:AC50"/>
    <mergeCell ref="Y51:AC51"/>
    <mergeCell ref="Y52:AC52"/>
    <mergeCell ref="Y53:AC53"/>
    <mergeCell ref="Y54:AC54"/>
    <mergeCell ref="Y45:AC45"/>
    <mergeCell ref="Y46:AC46"/>
    <mergeCell ref="Y47:AC47"/>
    <mergeCell ref="Y48:AC48"/>
    <mergeCell ref="Y49:AC49"/>
    <mergeCell ref="Y40:AC40"/>
    <mergeCell ref="Y41:AC41"/>
    <mergeCell ref="Y42:AC42"/>
    <mergeCell ref="Y43:AC43"/>
    <mergeCell ref="Y44:AC44"/>
    <mergeCell ref="V43:X43"/>
    <mergeCell ref="Y35:AC35"/>
    <mergeCell ref="Y36:AC36"/>
    <mergeCell ref="Y37:AC37"/>
    <mergeCell ref="Y38:AC38"/>
    <mergeCell ref="Y39:AC39"/>
    <mergeCell ref="V49:X49"/>
    <mergeCell ref="V50:X50"/>
    <mergeCell ref="V51:X51"/>
    <mergeCell ref="V55:X55"/>
    <mergeCell ref="V56:X56"/>
    <mergeCell ref="V57:X57"/>
    <mergeCell ref="V58:X58"/>
    <mergeCell ref="V53:X53"/>
    <mergeCell ref="V44:X44"/>
    <mergeCell ref="V45:X45"/>
    <mergeCell ref="V46:X46"/>
    <mergeCell ref="V47:X47"/>
    <mergeCell ref="V48:X48"/>
    <mergeCell ref="V52:X52"/>
    <mergeCell ref="V59:X59"/>
    <mergeCell ref="V54:X54"/>
    <mergeCell ref="L60:P60"/>
    <mergeCell ref="Q60:U60"/>
    <mergeCell ref="AG33:AK33"/>
    <mergeCell ref="B13:I13"/>
    <mergeCell ref="L54:P54"/>
    <mergeCell ref="Y33:AC33"/>
    <mergeCell ref="L42:P42"/>
    <mergeCell ref="L43:P43"/>
    <mergeCell ref="L44:P44"/>
    <mergeCell ref="L39:P39"/>
    <mergeCell ref="L40:P40"/>
    <mergeCell ref="L45:P45"/>
    <mergeCell ref="L46:P46"/>
    <mergeCell ref="L47:P47"/>
    <mergeCell ref="J13:Q13"/>
    <mergeCell ref="R13:Y13"/>
    <mergeCell ref="L56:P56"/>
    <mergeCell ref="L33:P33"/>
    <mergeCell ref="Q33:U33"/>
    <mergeCell ref="L48:P48"/>
    <mergeCell ref="L49:P49"/>
    <mergeCell ref="L50:P50"/>
    <mergeCell ref="L51:P51"/>
    <mergeCell ref="L52:P52"/>
    <mergeCell ref="L53:P53"/>
    <mergeCell ref="L35:P35"/>
    <mergeCell ref="L36:P36"/>
    <mergeCell ref="L37:P37"/>
    <mergeCell ref="L38:P38"/>
    <mergeCell ref="L41:P41"/>
    <mergeCell ref="B12:I12"/>
    <mergeCell ref="J12:Q12"/>
    <mergeCell ref="Q52:U52"/>
    <mergeCell ref="Q53:U53"/>
    <mergeCell ref="L32:P32"/>
    <mergeCell ref="Q32:U32"/>
    <mergeCell ref="R12:Y12"/>
    <mergeCell ref="V33:X33"/>
    <mergeCell ref="V35:X35"/>
    <mergeCell ref="V36:X36"/>
    <mergeCell ref="V37:X37"/>
    <mergeCell ref="V38:X38"/>
    <mergeCell ref="V39:X39"/>
    <mergeCell ref="V40:X40"/>
    <mergeCell ref="V41:X41"/>
    <mergeCell ref="V42:X42"/>
    <mergeCell ref="Z12:AG12"/>
    <mergeCell ref="AH12:AO12"/>
    <mergeCell ref="Z13:AG13"/>
    <mergeCell ref="AH13:AO13"/>
    <mergeCell ref="AD4:AG4"/>
    <mergeCell ref="AH4:AK4"/>
    <mergeCell ref="AK6:AO6"/>
    <mergeCell ref="Z4:AC4"/>
    <mergeCell ref="AR6:AT6"/>
    <mergeCell ref="B11:I11"/>
    <mergeCell ref="J11:Q11"/>
    <mergeCell ref="R11:Y11"/>
    <mergeCell ref="Z11:AG11"/>
    <mergeCell ref="AH11:AO11"/>
    <mergeCell ref="F4:I4"/>
    <mergeCell ref="J4:M4"/>
    <mergeCell ref="N4:Q4"/>
    <mergeCell ref="R4:U4"/>
    <mergeCell ref="V4:Y4"/>
    <mergeCell ref="L57:P57"/>
    <mergeCell ref="L58:P58"/>
    <mergeCell ref="L59:P59"/>
    <mergeCell ref="Q35:U35"/>
    <mergeCell ref="Q36:U36"/>
    <mergeCell ref="Q37:U37"/>
    <mergeCell ref="Q38:U38"/>
    <mergeCell ref="Q39:U39"/>
    <mergeCell ref="Q40:U40"/>
    <mergeCell ref="Q41:U41"/>
    <mergeCell ref="Q42:U42"/>
    <mergeCell ref="Q43:U43"/>
    <mergeCell ref="Q44:U44"/>
    <mergeCell ref="Q45:U45"/>
    <mergeCell ref="Q46:U46"/>
    <mergeCell ref="L55:P55"/>
    <mergeCell ref="Q47:U47"/>
    <mergeCell ref="Q48:U48"/>
    <mergeCell ref="Q49:U49"/>
    <mergeCell ref="Q50:U50"/>
    <mergeCell ref="Q51:U51"/>
    <mergeCell ref="Q57:U57"/>
    <mergeCell ref="Q58:U58"/>
    <mergeCell ref="Q59:U59"/>
    <mergeCell ref="Q54:U54"/>
    <mergeCell ref="Q55:U55"/>
    <mergeCell ref="Q56:U56"/>
    <mergeCell ref="Y60:AC60"/>
    <mergeCell ref="AD35:AF35"/>
    <mergeCell ref="AD36:AF36"/>
    <mergeCell ref="AD37:AF37"/>
    <mergeCell ref="AD38:AF38"/>
    <mergeCell ref="AD39:AF39"/>
    <mergeCell ref="AD40:AF40"/>
    <mergeCell ref="AD41:AF41"/>
    <mergeCell ref="AD42:AF42"/>
    <mergeCell ref="AD43:AF43"/>
    <mergeCell ref="AD44:AF44"/>
    <mergeCell ref="AD45:AF45"/>
    <mergeCell ref="AD46:AF46"/>
    <mergeCell ref="AD47:AF47"/>
    <mergeCell ref="AD48:AF48"/>
    <mergeCell ref="AD49:AF49"/>
    <mergeCell ref="AD50:AF50"/>
    <mergeCell ref="AD51:AF51"/>
    <mergeCell ref="AD52:AF52"/>
    <mergeCell ref="AD53:AF53"/>
    <mergeCell ref="AD54:AF54"/>
    <mergeCell ref="AG46:AK46"/>
    <mergeCell ref="AG47:AK47"/>
    <mergeCell ref="AG48:AK48"/>
    <mergeCell ref="AG49:AK49"/>
    <mergeCell ref="AG50:AK50"/>
    <mergeCell ref="AG51:AK51"/>
    <mergeCell ref="AG52:AK52"/>
    <mergeCell ref="AG53:AK53"/>
    <mergeCell ref="AL51:AN51"/>
    <mergeCell ref="AL52:AN52"/>
    <mergeCell ref="AG37:AK37"/>
    <mergeCell ref="AG38:AK38"/>
    <mergeCell ref="AG39:AK39"/>
    <mergeCell ref="AG40:AK40"/>
    <mergeCell ref="AG41:AK41"/>
    <mergeCell ref="AG42:AK42"/>
    <mergeCell ref="AG43:AK43"/>
    <mergeCell ref="AG44:AK44"/>
    <mergeCell ref="AG45:AK45"/>
    <mergeCell ref="AD55:AF55"/>
    <mergeCell ref="AD56:AF56"/>
    <mergeCell ref="AD57:AF57"/>
    <mergeCell ref="AL59:AN59"/>
    <mergeCell ref="AG54:AK54"/>
    <mergeCell ref="AG55:AK55"/>
    <mergeCell ref="AG56:AK56"/>
    <mergeCell ref="AG57:AK57"/>
    <mergeCell ref="AG58:AK58"/>
    <mergeCell ref="AG59:AK59"/>
    <mergeCell ref="AD58:AF58"/>
    <mergeCell ref="AL58:AN58"/>
    <mergeCell ref="AD59:AF59"/>
    <mergeCell ref="AG60:AK60"/>
    <mergeCell ref="AL35:AN35"/>
    <mergeCell ref="AL36:AN36"/>
    <mergeCell ref="AL37:AN37"/>
    <mergeCell ref="AL38:AN38"/>
    <mergeCell ref="AL39:AN39"/>
    <mergeCell ref="AL40:AN40"/>
    <mergeCell ref="AL41:AN41"/>
    <mergeCell ref="AL42:AN42"/>
    <mergeCell ref="AL43:AN43"/>
    <mergeCell ref="AL44:AN44"/>
    <mergeCell ref="AL45:AN45"/>
    <mergeCell ref="AL46:AN46"/>
    <mergeCell ref="AL47:AN47"/>
    <mergeCell ref="AL48:AN48"/>
    <mergeCell ref="AL49:AN49"/>
    <mergeCell ref="AL50:AN50"/>
    <mergeCell ref="AL53:AN53"/>
    <mergeCell ref="AL54:AN54"/>
    <mergeCell ref="AL55:AN55"/>
    <mergeCell ref="AL56:AN56"/>
    <mergeCell ref="AL57:AN57"/>
    <mergeCell ref="AG35:AK35"/>
    <mergeCell ref="AG36:AK36"/>
  </mergeCells>
  <conditionalFormatting sqref="L35:L59">
    <cfRule type="dataBar" priority="5">
      <dataBar>
        <cfvo type="min"/>
        <cfvo type="max"/>
        <color theme="7" tint="0.79998168889431442"/>
      </dataBar>
      <extLst>
        <ext xmlns:x14="http://schemas.microsoft.com/office/spreadsheetml/2009/9/main" uri="{B025F937-C7B1-47D3-B67F-A62EFF666E3E}">
          <x14:id>{4C0F45C2-E7AE-4A23-B307-08E02D0458C7}</x14:id>
        </ext>
      </extLst>
    </cfRule>
  </conditionalFormatting>
  <conditionalFormatting sqref="Q35:Q59">
    <cfRule type="dataBar" priority="1">
      <dataBar>
        <cfvo type="min"/>
        <cfvo type="max"/>
        <color theme="8" tint="0.79998168889431442"/>
      </dataBar>
      <extLst>
        <ext xmlns:x14="http://schemas.microsoft.com/office/spreadsheetml/2009/9/main" uri="{B025F937-C7B1-47D3-B67F-A62EFF666E3E}">
          <x14:id>{9918BA6F-B919-4463-B1FB-B684F19590C6}</x14:id>
        </ext>
      </extLst>
    </cfRule>
  </conditionalFormatting>
  <conditionalFormatting sqref="Y35:Y59">
    <cfRule type="dataBar" priority="3">
      <dataBar>
        <cfvo type="min"/>
        <cfvo type="max"/>
        <color theme="5" tint="0.79998168889431442"/>
      </dataBar>
      <extLst>
        <ext xmlns:x14="http://schemas.microsoft.com/office/spreadsheetml/2009/9/main" uri="{B025F937-C7B1-47D3-B67F-A62EFF666E3E}">
          <x14:id>{8529CF53-E535-4182-A959-1B5CB2906D1F}</x14:id>
        </ext>
      </extLst>
    </cfRule>
  </conditionalFormatting>
  <conditionalFormatting sqref="AG35:AG59">
    <cfRule type="dataBar" priority="2">
      <dataBar>
        <cfvo type="min"/>
        <cfvo type="max"/>
        <color theme="3" tint="0.79998168889431442"/>
      </dataBar>
      <extLst>
        <ext xmlns:x14="http://schemas.microsoft.com/office/spreadsheetml/2009/9/main" uri="{B025F937-C7B1-47D3-B67F-A62EFF666E3E}">
          <x14:id>{16EC917C-5BA9-4CC3-8C80-55C58FD89008}</x14:id>
        </ext>
      </extLst>
    </cfRule>
  </conditionalFormatting>
  <conditionalFormatting sqref="AH12:AO12">
    <cfRule type="cellIs" dxfId="19" priority="6" operator="lessThan">
      <formula>0</formula>
    </cfRule>
    <cfRule type="cellIs" dxfId="18" priority="7" operator="greaterThan">
      <formula>0</formula>
    </cfRule>
  </conditionalFormatting>
  <hyperlinks>
    <hyperlink ref="F4:I4" location="'SUMMARY (R)'!A1" display="Summary" xr:uid="{15B4E894-F18F-4111-8D99-DB3CC2040CBF}"/>
    <hyperlink ref="J4:M4" location="'MONTHLY (R)'!A1" display="Monthly" xr:uid="{105E0D9C-A565-4FC8-8D98-ECEBA4AB2247}"/>
    <hyperlink ref="N4:Q4" location="'YTD (R)'!A1" display="Year To Date" xr:uid="{D39F2A72-3C4A-4055-B908-B01DE8659268}"/>
    <hyperlink ref="R4:U4" location="'VERSUS (R)'!A1" display="Versus" xr:uid="{54F86D46-A0A6-4344-A8D4-C5FBFA9CC303}"/>
    <hyperlink ref="V4:Y4" location="'AMORTIZATION (R)'!A1" display="Amortization" xr:uid="{CDA5B1E0-6BBB-4870-8E90-6C60676A7CFE}"/>
    <hyperlink ref="Z4:AC4" location="'FINANCING (R)'!A1" display="Financing" xr:uid="{CCFC6623-518A-44C1-9D14-2FF2BD45535B}"/>
    <hyperlink ref="AD4:AG4" location="'EXPENSES (R)'!A1" display="Expenses" xr:uid="{B514ADAF-8105-499A-A084-408C4C6DAB45}"/>
    <hyperlink ref="AH4:AK4" location="'FORECASTS (R)'!A1" display="Forecasts" xr:uid="{E8FE6D9F-FA2C-4EA9-B9A7-1ECC5F5D4CF2}"/>
  </hyperlinks>
  <pageMargins left="0.25" right="0.25" top="0.75" bottom="0.75" header="0.3" footer="0.3"/>
  <pageSetup scale="86" fitToHeight="0" orientation="portrait" r:id="rId1"/>
  <rowBreaks count="1" manualBreakCount="1">
    <brk id="30" max="40" man="1"/>
  </rowBreaks>
  <colBreaks count="2" manualBreakCount="2">
    <brk id="2" min="3" max="103" man="1"/>
    <brk id="41" min="4" max="99" man="1"/>
  </colBreaks>
  <drawing r:id="rId2"/>
  <extLst>
    <ext xmlns:x14="http://schemas.microsoft.com/office/spreadsheetml/2009/9/main" uri="{78C0D931-6437-407d-A8EE-F0AAD7539E65}">
      <x14:conditionalFormattings>
        <x14:conditionalFormatting xmlns:xm="http://schemas.microsoft.com/office/excel/2006/main">
          <x14:cfRule type="dataBar" id="{4C0F45C2-E7AE-4A23-B307-08E02D0458C7}">
            <x14:dataBar minLength="0" maxLength="100" gradient="0">
              <x14:cfvo type="autoMin"/>
              <x14:cfvo type="autoMax"/>
              <x14:negativeFillColor rgb="FFFF0000"/>
              <x14:axisColor rgb="FF000000"/>
            </x14:dataBar>
          </x14:cfRule>
          <xm:sqref>L35:L59</xm:sqref>
        </x14:conditionalFormatting>
        <x14:conditionalFormatting xmlns:xm="http://schemas.microsoft.com/office/excel/2006/main">
          <x14:cfRule type="dataBar" id="{9918BA6F-B919-4463-B1FB-B684F19590C6}">
            <x14:dataBar minLength="0" maxLength="100" gradient="0">
              <x14:cfvo type="autoMin"/>
              <x14:cfvo type="autoMax"/>
              <x14:negativeFillColor rgb="FFFF0000"/>
              <x14:axisColor rgb="FF000000"/>
            </x14:dataBar>
          </x14:cfRule>
          <xm:sqref>Q35:Q59</xm:sqref>
        </x14:conditionalFormatting>
        <x14:conditionalFormatting xmlns:xm="http://schemas.microsoft.com/office/excel/2006/main">
          <x14:cfRule type="dataBar" id="{8529CF53-E535-4182-A959-1B5CB2906D1F}">
            <x14:dataBar minLength="0" maxLength="100" gradient="0">
              <x14:cfvo type="autoMin"/>
              <x14:cfvo type="autoMax"/>
              <x14:negativeFillColor rgb="FFFF0000"/>
              <x14:axisColor rgb="FF000000"/>
            </x14:dataBar>
          </x14:cfRule>
          <xm:sqref>Y35:Y59</xm:sqref>
        </x14:conditionalFormatting>
        <x14:conditionalFormatting xmlns:xm="http://schemas.microsoft.com/office/excel/2006/main">
          <x14:cfRule type="dataBar" id="{16EC917C-5BA9-4CC3-8C80-55C58FD89008}">
            <x14:dataBar minLength="0" maxLength="100" gradient="0">
              <x14:cfvo type="autoMin"/>
              <x14:cfvo type="autoMax"/>
              <x14:negativeFillColor rgb="FFFF0000"/>
              <x14:axisColor rgb="FF000000"/>
            </x14:dataBar>
          </x14:cfRule>
          <xm:sqref>AG35:AG59</xm:sqref>
        </x14:conditionalFormatting>
        <x14:conditionalFormatting xmlns:xm="http://schemas.microsoft.com/office/excel/2006/main">
          <x14:cfRule type="expression" priority="8" id="{F8B049D4-DF53-4456-8E06-76EB6EE6E73C}">
            <xm:f>DASHBOARD!$L$140&lt;&gt;0</xm:f>
            <x14:dxf>
              <font>
                <b val="0"/>
                <i/>
                <color theme="1" tint="0.499984740745262"/>
              </font>
            </x14:dxf>
          </x14:cfRule>
          <xm:sqref>B14:I22 B24:I30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6A26934-B53A-4430-96C3-F163763B3040}">
          <x14:formula1>
            <xm:f>HIDE5!$B$10:$B$19</xm:f>
          </x14:formula1>
          <xm:sqref>AS9</xm:sqref>
        </x14:dataValidation>
        <x14:dataValidation type="list" allowBlank="1" showInputMessage="1" showErrorMessage="1" xr:uid="{9BEA6AB5-A361-46B0-B821-17047F242070}">
          <x14:formula1>
            <xm:f>HIDE5!$C$10:$C$21</xm:f>
          </x14:formula1>
          <xm:sqref>AS8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DF863-20E9-49C8-808E-03BA7E5F093A}">
  <sheetPr codeName="Sheet26">
    <tabColor theme="7" tint="0.79998168889431442"/>
    <pageSetUpPr autoPageBreaks="0" fitToPage="1"/>
  </sheetPr>
  <dimension ref="A1:CB64"/>
  <sheetViews>
    <sheetView showGridLines="0" showRowColHeaders="0" zoomScaleNormal="100" zoomScaleSheetLayoutView="100" workbookViewId="0">
      <pane ySplit="4" topLeftCell="A5" activePane="bottomLeft" state="frozen"/>
      <selection pane="bottomLeft" activeCell="A5" sqref="A5"/>
    </sheetView>
  </sheetViews>
  <sheetFormatPr defaultColWidth="9.109375" defaultRowHeight="15" customHeight="1" x14ac:dyDescent="0.25"/>
  <cols>
    <col min="1" max="1" width="2.88671875" style="353" customWidth="1"/>
    <col min="2" max="15" width="2.88671875" style="331" customWidth="1"/>
    <col min="16" max="18" width="2.88671875" style="353" customWidth="1"/>
    <col min="19" max="22" width="2.88671875" style="331" customWidth="1"/>
    <col min="23" max="27" width="2.88671875" style="353" customWidth="1"/>
    <col min="28" max="31" width="2.88671875" style="331" customWidth="1"/>
    <col min="32" max="34" width="2.88671875" style="353" customWidth="1"/>
    <col min="35" max="38" width="2.88671875" style="331" customWidth="1"/>
    <col min="39" max="41" width="2.88671875" style="353" customWidth="1"/>
    <col min="42" max="42" width="3.44140625" style="331" customWidth="1"/>
    <col min="43" max="43" width="9.109375" style="331" customWidth="1"/>
    <col min="44" max="44" width="2.88671875" style="331" customWidth="1"/>
    <col min="45" max="45" width="15.109375" style="331" customWidth="1"/>
    <col min="46" max="46" width="2.88671875" style="331" customWidth="1"/>
    <col min="47" max="47" width="15" style="331" customWidth="1"/>
    <col min="48" max="49" width="9.109375" style="331" customWidth="1"/>
    <col min="50" max="50" width="14" style="331" customWidth="1"/>
    <col min="51" max="16384" width="9.109375" style="331"/>
  </cols>
  <sheetData>
    <row r="1" spans="1:80" s="1244" customFormat="1" ht="30" customHeight="1" x14ac:dyDescent="0.25">
      <c r="A1" s="1685" t="s">
        <v>1017</v>
      </c>
    </row>
    <row r="2" spans="1:80" s="673" customFormat="1" ht="18.75" customHeight="1" x14ac:dyDescent="0.25">
      <c r="A2" s="1685"/>
      <c r="B2" s="1244"/>
      <c r="C2" s="1244"/>
      <c r="D2" s="1244"/>
      <c r="E2" s="1244"/>
      <c r="F2" s="1244"/>
      <c r="G2" s="1244"/>
      <c r="H2" s="1244"/>
      <c r="I2" s="1244"/>
      <c r="J2" s="1244"/>
      <c r="K2" s="1244"/>
      <c r="L2" s="1244"/>
      <c r="M2" s="1244"/>
      <c r="N2" s="1244"/>
      <c r="O2" s="1244"/>
      <c r="P2" s="1244"/>
      <c r="Q2" s="1244"/>
      <c r="R2" s="1244"/>
      <c r="S2" s="1244"/>
      <c r="T2" s="1244"/>
      <c r="U2" s="1244"/>
      <c r="V2" s="1244"/>
      <c r="W2" s="1244"/>
      <c r="X2" s="1244"/>
      <c r="Y2" s="1244"/>
      <c r="Z2" s="1244"/>
      <c r="AA2" s="1244"/>
      <c r="AB2" s="1244"/>
      <c r="AC2" s="1244"/>
      <c r="AD2" s="1244"/>
      <c r="AE2" s="1244"/>
      <c r="AF2" s="1244"/>
      <c r="AG2" s="1244"/>
      <c r="AH2" s="1244"/>
      <c r="AI2" s="1244"/>
      <c r="AJ2" s="1244"/>
      <c r="AK2" s="1244"/>
      <c r="AL2" s="1244"/>
      <c r="AM2" s="1244"/>
      <c r="AN2" s="1244"/>
      <c r="AO2" s="1244"/>
      <c r="AP2" s="1244"/>
      <c r="AQ2" s="1244"/>
      <c r="AR2" s="1244"/>
      <c r="AS2" s="1244"/>
      <c r="AT2" s="1244"/>
      <c r="AU2" s="1244"/>
      <c r="AV2" s="1244"/>
      <c r="AW2" s="1244"/>
      <c r="AX2" s="1244"/>
      <c r="AY2" s="1244"/>
      <c r="AZ2" s="1244"/>
      <c r="BA2" s="1244"/>
      <c r="BB2" s="1244"/>
      <c r="BC2" s="1244"/>
      <c r="BD2" s="1244"/>
      <c r="BE2" s="1244"/>
      <c r="BF2" s="1244"/>
      <c r="BG2" s="1244"/>
      <c r="BH2" s="1244"/>
      <c r="BI2" s="1244"/>
      <c r="BJ2" s="1244"/>
      <c r="BK2" s="1244"/>
      <c r="BL2" s="1244"/>
      <c r="BM2" s="1244"/>
      <c r="BN2" s="1244"/>
      <c r="BO2" s="1244"/>
      <c r="BP2" s="1244"/>
      <c r="BQ2" s="1244"/>
      <c r="BR2" s="1244"/>
      <c r="BS2" s="1244"/>
    </row>
    <row r="3" spans="1:80" ht="15.6" x14ac:dyDescent="0.25">
      <c r="A3" s="1685"/>
      <c r="B3" s="1244"/>
      <c r="C3" s="1244"/>
      <c r="D3" s="1244"/>
      <c r="E3" s="1244"/>
      <c r="F3" s="1244"/>
      <c r="G3" s="1244"/>
      <c r="H3" s="1244"/>
      <c r="I3" s="1244"/>
      <c r="J3" s="1244"/>
      <c r="K3" s="1244"/>
      <c r="L3" s="1244"/>
      <c r="M3" s="1244"/>
      <c r="N3" s="1244"/>
      <c r="O3" s="1244"/>
      <c r="P3" s="1244"/>
      <c r="Q3" s="1244"/>
      <c r="R3" s="1244"/>
      <c r="S3" s="1244"/>
      <c r="T3" s="1244"/>
      <c r="U3" s="1244"/>
      <c r="V3" s="1244"/>
      <c r="W3" s="1244"/>
      <c r="X3" s="1244"/>
      <c r="Y3" s="1244"/>
      <c r="Z3" s="1244"/>
      <c r="AA3" s="1244"/>
      <c r="AB3" s="1244"/>
      <c r="AC3" s="1244"/>
      <c r="AD3" s="1244"/>
      <c r="AE3" s="1244"/>
      <c r="AF3" s="1244"/>
      <c r="AG3" s="1244"/>
      <c r="AH3" s="1244"/>
      <c r="AI3" s="1244"/>
      <c r="AJ3" s="1244"/>
      <c r="AK3" s="1244"/>
      <c r="AL3" s="1244"/>
      <c r="AM3" s="1244"/>
      <c r="AN3" s="1244"/>
      <c r="AO3" s="1244"/>
      <c r="AP3" s="1244"/>
      <c r="AQ3" s="1244"/>
      <c r="AR3" s="1244"/>
      <c r="AS3" s="1244"/>
      <c r="AT3" s="1244"/>
      <c r="AU3" s="1244"/>
      <c r="AV3" s="1244"/>
      <c r="AW3" s="1244"/>
      <c r="AX3" s="1244"/>
      <c r="AY3" s="1244"/>
      <c r="AZ3" s="1244"/>
      <c r="BA3" s="1244"/>
      <c r="BB3" s="1244"/>
      <c r="BC3" s="1244"/>
      <c r="BD3" s="1244"/>
      <c r="BE3" s="1244"/>
      <c r="BF3" s="1244"/>
      <c r="BG3" s="1244"/>
      <c r="BH3" s="1244"/>
      <c r="BI3" s="1244"/>
      <c r="BJ3" s="1244"/>
      <c r="BK3" s="1244"/>
      <c r="BL3" s="1244"/>
      <c r="BM3" s="1244"/>
      <c r="BN3" s="1244"/>
      <c r="BO3" s="1244"/>
      <c r="BP3" s="1244"/>
      <c r="BQ3" s="1244"/>
      <c r="BR3" s="1244"/>
      <c r="BS3" s="1244"/>
    </row>
    <row r="4" spans="1:80" ht="15" customHeight="1" x14ac:dyDescent="0.3">
      <c r="A4" s="673"/>
      <c r="B4" s="1377" t="s">
        <v>1006</v>
      </c>
      <c r="C4" s="1357"/>
      <c r="D4" s="1357"/>
      <c r="E4" s="1357"/>
      <c r="F4" s="2602" t="s">
        <v>1007</v>
      </c>
      <c r="G4" s="2603"/>
      <c r="H4" s="2603"/>
      <c r="I4" s="2604"/>
      <c r="J4" s="2602" t="s">
        <v>10</v>
      </c>
      <c r="K4" s="2603"/>
      <c r="L4" s="2603"/>
      <c r="M4" s="2604"/>
      <c r="N4" s="2605" t="s">
        <v>1094</v>
      </c>
      <c r="O4" s="2606"/>
      <c r="P4" s="2606"/>
      <c r="Q4" s="2607"/>
      <c r="R4" s="2602" t="s">
        <v>1063</v>
      </c>
      <c r="S4" s="2603"/>
      <c r="T4" s="2603"/>
      <c r="U4" s="2604"/>
      <c r="V4" s="2602" t="s">
        <v>1008</v>
      </c>
      <c r="W4" s="2603"/>
      <c r="X4" s="2603"/>
      <c r="Y4" s="2604"/>
      <c r="Z4" s="2602" t="s">
        <v>172</v>
      </c>
      <c r="AA4" s="2603"/>
      <c r="AB4" s="2603"/>
      <c r="AC4" s="2604"/>
      <c r="AD4" s="2602" t="s">
        <v>1009</v>
      </c>
      <c r="AE4" s="2603"/>
      <c r="AF4" s="2603"/>
      <c r="AG4" s="2604"/>
      <c r="AH4" s="2602" t="s">
        <v>1005</v>
      </c>
      <c r="AI4" s="2603"/>
      <c r="AJ4" s="2603"/>
      <c r="AK4" s="2604"/>
      <c r="AL4" s="1357"/>
      <c r="AM4" s="1357"/>
      <c r="AN4" s="1357"/>
      <c r="AO4" s="1357"/>
      <c r="AP4" s="1357"/>
      <c r="AQ4" s="1357"/>
      <c r="AR4" s="1357"/>
      <c r="AS4" s="1357"/>
      <c r="AT4" s="1357"/>
      <c r="AU4" s="1357"/>
      <c r="AV4" s="1357"/>
      <c r="AW4" s="1357"/>
      <c r="AX4" s="1357"/>
      <c r="AY4" s="1357"/>
      <c r="AZ4" s="1357"/>
      <c r="BA4" s="1357"/>
      <c r="BB4" s="1357"/>
      <c r="BC4" s="1495"/>
      <c r="BD4" s="1496"/>
      <c r="BE4" s="1496"/>
      <c r="BF4" s="1497"/>
      <c r="BG4" s="673"/>
      <c r="BH4" s="673"/>
      <c r="BI4" s="673"/>
      <c r="BJ4" s="673"/>
      <c r="BK4" s="673"/>
      <c r="BL4" s="673"/>
      <c r="BM4" s="673"/>
      <c r="BN4" s="673"/>
      <c r="BO4" s="673"/>
      <c r="BP4" s="1379"/>
      <c r="BQ4" s="673"/>
      <c r="BR4" s="673"/>
      <c r="BS4" s="673"/>
      <c r="BT4" s="1876"/>
      <c r="BU4" s="1876"/>
      <c r="BV4" s="1876"/>
      <c r="BW4" s="1876"/>
      <c r="BX4" s="1876"/>
      <c r="BY4" s="1876"/>
      <c r="BZ4" s="1876"/>
      <c r="CA4" s="1876"/>
      <c r="CB4" s="1876"/>
    </row>
    <row r="5" spans="1:80" ht="14.25" customHeight="1" x14ac:dyDescent="0.25">
      <c r="A5" s="1867"/>
      <c r="B5" s="9"/>
      <c r="C5" s="9"/>
      <c r="D5" s="9"/>
      <c r="E5" s="9"/>
      <c r="F5" s="9"/>
      <c r="G5" s="9"/>
      <c r="H5" s="9"/>
      <c r="I5" s="9"/>
      <c r="J5" s="9"/>
      <c r="K5" s="9"/>
      <c r="L5" s="9"/>
      <c r="M5" s="9"/>
      <c r="N5" s="9"/>
      <c r="O5" s="9"/>
      <c r="P5" s="377"/>
      <c r="Q5" s="377"/>
      <c r="R5" s="377"/>
      <c r="S5" s="9"/>
      <c r="T5" s="9"/>
      <c r="U5" s="9"/>
      <c r="V5" s="9"/>
      <c r="W5" s="377"/>
      <c r="X5" s="377"/>
      <c r="Y5" s="377"/>
      <c r="Z5" s="377"/>
      <c r="AA5" s="377"/>
      <c r="AB5" s="9"/>
      <c r="AC5" s="9"/>
      <c r="AD5" s="9"/>
      <c r="AE5" s="9"/>
      <c r="AF5" s="377"/>
      <c r="AG5" s="377"/>
      <c r="AH5" s="377"/>
      <c r="AI5" s="9"/>
      <c r="AJ5" s="9"/>
      <c r="AK5" s="9"/>
      <c r="AL5" s="9"/>
      <c r="AM5" s="377"/>
      <c r="AN5" s="377"/>
      <c r="AO5" s="377"/>
      <c r="AP5" s="9"/>
    </row>
    <row r="6" spans="1:80" ht="15" customHeight="1" thickBot="1" x14ac:dyDescent="0.3">
      <c r="A6" s="156"/>
      <c r="B6" s="1237" t="s">
        <v>1018</v>
      </c>
      <c r="C6" s="1358"/>
      <c r="D6" s="1359"/>
      <c r="E6" s="1358"/>
      <c r="F6" s="1359"/>
      <c r="G6" s="1235"/>
      <c r="H6" s="1235"/>
      <c r="I6" s="1235"/>
      <c r="J6" s="1235"/>
      <c r="K6" s="1180"/>
      <c r="L6" s="1240"/>
      <c r="M6" s="1235"/>
      <c r="N6" s="1235"/>
      <c r="O6" s="1235"/>
      <c r="P6" s="1235"/>
      <c r="Q6" s="1235"/>
      <c r="R6" s="1235"/>
      <c r="S6" s="1235"/>
      <c r="T6" s="1235"/>
      <c r="U6" s="1235"/>
      <c r="V6" s="1235"/>
      <c r="W6" s="1235"/>
      <c r="X6" s="1235"/>
      <c r="Y6" s="1235"/>
      <c r="Z6" s="1235"/>
      <c r="AA6" s="1235"/>
      <c r="AB6" s="1235"/>
      <c r="AC6" s="1235"/>
      <c r="AD6" s="1235"/>
      <c r="AE6" s="1235"/>
      <c r="AF6" s="1235"/>
      <c r="AG6" s="1235"/>
      <c r="AH6" s="1235"/>
      <c r="AI6" s="1235"/>
      <c r="AJ6" s="1180" t="s">
        <v>96</v>
      </c>
      <c r="AK6" s="2650">
        <f ca="1">TODAY()</f>
        <v>45920</v>
      </c>
      <c r="AL6" s="2650"/>
      <c r="AM6" s="2650"/>
      <c r="AN6" s="2650"/>
      <c r="AO6" s="2650"/>
      <c r="AP6" s="9"/>
      <c r="AR6" s="2651" t="s">
        <v>1024</v>
      </c>
      <c r="AS6" s="2652"/>
      <c r="AT6" s="2653"/>
    </row>
    <row r="7" spans="1:80" ht="14.25" customHeight="1" thickTop="1" x14ac:dyDescent="0.25">
      <c r="A7" s="377"/>
      <c r="B7" s="9"/>
      <c r="C7" s="9"/>
      <c r="D7" s="9"/>
      <c r="E7" s="9"/>
      <c r="F7" s="9"/>
      <c r="G7" s="9"/>
      <c r="H7" s="9"/>
      <c r="I7" s="9"/>
      <c r="J7" s="9"/>
      <c r="K7" s="9"/>
      <c r="L7" s="9"/>
      <c r="M7" s="9"/>
      <c r="N7" s="9"/>
      <c r="O7" s="9"/>
      <c r="P7" s="377"/>
      <c r="Q7" s="377"/>
      <c r="R7" s="377"/>
      <c r="S7" s="9"/>
      <c r="T7" s="9"/>
      <c r="U7" s="9"/>
      <c r="V7" s="9"/>
      <c r="W7" s="377"/>
      <c r="X7" s="377"/>
      <c r="Y7" s="377"/>
      <c r="Z7" s="377"/>
      <c r="AA7" s="377"/>
      <c r="AB7" s="9"/>
      <c r="AC7" s="9"/>
      <c r="AD7" s="9"/>
      <c r="AE7" s="9"/>
      <c r="AF7" s="377"/>
      <c r="AG7" s="377"/>
      <c r="AH7" s="377"/>
      <c r="AI7" s="9"/>
      <c r="AJ7" s="9"/>
      <c r="AK7" s="9"/>
      <c r="AL7" s="9"/>
      <c r="AM7" s="377"/>
      <c r="AN7" s="377"/>
      <c r="AO7" s="377"/>
      <c r="AP7" s="9"/>
      <c r="AR7" s="1722"/>
      <c r="AS7" s="1723"/>
      <c r="AT7" s="1724"/>
    </row>
    <row r="8" spans="1:80" ht="14.25" customHeight="1" x14ac:dyDescent="0.25">
      <c r="A8" s="377"/>
      <c r="B8" s="1383" t="s">
        <v>372</v>
      </c>
      <c r="C8" s="1360"/>
      <c r="D8" s="1360"/>
      <c r="E8" s="1360"/>
      <c r="F8" s="1360"/>
      <c r="G8" s="1360"/>
      <c r="H8" s="1360"/>
      <c r="I8" s="1360"/>
      <c r="J8" s="1360"/>
      <c r="K8" s="1360"/>
      <c r="L8" s="1360"/>
      <c r="M8" s="1360"/>
      <c r="N8" s="1360"/>
      <c r="O8" s="1360"/>
      <c r="P8" s="1360"/>
      <c r="Q8" s="1360"/>
      <c r="R8" s="1360"/>
      <c r="S8" s="1360"/>
      <c r="T8" s="1360"/>
      <c r="U8" s="1360"/>
      <c r="V8" s="1360"/>
      <c r="W8" s="1360"/>
      <c r="X8" s="1360"/>
      <c r="Y8" s="1360"/>
      <c r="Z8" s="1360"/>
      <c r="AA8" s="1360"/>
      <c r="AB8" s="1360"/>
      <c r="AC8" s="1360"/>
      <c r="AD8" s="1360"/>
      <c r="AE8" s="1360"/>
      <c r="AF8" s="1360"/>
      <c r="AG8" s="1360"/>
      <c r="AH8" s="1360"/>
      <c r="AI8" s="1360"/>
      <c r="AJ8" s="1360"/>
      <c r="AK8" s="1360"/>
      <c r="AL8" s="1360"/>
      <c r="AM8" s="1360"/>
      <c r="AN8" s="1360"/>
      <c r="AO8" s="1360"/>
      <c r="AP8" s="9"/>
      <c r="AR8" s="1725"/>
      <c r="AS8" s="1721"/>
      <c r="AT8" s="1731"/>
    </row>
    <row r="9" spans="1:80" ht="16.5" customHeight="1" x14ac:dyDescent="0.25">
      <c r="A9" s="377"/>
      <c r="B9" s="1361"/>
      <c r="C9" s="1361"/>
      <c r="D9" s="1361"/>
      <c r="E9" s="1361"/>
      <c r="F9" s="1361"/>
      <c r="G9" s="1361"/>
      <c r="H9" s="1361"/>
      <c r="I9" s="1361"/>
      <c r="J9" s="1361"/>
      <c r="K9" s="1361"/>
      <c r="L9" s="1361"/>
      <c r="M9" s="1361"/>
      <c r="N9" s="1361"/>
      <c r="O9" s="1361"/>
      <c r="P9" s="1361"/>
      <c r="Q9" s="1361"/>
      <c r="R9" s="1361"/>
      <c r="S9" s="1361"/>
      <c r="T9" s="1361"/>
      <c r="U9" s="1361"/>
      <c r="V9" s="1361"/>
      <c r="W9" s="1361"/>
      <c r="X9" s="1361"/>
      <c r="Y9" s="1361"/>
      <c r="Z9" s="1361"/>
      <c r="AA9" s="1361"/>
      <c r="AB9" s="1361"/>
      <c r="AC9" s="1361"/>
      <c r="AD9" s="1361"/>
      <c r="AE9" s="1361"/>
      <c r="AF9" s="1361"/>
      <c r="AG9" s="1361"/>
      <c r="AH9" s="1361"/>
      <c r="AI9" s="1361"/>
      <c r="AJ9" s="1361"/>
      <c r="AK9" s="1361"/>
      <c r="AL9" s="1361"/>
      <c r="AM9" s="1361"/>
      <c r="AN9" s="1361"/>
      <c r="AO9" s="1361"/>
      <c r="AP9" s="9"/>
      <c r="AR9" s="1728"/>
      <c r="AS9" s="1729">
        <f t="array" aca="1" ref="AS9" ca="1">IFERROR(SpecialFunction(AS8),AS8)</f>
        <v>0</v>
      </c>
      <c r="AT9" s="1730"/>
    </row>
    <row r="10" spans="1:80" ht="16.5" customHeight="1" x14ac:dyDescent="0.25">
      <c r="A10" s="377"/>
      <c r="B10" s="1733" t="s">
        <v>1018</v>
      </c>
      <c r="C10" s="1387"/>
      <c r="D10" s="1387"/>
      <c r="E10" s="1387"/>
      <c r="F10" s="1387"/>
      <c r="G10" s="1387"/>
      <c r="H10" s="1387"/>
      <c r="I10" s="1387"/>
      <c r="J10" s="1387"/>
      <c r="K10" s="1387"/>
      <c r="L10" s="1387"/>
      <c r="M10" s="1387"/>
      <c r="N10" s="1387"/>
      <c r="O10" s="1387"/>
      <c r="P10" s="1387"/>
      <c r="Q10" s="1387"/>
      <c r="R10" s="1387"/>
      <c r="S10" s="1387"/>
      <c r="T10" s="1387"/>
      <c r="U10" s="1387"/>
      <c r="V10" s="1387"/>
      <c r="W10" s="1387"/>
      <c r="X10" s="1387"/>
      <c r="Y10" s="1387"/>
      <c r="Z10" s="1387"/>
      <c r="AA10" s="1387"/>
      <c r="AB10" s="1387"/>
      <c r="AC10" s="1387"/>
      <c r="AD10" s="1387"/>
      <c r="AE10" s="1387"/>
      <c r="AF10" s="1387"/>
      <c r="AG10" s="1387"/>
      <c r="AH10" s="1387"/>
      <c r="AI10" s="1387"/>
      <c r="AJ10" s="1387"/>
      <c r="AK10" s="1387"/>
      <c r="AL10" s="1387"/>
      <c r="AM10" s="1387"/>
      <c r="AN10" s="1387"/>
      <c r="AO10" s="1388"/>
      <c r="AP10" s="9"/>
    </row>
    <row r="11" spans="1:80" s="1246" customFormat="1" ht="13.8" x14ac:dyDescent="0.25">
      <c r="A11" s="377"/>
      <c r="B11" s="2647" t="s">
        <v>1021</v>
      </c>
      <c r="C11" s="2647"/>
      <c r="D11" s="2647"/>
      <c r="E11" s="2647"/>
      <c r="F11" s="2647"/>
      <c r="G11" s="2647"/>
      <c r="H11" s="2647"/>
      <c r="I11" s="2647"/>
      <c r="J11" s="2647" t="s">
        <v>1020</v>
      </c>
      <c r="K11" s="2647"/>
      <c r="L11" s="2647"/>
      <c r="M11" s="2647"/>
      <c r="N11" s="2647"/>
      <c r="O11" s="2647"/>
      <c r="P11" s="2647"/>
      <c r="Q11" s="2647"/>
      <c r="R11" s="2647" t="s">
        <v>1022</v>
      </c>
      <c r="S11" s="2647"/>
      <c r="T11" s="2647"/>
      <c r="U11" s="2647"/>
      <c r="V11" s="2647"/>
      <c r="W11" s="2647"/>
      <c r="X11" s="2647"/>
      <c r="Y11" s="2647"/>
      <c r="Z11" s="2647" t="s">
        <v>1023</v>
      </c>
      <c r="AA11" s="2647"/>
      <c r="AB11" s="2647"/>
      <c r="AC11" s="2647"/>
      <c r="AD11" s="2647"/>
      <c r="AE11" s="2647"/>
      <c r="AF11" s="2647"/>
      <c r="AG11" s="2647"/>
      <c r="AH11" s="2647" t="s">
        <v>990</v>
      </c>
      <c r="AI11" s="2647"/>
      <c r="AJ11" s="2647"/>
      <c r="AK11" s="2647"/>
      <c r="AL11" s="2647"/>
      <c r="AM11" s="2647"/>
      <c r="AN11" s="2647"/>
      <c r="AO11" s="2647"/>
      <c r="AP11" s="9"/>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row>
    <row r="12" spans="1:80" ht="16.5" customHeight="1" x14ac:dyDescent="0.25">
      <c r="A12" s="377"/>
      <c r="B12" s="2648">
        <f>SUMIF('ACTUALS (M)'!$G$7:$DV$7,'YTD (R)'!$AS$8,'ACTUALS (M)'!G19:DV19)</f>
        <v>0</v>
      </c>
      <c r="C12" s="2648"/>
      <c r="D12" s="2648"/>
      <c r="E12" s="2648"/>
      <c r="F12" s="2648"/>
      <c r="G12" s="2648"/>
      <c r="H12" s="2648"/>
      <c r="I12" s="2648"/>
      <c r="J12" s="2648">
        <f>-SUMIF('ACTUALS (M)'!$G$7:$DV$7,'YTD (R)'!$AS$8,'ACTUALS (M)'!G41:DV41)</f>
        <v>0</v>
      </c>
      <c r="K12" s="2648"/>
      <c r="L12" s="2648"/>
      <c r="M12" s="2648"/>
      <c r="N12" s="2648"/>
      <c r="O12" s="2648"/>
      <c r="P12" s="2648"/>
      <c r="Q12" s="2648"/>
      <c r="R12" s="2648">
        <f>-SUMIF('ACTUALS (M)'!$G$7:$DV$7,'YTD (R)'!$AS$8,'ACTUALS (M)'!G47:DV47)-SUMIF('ACTUALS (M)'!$G$7:$DV$7,'YTD (R)'!$AS$8,'ACTUALS (M)'!G48:DV48)-SUMIF('ACTUALS (M)'!$G$7:$DV$7,'YTD (R)'!$AS$8,'ACTUALS (M)'!G49:DV49)</f>
        <v>0</v>
      </c>
      <c r="S12" s="2648"/>
      <c r="T12" s="2648"/>
      <c r="U12" s="2648"/>
      <c r="V12" s="2648"/>
      <c r="W12" s="2648"/>
      <c r="X12" s="2648"/>
      <c r="Y12" s="2648"/>
      <c r="Z12" s="2648">
        <f>-SUMIF('ACTUALS (M)'!$G$7:$DV$7,'YTD (R)'!$AS$8,'ACTUALS (M)'!G56:DV56)</f>
        <v>0</v>
      </c>
      <c r="AA12" s="2648"/>
      <c r="AB12" s="2648"/>
      <c r="AC12" s="2648"/>
      <c r="AD12" s="2648"/>
      <c r="AE12" s="2648"/>
      <c r="AF12" s="2648"/>
      <c r="AG12" s="2648"/>
      <c r="AH12" s="2648">
        <f>SUMIF('ACTUALS (M)'!$G$7:$DV$7,'YTD (R)'!$AS$8,'ACTUALS (M)'!G58:DV58)</f>
        <v>0</v>
      </c>
      <c r="AI12" s="2648"/>
      <c r="AJ12" s="2648"/>
      <c r="AK12" s="2648"/>
      <c r="AL12" s="2648"/>
      <c r="AM12" s="2648"/>
      <c r="AN12" s="2648"/>
      <c r="AO12" s="2648"/>
      <c r="AP12" s="9"/>
      <c r="BT12" s="1246"/>
      <c r="BU12" s="1246"/>
      <c r="BV12" s="1246"/>
      <c r="BW12" s="1246"/>
      <c r="BX12" s="1246"/>
      <c r="BY12" s="1246"/>
      <c r="BZ12" s="1246"/>
      <c r="CA12" s="1246"/>
      <c r="CB12" s="1246"/>
    </row>
    <row r="13" spans="1:80" ht="16.5" customHeight="1" x14ac:dyDescent="0.25">
      <c r="A13" s="8"/>
      <c r="B13" s="1732"/>
      <c r="C13" s="1732"/>
      <c r="D13" s="1732"/>
      <c r="E13" s="1732"/>
      <c r="F13" s="1732"/>
      <c r="G13" s="1732"/>
      <c r="H13" s="1732"/>
      <c r="I13" s="1732"/>
      <c r="J13" s="2649">
        <f>IFERROR(J12/$B$12,0)</f>
        <v>0</v>
      </c>
      <c r="K13" s="2649"/>
      <c r="L13" s="2649"/>
      <c r="M13" s="2649"/>
      <c r="N13" s="2649"/>
      <c r="O13" s="2649"/>
      <c r="P13" s="2649"/>
      <c r="Q13" s="2649"/>
      <c r="R13" s="2649">
        <f>IFERROR(R12/$B$12,0)</f>
        <v>0</v>
      </c>
      <c r="S13" s="2649"/>
      <c r="T13" s="2649"/>
      <c r="U13" s="2649"/>
      <c r="V13" s="2649"/>
      <c r="W13" s="2649"/>
      <c r="X13" s="2649"/>
      <c r="Y13" s="2649"/>
      <c r="Z13" s="2649">
        <f>IFERROR(Z12/$B$12,0)</f>
        <v>0</v>
      </c>
      <c r="AA13" s="2649"/>
      <c r="AB13" s="2649"/>
      <c r="AC13" s="2649"/>
      <c r="AD13" s="2649"/>
      <c r="AE13" s="2649"/>
      <c r="AF13" s="2649"/>
      <c r="AG13" s="2649"/>
      <c r="AH13" s="2649">
        <f>IFERROR(AH12/$B$12,0)</f>
        <v>0</v>
      </c>
      <c r="AI13" s="2649"/>
      <c r="AJ13" s="2649"/>
      <c r="AK13" s="2649"/>
      <c r="AL13" s="2649"/>
      <c r="AM13" s="2649"/>
      <c r="AN13" s="2649"/>
      <c r="AO13" s="2649"/>
      <c r="AP13" s="8"/>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L13" s="1246"/>
      <c r="BM13" s="1246"/>
      <c r="BN13" s="1246"/>
      <c r="BO13" s="1246"/>
      <c r="BP13" s="1246"/>
      <c r="BQ13" s="1246"/>
      <c r="BR13" s="1246"/>
      <c r="BS13" s="1246"/>
    </row>
    <row r="14" spans="1:80" ht="16.5" customHeight="1" x14ac:dyDescent="0.25">
      <c r="A14" s="377"/>
      <c r="B14" s="1361"/>
      <c r="C14" s="1361"/>
      <c r="D14" s="1361"/>
      <c r="E14" s="1361"/>
      <c r="F14" s="1361"/>
      <c r="G14" s="1361"/>
      <c r="H14" s="1361"/>
      <c r="I14" s="1361"/>
      <c r="J14" s="1361"/>
      <c r="K14" s="1361"/>
      <c r="L14" s="1361"/>
      <c r="M14" s="1361"/>
      <c r="N14" s="159"/>
      <c r="O14" s="159"/>
      <c r="P14" s="159"/>
      <c r="Q14" s="159"/>
      <c r="R14" s="159"/>
      <c r="S14" s="1361"/>
      <c r="T14" s="1361"/>
      <c r="U14" s="159"/>
      <c r="V14" s="159"/>
      <c r="W14" s="159"/>
      <c r="X14" s="159"/>
      <c r="Y14" s="159"/>
      <c r="Z14" s="159"/>
      <c r="AA14" s="159"/>
      <c r="AB14" s="1361"/>
      <c r="AC14" s="1361"/>
      <c r="AD14" s="159"/>
      <c r="AE14" s="159"/>
      <c r="AF14" s="159"/>
      <c r="AG14" s="159"/>
      <c r="AH14" s="159"/>
      <c r="AI14" s="1361"/>
      <c r="AJ14" s="1361"/>
      <c r="AK14" s="159"/>
      <c r="AL14" s="159"/>
      <c r="AM14" s="159"/>
      <c r="AN14" s="159"/>
      <c r="AO14" s="159"/>
      <c r="AP14" s="9"/>
    </row>
    <row r="15" spans="1:80" ht="16.5" customHeight="1" x14ac:dyDescent="0.25">
      <c r="A15" s="377"/>
      <c r="B15" s="1361"/>
      <c r="C15" s="1361"/>
      <c r="D15" s="1361"/>
      <c r="E15" s="1361"/>
      <c r="F15" s="1361"/>
      <c r="G15" s="1361"/>
      <c r="H15" s="1361"/>
      <c r="I15" s="1361"/>
      <c r="J15" s="1361"/>
      <c r="K15" s="1361"/>
      <c r="L15" s="1361"/>
      <c r="M15" s="1361"/>
      <c r="N15" s="1361"/>
      <c r="O15" s="1361"/>
      <c r="P15" s="1361"/>
      <c r="Q15" s="1361"/>
      <c r="R15" s="1361"/>
      <c r="S15" s="1361"/>
      <c r="T15" s="1361"/>
      <c r="U15" s="1361"/>
      <c r="V15" s="1361"/>
      <c r="W15" s="1361"/>
      <c r="X15" s="1361"/>
      <c r="Y15" s="1361"/>
      <c r="Z15" s="1361"/>
      <c r="AA15" s="1361"/>
      <c r="AB15" s="1361"/>
      <c r="AC15" s="1361"/>
      <c r="AD15" s="1361"/>
      <c r="AE15" s="1361"/>
      <c r="AF15" s="1361"/>
      <c r="AG15" s="1361"/>
      <c r="AH15" s="1361"/>
      <c r="AI15" s="1361"/>
      <c r="AJ15" s="1361"/>
      <c r="AK15" s="1361"/>
      <c r="AL15" s="1361"/>
      <c r="AM15" s="1361"/>
      <c r="AN15" s="1361"/>
      <c r="AO15" s="1361"/>
      <c r="AP15" s="1361"/>
    </row>
    <row r="16" spans="1:80" ht="16.5" customHeight="1" x14ac:dyDescent="0.25">
      <c r="A16" s="377"/>
      <c r="B16" s="1361"/>
      <c r="C16" s="1361"/>
      <c r="D16" s="1361"/>
      <c r="E16" s="1361"/>
      <c r="F16" s="1361"/>
      <c r="G16" s="1361"/>
      <c r="H16" s="1361"/>
      <c r="I16" s="1361"/>
      <c r="J16" s="1361"/>
      <c r="K16" s="1361"/>
      <c r="L16" s="1361"/>
      <c r="M16" s="1361"/>
      <c r="N16" s="1361"/>
      <c r="O16" s="1361"/>
      <c r="P16" s="1361"/>
      <c r="Q16" s="1361"/>
      <c r="R16" s="1361"/>
      <c r="S16" s="1361"/>
      <c r="T16" s="1361"/>
      <c r="U16" s="1361"/>
      <c r="V16" s="1361"/>
      <c r="W16" s="1361"/>
      <c r="X16" s="1361"/>
      <c r="Y16" s="1361"/>
      <c r="Z16" s="1361"/>
      <c r="AA16" s="1361"/>
      <c r="AB16" s="1361"/>
      <c r="AC16" s="1361"/>
      <c r="AD16" s="1361"/>
      <c r="AE16" s="1361"/>
      <c r="AF16" s="1361"/>
      <c r="AG16" s="1361"/>
      <c r="AH16" s="1361"/>
      <c r="AI16" s="1361"/>
      <c r="AJ16" s="1361"/>
      <c r="AK16" s="1361"/>
      <c r="AL16" s="1361"/>
      <c r="AM16" s="1361"/>
      <c r="AN16" s="1361"/>
      <c r="AO16" s="1361"/>
      <c r="AP16" s="1361"/>
    </row>
    <row r="17" spans="1:42" ht="16.5" customHeight="1" x14ac:dyDescent="0.25">
      <c r="A17" s="377"/>
      <c r="B17" s="1361"/>
      <c r="C17" s="1361"/>
      <c r="D17" s="1361"/>
      <c r="E17" s="1361"/>
      <c r="F17" s="1361"/>
      <c r="G17" s="1361"/>
      <c r="H17" s="1361"/>
      <c r="I17" s="1361"/>
      <c r="J17" s="1361"/>
      <c r="K17" s="1361"/>
      <c r="L17" s="1361"/>
      <c r="M17" s="1361"/>
      <c r="N17" s="1361"/>
      <c r="O17" s="1361"/>
      <c r="P17" s="1361"/>
      <c r="Q17" s="1361"/>
      <c r="R17" s="1361"/>
      <c r="S17" s="1361"/>
      <c r="T17" s="1361"/>
      <c r="U17" s="1361"/>
      <c r="V17" s="1361"/>
      <c r="W17" s="1361"/>
      <c r="X17" s="1361"/>
      <c r="Y17" s="1361"/>
      <c r="Z17" s="1361"/>
      <c r="AA17" s="1361"/>
      <c r="AB17" s="1361"/>
      <c r="AC17" s="1361"/>
      <c r="AD17" s="1361"/>
      <c r="AE17" s="1361"/>
      <c r="AF17" s="1361"/>
      <c r="AG17" s="1361"/>
      <c r="AH17" s="1361"/>
      <c r="AI17" s="1361"/>
      <c r="AJ17" s="1361"/>
      <c r="AK17" s="1361"/>
      <c r="AL17" s="1361"/>
      <c r="AM17" s="1361"/>
      <c r="AN17" s="1361"/>
      <c r="AO17" s="1361"/>
      <c r="AP17" s="1361"/>
    </row>
    <row r="18" spans="1:42" ht="16.5" customHeight="1" x14ac:dyDescent="0.25">
      <c r="A18" s="377"/>
      <c r="B18" s="1361"/>
      <c r="C18" s="1361"/>
      <c r="D18" s="1361"/>
      <c r="E18" s="1361"/>
      <c r="F18" s="1361"/>
      <c r="G18" s="1361"/>
      <c r="H18" s="1361"/>
      <c r="I18" s="1361"/>
      <c r="J18" s="1361"/>
      <c r="K18" s="1361"/>
      <c r="L18" s="1361"/>
      <c r="M18" s="1361"/>
      <c r="N18" s="1361"/>
      <c r="O18" s="1361"/>
      <c r="P18" s="1361"/>
      <c r="Q18" s="1361"/>
      <c r="R18" s="1361"/>
      <c r="S18" s="1361"/>
      <c r="T18" s="1361"/>
      <c r="U18" s="1361"/>
      <c r="V18" s="1361"/>
      <c r="W18" s="1361"/>
      <c r="X18" s="1361"/>
      <c r="Y18" s="1361"/>
      <c r="Z18" s="1361"/>
      <c r="AA18" s="1361"/>
      <c r="AB18" s="1361"/>
      <c r="AC18" s="1361"/>
      <c r="AD18" s="1361"/>
      <c r="AE18" s="1361"/>
      <c r="AF18" s="1361"/>
      <c r="AG18" s="1361"/>
      <c r="AH18" s="1361"/>
      <c r="AI18" s="1361"/>
      <c r="AJ18" s="1361"/>
      <c r="AK18" s="1361"/>
      <c r="AL18" s="1361"/>
      <c r="AM18" s="1361"/>
      <c r="AN18" s="1361"/>
      <c r="AO18" s="1361"/>
      <c r="AP18" s="1361"/>
    </row>
    <row r="19" spans="1:42" ht="16.5" customHeight="1" x14ac:dyDescent="0.25">
      <c r="A19" s="377"/>
      <c r="B19" s="1361"/>
      <c r="C19" s="1361"/>
      <c r="D19" s="1361"/>
      <c r="E19" s="1361"/>
      <c r="F19" s="1361"/>
      <c r="G19" s="1361"/>
      <c r="H19" s="1361"/>
      <c r="I19" s="1361"/>
      <c r="J19" s="1361"/>
      <c r="K19" s="1361"/>
      <c r="L19" s="1361"/>
      <c r="M19" s="1361"/>
      <c r="N19" s="159"/>
      <c r="O19" s="159"/>
      <c r="P19" s="159"/>
      <c r="Q19" s="159"/>
      <c r="R19" s="159"/>
      <c r="S19" s="1361"/>
      <c r="T19" s="1361"/>
      <c r="U19" s="159"/>
      <c r="V19" s="159"/>
      <c r="W19" s="159"/>
      <c r="X19" s="159"/>
      <c r="Y19" s="159"/>
      <c r="Z19" s="159"/>
      <c r="AA19" s="159"/>
      <c r="AB19" s="1361"/>
      <c r="AC19" s="1361"/>
      <c r="AD19" s="159"/>
      <c r="AE19" s="159"/>
      <c r="AF19" s="159"/>
      <c r="AG19" s="159"/>
      <c r="AH19" s="159"/>
      <c r="AI19" s="1361"/>
      <c r="AJ19" s="1361"/>
      <c r="AK19" s="159"/>
      <c r="AL19" s="159"/>
      <c r="AM19" s="159"/>
      <c r="AN19" s="159"/>
      <c r="AO19" s="159"/>
      <c r="AP19" s="9"/>
    </row>
    <row r="20" spans="1:42" ht="16.5" customHeight="1" x14ac:dyDescent="0.25">
      <c r="A20" s="377"/>
      <c r="B20" s="1361"/>
      <c r="C20" s="1361"/>
      <c r="D20" s="1361"/>
      <c r="E20" s="1361"/>
      <c r="F20" s="1361"/>
      <c r="G20" s="1361"/>
      <c r="H20" s="1361"/>
      <c r="I20" s="1361"/>
      <c r="J20" s="1361"/>
      <c r="K20" s="1361"/>
      <c r="L20" s="1361"/>
      <c r="M20" s="1361"/>
      <c r="N20" s="159"/>
      <c r="O20" s="159"/>
      <c r="P20" s="159"/>
      <c r="Q20" s="159"/>
      <c r="R20" s="159"/>
      <c r="S20" s="1361"/>
      <c r="T20" s="1361"/>
      <c r="U20" s="159"/>
      <c r="V20" s="159"/>
      <c r="W20" s="159"/>
      <c r="X20" s="159"/>
      <c r="Y20" s="159"/>
      <c r="Z20" s="159"/>
      <c r="AA20" s="159"/>
      <c r="AB20" s="1361"/>
      <c r="AC20" s="1361"/>
      <c r="AD20" s="159"/>
      <c r="AE20" s="159"/>
      <c r="AF20" s="159"/>
      <c r="AG20" s="159"/>
      <c r="AH20" s="159"/>
      <c r="AI20" s="1361"/>
      <c r="AJ20" s="1361"/>
      <c r="AK20" s="159"/>
      <c r="AL20" s="159"/>
      <c r="AM20" s="159"/>
      <c r="AN20" s="159"/>
      <c r="AO20" s="159"/>
      <c r="AP20" s="9"/>
    </row>
    <row r="21" spans="1:42" ht="16.5" customHeight="1" x14ac:dyDescent="0.25">
      <c r="A21" s="377"/>
      <c r="B21" s="1361"/>
      <c r="C21" s="1361"/>
      <c r="D21" s="1361"/>
      <c r="E21" s="1361"/>
      <c r="F21" s="1361"/>
      <c r="G21" s="1361"/>
      <c r="H21" s="1361"/>
      <c r="I21" s="1361"/>
      <c r="J21" s="1361"/>
      <c r="K21" s="1361"/>
      <c r="L21" s="1361"/>
      <c r="M21" s="1361"/>
      <c r="N21" s="159"/>
      <c r="O21" s="159"/>
      <c r="P21" s="159"/>
      <c r="Q21" s="159"/>
      <c r="R21" s="159"/>
      <c r="S21" s="1361"/>
      <c r="T21" s="1361"/>
      <c r="U21" s="159"/>
      <c r="V21" s="159"/>
      <c r="W21" s="159"/>
      <c r="X21" s="159"/>
      <c r="Y21" s="159"/>
      <c r="Z21" s="159"/>
      <c r="AA21" s="159"/>
      <c r="AB21" s="1361"/>
      <c r="AC21" s="1361"/>
      <c r="AD21" s="159"/>
      <c r="AE21" s="159"/>
      <c r="AF21" s="159"/>
      <c r="AG21" s="159"/>
      <c r="AH21" s="159"/>
      <c r="AI21" s="1361"/>
      <c r="AJ21" s="1361"/>
      <c r="AK21" s="159"/>
      <c r="AL21" s="159"/>
      <c r="AM21" s="159"/>
      <c r="AN21" s="159"/>
      <c r="AO21" s="159"/>
      <c r="AP21" s="9"/>
    </row>
    <row r="22" spans="1:42" ht="16.5" customHeight="1" x14ac:dyDescent="0.25">
      <c r="A22" s="377"/>
      <c r="B22" s="1361"/>
      <c r="C22" s="1361"/>
      <c r="D22" s="1361"/>
      <c r="E22" s="1361"/>
      <c r="F22" s="1361"/>
      <c r="G22" s="1361"/>
      <c r="H22" s="1361"/>
      <c r="I22" s="1361"/>
      <c r="J22" s="1361"/>
      <c r="K22" s="1361"/>
      <c r="L22" s="1361"/>
      <c r="M22" s="1361"/>
      <c r="N22" s="159"/>
      <c r="O22" s="159"/>
      <c r="P22" s="159"/>
      <c r="Q22" s="159"/>
      <c r="R22" s="159"/>
      <c r="S22" s="1361"/>
      <c r="T22" s="1361"/>
      <c r="U22" s="159"/>
      <c r="V22" s="159"/>
      <c r="W22" s="159"/>
      <c r="X22" s="159"/>
      <c r="Y22" s="159"/>
      <c r="Z22" s="159"/>
      <c r="AA22" s="159"/>
      <c r="AB22" s="1361"/>
      <c r="AC22" s="1361"/>
      <c r="AD22" s="159"/>
      <c r="AE22" s="159"/>
      <c r="AF22" s="159"/>
      <c r="AG22" s="159"/>
      <c r="AH22" s="159"/>
      <c r="AI22" s="1361"/>
      <c r="AJ22" s="1361"/>
      <c r="AK22" s="159"/>
      <c r="AL22" s="159"/>
      <c r="AM22" s="159"/>
      <c r="AN22" s="159"/>
      <c r="AO22" s="159"/>
      <c r="AP22" s="9"/>
    </row>
    <row r="23" spans="1:42" ht="16.5" customHeight="1" x14ac:dyDescent="0.25">
      <c r="A23" s="377"/>
      <c r="B23" s="1383" t="s">
        <v>1019</v>
      </c>
      <c r="C23" s="1360"/>
      <c r="D23" s="1360"/>
      <c r="E23" s="1360"/>
      <c r="F23" s="1360"/>
      <c r="G23" s="1360"/>
      <c r="H23" s="1360"/>
      <c r="I23" s="1360"/>
      <c r="J23" s="1360"/>
      <c r="K23" s="1360"/>
      <c r="L23" s="1360"/>
      <c r="M23" s="1360"/>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c r="AL23" s="1360"/>
      <c r="AM23" s="1360"/>
      <c r="AN23" s="1360"/>
      <c r="AO23" s="1360"/>
      <c r="AP23" s="9"/>
    </row>
    <row r="24" spans="1:42" ht="16.5" customHeight="1" x14ac:dyDescent="0.25">
      <c r="A24" s="377"/>
      <c r="B24" s="1361"/>
      <c r="C24" s="1361"/>
      <c r="D24" s="1361"/>
      <c r="E24" s="1361"/>
      <c r="F24" s="1361"/>
      <c r="G24" s="1361"/>
      <c r="H24" s="1361"/>
      <c r="I24" s="1361"/>
      <c r="J24" s="1361"/>
      <c r="K24" s="1361"/>
      <c r="L24" s="1361"/>
      <c r="M24" s="1361"/>
      <c r="N24" s="159"/>
      <c r="O24" s="159"/>
      <c r="P24" s="159"/>
      <c r="Q24" s="159"/>
      <c r="R24" s="159"/>
      <c r="S24" s="1361"/>
      <c r="T24" s="1361"/>
      <c r="U24" s="159"/>
      <c r="V24" s="159"/>
      <c r="W24" s="159"/>
      <c r="X24" s="159"/>
      <c r="Y24" s="159"/>
      <c r="Z24" s="159"/>
      <c r="AA24" s="159"/>
      <c r="AB24" s="1361"/>
      <c r="AC24" s="1361"/>
      <c r="AD24" s="159"/>
      <c r="AE24" s="159"/>
      <c r="AF24" s="159"/>
      <c r="AG24" s="159"/>
      <c r="AH24" s="159"/>
      <c r="AI24" s="1361"/>
      <c r="AJ24" s="1361"/>
      <c r="AK24" s="159"/>
      <c r="AL24" s="159"/>
      <c r="AM24" s="159"/>
      <c r="AN24" s="159"/>
      <c r="AO24" s="159"/>
      <c r="AP24" s="9"/>
    </row>
    <row r="25" spans="1:42" ht="16.5" customHeight="1" x14ac:dyDescent="0.25">
      <c r="A25" s="377"/>
      <c r="B25" s="1361"/>
      <c r="C25" s="1361"/>
      <c r="D25" s="1361"/>
      <c r="E25" s="1361"/>
      <c r="F25" s="1361"/>
      <c r="G25" s="1361"/>
      <c r="H25" s="1361"/>
      <c r="I25" s="1361"/>
      <c r="J25" s="1361"/>
      <c r="K25" s="1361"/>
      <c r="L25" s="1361"/>
      <c r="M25" s="1361"/>
      <c r="N25" s="159"/>
      <c r="O25" s="159"/>
      <c r="P25" s="159"/>
      <c r="Q25" s="159"/>
      <c r="R25" s="159"/>
      <c r="S25" s="1361"/>
      <c r="T25" s="1361"/>
      <c r="U25" s="159"/>
      <c r="V25" s="159"/>
      <c r="W25" s="159"/>
      <c r="X25" s="159"/>
      <c r="Y25" s="159"/>
      <c r="Z25" s="159"/>
      <c r="AA25" s="159"/>
      <c r="AB25" s="1361"/>
      <c r="AC25" s="1361"/>
      <c r="AD25" s="159"/>
      <c r="AE25" s="159"/>
      <c r="AF25" s="159"/>
      <c r="AG25" s="159"/>
      <c r="AH25" s="159"/>
      <c r="AI25" s="1361"/>
      <c r="AJ25" s="1361"/>
      <c r="AK25" s="159"/>
      <c r="AL25" s="159"/>
      <c r="AM25" s="159"/>
      <c r="AN25" s="159"/>
      <c r="AO25" s="159"/>
      <c r="AP25" s="9"/>
    </row>
    <row r="26" spans="1:42" ht="16.5" customHeight="1" x14ac:dyDescent="0.25">
      <c r="A26" s="377"/>
      <c r="B26" s="1361"/>
      <c r="C26" s="1361"/>
      <c r="D26" s="1361"/>
      <c r="E26" s="1361"/>
      <c r="F26" s="1361"/>
      <c r="G26" s="1361"/>
      <c r="H26" s="1361"/>
      <c r="I26" s="1361"/>
      <c r="J26" s="1361"/>
      <c r="K26" s="1361"/>
      <c r="L26" s="1361"/>
      <c r="M26" s="1361"/>
      <c r="N26" s="160"/>
      <c r="O26" s="160"/>
      <c r="P26" s="160"/>
      <c r="Q26" s="160"/>
      <c r="R26" s="160"/>
      <c r="S26" s="1361"/>
      <c r="T26" s="1361"/>
      <c r="U26" s="160"/>
      <c r="V26" s="160"/>
      <c r="W26" s="160"/>
      <c r="X26" s="160"/>
      <c r="Y26" s="160"/>
      <c r="Z26" s="160"/>
      <c r="AA26" s="160"/>
      <c r="AB26" s="1361"/>
      <c r="AC26" s="1361"/>
      <c r="AD26" s="160"/>
      <c r="AE26" s="160"/>
      <c r="AF26" s="160"/>
      <c r="AG26" s="160"/>
      <c r="AH26" s="160"/>
      <c r="AI26" s="1361"/>
      <c r="AJ26" s="1361"/>
      <c r="AK26" s="160"/>
      <c r="AL26" s="160"/>
      <c r="AM26" s="160"/>
      <c r="AN26" s="160"/>
      <c r="AO26" s="160"/>
      <c r="AP26" s="9"/>
    </row>
    <row r="27" spans="1:42" ht="16.5" customHeight="1" x14ac:dyDescent="0.25">
      <c r="A27" s="377"/>
      <c r="B27" s="1361"/>
      <c r="C27" s="1361"/>
      <c r="D27" s="1361"/>
      <c r="E27" s="1361"/>
      <c r="F27" s="1361"/>
      <c r="G27" s="1361"/>
      <c r="H27" s="1361"/>
      <c r="I27" s="1361"/>
      <c r="J27" s="1361"/>
      <c r="K27" s="1361"/>
      <c r="L27" s="1361"/>
      <c r="M27" s="1361"/>
      <c r="N27" s="160"/>
      <c r="O27" s="160"/>
      <c r="P27" s="160"/>
      <c r="Q27" s="160"/>
      <c r="R27" s="160"/>
      <c r="S27" s="1361"/>
      <c r="T27" s="1361"/>
      <c r="U27" s="160"/>
      <c r="V27" s="160"/>
      <c r="W27" s="160"/>
      <c r="X27" s="160"/>
      <c r="Y27" s="160"/>
      <c r="Z27" s="160"/>
      <c r="AA27" s="160"/>
      <c r="AB27" s="1361"/>
      <c r="AC27" s="1361"/>
      <c r="AD27" s="160"/>
      <c r="AE27" s="160"/>
      <c r="AF27" s="160"/>
      <c r="AG27" s="160"/>
      <c r="AH27" s="160"/>
      <c r="AI27" s="1361"/>
      <c r="AJ27" s="1361"/>
      <c r="AK27" s="160"/>
      <c r="AL27" s="160"/>
      <c r="AM27" s="160"/>
      <c r="AN27" s="160"/>
      <c r="AO27" s="160"/>
      <c r="AP27" s="9"/>
    </row>
    <row r="28" spans="1:42" ht="16.5" customHeight="1" x14ac:dyDescent="0.25">
      <c r="A28" s="377"/>
      <c r="B28" s="1361"/>
      <c r="C28" s="1361"/>
      <c r="D28" s="1361"/>
      <c r="E28" s="1361"/>
      <c r="F28" s="1361"/>
      <c r="G28" s="1361"/>
      <c r="H28" s="1361"/>
      <c r="I28" s="1361"/>
      <c r="J28" s="1361"/>
      <c r="K28" s="1361"/>
      <c r="L28" s="1361"/>
      <c r="M28" s="1361"/>
      <c r="N28" s="160"/>
      <c r="O28" s="160"/>
      <c r="P28" s="160"/>
      <c r="Q28" s="160"/>
      <c r="R28" s="160"/>
      <c r="S28" s="1361"/>
      <c r="T28" s="1361"/>
      <c r="U28" s="160"/>
      <c r="V28" s="160"/>
      <c r="W28" s="160"/>
      <c r="X28" s="160"/>
      <c r="Y28" s="160"/>
      <c r="Z28" s="160"/>
      <c r="AA28" s="160"/>
      <c r="AB28" s="1361"/>
      <c r="AC28" s="1361"/>
      <c r="AD28" s="160"/>
      <c r="AE28" s="160"/>
      <c r="AF28" s="160"/>
      <c r="AG28" s="160"/>
      <c r="AH28" s="160"/>
      <c r="AI28" s="1361"/>
      <c r="AJ28" s="1361"/>
      <c r="AK28" s="160"/>
      <c r="AL28" s="160"/>
      <c r="AM28" s="160"/>
      <c r="AN28" s="160"/>
      <c r="AO28" s="160"/>
      <c r="AP28" s="9"/>
    </row>
    <row r="29" spans="1:42" ht="16.5" customHeight="1" x14ac:dyDescent="0.25">
      <c r="A29" s="377"/>
      <c r="B29" s="1361"/>
      <c r="C29" s="1361"/>
      <c r="D29" s="1361"/>
      <c r="E29" s="1361"/>
      <c r="F29" s="1361"/>
      <c r="G29" s="1361"/>
      <c r="H29" s="1361"/>
      <c r="I29" s="1361"/>
      <c r="J29" s="1361"/>
      <c r="K29" s="1361"/>
      <c r="L29" s="1361"/>
      <c r="M29" s="1361"/>
      <c r="N29" s="160"/>
      <c r="O29" s="160"/>
      <c r="P29" s="160"/>
      <c r="Q29" s="160"/>
      <c r="R29" s="160"/>
      <c r="S29" s="1361"/>
      <c r="T29" s="1361"/>
      <c r="U29" s="160"/>
      <c r="V29" s="160"/>
      <c r="W29" s="160"/>
      <c r="X29" s="160"/>
      <c r="Y29" s="160"/>
      <c r="Z29" s="160"/>
      <c r="AA29" s="160"/>
      <c r="AB29" s="1361"/>
      <c r="AC29" s="1361"/>
      <c r="AD29" s="160"/>
      <c r="AE29" s="160"/>
      <c r="AF29" s="160"/>
      <c r="AG29" s="160"/>
      <c r="AH29" s="160"/>
      <c r="AI29" s="1361"/>
      <c r="AJ29" s="1361"/>
      <c r="AK29" s="160"/>
      <c r="AL29" s="160"/>
      <c r="AM29" s="160"/>
      <c r="AN29" s="160"/>
      <c r="AO29" s="160"/>
      <c r="AP29" s="9"/>
    </row>
    <row r="30" spans="1:42" ht="16.5" customHeight="1" x14ac:dyDescent="0.25">
      <c r="A30" s="377"/>
      <c r="B30" s="1361"/>
      <c r="C30" s="1361"/>
      <c r="D30" s="1361"/>
      <c r="E30" s="1361"/>
      <c r="F30" s="1361"/>
      <c r="G30" s="1361"/>
      <c r="H30" s="1361"/>
      <c r="I30" s="1361"/>
      <c r="J30" s="1361"/>
      <c r="K30" s="1361"/>
      <c r="L30" s="1361"/>
      <c r="M30" s="1361"/>
      <c r="N30" s="160"/>
      <c r="O30" s="160"/>
      <c r="P30" s="160"/>
      <c r="Q30" s="160"/>
      <c r="R30" s="160"/>
      <c r="S30" s="1361"/>
      <c r="T30" s="1361"/>
      <c r="U30" s="160"/>
      <c r="V30" s="160"/>
      <c r="W30" s="160"/>
      <c r="X30" s="160"/>
      <c r="Y30" s="160"/>
      <c r="Z30" s="160"/>
      <c r="AA30" s="160"/>
      <c r="AB30" s="1361"/>
      <c r="AC30" s="1361"/>
      <c r="AD30" s="160"/>
      <c r="AE30" s="160"/>
      <c r="AF30" s="160"/>
      <c r="AG30" s="160"/>
      <c r="AH30" s="160"/>
      <c r="AI30" s="1361"/>
      <c r="AJ30" s="1361"/>
      <c r="AK30" s="160"/>
      <c r="AL30" s="160"/>
      <c r="AM30" s="160"/>
      <c r="AN30" s="160"/>
      <c r="AO30" s="160"/>
      <c r="AP30" s="9"/>
    </row>
    <row r="31" spans="1:42" ht="16.5" customHeight="1" x14ac:dyDescent="0.25">
      <c r="A31" s="377"/>
      <c r="B31" s="1383" t="s">
        <v>1039</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0"/>
      <c r="Z31" s="1360"/>
      <c r="AA31" s="1360"/>
      <c r="AB31" s="1360"/>
      <c r="AC31" s="1360"/>
      <c r="AD31" s="1360"/>
      <c r="AE31" s="1360"/>
      <c r="AF31" s="1360"/>
      <c r="AG31" s="1360"/>
      <c r="AH31" s="1360"/>
      <c r="AI31" s="1360"/>
      <c r="AJ31" s="1360"/>
      <c r="AK31" s="1360"/>
      <c r="AL31" s="1360"/>
      <c r="AM31" s="1360"/>
      <c r="AN31" s="1360"/>
      <c r="AO31" s="1360"/>
      <c r="AP31" s="9"/>
    </row>
    <row r="32" spans="1:42" ht="16.5" customHeight="1" x14ac:dyDescent="0.25">
      <c r="A32" s="377"/>
      <c r="B32" s="1361"/>
      <c r="C32" s="1361"/>
      <c r="D32" s="1361"/>
      <c r="E32" s="1361"/>
      <c r="F32" s="1361"/>
      <c r="G32" s="1361"/>
      <c r="H32" s="1361"/>
      <c r="I32" s="1361"/>
      <c r="J32" s="1361"/>
      <c r="K32" s="1361"/>
      <c r="L32" s="1361"/>
      <c r="M32" s="1361"/>
      <c r="N32" s="160"/>
      <c r="O32" s="160"/>
      <c r="P32" s="160"/>
      <c r="Q32" s="160"/>
      <c r="R32" s="160"/>
      <c r="S32" s="1361"/>
      <c r="T32" s="1361"/>
      <c r="U32" s="160"/>
      <c r="V32" s="160"/>
      <c r="W32" s="160"/>
      <c r="X32" s="160"/>
      <c r="Y32" s="160"/>
      <c r="Z32" s="160"/>
      <c r="AA32" s="160"/>
      <c r="AB32" s="1361"/>
      <c r="AC32" s="1361"/>
      <c r="AD32" s="160"/>
      <c r="AE32" s="160"/>
      <c r="AF32" s="160"/>
      <c r="AG32" s="160"/>
      <c r="AH32" s="160"/>
      <c r="AI32" s="1361"/>
      <c r="AJ32" s="1361"/>
      <c r="AK32" s="160"/>
      <c r="AL32" s="160"/>
      <c r="AM32" s="160"/>
      <c r="AN32" s="160"/>
      <c r="AO32" s="160"/>
      <c r="AP32" s="9"/>
    </row>
    <row r="33" spans="1:42" ht="16.5" customHeight="1" x14ac:dyDescent="0.25">
      <c r="A33" s="377"/>
      <c r="B33" s="1361"/>
      <c r="C33" s="1361"/>
      <c r="D33" s="1361"/>
      <c r="E33" s="1361"/>
      <c r="F33" s="1361"/>
      <c r="G33" s="1361"/>
      <c r="H33" s="1361"/>
      <c r="I33" s="1361"/>
      <c r="J33" s="1361"/>
      <c r="K33" s="1361"/>
      <c r="L33" s="1361"/>
      <c r="M33" s="1361"/>
      <c r="N33" s="160"/>
      <c r="O33" s="160"/>
      <c r="P33" s="160"/>
      <c r="Q33" s="160"/>
      <c r="R33" s="160"/>
      <c r="S33" s="1361"/>
      <c r="T33" s="1361"/>
      <c r="U33" s="160"/>
      <c r="V33" s="160"/>
      <c r="W33" s="160"/>
      <c r="X33" s="160"/>
      <c r="Y33" s="160"/>
      <c r="Z33" s="160"/>
      <c r="AA33" s="160"/>
      <c r="AB33" s="1361"/>
      <c r="AC33" s="1361"/>
      <c r="AD33" s="160"/>
      <c r="AE33" s="160"/>
      <c r="AF33" s="160"/>
      <c r="AG33" s="160"/>
      <c r="AH33" s="160"/>
      <c r="AI33" s="1361"/>
      <c r="AJ33" s="1361"/>
      <c r="AK33" s="160"/>
      <c r="AL33" s="160"/>
      <c r="AM33" s="160"/>
      <c r="AN33" s="160"/>
      <c r="AO33" s="160"/>
      <c r="AP33" s="9"/>
    </row>
    <row r="34" spans="1:42" ht="16.5" customHeight="1" x14ac:dyDescent="0.25">
      <c r="A34" s="377"/>
      <c r="B34" s="1361"/>
      <c r="C34" s="1361"/>
      <c r="D34" s="1361"/>
      <c r="E34" s="1361"/>
      <c r="F34" s="1361"/>
      <c r="G34" s="1361"/>
      <c r="H34" s="1361"/>
      <c r="I34" s="1361"/>
      <c r="J34" s="1361"/>
      <c r="K34" s="1361"/>
      <c r="L34" s="1361"/>
      <c r="M34" s="1361"/>
      <c r="N34" s="160"/>
      <c r="O34" s="160"/>
      <c r="P34" s="160"/>
      <c r="Q34" s="160"/>
      <c r="R34" s="160"/>
      <c r="S34" s="1361"/>
      <c r="T34" s="1361"/>
      <c r="U34" s="160"/>
      <c r="V34" s="160"/>
      <c r="W34" s="160"/>
      <c r="X34" s="160"/>
      <c r="Y34" s="160"/>
      <c r="Z34" s="160"/>
      <c r="AA34" s="160"/>
      <c r="AB34" s="1361"/>
      <c r="AC34" s="1361"/>
      <c r="AD34" s="160"/>
      <c r="AE34" s="160"/>
      <c r="AF34" s="160"/>
      <c r="AG34" s="160"/>
      <c r="AH34" s="160"/>
      <c r="AI34" s="1361"/>
      <c r="AJ34" s="1361"/>
      <c r="AK34" s="160"/>
      <c r="AL34" s="160"/>
      <c r="AM34" s="160"/>
      <c r="AN34" s="160"/>
      <c r="AO34" s="160"/>
      <c r="AP34" s="9"/>
    </row>
    <row r="35" spans="1:42" ht="16.5" customHeight="1" x14ac:dyDescent="0.25">
      <c r="A35" s="377"/>
      <c r="B35" s="1361"/>
      <c r="C35" s="1361"/>
      <c r="D35" s="1361"/>
      <c r="E35" s="1361"/>
      <c r="F35" s="1361"/>
      <c r="G35" s="1361"/>
      <c r="H35" s="1361"/>
      <c r="I35" s="1361"/>
      <c r="J35" s="1361"/>
      <c r="K35" s="1361"/>
      <c r="L35" s="1361"/>
      <c r="M35" s="1361"/>
      <c r="N35" s="160"/>
      <c r="O35" s="160"/>
      <c r="P35" s="160"/>
      <c r="Q35" s="160"/>
      <c r="R35" s="160"/>
      <c r="S35" s="1361"/>
      <c r="T35" s="1361"/>
      <c r="U35" s="160"/>
      <c r="V35" s="160"/>
      <c r="W35" s="160"/>
      <c r="X35" s="160"/>
      <c r="Y35" s="160"/>
      <c r="Z35" s="160"/>
      <c r="AA35" s="160"/>
      <c r="AB35" s="1361"/>
      <c r="AC35" s="1361"/>
      <c r="AD35" s="160"/>
      <c r="AE35" s="160"/>
      <c r="AF35" s="160"/>
      <c r="AG35" s="160"/>
      <c r="AH35" s="160"/>
      <c r="AI35" s="1361"/>
      <c r="AJ35" s="1361"/>
      <c r="AK35" s="160"/>
      <c r="AL35" s="160"/>
      <c r="AM35" s="160"/>
      <c r="AN35" s="160"/>
      <c r="AO35" s="160"/>
      <c r="AP35" s="9"/>
    </row>
    <row r="36" spans="1:42" ht="16.5" customHeight="1" x14ac:dyDescent="0.25">
      <c r="A36" s="377"/>
      <c r="B36" s="1361"/>
      <c r="C36" s="1361"/>
      <c r="D36" s="1361"/>
      <c r="E36" s="1361"/>
      <c r="F36" s="1361"/>
      <c r="G36" s="1361"/>
      <c r="H36" s="1361"/>
      <c r="I36" s="1361"/>
      <c r="J36" s="1361"/>
      <c r="K36" s="1361"/>
      <c r="L36" s="1361"/>
      <c r="M36" s="1361"/>
      <c r="N36" s="160"/>
      <c r="O36" s="160"/>
      <c r="P36" s="160"/>
      <c r="Q36" s="160"/>
      <c r="R36" s="160"/>
      <c r="S36" s="1361"/>
      <c r="T36" s="1361"/>
      <c r="U36" s="160"/>
      <c r="V36" s="160"/>
      <c r="W36" s="160"/>
      <c r="X36" s="160"/>
      <c r="Y36" s="160"/>
      <c r="Z36" s="160"/>
      <c r="AA36" s="160"/>
      <c r="AB36" s="1361"/>
      <c r="AC36" s="1361"/>
      <c r="AD36" s="160"/>
      <c r="AE36" s="160"/>
      <c r="AF36" s="160"/>
      <c r="AG36" s="160"/>
      <c r="AH36" s="160"/>
      <c r="AI36" s="1361"/>
      <c r="AJ36" s="1361"/>
      <c r="AK36" s="160"/>
      <c r="AL36" s="160"/>
      <c r="AM36" s="160"/>
      <c r="AN36" s="160"/>
      <c r="AO36" s="160"/>
      <c r="AP36" s="9"/>
    </row>
    <row r="37" spans="1:42" ht="16.5" customHeight="1" x14ac:dyDescent="0.25">
      <c r="A37" s="377"/>
      <c r="B37" s="1361"/>
      <c r="C37" s="1361"/>
      <c r="D37" s="1361"/>
      <c r="E37" s="1361"/>
      <c r="F37" s="1361"/>
      <c r="G37" s="1361"/>
      <c r="H37" s="1361"/>
      <c r="I37" s="1361"/>
      <c r="J37" s="1361"/>
      <c r="K37" s="1361"/>
      <c r="L37" s="1361"/>
      <c r="M37" s="1361"/>
      <c r="N37" s="160"/>
      <c r="O37" s="160"/>
      <c r="P37" s="160"/>
      <c r="Q37" s="160"/>
      <c r="R37" s="160"/>
      <c r="S37" s="1361"/>
      <c r="T37" s="1361"/>
      <c r="U37" s="160"/>
      <c r="V37" s="160"/>
      <c r="W37" s="160"/>
      <c r="X37" s="160"/>
      <c r="Y37" s="160"/>
      <c r="Z37" s="160"/>
      <c r="AA37" s="160"/>
      <c r="AB37" s="1361"/>
      <c r="AC37" s="1361"/>
      <c r="AD37" s="160"/>
      <c r="AE37" s="160"/>
      <c r="AF37" s="160"/>
      <c r="AG37" s="160"/>
      <c r="AH37" s="160"/>
      <c r="AI37" s="1361"/>
      <c r="AJ37" s="1361"/>
      <c r="AK37" s="160"/>
      <c r="AL37" s="160"/>
      <c r="AM37" s="160"/>
      <c r="AN37" s="160"/>
      <c r="AO37" s="160"/>
      <c r="AP37" s="9"/>
    </row>
    <row r="38" spans="1:42" ht="16.5" customHeight="1" x14ac:dyDescent="0.25">
      <c r="A38" s="377"/>
      <c r="B38" s="1361"/>
      <c r="C38" s="1361"/>
      <c r="D38" s="1361"/>
      <c r="E38" s="1361"/>
      <c r="F38" s="1361"/>
      <c r="G38" s="1361"/>
      <c r="H38" s="1361"/>
      <c r="I38" s="1361"/>
      <c r="J38" s="1361"/>
      <c r="K38" s="1361"/>
      <c r="L38" s="1361"/>
      <c r="M38" s="1361"/>
      <c r="N38" s="160"/>
      <c r="O38" s="160"/>
      <c r="P38" s="160"/>
      <c r="Q38" s="160"/>
      <c r="R38" s="160"/>
      <c r="S38" s="1361"/>
      <c r="T38" s="1361"/>
      <c r="U38" s="160"/>
      <c r="V38" s="160"/>
      <c r="W38" s="160"/>
      <c r="X38" s="160"/>
      <c r="Y38" s="160"/>
      <c r="Z38" s="160"/>
      <c r="AA38" s="160"/>
      <c r="AB38" s="1361"/>
      <c r="AC38" s="1361"/>
      <c r="AD38" s="160"/>
      <c r="AE38" s="160"/>
      <c r="AF38" s="160"/>
      <c r="AG38" s="160"/>
      <c r="AH38" s="160"/>
      <c r="AI38" s="1361"/>
      <c r="AJ38" s="1361"/>
      <c r="AK38" s="160"/>
      <c r="AL38" s="160"/>
      <c r="AM38" s="160"/>
      <c r="AN38" s="160"/>
      <c r="AO38" s="160"/>
      <c r="AP38" s="9"/>
    </row>
    <row r="39" spans="1:42" ht="16.5" customHeight="1" x14ac:dyDescent="0.25">
      <c r="A39" s="377"/>
      <c r="B39" s="1361"/>
      <c r="C39" s="1361"/>
      <c r="D39" s="1361"/>
      <c r="E39" s="1361"/>
      <c r="F39" s="1361"/>
      <c r="G39" s="1361"/>
      <c r="H39" s="1361"/>
      <c r="I39" s="1361"/>
      <c r="J39" s="1361"/>
      <c r="K39" s="1361"/>
      <c r="L39" s="1361"/>
      <c r="M39" s="1361"/>
      <c r="N39" s="160"/>
      <c r="O39" s="160"/>
      <c r="P39" s="160"/>
      <c r="Q39" s="160"/>
      <c r="R39" s="160"/>
      <c r="S39" s="1361"/>
      <c r="T39" s="1361"/>
      <c r="U39" s="160"/>
      <c r="V39" s="160"/>
      <c r="W39" s="160"/>
      <c r="X39" s="160"/>
      <c r="Y39" s="160"/>
      <c r="Z39" s="160"/>
      <c r="AA39" s="160"/>
      <c r="AB39" s="1361"/>
      <c r="AC39" s="1361"/>
      <c r="AD39" s="160"/>
      <c r="AE39" s="160"/>
      <c r="AF39" s="160"/>
      <c r="AG39" s="160"/>
      <c r="AH39" s="160"/>
      <c r="AI39" s="1361"/>
      <c r="AJ39" s="1361"/>
      <c r="AK39" s="160"/>
      <c r="AL39" s="160"/>
      <c r="AM39" s="160"/>
      <c r="AN39" s="160"/>
      <c r="AO39" s="160"/>
      <c r="AP39" s="9"/>
    </row>
    <row r="40" spans="1:42" ht="14.25" customHeight="1" x14ac:dyDescent="0.25">
      <c r="A40" s="377"/>
      <c r="B40" s="1383" t="s">
        <v>990</v>
      </c>
      <c r="C40" s="1360"/>
      <c r="D40" s="1360"/>
      <c r="E40" s="1360"/>
      <c r="F40" s="1360"/>
      <c r="G40" s="1360"/>
      <c r="H40" s="1360"/>
      <c r="I40" s="1360"/>
      <c r="J40" s="1360"/>
      <c r="K40" s="1360"/>
      <c r="L40" s="1360"/>
      <c r="M40" s="1360"/>
      <c r="N40" s="1360"/>
      <c r="O40" s="1360"/>
      <c r="P40" s="1360"/>
      <c r="Q40" s="1360"/>
      <c r="R40" s="1360"/>
      <c r="S40" s="1360"/>
      <c r="T40" s="1360"/>
      <c r="U40" s="1360"/>
      <c r="V40" s="1360"/>
      <c r="W40" s="1360"/>
      <c r="X40" s="1360"/>
      <c r="Y40" s="1360"/>
      <c r="Z40" s="1360"/>
      <c r="AA40" s="1360"/>
      <c r="AB40" s="1360"/>
      <c r="AC40" s="1360"/>
      <c r="AD40" s="1360"/>
      <c r="AE40" s="1360"/>
      <c r="AF40" s="1360"/>
      <c r="AG40" s="1360"/>
      <c r="AH40" s="1360"/>
      <c r="AI40" s="1360"/>
      <c r="AJ40" s="1360"/>
      <c r="AK40" s="1360"/>
      <c r="AL40" s="1360"/>
      <c r="AM40" s="1360"/>
      <c r="AN40" s="1360"/>
      <c r="AO40" s="1360"/>
      <c r="AP40" s="9"/>
    </row>
    <row r="41" spans="1:42" ht="16.5" customHeight="1" x14ac:dyDescent="0.25">
      <c r="A41" s="161"/>
      <c r="B41" s="1361"/>
      <c r="C41" s="1361"/>
      <c r="D41" s="1361"/>
      <c r="E41" s="1361"/>
      <c r="F41" s="1361"/>
      <c r="G41" s="1361"/>
      <c r="H41" s="1361"/>
      <c r="I41" s="1361"/>
      <c r="J41" s="1361"/>
      <c r="K41" s="1361"/>
      <c r="L41" s="1361"/>
      <c r="M41" s="1361"/>
      <c r="N41" s="160"/>
      <c r="O41" s="160"/>
      <c r="P41" s="160"/>
      <c r="Q41" s="160"/>
      <c r="R41" s="160"/>
      <c r="S41" s="1361"/>
      <c r="T41" s="1361"/>
      <c r="U41" s="160"/>
      <c r="V41" s="160"/>
      <c r="W41" s="160"/>
      <c r="X41" s="160"/>
      <c r="Y41" s="160"/>
      <c r="Z41" s="160"/>
      <c r="AA41" s="160"/>
      <c r="AB41" s="1361"/>
      <c r="AC41" s="1361"/>
      <c r="AD41" s="160"/>
      <c r="AE41" s="160"/>
      <c r="AF41" s="160"/>
      <c r="AG41" s="160"/>
      <c r="AH41" s="160"/>
      <c r="AI41" s="1361"/>
      <c r="AJ41" s="1361"/>
      <c r="AK41" s="160"/>
      <c r="AL41" s="160"/>
      <c r="AM41" s="160"/>
      <c r="AN41" s="160"/>
      <c r="AO41" s="160"/>
      <c r="AP41" s="9"/>
    </row>
    <row r="42" spans="1:42" ht="16.5" customHeight="1" x14ac:dyDescent="0.25">
      <c r="A42" s="377"/>
      <c r="B42" s="9"/>
      <c r="C42" s="9"/>
      <c r="D42" s="7"/>
      <c r="E42" s="1362"/>
      <c r="F42" s="9"/>
      <c r="G42" s="9"/>
      <c r="H42" s="9"/>
      <c r="I42" s="9"/>
      <c r="J42" s="9"/>
      <c r="K42" s="9"/>
      <c r="L42" s="9"/>
      <c r="M42" s="9"/>
      <c r="N42" s="9"/>
      <c r="O42" s="9"/>
      <c r="P42" s="377"/>
      <c r="Q42" s="377"/>
      <c r="R42" s="377"/>
      <c r="S42" s="9"/>
      <c r="T42" s="9"/>
      <c r="U42" s="9"/>
      <c r="V42" s="9"/>
      <c r="W42" s="377"/>
      <c r="X42" s="377"/>
      <c r="Y42" s="377"/>
      <c r="Z42" s="377"/>
      <c r="AA42" s="377"/>
      <c r="AB42" s="9"/>
      <c r="AC42" s="9"/>
      <c r="AD42" s="9"/>
      <c r="AE42" s="9"/>
      <c r="AF42" s="377"/>
      <c r="AG42" s="377"/>
      <c r="AH42" s="377"/>
      <c r="AI42" s="9"/>
      <c r="AJ42" s="9"/>
      <c r="AK42" s="9"/>
      <c r="AL42" s="9"/>
      <c r="AM42" s="377"/>
      <c r="AN42" s="377"/>
      <c r="AO42" s="377"/>
      <c r="AP42" s="9"/>
    </row>
    <row r="43" spans="1:42" ht="14.25" customHeight="1" x14ac:dyDescent="0.25">
      <c r="A43" s="377"/>
      <c r="B43" s="1361"/>
      <c r="C43" s="1361"/>
      <c r="D43" s="1361"/>
      <c r="E43" s="1361"/>
      <c r="F43" s="1361"/>
      <c r="G43" s="1361"/>
      <c r="H43" s="1361"/>
      <c r="I43" s="1361"/>
      <c r="J43" s="1361"/>
      <c r="K43" s="1361"/>
      <c r="L43" s="1361"/>
      <c r="M43" s="1361"/>
      <c r="N43" s="160"/>
      <c r="O43" s="160"/>
      <c r="P43" s="160"/>
      <c r="Q43" s="160"/>
      <c r="R43" s="160"/>
      <c r="S43" s="1361"/>
      <c r="T43" s="1361"/>
      <c r="U43" s="160"/>
      <c r="V43" s="160"/>
      <c r="W43" s="160"/>
      <c r="X43" s="160"/>
      <c r="Y43" s="160"/>
      <c r="Z43" s="160"/>
      <c r="AA43" s="160"/>
      <c r="AB43" s="1361"/>
      <c r="AC43" s="1361"/>
      <c r="AD43" s="160"/>
      <c r="AE43" s="160"/>
      <c r="AF43" s="160"/>
      <c r="AG43" s="160"/>
      <c r="AH43" s="160"/>
      <c r="AI43" s="1361"/>
      <c r="AJ43" s="1361"/>
      <c r="AK43" s="160"/>
      <c r="AL43" s="160"/>
      <c r="AM43" s="160"/>
      <c r="AN43" s="160"/>
      <c r="AO43" s="160"/>
      <c r="AP43" s="9"/>
    </row>
    <row r="44" spans="1:42" ht="16.5" customHeight="1" x14ac:dyDescent="0.25">
      <c r="A44" s="161"/>
      <c r="B44" s="1361"/>
      <c r="C44" s="1361"/>
      <c r="D44" s="1361"/>
      <c r="E44" s="1361"/>
      <c r="F44" s="1361"/>
      <c r="G44" s="1361"/>
      <c r="H44" s="1361"/>
      <c r="I44" s="1361"/>
      <c r="J44" s="1361"/>
      <c r="K44" s="1361"/>
      <c r="L44" s="1361"/>
      <c r="M44" s="1361"/>
      <c r="N44" s="160"/>
      <c r="O44" s="160"/>
      <c r="P44" s="160"/>
      <c r="Q44" s="160"/>
      <c r="R44" s="160"/>
      <c r="S44" s="1361"/>
      <c r="T44" s="1361"/>
      <c r="U44" s="160"/>
      <c r="V44" s="160"/>
      <c r="W44" s="160"/>
      <c r="X44" s="160"/>
      <c r="Y44" s="160"/>
      <c r="Z44" s="160"/>
      <c r="AA44" s="160"/>
      <c r="AB44" s="1361"/>
      <c r="AC44" s="1361"/>
      <c r="AD44" s="160"/>
      <c r="AE44" s="160"/>
      <c r="AF44" s="160"/>
      <c r="AG44" s="160"/>
      <c r="AH44" s="160"/>
      <c r="AI44" s="1361"/>
      <c r="AJ44" s="1361"/>
      <c r="AK44" s="160"/>
      <c r="AL44" s="160"/>
      <c r="AM44" s="160"/>
      <c r="AN44" s="160"/>
      <c r="AO44" s="160"/>
      <c r="AP44" s="9"/>
    </row>
    <row r="45" spans="1:42" ht="16.5" customHeight="1" x14ac:dyDescent="0.25">
      <c r="A45" s="377"/>
      <c r="B45" s="9"/>
      <c r="C45" s="9"/>
      <c r="D45" s="7"/>
      <c r="E45" s="1362"/>
      <c r="F45" s="9"/>
      <c r="G45" s="9"/>
      <c r="H45" s="9"/>
      <c r="I45" s="9"/>
      <c r="J45" s="9"/>
      <c r="K45" s="9"/>
      <c r="L45" s="9"/>
      <c r="M45" s="9"/>
      <c r="N45" s="9"/>
      <c r="O45" s="9"/>
      <c r="P45" s="377"/>
      <c r="Q45" s="377"/>
      <c r="R45" s="377"/>
      <c r="S45" s="9"/>
      <c r="T45" s="9"/>
      <c r="U45" s="9"/>
      <c r="V45" s="9"/>
      <c r="W45" s="377"/>
      <c r="X45" s="377"/>
      <c r="Y45" s="377"/>
      <c r="Z45" s="377"/>
      <c r="AA45" s="377"/>
      <c r="AB45" s="9"/>
      <c r="AC45" s="9"/>
      <c r="AD45" s="9"/>
      <c r="AE45" s="9"/>
      <c r="AF45" s="377"/>
      <c r="AG45" s="377"/>
      <c r="AH45" s="377"/>
      <c r="AI45" s="9"/>
      <c r="AJ45" s="9"/>
      <c r="AK45" s="9"/>
      <c r="AL45" s="9"/>
      <c r="AM45" s="377"/>
      <c r="AN45" s="377"/>
      <c r="AO45" s="377"/>
      <c r="AP45" s="9"/>
    </row>
    <row r="46" spans="1:42" ht="14.25" customHeight="1" x14ac:dyDescent="0.25">
      <c r="A46" s="377"/>
      <c r="B46" s="1361"/>
      <c r="C46" s="1361"/>
      <c r="D46" s="1361"/>
      <c r="E46" s="1361"/>
      <c r="F46" s="1361"/>
      <c r="G46" s="1361"/>
      <c r="H46" s="1361"/>
      <c r="I46" s="1361"/>
      <c r="J46" s="1361"/>
      <c r="K46" s="1361"/>
      <c r="L46" s="1361"/>
      <c r="M46" s="1361"/>
      <c r="N46" s="160"/>
      <c r="O46" s="160"/>
      <c r="P46" s="160"/>
      <c r="Q46" s="160"/>
      <c r="R46" s="160"/>
      <c r="S46" s="1361"/>
      <c r="T46" s="1361"/>
      <c r="U46" s="160"/>
      <c r="V46" s="160"/>
      <c r="W46" s="160"/>
      <c r="X46" s="160"/>
      <c r="Y46" s="160"/>
      <c r="Z46" s="160"/>
      <c r="AA46" s="160"/>
      <c r="AB46" s="1361"/>
      <c r="AC46" s="1361"/>
      <c r="AD46" s="160"/>
      <c r="AE46" s="160"/>
      <c r="AF46" s="160"/>
      <c r="AG46" s="160"/>
      <c r="AH46" s="160"/>
      <c r="AI46" s="1361"/>
      <c r="AJ46" s="1361"/>
      <c r="AK46" s="160"/>
      <c r="AL46" s="160"/>
      <c r="AM46" s="160"/>
      <c r="AN46" s="160"/>
      <c r="AO46" s="160"/>
      <c r="AP46" s="9"/>
    </row>
    <row r="47" spans="1:42" ht="14.25" customHeight="1" x14ac:dyDescent="0.25">
      <c r="A47" s="161"/>
      <c r="B47" s="1361"/>
      <c r="C47" s="1361"/>
      <c r="D47" s="1361"/>
      <c r="E47" s="1361"/>
      <c r="F47" s="1361"/>
      <c r="G47" s="1361"/>
      <c r="H47" s="1361"/>
      <c r="I47" s="1361"/>
      <c r="J47" s="1361"/>
      <c r="K47" s="1361"/>
      <c r="L47" s="1361"/>
      <c r="M47" s="1361"/>
      <c r="N47" s="160"/>
      <c r="O47" s="160"/>
      <c r="P47" s="160"/>
      <c r="Q47" s="160"/>
      <c r="R47" s="160"/>
      <c r="S47" s="1361"/>
      <c r="T47" s="1361"/>
      <c r="U47" s="160"/>
      <c r="V47" s="160"/>
      <c r="W47" s="160"/>
      <c r="X47" s="160"/>
      <c r="Y47" s="160"/>
      <c r="Z47" s="160"/>
      <c r="AA47" s="160"/>
      <c r="AB47" s="1361"/>
      <c r="AC47" s="1361"/>
      <c r="AD47" s="160"/>
      <c r="AE47" s="160"/>
      <c r="AF47" s="160"/>
      <c r="AG47" s="160"/>
      <c r="AH47" s="160"/>
      <c r="AI47" s="1361"/>
      <c r="AJ47" s="1361"/>
      <c r="AK47" s="160"/>
      <c r="AL47" s="160"/>
      <c r="AM47" s="160"/>
      <c r="AN47" s="160"/>
      <c r="AO47" s="160"/>
      <c r="AP47" s="9"/>
    </row>
    <row r="48" spans="1:42" ht="14.25" customHeight="1" x14ac:dyDescent="0.25">
      <c r="A48" s="377"/>
      <c r="B48" s="9"/>
      <c r="C48" s="9"/>
      <c r="D48" s="7"/>
      <c r="E48" s="1362"/>
      <c r="F48" s="9"/>
      <c r="G48" s="9"/>
      <c r="H48" s="9"/>
      <c r="I48" s="9"/>
      <c r="J48" s="9"/>
      <c r="K48" s="9"/>
      <c r="L48" s="9"/>
      <c r="M48" s="9"/>
      <c r="N48" s="9"/>
      <c r="O48" s="9"/>
      <c r="P48" s="377"/>
      <c r="Q48" s="377"/>
      <c r="R48" s="377"/>
      <c r="S48" s="9"/>
      <c r="T48" s="9"/>
      <c r="U48" s="9"/>
      <c r="V48" s="9"/>
      <c r="W48" s="377"/>
      <c r="X48" s="377"/>
      <c r="Y48" s="377"/>
      <c r="Z48" s="377"/>
      <c r="AA48" s="377"/>
      <c r="AB48" s="9"/>
      <c r="AC48" s="9"/>
      <c r="AD48" s="9"/>
      <c r="AE48" s="9"/>
      <c r="AF48" s="377"/>
      <c r="AG48" s="377"/>
      <c r="AH48" s="377"/>
      <c r="AI48" s="9"/>
      <c r="AJ48" s="9"/>
      <c r="AK48" s="9"/>
      <c r="AL48" s="9"/>
      <c r="AM48" s="377"/>
      <c r="AN48" s="377"/>
      <c r="AO48" s="377"/>
      <c r="AP48" s="9"/>
    </row>
    <row r="49" spans="1:80" ht="14.25" customHeight="1" x14ac:dyDescent="0.25">
      <c r="A49" s="377"/>
      <c r="B49" s="9"/>
      <c r="C49" s="9"/>
      <c r="D49" s="7"/>
      <c r="E49" s="1362"/>
      <c r="F49" s="9"/>
      <c r="G49" s="9"/>
      <c r="H49" s="9"/>
      <c r="I49" s="9"/>
      <c r="J49" s="9"/>
      <c r="K49" s="9"/>
      <c r="L49" s="9"/>
      <c r="M49" s="9"/>
      <c r="N49" s="9"/>
      <c r="O49" s="9"/>
      <c r="P49" s="377"/>
      <c r="Q49" s="377"/>
      <c r="R49" s="377"/>
      <c r="S49" s="9"/>
      <c r="T49" s="9"/>
      <c r="U49" s="9"/>
      <c r="V49" s="9"/>
      <c r="W49" s="377"/>
      <c r="X49" s="377"/>
      <c r="Y49" s="377"/>
      <c r="Z49" s="377"/>
      <c r="AA49" s="377"/>
      <c r="AB49" s="9"/>
      <c r="AC49" s="9"/>
      <c r="AD49" s="9"/>
      <c r="AE49" s="9"/>
      <c r="AF49" s="377"/>
      <c r="AG49" s="377"/>
      <c r="AH49" s="377"/>
      <c r="AI49" s="9"/>
      <c r="AJ49" s="9"/>
      <c r="AK49" s="9"/>
      <c r="AL49" s="9"/>
      <c r="AM49" s="377"/>
      <c r="AN49" s="377"/>
      <c r="AO49" s="377"/>
      <c r="AP49" s="9"/>
    </row>
    <row r="50" spans="1:80" ht="14.25" customHeight="1" x14ac:dyDescent="0.25">
      <c r="A50" s="377"/>
      <c r="B50" s="1383" t="s">
        <v>1040</v>
      </c>
      <c r="C50" s="1360"/>
      <c r="D50" s="1360"/>
      <c r="E50" s="1360"/>
      <c r="F50" s="1360"/>
      <c r="G50" s="1360"/>
      <c r="H50" s="1360"/>
      <c r="I50" s="1360"/>
      <c r="J50" s="1360"/>
      <c r="K50" s="1360"/>
      <c r="L50" s="1360"/>
      <c r="M50" s="1360"/>
      <c r="N50" s="1360"/>
      <c r="O50" s="1360"/>
      <c r="P50" s="1360"/>
      <c r="Q50" s="1360"/>
      <c r="R50" s="1360"/>
      <c r="S50" s="1360"/>
      <c r="T50" s="1360"/>
      <c r="U50" s="1360"/>
      <c r="V50" s="1360"/>
      <c r="W50" s="1360"/>
      <c r="X50" s="1360"/>
      <c r="Y50" s="1360"/>
      <c r="Z50" s="1360"/>
      <c r="AA50" s="1360"/>
      <c r="AB50" s="1360"/>
      <c r="AC50" s="1360"/>
      <c r="AD50" s="1360"/>
      <c r="AE50" s="1360"/>
      <c r="AF50" s="1360"/>
      <c r="AG50" s="1360"/>
      <c r="AH50" s="1360"/>
      <c r="AI50" s="1360"/>
      <c r="AJ50" s="1360"/>
      <c r="AK50" s="1360"/>
      <c r="AL50" s="1360"/>
      <c r="AM50" s="1360"/>
      <c r="AN50" s="1360"/>
      <c r="AO50" s="1360"/>
      <c r="AP50" s="9"/>
    </row>
    <row r="51" spans="1:80" ht="14.25" customHeight="1" x14ac:dyDescent="0.25">
      <c r="A51" s="377"/>
      <c r="B51" s="9"/>
      <c r="C51" s="9"/>
      <c r="D51" s="7"/>
      <c r="E51" s="1362"/>
      <c r="F51" s="9"/>
      <c r="G51" s="9"/>
      <c r="H51" s="9"/>
      <c r="I51" s="9"/>
      <c r="J51" s="9"/>
      <c r="K51" s="9"/>
      <c r="L51" s="9"/>
      <c r="M51" s="9"/>
      <c r="N51" s="9"/>
      <c r="O51" s="9"/>
      <c r="P51" s="377"/>
      <c r="Q51" s="377"/>
      <c r="R51" s="377"/>
      <c r="S51" s="9"/>
      <c r="T51" s="9"/>
      <c r="U51" s="9"/>
      <c r="V51" s="9"/>
      <c r="W51" s="377"/>
      <c r="X51" s="377"/>
      <c r="Y51" s="377"/>
      <c r="Z51" s="377"/>
      <c r="AA51" s="377"/>
      <c r="AB51" s="9"/>
      <c r="AC51" s="9"/>
      <c r="AD51" s="9"/>
      <c r="AE51" s="9"/>
      <c r="AF51" s="377"/>
      <c r="AG51" s="377"/>
      <c r="AH51" s="377"/>
      <c r="AI51" s="9"/>
      <c r="AJ51" s="9"/>
      <c r="AK51" s="9"/>
      <c r="AL51" s="9"/>
      <c r="AM51" s="377"/>
      <c r="AN51" s="377"/>
      <c r="AO51" s="377"/>
      <c r="AP51" s="9"/>
    </row>
    <row r="52" spans="1:80" ht="14.25" customHeight="1" x14ac:dyDescent="0.25">
      <c r="A52" s="1409"/>
      <c r="B52" s="1412">
        <v>1</v>
      </c>
      <c r="C52" s="9"/>
      <c r="D52" s="168" t="str">
        <f>HIDE3!G36</f>
        <v>Electrical Utilities</v>
      </c>
      <c r="E52" s="168"/>
      <c r="F52" s="168"/>
      <c r="G52" s="1411"/>
      <c r="H52" s="168"/>
      <c r="I52" s="168"/>
      <c r="J52" s="168"/>
      <c r="K52" s="168"/>
      <c r="L52" s="2657">
        <f>HIDE3!H36</f>
        <v>0</v>
      </c>
      <c r="M52" s="2657"/>
      <c r="N52" s="2657"/>
      <c r="O52" s="2657"/>
      <c r="P52" s="2657"/>
      <c r="Q52" s="2657"/>
      <c r="R52" s="2657"/>
      <c r="S52" s="2657"/>
      <c r="T52" s="168"/>
      <c r="U52" s="168"/>
      <c r="V52" s="1412">
        <f>B61+1</f>
        <v>11</v>
      </c>
      <c r="W52" s="377"/>
      <c r="X52" s="168" t="str">
        <f>HIDE3!G46</f>
        <v xml:space="preserve">Property Management </v>
      </c>
      <c r="Y52" s="168"/>
      <c r="Z52" s="168"/>
      <c r="AA52" s="168"/>
      <c r="AB52" s="168"/>
      <c r="AC52" s="168"/>
      <c r="AD52" s="168"/>
      <c r="AE52" s="168"/>
      <c r="AF52" s="2657">
        <f>HIDE3!H45</f>
        <v>0</v>
      </c>
      <c r="AG52" s="2657"/>
      <c r="AH52" s="2657"/>
      <c r="AI52" s="2657"/>
      <c r="AJ52" s="2657"/>
      <c r="AK52" s="2657"/>
      <c r="AL52" s="2657"/>
      <c r="AM52" s="2657"/>
      <c r="AN52" s="168"/>
      <c r="AO52" s="168"/>
      <c r="AP52" s="168"/>
    </row>
    <row r="53" spans="1:80" ht="14.25" customHeight="1" x14ac:dyDescent="0.25">
      <c r="A53" s="1409"/>
      <c r="B53" s="1412">
        <f>B52+1</f>
        <v>2</v>
      </c>
      <c r="C53" s="9"/>
      <c r="D53" s="168" t="str">
        <f>HIDE3!G37</f>
        <v>Gas Utilities</v>
      </c>
      <c r="E53" s="168"/>
      <c r="F53" s="168"/>
      <c r="G53" s="1411"/>
      <c r="H53" s="168"/>
      <c r="I53" s="168"/>
      <c r="J53" s="168"/>
      <c r="K53" s="168"/>
      <c r="L53" s="2657">
        <f>HIDE3!H37</f>
        <v>0</v>
      </c>
      <c r="M53" s="2657"/>
      <c r="N53" s="2657"/>
      <c r="O53" s="2657"/>
      <c r="P53" s="2657"/>
      <c r="Q53" s="2657"/>
      <c r="R53" s="2657"/>
      <c r="S53" s="2657"/>
      <c r="T53" s="168"/>
      <c r="U53" s="168"/>
      <c r="V53" s="1412">
        <f>V52+1</f>
        <v>12</v>
      </c>
      <c r="W53" s="377"/>
      <c r="X53" s="168" t="str">
        <f>HIDE3!G47</f>
        <v>Vacancy Insurance</v>
      </c>
      <c r="Y53" s="168"/>
      <c r="Z53" s="168"/>
      <c r="AA53" s="168"/>
      <c r="AB53" s="168"/>
      <c r="AC53" s="168"/>
      <c r="AD53" s="168"/>
      <c r="AE53" s="168"/>
      <c r="AF53" s="2657">
        <f>HIDE3!H46</f>
        <v>0</v>
      </c>
      <c r="AG53" s="2657"/>
      <c r="AH53" s="2657"/>
      <c r="AI53" s="2657"/>
      <c r="AJ53" s="2657"/>
      <c r="AK53" s="2657"/>
      <c r="AL53" s="2657"/>
      <c r="AM53" s="2657"/>
      <c r="AN53" s="168"/>
      <c r="AO53" s="168"/>
      <c r="AP53" s="168"/>
    </row>
    <row r="54" spans="1:80" ht="14.25" customHeight="1" x14ac:dyDescent="0.25">
      <c r="A54" s="1409"/>
      <c r="B54" s="1412">
        <f t="shared" ref="B54:B61" si="0">B53+1</f>
        <v>3</v>
      </c>
      <c r="C54" s="9"/>
      <c r="D54" s="168" t="str">
        <f>HIDE3!G38</f>
        <v>Water Utilities</v>
      </c>
      <c r="E54" s="168"/>
      <c r="F54" s="168"/>
      <c r="G54" s="1411"/>
      <c r="H54" s="168"/>
      <c r="I54" s="168"/>
      <c r="J54" s="168"/>
      <c r="K54" s="168"/>
      <c r="L54" s="2657">
        <f>HIDE3!H38</f>
        <v>0</v>
      </c>
      <c r="M54" s="2657"/>
      <c r="N54" s="2657"/>
      <c r="O54" s="2657"/>
      <c r="P54" s="2657"/>
      <c r="Q54" s="2657"/>
      <c r="R54" s="2657"/>
      <c r="S54" s="2657"/>
      <c r="T54" s="168"/>
      <c r="U54" s="168"/>
      <c r="V54" s="1412">
        <f t="shared" ref="V54:V61" si="1">V53+1</f>
        <v>13</v>
      </c>
      <c r="W54" s="377"/>
      <c r="X54" s="168" t="str">
        <f>HIDE3!G48</f>
        <v>Rent Insurance</v>
      </c>
      <c r="Y54" s="168"/>
      <c r="Z54" s="168"/>
      <c r="AA54" s="168"/>
      <c r="AB54" s="168"/>
      <c r="AC54" s="168"/>
      <c r="AD54" s="168"/>
      <c r="AE54" s="168"/>
      <c r="AF54" s="2657">
        <f>HIDE3!H47</f>
        <v>0</v>
      </c>
      <c r="AG54" s="2657"/>
      <c r="AH54" s="2657"/>
      <c r="AI54" s="2657"/>
      <c r="AJ54" s="2657"/>
      <c r="AK54" s="2657"/>
      <c r="AL54" s="2657"/>
      <c r="AM54" s="2657"/>
      <c r="AN54" s="168"/>
      <c r="AO54" s="168"/>
      <c r="AP54" s="168"/>
    </row>
    <row r="55" spans="1:80" ht="14.25" customHeight="1" x14ac:dyDescent="0.25">
      <c r="A55" s="1409"/>
      <c r="B55" s="1412">
        <f t="shared" si="0"/>
        <v>4</v>
      </c>
      <c r="C55" s="9"/>
      <c r="D55" s="168" t="str">
        <f>HIDE3!G39</f>
        <v>Phone</v>
      </c>
      <c r="E55" s="168"/>
      <c r="F55" s="168"/>
      <c r="G55" s="1411"/>
      <c r="H55" s="168"/>
      <c r="I55" s="168"/>
      <c r="J55" s="168"/>
      <c r="K55" s="168"/>
      <c r="L55" s="2657">
        <f>HIDE3!H39</f>
        <v>0</v>
      </c>
      <c r="M55" s="2657"/>
      <c r="N55" s="2657"/>
      <c r="O55" s="2657"/>
      <c r="P55" s="2657"/>
      <c r="Q55" s="2657"/>
      <c r="R55" s="2657"/>
      <c r="S55" s="2657"/>
      <c r="T55" s="168"/>
      <c r="U55" s="168"/>
      <c r="V55" s="1412">
        <f t="shared" si="1"/>
        <v>14</v>
      </c>
      <c r="W55" s="377"/>
      <c r="X55" s="168" t="str">
        <f>HIDE3!G49</f>
        <v>Legal</v>
      </c>
      <c r="Y55" s="168"/>
      <c r="Z55" s="168"/>
      <c r="AA55" s="168"/>
      <c r="AB55" s="168"/>
      <c r="AC55" s="168"/>
      <c r="AD55" s="168"/>
      <c r="AE55" s="168"/>
      <c r="AF55" s="2657">
        <f>HIDE3!H48</f>
        <v>0</v>
      </c>
      <c r="AG55" s="2657"/>
      <c r="AH55" s="2657"/>
      <c r="AI55" s="2657"/>
      <c r="AJ55" s="2657"/>
      <c r="AK55" s="2657"/>
      <c r="AL55" s="2657"/>
      <c r="AM55" s="2657"/>
      <c r="AN55" s="168"/>
      <c r="AO55" s="168"/>
      <c r="AP55" s="168"/>
    </row>
    <row r="56" spans="1:80" ht="14.25" customHeight="1" x14ac:dyDescent="0.25">
      <c r="A56" s="1409"/>
      <c r="B56" s="1412">
        <f t="shared" si="0"/>
        <v>5</v>
      </c>
      <c r="C56" s="9"/>
      <c r="D56" s="168" t="str">
        <f>HIDE3!G40</f>
        <v>Internet</v>
      </c>
      <c r="E56" s="168"/>
      <c r="F56" s="168"/>
      <c r="G56" s="1411"/>
      <c r="H56" s="168"/>
      <c r="I56" s="168"/>
      <c r="J56" s="168"/>
      <c r="K56" s="168"/>
      <c r="L56" s="2657">
        <f>HIDE3!H40</f>
        <v>0</v>
      </c>
      <c r="M56" s="2657"/>
      <c r="N56" s="2657"/>
      <c r="O56" s="2657"/>
      <c r="P56" s="2657"/>
      <c r="Q56" s="2657"/>
      <c r="R56" s="2657"/>
      <c r="S56" s="2657"/>
      <c r="T56" s="168"/>
      <c r="U56" s="168"/>
      <c r="V56" s="1412">
        <f t="shared" si="1"/>
        <v>15</v>
      </c>
      <c r="W56" s="377"/>
      <c r="X56" s="168" t="str">
        <f>HIDE3!G50</f>
        <v>Advertising</v>
      </c>
      <c r="Y56" s="168"/>
      <c r="Z56" s="168"/>
      <c r="AA56" s="168"/>
      <c r="AB56" s="168"/>
      <c r="AC56" s="168"/>
      <c r="AD56" s="168"/>
      <c r="AE56" s="168"/>
      <c r="AF56" s="2657">
        <f>HIDE3!H49</f>
        <v>0</v>
      </c>
      <c r="AG56" s="2657"/>
      <c r="AH56" s="2657"/>
      <c r="AI56" s="2657"/>
      <c r="AJ56" s="2657"/>
      <c r="AK56" s="2657"/>
      <c r="AL56" s="2657"/>
      <c r="AM56" s="2657"/>
      <c r="AN56" s="168"/>
      <c r="AO56" s="168"/>
      <c r="AP56" s="168"/>
    </row>
    <row r="57" spans="1:80" ht="14.25" customHeight="1" x14ac:dyDescent="0.25">
      <c r="A57" s="1409"/>
      <c r="B57" s="1412">
        <f t="shared" si="0"/>
        <v>6</v>
      </c>
      <c r="C57" s="9"/>
      <c r="D57" s="168" t="str">
        <f>HIDE3!G41</f>
        <v>Property Insurance + Tax</v>
      </c>
      <c r="E57" s="168"/>
      <c r="F57" s="168"/>
      <c r="G57" s="1411"/>
      <c r="H57" s="168"/>
      <c r="I57" s="168"/>
      <c r="J57" s="168"/>
      <c r="K57" s="168"/>
      <c r="L57" s="2657">
        <f>HIDE3!H41</f>
        <v>0</v>
      </c>
      <c r="M57" s="2657"/>
      <c r="N57" s="2657"/>
      <c r="O57" s="2657"/>
      <c r="P57" s="2657"/>
      <c r="Q57" s="2657"/>
      <c r="R57" s="2657"/>
      <c r="S57" s="2657"/>
      <c r="T57" s="168"/>
      <c r="U57" s="168"/>
      <c r="V57" s="1412">
        <f t="shared" si="1"/>
        <v>16</v>
      </c>
      <c r="W57" s="377"/>
      <c r="X57" s="168" t="str">
        <f>HIDE3!G51</f>
        <v>Other Cost 1</v>
      </c>
      <c r="Y57" s="168"/>
      <c r="Z57" s="168"/>
      <c r="AA57" s="168"/>
      <c r="AB57" s="168"/>
      <c r="AC57" s="168"/>
      <c r="AD57" s="168"/>
      <c r="AE57" s="168"/>
      <c r="AF57" s="2657">
        <f>HIDE3!H50</f>
        <v>0</v>
      </c>
      <c r="AG57" s="2657"/>
      <c r="AH57" s="2657"/>
      <c r="AI57" s="2657"/>
      <c r="AJ57" s="2657"/>
      <c r="AK57" s="2657"/>
      <c r="AL57" s="2657"/>
      <c r="AM57" s="2657"/>
      <c r="AN57" s="168"/>
      <c r="AO57" s="168"/>
      <c r="AP57" s="168"/>
    </row>
    <row r="58" spans="1:80" ht="14.25" customHeight="1" x14ac:dyDescent="0.25">
      <c r="A58" s="1409"/>
      <c r="B58" s="1412">
        <f t="shared" si="0"/>
        <v>7</v>
      </c>
      <c r="C58" s="9"/>
      <c r="D58" s="168" t="str">
        <f>HIDE3!G42</f>
        <v>Irrigation</v>
      </c>
      <c r="E58" s="168"/>
      <c r="F58" s="168"/>
      <c r="G58" s="1411"/>
      <c r="H58" s="168"/>
      <c r="I58" s="168"/>
      <c r="J58" s="168"/>
      <c r="K58" s="168"/>
      <c r="L58" s="2657">
        <f>HIDE3!H42</f>
        <v>0</v>
      </c>
      <c r="M58" s="2657"/>
      <c r="N58" s="2657"/>
      <c r="O58" s="2657"/>
      <c r="P58" s="2657"/>
      <c r="Q58" s="2657"/>
      <c r="R58" s="2657"/>
      <c r="S58" s="2657"/>
      <c r="T58" s="168"/>
      <c r="U58" s="168"/>
      <c r="V58" s="1412">
        <f t="shared" si="1"/>
        <v>17</v>
      </c>
      <c r="W58" s="377"/>
      <c r="X58" s="168" t="str">
        <f>HIDE3!G52</f>
        <v>Other Cost 2</v>
      </c>
      <c r="Y58" s="168"/>
      <c r="Z58" s="168"/>
      <c r="AA58" s="168"/>
      <c r="AB58" s="168"/>
      <c r="AC58" s="168"/>
      <c r="AD58" s="168"/>
      <c r="AE58" s="168"/>
      <c r="AF58" s="2657">
        <f>HIDE3!H51</f>
        <v>0</v>
      </c>
      <c r="AG58" s="2657"/>
      <c r="AH58" s="2657"/>
      <c r="AI58" s="2657"/>
      <c r="AJ58" s="2657"/>
      <c r="AK58" s="2657"/>
      <c r="AL58" s="2657"/>
      <c r="AM58" s="2657"/>
      <c r="AN58" s="168"/>
      <c r="AO58" s="168"/>
      <c r="AP58" s="168"/>
    </row>
    <row r="59" spans="1:80" ht="14.25" customHeight="1" x14ac:dyDescent="0.25">
      <c r="A59" s="1409"/>
      <c r="B59" s="1412">
        <f t="shared" si="0"/>
        <v>8</v>
      </c>
      <c r="C59" s="9"/>
      <c r="D59" s="168" t="str">
        <f>HIDE3!G43</f>
        <v>Security</v>
      </c>
      <c r="E59" s="168"/>
      <c r="F59" s="168"/>
      <c r="G59" s="1411"/>
      <c r="H59" s="168"/>
      <c r="I59" s="168"/>
      <c r="J59" s="168"/>
      <c r="K59" s="168"/>
      <c r="L59" s="2657">
        <f>HIDE3!H43</f>
        <v>0</v>
      </c>
      <c r="M59" s="2657"/>
      <c r="N59" s="2657"/>
      <c r="O59" s="2657"/>
      <c r="P59" s="2657"/>
      <c r="Q59" s="2657"/>
      <c r="R59" s="2657"/>
      <c r="S59" s="2657"/>
      <c r="T59" s="168"/>
      <c r="U59" s="168"/>
      <c r="V59" s="1412">
        <f t="shared" si="1"/>
        <v>18</v>
      </c>
      <c r="W59" s="377"/>
      <c r="X59" s="168" t="str">
        <f>HIDE3!G53</f>
        <v>Miscellaneous (Variable)</v>
      </c>
      <c r="Y59" s="168"/>
      <c r="Z59" s="168"/>
      <c r="AA59" s="168"/>
      <c r="AB59" s="168"/>
      <c r="AC59" s="168"/>
      <c r="AD59" s="168"/>
      <c r="AE59" s="168"/>
      <c r="AF59" s="2657">
        <f>HIDE3!H52</f>
        <v>0</v>
      </c>
      <c r="AG59" s="2657"/>
      <c r="AH59" s="2657"/>
      <c r="AI59" s="2657"/>
      <c r="AJ59" s="2657"/>
      <c r="AK59" s="2657"/>
      <c r="AL59" s="2657"/>
      <c r="AM59" s="2657"/>
      <c r="AN59" s="168"/>
      <c r="AO59" s="168"/>
      <c r="AP59" s="168"/>
    </row>
    <row r="60" spans="1:80" ht="14.25" customHeight="1" x14ac:dyDescent="0.25">
      <c r="A60" s="1409"/>
      <c r="B60" s="1412">
        <f t="shared" si="0"/>
        <v>9</v>
      </c>
      <c r="C60" s="9"/>
      <c r="D60" s="168" t="str">
        <f>HIDE3!G44</f>
        <v>Accounting</v>
      </c>
      <c r="E60" s="168"/>
      <c r="F60" s="168"/>
      <c r="G60" s="1411"/>
      <c r="H60" s="168"/>
      <c r="I60" s="168"/>
      <c r="J60" s="168"/>
      <c r="K60" s="168"/>
      <c r="L60" s="2657">
        <f>HIDE3!H44</f>
        <v>0</v>
      </c>
      <c r="M60" s="2657"/>
      <c r="N60" s="2657"/>
      <c r="O60" s="2657"/>
      <c r="P60" s="2657"/>
      <c r="Q60" s="2657"/>
      <c r="R60" s="2657"/>
      <c r="S60" s="2657"/>
      <c r="T60" s="168"/>
      <c r="U60" s="168"/>
      <c r="V60" s="1412">
        <f t="shared" si="1"/>
        <v>19</v>
      </c>
      <c r="W60" s="377"/>
      <c r="X60" s="168" t="str">
        <f>HIDE3!G54</f>
        <v>Custom Op. Expense 1</v>
      </c>
      <c r="Y60" s="168"/>
      <c r="Z60" s="168"/>
      <c r="AA60" s="168"/>
      <c r="AB60" s="168"/>
      <c r="AC60" s="168"/>
      <c r="AD60" s="168"/>
      <c r="AE60" s="168"/>
      <c r="AF60" s="2657">
        <f>HIDE3!H53</f>
        <v>0</v>
      </c>
      <c r="AG60" s="2657"/>
      <c r="AH60" s="2657"/>
      <c r="AI60" s="2657"/>
      <c r="AJ60" s="2657"/>
      <c r="AK60" s="2657"/>
      <c r="AL60" s="2657"/>
      <c r="AM60" s="2657"/>
      <c r="AN60" s="168"/>
      <c r="AO60" s="168"/>
      <c r="AP60" s="168"/>
    </row>
    <row r="61" spans="1:80" ht="14.25" customHeight="1" x14ac:dyDescent="0.25">
      <c r="A61" s="1409"/>
      <c r="B61" s="1412">
        <f t="shared" si="0"/>
        <v>10</v>
      </c>
      <c r="C61" s="9"/>
      <c r="D61" s="168" t="str">
        <f>HIDE3!G45</f>
        <v>Repairs &amp; Maintenance</v>
      </c>
      <c r="E61" s="168"/>
      <c r="F61" s="168"/>
      <c r="G61" s="1411"/>
      <c r="H61" s="168"/>
      <c r="I61" s="168"/>
      <c r="J61" s="168"/>
      <c r="K61" s="168"/>
      <c r="L61" s="2657">
        <f>HIDE3!H45</f>
        <v>0</v>
      </c>
      <c r="M61" s="2657"/>
      <c r="N61" s="2657"/>
      <c r="O61" s="2657"/>
      <c r="P61" s="2657"/>
      <c r="Q61" s="2657"/>
      <c r="R61" s="2657"/>
      <c r="S61" s="2657"/>
      <c r="T61" s="168"/>
      <c r="U61" s="168"/>
      <c r="V61" s="1412">
        <f t="shared" si="1"/>
        <v>20</v>
      </c>
      <c r="W61" s="377"/>
      <c r="X61" s="168" t="str">
        <f>HIDE3!G55</f>
        <v>Custom Op. Expense 2</v>
      </c>
      <c r="Y61" s="168"/>
      <c r="Z61" s="168"/>
      <c r="AA61" s="168"/>
      <c r="AB61" s="168"/>
      <c r="AC61" s="168"/>
      <c r="AD61" s="168"/>
      <c r="AE61" s="168"/>
      <c r="AF61" s="2657">
        <f>HIDE3!H54</f>
        <v>0</v>
      </c>
      <c r="AG61" s="2657"/>
      <c r="AH61" s="2657"/>
      <c r="AI61" s="2657"/>
      <c r="AJ61" s="2657"/>
      <c r="AK61" s="2657"/>
      <c r="AL61" s="2657"/>
      <c r="AM61" s="2657"/>
      <c r="AN61" s="168"/>
      <c r="AO61" s="168"/>
      <c r="AP61" s="168"/>
    </row>
    <row r="62" spans="1:80" s="353" customFormat="1" ht="15" customHeight="1" x14ac:dyDescent="0.25">
      <c r="A62" s="1409"/>
      <c r="B62" s="168"/>
      <c r="C62" s="168"/>
      <c r="D62" s="168"/>
      <c r="E62" s="1411"/>
      <c r="F62" s="168"/>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9"/>
      <c r="AQ62" s="331"/>
      <c r="AR62" s="331"/>
      <c r="AS62" s="331"/>
      <c r="AT62" s="331"/>
      <c r="AU62" s="331"/>
      <c r="AV62" s="331"/>
      <c r="AW62" s="331"/>
      <c r="AX62" s="331"/>
      <c r="AY62" s="331"/>
      <c r="AZ62" s="331"/>
      <c r="BA62" s="331"/>
      <c r="BB62" s="331"/>
      <c r="BC62" s="331"/>
      <c r="BD62" s="331"/>
      <c r="BE62" s="331"/>
      <c r="BF62" s="331"/>
      <c r="BG62" s="331"/>
      <c r="BH62" s="331"/>
      <c r="BI62" s="331"/>
      <c r="BJ62" s="331"/>
      <c r="BK62" s="331"/>
      <c r="BL62" s="331"/>
      <c r="BM62" s="331"/>
      <c r="BN62" s="331"/>
      <c r="BO62" s="331"/>
      <c r="BP62" s="331"/>
      <c r="BQ62" s="331"/>
      <c r="BR62" s="331"/>
      <c r="BS62" s="331"/>
      <c r="BT62" s="331"/>
      <c r="BU62" s="331"/>
      <c r="BV62" s="331"/>
      <c r="BW62" s="331"/>
      <c r="BX62" s="331"/>
      <c r="BY62" s="331"/>
      <c r="BZ62" s="331"/>
      <c r="CA62" s="331"/>
      <c r="CB62" s="331"/>
    </row>
    <row r="63" spans="1:80" ht="15" customHeight="1" x14ac:dyDescent="0.25">
      <c r="A63" s="1409"/>
      <c r="B63" s="1409"/>
      <c r="C63" s="1409"/>
      <c r="D63" s="1409"/>
      <c r="E63" s="1410"/>
      <c r="F63" s="1409"/>
      <c r="G63" s="1409"/>
      <c r="H63" s="1409"/>
      <c r="I63" s="1409"/>
      <c r="J63" s="1409"/>
      <c r="K63" s="1409"/>
      <c r="L63" s="1409"/>
      <c r="M63" s="1409"/>
      <c r="N63" s="1409"/>
      <c r="O63" s="1409"/>
      <c r="P63" s="1409"/>
      <c r="Q63" s="1409"/>
      <c r="R63" s="1409"/>
      <c r="S63" s="1409"/>
      <c r="T63" s="1409"/>
      <c r="U63" s="1409"/>
      <c r="V63" s="1409"/>
      <c r="W63" s="1409"/>
      <c r="X63" s="1409"/>
      <c r="Y63" s="1409"/>
      <c r="Z63" s="1409"/>
      <c r="AA63" s="1409"/>
      <c r="AB63" s="1409"/>
      <c r="AC63" s="1409"/>
      <c r="AD63" s="1409"/>
      <c r="AE63" s="1409"/>
      <c r="AF63" s="1409"/>
      <c r="AG63" s="1409"/>
      <c r="AH63" s="1409"/>
      <c r="AI63" s="1409"/>
      <c r="AJ63" s="1409"/>
      <c r="AK63" s="1409"/>
      <c r="AL63" s="1409"/>
      <c r="AM63" s="1409"/>
      <c r="AN63" s="1409"/>
      <c r="AO63" s="1409"/>
      <c r="AP63" s="9"/>
      <c r="BT63" s="353"/>
      <c r="BU63" s="353"/>
      <c r="BV63" s="353"/>
      <c r="BW63" s="353"/>
      <c r="BX63" s="353"/>
      <c r="BY63" s="353"/>
      <c r="BZ63" s="353"/>
      <c r="CA63" s="353"/>
      <c r="CB63" s="353"/>
    </row>
    <row r="64" spans="1:80" ht="15" customHeight="1" x14ac:dyDescent="0.25">
      <c r="A64" s="173" t="str">
        <f>DISCLAIMER!$A$35</f>
        <v>© 2025 by WinsWithMike.com or Michael Forsberg Nampa, Idaho. All rights reserved</v>
      </c>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353"/>
      <c r="AR64" s="353"/>
      <c r="AS64" s="353"/>
      <c r="AT64" s="353"/>
      <c r="AU64" s="353"/>
      <c r="AV64" s="353"/>
      <c r="AW64" s="353"/>
      <c r="AX64" s="353"/>
      <c r="AY64" s="353"/>
      <c r="AZ64" s="353"/>
      <c r="BA64" s="353"/>
      <c r="BB64" s="353"/>
      <c r="BC64" s="353"/>
      <c r="BD64" s="353"/>
      <c r="BE64" s="353"/>
      <c r="BF64" s="353"/>
      <c r="BG64" s="353"/>
      <c r="BH64" s="353"/>
      <c r="BI64" s="353"/>
      <c r="BJ64" s="353"/>
      <c r="BK64" s="353"/>
      <c r="BL64" s="353"/>
      <c r="BM64" s="353"/>
      <c r="BN64" s="353"/>
      <c r="BO64" s="353"/>
      <c r="BP64" s="353"/>
      <c r="BQ64" s="353"/>
      <c r="BR64" s="353"/>
      <c r="BS64" s="353"/>
    </row>
  </sheetData>
  <sheetProtection sheet="1" objects="1" scenarios="1" selectLockedCells="1"/>
  <mergeCells count="44">
    <mergeCell ref="Z4:AC4"/>
    <mergeCell ref="AD4:AG4"/>
    <mergeCell ref="AH4:AK4"/>
    <mergeCell ref="F4:I4"/>
    <mergeCell ref="J4:M4"/>
    <mergeCell ref="N4:Q4"/>
    <mergeCell ref="R4:U4"/>
    <mergeCell ref="V4:Y4"/>
    <mergeCell ref="B11:I11"/>
    <mergeCell ref="J11:Q11"/>
    <mergeCell ref="R11:Y11"/>
    <mergeCell ref="AH11:AO11"/>
    <mergeCell ref="Z11:AG11"/>
    <mergeCell ref="B12:I12"/>
    <mergeCell ref="J12:Q12"/>
    <mergeCell ref="R12:Y12"/>
    <mergeCell ref="AH12:AO12"/>
    <mergeCell ref="Z12:AG12"/>
    <mergeCell ref="L52:S52"/>
    <mergeCell ref="L53:S53"/>
    <mergeCell ref="L54:S54"/>
    <mergeCell ref="L55:S55"/>
    <mergeCell ref="AR6:AT6"/>
    <mergeCell ref="J13:Q13"/>
    <mergeCell ref="R13:Y13"/>
    <mergeCell ref="Z13:AG13"/>
    <mergeCell ref="AH13:AO13"/>
    <mergeCell ref="AK6:AO6"/>
    <mergeCell ref="L61:S61"/>
    <mergeCell ref="AF52:AM52"/>
    <mergeCell ref="AF53:AM53"/>
    <mergeCell ref="AF54:AM54"/>
    <mergeCell ref="AF55:AM55"/>
    <mergeCell ref="AF56:AM56"/>
    <mergeCell ref="AF57:AM57"/>
    <mergeCell ref="AF58:AM58"/>
    <mergeCell ref="AF59:AM59"/>
    <mergeCell ref="AF60:AM60"/>
    <mergeCell ref="AF61:AM61"/>
    <mergeCell ref="L56:S56"/>
    <mergeCell ref="L57:S57"/>
    <mergeCell ref="L58:S58"/>
    <mergeCell ref="L59:S59"/>
    <mergeCell ref="L60:S60"/>
  </mergeCells>
  <conditionalFormatting sqref="D52:S61">
    <cfRule type="expression" dxfId="16" priority="2157">
      <formula>$L52=0</formula>
    </cfRule>
  </conditionalFormatting>
  <conditionalFormatting sqref="L52:S61 AF52:AM61">
    <cfRule type="dataBar" priority="8">
      <dataBar>
        <cfvo type="min"/>
        <cfvo type="max"/>
        <color theme="7" tint="0.79998168889431442"/>
      </dataBar>
      <extLst>
        <ext xmlns:x14="http://schemas.microsoft.com/office/spreadsheetml/2009/9/main" uri="{B025F937-C7B1-47D3-B67F-A62EFF666E3E}">
          <x14:id>{C77E4158-8048-488B-BF86-E06D20CFD177}</x14:id>
        </ext>
      </extLst>
    </cfRule>
  </conditionalFormatting>
  <conditionalFormatting sqref="X52:AM61">
    <cfRule type="expression" dxfId="15" priority="2159">
      <formula>$AF52=0</formula>
    </cfRule>
  </conditionalFormatting>
  <conditionalFormatting sqref="AH12:AO12">
    <cfRule type="cellIs" dxfId="14" priority="10" operator="lessThan">
      <formula>0</formula>
    </cfRule>
    <cfRule type="cellIs" dxfId="13" priority="11" operator="greaterThan">
      <formula>0</formula>
    </cfRule>
  </conditionalFormatting>
  <hyperlinks>
    <hyperlink ref="F4:I4" location="'SUMMARY (R)'!A1" display="Summary" xr:uid="{AB11AF5B-DCF7-46C7-81C1-F41A6F3FEE1D}"/>
    <hyperlink ref="J4:M4" location="'MONTHLY (R)'!A1" display="Monthly" xr:uid="{9600D0E3-5E25-4B77-A6EA-566A8DD85FC2}"/>
    <hyperlink ref="N4:Q4" location="'YTD (R)'!A1" display="Year To Date" xr:uid="{B749D30A-8226-4536-AE4D-25CC592ED535}"/>
    <hyperlink ref="R4:U4" location="'VERSUS (R)'!A1" display="Versus" xr:uid="{5E9016D3-983C-44F9-8EB9-00B0B4088349}"/>
    <hyperlink ref="V4:Y4" location="'AMORTIZATION (R)'!A1" display="Amortization" xr:uid="{C0085874-C1D3-4C28-A65A-0374702D181A}"/>
    <hyperlink ref="Z4:AC4" location="'FINANCING (R)'!A1" display="Financing" xr:uid="{69D2D246-03DA-496A-8085-FA94F2ADA9A0}"/>
    <hyperlink ref="AD4:AG4" location="'EXPENSES (R)'!A1" display="Expenses" xr:uid="{52A332F3-66D6-407D-9FFC-2657448C6818}"/>
    <hyperlink ref="AH4:AK4" location="'FORECASTS (R)'!A1" display="Forecasts" xr:uid="{DE7853C9-45AC-464F-97D8-7D735FCC296D}"/>
  </hyperlinks>
  <pageMargins left="0.25" right="0.25" top="0.75" bottom="0.75" header="0.3" footer="0.3"/>
  <pageSetup scale="86" fitToHeight="0" orientation="portrait" r:id="rId1"/>
  <rowBreaks count="1" manualBreakCount="1">
    <brk id="48" max="40" man="1"/>
  </rowBreaks>
  <colBreaks count="2" manualBreakCount="2">
    <brk id="2" min="4" max="63" man="1"/>
    <brk id="41" min="4" max="99" man="1"/>
  </colBreaks>
  <drawing r:id="rId2"/>
  <extLst>
    <ext xmlns:x14="http://schemas.microsoft.com/office/spreadsheetml/2009/9/main" uri="{78C0D931-6437-407d-A8EE-F0AAD7539E65}">
      <x14:conditionalFormattings>
        <x14:conditionalFormatting xmlns:xm="http://schemas.microsoft.com/office/excel/2006/main">
          <x14:cfRule type="dataBar" id="{C77E4158-8048-488B-BF86-E06D20CFD177}">
            <x14:dataBar minLength="0" maxLength="100" gradient="0">
              <x14:cfvo type="autoMin"/>
              <x14:cfvo type="autoMax"/>
              <x14:negativeFillColor rgb="FFFF0000"/>
              <x14:axisColor rgb="FF000000"/>
            </x14:dataBar>
          </x14:cfRule>
          <xm:sqref>L52:S61 AF52:AM61</xm:sqref>
        </x14:conditionalFormatting>
        <x14:conditionalFormatting xmlns:xm="http://schemas.microsoft.com/office/excel/2006/main">
          <x14:cfRule type="expression" priority="17" id="{E38EE767-ADE3-4DA9-A16C-276E80374768}">
            <xm:f>DASHBOARD!$L$140&lt;&gt;0</xm:f>
            <x14:dxf>
              <font>
                <b val="0"/>
                <i/>
                <color theme="1" tint="0.499984740745262"/>
              </font>
            </x14:dxf>
          </x14:cfRule>
          <xm:sqref>B14:I22 B24:I30 B33:I38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3619CE7-B7D6-419C-9FA2-B686E41989EE}">
          <x14:formula1>
            <xm:f>HIDE5!$B$10:$B$19</xm:f>
          </x14:formula1>
          <xm:sqref>AS8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009D2-D530-4823-AC46-5D0CE5ACC739}">
  <sheetPr codeName="Sheet16">
    <pageSetUpPr fitToPage="1"/>
  </sheetPr>
  <dimension ref="A4:N96"/>
  <sheetViews>
    <sheetView showGridLines="0" topLeftCell="A36" zoomScaleNormal="100" workbookViewId="0">
      <selection activeCell="E54" sqref="E54"/>
    </sheetView>
  </sheetViews>
  <sheetFormatPr defaultColWidth="11.44140625" defaultRowHeight="14.4" x14ac:dyDescent="0.3"/>
  <cols>
    <col min="1" max="1" width="18.88671875" bestFit="1" customWidth="1"/>
    <col min="2" max="2" width="23.44140625" bestFit="1" customWidth="1"/>
    <col min="3" max="3" width="9" bestFit="1" customWidth="1"/>
    <col min="4" max="4" width="12" bestFit="1" customWidth="1"/>
    <col min="5" max="5" width="23.44140625" bestFit="1" customWidth="1"/>
    <col min="6" max="6" width="9" bestFit="1" customWidth="1"/>
    <col min="7" max="7" width="14.44140625" customWidth="1"/>
    <col min="8" max="8" width="12" bestFit="1" customWidth="1"/>
    <col min="9" max="9" width="23.44140625" bestFit="1" customWidth="1"/>
    <col min="10" max="10" width="9" bestFit="1" customWidth="1"/>
    <col min="11" max="13" width="12.6640625" bestFit="1" customWidth="1"/>
  </cols>
  <sheetData>
    <row r="4" spans="1:7" x14ac:dyDescent="0.3">
      <c r="B4" s="188"/>
      <c r="C4" s="189" t="s">
        <v>226</v>
      </c>
      <c r="D4" s="188"/>
      <c r="E4" s="2081" t="s">
        <v>227</v>
      </c>
      <c r="F4" s="2081"/>
      <c r="G4" s="188"/>
    </row>
    <row r="5" spans="1:7" ht="28.8" x14ac:dyDescent="0.3">
      <c r="B5" s="190" t="s">
        <v>228</v>
      </c>
      <c r="C5" s="191" t="s">
        <v>229</v>
      </c>
      <c r="D5" s="191" t="s">
        <v>230</v>
      </c>
      <c r="E5" s="191" t="s">
        <v>231</v>
      </c>
      <c r="F5" s="191" t="s">
        <v>232</v>
      </c>
      <c r="G5" s="191" t="s">
        <v>233</v>
      </c>
    </row>
    <row r="6" spans="1:7" x14ac:dyDescent="0.3">
      <c r="A6" s="12" t="s">
        <v>225</v>
      </c>
      <c r="B6" s="192">
        <f>DASHBOARD!BM192+DASHBOARD!BM194+DASHBOARD!BM195</f>
        <v>0</v>
      </c>
      <c r="C6" s="193">
        <f>SUM($B$6:B6)</f>
        <v>0</v>
      </c>
      <c r="D6" s="193">
        <f>B6</f>
        <v>0</v>
      </c>
      <c r="E6" s="66"/>
      <c r="F6" s="66"/>
      <c r="G6" s="66"/>
    </row>
    <row r="7" spans="1:7" x14ac:dyDescent="0.3">
      <c r="A7" t="s">
        <v>1001</v>
      </c>
      <c r="B7" s="66">
        <f>DASHBOARD!BM196</f>
        <v>0</v>
      </c>
      <c r="C7" s="193">
        <f>SUM($B$6:B7)</f>
        <v>0</v>
      </c>
      <c r="D7" s="66"/>
      <c r="E7" s="193">
        <f>C6</f>
        <v>0</v>
      </c>
      <c r="F7" s="193">
        <f>C7</f>
        <v>0</v>
      </c>
      <c r="G7" s="193">
        <f>MAX(E7:F7)</f>
        <v>0</v>
      </c>
    </row>
    <row r="8" spans="1:7" x14ac:dyDescent="0.3">
      <c r="A8" t="s">
        <v>44</v>
      </c>
      <c r="B8" s="66">
        <f>IF(thumb&lt;&gt;0,-DASHBOARD!BD135,-DASHBOARD!AE128-DASHBOARD!AX128-IF(AND(thumb=0,FORECASTS!E5&lt;&gt;3),-FORECASTS!E66/12,0)-IF(AND(thumb=0,FORECASTS!$E$5&lt;&gt;3),-FORECASTS!E67/12,0))</f>
        <v>0</v>
      </c>
      <c r="C8" s="193">
        <f>SUM($B$6:B8)</f>
        <v>0</v>
      </c>
      <c r="D8" s="66"/>
      <c r="E8" s="193">
        <f>C7</f>
        <v>0</v>
      </c>
      <c r="F8" s="193">
        <f>C8</f>
        <v>0</v>
      </c>
      <c r="G8" s="193">
        <f>MAX(E8:F8)</f>
        <v>0</v>
      </c>
    </row>
    <row r="9" spans="1:7" x14ac:dyDescent="0.3">
      <c r="A9" t="s">
        <v>81</v>
      </c>
      <c r="B9" s="66">
        <f>IF(thumb&lt;&gt;0,-IFERROR(-FORECASTS!E76/12,0)-IFERROR(-FORECASTS!E77/12,0),-DASHBOARD!AX130-IFERROR(-FORECASTS!E76/12,0)-IFERROR(-FORECASTS!E77/12,0))</f>
        <v>0</v>
      </c>
      <c r="C9" s="193">
        <f>SUM($B$6:B9)</f>
        <v>0</v>
      </c>
      <c r="D9" s="66"/>
      <c r="E9" s="193">
        <f>C8</f>
        <v>0</v>
      </c>
      <c r="F9" s="193">
        <f>C9</f>
        <v>0</v>
      </c>
      <c r="G9" s="193">
        <f>MAX(E9:F9)</f>
        <v>0</v>
      </c>
    </row>
    <row r="10" spans="1:7" x14ac:dyDescent="0.3">
      <c r="A10" t="str">
        <f>IF(DASHBOARD!K90&gt;0,"Interest Only", "P&amp;I")</f>
        <v>P&amp;I</v>
      </c>
      <c r="B10" s="66">
        <f>DASHBOARD!K249</f>
        <v>0</v>
      </c>
      <c r="C10" s="193">
        <f>SUM($B$6:B10)</f>
        <v>0</v>
      </c>
      <c r="D10" s="66"/>
      <c r="E10" s="193">
        <f>C9</f>
        <v>0</v>
      </c>
      <c r="F10" s="193">
        <f>C10</f>
        <v>0</v>
      </c>
      <c r="G10" s="193">
        <f>MAX(E10:F10)</f>
        <v>0</v>
      </c>
    </row>
    <row r="11" spans="1:7" x14ac:dyDescent="0.3">
      <c r="A11" s="12" t="s">
        <v>82</v>
      </c>
      <c r="B11" s="66"/>
      <c r="C11" s="66"/>
      <c r="D11" s="193">
        <f>C10</f>
        <v>0</v>
      </c>
      <c r="E11" s="66"/>
      <c r="F11" s="66"/>
      <c r="G11" s="66"/>
    </row>
    <row r="14" spans="1:7" ht="37.5" customHeight="1" x14ac:dyDescent="0.3">
      <c r="B14" s="188"/>
      <c r="C14" s="189" t="s">
        <v>226</v>
      </c>
      <c r="D14" s="188"/>
      <c r="E14" s="2081" t="s">
        <v>227</v>
      </c>
      <c r="F14" s="2081"/>
      <c r="G14" s="188"/>
    </row>
    <row r="15" spans="1:7" ht="28.8" x14ac:dyDescent="0.3">
      <c r="B15" s="190" t="s">
        <v>228</v>
      </c>
      <c r="C15" s="191" t="s">
        <v>229</v>
      </c>
      <c r="D15" s="191" t="s">
        <v>230</v>
      </c>
      <c r="E15" s="191" t="s">
        <v>231</v>
      </c>
      <c r="F15" s="191" t="s">
        <v>232</v>
      </c>
      <c r="G15" s="191" t="s">
        <v>233</v>
      </c>
    </row>
    <row r="16" spans="1:7" x14ac:dyDescent="0.3">
      <c r="A16" s="12" t="s">
        <v>584</v>
      </c>
      <c r="B16" s="192">
        <f>SUMIF('ACTUALS (M)'!$G$7:$DV$7,'YTD (R)'!$AS$8,'ACTUALS (M)'!G19:DV19)</f>
        <v>0</v>
      </c>
      <c r="C16" s="193">
        <f>SUM($B$16:B16)</f>
        <v>0</v>
      </c>
      <c r="D16" s="193">
        <f>B16</f>
        <v>0</v>
      </c>
      <c r="E16" s="66"/>
      <c r="F16" s="66"/>
      <c r="G16" s="66"/>
    </row>
    <row r="17" spans="1:7" x14ac:dyDescent="0.3">
      <c r="A17" t="s">
        <v>1027</v>
      </c>
      <c r="B17" s="66">
        <f>SUMIF('ACTUALS (M)'!$G$7:$DV$7,'YTD (R)'!$AS$8,'ACTUALS (M)'!G41:DV41)</f>
        <v>0</v>
      </c>
      <c r="C17" s="193">
        <f>SUM($B$16:B17)</f>
        <v>0</v>
      </c>
      <c r="D17" s="66"/>
      <c r="E17" s="193">
        <f>C16</f>
        <v>0</v>
      </c>
      <c r="F17" s="193">
        <f>C17</f>
        <v>0</v>
      </c>
      <c r="G17" s="193">
        <f>MAX(E17:F17)</f>
        <v>0</v>
      </c>
    </row>
    <row r="18" spans="1:7" x14ac:dyDescent="0.3">
      <c r="A18" t="s">
        <v>1025</v>
      </c>
      <c r="B18" s="66">
        <f>SUMIF('ACTUALS (M)'!$G$7:$DV$7,'YTD (R)'!$AS$8,'ACTUALS (M)'!G47:DV47)+SUMIF('ACTUALS (M)'!$G$7:$DV$7,'YTD (R)'!$AS$8,'ACTUALS (M)'!G48:DV48)+SUMIF('ACTUALS (M)'!$G$7:$DV$7,'YTD (R)'!$AS$8,'ACTUALS (M)'!G49:DV49)</f>
        <v>0</v>
      </c>
      <c r="C18" s="193">
        <f>SUM($B$16:B18)</f>
        <v>0</v>
      </c>
      <c r="D18" s="66"/>
      <c r="E18" s="193">
        <f>C17</f>
        <v>0</v>
      </c>
      <c r="F18" s="193">
        <f>C18</f>
        <v>0</v>
      </c>
      <c r="G18" s="193">
        <f>MAX(E18:F18)</f>
        <v>0</v>
      </c>
    </row>
    <row r="19" spans="1:7" x14ac:dyDescent="0.3">
      <c r="A19" t="s">
        <v>1026</v>
      </c>
      <c r="B19" s="66">
        <f>SUMIF('ACTUALS (M)'!$G$7:$DV$7,'YTD (R)'!$AS$8,'ACTUALS (M)'!G56:DV56)</f>
        <v>0</v>
      </c>
      <c r="C19" s="193">
        <f>SUM($B$16:B19)</f>
        <v>0</v>
      </c>
      <c r="D19" s="66"/>
      <c r="E19" s="193">
        <f>C18</f>
        <v>0</v>
      </c>
      <c r="F19" s="193">
        <f>C19</f>
        <v>0</v>
      </c>
      <c r="G19" s="193">
        <f>MAX(E19:F19)</f>
        <v>0</v>
      </c>
    </row>
    <row r="20" spans="1:7" x14ac:dyDescent="0.3">
      <c r="A20" s="12" t="s">
        <v>82</v>
      </c>
      <c r="B20" s="66"/>
      <c r="C20" s="66"/>
      <c r="D20" s="193">
        <f>C19</f>
        <v>0</v>
      </c>
      <c r="E20" s="66"/>
      <c r="F20" s="66"/>
      <c r="G20" s="66"/>
    </row>
    <row r="25" spans="1:7" x14ac:dyDescent="0.3">
      <c r="B25" s="188"/>
      <c r="C25" s="189" t="s">
        <v>226</v>
      </c>
      <c r="D25" s="188"/>
      <c r="E25" s="2081" t="s">
        <v>227</v>
      </c>
      <c r="F25" s="2081"/>
      <c r="G25" s="188"/>
    </row>
    <row r="26" spans="1:7" ht="28.8" x14ac:dyDescent="0.3">
      <c r="B26" s="190" t="s">
        <v>228</v>
      </c>
      <c r="C26" s="191" t="s">
        <v>229</v>
      </c>
      <c r="D26" s="191" t="s">
        <v>230</v>
      </c>
      <c r="E26" s="191" t="s">
        <v>231</v>
      </c>
      <c r="F26" s="191" t="s">
        <v>232</v>
      </c>
      <c r="G26" s="191" t="s">
        <v>233</v>
      </c>
    </row>
    <row r="27" spans="1:7" x14ac:dyDescent="0.3">
      <c r="A27" s="12" t="s">
        <v>584</v>
      </c>
      <c r="B27" s="192">
        <f>SUMIFS('ACTUALS (M)'!$G$19:$DV$19,'ACTUALS (M)'!$G$7:$DV$7,'MONTHLY (R)'!$AS$9,'ACTUALS (M)'!$G$6:$DV$6,'MONTHLY (R)'!$AT$8)</f>
        <v>0</v>
      </c>
      <c r="C27" s="193">
        <f>SUM($B$27:B27)</f>
        <v>0</v>
      </c>
      <c r="D27" s="193">
        <f>B27</f>
        <v>0</v>
      </c>
      <c r="E27" s="66"/>
      <c r="F27" s="66"/>
      <c r="G27" s="66"/>
    </row>
    <row r="28" spans="1:7" x14ac:dyDescent="0.3">
      <c r="A28" t="s">
        <v>1027</v>
      </c>
      <c r="B28" s="66">
        <f>SUMIFS('ACTUALS (M)'!$G$41:$DV$41,'ACTUALS (M)'!$G$7:$DV$7,'MONTHLY (R)'!$AS$9,'ACTUALS (M)'!$G$6:$DV$6,'MONTHLY (R)'!$AT$8)</f>
        <v>0</v>
      </c>
      <c r="C28" s="193">
        <f>SUM($B$27:B28)</f>
        <v>0</v>
      </c>
      <c r="D28" s="66"/>
      <c r="E28" s="193">
        <f>C27</f>
        <v>0</v>
      </c>
      <c r="F28" s="193">
        <f>C28</f>
        <v>0</v>
      </c>
      <c r="G28" s="193">
        <f>MAX(E28:F28)</f>
        <v>0</v>
      </c>
    </row>
    <row r="29" spans="1:7" x14ac:dyDescent="0.3">
      <c r="A29" t="s">
        <v>1025</v>
      </c>
      <c r="B29" s="66">
        <f>SUMIFS('ACTUALS (M)'!$G$47:$DV$47,'ACTUALS (M)'!$G$7:$DV$7,'MONTHLY (R)'!$AS$9,'ACTUALS (M)'!$G$6:$DV$6,'MONTHLY (R)'!$AT$8)+SUMIFS('ACTUALS (M)'!$G$48:$DV$48,'ACTUALS (M)'!$G$7:$DV$7,'MONTHLY (R)'!$AS$9,'ACTUALS (M)'!$G$6:$DV$6,'MONTHLY (R)'!$AT$8)+SUMIFS('ACTUALS (M)'!$G$49:$DV$49,'ACTUALS (M)'!$G$7:$DV$7,'MONTHLY (R)'!$AS$9,'ACTUALS (M)'!$G$6:$DV$6,'MONTHLY (R)'!$AT$8)</f>
        <v>0</v>
      </c>
      <c r="C29" s="193">
        <f>SUM($B$27:B29)</f>
        <v>0</v>
      </c>
      <c r="D29" s="66"/>
      <c r="E29" s="193">
        <f>C28</f>
        <v>0</v>
      </c>
      <c r="F29" s="193">
        <f>C29</f>
        <v>0</v>
      </c>
      <c r="G29" s="193">
        <f>MAX(E29:F29)</f>
        <v>0</v>
      </c>
    </row>
    <row r="30" spans="1:7" x14ac:dyDescent="0.3">
      <c r="A30" t="s">
        <v>1026</v>
      </c>
      <c r="B30" s="66">
        <f>SUMIFS('ACTUALS (M)'!$G$56:$DV$56,'ACTUALS (M)'!$G$7:$DV$7,'MONTHLY (R)'!$AS$9,'ACTUALS (M)'!$G$6:$DV$6,'MONTHLY (R)'!$AT$8)</f>
        <v>0</v>
      </c>
      <c r="C30" s="193">
        <f>SUM($B$27:B30)</f>
        <v>0</v>
      </c>
      <c r="D30" s="66"/>
      <c r="E30" s="193">
        <f>C29</f>
        <v>0</v>
      </c>
      <c r="F30" s="193">
        <f>C30</f>
        <v>0</v>
      </c>
      <c r="G30" s="193">
        <f>MAX(E30:F30)</f>
        <v>0</v>
      </c>
    </row>
    <row r="31" spans="1:7" x14ac:dyDescent="0.3">
      <c r="A31" s="12" t="s">
        <v>82</v>
      </c>
      <c r="B31" s="66"/>
      <c r="C31" s="66"/>
      <c r="D31" s="193">
        <f>C30</f>
        <v>0</v>
      </c>
      <c r="E31" s="66"/>
      <c r="F31" s="66"/>
      <c r="G31" s="66"/>
    </row>
    <row r="35" spans="1:7" x14ac:dyDescent="0.3">
      <c r="B35" s="188"/>
      <c r="C35" s="189" t="s">
        <v>226</v>
      </c>
      <c r="D35" s="188"/>
      <c r="E35" s="2081" t="s">
        <v>227</v>
      </c>
      <c r="F35" s="2081"/>
      <c r="G35" s="188"/>
    </row>
    <row r="36" spans="1:7" ht="28.8" x14ac:dyDescent="0.3">
      <c r="B36" s="190" t="s">
        <v>228</v>
      </c>
      <c r="C36" s="191" t="s">
        <v>229</v>
      </c>
      <c r="D36" s="191" t="s">
        <v>230</v>
      </c>
      <c r="E36" s="191" t="s">
        <v>231</v>
      </c>
      <c r="F36" s="191" t="s">
        <v>232</v>
      </c>
      <c r="G36" s="191" t="s">
        <v>233</v>
      </c>
    </row>
    <row r="37" spans="1:7" x14ac:dyDescent="0.3">
      <c r="A37" s="12" t="s">
        <v>1060</v>
      </c>
      <c r="B37" s="192">
        <f>'VERSUS (R)'!$AI$17</f>
        <v>0</v>
      </c>
      <c r="C37" s="193">
        <f>SUM($B$37:B37)</f>
        <v>0</v>
      </c>
      <c r="D37" s="193">
        <f>B37</f>
        <v>0</v>
      </c>
      <c r="E37" s="66"/>
      <c r="F37" s="66"/>
      <c r="G37" s="66"/>
    </row>
    <row r="38" spans="1:7" x14ac:dyDescent="0.3">
      <c r="A38" t="s">
        <v>283</v>
      </c>
      <c r="B38" s="66">
        <f>-'VERSUS (R)'!$G$17+'VERSUS (R)'!$G$13</f>
        <v>0</v>
      </c>
      <c r="C38" s="193">
        <f>SUM($B$37:B38)</f>
        <v>0</v>
      </c>
      <c r="D38" s="66"/>
      <c r="E38" s="193">
        <f>C37</f>
        <v>0</v>
      </c>
      <c r="F38" s="193">
        <f>C38</f>
        <v>0</v>
      </c>
      <c r="G38" s="193">
        <f>MAX(E38:F38)</f>
        <v>0</v>
      </c>
    </row>
    <row r="39" spans="1:7" x14ac:dyDescent="0.3">
      <c r="A39" t="s">
        <v>1027</v>
      </c>
      <c r="B39" s="66">
        <f>'VERSUS (R)'!$N$17-'VERSUS (R)'!$N$13</f>
        <v>0</v>
      </c>
      <c r="C39" s="193">
        <f>SUM($B$37:B39)</f>
        <v>0</v>
      </c>
      <c r="D39" s="66"/>
      <c r="E39" s="193">
        <f>C38</f>
        <v>0</v>
      </c>
      <c r="F39" s="193">
        <f>C39</f>
        <v>0</v>
      </c>
      <c r="G39" s="193">
        <f>MAX(E39:F39)</f>
        <v>0</v>
      </c>
    </row>
    <row r="40" spans="1:7" x14ac:dyDescent="0.3">
      <c r="A40" t="s">
        <v>1025</v>
      </c>
      <c r="B40" s="66">
        <f>'VERSUS (R)'!$U$17-'VERSUS (R)'!$U$13</f>
        <v>0</v>
      </c>
      <c r="C40" s="193">
        <f>SUM($B$37:B40)</f>
        <v>0</v>
      </c>
      <c r="D40" s="66"/>
      <c r="E40" s="193">
        <f>C39</f>
        <v>0</v>
      </c>
      <c r="F40" s="193">
        <f>C40</f>
        <v>0</v>
      </c>
      <c r="G40" s="193">
        <f>MAX(E40:F40)</f>
        <v>0</v>
      </c>
    </row>
    <row r="41" spans="1:7" x14ac:dyDescent="0.3">
      <c r="A41" t="s">
        <v>1026</v>
      </c>
      <c r="B41" s="66">
        <f>'VERSUS (R)'!$AB$17-'VERSUS (R)'!$AB$13</f>
        <v>0</v>
      </c>
      <c r="C41" s="193">
        <f>SUM($B$37:B41)</f>
        <v>0</v>
      </c>
      <c r="D41" s="66"/>
      <c r="E41" s="193">
        <f>C40</f>
        <v>0</v>
      </c>
      <c r="F41" s="193">
        <f>C41</f>
        <v>0</v>
      </c>
      <c r="G41" s="193">
        <f>MAX(E41:F41)</f>
        <v>0</v>
      </c>
    </row>
    <row r="42" spans="1:7" x14ac:dyDescent="0.3">
      <c r="A42" s="12" t="s">
        <v>1061</v>
      </c>
      <c r="B42" s="66"/>
      <c r="C42" s="66"/>
      <c r="D42" s="193">
        <f>C41</f>
        <v>0</v>
      </c>
      <c r="E42" s="66"/>
      <c r="F42" s="66"/>
      <c r="G42" s="66"/>
    </row>
    <row r="45" spans="1:7" x14ac:dyDescent="0.3">
      <c r="B45" s="66"/>
    </row>
    <row r="46" spans="1:7" x14ac:dyDescent="0.3">
      <c r="B46" s="66"/>
    </row>
    <row r="47" spans="1:7" x14ac:dyDescent="0.3">
      <c r="B47" s="66"/>
    </row>
    <row r="54" spans="2:14" x14ac:dyDescent="0.3">
      <c r="B54" t="s">
        <v>164</v>
      </c>
      <c r="C54" s="484"/>
      <c r="E54">
        <f>tenor+DASHBOARD!L99+DASHBOARD!AD102+active_refi</f>
        <v>30</v>
      </c>
    </row>
    <row r="55" spans="2:14" x14ac:dyDescent="0.3">
      <c r="B55" t="s">
        <v>473</v>
      </c>
      <c r="C55">
        <f>-DASHBOARD!BM217</f>
        <v>0</v>
      </c>
    </row>
    <row r="56" spans="2:14" x14ac:dyDescent="0.3">
      <c r="B56" t="s">
        <v>474</v>
      </c>
      <c r="C56">
        <f>SUM(IF(AND(thumb=0,FORECASTS!E5&lt;&gt;3),-FORECASTS!E66/12,0)+IF(AND(thumb=0,FORECASTS!E5&lt;&gt;3),-FORECASTS!E67/12,0))</f>
        <v>0</v>
      </c>
    </row>
    <row r="57" spans="2:14" x14ac:dyDescent="0.3">
      <c r="B57" t="s">
        <v>475</v>
      </c>
      <c r="C57">
        <f>SUM(IFERROR(-FORECASTS!E76/12,0)+IFERROR(-FORECASTS!E77/12,0))</f>
        <v>0</v>
      </c>
    </row>
    <row r="58" spans="2:14" x14ac:dyDescent="0.3">
      <c r="B58" t="s">
        <v>90</v>
      </c>
      <c r="C58">
        <f>-DASHBOARD!BM223</f>
        <v>0</v>
      </c>
    </row>
    <row r="59" spans="2:14" x14ac:dyDescent="0.3">
      <c r="B59" t="s">
        <v>20</v>
      </c>
      <c r="C59">
        <f>SUM(C54:C58)</f>
        <v>0</v>
      </c>
    </row>
    <row r="61" spans="2:14" x14ac:dyDescent="0.3">
      <c r="B61" t="s">
        <v>190</v>
      </c>
      <c r="C61" t="s">
        <v>294</v>
      </c>
    </row>
    <row r="62" spans="2:14" x14ac:dyDescent="0.3">
      <c r="B62" s="374" t="str">
        <f t="array" ref="B62">IF($C62="","",INDEX($I$62:$I$79,SMALL(IF($J$62:$J$79=$C62, ROW($I$62:$I$79)-ROW($I$62)+1),COUNTIF($C$62:C62,C62))))</f>
        <v/>
      </c>
      <c r="C62" s="374" t="str">
        <f t="array" ref="C62">IFERROR(INDEX(J$62:J$79,SMALL(IF(ISNUMBER(1/J$62:J$79), IF(J$62:J$79&gt;0,ROW(J$62:J$79)-ROW($J$62)+1)),ROWS($C$62:C62))),"")</f>
        <v/>
      </c>
      <c r="F62" s="1171"/>
      <c r="I62" t="str">
        <f>DASHBOARD!C199</f>
        <v>Electrical Utilities</v>
      </c>
      <c r="J62">
        <f>-DASHBOARD!BM199</f>
        <v>0</v>
      </c>
      <c r="L62" s="328" t="str">
        <f t="array" ref="L62">IFERROR(INDEX(B$62:B$79,SMALL(IF(C$62:C$79=N62,ROW(C$62:C$79)-ROW(N$62)+1),COUNTIF(N$62:N62,N62))),"")</f>
        <v/>
      </c>
      <c r="M62" s="328"/>
      <c r="N62" s="1172" t="str">
        <f>IFERROR(LARGE($C$62:$C$79,ROWS($N$62:N62)),"")</f>
        <v/>
      </c>
    </row>
    <row r="63" spans="2:14" x14ac:dyDescent="0.3">
      <c r="B63" s="374" t="str">
        <f t="array" ref="B63">IF($C63="","",INDEX($I$62:$I$79,SMALL(IF($J$62:$J$79=$C63, ROW($I$62:$I$79)-ROW($I$62)+1),COUNTIF($C$62:C63,C63))))</f>
        <v/>
      </c>
      <c r="C63" s="374" t="str">
        <f t="array" ref="C63">IFERROR(INDEX(J$62:J$79,SMALL(IF(ISNUMBER(1/J$62:J$79), IF(J$62:J$79&gt;0,ROW(J$62:J$79)-ROW($J$62)+1)),ROWS($C$62:C63))),"")</f>
        <v/>
      </c>
      <c r="F63" s="1171"/>
      <c r="I63" t="str">
        <f>DASHBOARD!C200</f>
        <v>Gas Utilities</v>
      </c>
      <c r="J63">
        <f>-DASHBOARD!BM200</f>
        <v>0</v>
      </c>
      <c r="L63" s="328" t="str">
        <f t="array" ref="L63">IFERROR(INDEX(B$62:B$79,SMALL(IF(C$62:C$79=N63,ROW(C$62:C$79)-ROW(N$62)+1),COUNTIF(N$62:N63,N63))),"")</f>
        <v/>
      </c>
      <c r="M63" s="328"/>
      <c r="N63" s="1172" t="str">
        <f>IFERROR(LARGE($C$62:$C$79,ROWS($N$62:N63)),"")</f>
        <v/>
      </c>
    </row>
    <row r="64" spans="2:14" x14ac:dyDescent="0.3">
      <c r="B64" s="374" t="str">
        <f t="array" ref="B64">IF($C64="","",INDEX($I$62:$I$79,SMALL(IF($J$62:$J$79=$C64, ROW($I$62:$I$79)-ROW($I$62)+1),COUNTIF($C$62:C64,C64))))</f>
        <v/>
      </c>
      <c r="C64" s="374" t="str">
        <f t="array" ref="C64">IFERROR(INDEX(J$62:J$79,SMALL(IF(ISNUMBER(1/J$62:J$79), IF(J$62:J$79&gt;0,ROW(J$62:J$79)-ROW($J$62)+1)),ROWS($C$62:C64))),"")</f>
        <v/>
      </c>
      <c r="F64" s="1171"/>
      <c r="I64" t="str">
        <f>DASHBOARD!C201</f>
        <v>Water Utilities</v>
      </c>
      <c r="J64">
        <f>-DASHBOARD!BM201</f>
        <v>0</v>
      </c>
      <c r="L64" s="328" t="str">
        <f t="array" ref="L64">IFERROR(INDEX(B$62:B$79,SMALL(IF(C$62:C$79=N64,ROW(C$62:C$79)-ROW(N$62)+1),COUNTIF(N$62:N64,N64))),"")</f>
        <v/>
      </c>
      <c r="M64" s="328"/>
      <c r="N64" s="1172" t="str">
        <f>IFERROR(LARGE($C$62:$C$79,ROWS($N$62:N64)),"")</f>
        <v/>
      </c>
    </row>
    <row r="65" spans="2:14" x14ac:dyDescent="0.3">
      <c r="B65" s="374" t="str">
        <f t="array" ref="B65">IF($C65="","",INDEX($I$62:$I$79,SMALL(IF($J$62:$J$79=$C65, ROW($I$62:$I$79)-ROW($I$62)+1),COUNTIF($C$62:C65,C65))))</f>
        <v/>
      </c>
      <c r="C65" s="374" t="str">
        <f t="array" ref="C65">IFERROR(INDEX(J$62:J$79,SMALL(IF(ISNUMBER(1/J$62:J$79), IF(J$62:J$79&gt;0,ROW(J$62:J$79)-ROW($J$62)+1)),ROWS($C$62:C65))),"")</f>
        <v/>
      </c>
      <c r="F65" s="1171"/>
      <c r="I65" t="str">
        <f>DASHBOARD!C202</f>
        <v>Phone</v>
      </c>
      <c r="J65">
        <f>-DASHBOARD!BM202</f>
        <v>0</v>
      </c>
      <c r="L65" s="328" t="str">
        <f t="array" ref="L65">IFERROR(INDEX(B$62:B$79,SMALL(IF(C$62:C$79=N65,ROW(C$62:C$79)-ROW(N$62)+1),COUNTIF(N$62:N65,N65))),"")</f>
        <v/>
      </c>
      <c r="M65" s="328"/>
      <c r="N65" s="1172" t="str">
        <f>IFERROR(LARGE($C$62:$C$79,ROWS($N$62:N65)),"")</f>
        <v/>
      </c>
    </row>
    <row r="66" spans="2:14" x14ac:dyDescent="0.3">
      <c r="B66" s="374" t="str">
        <f t="array" ref="B66">IF($C66="","",INDEX($I$62:$I$79,SMALL(IF($J$62:$J$79=$C66, ROW($I$62:$I$79)-ROW($I$62)+1),COUNTIF($C$62:C66,C66))))</f>
        <v/>
      </c>
      <c r="C66" s="374" t="str">
        <f t="array" ref="C66">IFERROR(INDEX(J$62:J$79,SMALL(IF(ISNUMBER(1/J$62:J$79), IF(J$62:J$79&gt;0,ROW(J$62:J$79)-ROW($J$62)+1)),ROWS($C$62:C66))),"")</f>
        <v/>
      </c>
      <c r="F66" s="1171"/>
      <c r="I66" t="str">
        <f>DASHBOARD!C203</f>
        <v>Internet</v>
      </c>
      <c r="J66">
        <f>-DASHBOARD!BM203</f>
        <v>0</v>
      </c>
      <c r="L66" s="328" t="str">
        <f t="array" ref="L66">IFERROR(INDEX(B$62:B$79,SMALL(IF(C$62:C$79=N66,ROW(C$62:C$79)-ROW(N$62)+1),COUNTIF(N$62:N66,N66))),"")</f>
        <v/>
      </c>
      <c r="M66" s="328"/>
      <c r="N66" s="1172" t="str">
        <f>IFERROR(LARGE($C$62:$C$79,ROWS($N$62:N66)),"")</f>
        <v/>
      </c>
    </row>
    <row r="67" spans="2:14" x14ac:dyDescent="0.3">
      <c r="B67" s="374" t="str">
        <f t="array" ref="B67">IF($C67="","",INDEX($I$62:$I$79,SMALL(IF($J$62:$J$79=$C67, ROW($I$62:$I$79)-ROW($I$62)+1),COUNTIF($C$62:C67,C67))))</f>
        <v/>
      </c>
      <c r="C67" s="374" t="str">
        <f t="array" ref="C67">IFERROR(INDEX(J$62:J$79,SMALL(IF(ISNUMBER(1/J$62:J$79), IF(J$62:J$79&gt;0,ROW(J$62:J$79)-ROW($J$62)+1)),ROWS($C$62:C67))),"")</f>
        <v/>
      </c>
      <c r="F67" s="1171"/>
      <c r="I67" t="str">
        <f>DASHBOARD!C204</f>
        <v>Property Insurance + Tax</v>
      </c>
      <c r="J67">
        <f>-DASHBOARD!BM204</f>
        <v>0</v>
      </c>
      <c r="L67" s="328" t="str">
        <f t="array" ref="L67">IFERROR(INDEX(B$62:B$79,SMALL(IF(C$62:C$79=N67,ROW(C$62:C$79)-ROW(N$62)+1),COUNTIF(N$62:N67,N67))),"")</f>
        <v/>
      </c>
      <c r="M67" s="328"/>
      <c r="N67" s="1172" t="str">
        <f>IFERROR(LARGE($C$62:$C$79,ROWS($N$62:N67)),"")</f>
        <v/>
      </c>
    </row>
    <row r="68" spans="2:14" x14ac:dyDescent="0.3">
      <c r="B68" s="374" t="str">
        <f t="array" ref="B68">IF($C68="","",INDEX($I$62:$I$79,SMALL(IF($J$62:$J$79=$C68, ROW($I$62:$I$79)-ROW($I$62)+1),COUNTIF($C$62:C68,C68))))</f>
        <v/>
      </c>
      <c r="C68" s="374" t="str">
        <f t="array" ref="C68">IFERROR(INDEX(J$62:J$79,SMALL(IF(ISNUMBER(1/J$62:J$79), IF(J$62:J$79&gt;0,ROW(J$62:J$79)-ROW($J$62)+1)),ROWS($C$62:C68))),"")</f>
        <v/>
      </c>
      <c r="F68" s="1171"/>
      <c r="I68" t="str">
        <f>DASHBOARD!C205</f>
        <v>Irrigation</v>
      </c>
      <c r="J68">
        <f>-DASHBOARD!BM205</f>
        <v>0</v>
      </c>
      <c r="L68" s="328" t="str">
        <f t="array" ref="L68">IFERROR(INDEX(B$62:B$79,SMALL(IF(C$62:C$79=N68,ROW(C$62:C$79)-ROW(N$62)+1),COUNTIF(N$62:N68,N68))),"")</f>
        <v/>
      </c>
      <c r="M68" s="328"/>
      <c r="N68" s="1172" t="str">
        <f>IFERROR(LARGE($C$62:$C$79,ROWS($N$62:N68)),"")</f>
        <v/>
      </c>
    </row>
    <row r="69" spans="2:14" x14ac:dyDescent="0.3">
      <c r="B69" s="374" t="str">
        <f t="array" ref="B69">IF($C69="","",INDEX($I$62:$I$79,SMALL(IF($J$62:$J$79=$C69, ROW($I$62:$I$79)-ROW($I$62)+1),COUNTIF($C$62:C69,C69))))</f>
        <v/>
      </c>
      <c r="C69" s="374" t="str">
        <f t="array" ref="C69">IFERROR(INDEX(J$62:J$79,SMALL(IF(ISNUMBER(1/J$62:J$79), IF(J$62:J$79&gt;0,ROW(J$62:J$79)-ROW($J$62)+1)),ROWS($C$62:C69))),"")</f>
        <v/>
      </c>
      <c r="F69" s="1171"/>
      <c r="I69" t="str">
        <f>DASHBOARD!C206</f>
        <v>Security</v>
      </c>
      <c r="J69">
        <f>-DASHBOARD!BM206</f>
        <v>0</v>
      </c>
      <c r="L69" s="328" t="str">
        <f t="array" ref="L69">IFERROR(INDEX(B$62:B$79,SMALL(IF(C$62:C$79=N69,ROW(C$62:C$79)-ROW(N$62)+1),COUNTIF(N$62:N69,N69))),"")</f>
        <v/>
      </c>
      <c r="M69" s="328"/>
      <c r="N69" s="1172" t="str">
        <f>IFERROR(LARGE($C$62:$C$79,ROWS($N$62:N69)),"")</f>
        <v/>
      </c>
    </row>
    <row r="70" spans="2:14" x14ac:dyDescent="0.3">
      <c r="B70" s="374" t="str">
        <f t="array" ref="B70">IF($C70="","",INDEX($I$62:$I$79,SMALL(IF($J$62:$J$79=$C70, ROW($I$62:$I$79)-ROW($I$62)+1),COUNTIF($C$62:C70,C70))))</f>
        <v/>
      </c>
      <c r="C70" s="374" t="str">
        <f t="array" ref="C70">IFERROR(INDEX(J$62:J$79,SMALL(IF(ISNUMBER(1/J$62:J$79), IF(J$62:J$79&gt;0,ROW(J$62:J$79)-ROW($J$62)+1)),ROWS($C$62:C70))),"")</f>
        <v/>
      </c>
      <c r="F70" s="1171"/>
      <c r="I70" t="str">
        <f>DASHBOARD!C207</f>
        <v>Accounting</v>
      </c>
      <c r="J70">
        <f>-DASHBOARD!BM207</f>
        <v>0</v>
      </c>
      <c r="L70" s="328" t="str">
        <f t="array" ref="L70">IFERROR(INDEX(B$62:B$79,SMALL(IF(C$62:C$79=N70,ROW(C$62:C$79)-ROW(N$62)+1),COUNTIF(N$62:N70,N70))),"")</f>
        <v/>
      </c>
      <c r="M70" s="328"/>
      <c r="N70" s="1172" t="str">
        <f>IFERROR(LARGE($C$62:$C$79,ROWS($N$62:N70)),"")</f>
        <v/>
      </c>
    </row>
    <row r="71" spans="2:14" x14ac:dyDescent="0.3">
      <c r="B71" s="374" t="str">
        <f t="array" ref="B71">IF($C71="","",INDEX($I$62:$I$79,SMALL(IF($J$62:$J$79=$C71, ROW($I$62:$I$79)-ROW($I$62)+1),COUNTIF($C$62:C71,C71))))</f>
        <v/>
      </c>
      <c r="C71" s="374" t="str">
        <f t="array" ref="C71">IFERROR(INDEX(J$62:J$79,SMALL(IF(ISNUMBER(1/J$62:J$79), IF(J$62:J$79&gt;0,ROW(J$62:J$79)-ROW($J$62)+1)),ROWS($C$62:C71))),"")</f>
        <v/>
      </c>
      <c r="F71" s="1171"/>
      <c r="I71" t="str">
        <f>DASHBOARD!C208</f>
        <v>Repairs &amp; Maintenance</v>
      </c>
      <c r="J71">
        <f>-DASHBOARD!BM208</f>
        <v>0</v>
      </c>
      <c r="L71" s="328" t="str">
        <f t="array" ref="L71">IFERROR(INDEX(B$62:B$79,SMALL(IF(C$62:C$79=N71,ROW(C$62:C$79)-ROW(N$62)+1),COUNTIF(N$62:N71,N71))),"")</f>
        <v/>
      </c>
      <c r="M71" s="328"/>
      <c r="N71" s="1172" t="str">
        <f>IFERROR(LARGE($C$62:$C$79,ROWS($N$62:N71)),"")</f>
        <v/>
      </c>
    </row>
    <row r="72" spans="2:14" x14ac:dyDescent="0.3">
      <c r="B72" s="374" t="str">
        <f t="array" ref="B72">IF($C72="","",INDEX($I$62:$I$79,SMALL(IF($J$62:$J$79=$C72, ROW($I$62:$I$79)-ROW($I$62)+1),COUNTIF($C$62:C72,C72))))</f>
        <v/>
      </c>
      <c r="C72" s="374" t="str">
        <f t="array" ref="C72">IFERROR(INDEX(J$62:J$79,SMALL(IF(ISNUMBER(1/J$62:J$79), IF(J$62:J$79&gt;0,ROW(J$62:J$79)-ROW($J$62)+1)),ROWS($C$62:C72))),"")</f>
        <v/>
      </c>
      <c r="F72" s="1171"/>
      <c r="I72" t="str">
        <f>DASHBOARD!C209</f>
        <v xml:space="preserve">Property Management </v>
      </c>
      <c r="J72">
        <f>-DASHBOARD!BM209</f>
        <v>0</v>
      </c>
      <c r="L72" s="328" t="str">
        <f t="array" ref="L72">IFERROR(INDEX(B$62:B$79,SMALL(IF(C$62:C$79=N72,ROW(C$62:C$79)-ROW(N$62)+1),COUNTIF(N$62:N72,N72))),"")</f>
        <v/>
      </c>
      <c r="M72" s="328"/>
      <c r="N72" s="1172" t="str">
        <f>IFERROR(LARGE($C$62:$C$79,ROWS($N$62:N72)),"")</f>
        <v/>
      </c>
    </row>
    <row r="73" spans="2:14" x14ac:dyDescent="0.3">
      <c r="B73" s="374" t="str">
        <f t="array" ref="B73">IF($C73="","",INDEX($I$62:$I$79,SMALL(IF($J$62:$J$79=$C73, ROW($I$62:$I$79)-ROW($I$62)+1),COUNTIF($C$62:C73,C73))))</f>
        <v/>
      </c>
      <c r="C73" s="374" t="str">
        <f t="array" ref="C73">IFERROR(INDEX(J$62:J$79,SMALL(IF(ISNUMBER(1/J$62:J$79), IF(J$62:J$79&gt;0,ROW(J$62:J$79)-ROW($J$62)+1)),ROWS($C$62:C73))),"")</f>
        <v/>
      </c>
      <c r="F73" s="1171"/>
      <c r="I73" t="str">
        <f>DASHBOARD!C210</f>
        <v>Vacancy Insurance</v>
      </c>
      <c r="J73">
        <f>-DASHBOARD!BM210</f>
        <v>0</v>
      </c>
      <c r="L73" s="328" t="str">
        <f t="array" ref="L73">IFERROR(INDEX(B$62:B$79,SMALL(IF(C$62:C$79=N73,ROW(C$62:C$79)-ROW(N$62)+1),COUNTIF(N$62:N73,N73))),"")</f>
        <v/>
      </c>
      <c r="M73" s="328"/>
      <c r="N73" s="1172" t="str">
        <f>IFERROR(LARGE($C$62:$C$79,ROWS($N$62:N73)),"")</f>
        <v/>
      </c>
    </row>
    <row r="74" spans="2:14" x14ac:dyDescent="0.3">
      <c r="B74" s="374" t="str">
        <f t="array" ref="B74">IF($C74="","",INDEX($I$62:$I$79,SMALL(IF($J$62:$J$79=$C74, ROW($I$62:$I$79)-ROW($I$62)+1),COUNTIF($C$62:C74,C74))))</f>
        <v/>
      </c>
      <c r="C74" s="374" t="str">
        <f t="array" ref="C74">IFERROR(INDEX(J$62:J$79,SMALL(IF(ISNUMBER(1/J$62:J$79), IF(J$62:J$79&gt;0,ROW(J$62:J$79)-ROW($J$62)+1)),ROWS($C$62:C74))),"")</f>
        <v/>
      </c>
      <c r="F74" s="1171"/>
      <c r="I74" t="str">
        <f>DASHBOARD!C211</f>
        <v>Rent Insurance</v>
      </c>
      <c r="J74">
        <f>-DASHBOARD!BM211</f>
        <v>0</v>
      </c>
      <c r="L74" s="328" t="str">
        <f t="array" ref="L74">IFERROR(INDEX(B$62:B$79,SMALL(IF(C$62:C$79=N74,ROW(C$62:C$79)-ROW(N$62)+1),COUNTIF(N$62:N74,N74))),"")</f>
        <v/>
      </c>
      <c r="M74" s="328"/>
      <c r="N74" s="1172" t="str">
        <f>IFERROR(LARGE($C$62:$C$79,ROWS($N$62:N74)),"")</f>
        <v/>
      </c>
    </row>
    <row r="75" spans="2:14" x14ac:dyDescent="0.3">
      <c r="B75" s="374" t="str">
        <f t="array" ref="B75">IF($C75="","",INDEX($I$62:$I$79,SMALL(IF($J$62:$J$79=$C75, ROW($I$62:$I$79)-ROW($I$62)+1),COUNTIF($C$62:C75,C75))))</f>
        <v/>
      </c>
      <c r="C75" s="374" t="str">
        <f t="array" ref="C75">IFERROR(INDEX(J$62:J$79,SMALL(IF(ISNUMBER(1/J$62:J$79), IF(J$62:J$79&gt;0,ROW(J$62:J$79)-ROW($J$62)+1)),ROWS($C$62:C75))),"")</f>
        <v/>
      </c>
      <c r="F75" s="1171"/>
      <c r="I75" t="str">
        <f>DASHBOARD!C212</f>
        <v>Legal</v>
      </c>
      <c r="J75">
        <f>-DASHBOARD!BM212</f>
        <v>0</v>
      </c>
      <c r="L75" s="328" t="str">
        <f t="array" ref="L75">IFERROR(INDEX(B$62:B$79,SMALL(IF(C$62:C$79=N75,ROW(C$62:C$79)-ROW(N$62)+1),COUNTIF(N$62:N75,N75))),"")</f>
        <v/>
      </c>
      <c r="M75" s="328"/>
      <c r="N75" s="1172" t="str">
        <f>IFERROR(LARGE($C$62:$C$79,ROWS($N$62:N75)),"")</f>
        <v/>
      </c>
    </row>
    <row r="76" spans="2:14" x14ac:dyDescent="0.3">
      <c r="B76" s="374" t="str">
        <f t="array" ref="B76">IF($C76="","",INDEX($I$62:$I$79,SMALL(IF($J$62:$J$79=$C76, ROW($I$62:$I$79)-ROW($I$62)+1),COUNTIF($C$62:C76,C76))))</f>
        <v/>
      </c>
      <c r="C76" s="374" t="str">
        <f t="array" ref="C76">IFERROR(INDEX(J$62:J$79,SMALL(IF(ISNUMBER(1/J$62:J$79), IF(J$62:J$79&gt;0,ROW(J$62:J$79)-ROW($J$62)+1)),ROWS($C$62:C76))),"")</f>
        <v/>
      </c>
      <c r="F76" s="1171"/>
      <c r="I76" t="str">
        <f>DASHBOARD!C213</f>
        <v>Advertising</v>
      </c>
      <c r="J76">
        <f>-DASHBOARD!BM213</f>
        <v>0</v>
      </c>
      <c r="L76" s="328" t="str">
        <f t="array" ref="L76">IFERROR(INDEX(B$62:B$79,SMALL(IF(C$62:C$79=N76,ROW(C$62:C$79)-ROW(N$62)+1),COUNTIF(N$62:N76,N76))),"")</f>
        <v/>
      </c>
      <c r="M76" s="328"/>
      <c r="N76" s="1172" t="str">
        <f>IFERROR(LARGE($C$62:$C$79,ROWS($N$62:N76)),"")</f>
        <v/>
      </c>
    </row>
    <row r="77" spans="2:14" x14ac:dyDescent="0.3">
      <c r="B77" s="374" t="str">
        <f t="array" ref="B77">IF($C77="","",INDEX($I$62:$I$79,SMALL(IF($J$62:$J$79=$C77, ROW($I$62:$I$79)-ROW($I$62)+1),COUNTIF($C$62:C77,C77))))</f>
        <v/>
      </c>
      <c r="C77" s="374" t="str">
        <f t="array" ref="C77">IFERROR(INDEX(J$62:J$79,SMALL(IF(ISNUMBER(1/J$62:J$79), IF(J$62:J$79&gt;0,ROW(J$62:J$79)-ROW($J$62)+1)),ROWS($C$62:C77))),"")</f>
        <v/>
      </c>
      <c r="F77" s="1171"/>
      <c r="I77" t="str">
        <f>DASHBOARD!C214</f>
        <v>Other Cost 1</v>
      </c>
      <c r="J77">
        <f>-DASHBOARD!BM214</f>
        <v>0</v>
      </c>
      <c r="L77" s="328" t="str">
        <f t="array" ref="L77">IFERROR(INDEX(B$62:B$79,SMALL(IF(C$62:C$79=N77,ROW(C$62:C$79)-ROW(N$62)+1),COUNTIF(N$62:N77,N77))),"")</f>
        <v/>
      </c>
      <c r="M77" s="328"/>
      <c r="N77" s="1172" t="str">
        <f>IFERROR(LARGE($C$62:$C$79,ROWS($N$62:N77)),"")</f>
        <v/>
      </c>
    </row>
    <row r="78" spans="2:14" x14ac:dyDescent="0.3">
      <c r="B78" s="374" t="str">
        <f t="array" ref="B78">IF($C78="","",INDEX($I$62:$I$79,SMALL(IF($J$62:$J$79=$C78, ROW($I$62:$I$79)-ROW($I$62)+1),COUNTIF($C$62:C78,C78))))</f>
        <v/>
      </c>
      <c r="C78" s="374" t="str">
        <f t="array" ref="C78">IFERROR(INDEX(J$62:J$79,SMALL(IF(ISNUMBER(1/J$62:J$79), IF(J$62:J$79&gt;0,ROW(J$62:J$79)-ROW($J$62)+1)),ROWS($C$62:C78))),"")</f>
        <v/>
      </c>
      <c r="F78" s="1171"/>
      <c r="I78" t="str">
        <f>DASHBOARD!C215</f>
        <v>Other Cost 2</v>
      </c>
      <c r="J78">
        <f>-DASHBOARD!BM215</f>
        <v>0</v>
      </c>
      <c r="L78" s="328" t="str">
        <f t="array" ref="L78">IFERROR(INDEX(B$62:B$79,SMALL(IF(C$62:C$79=N78,ROW(C$62:C$79)-ROW(N$62)+1),COUNTIF(N$62:N78,N78))),"")</f>
        <v/>
      </c>
      <c r="M78" s="328"/>
      <c r="N78" s="1172" t="str">
        <f>IFERROR(LARGE($C$62:$C$79,ROWS($N$62:N78)),"")</f>
        <v/>
      </c>
    </row>
    <row r="79" spans="2:14" x14ac:dyDescent="0.3">
      <c r="B79" s="374" t="str">
        <f t="array" ref="B79">IF($C79="","",INDEX($I$62:$I$79,SMALL(IF($J$62:$J$79=$C79, ROW($I$62:$I$79)-ROW($I$62)+1),COUNTIF($C$62:C79,C79))))</f>
        <v/>
      </c>
      <c r="C79" s="374" t="str">
        <f t="array" ref="C79">IFERROR(INDEX(J$62:J$79,SMALL(IF(ISNUMBER(1/J$62:J$79), IF(J$62:J$79&gt;0,ROW(J$62:J$79)-ROW($J$62)+1)),ROWS($C$62:C79))),"")</f>
        <v/>
      </c>
      <c r="F79" s="1171"/>
      <c r="I79" t="str">
        <f>DASHBOARD!C216</f>
        <v>Miscellaneous (Variable)</v>
      </c>
      <c r="J79">
        <f>-DASHBOARD!BM216</f>
        <v>0</v>
      </c>
      <c r="L79" s="328" t="str">
        <f t="array" ref="L79">IFERROR(INDEX(B$62:B$79,SMALL(IF(C$62:C$79=N79,ROW(C$62:C$79)-ROW(N$62)+1),COUNTIF(N$62:N79,N79))),"")</f>
        <v/>
      </c>
      <c r="M79" s="328"/>
      <c r="N79" s="1172" t="str">
        <f>IFERROR(LARGE($C$62:$C$79,ROWS($N$62:N79)),"")</f>
        <v/>
      </c>
    </row>
    <row r="85" spans="2:4" x14ac:dyDescent="0.3">
      <c r="C85" t="e">
        <f>'MONTHLY (R)'!AT8</f>
        <v>#N/A</v>
      </c>
      <c r="D85">
        <f>'MONTHLY (R)'!AS9</f>
        <v>0</v>
      </c>
    </row>
    <row r="87" spans="2:4" x14ac:dyDescent="0.3">
      <c r="B87" t="s">
        <v>986</v>
      </c>
      <c r="C87" s="66">
        <f>SUMIFS('ACTUALS (M)'!$G$19:$DV$19,'ACTUALS (M)'!$G$7:$DV$7,'MONTHLY (R)'!$AS$9,'ACTUALS (M)'!$G$6:$DV$6,'MONTHLY (R)'!$AT$8)</f>
        <v>0</v>
      </c>
    </row>
    <row r="88" spans="2:4" x14ac:dyDescent="0.3">
      <c r="B88" t="s">
        <v>1046</v>
      </c>
      <c r="C88" s="66" t="e">
        <f>D96</f>
        <v>#N/A</v>
      </c>
      <c r="D88" s="1416" t="e">
        <f>$C$87/C88-1</f>
        <v>#N/A</v>
      </c>
    </row>
    <row r="89" spans="2:4" x14ac:dyDescent="0.3">
      <c r="B89" t="s">
        <v>1044</v>
      </c>
      <c r="C89" s="66">
        <f>SUMIFS('ACTUALS (M)'!$G$19:$DV$19,'ACTUALS (M)'!$G$7:$DV$7,'MONTHLY (R)'!$AS$9,'ACTUALS (M)'!$G$6:$DV$6,IF('MONTHLY (R)'!$AT$8=1,12,('MONTHLY (R)'!$AT$8)-1))</f>
        <v>0</v>
      </c>
      <c r="D89" s="1416" t="e">
        <f>$C$87/C89-1</f>
        <v>#DIV/0!</v>
      </c>
    </row>
    <row r="90" spans="2:4" x14ac:dyDescent="0.3">
      <c r="B90" t="s">
        <v>1045</v>
      </c>
      <c r="C90" s="66">
        <f>SUMIFS('ACTUALS (M)'!$G$19:$DV$19,'ACTUALS (M)'!$G$7:$DV$7,('MONTHLY (R)'!$AS$9)-1,'ACTUALS (M)'!$G$6:$DV$6,'MONTHLY (R)'!$AT$8)</f>
        <v>0</v>
      </c>
      <c r="D90" s="1416" t="e">
        <f>$C$87/C90-1</f>
        <v>#DIV/0!</v>
      </c>
    </row>
    <row r="92" spans="2:4" x14ac:dyDescent="0.3">
      <c r="B92" t="str">
        <f>'ACTUALS (M)'!B13</f>
        <v>Gross Rental Income</v>
      </c>
      <c r="C92" s="1415">
        <f>IFERROR(SUMIF(FORECASTS!$E$4:$AI$4,'MONTHLY (R)'!$AS$9,FORECASTS!E19:AI19)/DASHBOARD!$BH$192-1,0)</f>
        <v>0</v>
      </c>
      <c r="D92" s="66" t="e" cm="1">
        <f t="array" ref="D92">INDEX(HIDE5!D48:O48,0,HIDE2!C85)*(1+C92)</f>
        <v>#N/A</v>
      </c>
    </row>
    <row r="93" spans="2:4" x14ac:dyDescent="0.3">
      <c r="B93" t="str">
        <f>'ACTUALS (M)'!B16</f>
        <v>Other Income</v>
      </c>
      <c r="C93" s="1415">
        <f>IFERROR(SUMIF(FORECASTS!$E$4:$AI$4,'MONTHLY (R)'!$AS$9,FORECASTS!E21:AI21)/DASHBOARD!BH194-1,0)</f>
        <v>0</v>
      </c>
      <c r="D93" s="66" t="e" cm="1">
        <f t="array" ref="D93">INDEX(HIDE5!D50:O50,0,HIDE2!$C$85)*(1+C93)</f>
        <v>#N/A</v>
      </c>
    </row>
    <row r="94" spans="2:4" x14ac:dyDescent="0.3">
      <c r="B94" t="str">
        <f>'ACTUALS (M)'!B17</f>
        <v>Additional Guest Fee</v>
      </c>
      <c r="C94" s="1415">
        <f>IFERROR(SUMIF(FORECASTS!$E$4:$AI$4,'MONTHLY (R)'!$AS$9,FORECASTS!E23:AI23)/DASHBOARD!BH195-1,0)</f>
        <v>0</v>
      </c>
      <c r="D94" s="66" t="e" cm="1">
        <f t="array" ref="D94">INDEX(HIDE5!D51:O51,0,HIDE2!$C$85)*(1+C94)</f>
        <v>#N/A</v>
      </c>
    </row>
    <row r="95" spans="2:4" x14ac:dyDescent="0.3">
      <c r="B95" t="str">
        <f>'ACTUALS (M)'!B18</f>
        <v>Service Fee - Host</v>
      </c>
      <c r="C95" s="1415">
        <f>IFERROR(SUMIF(FORECASTS!$E$4:$AI$4,'MONTHLY (R)'!$AS$9,FORECASTS!E25:AI25)/DASHBOARD!BH196-1,0)</f>
        <v>0</v>
      </c>
      <c r="D95" s="66" t="e" cm="1">
        <f t="array" ref="D95">INDEX(HIDE5!D52:O52,0,HIDE2!$C$85)*(1+C95)</f>
        <v>#N/A</v>
      </c>
    </row>
    <row r="96" spans="2:4" x14ac:dyDescent="0.3">
      <c r="B96" s="12" t="s">
        <v>584</v>
      </c>
      <c r="C96" s="1415"/>
      <c r="D96" s="192" t="e">
        <f>SUM(D92:D95)</f>
        <v>#N/A</v>
      </c>
    </row>
  </sheetData>
  <mergeCells count="4">
    <mergeCell ref="E4:F4"/>
    <mergeCell ref="E14:F14"/>
    <mergeCell ref="E25:F25"/>
    <mergeCell ref="E35:F35"/>
  </mergeCells>
  <pageMargins left="0.7" right="0.7" top="0.78740157499999996" bottom="0.78740157499999996" header="0.3" footer="0.3"/>
  <pageSetup paperSize="9" scale="78"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437B2-FB6A-4A93-970D-5A09FBCFCC02}">
  <sheetPr codeName="Sheet30">
    <tabColor theme="7" tint="0.79998168889431442"/>
    <pageSetUpPr autoPageBreaks="0" fitToPage="1"/>
  </sheetPr>
  <dimension ref="A1:CE73"/>
  <sheetViews>
    <sheetView showGridLines="0" showRowColHeaders="0" zoomScaleNormal="100" zoomScaleSheetLayoutView="100" workbookViewId="0">
      <pane ySplit="4" topLeftCell="A5" activePane="bottomLeft" state="frozen"/>
      <selection pane="bottomLeft" activeCell="A5" sqref="A5"/>
    </sheetView>
  </sheetViews>
  <sheetFormatPr defaultColWidth="9.109375" defaultRowHeight="15" customHeight="1" x14ac:dyDescent="0.25"/>
  <cols>
    <col min="1" max="1" width="2.88671875" style="353" customWidth="1"/>
    <col min="2" max="15" width="2.88671875" style="331" customWidth="1"/>
    <col min="16" max="18" width="2.88671875" style="353" customWidth="1"/>
    <col min="19" max="22" width="2.88671875" style="331" customWidth="1"/>
    <col min="23" max="27" width="2.88671875" style="353" customWidth="1"/>
    <col min="28" max="31" width="2.88671875" style="331" customWidth="1"/>
    <col min="32" max="34" width="2.88671875" style="353" customWidth="1"/>
    <col min="35" max="38" width="2.88671875" style="331" customWidth="1"/>
    <col min="39" max="41" width="2.88671875" style="353" customWidth="1"/>
    <col min="42" max="42" width="3.44140625" style="331" customWidth="1"/>
    <col min="43" max="43" width="9.109375" style="331" customWidth="1"/>
    <col min="44" max="44" width="2.88671875" style="331" customWidth="1"/>
    <col min="45" max="45" width="15.109375" style="331" customWidth="1"/>
    <col min="46" max="46" width="2.88671875" style="331" customWidth="1"/>
    <col min="47" max="47" width="15" style="331" customWidth="1"/>
    <col min="48" max="49" width="9.109375" style="331" customWidth="1"/>
    <col min="50" max="50" width="14" style="331" customWidth="1"/>
    <col min="51" max="16384" width="9.109375" style="331"/>
  </cols>
  <sheetData>
    <row r="1" spans="1:83" s="1244" customFormat="1" ht="30" customHeight="1" x14ac:dyDescent="0.25">
      <c r="A1" s="1685" t="s">
        <v>988</v>
      </c>
    </row>
    <row r="2" spans="1:83" s="673" customFormat="1" ht="18.75" customHeight="1" x14ac:dyDescent="0.25">
      <c r="A2" s="1685"/>
      <c r="B2" s="1244"/>
      <c r="C2" s="1244"/>
      <c r="D2" s="1244"/>
      <c r="E2" s="1244"/>
      <c r="F2" s="1244"/>
      <c r="G2" s="1244"/>
      <c r="H2" s="1244"/>
      <c r="I2" s="1244"/>
      <c r="J2" s="1244"/>
      <c r="K2" s="1244"/>
      <c r="L2" s="1244"/>
      <c r="M2" s="1244"/>
      <c r="N2" s="1244"/>
      <c r="O2" s="1244"/>
      <c r="P2" s="1244"/>
      <c r="Q2" s="1244"/>
      <c r="R2" s="1244"/>
      <c r="S2" s="1244"/>
      <c r="T2" s="1244"/>
      <c r="U2" s="1244"/>
      <c r="V2" s="1244"/>
      <c r="W2" s="1244"/>
      <c r="X2" s="1244"/>
      <c r="Y2" s="1244"/>
      <c r="Z2" s="1244"/>
      <c r="AA2" s="1244"/>
      <c r="AB2" s="1244"/>
      <c r="AC2" s="1244"/>
      <c r="AD2" s="1244"/>
      <c r="AE2" s="1244"/>
      <c r="AF2" s="1244"/>
      <c r="AG2" s="1244"/>
      <c r="AH2" s="1244"/>
      <c r="AI2" s="1244"/>
      <c r="AJ2" s="1244"/>
      <c r="AK2" s="1244"/>
      <c r="AL2" s="1244"/>
      <c r="AM2" s="1244"/>
      <c r="AN2" s="1244"/>
      <c r="AO2" s="1244"/>
      <c r="AP2" s="1244"/>
      <c r="AQ2" s="1244"/>
      <c r="AR2" s="1244"/>
      <c r="AS2" s="1244"/>
      <c r="AT2" s="1244"/>
      <c r="AU2" s="1244"/>
      <c r="AV2" s="1244"/>
      <c r="AW2" s="1244"/>
      <c r="AX2" s="1244"/>
      <c r="AY2" s="1244"/>
      <c r="AZ2" s="1244"/>
      <c r="BA2" s="1244"/>
      <c r="BB2" s="1244"/>
      <c r="BC2" s="1244"/>
      <c r="BD2" s="1244"/>
      <c r="BE2" s="1244"/>
      <c r="BF2" s="1244"/>
      <c r="BG2" s="1244"/>
      <c r="BH2" s="1244"/>
      <c r="BI2" s="1244"/>
      <c r="BJ2" s="1244"/>
      <c r="BK2" s="1244"/>
      <c r="BL2" s="1244"/>
      <c r="BM2" s="1244"/>
      <c r="BN2" s="1244"/>
      <c r="BO2" s="1244"/>
      <c r="BP2" s="1244"/>
      <c r="BQ2" s="1244"/>
      <c r="BR2" s="1244"/>
      <c r="BS2" s="1244"/>
      <c r="BT2" s="1244"/>
      <c r="BU2" s="1244"/>
      <c r="BV2" s="1244"/>
      <c r="BW2" s="1244"/>
      <c r="BX2" s="1244"/>
      <c r="BY2" s="1244"/>
      <c r="BZ2" s="1244"/>
      <c r="CA2" s="1244"/>
      <c r="CB2" s="1244"/>
    </row>
    <row r="3" spans="1:83" ht="15.6" x14ac:dyDescent="0.25">
      <c r="A3" s="1685"/>
      <c r="B3" s="1244"/>
      <c r="C3" s="1244"/>
      <c r="D3" s="1244"/>
      <c r="E3" s="1244"/>
      <c r="F3" s="1244"/>
      <c r="G3" s="1244"/>
      <c r="H3" s="1244"/>
      <c r="I3" s="1244"/>
      <c r="J3" s="1244"/>
      <c r="K3" s="1244"/>
      <c r="L3" s="1244"/>
      <c r="M3" s="1244"/>
      <c r="N3" s="1244"/>
      <c r="O3" s="1244"/>
      <c r="P3" s="1244"/>
      <c r="Q3" s="1244"/>
      <c r="R3" s="1244"/>
      <c r="S3" s="1244"/>
      <c r="T3" s="1244"/>
      <c r="U3" s="1244"/>
      <c r="V3" s="1244"/>
      <c r="W3" s="1244"/>
      <c r="X3" s="1244"/>
      <c r="Y3" s="1244"/>
      <c r="Z3" s="1244"/>
      <c r="AA3" s="1244"/>
      <c r="AB3" s="1244"/>
      <c r="AC3" s="1244"/>
      <c r="AD3" s="1244"/>
      <c r="AE3" s="1244"/>
      <c r="AF3" s="1244"/>
      <c r="AG3" s="1244"/>
      <c r="AH3" s="1244"/>
      <c r="AI3" s="1244"/>
      <c r="AJ3" s="1244"/>
      <c r="AK3" s="1244"/>
      <c r="AL3" s="1244"/>
      <c r="AM3" s="1244"/>
      <c r="AN3" s="1244"/>
      <c r="AO3" s="1244"/>
      <c r="AP3" s="1244"/>
      <c r="AQ3" s="1244"/>
      <c r="AR3" s="1244"/>
      <c r="AS3" s="1244"/>
      <c r="AT3" s="1244"/>
      <c r="AU3" s="1244"/>
      <c r="AV3" s="1244"/>
      <c r="AW3" s="1244"/>
      <c r="AX3" s="1244"/>
      <c r="AY3" s="1244"/>
      <c r="AZ3" s="1244"/>
      <c r="BA3" s="1244"/>
      <c r="BB3" s="1244"/>
      <c r="BC3" s="1244"/>
      <c r="BD3" s="1244"/>
      <c r="BE3" s="1244"/>
      <c r="BF3" s="1244"/>
      <c r="BG3" s="1244"/>
      <c r="BH3" s="1244"/>
      <c r="BI3" s="1244"/>
      <c r="BJ3" s="1244"/>
      <c r="BK3" s="1244"/>
      <c r="BL3" s="1244"/>
      <c r="BM3" s="1244"/>
      <c r="BN3" s="1244"/>
      <c r="BO3" s="1244"/>
      <c r="BP3" s="1244"/>
      <c r="BQ3" s="1244"/>
      <c r="BR3" s="1244"/>
      <c r="BS3" s="1244"/>
      <c r="BT3" s="1244"/>
      <c r="BU3" s="1244"/>
      <c r="BV3" s="1244"/>
      <c r="BW3" s="1244"/>
      <c r="BX3" s="1244"/>
      <c r="BY3" s="1244"/>
      <c r="BZ3" s="1244"/>
      <c r="CA3" s="1244"/>
      <c r="CB3" s="1244"/>
    </row>
    <row r="4" spans="1:83" ht="15" customHeight="1" x14ac:dyDescent="0.3">
      <c r="A4" s="673"/>
      <c r="B4" s="1377" t="s">
        <v>1006</v>
      </c>
      <c r="C4" s="1357"/>
      <c r="D4" s="1357"/>
      <c r="E4" s="1357"/>
      <c r="F4" s="2602" t="s">
        <v>1007</v>
      </c>
      <c r="G4" s="2603"/>
      <c r="H4" s="2603"/>
      <c r="I4" s="2604"/>
      <c r="J4" s="2602" t="s">
        <v>10</v>
      </c>
      <c r="K4" s="2603"/>
      <c r="L4" s="2603"/>
      <c r="M4" s="2604"/>
      <c r="N4" s="2602" t="s">
        <v>1094</v>
      </c>
      <c r="O4" s="2603"/>
      <c r="P4" s="2603"/>
      <c r="Q4" s="2604"/>
      <c r="R4" s="2605" t="s">
        <v>1063</v>
      </c>
      <c r="S4" s="2606"/>
      <c r="T4" s="2606"/>
      <c r="U4" s="2607"/>
      <c r="V4" s="2602" t="s">
        <v>1008</v>
      </c>
      <c r="W4" s="2603"/>
      <c r="X4" s="2603"/>
      <c r="Y4" s="2604"/>
      <c r="Z4" s="2602" t="s">
        <v>172</v>
      </c>
      <c r="AA4" s="2603"/>
      <c r="AB4" s="2603"/>
      <c r="AC4" s="2604"/>
      <c r="AD4" s="2602" t="s">
        <v>1009</v>
      </c>
      <c r="AE4" s="2603"/>
      <c r="AF4" s="2603"/>
      <c r="AG4" s="2604"/>
      <c r="AH4" s="2602" t="s">
        <v>1005</v>
      </c>
      <c r="AI4" s="2603"/>
      <c r="AJ4" s="2603"/>
      <c r="AK4" s="2604"/>
      <c r="AL4" s="1357"/>
      <c r="AM4" s="1357"/>
      <c r="AN4" s="1357"/>
      <c r="AO4" s="1357"/>
      <c r="AP4" s="1357"/>
      <c r="AQ4" s="1357"/>
      <c r="AR4" s="1357"/>
      <c r="AS4" s="1357"/>
      <c r="AT4" s="1357"/>
      <c r="AU4" s="1357"/>
      <c r="AV4" s="1357"/>
      <c r="AW4" s="1357"/>
      <c r="AX4" s="1357"/>
      <c r="AY4" s="1357"/>
      <c r="AZ4" s="1357"/>
      <c r="BA4" s="1357"/>
      <c r="BB4" s="1357"/>
      <c r="BC4" s="1495"/>
      <c r="BD4" s="1496"/>
      <c r="BE4" s="1496"/>
      <c r="BF4" s="1497"/>
      <c r="BG4" s="673"/>
      <c r="BH4" s="673"/>
      <c r="BI4" s="673"/>
      <c r="BJ4" s="673"/>
      <c r="BK4" s="673"/>
      <c r="BL4" s="673"/>
      <c r="BM4" s="673"/>
      <c r="BN4" s="673"/>
      <c r="BO4" s="673"/>
      <c r="BP4" s="1379"/>
      <c r="BQ4" s="673"/>
      <c r="BR4" s="673"/>
      <c r="BS4" s="673"/>
      <c r="BT4" s="673"/>
      <c r="BU4" s="673"/>
      <c r="BV4" s="673"/>
      <c r="BW4" s="673"/>
      <c r="BX4" s="673"/>
      <c r="BY4" s="673"/>
      <c r="BZ4" s="673"/>
      <c r="CA4" s="673"/>
      <c r="CB4" s="673"/>
      <c r="CC4" s="1876"/>
      <c r="CD4" s="1876"/>
      <c r="CE4" s="1876"/>
    </row>
    <row r="5" spans="1:83" ht="14.25" customHeight="1" x14ac:dyDescent="0.25">
      <c r="A5" s="1867"/>
      <c r="B5" s="9"/>
      <c r="C5" s="9"/>
      <c r="D5" s="9"/>
      <c r="E5" s="9"/>
      <c r="F5" s="9"/>
      <c r="G5" s="9"/>
      <c r="H5" s="9"/>
      <c r="I5" s="9"/>
      <c r="J5" s="9"/>
      <c r="K5" s="9"/>
      <c r="L5" s="9"/>
      <c r="M5" s="9"/>
      <c r="N5" s="9"/>
      <c r="O5" s="9"/>
      <c r="P5" s="377"/>
      <c r="Q5" s="377"/>
      <c r="R5" s="377"/>
      <c r="S5" s="9"/>
      <c r="T5" s="9"/>
      <c r="U5" s="9"/>
      <c r="V5" s="9"/>
      <c r="W5" s="377"/>
      <c r="X5" s="377"/>
      <c r="Y5" s="377"/>
      <c r="Z5" s="377"/>
      <c r="AA5" s="377"/>
      <c r="AB5" s="9"/>
      <c r="AC5" s="9"/>
      <c r="AD5" s="9"/>
      <c r="AE5" s="9"/>
      <c r="AF5" s="377"/>
      <c r="AG5" s="377"/>
      <c r="AH5" s="377"/>
      <c r="AI5" s="9"/>
      <c r="AJ5" s="9"/>
      <c r="AK5" s="9"/>
      <c r="AL5" s="9"/>
      <c r="AM5" s="377"/>
      <c r="AN5" s="377"/>
      <c r="AO5" s="377"/>
      <c r="AP5" s="9"/>
    </row>
    <row r="6" spans="1:83" ht="15" customHeight="1" thickBot="1" x14ac:dyDescent="0.35">
      <c r="A6" s="156"/>
      <c r="B6" s="1237" t="s">
        <v>1049</v>
      </c>
      <c r="C6" s="1358"/>
      <c r="D6" s="1359"/>
      <c r="E6" s="1358"/>
      <c r="F6" s="1359"/>
      <c r="G6" s="1235"/>
      <c r="H6" s="1235"/>
      <c r="I6" s="1235"/>
      <c r="J6" s="1235"/>
      <c r="K6" s="1180"/>
      <c r="L6" s="1240"/>
      <c r="M6" s="1235"/>
      <c r="N6" s="1235"/>
      <c r="O6" s="1235"/>
      <c r="P6" s="1235"/>
      <c r="Q6" s="1235"/>
      <c r="R6" s="1235"/>
      <c r="S6" s="1235"/>
      <c r="T6" s="1235"/>
      <c r="U6" s="1235"/>
      <c r="V6" s="1235"/>
      <c r="W6" s="1235"/>
      <c r="X6" s="1235"/>
      <c r="Y6" s="1235"/>
      <c r="Z6" s="1235"/>
      <c r="AA6" s="1235"/>
      <c r="AB6" s="1235"/>
      <c r="AC6" s="1235"/>
      <c r="AD6" s="1235"/>
      <c r="AE6" s="1235"/>
      <c r="AF6" s="1235"/>
      <c r="AG6" s="1235"/>
      <c r="AH6" s="1235"/>
      <c r="AI6" s="1235"/>
      <c r="AJ6" s="1180" t="s">
        <v>96</v>
      </c>
      <c r="AK6" s="2650">
        <f ca="1">TODAY()</f>
        <v>45920</v>
      </c>
      <c r="AL6" s="2650"/>
      <c r="AM6" s="2650"/>
      <c r="AN6" s="2650"/>
      <c r="AO6" s="2650"/>
      <c r="AP6" s="9"/>
      <c r="AR6" s="2658" t="s">
        <v>1043</v>
      </c>
      <c r="AS6" s="2659"/>
      <c r="AT6" s="2660"/>
    </row>
    <row r="7" spans="1:83" ht="14.25" customHeight="1" thickTop="1" x14ac:dyDescent="0.25">
      <c r="A7" s="377"/>
      <c r="B7" s="9"/>
      <c r="C7" s="9"/>
      <c r="D7" s="9"/>
      <c r="E7" s="9"/>
      <c r="F7" s="9"/>
      <c r="G7" s="9"/>
      <c r="H7" s="9"/>
      <c r="I7" s="9"/>
      <c r="J7" s="9"/>
      <c r="K7" s="9"/>
      <c r="L7" s="9"/>
      <c r="M7" s="9"/>
      <c r="N7" s="9"/>
      <c r="O7" s="9"/>
      <c r="P7" s="377"/>
      <c r="Q7" s="377"/>
      <c r="R7" s="377"/>
      <c r="S7" s="9"/>
      <c r="T7" s="9"/>
      <c r="U7" s="9"/>
      <c r="V7" s="9"/>
      <c r="W7" s="377"/>
      <c r="X7" s="377"/>
      <c r="Y7" s="377"/>
      <c r="Z7" s="377"/>
      <c r="AA7" s="377"/>
      <c r="AB7" s="9"/>
      <c r="AC7" s="9"/>
      <c r="AD7" s="9"/>
      <c r="AE7" s="9"/>
      <c r="AF7" s="377"/>
      <c r="AG7" s="377"/>
      <c r="AH7" s="377"/>
      <c r="AI7" s="9"/>
      <c r="AJ7" s="9"/>
      <c r="AK7" s="9"/>
      <c r="AL7" s="9"/>
      <c r="AM7" s="377"/>
      <c r="AN7" s="377"/>
      <c r="AO7" s="377"/>
      <c r="AP7" s="9"/>
      <c r="AR7" s="1389"/>
      <c r="AS7" s="1453" t="s">
        <v>1050</v>
      </c>
      <c r="AT7" s="1390"/>
    </row>
    <row r="8" spans="1:83" ht="18.75" customHeight="1" x14ac:dyDescent="0.25">
      <c r="A8" s="377"/>
      <c r="B8" s="1383" t="s">
        <v>372</v>
      </c>
      <c r="C8" s="1360"/>
      <c r="D8" s="1360"/>
      <c r="E8" s="1360"/>
      <c r="F8" s="1360"/>
      <c r="G8" s="1360"/>
      <c r="H8" s="1360"/>
      <c r="I8" s="1360"/>
      <c r="J8" s="1360"/>
      <c r="K8" s="1360"/>
      <c r="L8" s="1360"/>
      <c r="M8" s="1360"/>
      <c r="N8" s="1360"/>
      <c r="O8" s="1360"/>
      <c r="P8" s="1360"/>
      <c r="Q8" s="1360"/>
      <c r="R8" s="1360"/>
      <c r="S8" s="1360"/>
      <c r="T8" s="1360"/>
      <c r="U8" s="1360"/>
      <c r="V8" s="1360"/>
      <c r="W8" s="1360"/>
      <c r="X8" s="1360"/>
      <c r="Y8" s="1360"/>
      <c r="Z8" s="1360"/>
      <c r="AA8" s="1360"/>
      <c r="AB8" s="1360"/>
      <c r="AC8" s="1360"/>
      <c r="AD8" s="1360"/>
      <c r="AE8" s="1360"/>
      <c r="AF8" s="1360"/>
      <c r="AG8" s="1360"/>
      <c r="AH8" s="1360"/>
      <c r="AI8" s="1360"/>
      <c r="AJ8" s="1360"/>
      <c r="AK8" s="1360"/>
      <c r="AL8" s="1360"/>
      <c r="AM8" s="1360"/>
      <c r="AN8" s="1360"/>
      <c r="AO8" s="1360"/>
      <c r="AP8" s="9"/>
      <c r="AR8" s="1391"/>
      <c r="AS8" s="1721"/>
      <c r="AT8" s="1720" t="e">
        <f>MATCH(AS8,HIDE5!C10:C21,0)</f>
        <v>#N/A</v>
      </c>
    </row>
    <row r="9" spans="1:83" ht="7.5" customHeight="1" thickBot="1" x14ac:dyDescent="0.3">
      <c r="A9" s="377"/>
      <c r="B9" s="1361"/>
      <c r="C9" s="1361"/>
      <c r="D9" s="1361"/>
      <c r="E9" s="1361"/>
      <c r="F9" s="1361"/>
      <c r="G9" s="1361"/>
      <c r="H9" s="1361"/>
      <c r="I9" s="1361"/>
      <c r="J9" s="1361"/>
      <c r="K9" s="1361"/>
      <c r="L9" s="1361"/>
      <c r="M9" s="1361"/>
      <c r="N9" s="1361"/>
      <c r="O9" s="1361"/>
      <c r="P9" s="1361"/>
      <c r="Q9" s="1361"/>
      <c r="R9" s="1361"/>
      <c r="S9" s="1361"/>
      <c r="T9" s="1361"/>
      <c r="U9" s="1361"/>
      <c r="V9" s="1361"/>
      <c r="W9" s="1361"/>
      <c r="X9" s="1361"/>
      <c r="Y9" s="1361"/>
      <c r="Z9" s="1361"/>
      <c r="AA9" s="1361"/>
      <c r="AB9" s="1361"/>
      <c r="AC9" s="1361"/>
      <c r="AD9" s="1361"/>
      <c r="AE9" s="1361"/>
      <c r="AF9" s="1361"/>
      <c r="AG9" s="1361"/>
      <c r="AH9" s="1361"/>
      <c r="AI9" s="1361"/>
      <c r="AJ9" s="1361"/>
      <c r="AK9" s="1361"/>
      <c r="AL9" s="1361"/>
      <c r="AM9" s="1361"/>
      <c r="AN9" s="1361"/>
      <c r="AO9" s="1361"/>
      <c r="AP9" s="9"/>
      <c r="AR9" s="1391"/>
      <c r="AS9" s="1721"/>
      <c r="AT9" s="1414"/>
    </row>
    <row r="10" spans="1:83" ht="16.5" customHeight="1" thickBot="1" x14ac:dyDescent="0.3">
      <c r="A10" s="377"/>
      <c r="B10" s="1781" t="str">
        <f>"Year to Date - "&amp;AS8&amp;" "&amp;AS9</f>
        <v xml:space="preserve">Year to Date -  </v>
      </c>
      <c r="C10" s="1782"/>
      <c r="D10" s="1782"/>
      <c r="E10" s="1782"/>
      <c r="F10" s="1782"/>
      <c r="G10" s="1782"/>
      <c r="H10" s="1782"/>
      <c r="I10" s="1782"/>
      <c r="J10" s="1782"/>
      <c r="K10" s="1782"/>
      <c r="L10" s="1782"/>
      <c r="M10" s="1782"/>
      <c r="N10" s="1782"/>
      <c r="O10" s="1782"/>
      <c r="P10" s="1782"/>
      <c r="Q10" s="1782"/>
      <c r="R10" s="1782"/>
      <c r="S10" s="1782"/>
      <c r="T10" s="1782"/>
      <c r="U10" s="1782"/>
      <c r="V10" s="1782"/>
      <c r="W10" s="1782"/>
      <c r="X10" s="1782"/>
      <c r="Y10" s="1782"/>
      <c r="Z10" s="1782"/>
      <c r="AA10" s="1782"/>
      <c r="AB10" s="1782"/>
      <c r="AC10" s="1782"/>
      <c r="AD10" s="1782"/>
      <c r="AE10" s="1782"/>
      <c r="AF10" s="1782"/>
      <c r="AG10" s="1782"/>
      <c r="AH10" s="1782"/>
      <c r="AI10" s="1782"/>
      <c r="AJ10" s="1782"/>
      <c r="AK10" s="1782"/>
      <c r="AL10" s="1782"/>
      <c r="AM10" s="1782"/>
      <c r="AN10" s="1782"/>
      <c r="AO10" s="1783"/>
      <c r="AP10" s="9"/>
      <c r="AR10" s="1392"/>
      <c r="AS10" s="1393">
        <f t="array" aca="1" ref="AS10" ca="1">IFERROR(SpecialFunction(AS9),AS9)</f>
        <v>0</v>
      </c>
      <c r="AT10" s="1394"/>
    </row>
    <row r="11" spans="1:83" ht="16.5" customHeight="1" thickBot="1" x14ac:dyDescent="0.3">
      <c r="A11" s="377"/>
      <c r="B11" s="1784"/>
      <c r="C11" s="1785"/>
      <c r="D11" s="1785"/>
      <c r="E11" s="1785"/>
      <c r="F11" s="1785"/>
      <c r="G11" s="1785"/>
      <c r="H11" s="1785"/>
      <c r="I11" s="1785"/>
      <c r="J11" s="1785"/>
      <c r="K11" s="1785"/>
      <c r="L11" s="1785"/>
      <c r="M11" s="1785"/>
      <c r="N11" s="1785"/>
      <c r="O11" s="1785"/>
      <c r="P11" s="1785"/>
      <c r="Q11" s="1785"/>
      <c r="R11" s="1785"/>
      <c r="S11" s="1785"/>
      <c r="T11" s="1785"/>
      <c r="U11" s="1785"/>
      <c r="V11" s="1785"/>
      <c r="W11" s="1785"/>
      <c r="X11" s="1785"/>
      <c r="Y11" s="1785"/>
      <c r="Z11" s="1785"/>
      <c r="AA11" s="1785"/>
      <c r="AB11" s="1785"/>
      <c r="AC11" s="1785"/>
      <c r="AD11" s="1785"/>
      <c r="AE11" s="1785"/>
      <c r="AF11" s="1785"/>
      <c r="AG11" s="1785"/>
      <c r="AH11" s="1785"/>
      <c r="AI11" s="1785"/>
      <c r="AJ11" s="1785"/>
      <c r="AK11" s="1785"/>
      <c r="AL11" s="1785"/>
      <c r="AM11" s="1785"/>
      <c r="AN11" s="1785"/>
      <c r="AO11" s="1785"/>
      <c r="AP11" s="9"/>
    </row>
    <row r="12" spans="1:83" s="1246" customFormat="1" ht="11.25" customHeight="1" x14ac:dyDescent="0.25">
      <c r="A12" s="377"/>
      <c r="B12" s="2668" t="s">
        <v>1052</v>
      </c>
      <c r="C12" s="2669"/>
      <c r="D12" s="2669"/>
      <c r="E12" s="2669"/>
      <c r="F12" s="2670"/>
      <c r="G12" s="2690" t="s">
        <v>1021</v>
      </c>
      <c r="H12" s="2664"/>
      <c r="I12" s="2664"/>
      <c r="J12" s="2664"/>
      <c r="K12" s="2664"/>
      <c r="L12" s="2664"/>
      <c r="M12" s="2664"/>
      <c r="N12" s="2664" t="s">
        <v>1020</v>
      </c>
      <c r="O12" s="2664"/>
      <c r="P12" s="2664"/>
      <c r="Q12" s="2664"/>
      <c r="R12" s="2664"/>
      <c r="S12" s="2664"/>
      <c r="T12" s="2664"/>
      <c r="U12" s="2664" t="s">
        <v>1022</v>
      </c>
      <c r="V12" s="2664"/>
      <c r="W12" s="2664"/>
      <c r="X12" s="2664"/>
      <c r="Y12" s="2664"/>
      <c r="Z12" s="2664"/>
      <c r="AA12" s="2664"/>
      <c r="AB12" s="2664" t="s">
        <v>1023</v>
      </c>
      <c r="AC12" s="2664"/>
      <c r="AD12" s="2664"/>
      <c r="AE12" s="2664"/>
      <c r="AF12" s="2664"/>
      <c r="AG12" s="2664"/>
      <c r="AH12" s="2664"/>
      <c r="AI12" s="2664" t="s">
        <v>1051</v>
      </c>
      <c r="AJ12" s="2664"/>
      <c r="AK12" s="2664"/>
      <c r="AL12" s="2664"/>
      <c r="AM12" s="2664"/>
      <c r="AN12" s="2664"/>
      <c r="AO12" s="2664"/>
      <c r="AP12" s="9"/>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row>
    <row r="13" spans="1:83" ht="16.5" customHeight="1" x14ac:dyDescent="0.25">
      <c r="A13" s="377"/>
      <c r="B13" s="2671"/>
      <c r="C13" s="2672"/>
      <c r="D13" s="2672"/>
      <c r="E13" s="2672"/>
      <c r="F13" s="2673"/>
      <c r="G13" s="2648">
        <f>SUMIFS('ACTUALS (M)'!G19:DV19,'ACTUALS (M)'!$G$7:$DV$7,'VERSUS (R)'!$AS$9,'ACTUALS (M)'!G6:DV6,"&lt;="&amp;'VERSUS (R)'!AT8)</f>
        <v>0</v>
      </c>
      <c r="H13" s="2648"/>
      <c r="I13" s="2648"/>
      <c r="J13" s="2648"/>
      <c r="K13" s="2648"/>
      <c r="L13" s="2648"/>
      <c r="M13" s="2648"/>
      <c r="N13" s="2648">
        <f>-SUMIFS('ACTUALS (M)'!G41:DV41,'ACTUALS (M)'!$G$7:$DV$7,'VERSUS (R)'!$AS$9,'ACTUALS (M)'!G6:DV6,"&lt;="&amp;'VERSUS (R)'!AT8)</f>
        <v>0</v>
      </c>
      <c r="O13" s="2648"/>
      <c r="P13" s="2648"/>
      <c r="Q13" s="2648"/>
      <c r="R13" s="2648"/>
      <c r="S13" s="2648"/>
      <c r="T13" s="2648"/>
      <c r="U13" s="2648">
        <f>-SUMIFS('ACTUALS (M)'!G47:DV47,'ACTUALS (M)'!$G$7:$DV$7,'VERSUS (R)'!$AS$9,'ACTUALS (M)'!G6:DV6,"&lt;="&amp;'VERSUS (R)'!AT8)-SUMIFS('ACTUALS (M)'!G48:DV48,'ACTUALS (M)'!$G$7:$DV$7,'VERSUS (R)'!$AS$9,'ACTUALS (M)'!G6:DV6,"&lt;="&amp;'VERSUS (R)'!AT8)-SUMIFS('ACTUALS (M)'!G49:DV49,'ACTUALS (M)'!$G$7:$DV$7,'VERSUS (R)'!$AS$9,'ACTUALS (M)'!G6:DV6,"&lt;="&amp;'VERSUS (R)'!AT8)</f>
        <v>0</v>
      </c>
      <c r="V13" s="2648"/>
      <c r="W13" s="2648"/>
      <c r="X13" s="2648"/>
      <c r="Y13" s="2648"/>
      <c r="Z13" s="2648"/>
      <c r="AA13" s="2648"/>
      <c r="AB13" s="2648">
        <f>-SUMIFS('ACTUALS (M)'!G56:DV56,'ACTUALS (M)'!$G$7:$DV$7,'VERSUS (R)'!$AS$9,'ACTUALS (M)'!G6:DV6,"&lt;="&amp;'VERSUS (R)'!AT8)</f>
        <v>0</v>
      </c>
      <c r="AC13" s="2648"/>
      <c r="AD13" s="2648"/>
      <c r="AE13" s="2648"/>
      <c r="AF13" s="2648"/>
      <c r="AG13" s="2648"/>
      <c r="AH13" s="2648"/>
      <c r="AI13" s="2648">
        <f>SUMIFS('ACTUALS (M)'!G58:DV58,'ACTUALS (M)'!$G$7:$DV$7,'VERSUS (R)'!$AS$9,'ACTUALS (M)'!G6:DV6,"&lt;="&amp;'VERSUS (R)'!AT8)</f>
        <v>0</v>
      </c>
      <c r="AJ13" s="2648"/>
      <c r="AK13" s="2648"/>
      <c r="AL13" s="2648"/>
      <c r="AM13" s="2648"/>
      <c r="AN13" s="2648"/>
      <c r="AO13" s="2648"/>
      <c r="AP13" s="9"/>
      <c r="CC13" s="1246"/>
      <c r="CD13" s="1246"/>
      <c r="CE13" s="1246"/>
    </row>
    <row r="14" spans="1:83" ht="16.5" customHeight="1" thickBot="1" x14ac:dyDescent="0.3">
      <c r="A14" s="8"/>
      <c r="B14" s="2674"/>
      <c r="C14" s="2675"/>
      <c r="D14" s="2675"/>
      <c r="E14" s="2675"/>
      <c r="F14" s="2676"/>
      <c r="G14" s="2656">
        <f>SUMIFS('ACTUALS (M)'!G11:DV11,'ACTUALS (M)'!$G$7:$DV$7,'VERSUS (R)'!$AS$9,'ACTUALS (M)'!G6:DV6,"&lt;="&amp;'VERSUS (R)'!AT8)</f>
        <v>0</v>
      </c>
      <c r="H14" s="2656"/>
      <c r="I14" s="2656"/>
      <c r="J14" s="2656"/>
      <c r="K14" s="2656"/>
      <c r="L14" s="2656"/>
      <c r="M14" s="2656"/>
      <c r="N14" s="2649">
        <f>IFERROR(N13/$G$13,0)</f>
        <v>0</v>
      </c>
      <c r="O14" s="2649"/>
      <c r="P14" s="2649"/>
      <c r="Q14" s="2649"/>
      <c r="R14" s="2649"/>
      <c r="S14" s="2649"/>
      <c r="T14" s="2649"/>
      <c r="U14" s="2649">
        <f>IFERROR(U13/$G$13,0)</f>
        <v>0</v>
      </c>
      <c r="V14" s="2649"/>
      <c r="W14" s="2649"/>
      <c r="X14" s="2649"/>
      <c r="Y14" s="2649"/>
      <c r="Z14" s="2649"/>
      <c r="AA14" s="2649"/>
      <c r="AB14" s="2649">
        <f>IFERROR(AB13/$G$13,0)</f>
        <v>0</v>
      </c>
      <c r="AC14" s="2649"/>
      <c r="AD14" s="2649"/>
      <c r="AE14" s="2649"/>
      <c r="AF14" s="2649"/>
      <c r="AG14" s="2649"/>
      <c r="AH14" s="2649"/>
      <c r="AI14" s="2649">
        <f>IFERROR(AI13/$G$13,0)</f>
        <v>0</v>
      </c>
      <c r="AJ14" s="2649"/>
      <c r="AK14" s="2649"/>
      <c r="AL14" s="2649"/>
      <c r="AM14" s="2649"/>
      <c r="AN14" s="2649"/>
      <c r="AO14" s="2649"/>
      <c r="AP14" s="8"/>
      <c r="AQ14" s="1246"/>
      <c r="AR14" s="1246"/>
      <c r="AS14" s="1246"/>
      <c r="AT14" s="1246"/>
      <c r="AU14" s="1246"/>
      <c r="AV14" s="1246"/>
      <c r="AW14" s="1246"/>
      <c r="AX14" s="1246"/>
      <c r="AY14" s="1246"/>
      <c r="AZ14" s="1246"/>
      <c r="BA14" s="1246"/>
      <c r="BB14" s="1246"/>
      <c r="BC14" s="1246"/>
      <c r="BD14" s="1246"/>
      <c r="BE14" s="1246"/>
      <c r="BF14" s="1246"/>
      <c r="BG14" s="1246"/>
      <c r="BH14" s="1246"/>
      <c r="BI14" s="1246"/>
      <c r="BJ14" s="1246"/>
      <c r="BK14" s="1246"/>
      <c r="BL14" s="1246"/>
      <c r="BM14" s="1246"/>
      <c r="BN14" s="1246"/>
      <c r="BO14" s="1246"/>
      <c r="BP14" s="1246"/>
      <c r="BQ14" s="1246"/>
      <c r="BR14" s="1246"/>
      <c r="BS14" s="1246"/>
      <c r="BT14" s="1246"/>
      <c r="BU14" s="1246"/>
      <c r="BV14" s="1246"/>
      <c r="BW14" s="1246"/>
      <c r="BX14" s="1246"/>
      <c r="BY14" s="1246"/>
      <c r="BZ14" s="1246"/>
      <c r="CA14" s="1246"/>
      <c r="CB14" s="1246"/>
    </row>
    <row r="15" spans="1:83" ht="16.5" customHeight="1" thickBot="1" x14ac:dyDescent="0.3">
      <c r="A15" s="377"/>
      <c r="B15" s="1361"/>
      <c r="C15" s="1361"/>
      <c r="D15" s="1361"/>
      <c r="E15" s="1361"/>
      <c r="F15" s="1361"/>
      <c r="G15" s="1361"/>
      <c r="H15" s="1361"/>
      <c r="I15" s="1361"/>
      <c r="J15" s="1361"/>
      <c r="K15" s="1361"/>
      <c r="L15" s="1361"/>
      <c r="M15" s="1361"/>
      <c r="N15" s="453"/>
      <c r="O15" s="453"/>
      <c r="P15" s="453"/>
      <c r="Q15" s="453"/>
      <c r="R15" s="453"/>
      <c r="S15" s="1361"/>
      <c r="T15" s="1361"/>
      <c r="U15" s="453"/>
      <c r="V15" s="453"/>
      <c r="W15" s="453"/>
      <c r="X15" s="453"/>
      <c r="Y15" s="453"/>
      <c r="Z15" s="453"/>
      <c r="AA15" s="453"/>
      <c r="AB15" s="1361"/>
      <c r="AC15" s="1361"/>
      <c r="AD15" s="453"/>
      <c r="AE15" s="453"/>
      <c r="AF15" s="453"/>
      <c r="AG15" s="453"/>
      <c r="AH15" s="453"/>
      <c r="AI15" s="1361"/>
      <c r="AJ15" s="1361"/>
      <c r="AK15" s="453"/>
      <c r="AL15" s="453"/>
      <c r="AM15" s="453"/>
      <c r="AN15" s="453"/>
      <c r="AO15" s="453"/>
      <c r="AP15" s="9"/>
    </row>
    <row r="16" spans="1:83" ht="16.5" customHeight="1" x14ac:dyDescent="0.25">
      <c r="A16" s="377"/>
      <c r="B16" s="2677" t="s">
        <v>1053</v>
      </c>
      <c r="C16" s="2678"/>
      <c r="D16" s="2678"/>
      <c r="E16" s="2678"/>
      <c r="F16" s="2679"/>
      <c r="G16" s="2686" t="s">
        <v>1021</v>
      </c>
      <c r="H16" s="2666"/>
      <c r="I16" s="2666"/>
      <c r="J16" s="2666"/>
      <c r="K16" s="2666"/>
      <c r="L16" s="2666"/>
      <c r="M16" s="2666"/>
      <c r="N16" s="2666" t="s">
        <v>1020</v>
      </c>
      <c r="O16" s="2666"/>
      <c r="P16" s="2666"/>
      <c r="Q16" s="2666"/>
      <c r="R16" s="2666"/>
      <c r="S16" s="2666"/>
      <c r="T16" s="2666"/>
      <c r="U16" s="2666" t="s">
        <v>1022</v>
      </c>
      <c r="V16" s="2666"/>
      <c r="W16" s="2666"/>
      <c r="X16" s="2666"/>
      <c r="Y16" s="2666"/>
      <c r="Z16" s="2666"/>
      <c r="AA16" s="2666"/>
      <c r="AB16" s="2666" t="s">
        <v>1023</v>
      </c>
      <c r="AC16" s="2666"/>
      <c r="AD16" s="2666"/>
      <c r="AE16" s="2666"/>
      <c r="AF16" s="2666"/>
      <c r="AG16" s="2666"/>
      <c r="AH16" s="2666"/>
      <c r="AI16" s="2666" t="s">
        <v>1051</v>
      </c>
      <c r="AJ16" s="2666"/>
      <c r="AK16" s="2666"/>
      <c r="AL16" s="2666"/>
      <c r="AM16" s="2666"/>
      <c r="AN16" s="2666"/>
      <c r="AO16" s="2666"/>
      <c r="AP16" s="1361"/>
    </row>
    <row r="17" spans="1:42" ht="16.5" customHeight="1" x14ac:dyDescent="0.25">
      <c r="A17" s="377"/>
      <c r="B17" s="2680"/>
      <c r="C17" s="2681"/>
      <c r="D17" s="2681"/>
      <c r="E17" s="2681"/>
      <c r="F17" s="2682"/>
      <c r="G17" s="2689">
        <f>HIDE5!O97</f>
        <v>0</v>
      </c>
      <c r="H17" s="2667"/>
      <c r="I17" s="2667"/>
      <c r="J17" s="2667"/>
      <c r="K17" s="2667"/>
      <c r="L17" s="2667"/>
      <c r="M17" s="2667"/>
      <c r="N17" s="2667">
        <f>IFERROR(-SUM(HIDE5!O100:O119),0)</f>
        <v>0</v>
      </c>
      <c r="O17" s="2667"/>
      <c r="P17" s="2667"/>
      <c r="Q17" s="2667"/>
      <c r="R17" s="2667"/>
      <c r="S17" s="2667"/>
      <c r="T17" s="2667"/>
      <c r="U17" s="2667">
        <f>IFERROR(-SUM(HIDE5!O120:O122),0)</f>
        <v>0</v>
      </c>
      <c r="V17" s="2667"/>
      <c r="W17" s="2667"/>
      <c r="X17" s="2667"/>
      <c r="Y17" s="2667"/>
      <c r="Z17" s="2667"/>
      <c r="AA17" s="2667"/>
      <c r="AB17" s="2667">
        <f>-HIDE5!O123-HIDE5!O124</f>
        <v>0</v>
      </c>
      <c r="AC17" s="2667"/>
      <c r="AD17" s="2667"/>
      <c r="AE17" s="2667"/>
      <c r="AF17" s="2667"/>
      <c r="AG17" s="2667"/>
      <c r="AH17" s="2667"/>
      <c r="AI17" s="2667">
        <f>G17-N17-U17-AB17</f>
        <v>0</v>
      </c>
      <c r="AJ17" s="2667"/>
      <c r="AK17" s="2667"/>
      <c r="AL17" s="2667"/>
      <c r="AM17" s="2667"/>
      <c r="AN17" s="2667"/>
      <c r="AO17" s="2667"/>
      <c r="AP17" s="1361"/>
    </row>
    <row r="18" spans="1:42" ht="16.5" customHeight="1" thickBot="1" x14ac:dyDescent="0.3">
      <c r="A18" s="377"/>
      <c r="B18" s="2683"/>
      <c r="C18" s="2684"/>
      <c r="D18" s="2684"/>
      <c r="E18" s="2684"/>
      <c r="F18" s="2685"/>
      <c r="G18" s="2687">
        <f>HIDE5!O92</f>
        <v>0</v>
      </c>
      <c r="H18" s="2688"/>
      <c r="I18" s="2688"/>
      <c r="J18" s="2688"/>
      <c r="K18" s="2688"/>
      <c r="L18" s="2688"/>
      <c r="M18" s="2688"/>
      <c r="N18" s="2665">
        <f>IFERROR(N17/$G$17,0)</f>
        <v>0</v>
      </c>
      <c r="O18" s="2665"/>
      <c r="P18" s="2665"/>
      <c r="Q18" s="2665"/>
      <c r="R18" s="2665"/>
      <c r="S18" s="2665"/>
      <c r="T18" s="2665"/>
      <c r="U18" s="2665">
        <f>IFERROR(U17/$G$17,0)</f>
        <v>0</v>
      </c>
      <c r="V18" s="2665"/>
      <c r="W18" s="2665"/>
      <c r="X18" s="2665"/>
      <c r="Y18" s="2665"/>
      <c r="Z18" s="2665"/>
      <c r="AA18" s="2665"/>
      <c r="AB18" s="2665">
        <f>IFERROR(AB17/$G$17,0)</f>
        <v>0</v>
      </c>
      <c r="AC18" s="2665"/>
      <c r="AD18" s="2665"/>
      <c r="AE18" s="2665"/>
      <c r="AF18" s="2665"/>
      <c r="AG18" s="2665"/>
      <c r="AH18" s="2665"/>
      <c r="AI18" s="2665">
        <f>IFERROR(AI17/$G$17,0)</f>
        <v>0</v>
      </c>
      <c r="AJ18" s="2665"/>
      <c r="AK18" s="2665"/>
      <c r="AL18" s="2665"/>
      <c r="AM18" s="2665"/>
      <c r="AN18" s="2665"/>
      <c r="AO18" s="2665"/>
      <c r="AP18" s="1361"/>
    </row>
    <row r="19" spans="1:42" ht="16.5" customHeight="1" x14ac:dyDescent="0.25">
      <c r="A19" s="377"/>
      <c r="B19" s="1361"/>
      <c r="C19" s="1361"/>
      <c r="D19" s="1361"/>
      <c r="E19" s="1361"/>
      <c r="F19" s="1361"/>
      <c r="G19" s="1361"/>
      <c r="H19" s="1361"/>
      <c r="I19" s="1361"/>
      <c r="J19" s="1361"/>
      <c r="K19" s="1361"/>
      <c r="L19" s="1361"/>
      <c r="M19" s="1361"/>
      <c r="N19" s="1361"/>
      <c r="O19" s="1361"/>
      <c r="P19" s="1361"/>
      <c r="Q19" s="1361"/>
      <c r="R19" s="1361"/>
      <c r="S19" s="1361"/>
      <c r="T19" s="1361"/>
      <c r="U19" s="1361"/>
      <c r="V19" s="1361"/>
      <c r="W19" s="1361"/>
      <c r="X19" s="1361"/>
      <c r="Y19" s="1361"/>
      <c r="Z19" s="1361"/>
      <c r="AA19" s="1361"/>
      <c r="AB19" s="1361"/>
      <c r="AC19" s="1361"/>
      <c r="AD19" s="1361"/>
      <c r="AE19" s="1361"/>
      <c r="AF19" s="1361"/>
      <c r="AG19" s="1361"/>
      <c r="AH19" s="1361"/>
      <c r="AI19" s="1361"/>
      <c r="AJ19" s="1361"/>
      <c r="AK19" s="1361"/>
      <c r="AL19" s="1361"/>
      <c r="AM19" s="1361"/>
      <c r="AN19" s="1361"/>
      <c r="AO19" s="1361"/>
      <c r="AP19" s="1361"/>
    </row>
    <row r="20" spans="1:42" ht="16.5" customHeight="1" x14ac:dyDescent="0.25">
      <c r="A20" s="377"/>
      <c r="B20" s="1361"/>
      <c r="C20" s="1361"/>
      <c r="D20" s="1361"/>
      <c r="E20" s="1361"/>
      <c r="F20" s="1361"/>
      <c r="G20" s="1361"/>
      <c r="H20" s="1361"/>
      <c r="I20" s="1361"/>
      <c r="J20" s="1361"/>
      <c r="K20" s="1361"/>
      <c r="L20" s="1361"/>
      <c r="M20" s="1361"/>
      <c r="N20" s="1361"/>
      <c r="O20" s="1361"/>
      <c r="P20" s="1361"/>
      <c r="Q20" s="1361"/>
      <c r="R20" s="1361"/>
      <c r="S20" s="1361"/>
      <c r="T20" s="1361"/>
      <c r="U20" s="1361"/>
      <c r="V20" s="1361"/>
      <c r="W20" s="1361"/>
      <c r="X20" s="1361"/>
      <c r="Y20" s="1361"/>
      <c r="Z20" s="1361"/>
      <c r="AA20" s="1361"/>
      <c r="AB20" s="1361"/>
      <c r="AC20" s="1361"/>
      <c r="AD20" s="1361"/>
      <c r="AE20" s="1361"/>
      <c r="AF20" s="1361"/>
      <c r="AG20" s="1361"/>
      <c r="AH20" s="1361"/>
      <c r="AI20" s="1361"/>
      <c r="AJ20" s="1361"/>
      <c r="AK20" s="1361"/>
      <c r="AL20" s="1361"/>
      <c r="AM20" s="1361"/>
      <c r="AN20" s="1361"/>
      <c r="AO20" s="1361"/>
      <c r="AP20" s="1361"/>
    </row>
    <row r="21" spans="1:42" ht="16.5" customHeight="1" x14ac:dyDescent="0.25">
      <c r="A21" s="377"/>
      <c r="B21" s="1361"/>
      <c r="C21" s="1361"/>
      <c r="D21" s="1361"/>
      <c r="E21" s="1361"/>
      <c r="F21" s="1361"/>
      <c r="G21" s="1361"/>
      <c r="H21" s="1361"/>
      <c r="I21" s="1361"/>
      <c r="J21" s="1361"/>
      <c r="K21" s="1361"/>
      <c r="L21" s="1361"/>
      <c r="M21" s="1361"/>
      <c r="N21" s="1361"/>
      <c r="O21" s="1361"/>
      <c r="P21" s="1361"/>
      <c r="Q21" s="1361"/>
      <c r="R21" s="1361"/>
      <c r="S21" s="1361"/>
      <c r="T21" s="1361"/>
      <c r="U21" s="1361"/>
      <c r="V21" s="1361"/>
      <c r="W21" s="1361"/>
      <c r="X21" s="1361"/>
      <c r="Y21" s="1361"/>
      <c r="Z21" s="1361"/>
      <c r="AA21" s="1361"/>
      <c r="AB21" s="1361"/>
      <c r="AC21" s="1361"/>
      <c r="AD21" s="1361"/>
      <c r="AE21" s="1361"/>
      <c r="AF21" s="1361"/>
      <c r="AG21" s="1361"/>
      <c r="AH21" s="1361"/>
      <c r="AI21" s="1361"/>
      <c r="AJ21" s="1361"/>
      <c r="AK21" s="1361"/>
      <c r="AL21" s="1361"/>
      <c r="AM21" s="1361"/>
      <c r="AN21" s="1361"/>
      <c r="AO21" s="1361"/>
      <c r="AP21" s="1361"/>
    </row>
    <row r="22" spans="1:42" ht="16.5" customHeight="1" x14ac:dyDescent="0.25">
      <c r="A22" s="377"/>
      <c r="B22" s="1361"/>
      <c r="C22" s="1361"/>
      <c r="D22" s="1361"/>
      <c r="E22" s="1361"/>
      <c r="F22" s="1361"/>
      <c r="G22" s="1361"/>
      <c r="H22" s="1361"/>
      <c r="I22" s="1361"/>
      <c r="J22" s="1361"/>
      <c r="K22" s="1361"/>
      <c r="L22" s="1361"/>
      <c r="M22" s="1361"/>
      <c r="N22" s="1361"/>
      <c r="O22" s="1361"/>
      <c r="P22" s="1361"/>
      <c r="Q22" s="1361"/>
      <c r="R22" s="1361"/>
      <c r="S22" s="1361"/>
      <c r="T22" s="1361"/>
      <c r="U22" s="1361"/>
      <c r="V22" s="1361"/>
      <c r="W22" s="1361"/>
      <c r="X22" s="1361"/>
      <c r="Y22" s="1361"/>
      <c r="Z22" s="1361"/>
      <c r="AA22" s="1361"/>
      <c r="AB22" s="1361"/>
      <c r="AC22" s="1361"/>
      <c r="AD22" s="1361"/>
      <c r="AE22" s="1361"/>
      <c r="AF22" s="1361"/>
      <c r="AG22" s="1361"/>
      <c r="AH22" s="1361"/>
      <c r="AI22" s="1361"/>
      <c r="AJ22" s="1361"/>
      <c r="AK22" s="1361"/>
      <c r="AL22" s="1361"/>
      <c r="AM22" s="1361"/>
      <c r="AN22" s="1361"/>
      <c r="AO22" s="1361"/>
      <c r="AP22" s="1361"/>
    </row>
    <row r="23" spans="1:42" ht="16.5" customHeight="1" x14ac:dyDescent="0.25">
      <c r="A23" s="377"/>
      <c r="B23" s="1361"/>
      <c r="C23" s="1361"/>
      <c r="D23" s="1361"/>
      <c r="E23" s="1361"/>
      <c r="F23" s="1361"/>
      <c r="G23" s="1361"/>
      <c r="H23" s="1361"/>
      <c r="I23" s="1361"/>
      <c r="J23" s="1361"/>
      <c r="K23" s="1361"/>
      <c r="L23" s="1361"/>
      <c r="M23" s="1361"/>
      <c r="N23" s="1361"/>
      <c r="O23" s="1361"/>
      <c r="P23" s="1361"/>
      <c r="Q23" s="1361"/>
      <c r="R23" s="1361"/>
      <c r="S23" s="1361"/>
      <c r="T23" s="1361"/>
      <c r="U23" s="1361"/>
      <c r="V23" s="1361"/>
      <c r="W23" s="1361"/>
      <c r="X23" s="1361"/>
      <c r="Y23" s="1361"/>
      <c r="Z23" s="1361"/>
      <c r="AA23" s="1361"/>
      <c r="AB23" s="1361"/>
      <c r="AC23" s="1361"/>
      <c r="AD23" s="1361"/>
      <c r="AE23" s="1361"/>
      <c r="AF23" s="1361"/>
      <c r="AG23" s="1361"/>
      <c r="AH23" s="1361"/>
      <c r="AI23" s="1361"/>
      <c r="AJ23" s="1361"/>
      <c r="AK23" s="1361"/>
      <c r="AL23" s="1361"/>
      <c r="AM23" s="1361"/>
      <c r="AN23" s="1361"/>
      <c r="AO23" s="1361"/>
      <c r="AP23" s="1361"/>
    </row>
    <row r="24" spans="1:42" ht="16.5" customHeight="1" x14ac:dyDescent="0.25">
      <c r="A24" s="377"/>
      <c r="B24" s="1361"/>
      <c r="C24" s="1361"/>
      <c r="D24" s="1361"/>
      <c r="E24" s="1361"/>
      <c r="F24" s="1361"/>
      <c r="G24" s="1361"/>
      <c r="H24" s="1361"/>
      <c r="I24" s="1361"/>
      <c r="J24" s="1361"/>
      <c r="K24" s="1361"/>
      <c r="L24" s="1361"/>
      <c r="M24" s="1361"/>
      <c r="N24" s="1361"/>
      <c r="O24" s="1361"/>
      <c r="P24" s="1361"/>
      <c r="Q24" s="1361"/>
      <c r="R24" s="1361"/>
      <c r="S24" s="1361"/>
      <c r="T24" s="1361"/>
      <c r="U24" s="1361"/>
      <c r="V24" s="1361"/>
      <c r="W24" s="1361"/>
      <c r="X24" s="1361"/>
      <c r="Y24" s="1361"/>
      <c r="Z24" s="1361"/>
      <c r="AA24" s="1361"/>
      <c r="AB24" s="1361"/>
      <c r="AC24" s="1361"/>
      <c r="AD24" s="1361"/>
      <c r="AE24" s="1361"/>
      <c r="AF24" s="1361"/>
      <c r="AG24" s="1361"/>
      <c r="AH24" s="1361"/>
      <c r="AI24" s="1361"/>
      <c r="AJ24" s="1361"/>
      <c r="AK24" s="1361"/>
      <c r="AL24" s="1361"/>
      <c r="AM24" s="1361"/>
      <c r="AN24" s="1361"/>
      <c r="AO24" s="1361"/>
      <c r="AP24" s="1361"/>
    </row>
    <row r="25" spans="1:42" ht="16.5" customHeight="1" x14ac:dyDescent="0.25">
      <c r="A25" s="377"/>
      <c r="B25" s="1361"/>
      <c r="C25" s="1361"/>
      <c r="D25" s="1361"/>
      <c r="E25" s="1361"/>
      <c r="F25" s="1361"/>
      <c r="G25" s="1361"/>
      <c r="H25" s="1361"/>
      <c r="I25" s="1361"/>
      <c r="J25" s="1361"/>
      <c r="K25" s="1361"/>
      <c r="L25" s="1361"/>
      <c r="M25" s="1361"/>
      <c r="N25" s="1361"/>
      <c r="O25" s="1361"/>
      <c r="P25" s="1361"/>
      <c r="Q25" s="1361"/>
      <c r="R25" s="1361"/>
      <c r="S25" s="1361"/>
      <c r="T25" s="1361"/>
      <c r="U25" s="1361"/>
      <c r="V25" s="1361"/>
      <c r="W25" s="1361"/>
      <c r="X25" s="1361"/>
      <c r="Y25" s="1361"/>
      <c r="Z25" s="1361"/>
      <c r="AA25" s="1361"/>
      <c r="AB25" s="1361"/>
      <c r="AC25" s="1361"/>
      <c r="AD25" s="1361"/>
      <c r="AE25" s="1361"/>
      <c r="AF25" s="1361"/>
      <c r="AG25" s="1361"/>
      <c r="AH25" s="1361"/>
      <c r="AI25" s="1361"/>
      <c r="AJ25" s="1361"/>
      <c r="AK25" s="1361"/>
      <c r="AL25" s="1361"/>
      <c r="AM25" s="1361"/>
      <c r="AN25" s="1361"/>
      <c r="AO25" s="1361"/>
      <c r="AP25" s="1361"/>
    </row>
    <row r="26" spans="1:42" ht="16.5" customHeight="1" x14ac:dyDescent="0.25">
      <c r="A26" s="377"/>
      <c r="B26" s="1361"/>
      <c r="C26" s="1361"/>
      <c r="D26" s="1361"/>
      <c r="E26" s="1361"/>
      <c r="F26" s="1361"/>
      <c r="G26" s="1361"/>
      <c r="H26" s="1361"/>
      <c r="I26" s="1361"/>
      <c r="J26" s="1361"/>
      <c r="K26" s="1361"/>
      <c r="L26" s="1361"/>
      <c r="M26" s="1361"/>
      <c r="N26" s="1361"/>
      <c r="O26" s="1361"/>
      <c r="P26" s="1361"/>
      <c r="Q26" s="1361"/>
      <c r="R26" s="1361"/>
      <c r="S26" s="1361"/>
      <c r="T26" s="1361"/>
      <c r="U26" s="1361"/>
      <c r="V26" s="1361"/>
      <c r="W26" s="1361"/>
      <c r="X26" s="1361"/>
      <c r="Y26" s="1361"/>
      <c r="Z26" s="1361"/>
      <c r="AA26" s="1361"/>
      <c r="AB26" s="1361"/>
      <c r="AC26" s="1361"/>
      <c r="AD26" s="1361"/>
      <c r="AE26" s="1361"/>
      <c r="AF26" s="1361"/>
      <c r="AG26" s="1361"/>
      <c r="AH26" s="1361"/>
      <c r="AI26" s="1361"/>
      <c r="AJ26" s="1361"/>
      <c r="AK26" s="1361"/>
      <c r="AL26" s="1361"/>
      <c r="AM26" s="1361"/>
      <c r="AN26" s="1361"/>
      <c r="AO26" s="1361"/>
      <c r="AP26" s="1361"/>
    </row>
    <row r="27" spans="1:42" ht="16.5" customHeight="1" x14ac:dyDescent="0.25">
      <c r="A27" s="377"/>
      <c r="B27" s="1361"/>
      <c r="C27" s="1361"/>
      <c r="D27" s="1361"/>
      <c r="E27" s="1361"/>
      <c r="F27" s="1361"/>
      <c r="G27" s="1361"/>
      <c r="H27" s="1361"/>
      <c r="I27" s="1361"/>
      <c r="J27" s="1361"/>
      <c r="K27" s="1361"/>
      <c r="L27" s="1361"/>
      <c r="M27" s="1361"/>
      <c r="N27" s="159"/>
      <c r="O27" s="159"/>
      <c r="P27" s="159"/>
      <c r="Q27" s="159"/>
      <c r="R27" s="159"/>
      <c r="S27" s="1361"/>
      <c r="T27" s="1361"/>
      <c r="U27" s="159"/>
      <c r="V27" s="159"/>
      <c r="W27" s="159"/>
      <c r="X27" s="159"/>
      <c r="Y27" s="159"/>
      <c r="Z27" s="159"/>
      <c r="AA27" s="159"/>
      <c r="AB27" s="1361"/>
      <c r="AC27" s="1361"/>
      <c r="AD27" s="159"/>
      <c r="AE27" s="159"/>
      <c r="AF27" s="159"/>
      <c r="AG27" s="159"/>
      <c r="AH27" s="159"/>
      <c r="AI27" s="1361"/>
      <c r="AJ27" s="1361"/>
      <c r="AK27" s="159"/>
      <c r="AL27" s="159"/>
      <c r="AM27" s="159"/>
      <c r="AN27" s="159"/>
      <c r="AO27" s="159"/>
      <c r="AP27" s="9"/>
    </row>
    <row r="28" spans="1:42" ht="16.5" customHeight="1" x14ac:dyDescent="0.25">
      <c r="A28" s="377"/>
      <c r="B28" s="1361"/>
      <c r="C28" s="1361"/>
      <c r="D28" s="1361"/>
      <c r="E28" s="1361"/>
      <c r="F28" s="1361"/>
      <c r="G28" s="1361"/>
      <c r="H28" s="1361"/>
      <c r="I28" s="1361"/>
      <c r="J28" s="1361"/>
      <c r="K28" s="1361"/>
      <c r="L28" s="1361"/>
      <c r="M28" s="1361"/>
      <c r="N28" s="159"/>
      <c r="O28" s="159"/>
      <c r="P28" s="159"/>
      <c r="Q28" s="159"/>
      <c r="R28" s="159"/>
      <c r="S28" s="1361"/>
      <c r="T28" s="1361"/>
      <c r="U28" s="159"/>
      <c r="V28" s="159"/>
      <c r="W28" s="159"/>
      <c r="X28" s="159"/>
      <c r="Y28" s="159"/>
      <c r="Z28" s="159"/>
      <c r="AA28" s="159"/>
      <c r="AB28" s="1361"/>
      <c r="AC28" s="1361"/>
      <c r="AD28" s="159"/>
      <c r="AE28" s="159"/>
      <c r="AF28" s="159"/>
      <c r="AG28" s="159"/>
      <c r="AH28" s="159"/>
      <c r="AI28" s="1361"/>
      <c r="AJ28" s="1361"/>
      <c r="AK28" s="159"/>
      <c r="AL28" s="159"/>
      <c r="AM28" s="159"/>
      <c r="AN28" s="159"/>
      <c r="AO28" s="159"/>
      <c r="AP28" s="9"/>
    </row>
    <row r="29" spans="1:42" ht="16.5" customHeight="1" x14ac:dyDescent="0.25">
      <c r="A29" s="377"/>
      <c r="B29" s="1361"/>
      <c r="C29" s="1361"/>
      <c r="D29" s="1361"/>
      <c r="E29" s="1361"/>
      <c r="F29" s="1361"/>
      <c r="G29" s="1361"/>
      <c r="H29" s="1361"/>
      <c r="I29" s="1361"/>
      <c r="J29" s="1361"/>
      <c r="K29" s="1361"/>
      <c r="L29" s="1361"/>
      <c r="M29" s="1361"/>
      <c r="N29" s="159"/>
      <c r="O29" s="159"/>
      <c r="P29" s="159"/>
      <c r="Q29" s="159"/>
      <c r="R29" s="159"/>
      <c r="S29" s="1361"/>
      <c r="T29" s="1361"/>
      <c r="U29" s="159"/>
      <c r="V29" s="159"/>
      <c r="W29" s="159"/>
      <c r="X29" s="159"/>
      <c r="Y29" s="159"/>
      <c r="Z29" s="159"/>
      <c r="AA29" s="159"/>
      <c r="AB29" s="1361"/>
      <c r="AC29" s="1361"/>
      <c r="AD29" s="159"/>
      <c r="AE29" s="159"/>
      <c r="AF29" s="159"/>
      <c r="AG29" s="159"/>
      <c r="AH29" s="159"/>
      <c r="AI29" s="1361"/>
      <c r="AJ29" s="1361"/>
      <c r="AK29" s="159"/>
      <c r="AL29" s="159"/>
      <c r="AM29" s="159"/>
      <c r="AN29" s="159"/>
      <c r="AO29" s="159"/>
      <c r="AP29" s="9"/>
    </row>
    <row r="30" spans="1:42" ht="16.5" customHeight="1" x14ac:dyDescent="0.25">
      <c r="A30" s="377"/>
      <c r="B30" s="1383" t="s">
        <v>1019</v>
      </c>
      <c r="C30" s="1360"/>
      <c r="D30" s="1360"/>
      <c r="E30" s="1360"/>
      <c r="F30" s="1360"/>
      <c r="G30" s="1360"/>
      <c r="H30" s="1360"/>
      <c r="I30" s="1360"/>
      <c r="J30" s="1360"/>
      <c r="K30" s="1360"/>
      <c r="L30" s="1360"/>
      <c r="M30" s="1360"/>
      <c r="N30" s="1360"/>
      <c r="O30" s="1360"/>
      <c r="P30" s="1360"/>
      <c r="Q30" s="1360"/>
      <c r="R30" s="1360"/>
      <c r="S30" s="1360"/>
      <c r="T30" s="1360"/>
      <c r="U30" s="1360"/>
      <c r="V30" s="1360"/>
      <c r="W30" s="1360"/>
      <c r="X30" s="1360"/>
      <c r="Y30" s="1360"/>
      <c r="Z30" s="1360"/>
      <c r="AA30" s="1360"/>
      <c r="AB30" s="1360"/>
      <c r="AC30" s="1360"/>
      <c r="AD30" s="1360"/>
      <c r="AE30" s="1360"/>
      <c r="AF30" s="1360"/>
      <c r="AG30" s="1360"/>
      <c r="AH30" s="1360"/>
      <c r="AI30" s="1360"/>
      <c r="AJ30" s="1360"/>
      <c r="AK30" s="1360"/>
      <c r="AL30" s="1360"/>
      <c r="AM30" s="1360"/>
      <c r="AN30" s="1360"/>
      <c r="AO30" s="1360"/>
      <c r="AP30" s="9"/>
    </row>
    <row r="31" spans="1:42" ht="16.5" customHeight="1" x14ac:dyDescent="0.25">
      <c r="A31" s="377"/>
      <c r="B31" s="1361"/>
      <c r="C31" s="1361"/>
      <c r="D31" s="1361"/>
      <c r="E31" s="1361"/>
      <c r="F31" s="1361"/>
      <c r="G31" s="1361"/>
      <c r="H31" s="1361"/>
      <c r="I31" s="1361"/>
      <c r="J31" s="1361"/>
      <c r="K31" s="1361"/>
      <c r="L31" s="1361"/>
      <c r="M31" s="1361"/>
      <c r="N31" s="159"/>
      <c r="O31" s="159"/>
      <c r="P31" s="159"/>
      <c r="Q31" s="159"/>
      <c r="R31" s="159"/>
      <c r="S31" s="1361"/>
      <c r="T31" s="1361"/>
      <c r="U31" s="159"/>
      <c r="V31" s="159"/>
      <c r="W31" s="159"/>
      <c r="X31" s="159"/>
      <c r="Y31" s="159"/>
      <c r="Z31" s="159"/>
      <c r="AA31" s="159"/>
      <c r="AB31" s="1361"/>
      <c r="AC31" s="1361"/>
      <c r="AD31" s="159"/>
      <c r="AE31" s="159"/>
      <c r="AF31" s="159"/>
      <c r="AG31" s="159"/>
      <c r="AH31" s="159"/>
      <c r="AI31" s="1361"/>
      <c r="AJ31" s="1361"/>
      <c r="AK31" s="159"/>
      <c r="AL31" s="159"/>
      <c r="AM31" s="159"/>
      <c r="AN31" s="159"/>
      <c r="AO31" s="159"/>
      <c r="AP31" s="9"/>
    </row>
    <row r="32" spans="1:42" ht="16.5" customHeight="1" x14ac:dyDescent="0.25">
      <c r="A32" s="377"/>
      <c r="B32" s="1361"/>
      <c r="C32" s="1361"/>
      <c r="D32" s="1361"/>
      <c r="E32" s="1361"/>
      <c r="F32" s="1361"/>
      <c r="G32" s="1361"/>
      <c r="H32" s="1361"/>
      <c r="I32" s="1361"/>
      <c r="J32" s="1361"/>
      <c r="K32" s="1361"/>
      <c r="L32" s="1361"/>
      <c r="M32" s="1361"/>
      <c r="N32" s="159"/>
      <c r="O32" s="159"/>
      <c r="P32" s="159"/>
      <c r="Q32" s="159"/>
      <c r="R32" s="159"/>
      <c r="S32" s="1361"/>
      <c r="T32" s="1361"/>
      <c r="U32" s="159"/>
      <c r="V32" s="159"/>
      <c r="W32" s="159"/>
      <c r="X32" s="159"/>
      <c r="Y32" s="159"/>
      <c r="Z32" s="159"/>
      <c r="AA32" s="159"/>
      <c r="AB32" s="1361"/>
      <c r="AC32" s="1361"/>
      <c r="AD32" s="159"/>
      <c r="AE32" s="159"/>
      <c r="AF32" s="159"/>
      <c r="AG32" s="159"/>
      <c r="AH32" s="159"/>
      <c r="AI32" s="1361"/>
      <c r="AJ32" s="1361"/>
      <c r="AK32" s="159"/>
      <c r="AL32" s="159"/>
      <c r="AM32" s="159"/>
      <c r="AN32" s="159"/>
      <c r="AO32" s="159"/>
      <c r="AP32" s="9"/>
    </row>
    <row r="33" spans="1:42" ht="16.5" customHeight="1" x14ac:dyDescent="0.25">
      <c r="A33" s="377"/>
      <c r="B33" s="1361"/>
      <c r="C33" s="1361"/>
      <c r="D33" s="1361"/>
      <c r="E33" s="1361"/>
      <c r="F33" s="1361"/>
      <c r="G33" s="1361"/>
      <c r="H33" s="1361"/>
      <c r="I33" s="1361"/>
      <c r="J33" s="1361"/>
      <c r="K33" s="1361"/>
      <c r="L33" s="1361"/>
      <c r="M33" s="1361"/>
      <c r="N33" s="160"/>
      <c r="O33" s="160"/>
      <c r="P33" s="160"/>
      <c r="Q33" s="160"/>
      <c r="R33" s="160"/>
      <c r="S33" s="1361"/>
      <c r="T33" s="1361"/>
      <c r="U33" s="160"/>
      <c r="V33" s="160"/>
      <c r="W33" s="160"/>
      <c r="X33" s="160"/>
      <c r="Y33" s="160"/>
      <c r="Z33" s="160"/>
      <c r="AA33" s="160"/>
      <c r="AB33" s="1361"/>
      <c r="AC33" s="1361"/>
      <c r="AD33" s="160"/>
      <c r="AE33" s="160"/>
      <c r="AF33" s="160"/>
      <c r="AG33" s="160"/>
      <c r="AH33" s="160"/>
      <c r="AI33" s="1361"/>
      <c r="AJ33" s="1361"/>
      <c r="AK33" s="160"/>
      <c r="AL33" s="160"/>
      <c r="AM33" s="160"/>
      <c r="AN33" s="160"/>
      <c r="AO33" s="160"/>
      <c r="AP33" s="9"/>
    </row>
    <row r="34" spans="1:42" ht="16.5" customHeight="1" x14ac:dyDescent="0.25">
      <c r="A34" s="377"/>
      <c r="B34" s="1361"/>
      <c r="C34" s="1361"/>
      <c r="D34" s="1361"/>
      <c r="E34" s="1361"/>
      <c r="F34" s="1361"/>
      <c r="G34" s="1361"/>
      <c r="H34" s="1361"/>
      <c r="I34" s="1361"/>
      <c r="J34" s="1361"/>
      <c r="K34" s="1361"/>
      <c r="L34" s="1361"/>
      <c r="M34" s="1361"/>
      <c r="N34" s="160"/>
      <c r="O34" s="160"/>
      <c r="P34" s="160"/>
      <c r="Q34" s="160"/>
      <c r="R34" s="160"/>
      <c r="S34" s="1361"/>
      <c r="T34" s="1361"/>
      <c r="U34" s="160"/>
      <c r="V34" s="160"/>
      <c r="W34" s="160"/>
      <c r="X34" s="160"/>
      <c r="Y34" s="160"/>
      <c r="Z34" s="160"/>
      <c r="AA34" s="160"/>
      <c r="AB34" s="1361"/>
      <c r="AC34" s="1361"/>
      <c r="AD34" s="160"/>
      <c r="AE34" s="160"/>
      <c r="AF34" s="160"/>
      <c r="AG34" s="160"/>
      <c r="AH34" s="160"/>
      <c r="AI34" s="1361"/>
      <c r="AJ34" s="1361"/>
      <c r="AK34" s="160"/>
      <c r="AL34" s="160"/>
      <c r="AM34" s="160"/>
      <c r="AN34" s="160"/>
      <c r="AO34" s="160"/>
      <c r="AP34" s="9"/>
    </row>
    <row r="35" spans="1:42" ht="16.5" customHeight="1" x14ac:dyDescent="0.25">
      <c r="A35" s="377"/>
      <c r="B35" s="1361"/>
      <c r="C35" s="1361"/>
      <c r="D35" s="1361"/>
      <c r="E35" s="1361"/>
      <c r="F35" s="1361"/>
      <c r="G35" s="1361"/>
      <c r="H35" s="1361"/>
      <c r="I35" s="1361"/>
      <c r="J35" s="1361"/>
      <c r="K35" s="1361"/>
      <c r="L35" s="1361"/>
      <c r="M35" s="1361"/>
      <c r="N35" s="160"/>
      <c r="O35" s="160"/>
      <c r="P35" s="160"/>
      <c r="Q35" s="160"/>
      <c r="R35" s="160"/>
      <c r="S35" s="1361"/>
      <c r="T35" s="1361"/>
      <c r="U35" s="160"/>
      <c r="V35" s="160"/>
      <c r="W35" s="160"/>
      <c r="X35" s="160"/>
      <c r="Y35" s="160"/>
      <c r="Z35" s="160"/>
      <c r="AA35" s="160"/>
      <c r="AB35" s="1361"/>
      <c r="AC35" s="1361"/>
      <c r="AD35" s="160"/>
      <c r="AE35" s="160"/>
      <c r="AF35" s="160"/>
      <c r="AG35" s="160"/>
      <c r="AH35" s="160"/>
      <c r="AI35" s="1361"/>
      <c r="AJ35" s="1361"/>
      <c r="AK35" s="160"/>
      <c r="AL35" s="160"/>
      <c r="AM35" s="160"/>
      <c r="AN35" s="160"/>
      <c r="AO35" s="160"/>
      <c r="AP35" s="9"/>
    </row>
    <row r="36" spans="1:42" ht="16.5" customHeight="1" x14ac:dyDescent="0.25">
      <c r="A36" s="377"/>
      <c r="B36" s="1361"/>
      <c r="C36" s="1361"/>
      <c r="D36" s="1361"/>
      <c r="E36" s="1361"/>
      <c r="F36" s="1361"/>
      <c r="G36" s="1361"/>
      <c r="H36" s="1361"/>
      <c r="I36" s="1361"/>
      <c r="J36" s="1361"/>
      <c r="K36" s="1361"/>
      <c r="L36" s="1361"/>
      <c r="M36" s="1361"/>
      <c r="N36" s="160"/>
      <c r="O36" s="160"/>
      <c r="P36" s="160"/>
      <c r="Q36" s="160"/>
      <c r="R36" s="160"/>
      <c r="S36" s="1361"/>
      <c r="T36" s="1361"/>
      <c r="U36" s="160"/>
      <c r="V36" s="160"/>
      <c r="W36" s="160"/>
      <c r="X36" s="160"/>
      <c r="Y36" s="160"/>
      <c r="Z36" s="160"/>
      <c r="AA36" s="160"/>
      <c r="AB36" s="1361"/>
      <c r="AC36" s="1361"/>
      <c r="AD36" s="160"/>
      <c r="AE36" s="160"/>
      <c r="AF36" s="160"/>
      <c r="AG36" s="160"/>
      <c r="AH36" s="160"/>
      <c r="AI36" s="1361"/>
      <c r="AJ36" s="1361"/>
      <c r="AK36" s="160"/>
      <c r="AL36" s="160"/>
      <c r="AM36" s="160"/>
      <c r="AN36" s="160"/>
      <c r="AO36" s="160"/>
      <c r="AP36" s="9"/>
    </row>
    <row r="37" spans="1:42" ht="16.5" customHeight="1" x14ac:dyDescent="0.25">
      <c r="A37" s="377"/>
      <c r="B37" s="1361"/>
      <c r="C37" s="1361"/>
      <c r="D37" s="1361"/>
      <c r="E37" s="1361"/>
      <c r="F37" s="1361"/>
      <c r="G37" s="1361"/>
      <c r="H37" s="1361"/>
      <c r="I37" s="1361"/>
      <c r="J37" s="1361"/>
      <c r="K37" s="1361"/>
      <c r="L37" s="1361"/>
      <c r="M37" s="1361"/>
      <c r="N37" s="160"/>
      <c r="O37" s="160"/>
      <c r="P37" s="160"/>
      <c r="Q37" s="160"/>
      <c r="R37" s="160"/>
      <c r="S37" s="1361"/>
      <c r="T37" s="1361"/>
      <c r="U37" s="160"/>
      <c r="V37" s="160"/>
      <c r="W37" s="160"/>
      <c r="X37" s="160"/>
      <c r="Y37" s="160"/>
      <c r="Z37" s="160"/>
      <c r="AA37" s="160"/>
      <c r="AB37" s="1361"/>
      <c r="AC37" s="1361"/>
      <c r="AD37" s="160"/>
      <c r="AE37" s="160"/>
      <c r="AF37" s="160"/>
      <c r="AG37" s="160"/>
      <c r="AH37" s="160"/>
      <c r="AI37" s="1361"/>
      <c r="AJ37" s="1361"/>
      <c r="AK37" s="160"/>
      <c r="AL37" s="160"/>
      <c r="AM37" s="160"/>
      <c r="AN37" s="160"/>
      <c r="AO37" s="160"/>
      <c r="AP37" s="9"/>
    </row>
    <row r="38" spans="1:42" ht="16.5" customHeight="1" x14ac:dyDescent="0.25">
      <c r="A38" s="377"/>
      <c r="B38" s="1383" t="s">
        <v>434</v>
      </c>
      <c r="C38" s="1360"/>
      <c r="D38" s="1360"/>
      <c r="E38" s="1360"/>
      <c r="F38" s="1360"/>
      <c r="G38" s="1360"/>
      <c r="H38" s="1360"/>
      <c r="I38" s="1360"/>
      <c r="J38" s="1360"/>
      <c r="K38" s="1360"/>
      <c r="L38" s="1360"/>
      <c r="M38" s="1360"/>
      <c r="N38" s="1360"/>
      <c r="O38" s="1360"/>
      <c r="P38" s="1360"/>
      <c r="Q38" s="1360"/>
      <c r="R38" s="1360"/>
      <c r="S38" s="1360"/>
      <c r="T38" s="1360"/>
      <c r="U38" s="1360"/>
      <c r="V38" s="1360"/>
      <c r="W38" s="1360"/>
      <c r="X38" s="1360"/>
      <c r="Y38" s="1360"/>
      <c r="Z38" s="1360"/>
      <c r="AA38" s="1360"/>
      <c r="AB38" s="1360"/>
      <c r="AC38" s="1360"/>
      <c r="AD38" s="1360"/>
      <c r="AE38" s="1360"/>
      <c r="AF38" s="1360"/>
      <c r="AG38" s="1360"/>
      <c r="AH38" s="1360"/>
      <c r="AI38" s="1360"/>
      <c r="AJ38" s="1360"/>
      <c r="AK38" s="1360"/>
      <c r="AL38" s="1360"/>
      <c r="AM38" s="1360"/>
      <c r="AN38" s="1360"/>
      <c r="AO38" s="1360"/>
      <c r="AP38" s="9"/>
    </row>
    <row r="39" spans="1:42" ht="16.5" customHeight="1" x14ac:dyDescent="0.25">
      <c r="A39" s="377"/>
      <c r="B39" s="1361"/>
      <c r="C39" s="1361"/>
      <c r="D39" s="1361"/>
      <c r="E39" s="1361"/>
      <c r="F39" s="1361"/>
      <c r="G39" s="1361"/>
      <c r="H39" s="1361"/>
      <c r="I39" s="1361"/>
      <c r="J39" s="1361"/>
      <c r="K39" s="1361"/>
      <c r="L39" s="1361"/>
      <c r="M39" s="1361"/>
      <c r="N39" s="160"/>
      <c r="O39" s="160"/>
      <c r="P39" s="160"/>
      <c r="Q39" s="160"/>
      <c r="R39" s="160"/>
      <c r="S39" s="1361"/>
      <c r="T39" s="1361"/>
      <c r="U39" s="160"/>
      <c r="V39" s="160"/>
      <c r="W39" s="160"/>
      <c r="X39" s="160"/>
      <c r="Y39" s="160"/>
      <c r="Z39" s="160"/>
      <c r="AA39" s="160"/>
      <c r="AB39" s="1361"/>
      <c r="AC39" s="1361"/>
      <c r="AD39" s="160"/>
      <c r="AE39" s="160"/>
      <c r="AF39" s="160"/>
      <c r="AG39" s="160"/>
      <c r="AH39" s="160"/>
      <c r="AI39" s="1361"/>
      <c r="AJ39" s="1361"/>
      <c r="AK39" s="160"/>
      <c r="AL39" s="160"/>
      <c r="AM39" s="160"/>
      <c r="AN39" s="160"/>
      <c r="AO39" s="160"/>
      <c r="AP39" s="9"/>
    </row>
    <row r="40" spans="1:42" ht="16.5" customHeight="1" x14ac:dyDescent="0.25">
      <c r="A40" s="377"/>
      <c r="B40" s="1361"/>
      <c r="C40" s="1361"/>
      <c r="D40" s="1361"/>
      <c r="E40" s="1361"/>
      <c r="F40" s="1361"/>
      <c r="G40" s="1361"/>
      <c r="H40" s="1361"/>
      <c r="I40" s="1361"/>
      <c r="J40" s="1361"/>
      <c r="K40" s="1361"/>
      <c r="L40" s="1361"/>
      <c r="M40" s="1361"/>
      <c r="N40" s="160"/>
      <c r="O40" s="160"/>
      <c r="P40" s="160"/>
      <c r="Q40" s="160"/>
      <c r="R40" s="160"/>
      <c r="S40" s="1361"/>
      <c r="T40" s="1361"/>
      <c r="U40" s="160"/>
      <c r="V40" s="160"/>
      <c r="W40" s="160"/>
      <c r="X40" s="160"/>
      <c r="Y40" s="160"/>
      <c r="Z40" s="160"/>
      <c r="AA40" s="160"/>
      <c r="AB40" s="1361"/>
      <c r="AC40" s="1361"/>
      <c r="AD40" s="160"/>
      <c r="AE40" s="160"/>
      <c r="AF40" s="160"/>
      <c r="AG40" s="160"/>
      <c r="AH40" s="160"/>
      <c r="AI40" s="1361"/>
      <c r="AJ40" s="1361"/>
      <c r="AK40" s="160"/>
      <c r="AL40" s="160"/>
      <c r="AM40" s="160"/>
      <c r="AN40" s="160"/>
      <c r="AO40" s="160"/>
      <c r="AP40" s="9"/>
    </row>
    <row r="41" spans="1:42" ht="16.5" customHeight="1" x14ac:dyDescent="0.25">
      <c r="A41" s="377"/>
      <c r="B41" s="1361"/>
      <c r="C41" s="1361"/>
      <c r="D41" s="1361"/>
      <c r="E41" s="1361"/>
      <c r="F41" s="1361"/>
      <c r="G41" s="1361"/>
      <c r="H41" s="1361"/>
      <c r="I41" s="1361"/>
      <c r="J41" s="1361"/>
      <c r="K41" s="1361"/>
      <c r="L41" s="1361"/>
      <c r="M41" s="1361"/>
      <c r="N41" s="160"/>
      <c r="O41" s="160"/>
      <c r="P41" s="160"/>
      <c r="Q41" s="160"/>
      <c r="R41" s="160"/>
      <c r="S41" s="1361"/>
      <c r="T41" s="1361"/>
      <c r="U41" s="160"/>
      <c r="V41" s="160"/>
      <c r="W41" s="160"/>
      <c r="X41" s="160"/>
      <c r="Y41" s="160"/>
      <c r="Z41" s="160"/>
      <c r="AA41" s="160"/>
      <c r="AB41" s="1361"/>
      <c r="AC41" s="1361"/>
      <c r="AD41" s="160"/>
      <c r="AE41" s="160"/>
      <c r="AF41" s="160"/>
      <c r="AG41" s="160"/>
      <c r="AH41" s="160"/>
      <c r="AI41" s="1361"/>
      <c r="AJ41" s="1361"/>
      <c r="AK41" s="160"/>
      <c r="AL41" s="160"/>
      <c r="AM41" s="160"/>
      <c r="AN41" s="160"/>
      <c r="AO41" s="160"/>
      <c r="AP41" s="9"/>
    </row>
    <row r="42" spans="1:42" ht="16.5" customHeight="1" x14ac:dyDescent="0.25">
      <c r="A42" s="377"/>
      <c r="B42" s="1361"/>
      <c r="C42" s="1361"/>
      <c r="D42" s="1361"/>
      <c r="E42" s="1361"/>
      <c r="F42" s="1361"/>
      <c r="G42" s="1361"/>
      <c r="H42" s="1361"/>
      <c r="I42" s="1361"/>
      <c r="J42" s="1361"/>
      <c r="K42" s="1361"/>
      <c r="L42" s="1361"/>
      <c r="M42" s="1361"/>
      <c r="N42" s="160"/>
      <c r="O42" s="160"/>
      <c r="P42" s="160"/>
      <c r="Q42" s="160"/>
      <c r="R42" s="160"/>
      <c r="S42" s="1361"/>
      <c r="T42" s="1361"/>
      <c r="U42" s="160"/>
      <c r="V42" s="160"/>
      <c r="W42" s="160"/>
      <c r="X42" s="160"/>
      <c r="Y42" s="160"/>
      <c r="Z42" s="160"/>
      <c r="AA42" s="160"/>
      <c r="AB42" s="1361"/>
      <c r="AC42" s="1361"/>
      <c r="AD42" s="160"/>
      <c r="AE42" s="160"/>
      <c r="AF42" s="160"/>
      <c r="AG42" s="160"/>
      <c r="AH42" s="160"/>
      <c r="AI42" s="1361"/>
      <c r="AJ42" s="1361"/>
      <c r="AK42" s="160"/>
      <c r="AL42" s="160"/>
      <c r="AM42" s="160"/>
      <c r="AN42" s="160"/>
      <c r="AO42" s="160"/>
      <c r="AP42" s="9"/>
    </row>
    <row r="43" spans="1:42" ht="16.5" customHeight="1" x14ac:dyDescent="0.25">
      <c r="A43" s="377"/>
      <c r="B43" s="1361"/>
      <c r="C43" s="1361"/>
      <c r="D43" s="1361"/>
      <c r="E43" s="1361"/>
      <c r="F43" s="1361"/>
      <c r="G43" s="1361"/>
      <c r="H43" s="1361"/>
      <c r="I43" s="1361"/>
      <c r="J43" s="1361"/>
      <c r="K43" s="1361"/>
      <c r="L43" s="1361"/>
      <c r="M43" s="1361"/>
      <c r="N43" s="160"/>
      <c r="O43" s="160"/>
      <c r="P43" s="160"/>
      <c r="Q43" s="160"/>
      <c r="R43" s="160"/>
      <c r="S43" s="1361"/>
      <c r="T43" s="1361"/>
      <c r="U43" s="160"/>
      <c r="V43" s="160"/>
      <c r="W43" s="160"/>
      <c r="X43" s="160"/>
      <c r="Y43" s="160"/>
      <c r="Z43" s="160"/>
      <c r="AA43" s="160"/>
      <c r="AB43" s="1361"/>
      <c r="AC43" s="1361"/>
      <c r="AD43" s="160"/>
      <c r="AE43" s="160"/>
      <c r="AF43" s="160"/>
      <c r="AG43" s="160"/>
      <c r="AH43" s="160"/>
      <c r="AI43" s="1361"/>
      <c r="AJ43" s="1361"/>
      <c r="AK43" s="160"/>
      <c r="AL43" s="160"/>
      <c r="AM43" s="160"/>
      <c r="AN43" s="160"/>
      <c r="AO43" s="160"/>
      <c r="AP43" s="9"/>
    </row>
    <row r="44" spans="1:42" ht="16.5" customHeight="1" x14ac:dyDescent="0.25">
      <c r="A44" s="377"/>
      <c r="B44" s="1361"/>
      <c r="C44" s="1361"/>
      <c r="D44" s="1361"/>
      <c r="E44" s="1361"/>
      <c r="F44" s="1361"/>
      <c r="G44" s="1361"/>
      <c r="H44" s="1361"/>
      <c r="I44" s="1361"/>
      <c r="J44" s="1361"/>
      <c r="K44" s="1361"/>
      <c r="L44" s="1361"/>
      <c r="M44" s="1361"/>
      <c r="N44" s="160"/>
      <c r="O44" s="160"/>
      <c r="P44" s="160"/>
      <c r="Q44" s="160"/>
      <c r="R44" s="160"/>
      <c r="S44" s="1361"/>
      <c r="T44" s="1361"/>
      <c r="U44" s="160"/>
      <c r="V44" s="160"/>
      <c r="W44" s="160"/>
      <c r="X44" s="160"/>
      <c r="Y44" s="160"/>
      <c r="Z44" s="160"/>
      <c r="AA44" s="160"/>
      <c r="AB44" s="1361"/>
      <c r="AC44" s="1361"/>
      <c r="AD44" s="160"/>
      <c r="AE44" s="160"/>
      <c r="AF44" s="160"/>
      <c r="AG44" s="160"/>
      <c r="AH44" s="160"/>
      <c r="AI44" s="1361"/>
      <c r="AJ44" s="1361"/>
      <c r="AK44" s="160"/>
      <c r="AL44" s="160"/>
      <c r="AM44" s="160"/>
      <c r="AN44" s="160"/>
      <c r="AO44" s="160"/>
      <c r="AP44" s="9"/>
    </row>
    <row r="45" spans="1:42" ht="16.5" customHeight="1" x14ac:dyDescent="0.25">
      <c r="A45" s="377"/>
      <c r="B45" s="1361"/>
      <c r="C45" s="1361"/>
      <c r="D45" s="1361"/>
      <c r="E45" s="1361"/>
      <c r="F45" s="1361"/>
      <c r="G45" s="1361"/>
      <c r="H45" s="1361"/>
      <c r="I45" s="1361"/>
      <c r="J45" s="1361"/>
      <c r="K45" s="1361"/>
      <c r="L45" s="1361"/>
      <c r="M45" s="1361"/>
      <c r="N45" s="160"/>
      <c r="O45" s="160"/>
      <c r="P45" s="160"/>
      <c r="Q45" s="160"/>
      <c r="R45" s="160"/>
      <c r="S45" s="1361"/>
      <c r="T45" s="1361"/>
      <c r="U45" s="160"/>
      <c r="V45" s="160"/>
      <c r="W45" s="160"/>
      <c r="X45" s="160"/>
      <c r="Y45" s="160"/>
      <c r="Z45" s="160"/>
      <c r="AA45" s="160"/>
      <c r="AB45" s="1361"/>
      <c r="AC45" s="1361"/>
      <c r="AD45" s="160"/>
      <c r="AE45" s="160"/>
      <c r="AF45" s="160"/>
      <c r="AG45" s="160"/>
      <c r="AH45" s="160"/>
      <c r="AI45" s="1361"/>
      <c r="AJ45" s="1361"/>
      <c r="AK45" s="160"/>
      <c r="AL45" s="160"/>
      <c r="AM45" s="160"/>
      <c r="AN45" s="160"/>
      <c r="AO45" s="160"/>
      <c r="AP45" s="9"/>
    </row>
    <row r="46" spans="1:42" ht="16.5" customHeight="1" x14ac:dyDescent="0.25">
      <c r="A46" s="377"/>
      <c r="B46" s="1383" t="s">
        <v>1051</v>
      </c>
      <c r="C46" s="1360"/>
      <c r="D46" s="1360"/>
      <c r="E46" s="1360"/>
      <c r="F46" s="1360"/>
      <c r="G46" s="1360"/>
      <c r="H46" s="1360"/>
      <c r="I46" s="1360"/>
      <c r="J46" s="1360"/>
      <c r="K46" s="1360"/>
      <c r="L46" s="1360"/>
      <c r="M46" s="1360"/>
      <c r="N46" s="1360"/>
      <c r="O46" s="1360"/>
      <c r="P46" s="1360"/>
      <c r="Q46" s="1360"/>
      <c r="R46" s="1360"/>
      <c r="S46" s="1360"/>
      <c r="T46" s="1360"/>
      <c r="U46" s="1360"/>
      <c r="V46" s="1360"/>
      <c r="W46" s="1360"/>
      <c r="X46" s="1360"/>
      <c r="Y46" s="1360"/>
      <c r="Z46" s="1360"/>
      <c r="AA46" s="1360"/>
      <c r="AB46" s="1360"/>
      <c r="AC46" s="1360"/>
      <c r="AD46" s="1360"/>
      <c r="AE46" s="1360"/>
      <c r="AF46" s="1360"/>
      <c r="AG46" s="1360"/>
      <c r="AH46" s="1360"/>
      <c r="AI46" s="1360"/>
      <c r="AJ46" s="1360"/>
      <c r="AK46" s="1360"/>
      <c r="AL46" s="1360"/>
      <c r="AM46" s="1360"/>
      <c r="AN46" s="1360"/>
      <c r="AO46" s="1360"/>
      <c r="AP46" s="9"/>
    </row>
    <row r="47" spans="1:42" ht="16.5" customHeight="1" x14ac:dyDescent="0.25">
      <c r="A47" s="377"/>
      <c r="B47" s="1361"/>
      <c r="C47" s="1361"/>
      <c r="D47" s="1361"/>
      <c r="E47" s="1361"/>
      <c r="F47" s="1361"/>
      <c r="G47" s="1361"/>
      <c r="H47" s="1361"/>
      <c r="I47" s="1361"/>
      <c r="J47" s="1361"/>
      <c r="K47" s="1361"/>
      <c r="L47" s="1361"/>
      <c r="M47" s="1361"/>
      <c r="N47" s="160"/>
      <c r="O47" s="160"/>
      <c r="P47" s="160"/>
      <c r="Q47" s="160"/>
      <c r="R47" s="160"/>
      <c r="S47" s="1361"/>
      <c r="T47" s="1361"/>
      <c r="U47" s="160"/>
      <c r="V47" s="160"/>
      <c r="W47" s="160"/>
      <c r="X47" s="160"/>
      <c r="Y47" s="160"/>
      <c r="Z47" s="160"/>
      <c r="AA47" s="160"/>
      <c r="AB47" s="1361"/>
      <c r="AC47" s="1361"/>
      <c r="AD47" s="160"/>
      <c r="AE47" s="160"/>
      <c r="AF47" s="160"/>
      <c r="AG47" s="160"/>
      <c r="AH47" s="160"/>
      <c r="AI47" s="1361"/>
      <c r="AJ47" s="1361"/>
      <c r="AK47" s="160"/>
      <c r="AL47" s="160"/>
      <c r="AM47" s="160"/>
      <c r="AN47" s="160"/>
      <c r="AO47" s="160"/>
      <c r="AP47" s="9"/>
    </row>
    <row r="48" spans="1:42" ht="16.5" customHeight="1" x14ac:dyDescent="0.25">
      <c r="A48" s="377"/>
      <c r="B48" s="1361"/>
      <c r="C48" s="1361"/>
      <c r="D48" s="1361"/>
      <c r="E48" s="1361"/>
      <c r="F48" s="1361"/>
      <c r="G48" s="1361"/>
      <c r="H48" s="1361"/>
      <c r="I48" s="1361"/>
      <c r="J48" s="1361"/>
      <c r="K48" s="1361"/>
      <c r="L48" s="1361"/>
      <c r="M48" s="1361"/>
      <c r="N48" s="160"/>
      <c r="O48" s="160"/>
      <c r="P48" s="160"/>
      <c r="Q48" s="160"/>
      <c r="R48" s="160"/>
      <c r="S48" s="1361"/>
      <c r="T48" s="1361"/>
      <c r="U48" s="160"/>
      <c r="V48" s="160"/>
      <c r="W48" s="160"/>
      <c r="X48" s="160"/>
      <c r="Y48" s="160"/>
      <c r="Z48" s="160"/>
      <c r="AA48" s="160"/>
      <c r="AB48" s="1361"/>
      <c r="AC48" s="1361"/>
      <c r="AD48" s="160"/>
      <c r="AE48" s="160"/>
      <c r="AF48" s="160"/>
      <c r="AG48" s="160"/>
      <c r="AH48" s="160"/>
      <c r="AI48" s="1361"/>
      <c r="AJ48" s="1361"/>
      <c r="AK48" s="160"/>
      <c r="AL48" s="160"/>
      <c r="AM48" s="160"/>
      <c r="AN48" s="160"/>
      <c r="AO48" s="160"/>
      <c r="AP48" s="9"/>
    </row>
    <row r="49" spans="1:83" ht="16.5" customHeight="1" x14ac:dyDescent="0.25">
      <c r="A49" s="377"/>
      <c r="B49" s="1361"/>
      <c r="C49" s="1361"/>
      <c r="D49" s="1361"/>
      <c r="E49" s="1361"/>
      <c r="F49" s="1361"/>
      <c r="G49" s="1361"/>
      <c r="H49" s="1361"/>
      <c r="I49" s="1361"/>
      <c r="J49" s="1361"/>
      <c r="K49" s="1361"/>
      <c r="L49" s="1361"/>
      <c r="M49" s="1361"/>
      <c r="N49" s="160"/>
      <c r="O49" s="160"/>
      <c r="P49" s="160"/>
      <c r="Q49" s="160"/>
      <c r="R49" s="160"/>
      <c r="S49" s="1361"/>
      <c r="T49" s="1361"/>
      <c r="U49" s="160"/>
      <c r="V49" s="160"/>
      <c r="W49" s="160"/>
      <c r="X49" s="160"/>
      <c r="Y49" s="160"/>
      <c r="Z49" s="160"/>
      <c r="AA49" s="160"/>
      <c r="AB49" s="1361"/>
      <c r="AC49" s="1361"/>
      <c r="AD49" s="160"/>
      <c r="AE49" s="160"/>
      <c r="AF49" s="160"/>
      <c r="AG49" s="160"/>
      <c r="AH49" s="160"/>
      <c r="AI49" s="1361"/>
      <c r="AJ49" s="1361"/>
      <c r="AK49" s="160"/>
      <c r="AL49" s="160"/>
      <c r="AM49" s="160"/>
      <c r="AN49" s="160"/>
      <c r="AO49" s="160"/>
      <c r="AP49" s="9"/>
    </row>
    <row r="50" spans="1:83" ht="16.5" customHeight="1" x14ac:dyDescent="0.25">
      <c r="A50" s="377"/>
      <c r="B50" s="1361"/>
      <c r="C50" s="1361"/>
      <c r="D50" s="1361"/>
      <c r="E50" s="1361"/>
      <c r="F50" s="1361"/>
      <c r="G50" s="1361"/>
      <c r="H50" s="1361"/>
      <c r="I50" s="1361"/>
      <c r="J50" s="1361"/>
      <c r="K50" s="1361"/>
      <c r="L50" s="1361"/>
      <c r="M50" s="1361"/>
      <c r="N50" s="160"/>
      <c r="O50" s="160"/>
      <c r="P50" s="160"/>
      <c r="Q50" s="160"/>
      <c r="R50" s="160"/>
      <c r="S50" s="1361"/>
      <c r="T50" s="1361"/>
      <c r="U50" s="160"/>
      <c r="V50" s="160"/>
      <c r="W50" s="160"/>
      <c r="X50" s="160"/>
      <c r="Y50" s="160"/>
      <c r="Z50" s="160"/>
      <c r="AA50" s="160"/>
      <c r="AB50" s="1361"/>
      <c r="AC50" s="1361"/>
      <c r="AD50" s="160"/>
      <c r="AE50" s="160"/>
      <c r="AF50" s="160"/>
      <c r="AG50" s="160"/>
      <c r="AH50" s="160"/>
      <c r="AI50" s="1361"/>
      <c r="AJ50" s="1361"/>
      <c r="AK50" s="160"/>
      <c r="AL50" s="160"/>
      <c r="AM50" s="160"/>
      <c r="AN50" s="160"/>
      <c r="AO50" s="160"/>
      <c r="AP50" s="9"/>
    </row>
    <row r="51" spans="1:83" ht="16.5" customHeight="1" x14ac:dyDescent="0.25">
      <c r="A51" s="377"/>
      <c r="B51" s="1361"/>
      <c r="C51" s="1361"/>
      <c r="D51" s="1361"/>
      <c r="E51" s="1361"/>
      <c r="F51" s="1361"/>
      <c r="G51" s="1361"/>
      <c r="H51" s="1361"/>
      <c r="I51" s="1361"/>
      <c r="J51" s="1361"/>
      <c r="K51" s="1361"/>
      <c r="L51" s="1361"/>
      <c r="M51" s="1361"/>
      <c r="N51" s="160"/>
      <c r="O51" s="160"/>
      <c r="P51" s="160"/>
      <c r="Q51" s="160"/>
      <c r="R51" s="160"/>
      <c r="S51" s="1361"/>
      <c r="T51" s="1361"/>
      <c r="U51" s="160"/>
      <c r="V51" s="160"/>
      <c r="W51" s="160"/>
      <c r="X51" s="160"/>
      <c r="Y51" s="160"/>
      <c r="Z51" s="160"/>
      <c r="AA51" s="160"/>
      <c r="AB51" s="1361"/>
      <c r="AC51" s="1361"/>
      <c r="AD51" s="160"/>
      <c r="AE51" s="160"/>
      <c r="AF51" s="160"/>
      <c r="AG51" s="160"/>
      <c r="AH51" s="160"/>
      <c r="AI51" s="1361"/>
      <c r="AJ51" s="1361"/>
      <c r="AK51" s="160"/>
      <c r="AL51" s="160"/>
      <c r="AM51" s="160"/>
      <c r="AN51" s="160"/>
      <c r="AO51" s="160"/>
      <c r="AP51" s="9"/>
    </row>
    <row r="52" spans="1:83" ht="16.5" customHeight="1" x14ac:dyDescent="0.25">
      <c r="A52" s="377"/>
      <c r="B52" s="1361"/>
      <c r="C52" s="1361"/>
      <c r="D52" s="1361"/>
      <c r="E52" s="1361"/>
      <c r="F52" s="1361"/>
      <c r="G52" s="1361"/>
      <c r="H52" s="1361"/>
      <c r="I52" s="1361"/>
      <c r="J52" s="1361"/>
      <c r="K52" s="1361"/>
      <c r="L52" s="1361"/>
      <c r="M52" s="1361"/>
      <c r="N52" s="160"/>
      <c r="O52" s="160"/>
      <c r="P52" s="160"/>
      <c r="Q52" s="160"/>
      <c r="R52" s="160"/>
      <c r="S52" s="1361"/>
      <c r="T52" s="1361"/>
      <c r="U52" s="160"/>
      <c r="V52" s="160"/>
      <c r="W52" s="160"/>
      <c r="X52" s="160"/>
      <c r="Y52" s="160"/>
      <c r="Z52" s="160"/>
      <c r="AA52" s="160"/>
      <c r="AB52" s="1361"/>
      <c r="AC52" s="1361"/>
      <c r="AD52" s="160"/>
      <c r="AE52" s="160"/>
      <c r="AF52" s="160"/>
      <c r="AG52" s="160"/>
      <c r="AH52" s="160"/>
      <c r="AI52" s="1361"/>
      <c r="AJ52" s="1361"/>
      <c r="AK52" s="160"/>
      <c r="AL52" s="160"/>
      <c r="AM52" s="160"/>
      <c r="AN52" s="160"/>
      <c r="AO52" s="160"/>
      <c r="AP52" s="9"/>
    </row>
    <row r="53" spans="1:83" ht="16.5" customHeight="1" x14ac:dyDescent="0.25">
      <c r="A53" s="377"/>
      <c r="B53" s="1361"/>
      <c r="C53" s="1361"/>
      <c r="D53" s="1361"/>
      <c r="E53" s="1361"/>
      <c r="F53" s="1361"/>
      <c r="G53" s="1361"/>
      <c r="H53" s="1361"/>
      <c r="I53" s="1361"/>
      <c r="J53" s="1361"/>
      <c r="K53" s="1361"/>
      <c r="L53" s="1361"/>
      <c r="M53" s="1361"/>
      <c r="N53" s="160"/>
      <c r="O53" s="160"/>
      <c r="P53" s="160"/>
      <c r="Q53" s="160"/>
      <c r="R53" s="160"/>
      <c r="S53" s="1361"/>
      <c r="T53" s="1361"/>
      <c r="U53" s="160"/>
      <c r="V53" s="160"/>
      <c r="W53" s="160"/>
      <c r="X53" s="160"/>
      <c r="Y53" s="160"/>
      <c r="Z53" s="160"/>
      <c r="AA53" s="160"/>
      <c r="AB53" s="1361"/>
      <c r="AC53" s="1361"/>
      <c r="AD53" s="160"/>
      <c r="AE53" s="160"/>
      <c r="AF53" s="160"/>
      <c r="AG53" s="160"/>
      <c r="AH53" s="160"/>
      <c r="AI53" s="1361"/>
      <c r="AJ53" s="1361"/>
      <c r="AK53" s="160"/>
      <c r="AL53" s="160"/>
      <c r="AM53" s="160"/>
      <c r="AN53" s="160"/>
      <c r="AO53" s="160"/>
      <c r="AP53" s="9"/>
    </row>
    <row r="54" spans="1:83" ht="16.5" customHeight="1" x14ac:dyDescent="0.25">
      <c r="A54" s="377"/>
      <c r="B54" s="1383" t="s">
        <v>1054</v>
      </c>
      <c r="C54" s="1360"/>
      <c r="D54" s="1360"/>
      <c r="E54" s="1360"/>
      <c r="F54" s="1360"/>
      <c r="G54" s="1360"/>
      <c r="H54" s="1360"/>
      <c r="I54" s="1360"/>
      <c r="J54" s="1360"/>
      <c r="K54" s="1360"/>
      <c r="L54" s="1360"/>
      <c r="M54" s="1360"/>
      <c r="N54" s="1360"/>
      <c r="O54" s="1360"/>
      <c r="P54" s="1360"/>
      <c r="Q54" s="1360"/>
      <c r="R54" s="1360"/>
      <c r="S54" s="1360"/>
      <c r="T54" s="1360"/>
      <c r="U54" s="1360"/>
      <c r="V54" s="1360"/>
      <c r="W54" s="1360"/>
      <c r="X54" s="1360"/>
      <c r="Y54" s="1360"/>
      <c r="Z54" s="1360"/>
      <c r="AA54" s="1360"/>
      <c r="AB54" s="1360"/>
      <c r="AC54" s="1360"/>
      <c r="AD54" s="1360"/>
      <c r="AE54" s="1360"/>
      <c r="AF54" s="1360"/>
      <c r="AG54" s="1360"/>
      <c r="AH54" s="1360"/>
      <c r="AI54" s="1360"/>
      <c r="AJ54" s="1360"/>
      <c r="AK54" s="1360"/>
      <c r="AL54" s="1360"/>
      <c r="AM54" s="1360"/>
      <c r="AN54" s="1360"/>
      <c r="AO54" s="1360"/>
      <c r="AP54" s="9"/>
      <c r="AS54" s="1366"/>
      <c r="AT54" s="1366"/>
      <c r="AU54" s="1366"/>
      <c r="AV54" s="1366"/>
      <c r="AW54" s="1366"/>
    </row>
    <row r="55" spans="1:83" ht="14.4" thickBot="1" x14ac:dyDescent="0.3">
      <c r="A55" s="377"/>
      <c r="B55" s="24"/>
      <c r="C55" s="24"/>
      <c r="D55" s="24"/>
      <c r="E55" s="24"/>
      <c r="F55" s="24"/>
      <c r="G55" s="24"/>
      <c r="H55" s="24"/>
      <c r="I55" s="24"/>
      <c r="J55" s="24"/>
      <c r="K55" s="24"/>
      <c r="L55" s="1454"/>
      <c r="M55" s="1454"/>
      <c r="N55" s="1454"/>
      <c r="O55" s="1454"/>
      <c r="P55" s="1454"/>
      <c r="Q55" s="1454"/>
      <c r="R55" s="1454"/>
      <c r="S55" s="1454"/>
      <c r="T55" s="1454"/>
      <c r="U55" s="1454"/>
      <c r="V55" s="1454"/>
      <c r="W55" s="1454"/>
      <c r="X55" s="1454"/>
      <c r="Y55" s="1454"/>
      <c r="Z55" s="1454"/>
      <c r="AA55" s="1454"/>
      <c r="AB55" s="1454"/>
      <c r="AC55" s="1454"/>
      <c r="AD55" s="1454"/>
      <c r="AE55" s="1454"/>
      <c r="AF55" s="1454"/>
      <c r="AG55" s="1454"/>
      <c r="AH55" s="1454"/>
      <c r="AI55" s="1454"/>
      <c r="AJ55" s="1454"/>
      <c r="AK55" s="1454"/>
      <c r="AL55" s="1454"/>
      <c r="AM55" s="14"/>
      <c r="AN55" s="14"/>
      <c r="AO55" s="160"/>
      <c r="AP55" s="9"/>
      <c r="AS55" s="1366"/>
      <c r="AT55" s="1366"/>
      <c r="AU55" s="1366"/>
      <c r="AV55" s="1366"/>
      <c r="AW55" s="1366"/>
    </row>
    <row r="56" spans="1:83" s="1366" customFormat="1" ht="16.5" customHeight="1" thickBot="1" x14ac:dyDescent="0.3">
      <c r="A56" s="377"/>
      <c r="B56" s="24"/>
      <c r="C56" s="24"/>
      <c r="D56" s="24"/>
      <c r="E56" s="24"/>
      <c r="F56" s="24"/>
      <c r="G56" s="2655" t="s">
        <v>283</v>
      </c>
      <c r="H56" s="2655"/>
      <c r="I56" s="2655"/>
      <c r="J56" s="2655"/>
      <c r="K56" s="2655"/>
      <c r="L56" s="2655"/>
      <c r="M56" s="2655" t="s">
        <v>1027</v>
      </c>
      <c r="N56" s="2655"/>
      <c r="O56" s="2655"/>
      <c r="P56" s="2655"/>
      <c r="Q56" s="2655"/>
      <c r="R56" s="2655"/>
      <c r="S56" s="2655" t="s">
        <v>1025</v>
      </c>
      <c r="T56" s="2655"/>
      <c r="U56" s="2655"/>
      <c r="V56" s="2655"/>
      <c r="W56" s="2655"/>
      <c r="X56" s="2655"/>
      <c r="Y56" s="2655" t="s">
        <v>1026</v>
      </c>
      <c r="Z56" s="2655"/>
      <c r="AA56" s="2655"/>
      <c r="AB56" s="2655"/>
      <c r="AC56" s="2655"/>
      <c r="AD56" s="2655"/>
      <c r="AE56" s="2662" t="s">
        <v>82</v>
      </c>
      <c r="AF56" s="2663"/>
      <c r="AG56" s="2663"/>
      <c r="AH56" s="2663"/>
      <c r="AI56" s="2663"/>
      <c r="AJ56" s="2663"/>
      <c r="AK56" s="2663"/>
      <c r="AL56" s="2663"/>
      <c r="AM56" s="2663"/>
      <c r="AN56" s="14"/>
      <c r="AO56" s="14"/>
      <c r="AP56" s="160"/>
      <c r="AQ56" s="331"/>
      <c r="AR56" s="331"/>
      <c r="AX56" s="331"/>
      <c r="AY56" s="331"/>
      <c r="AZ56" s="331"/>
      <c r="BA56" s="331"/>
      <c r="BB56" s="331"/>
      <c r="BC56" s="331"/>
      <c r="BD56" s="331"/>
      <c r="BE56" s="331"/>
      <c r="BF56" s="331"/>
      <c r="BG56" s="331"/>
      <c r="BH56" s="331"/>
      <c r="BI56" s="331"/>
      <c r="BJ56" s="331"/>
      <c r="BK56" s="331"/>
      <c r="BL56" s="331"/>
      <c r="BM56" s="331"/>
      <c r="BN56" s="331"/>
      <c r="BO56" s="331"/>
      <c r="BP56" s="331"/>
      <c r="BQ56" s="331"/>
      <c r="BR56" s="331"/>
      <c r="BS56" s="331"/>
      <c r="BT56" s="331"/>
      <c r="BU56" s="331"/>
      <c r="BV56" s="331"/>
      <c r="BW56" s="331"/>
      <c r="BX56" s="331"/>
      <c r="BY56" s="331"/>
      <c r="BZ56" s="331"/>
      <c r="CA56" s="331"/>
      <c r="CB56" s="331"/>
      <c r="CC56" s="331"/>
      <c r="CD56" s="331"/>
      <c r="CE56" s="331"/>
    </row>
    <row r="57" spans="1:83" s="1366" customFormat="1" ht="15" customHeight="1" x14ac:dyDescent="0.25">
      <c r="A57" s="377"/>
      <c r="B57" s="24"/>
      <c r="C57" s="24"/>
      <c r="D57" s="24"/>
      <c r="E57" s="24"/>
      <c r="F57" s="24"/>
      <c r="G57" s="2661" t="s">
        <v>986</v>
      </c>
      <c r="H57" s="2661"/>
      <c r="I57" s="2661"/>
      <c r="J57" s="2661" t="s">
        <v>1055</v>
      </c>
      <c r="K57" s="2661"/>
      <c r="L57" s="2661"/>
      <c r="M57" s="2661" t="s">
        <v>986</v>
      </c>
      <c r="N57" s="2661"/>
      <c r="O57" s="2661"/>
      <c r="P57" s="2661" t="s">
        <v>1055</v>
      </c>
      <c r="Q57" s="2661"/>
      <c r="R57" s="2661"/>
      <c r="S57" s="2661" t="s">
        <v>986</v>
      </c>
      <c r="T57" s="2661"/>
      <c r="U57" s="2661"/>
      <c r="V57" s="2661" t="s">
        <v>1055</v>
      </c>
      <c r="W57" s="2661"/>
      <c r="X57" s="2661"/>
      <c r="Y57" s="2661" t="s">
        <v>986</v>
      </c>
      <c r="Z57" s="2661"/>
      <c r="AA57" s="2661"/>
      <c r="AB57" s="2661" t="s">
        <v>1055</v>
      </c>
      <c r="AC57" s="2661"/>
      <c r="AD57" s="2661"/>
      <c r="AE57" s="2661" t="s">
        <v>986</v>
      </c>
      <c r="AF57" s="2661"/>
      <c r="AG57" s="2661"/>
      <c r="AH57" s="2661" t="s">
        <v>1055</v>
      </c>
      <c r="AI57" s="2661"/>
      <c r="AJ57" s="2661"/>
      <c r="AK57" s="2661" t="s">
        <v>1056</v>
      </c>
      <c r="AL57" s="2661"/>
      <c r="AM57" s="2661"/>
      <c r="AN57" s="1447"/>
      <c r="AO57" s="1448"/>
      <c r="AP57" s="9"/>
      <c r="AQ57" s="331"/>
      <c r="AR57" s="331"/>
      <c r="AX57" s="331"/>
      <c r="AY57" s="331"/>
      <c r="AZ57" s="331"/>
      <c r="BA57" s="331"/>
      <c r="BB57" s="331"/>
      <c r="BC57" s="331"/>
      <c r="BD57" s="331"/>
      <c r="BE57" s="331"/>
      <c r="BF57" s="331"/>
      <c r="BG57" s="331"/>
      <c r="BH57" s="331"/>
      <c r="BI57" s="331"/>
      <c r="BJ57" s="331"/>
      <c r="BK57" s="331"/>
      <c r="BL57" s="331"/>
      <c r="BM57" s="331"/>
      <c r="BN57" s="331"/>
      <c r="BO57" s="331"/>
      <c r="BP57" s="331"/>
      <c r="BQ57" s="331"/>
      <c r="BR57" s="331"/>
      <c r="BS57" s="331"/>
      <c r="BT57" s="331"/>
      <c r="BU57" s="331"/>
      <c r="BV57" s="331"/>
      <c r="BW57" s="331"/>
      <c r="BX57" s="331"/>
      <c r="BY57" s="331"/>
      <c r="BZ57" s="331"/>
      <c r="CA57" s="331"/>
      <c r="CB57" s="331"/>
    </row>
    <row r="58" spans="1:83" s="1366" customFormat="1" ht="15" customHeight="1" x14ac:dyDescent="0.3">
      <c r="A58" s="1361"/>
      <c r="B58" s="20"/>
      <c r="C58" s="1489" t="s">
        <v>553</v>
      </c>
      <c r="D58" s="1489"/>
      <c r="E58" s="1489"/>
      <c r="F58" s="1489"/>
      <c r="G58" s="2691">
        <f>HIDE5!D137</f>
        <v>0</v>
      </c>
      <c r="H58" s="2691"/>
      <c r="I58" s="2691"/>
      <c r="J58" s="2691">
        <f>HIDE5!R97</f>
        <v>0</v>
      </c>
      <c r="K58" s="2691"/>
      <c r="L58" s="2691"/>
      <c r="M58" s="2691">
        <f>HIDE5!D147</f>
        <v>0</v>
      </c>
      <c r="N58" s="2691"/>
      <c r="O58" s="2691"/>
      <c r="P58" s="2691">
        <f>HIDE5!D148</f>
        <v>0</v>
      </c>
      <c r="Q58" s="2691"/>
      <c r="R58" s="2691"/>
      <c r="S58" s="2691">
        <f>HIDE5!D150</f>
        <v>0</v>
      </c>
      <c r="T58" s="2691"/>
      <c r="U58" s="2691"/>
      <c r="V58" s="2691">
        <f>HIDE5!D151</f>
        <v>0</v>
      </c>
      <c r="W58" s="2691"/>
      <c r="X58" s="2691"/>
      <c r="Y58" s="2691">
        <f>HIDE5!D153</f>
        <v>0</v>
      </c>
      <c r="Z58" s="2691"/>
      <c r="AA58" s="2691"/>
      <c r="AB58" s="2691">
        <f>HIDE5!D154</f>
        <v>0</v>
      </c>
      <c r="AC58" s="2691"/>
      <c r="AD58" s="2691"/>
      <c r="AE58" s="2691">
        <f>G58-M58-S58-Y58</f>
        <v>0</v>
      </c>
      <c r="AF58" s="2691"/>
      <c r="AG58" s="2691"/>
      <c r="AH58" s="2691">
        <f>J58-P58-V58-AB58</f>
        <v>0</v>
      </c>
      <c r="AI58" s="2691"/>
      <c r="AJ58" s="2691"/>
      <c r="AK58" s="2693">
        <f>IFERROR(AE58/AH58-1,0)</f>
        <v>0</v>
      </c>
      <c r="AL58" s="2693"/>
      <c r="AM58" s="2693"/>
      <c r="AN58" s="1786"/>
      <c r="AO58" s="1448"/>
      <c r="AP58" s="23"/>
    </row>
    <row r="59" spans="1:83" s="1366" customFormat="1" ht="15" customHeight="1" x14ac:dyDescent="0.3">
      <c r="A59" s="1361"/>
      <c r="B59" s="24"/>
      <c r="C59" s="1489" t="s">
        <v>554</v>
      </c>
      <c r="D59" s="1489"/>
      <c r="E59" s="1489"/>
      <c r="F59" s="1489"/>
      <c r="G59" s="2692">
        <f>HIDE5!E137</f>
        <v>0</v>
      </c>
      <c r="H59" s="2692"/>
      <c r="I59" s="2692"/>
      <c r="J59" s="2692">
        <f>HIDE5!S97</f>
        <v>0</v>
      </c>
      <c r="K59" s="2692"/>
      <c r="L59" s="2692"/>
      <c r="M59" s="2692">
        <f>HIDE5!E147</f>
        <v>0</v>
      </c>
      <c r="N59" s="2692"/>
      <c r="O59" s="2692"/>
      <c r="P59" s="2692">
        <f>HIDE5!E148</f>
        <v>0</v>
      </c>
      <c r="Q59" s="2692"/>
      <c r="R59" s="2692"/>
      <c r="S59" s="2692">
        <f>HIDE5!E150</f>
        <v>0</v>
      </c>
      <c r="T59" s="2692"/>
      <c r="U59" s="2692"/>
      <c r="V59" s="2692">
        <f>HIDE5!E151</f>
        <v>0</v>
      </c>
      <c r="W59" s="2692"/>
      <c r="X59" s="2692"/>
      <c r="Y59" s="2692">
        <f>HIDE5!E153</f>
        <v>0</v>
      </c>
      <c r="Z59" s="2692"/>
      <c r="AA59" s="2692"/>
      <c r="AB59" s="2692">
        <f>HIDE5!E154</f>
        <v>0</v>
      </c>
      <c r="AC59" s="2692"/>
      <c r="AD59" s="2692"/>
      <c r="AE59" s="2692">
        <f t="shared" ref="AE59:AE69" si="0">G59-M59-S59-Y59</f>
        <v>0</v>
      </c>
      <c r="AF59" s="2692"/>
      <c r="AG59" s="2692"/>
      <c r="AH59" s="2692">
        <f t="shared" ref="AH59:AH69" si="1">J59-P59-V59-AB59</f>
        <v>0</v>
      </c>
      <c r="AI59" s="2692"/>
      <c r="AJ59" s="2692"/>
      <c r="AK59" s="2694">
        <f t="shared" ref="AK59:AK69" si="2">IFERROR(AE59/AH59-1,0)</f>
        <v>0</v>
      </c>
      <c r="AL59" s="2694"/>
      <c r="AM59" s="2694"/>
      <c r="AN59" s="1786"/>
      <c r="AO59" s="1448"/>
      <c r="AP59" s="23"/>
    </row>
    <row r="60" spans="1:83" s="1366" customFormat="1" ht="15" customHeight="1" x14ac:dyDescent="0.3">
      <c r="A60" s="1361"/>
      <c r="B60" s="24"/>
      <c r="C60" s="1489" t="s">
        <v>555</v>
      </c>
      <c r="D60" s="1489"/>
      <c r="E60" s="1489"/>
      <c r="F60" s="1489"/>
      <c r="G60" s="2691">
        <f>HIDE5!F137</f>
        <v>0</v>
      </c>
      <c r="H60" s="2691"/>
      <c r="I60" s="2691"/>
      <c r="J60" s="2691">
        <f>HIDE5!T97</f>
        <v>0</v>
      </c>
      <c r="K60" s="2691"/>
      <c r="L60" s="2691"/>
      <c r="M60" s="2691">
        <f>HIDE5!F147</f>
        <v>0</v>
      </c>
      <c r="N60" s="2691"/>
      <c r="O60" s="2691"/>
      <c r="P60" s="2691">
        <f>HIDE5!F148</f>
        <v>0</v>
      </c>
      <c r="Q60" s="2691"/>
      <c r="R60" s="2691"/>
      <c r="S60" s="2691">
        <f>HIDE5!F150</f>
        <v>0</v>
      </c>
      <c r="T60" s="2691"/>
      <c r="U60" s="2691"/>
      <c r="V60" s="2691">
        <f>HIDE5!F151</f>
        <v>0</v>
      </c>
      <c r="W60" s="2691"/>
      <c r="X60" s="2691"/>
      <c r="Y60" s="2691">
        <f>HIDE5!F153</f>
        <v>0</v>
      </c>
      <c r="Z60" s="2691"/>
      <c r="AA60" s="2691"/>
      <c r="AB60" s="2691">
        <f>HIDE5!F154</f>
        <v>0</v>
      </c>
      <c r="AC60" s="2691"/>
      <c r="AD60" s="2691"/>
      <c r="AE60" s="2691">
        <f t="shared" si="0"/>
        <v>0</v>
      </c>
      <c r="AF60" s="2691"/>
      <c r="AG60" s="2691"/>
      <c r="AH60" s="2691">
        <f t="shared" si="1"/>
        <v>0</v>
      </c>
      <c r="AI60" s="2691"/>
      <c r="AJ60" s="2691"/>
      <c r="AK60" s="2693">
        <f t="shared" si="2"/>
        <v>0</v>
      </c>
      <c r="AL60" s="2693"/>
      <c r="AM60" s="2693"/>
      <c r="AN60" s="1786"/>
      <c r="AO60" s="1448"/>
      <c r="AP60" s="23"/>
    </row>
    <row r="61" spans="1:83" s="1366" customFormat="1" ht="15" customHeight="1" x14ac:dyDescent="0.3">
      <c r="A61" s="1361"/>
      <c r="B61" s="24"/>
      <c r="C61" s="1489" t="s">
        <v>556</v>
      </c>
      <c r="D61" s="1489"/>
      <c r="E61" s="1489"/>
      <c r="F61" s="1489"/>
      <c r="G61" s="2692">
        <f>HIDE5!G137</f>
        <v>0</v>
      </c>
      <c r="H61" s="2692"/>
      <c r="I61" s="2692"/>
      <c r="J61" s="2692">
        <f>HIDE5!U97</f>
        <v>0</v>
      </c>
      <c r="K61" s="2692"/>
      <c r="L61" s="2692"/>
      <c r="M61" s="2692">
        <f>HIDE5!G147</f>
        <v>0</v>
      </c>
      <c r="N61" s="2692"/>
      <c r="O61" s="2692"/>
      <c r="P61" s="2692">
        <f>HIDE5!G148</f>
        <v>0</v>
      </c>
      <c r="Q61" s="2692"/>
      <c r="R61" s="2692"/>
      <c r="S61" s="2692">
        <f>HIDE5!G150</f>
        <v>0</v>
      </c>
      <c r="T61" s="2692"/>
      <c r="U61" s="2692"/>
      <c r="V61" s="2692">
        <f>HIDE5!G151</f>
        <v>0</v>
      </c>
      <c r="W61" s="2692"/>
      <c r="X61" s="2692"/>
      <c r="Y61" s="2692">
        <f>HIDE5!G153</f>
        <v>0</v>
      </c>
      <c r="Z61" s="2692"/>
      <c r="AA61" s="2692"/>
      <c r="AB61" s="2692">
        <f>HIDE5!G154</f>
        <v>0</v>
      </c>
      <c r="AC61" s="2692"/>
      <c r="AD61" s="2692"/>
      <c r="AE61" s="2692">
        <f t="shared" si="0"/>
        <v>0</v>
      </c>
      <c r="AF61" s="2692"/>
      <c r="AG61" s="2692"/>
      <c r="AH61" s="2692">
        <f t="shared" si="1"/>
        <v>0</v>
      </c>
      <c r="AI61" s="2692"/>
      <c r="AJ61" s="2692"/>
      <c r="AK61" s="2694">
        <f t="shared" si="2"/>
        <v>0</v>
      </c>
      <c r="AL61" s="2694"/>
      <c r="AM61" s="2694"/>
      <c r="AN61" s="1786"/>
      <c r="AO61" s="1448"/>
      <c r="AP61" s="23"/>
    </row>
    <row r="62" spans="1:83" s="1366" customFormat="1" ht="15" customHeight="1" x14ac:dyDescent="0.3">
      <c r="A62" s="1361"/>
      <c r="B62" s="24"/>
      <c r="C62" s="1489" t="s">
        <v>557</v>
      </c>
      <c r="D62" s="1489"/>
      <c r="E62" s="1489"/>
      <c r="F62" s="1489"/>
      <c r="G62" s="2691">
        <f>HIDE5!H137</f>
        <v>0</v>
      </c>
      <c r="H62" s="2691"/>
      <c r="I62" s="2691"/>
      <c r="J62" s="2691">
        <f>HIDE5!V97</f>
        <v>0</v>
      </c>
      <c r="K62" s="2691"/>
      <c r="L62" s="2691"/>
      <c r="M62" s="2691">
        <f>HIDE5!H147</f>
        <v>0</v>
      </c>
      <c r="N62" s="2691"/>
      <c r="O62" s="2691"/>
      <c r="P62" s="2691">
        <f>HIDE5!H148</f>
        <v>0</v>
      </c>
      <c r="Q62" s="2691"/>
      <c r="R62" s="2691"/>
      <c r="S62" s="2691">
        <f>HIDE5!H150</f>
        <v>0</v>
      </c>
      <c r="T62" s="2691"/>
      <c r="U62" s="2691"/>
      <c r="V62" s="2691">
        <f>HIDE5!H151</f>
        <v>0</v>
      </c>
      <c r="W62" s="2691"/>
      <c r="X62" s="2691"/>
      <c r="Y62" s="2691">
        <f>HIDE5!H153</f>
        <v>0</v>
      </c>
      <c r="Z62" s="2691"/>
      <c r="AA62" s="2691"/>
      <c r="AB62" s="2691">
        <f>HIDE5!H154</f>
        <v>0</v>
      </c>
      <c r="AC62" s="2691"/>
      <c r="AD62" s="2691"/>
      <c r="AE62" s="2691">
        <f t="shared" si="0"/>
        <v>0</v>
      </c>
      <c r="AF62" s="2691"/>
      <c r="AG62" s="2691"/>
      <c r="AH62" s="2691">
        <f t="shared" si="1"/>
        <v>0</v>
      </c>
      <c r="AI62" s="2691"/>
      <c r="AJ62" s="2691"/>
      <c r="AK62" s="2693">
        <f t="shared" si="2"/>
        <v>0</v>
      </c>
      <c r="AL62" s="2693"/>
      <c r="AM62" s="2693"/>
      <c r="AN62" s="1786"/>
      <c r="AO62" s="1448"/>
      <c r="AP62" s="23"/>
    </row>
    <row r="63" spans="1:83" s="1366" customFormat="1" ht="15" customHeight="1" x14ac:dyDescent="0.3">
      <c r="A63" s="1361"/>
      <c r="B63" s="24"/>
      <c r="C63" s="1489" t="s">
        <v>558</v>
      </c>
      <c r="D63" s="1489"/>
      <c r="E63" s="1489"/>
      <c r="F63" s="1489"/>
      <c r="G63" s="2692">
        <f>HIDE5!I137</f>
        <v>0</v>
      </c>
      <c r="H63" s="2692"/>
      <c r="I63" s="2692"/>
      <c r="J63" s="2692">
        <f>HIDE5!W97</f>
        <v>0</v>
      </c>
      <c r="K63" s="2692"/>
      <c r="L63" s="2692"/>
      <c r="M63" s="2692">
        <f>HIDE5!I147</f>
        <v>0</v>
      </c>
      <c r="N63" s="2692"/>
      <c r="O63" s="2692"/>
      <c r="P63" s="2692">
        <f>HIDE5!I148</f>
        <v>0</v>
      </c>
      <c r="Q63" s="2692"/>
      <c r="R63" s="2692"/>
      <c r="S63" s="2692">
        <f>HIDE5!I150</f>
        <v>0</v>
      </c>
      <c r="T63" s="2692"/>
      <c r="U63" s="2692"/>
      <c r="V63" s="2692">
        <f>HIDE5!I151</f>
        <v>0</v>
      </c>
      <c r="W63" s="2692"/>
      <c r="X63" s="2692"/>
      <c r="Y63" s="2692">
        <f>HIDE5!I153</f>
        <v>0</v>
      </c>
      <c r="Z63" s="2692"/>
      <c r="AA63" s="2692"/>
      <c r="AB63" s="2692">
        <f>HIDE5!I154</f>
        <v>0</v>
      </c>
      <c r="AC63" s="2692"/>
      <c r="AD63" s="2692"/>
      <c r="AE63" s="2692">
        <f t="shared" si="0"/>
        <v>0</v>
      </c>
      <c r="AF63" s="2692"/>
      <c r="AG63" s="2692"/>
      <c r="AH63" s="2692">
        <f t="shared" si="1"/>
        <v>0</v>
      </c>
      <c r="AI63" s="2692"/>
      <c r="AJ63" s="2692"/>
      <c r="AK63" s="2694">
        <f t="shared" si="2"/>
        <v>0</v>
      </c>
      <c r="AL63" s="2694"/>
      <c r="AM63" s="2694"/>
      <c r="AN63" s="1786"/>
      <c r="AO63" s="1448"/>
      <c r="AP63" s="23"/>
    </row>
    <row r="64" spans="1:83" s="1366" customFormat="1" ht="15" customHeight="1" x14ac:dyDescent="0.3">
      <c r="A64" s="1361"/>
      <c r="B64" s="24"/>
      <c r="C64" s="1489" t="s">
        <v>559</v>
      </c>
      <c r="D64" s="1489"/>
      <c r="E64" s="1489"/>
      <c r="F64" s="1489"/>
      <c r="G64" s="2691">
        <f>HIDE5!J137</f>
        <v>0</v>
      </c>
      <c r="H64" s="2691"/>
      <c r="I64" s="2691"/>
      <c r="J64" s="2691">
        <f>HIDE5!X97</f>
        <v>0</v>
      </c>
      <c r="K64" s="2691"/>
      <c r="L64" s="2691"/>
      <c r="M64" s="2691">
        <f>HIDE5!J147</f>
        <v>0</v>
      </c>
      <c r="N64" s="2691"/>
      <c r="O64" s="2691"/>
      <c r="P64" s="2691">
        <f>HIDE5!J148</f>
        <v>0</v>
      </c>
      <c r="Q64" s="2691"/>
      <c r="R64" s="2691"/>
      <c r="S64" s="2691">
        <f>HIDE5!J150</f>
        <v>0</v>
      </c>
      <c r="T64" s="2691"/>
      <c r="U64" s="2691"/>
      <c r="V64" s="2691">
        <f>HIDE5!J151</f>
        <v>0</v>
      </c>
      <c r="W64" s="2691"/>
      <c r="X64" s="2691"/>
      <c r="Y64" s="2691">
        <f>HIDE5!J153</f>
        <v>0</v>
      </c>
      <c r="Z64" s="2691"/>
      <c r="AA64" s="2691"/>
      <c r="AB64" s="2691">
        <f>HIDE5!J154</f>
        <v>0</v>
      </c>
      <c r="AC64" s="2691"/>
      <c r="AD64" s="2691"/>
      <c r="AE64" s="2691">
        <f t="shared" si="0"/>
        <v>0</v>
      </c>
      <c r="AF64" s="2691"/>
      <c r="AG64" s="2691"/>
      <c r="AH64" s="2691">
        <f t="shared" si="1"/>
        <v>0</v>
      </c>
      <c r="AI64" s="2691"/>
      <c r="AJ64" s="2691"/>
      <c r="AK64" s="2693">
        <f t="shared" si="2"/>
        <v>0</v>
      </c>
      <c r="AL64" s="2693"/>
      <c r="AM64" s="2693"/>
      <c r="AN64" s="1786"/>
      <c r="AO64" s="1448"/>
      <c r="AP64" s="23"/>
    </row>
    <row r="65" spans="1:83" s="1366" customFormat="1" ht="15" customHeight="1" x14ac:dyDescent="0.3">
      <c r="A65" s="1361"/>
      <c r="B65" s="24"/>
      <c r="C65" s="1489" t="s">
        <v>560</v>
      </c>
      <c r="D65" s="1489"/>
      <c r="E65" s="1489"/>
      <c r="F65" s="1489"/>
      <c r="G65" s="2692">
        <f>HIDE5!K137</f>
        <v>0</v>
      </c>
      <c r="H65" s="2692"/>
      <c r="I65" s="2692"/>
      <c r="J65" s="2692">
        <f>HIDE5!Y97</f>
        <v>0</v>
      </c>
      <c r="K65" s="2692"/>
      <c r="L65" s="2692"/>
      <c r="M65" s="2692">
        <f>HIDE5!K147</f>
        <v>0</v>
      </c>
      <c r="N65" s="2692"/>
      <c r="O65" s="2692"/>
      <c r="P65" s="2692">
        <f>HIDE5!K148</f>
        <v>0</v>
      </c>
      <c r="Q65" s="2692"/>
      <c r="R65" s="2692"/>
      <c r="S65" s="2692">
        <f>HIDE5!K150</f>
        <v>0</v>
      </c>
      <c r="T65" s="2692"/>
      <c r="U65" s="2692"/>
      <c r="V65" s="2692">
        <f>HIDE5!K151</f>
        <v>0</v>
      </c>
      <c r="W65" s="2692"/>
      <c r="X65" s="2692"/>
      <c r="Y65" s="2692">
        <f>HIDE5!K153</f>
        <v>0</v>
      </c>
      <c r="Z65" s="2692"/>
      <c r="AA65" s="2692"/>
      <c r="AB65" s="2692">
        <f>HIDE5!K154</f>
        <v>0</v>
      </c>
      <c r="AC65" s="2692"/>
      <c r="AD65" s="2692"/>
      <c r="AE65" s="2692">
        <f t="shared" si="0"/>
        <v>0</v>
      </c>
      <c r="AF65" s="2692"/>
      <c r="AG65" s="2692"/>
      <c r="AH65" s="2692">
        <f t="shared" si="1"/>
        <v>0</v>
      </c>
      <c r="AI65" s="2692"/>
      <c r="AJ65" s="2692"/>
      <c r="AK65" s="2694">
        <f t="shared" si="2"/>
        <v>0</v>
      </c>
      <c r="AL65" s="2694"/>
      <c r="AM65" s="2694"/>
      <c r="AN65" s="1786"/>
      <c r="AO65" s="1448"/>
      <c r="AP65" s="23"/>
    </row>
    <row r="66" spans="1:83" s="1366" customFormat="1" ht="15" customHeight="1" x14ac:dyDescent="0.3">
      <c r="A66" s="161"/>
      <c r="B66" s="24"/>
      <c r="C66" s="1489" t="s">
        <v>561</v>
      </c>
      <c r="D66" s="1489"/>
      <c r="E66" s="1489"/>
      <c r="F66" s="1489"/>
      <c r="G66" s="2691">
        <f>HIDE5!L137</f>
        <v>0</v>
      </c>
      <c r="H66" s="2691"/>
      <c r="I66" s="2691"/>
      <c r="J66" s="2691">
        <f>HIDE5!Z97</f>
        <v>0</v>
      </c>
      <c r="K66" s="2691"/>
      <c r="L66" s="2691"/>
      <c r="M66" s="2691">
        <f>HIDE5!L147</f>
        <v>0</v>
      </c>
      <c r="N66" s="2691"/>
      <c r="O66" s="2691"/>
      <c r="P66" s="2691">
        <f>HIDE5!L148</f>
        <v>0</v>
      </c>
      <c r="Q66" s="2691"/>
      <c r="R66" s="2691"/>
      <c r="S66" s="2691">
        <f>HIDE5!L150</f>
        <v>0</v>
      </c>
      <c r="T66" s="2691"/>
      <c r="U66" s="2691"/>
      <c r="V66" s="2691">
        <f>HIDE5!L151</f>
        <v>0</v>
      </c>
      <c r="W66" s="2691"/>
      <c r="X66" s="2691"/>
      <c r="Y66" s="2691">
        <f>HIDE5!L153</f>
        <v>0</v>
      </c>
      <c r="Z66" s="2691"/>
      <c r="AA66" s="2691"/>
      <c r="AB66" s="2691">
        <f>HIDE5!L154</f>
        <v>0</v>
      </c>
      <c r="AC66" s="2691"/>
      <c r="AD66" s="2691"/>
      <c r="AE66" s="2691">
        <f t="shared" si="0"/>
        <v>0</v>
      </c>
      <c r="AF66" s="2691"/>
      <c r="AG66" s="2691"/>
      <c r="AH66" s="2691">
        <f t="shared" si="1"/>
        <v>0</v>
      </c>
      <c r="AI66" s="2691"/>
      <c r="AJ66" s="2691"/>
      <c r="AK66" s="2693">
        <f t="shared" si="2"/>
        <v>0</v>
      </c>
      <c r="AL66" s="2693"/>
      <c r="AM66" s="2693"/>
      <c r="AN66" s="1786"/>
      <c r="AO66" s="1448"/>
      <c r="AP66" s="23"/>
    </row>
    <row r="67" spans="1:83" s="1366" customFormat="1" ht="15" customHeight="1" x14ac:dyDescent="0.3">
      <c r="A67" s="1361"/>
      <c r="B67" s="24"/>
      <c r="C67" s="1489" t="s">
        <v>562</v>
      </c>
      <c r="D67" s="1489"/>
      <c r="E67" s="1489"/>
      <c r="F67" s="1489"/>
      <c r="G67" s="2692">
        <f>HIDE5!M137</f>
        <v>0</v>
      </c>
      <c r="H67" s="2692"/>
      <c r="I67" s="2692"/>
      <c r="J67" s="2692">
        <f>HIDE5!AA97</f>
        <v>0</v>
      </c>
      <c r="K67" s="2692"/>
      <c r="L67" s="2692"/>
      <c r="M67" s="2692">
        <f>HIDE5!M147</f>
        <v>0</v>
      </c>
      <c r="N67" s="2692"/>
      <c r="O67" s="2692"/>
      <c r="P67" s="2692">
        <f>HIDE5!M148</f>
        <v>0</v>
      </c>
      <c r="Q67" s="2692"/>
      <c r="R67" s="2692"/>
      <c r="S67" s="2692">
        <f>HIDE5!M150</f>
        <v>0</v>
      </c>
      <c r="T67" s="2692"/>
      <c r="U67" s="2692"/>
      <c r="V67" s="2692">
        <f>HIDE5!M151</f>
        <v>0</v>
      </c>
      <c r="W67" s="2692"/>
      <c r="X67" s="2692"/>
      <c r="Y67" s="2692">
        <f>HIDE5!M153</f>
        <v>0</v>
      </c>
      <c r="Z67" s="2692"/>
      <c r="AA67" s="2692"/>
      <c r="AB67" s="2692">
        <f>HIDE5!M154</f>
        <v>0</v>
      </c>
      <c r="AC67" s="2692"/>
      <c r="AD67" s="2692"/>
      <c r="AE67" s="2692">
        <f t="shared" si="0"/>
        <v>0</v>
      </c>
      <c r="AF67" s="2692"/>
      <c r="AG67" s="2692"/>
      <c r="AH67" s="2692">
        <f t="shared" si="1"/>
        <v>0</v>
      </c>
      <c r="AI67" s="2692"/>
      <c r="AJ67" s="2692"/>
      <c r="AK67" s="2694">
        <f t="shared" si="2"/>
        <v>0</v>
      </c>
      <c r="AL67" s="2694"/>
      <c r="AM67" s="2694"/>
      <c r="AN67" s="1786"/>
      <c r="AO67" s="1448"/>
      <c r="AP67" s="23"/>
    </row>
    <row r="68" spans="1:83" s="1366" customFormat="1" ht="15" customHeight="1" x14ac:dyDescent="0.3">
      <c r="A68" s="1361"/>
      <c r="B68" s="24"/>
      <c r="C68" s="1489" t="s">
        <v>563</v>
      </c>
      <c r="D68" s="1489"/>
      <c r="E68" s="1489"/>
      <c r="F68" s="1489"/>
      <c r="G68" s="2691">
        <f>HIDE5!N137</f>
        <v>0</v>
      </c>
      <c r="H68" s="2691"/>
      <c r="I68" s="2691"/>
      <c r="J68" s="2691">
        <f>HIDE5!AB97</f>
        <v>0</v>
      </c>
      <c r="K68" s="2691"/>
      <c r="L68" s="2691"/>
      <c r="M68" s="2691">
        <f>HIDE5!N147</f>
        <v>0</v>
      </c>
      <c r="N68" s="2691"/>
      <c r="O68" s="2691"/>
      <c r="P68" s="2691">
        <f>HIDE5!N148</f>
        <v>0</v>
      </c>
      <c r="Q68" s="2691"/>
      <c r="R68" s="2691"/>
      <c r="S68" s="2691">
        <f>HIDE5!N150</f>
        <v>0</v>
      </c>
      <c r="T68" s="2691"/>
      <c r="U68" s="2691"/>
      <c r="V68" s="2691">
        <f>HIDE5!N151</f>
        <v>0</v>
      </c>
      <c r="W68" s="2691"/>
      <c r="X68" s="2691"/>
      <c r="Y68" s="2691">
        <f>HIDE5!N153</f>
        <v>0</v>
      </c>
      <c r="Z68" s="2691"/>
      <c r="AA68" s="2691"/>
      <c r="AB68" s="2691">
        <f>HIDE5!N154</f>
        <v>0</v>
      </c>
      <c r="AC68" s="2691"/>
      <c r="AD68" s="2691"/>
      <c r="AE68" s="2691">
        <f t="shared" si="0"/>
        <v>0</v>
      </c>
      <c r="AF68" s="2691"/>
      <c r="AG68" s="2691"/>
      <c r="AH68" s="2691">
        <f t="shared" si="1"/>
        <v>0</v>
      </c>
      <c r="AI68" s="2691"/>
      <c r="AJ68" s="2691"/>
      <c r="AK68" s="2693">
        <f t="shared" si="2"/>
        <v>0</v>
      </c>
      <c r="AL68" s="2693"/>
      <c r="AM68" s="2693"/>
      <c r="AN68" s="1786"/>
      <c r="AO68" s="1448"/>
      <c r="AP68" s="23"/>
    </row>
    <row r="69" spans="1:83" s="1486" customFormat="1" ht="15" customHeight="1" x14ac:dyDescent="0.3">
      <c r="A69" s="161"/>
      <c r="B69" s="24"/>
      <c r="C69" s="1489" t="s">
        <v>564</v>
      </c>
      <c r="D69" s="1489"/>
      <c r="E69" s="1489"/>
      <c r="F69" s="1489"/>
      <c r="G69" s="2692">
        <f>HIDE5!O137</f>
        <v>0</v>
      </c>
      <c r="H69" s="2692"/>
      <c r="I69" s="2692"/>
      <c r="J69" s="2692">
        <f>HIDE5!AC97</f>
        <v>0</v>
      </c>
      <c r="K69" s="2692"/>
      <c r="L69" s="2692"/>
      <c r="M69" s="2692">
        <f>HIDE5!O147</f>
        <v>0</v>
      </c>
      <c r="N69" s="2692"/>
      <c r="O69" s="2692"/>
      <c r="P69" s="2692">
        <f>HIDE5!O148</f>
        <v>0</v>
      </c>
      <c r="Q69" s="2692"/>
      <c r="R69" s="2692"/>
      <c r="S69" s="2692">
        <f>HIDE5!O150</f>
        <v>0</v>
      </c>
      <c r="T69" s="2692"/>
      <c r="U69" s="2692"/>
      <c r="V69" s="2692">
        <f>HIDE5!O151</f>
        <v>0</v>
      </c>
      <c r="W69" s="2692"/>
      <c r="X69" s="2692"/>
      <c r="Y69" s="2692">
        <f>HIDE5!O153</f>
        <v>0</v>
      </c>
      <c r="Z69" s="2692"/>
      <c r="AA69" s="2692"/>
      <c r="AB69" s="2692">
        <f>HIDE5!O154</f>
        <v>0</v>
      </c>
      <c r="AC69" s="2692"/>
      <c r="AD69" s="2692"/>
      <c r="AE69" s="2692">
        <f t="shared" si="0"/>
        <v>0</v>
      </c>
      <c r="AF69" s="2692"/>
      <c r="AG69" s="2692"/>
      <c r="AH69" s="2692">
        <f t="shared" si="1"/>
        <v>0</v>
      </c>
      <c r="AI69" s="2692"/>
      <c r="AJ69" s="2692"/>
      <c r="AK69" s="2694">
        <f t="shared" si="2"/>
        <v>0</v>
      </c>
      <c r="AL69" s="2694"/>
      <c r="AM69" s="2694"/>
      <c r="AN69" s="1786"/>
      <c r="AO69" s="1448"/>
      <c r="AP69" s="23"/>
      <c r="AQ69" s="1366"/>
      <c r="AR69" s="1366"/>
      <c r="AS69" s="1366"/>
      <c r="AT69" s="1366"/>
      <c r="AU69" s="1366"/>
      <c r="AV69" s="1366"/>
      <c r="AW69" s="1366"/>
      <c r="AX69" s="1366"/>
      <c r="AY69" s="1366"/>
      <c r="AZ69" s="1366"/>
      <c r="BA69" s="1366"/>
      <c r="BB69" s="1366"/>
      <c r="BC69" s="1366"/>
      <c r="BD69" s="1366"/>
      <c r="BE69" s="1366"/>
      <c r="BF69" s="1366"/>
      <c r="BG69" s="1366"/>
      <c r="BH69" s="1366"/>
      <c r="BI69" s="1366"/>
      <c r="BJ69" s="1366"/>
      <c r="BK69" s="1366"/>
      <c r="BL69" s="1366"/>
      <c r="BM69" s="1366"/>
      <c r="BN69" s="1366"/>
      <c r="BO69" s="1366"/>
      <c r="BP69" s="1366"/>
      <c r="BQ69" s="1366"/>
      <c r="BR69" s="1366"/>
      <c r="BS69" s="1366"/>
      <c r="BT69" s="1366"/>
      <c r="BU69" s="1366"/>
      <c r="BV69" s="1366"/>
      <c r="BW69" s="1366"/>
      <c r="BX69" s="1366"/>
      <c r="BY69" s="1366"/>
      <c r="BZ69" s="1366"/>
      <c r="CA69" s="1366"/>
      <c r="CB69" s="1366"/>
      <c r="CC69" s="1366"/>
      <c r="CD69" s="1366"/>
      <c r="CE69" s="1366"/>
    </row>
    <row r="70" spans="1:83" ht="15" customHeight="1" x14ac:dyDescent="0.25">
      <c r="A70" s="1424"/>
      <c r="B70" s="24"/>
      <c r="C70" s="1490" t="s">
        <v>20</v>
      </c>
      <c r="D70" s="1490"/>
      <c r="E70" s="1491"/>
      <c r="F70" s="1491"/>
      <c r="G70" s="2695">
        <f>SUM(G58:I69)</f>
        <v>0</v>
      </c>
      <c r="H70" s="2695"/>
      <c r="I70" s="2695"/>
      <c r="J70" s="2695">
        <f>SUM(J58:L69)</f>
        <v>0</v>
      </c>
      <c r="K70" s="2695"/>
      <c r="L70" s="2695"/>
      <c r="M70" s="2695">
        <f>SUM(M58:O69)</f>
        <v>0</v>
      </c>
      <c r="N70" s="2695"/>
      <c r="O70" s="2695"/>
      <c r="P70" s="2695">
        <f>SUM(P58:R69)</f>
        <v>0</v>
      </c>
      <c r="Q70" s="2695"/>
      <c r="R70" s="2695"/>
      <c r="S70" s="2695">
        <f>SUM(S58:U69)</f>
        <v>0</v>
      </c>
      <c r="T70" s="2695"/>
      <c r="U70" s="2695"/>
      <c r="V70" s="2695">
        <f>SUM(V58:X69)</f>
        <v>0</v>
      </c>
      <c r="W70" s="2695"/>
      <c r="X70" s="2695"/>
      <c r="Y70" s="2695">
        <f>SUM(Y58:AA69)</f>
        <v>0</v>
      </c>
      <c r="Z70" s="2695"/>
      <c r="AA70" s="2695"/>
      <c r="AB70" s="2695">
        <f>SUM(AB58:AD69)</f>
        <v>0</v>
      </c>
      <c r="AC70" s="2695"/>
      <c r="AD70" s="2695"/>
      <c r="AE70" s="2695">
        <f>SUM(AE58:AG69)</f>
        <v>0</v>
      </c>
      <c r="AF70" s="2695"/>
      <c r="AG70" s="2695"/>
      <c r="AH70" s="2695">
        <f>SUM(AH58:AJ69)</f>
        <v>0</v>
      </c>
      <c r="AI70" s="2695"/>
      <c r="AJ70" s="2695"/>
      <c r="AK70" s="2695"/>
      <c r="AL70" s="2695"/>
      <c r="AM70" s="2695"/>
      <c r="AN70" s="1786"/>
      <c r="AO70" s="1361"/>
      <c r="AP70" s="44"/>
      <c r="AQ70" s="1366"/>
      <c r="AR70" s="1366"/>
      <c r="AS70" s="1366"/>
      <c r="AT70" s="1366"/>
      <c r="AU70" s="1366"/>
      <c r="AV70" s="1366"/>
      <c r="AW70" s="1366"/>
      <c r="AX70" s="1366"/>
      <c r="AY70" s="1366"/>
      <c r="AZ70" s="1366"/>
      <c r="BA70" s="1366"/>
      <c r="BB70" s="1366"/>
      <c r="BC70" s="1366"/>
      <c r="BD70" s="1366"/>
      <c r="BE70" s="1366"/>
      <c r="BF70" s="1366"/>
      <c r="BG70" s="1366"/>
      <c r="BH70" s="1366"/>
      <c r="BI70" s="1366"/>
      <c r="BJ70" s="1366"/>
      <c r="BK70" s="1366"/>
      <c r="BL70" s="1366"/>
      <c r="BM70" s="1366"/>
      <c r="BN70" s="1366"/>
      <c r="BO70" s="1366"/>
      <c r="BP70" s="1366"/>
      <c r="BQ70" s="1366"/>
      <c r="BR70" s="1366"/>
      <c r="BS70" s="1366"/>
      <c r="BT70" s="1366"/>
      <c r="BU70" s="1366"/>
      <c r="BV70" s="1366"/>
      <c r="BW70" s="1366"/>
      <c r="BX70" s="1366"/>
      <c r="BY70" s="1366"/>
      <c r="BZ70" s="1366"/>
      <c r="CA70" s="1366"/>
      <c r="CB70" s="1366"/>
      <c r="CC70" s="1486"/>
      <c r="CD70" s="1486"/>
      <c r="CE70" s="1486"/>
    </row>
    <row r="71" spans="1:83" s="353" customFormat="1" ht="15" customHeight="1" x14ac:dyDescent="0.25">
      <c r="A71" s="1484"/>
      <c r="B71" s="1277"/>
      <c r="C71" s="1487" t="s">
        <v>1056</v>
      </c>
      <c r="D71" s="1487"/>
      <c r="E71" s="1487"/>
      <c r="F71" s="1487"/>
      <c r="G71" s="2696">
        <f>IFERROR(G70/J70-1,0)</f>
        <v>0</v>
      </c>
      <c r="H71" s="2696"/>
      <c r="I71" s="2696"/>
      <c r="J71" s="1482"/>
      <c r="K71" s="1482"/>
      <c r="L71" s="1482"/>
      <c r="M71" s="2696">
        <f>IFERROR(M70/P70-1,0)</f>
        <v>0</v>
      </c>
      <c r="N71" s="2696"/>
      <c r="O71" s="2696"/>
      <c r="P71" s="1483"/>
      <c r="Q71" s="1483"/>
      <c r="R71" s="1483"/>
      <c r="S71" s="2696">
        <f>IFERROR(S70/V70-1,0)</f>
        <v>0</v>
      </c>
      <c r="T71" s="2696"/>
      <c r="U71" s="2696"/>
      <c r="V71" s="1485"/>
      <c r="W71" s="1485"/>
      <c r="X71" s="1485"/>
      <c r="Y71" s="2696">
        <f>IFERROR(Y70/AB70-1,0)</f>
        <v>0</v>
      </c>
      <c r="Z71" s="2696"/>
      <c r="AA71" s="2696"/>
      <c r="AB71" s="1483"/>
      <c r="AC71" s="1483"/>
      <c r="AD71" s="1485"/>
      <c r="AE71" s="2696">
        <f>IFERROR(AE70/AH70-1,0)</f>
        <v>0</v>
      </c>
      <c r="AF71" s="2696"/>
      <c r="AG71" s="2696"/>
      <c r="AH71" s="1483"/>
      <c r="AI71" s="1483"/>
      <c r="AJ71" s="1483"/>
      <c r="AK71" s="1483"/>
      <c r="AL71" s="1485"/>
      <c r="AM71" s="1485"/>
      <c r="AN71" s="1787"/>
      <c r="AO71" s="1484"/>
      <c r="AP71" s="1484"/>
      <c r="AQ71" s="1486"/>
      <c r="AR71" s="1486"/>
      <c r="AS71" s="1486"/>
      <c r="AT71" s="1486"/>
      <c r="AU71" s="1486"/>
      <c r="AV71" s="1486"/>
      <c r="AW71" s="1486"/>
      <c r="AX71" s="1486"/>
      <c r="AY71" s="1486"/>
      <c r="AZ71" s="1486"/>
      <c r="BA71" s="1486"/>
      <c r="BB71" s="1486"/>
      <c r="BC71" s="1486"/>
      <c r="BD71" s="1486"/>
      <c r="BE71" s="1486"/>
      <c r="BF71" s="1486"/>
      <c r="BG71" s="1486"/>
      <c r="BH71" s="1486"/>
      <c r="BI71" s="1486"/>
      <c r="BJ71" s="1486"/>
      <c r="BK71" s="1486"/>
      <c r="BL71" s="1486"/>
      <c r="BM71" s="1486"/>
      <c r="BN71" s="1486"/>
      <c r="BO71" s="1486"/>
      <c r="BP71" s="1486"/>
      <c r="BQ71" s="1486"/>
      <c r="BR71" s="1486"/>
      <c r="BS71" s="1486"/>
      <c r="BT71" s="1486"/>
      <c r="BU71" s="1486"/>
      <c r="BV71" s="1486"/>
      <c r="BW71" s="1486"/>
      <c r="BX71" s="1486"/>
      <c r="BY71" s="1486"/>
      <c r="BZ71" s="1486"/>
      <c r="CA71" s="1486"/>
      <c r="CB71" s="1486"/>
      <c r="CC71" s="331"/>
      <c r="CD71" s="331"/>
      <c r="CE71" s="331"/>
    </row>
    <row r="72" spans="1:83" ht="15" customHeight="1" x14ac:dyDescent="0.25">
      <c r="A72" s="1409"/>
      <c r="B72" s="1409"/>
      <c r="C72" s="1409"/>
      <c r="D72" s="1409"/>
      <c r="E72" s="1410"/>
      <c r="F72" s="1409"/>
      <c r="G72" s="1409"/>
      <c r="H72" s="1409"/>
      <c r="I72" s="1409"/>
      <c r="J72" s="1409"/>
      <c r="K72" s="1409"/>
      <c r="L72" s="1409"/>
      <c r="M72" s="1409"/>
      <c r="N72" s="1409"/>
      <c r="O72" s="1409"/>
      <c r="P72" s="1409"/>
      <c r="Q72" s="1409"/>
      <c r="R72" s="1409"/>
      <c r="S72" s="1409"/>
      <c r="T72" s="1409"/>
      <c r="U72" s="1409"/>
      <c r="V72" s="1409"/>
      <c r="W72" s="1409"/>
      <c r="X72" s="1409"/>
      <c r="Y72" s="1409"/>
      <c r="Z72" s="1409"/>
      <c r="AA72" s="1409"/>
      <c r="AB72" s="1409"/>
      <c r="AC72" s="1409"/>
      <c r="AD72" s="1409"/>
      <c r="AE72" s="1409"/>
      <c r="AF72" s="1409"/>
      <c r="AG72" s="1409"/>
      <c r="AH72" s="1409"/>
      <c r="AI72" s="1409"/>
      <c r="AJ72" s="1409"/>
      <c r="AK72" s="1409"/>
      <c r="AL72" s="1409"/>
      <c r="AM72" s="1409"/>
      <c r="AN72" s="1409"/>
      <c r="AO72" s="1409"/>
      <c r="AP72" s="9"/>
      <c r="CC72" s="353"/>
      <c r="CD72" s="353"/>
      <c r="CE72" s="353"/>
    </row>
    <row r="73" spans="1:83" ht="15" customHeight="1" x14ac:dyDescent="0.25">
      <c r="A73" s="173" t="str">
        <f>DISCLAIMER!$A$35</f>
        <v>© 2025 by WinsWithMike.com or Michael Forsberg Nampa, Idaho. All rights reserved</v>
      </c>
      <c r="B73" s="174"/>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353"/>
      <c r="AR73" s="353"/>
      <c r="AS73" s="353"/>
      <c r="AT73" s="353"/>
      <c r="AU73" s="353"/>
      <c r="AV73" s="353"/>
      <c r="AW73" s="353"/>
      <c r="AX73" s="353"/>
      <c r="AY73" s="353"/>
      <c r="AZ73" s="353"/>
      <c r="BA73" s="353"/>
      <c r="BB73" s="353"/>
      <c r="BC73" s="353"/>
      <c r="BD73" s="353"/>
      <c r="BE73" s="353"/>
      <c r="BF73" s="353"/>
      <c r="BG73" s="353"/>
      <c r="BH73" s="353"/>
      <c r="BI73" s="353"/>
      <c r="BJ73" s="353"/>
      <c r="BK73" s="353"/>
      <c r="BL73" s="353"/>
      <c r="BM73" s="353"/>
      <c r="BN73" s="353"/>
      <c r="BO73" s="353"/>
      <c r="BP73" s="353"/>
      <c r="BQ73" s="353"/>
      <c r="BR73" s="353"/>
      <c r="BS73" s="353"/>
      <c r="BT73" s="353"/>
      <c r="BU73" s="353"/>
      <c r="BV73" s="353"/>
      <c r="BW73" s="353"/>
      <c r="BX73" s="353"/>
      <c r="BY73" s="353"/>
      <c r="BZ73" s="353"/>
      <c r="CA73" s="353"/>
      <c r="CB73" s="353"/>
    </row>
  </sheetData>
  <sheetProtection sheet="1" objects="1" scenarios="1" selectLockedCells="1"/>
  <mergeCells count="206">
    <mergeCell ref="AH70:AJ70"/>
    <mergeCell ref="AK70:AM70"/>
    <mergeCell ref="G71:I71"/>
    <mergeCell ref="M71:O71"/>
    <mergeCell ref="S71:U71"/>
    <mergeCell ref="Y71:AA71"/>
    <mergeCell ref="AE71:AG71"/>
    <mergeCell ref="S70:U70"/>
    <mergeCell ref="V70:X70"/>
    <mergeCell ref="Y70:AA70"/>
    <mergeCell ref="AB70:AD70"/>
    <mergeCell ref="AE70:AG70"/>
    <mergeCell ref="G70:I70"/>
    <mergeCell ref="J70:L70"/>
    <mergeCell ref="M70:O70"/>
    <mergeCell ref="P70:R70"/>
    <mergeCell ref="AK68:AM68"/>
    <mergeCell ref="AK69:AM69"/>
    <mergeCell ref="G58:I58"/>
    <mergeCell ref="G59:I59"/>
    <mergeCell ref="G60:I60"/>
    <mergeCell ref="G61:I61"/>
    <mergeCell ref="G62:I62"/>
    <mergeCell ref="G63:I63"/>
    <mergeCell ref="G64:I64"/>
    <mergeCell ref="G65:I65"/>
    <mergeCell ref="G66:I66"/>
    <mergeCell ref="G67:I67"/>
    <mergeCell ref="G68:I68"/>
    <mergeCell ref="G69:I69"/>
    <mergeCell ref="AK63:AM63"/>
    <mergeCell ref="AK64:AM64"/>
    <mergeCell ref="AK65:AM65"/>
    <mergeCell ref="AK66:AM66"/>
    <mergeCell ref="AK67:AM67"/>
    <mergeCell ref="AK58:AM58"/>
    <mergeCell ref="AK59:AM59"/>
    <mergeCell ref="AK60:AM60"/>
    <mergeCell ref="AK61:AM61"/>
    <mergeCell ref="AK62:AM62"/>
    <mergeCell ref="AE68:AG68"/>
    <mergeCell ref="AE69:AG69"/>
    <mergeCell ref="AH58:AJ58"/>
    <mergeCell ref="AH59:AJ59"/>
    <mergeCell ref="AH60:AJ60"/>
    <mergeCell ref="AH61:AJ61"/>
    <mergeCell ref="AH62:AJ62"/>
    <mergeCell ref="AH63:AJ63"/>
    <mergeCell ref="AH64:AJ64"/>
    <mergeCell ref="AH65:AJ65"/>
    <mergeCell ref="AH66:AJ66"/>
    <mergeCell ref="AH67:AJ67"/>
    <mergeCell ref="AH68:AJ68"/>
    <mergeCell ref="AH69:AJ69"/>
    <mergeCell ref="AE63:AG63"/>
    <mergeCell ref="AE64:AG64"/>
    <mergeCell ref="AE65:AG65"/>
    <mergeCell ref="AE66:AG66"/>
    <mergeCell ref="AE67:AG67"/>
    <mergeCell ref="AE58:AG58"/>
    <mergeCell ref="AE59:AG59"/>
    <mergeCell ref="AE60:AG60"/>
    <mergeCell ref="AE61:AG61"/>
    <mergeCell ref="AE62:AG62"/>
    <mergeCell ref="Y68:AA68"/>
    <mergeCell ref="Y69:AA69"/>
    <mergeCell ref="AB58:AD58"/>
    <mergeCell ref="AB59:AD59"/>
    <mergeCell ref="AB60:AD60"/>
    <mergeCell ref="AB61:AD61"/>
    <mergeCell ref="AB62:AD62"/>
    <mergeCell ref="AB63:AD63"/>
    <mergeCell ref="AB64:AD64"/>
    <mergeCell ref="AB65:AD65"/>
    <mergeCell ref="AB66:AD66"/>
    <mergeCell ref="AB67:AD67"/>
    <mergeCell ref="AB68:AD68"/>
    <mergeCell ref="AB69:AD69"/>
    <mergeCell ref="Y63:AA63"/>
    <mergeCell ref="Y64:AA64"/>
    <mergeCell ref="Y65:AA65"/>
    <mergeCell ref="Y66:AA66"/>
    <mergeCell ref="Y67:AA67"/>
    <mergeCell ref="Y58:AA58"/>
    <mergeCell ref="Y59:AA59"/>
    <mergeCell ref="Y60:AA60"/>
    <mergeCell ref="Y61:AA61"/>
    <mergeCell ref="Y62:AA62"/>
    <mergeCell ref="S68:U68"/>
    <mergeCell ref="S69:U69"/>
    <mergeCell ref="V58:X58"/>
    <mergeCell ref="V59:X59"/>
    <mergeCell ref="V60:X60"/>
    <mergeCell ref="V61:X61"/>
    <mergeCell ref="V62:X62"/>
    <mergeCell ref="V63:X63"/>
    <mergeCell ref="V64:X64"/>
    <mergeCell ref="V65:X65"/>
    <mergeCell ref="V66:X66"/>
    <mergeCell ref="V67:X67"/>
    <mergeCell ref="V68:X68"/>
    <mergeCell ref="V69:X69"/>
    <mergeCell ref="S63:U63"/>
    <mergeCell ref="S64:U64"/>
    <mergeCell ref="S65:U65"/>
    <mergeCell ref="S66:U66"/>
    <mergeCell ref="S67:U67"/>
    <mergeCell ref="S58:U58"/>
    <mergeCell ref="S59:U59"/>
    <mergeCell ref="S60:U60"/>
    <mergeCell ref="S61:U61"/>
    <mergeCell ref="S62:U62"/>
    <mergeCell ref="M68:O68"/>
    <mergeCell ref="M69:O69"/>
    <mergeCell ref="P58:R58"/>
    <mergeCell ref="P59:R59"/>
    <mergeCell ref="P60:R60"/>
    <mergeCell ref="P61:R61"/>
    <mergeCell ref="P62:R62"/>
    <mergeCell ref="P63:R63"/>
    <mergeCell ref="P64:R64"/>
    <mergeCell ref="P65:R65"/>
    <mergeCell ref="P66:R66"/>
    <mergeCell ref="P67:R67"/>
    <mergeCell ref="P68:R68"/>
    <mergeCell ref="P69:R69"/>
    <mergeCell ref="M63:O63"/>
    <mergeCell ref="M64:O64"/>
    <mergeCell ref="M65:O65"/>
    <mergeCell ref="M66:O66"/>
    <mergeCell ref="M67:O67"/>
    <mergeCell ref="M58:O58"/>
    <mergeCell ref="M59:O59"/>
    <mergeCell ref="M60:O60"/>
    <mergeCell ref="M61:O61"/>
    <mergeCell ref="M62:O62"/>
    <mergeCell ref="J68:L68"/>
    <mergeCell ref="J69:L69"/>
    <mergeCell ref="J63:L63"/>
    <mergeCell ref="J64:L64"/>
    <mergeCell ref="J65:L65"/>
    <mergeCell ref="J66:L66"/>
    <mergeCell ref="J67:L67"/>
    <mergeCell ref="J58:L58"/>
    <mergeCell ref="J59:L59"/>
    <mergeCell ref="J60:L60"/>
    <mergeCell ref="J61:L61"/>
    <mergeCell ref="J62:L62"/>
    <mergeCell ref="V57:X57"/>
    <mergeCell ref="Y57:AA57"/>
    <mergeCell ref="AB57:AD57"/>
    <mergeCell ref="B12:F14"/>
    <mergeCell ref="B16:F18"/>
    <mergeCell ref="G16:M16"/>
    <mergeCell ref="G18:M18"/>
    <mergeCell ref="N13:T13"/>
    <mergeCell ref="G14:M14"/>
    <mergeCell ref="N14:T14"/>
    <mergeCell ref="N18:T18"/>
    <mergeCell ref="G17:M17"/>
    <mergeCell ref="G12:M12"/>
    <mergeCell ref="N12:T12"/>
    <mergeCell ref="N16:T16"/>
    <mergeCell ref="N17:T17"/>
    <mergeCell ref="U18:AA18"/>
    <mergeCell ref="AB18:AH18"/>
    <mergeCell ref="G13:M13"/>
    <mergeCell ref="AI18:AO18"/>
    <mergeCell ref="U16:AA16"/>
    <mergeCell ref="AB16:AH16"/>
    <mergeCell ref="AI16:AO16"/>
    <mergeCell ref="U17:AA17"/>
    <mergeCell ref="AB17:AH17"/>
    <mergeCell ref="AI17:AO17"/>
    <mergeCell ref="AB12:AH12"/>
    <mergeCell ref="AI12:AO12"/>
    <mergeCell ref="U13:AA13"/>
    <mergeCell ref="AB13:AH13"/>
    <mergeCell ref="AI13:AO13"/>
    <mergeCell ref="U14:AA14"/>
    <mergeCell ref="AB14:AH14"/>
    <mergeCell ref="AI14:AO14"/>
    <mergeCell ref="AR6:AT6"/>
    <mergeCell ref="F4:I4"/>
    <mergeCell ref="J4:M4"/>
    <mergeCell ref="N4:Q4"/>
    <mergeCell ref="R4:U4"/>
    <mergeCell ref="V4:Y4"/>
    <mergeCell ref="Z4:AC4"/>
    <mergeCell ref="AE57:AG57"/>
    <mergeCell ref="AH57:AJ57"/>
    <mergeCell ref="AK57:AM57"/>
    <mergeCell ref="AE56:AM56"/>
    <mergeCell ref="AD4:AG4"/>
    <mergeCell ref="AH4:AK4"/>
    <mergeCell ref="AK6:AO6"/>
    <mergeCell ref="G56:L56"/>
    <mergeCell ref="M56:R56"/>
    <mergeCell ref="S56:X56"/>
    <mergeCell ref="Y56:AD56"/>
    <mergeCell ref="G57:I57"/>
    <mergeCell ref="J57:L57"/>
    <mergeCell ref="M57:O57"/>
    <mergeCell ref="P57:R57"/>
    <mergeCell ref="S57:U57"/>
    <mergeCell ref="U12:AA12"/>
  </mergeCells>
  <conditionalFormatting sqref="AI13">
    <cfRule type="cellIs" dxfId="11" priority="8" operator="lessThan">
      <formula>0</formula>
    </cfRule>
    <cfRule type="cellIs" dxfId="10" priority="9" operator="greaterThan">
      <formula>0</formula>
    </cfRule>
  </conditionalFormatting>
  <conditionalFormatting sqref="AI17">
    <cfRule type="cellIs" dxfId="9" priority="1" operator="lessThan">
      <formula>0</formula>
    </cfRule>
    <cfRule type="cellIs" dxfId="8" priority="2" operator="greaterThan">
      <formula>0</formula>
    </cfRule>
  </conditionalFormatting>
  <hyperlinks>
    <hyperlink ref="F4:I4" location="'SUMMARY (R)'!A1" display="Summary" xr:uid="{4C2E6249-74DB-4DB8-9DDD-FEA90CED2BFA}"/>
    <hyperlink ref="J4:M4" location="'MONTHLY (R)'!A1" display="Monthly" xr:uid="{1FFD4C93-65EC-466D-9D1D-0F667ED4F3D6}"/>
    <hyperlink ref="N4:Q4" location="'YTD (R)'!A1" display="Year To Date" xr:uid="{0D7640DA-0CFF-4362-97E3-2EBA5D772501}"/>
    <hyperlink ref="R4:U4" location="'VERSUS (R)'!A1" display="Versus" xr:uid="{649B2FAC-E455-4EA7-8991-B7A7254215FB}"/>
    <hyperlink ref="V4:Y4" location="'AMORTIZATION (R)'!A1" display="Amortization" xr:uid="{F96ADCF0-8AFE-4F8C-8422-F25F9012B1AE}"/>
    <hyperlink ref="Z4:AC4" location="'FINANCING (R)'!A1" display="Financing" xr:uid="{F8737F2D-DE0E-4377-B513-88BD3BC18CC8}"/>
    <hyperlink ref="AD4:AG4" location="'EXPENSES (R)'!A1" display="Expenses" xr:uid="{3CF40DAB-09B5-436D-AABA-50F5F7C16B96}"/>
    <hyperlink ref="AH4:AK4" location="'FORECASTS (R)'!A1" display="Forecasts" xr:uid="{825A6C20-A8F2-41DB-9554-71607C84225E}"/>
  </hyperlinks>
  <pageMargins left="0.25" right="0.25" top="0.75" bottom="0.75" header="0.3" footer="0.3"/>
  <pageSetup scale="86" fitToHeight="0" orientation="portrait" r:id="rId1"/>
  <rowBreaks count="1" manualBreakCount="1">
    <brk id="53" max="40" man="1"/>
  </rowBreaks>
  <colBreaks count="2" manualBreakCount="2">
    <brk id="2" min="4" max="72" man="1"/>
    <brk id="41" min="4" max="99" man="1"/>
  </colBreaks>
  <drawing r:id="rId2"/>
  <extLst>
    <ext xmlns:x14="http://schemas.microsoft.com/office/spreadsheetml/2009/9/main" uri="{78C0D931-6437-407d-A8EE-F0AAD7539E65}">
      <x14:conditionalFormattings>
        <x14:conditionalFormatting xmlns:xm="http://schemas.microsoft.com/office/excel/2006/main">
          <x14:cfRule type="expression" priority="10" id="{4FF22212-7014-4925-B66C-275F081F0E30}">
            <xm:f>DASHBOARD!$L$140&lt;&gt;0</xm:f>
            <x14:dxf>
              <font>
                <b val="0"/>
                <i/>
                <color theme="1" tint="0.499984740745262"/>
              </font>
            </x14:dxf>
          </x14:cfRule>
          <xm:sqref>B15:I15 AP16:AP18 B19:I29 B31:I37 B39:I45 B47:I53</xm:sqref>
        </x14:conditionalFormatting>
        <x14:conditionalFormatting xmlns:xm="http://schemas.microsoft.com/office/excel/2006/main">
          <x14:cfRule type="expression" priority="3" id="{CEF5485B-7F0A-4A5A-90A9-296C00BA3E4D}">
            <xm:f>DASHBOARD!$L$140&lt;&gt;0</xm:f>
            <x14:dxf>
              <font>
                <b val="0"/>
                <i/>
                <color theme="1" tint="0.499984740745262"/>
              </font>
            </x14:dxf>
          </x14:cfRule>
          <xm:sqref>L19:AP19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CCBE7E6-EC79-4CF9-A8D4-FAD02F82BE59}">
          <x14:formula1>
            <xm:f>HIDE5!$C$10:$C$21</xm:f>
          </x14:formula1>
          <xm:sqref>AS8</xm:sqref>
        </x14:dataValidation>
        <x14:dataValidation type="list" allowBlank="1" showInputMessage="1" showErrorMessage="1" xr:uid="{FC6D680B-0A61-4DD2-8A49-976E1992B0DA}">
          <x14:formula1>
            <xm:f>HIDE5!$B$10:$B$19</xm:f>
          </x14:formula1>
          <xm:sqref>AS9</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B9BD0-C6D7-48F0-AC6E-436368185C07}">
  <sheetPr codeName="Sheet10" filterMode="1">
    <tabColor theme="7" tint="0.79998168889431442"/>
    <pageSetUpPr autoPageBreaks="0"/>
  </sheetPr>
  <dimension ref="A1:CE396"/>
  <sheetViews>
    <sheetView showGridLines="0" showRowColHeaders="0" zoomScaleNormal="100" zoomScaleSheetLayoutView="100" workbookViewId="0">
      <pane ySplit="3" topLeftCell="A4" activePane="bottomLeft" state="frozen"/>
      <selection pane="bottomLeft" activeCell="A4" sqref="A4"/>
    </sheetView>
  </sheetViews>
  <sheetFormatPr defaultColWidth="9.109375" defaultRowHeight="13.8" x14ac:dyDescent="0.25"/>
  <cols>
    <col min="1" max="32" width="2.88671875" style="331" customWidth="1"/>
    <col min="33" max="42" width="2.88671875" style="353" customWidth="1"/>
    <col min="43" max="43" width="2.88671875" style="350" customWidth="1"/>
    <col min="44" max="47" width="9.109375" style="331" customWidth="1"/>
    <col min="48" max="48" width="15" style="331" customWidth="1"/>
    <col min="49" max="50" width="9.109375" style="331" customWidth="1"/>
    <col min="51" max="51" width="14" style="331" customWidth="1"/>
    <col min="52" max="52" width="9.109375" style="331" customWidth="1"/>
    <col min="53" max="16384" width="9.109375" style="331"/>
  </cols>
  <sheetData>
    <row r="1" spans="1:83" s="1244" customFormat="1" ht="30" customHeight="1" x14ac:dyDescent="0.25">
      <c r="A1" s="1685" t="s">
        <v>1016</v>
      </c>
      <c r="AQ1" s="1378"/>
    </row>
    <row r="2" spans="1:83" s="1244" customFormat="1" ht="30" customHeight="1" x14ac:dyDescent="0.25">
      <c r="A2" s="1685"/>
      <c r="AQ2" s="1378"/>
    </row>
    <row r="3" spans="1:83" s="673" customFormat="1" ht="18.75" customHeight="1" x14ac:dyDescent="0.3">
      <c r="B3" s="1377" t="s">
        <v>1006</v>
      </c>
      <c r="C3" s="1357"/>
      <c r="D3" s="1357"/>
      <c r="E3" s="1357"/>
      <c r="F3" s="2602" t="s">
        <v>1007</v>
      </c>
      <c r="G3" s="2603"/>
      <c r="H3" s="2603"/>
      <c r="I3" s="2604"/>
      <c r="J3" s="2602" t="s">
        <v>10</v>
      </c>
      <c r="K3" s="2603"/>
      <c r="L3" s="2603"/>
      <c r="M3" s="2604"/>
      <c r="N3" s="2602" t="s">
        <v>1094</v>
      </c>
      <c r="O3" s="2603"/>
      <c r="P3" s="2603"/>
      <c r="Q3" s="2604"/>
      <c r="R3" s="2602" t="s">
        <v>1063</v>
      </c>
      <c r="S3" s="2603"/>
      <c r="T3" s="2603"/>
      <c r="U3" s="2604"/>
      <c r="V3" s="2605" t="s">
        <v>1008</v>
      </c>
      <c r="W3" s="2606"/>
      <c r="X3" s="2606"/>
      <c r="Y3" s="2607"/>
      <c r="Z3" s="2602" t="s">
        <v>172</v>
      </c>
      <c r="AA3" s="2603"/>
      <c r="AB3" s="2603"/>
      <c r="AC3" s="2604"/>
      <c r="AD3" s="2602" t="s">
        <v>1009</v>
      </c>
      <c r="AE3" s="2603"/>
      <c r="AF3" s="2603"/>
      <c r="AG3" s="2604"/>
      <c r="AH3" s="2602" t="s">
        <v>1005</v>
      </c>
      <c r="AI3" s="2603"/>
      <c r="AJ3" s="2603"/>
      <c r="AK3" s="2604"/>
      <c r="AL3" s="1357"/>
      <c r="AM3" s="1357"/>
      <c r="AN3" s="1357"/>
      <c r="AO3" s="1357"/>
      <c r="AP3" s="1357"/>
      <c r="AQ3" s="1357"/>
      <c r="AR3" s="1876"/>
      <c r="AS3" s="1876"/>
      <c r="AT3" s="1876"/>
      <c r="AU3" s="1876"/>
      <c r="AV3" s="1876"/>
      <c r="AW3" s="1876"/>
      <c r="AX3" s="1876"/>
      <c r="AY3" s="1876"/>
      <c r="AZ3" s="1876"/>
      <c r="BA3" s="1876"/>
      <c r="BB3" s="1876"/>
      <c r="BC3" s="1876"/>
      <c r="BD3" s="1876"/>
      <c r="BE3" s="1876"/>
      <c r="BF3" s="1876"/>
      <c r="BG3" s="1876"/>
      <c r="BH3" s="1876"/>
      <c r="BI3" s="1876"/>
      <c r="BJ3" s="1876"/>
      <c r="BK3" s="1876"/>
      <c r="BL3" s="1876"/>
      <c r="BM3" s="1876"/>
      <c r="BN3" s="1876"/>
      <c r="BO3" s="1876"/>
      <c r="BP3" s="1876"/>
      <c r="BQ3" s="1876"/>
      <c r="BR3" s="1876"/>
      <c r="BS3" s="1876"/>
      <c r="BT3" s="1876"/>
      <c r="BU3" s="1876"/>
      <c r="BV3" s="1876"/>
      <c r="BW3" s="1876"/>
      <c r="BX3" s="1876"/>
      <c r="BY3" s="1876"/>
      <c r="BZ3" s="1876"/>
      <c r="CA3" s="1876"/>
      <c r="CB3" s="1876"/>
      <c r="CC3" s="1876"/>
      <c r="CD3" s="1876"/>
      <c r="CE3" s="1876"/>
    </row>
    <row r="4" spans="1:83" x14ac:dyDescent="0.25">
      <c r="A4" s="187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175"/>
      <c r="AH4" s="175"/>
      <c r="AI4" s="175"/>
      <c r="AJ4" s="175"/>
      <c r="AK4" s="175"/>
      <c r="AL4" s="175"/>
      <c r="AM4" s="175"/>
      <c r="AN4" s="175"/>
      <c r="AO4" s="175"/>
      <c r="AP4" s="175"/>
      <c r="AQ4" s="1380"/>
    </row>
    <row r="5" spans="1:83" ht="14.4" thickBot="1" x14ac:dyDescent="0.3">
      <c r="A5" s="2"/>
      <c r="B5" s="1237" t="s">
        <v>205</v>
      </c>
      <c r="C5" s="1237"/>
      <c r="D5" s="1237"/>
      <c r="E5" s="1236"/>
      <c r="F5" s="1236"/>
      <c r="G5" s="1236"/>
      <c r="H5" s="1238"/>
      <c r="I5" s="1238"/>
      <c r="J5" s="1238"/>
      <c r="K5" s="1238"/>
      <c r="L5" s="1238"/>
      <c r="M5" s="1238"/>
      <c r="N5" s="1238"/>
      <c r="O5" s="1238"/>
      <c r="P5" s="1238"/>
      <c r="Q5" s="1238"/>
      <c r="R5" s="1179"/>
      <c r="S5" s="1179"/>
      <c r="T5" s="1179"/>
      <c r="U5" s="1179"/>
      <c r="V5" s="1179"/>
      <c r="W5" s="1170"/>
      <c r="X5" s="1170"/>
      <c r="Y5" s="1170"/>
      <c r="Z5" s="1170"/>
      <c r="AA5" s="1170"/>
      <c r="AB5" s="1170"/>
      <c r="AC5" s="1170"/>
      <c r="AD5" s="1170"/>
      <c r="AE5" s="1170"/>
      <c r="AF5" s="1170"/>
      <c r="AG5" s="1179"/>
      <c r="AH5" s="1235"/>
      <c r="AI5" s="1384"/>
      <c r="AJ5" s="1384"/>
      <c r="AK5" s="1385" t="s">
        <v>96</v>
      </c>
      <c r="AL5" s="2712">
        <f ca="1">TODAY()</f>
        <v>45920</v>
      </c>
      <c r="AM5" s="2712"/>
      <c r="AN5" s="2712"/>
      <c r="AO5" s="2712"/>
      <c r="AP5" s="2712"/>
      <c r="AQ5" s="1380"/>
    </row>
    <row r="6" spans="1:83" ht="18.75" customHeight="1" thickTop="1" x14ac:dyDescent="0.25">
      <c r="A6" s="2"/>
      <c r="B6" s="1662" t="s">
        <v>490</v>
      </c>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175"/>
      <c r="AH6" s="175"/>
      <c r="AI6" s="175"/>
      <c r="AJ6" s="175"/>
      <c r="AK6" s="175"/>
      <c r="AL6" s="175"/>
      <c r="AM6" s="175"/>
      <c r="AN6" s="175"/>
      <c r="AO6" s="175"/>
      <c r="AP6" s="175"/>
      <c r="AQ6" s="1380"/>
    </row>
    <row r="7" spans="1:83" s="1366" customFormat="1" ht="14.25" customHeight="1" x14ac:dyDescent="0.3">
      <c r="A7" s="93"/>
      <c r="B7" s="1375"/>
      <c r="C7" s="1154" t="s">
        <v>166</v>
      </c>
      <c r="D7" s="1164"/>
      <c r="E7" s="1154"/>
      <c r="F7" s="1154"/>
      <c r="G7" s="1154"/>
      <c r="H7" s="2713">
        <f>DASHBOARD!O80</f>
        <v>3480</v>
      </c>
      <c r="I7" s="2713"/>
      <c r="J7" s="2713"/>
      <c r="K7" s="1181"/>
      <c r="L7" s="1181"/>
      <c r="M7" s="1154" t="s">
        <v>143</v>
      </c>
      <c r="N7" s="1154"/>
      <c r="O7" s="1154"/>
      <c r="P7" s="1154"/>
      <c r="Q7" s="1154"/>
      <c r="R7" s="2714">
        <f>IF(H8=0,0,tenor)</f>
        <v>0</v>
      </c>
      <c r="S7" s="2714"/>
      <c r="T7" s="2714"/>
      <c r="U7" s="1182"/>
      <c r="V7" s="1182"/>
      <c r="W7" s="1154" t="s">
        <v>145</v>
      </c>
      <c r="X7" s="1154"/>
      <c r="Y7" s="1154"/>
      <c r="Z7" s="1154"/>
      <c r="AA7" s="1154"/>
      <c r="AB7" s="1154"/>
      <c r="AC7" s="2716">
        <f>MORTGAGE!D14</f>
        <v>1.025603448275862</v>
      </c>
      <c r="AD7" s="2716"/>
      <c r="AE7" s="2716"/>
      <c r="AF7" s="1183"/>
      <c r="AG7" s="1154"/>
      <c r="AH7" s="1154"/>
      <c r="AI7" s="1157" t="s">
        <v>337</v>
      </c>
      <c r="AJ7" s="1157"/>
      <c r="AK7" s="1157"/>
      <c r="AL7" s="1157"/>
      <c r="AM7" s="2714">
        <f>DASHBOARD!$K$90</f>
        <v>0</v>
      </c>
      <c r="AN7" s="2714"/>
      <c r="AO7" s="2714"/>
      <c r="AP7" s="1376"/>
      <c r="AQ7" s="1381"/>
    </row>
    <row r="8" spans="1:83" s="1366" customFormat="1" ht="14.25" customHeight="1" x14ac:dyDescent="0.3">
      <c r="A8" s="93"/>
      <c r="B8" s="1372"/>
      <c r="C8" s="1151" t="s">
        <v>6</v>
      </c>
      <c r="D8" s="1373"/>
      <c r="E8" s="1151"/>
      <c r="F8" s="1151"/>
      <c r="G8" s="1151"/>
      <c r="H8" s="2697">
        <f>loan_amount</f>
        <v>118970</v>
      </c>
      <c r="I8" s="2697"/>
      <c r="J8" s="2697"/>
      <c r="K8" s="1184"/>
      <c r="L8" s="1184"/>
      <c r="M8" s="1151" t="s">
        <v>109</v>
      </c>
      <c r="N8" s="1151"/>
      <c r="O8" s="1151"/>
      <c r="P8" s="1151"/>
      <c r="Q8" s="1151"/>
      <c r="R8" s="2715">
        <f>IF(H8=0,0,interest_rate)</f>
        <v>0</v>
      </c>
      <c r="S8" s="2715"/>
      <c r="T8" s="2715"/>
      <c r="U8" s="1185"/>
      <c r="V8" s="1185"/>
      <c r="W8" s="1151" t="s">
        <v>167</v>
      </c>
      <c r="X8" s="1151"/>
      <c r="Y8" s="1151"/>
      <c r="Z8" s="1151"/>
      <c r="AA8" s="1151"/>
      <c r="AB8" s="1151"/>
      <c r="AC8" s="2717">
        <f>DASHBOARD!AD81</f>
        <v>0</v>
      </c>
      <c r="AD8" s="2717"/>
      <c r="AE8" s="2717"/>
      <c r="AF8" s="1186"/>
      <c r="AG8" s="1151"/>
      <c r="AH8" s="1373"/>
      <c r="AI8" s="1386" t="s">
        <v>169</v>
      </c>
      <c r="AJ8" s="1386"/>
      <c r="AK8" s="1373"/>
      <c r="AL8" s="1373"/>
      <c r="AM8" s="2697">
        <f>DASHBOARD!AD89</f>
        <v>1090.7326605107758</v>
      </c>
      <c r="AN8" s="2697"/>
      <c r="AO8" s="2697"/>
      <c r="AP8" s="1374"/>
      <c r="AQ8" s="1381"/>
      <c r="AV8" s="355"/>
      <c r="AW8" s="356"/>
      <c r="AX8" s="356"/>
      <c r="AY8" s="356"/>
    </row>
    <row r="9" spans="1:83" ht="18.75" customHeight="1" x14ac:dyDescent="0.25">
      <c r="A9" s="2"/>
      <c r="B9" s="1662" t="s">
        <v>485</v>
      </c>
      <c r="C9" s="2"/>
      <c r="D9" s="2"/>
      <c r="E9" s="91"/>
      <c r="F9" s="91"/>
      <c r="G9" s="91"/>
      <c r="H9" s="2"/>
      <c r="I9" s="2"/>
      <c r="J9" s="2"/>
      <c r="K9" s="2"/>
      <c r="L9" s="2"/>
      <c r="M9" s="2"/>
      <c r="N9" s="2"/>
      <c r="O9" s="2"/>
      <c r="P9" s="2"/>
      <c r="Q9" s="2"/>
      <c r="R9" s="2"/>
      <c r="S9" s="2"/>
      <c r="T9" s="2"/>
      <c r="U9" s="2"/>
      <c r="V9" s="2"/>
      <c r="W9" s="2"/>
      <c r="X9" s="2"/>
      <c r="Y9" s="2"/>
      <c r="Z9" s="2"/>
      <c r="AA9" s="2"/>
      <c r="AB9" s="2"/>
      <c r="AC9" s="2"/>
      <c r="AD9" s="2"/>
      <c r="AE9" s="2"/>
      <c r="AF9" s="2"/>
      <c r="AG9" s="175"/>
      <c r="AH9" s="175"/>
      <c r="AI9" s="175"/>
      <c r="AJ9" s="175"/>
      <c r="AK9" s="175"/>
      <c r="AL9" s="175"/>
      <c r="AM9" s="175"/>
      <c r="AN9" s="175"/>
      <c r="AO9" s="175"/>
      <c r="AP9" s="175"/>
      <c r="AQ9" s="1380"/>
      <c r="AT9" s="354"/>
      <c r="AV9" s="357"/>
      <c r="AW9" s="356"/>
      <c r="AX9" s="356"/>
      <c r="AY9" s="356"/>
    </row>
    <row r="10" spans="1:83" ht="14.25" customHeight="1" x14ac:dyDescent="0.25">
      <c r="A10" s="2"/>
      <c r="B10" s="1375"/>
      <c r="C10" s="1154" t="s">
        <v>6</v>
      </c>
      <c r="D10" s="1164"/>
      <c r="E10" s="1154"/>
      <c r="F10" s="1154"/>
      <c r="G10" s="1154"/>
      <c r="H10" s="2713">
        <f>DASHBOARD!AD98</f>
        <v>0</v>
      </c>
      <c r="I10" s="2713"/>
      <c r="J10" s="2713"/>
      <c r="K10" s="1181"/>
      <c r="L10" s="1181"/>
      <c r="M10" s="1154" t="s">
        <v>143</v>
      </c>
      <c r="N10" s="1154"/>
      <c r="O10" s="1154"/>
      <c r="P10" s="1154"/>
      <c r="Q10" s="1154"/>
      <c r="R10" s="2714">
        <f>DASHBOARD!AD102</f>
        <v>15</v>
      </c>
      <c r="S10" s="2714"/>
      <c r="T10" s="2714"/>
      <c r="U10" s="1182"/>
      <c r="V10" s="1182"/>
      <c r="W10" s="1154" t="s">
        <v>145</v>
      </c>
      <c r="X10" s="1154"/>
      <c r="Y10" s="1154"/>
      <c r="Z10" s="1154"/>
      <c r="AA10" s="1154"/>
      <c r="AB10" s="1154"/>
      <c r="AC10" s="2716">
        <f>DASHBOARD!AI100</f>
        <v>0</v>
      </c>
      <c r="AD10" s="2716"/>
      <c r="AE10" s="2716"/>
      <c r="AF10" s="1183"/>
      <c r="AG10" s="1154"/>
      <c r="AH10" s="1154"/>
      <c r="AI10" s="1157" t="s">
        <v>489</v>
      </c>
      <c r="AJ10" s="1157"/>
      <c r="AK10" s="1157"/>
      <c r="AL10" s="1157"/>
      <c r="AM10" s="2713">
        <f>DASHBOARD!AZ100</f>
        <v>0</v>
      </c>
      <c r="AN10" s="2713"/>
      <c r="AO10" s="2713"/>
      <c r="AP10" s="1376"/>
      <c r="AQ10" s="1380"/>
      <c r="AT10" s="354"/>
      <c r="AV10" s="357"/>
      <c r="AW10" s="356"/>
      <c r="AX10" s="356"/>
      <c r="AY10" s="356"/>
    </row>
    <row r="11" spans="1:83" ht="14.25" customHeight="1" x14ac:dyDescent="0.25">
      <c r="A11" s="2"/>
      <c r="B11" s="1372"/>
      <c r="C11" s="1151" t="s">
        <v>756</v>
      </c>
      <c r="D11" s="1373"/>
      <c r="E11" s="1151"/>
      <c r="F11" s="1151"/>
      <c r="G11" s="1151"/>
      <c r="H11" s="2718">
        <f>DASHBOARD!L102</f>
        <v>1</v>
      </c>
      <c r="I11" s="2718"/>
      <c r="J11" s="2718"/>
      <c r="K11" s="1184"/>
      <c r="L11" s="1184"/>
      <c r="M11" s="1151" t="s">
        <v>109</v>
      </c>
      <c r="N11" s="1151"/>
      <c r="O11" s="1151"/>
      <c r="P11" s="1151"/>
      <c r="Q11" s="1151"/>
      <c r="R11" s="2715">
        <f>DASHBOARD!AD101</f>
        <v>7.3200000000000001E-2</v>
      </c>
      <c r="S11" s="2715"/>
      <c r="T11" s="2715"/>
      <c r="U11" s="1185"/>
      <c r="V11" s="1185"/>
      <c r="W11" s="1151" t="s">
        <v>167</v>
      </c>
      <c r="X11" s="1151"/>
      <c r="Y11" s="1151"/>
      <c r="Z11" s="1151"/>
      <c r="AA11" s="1151"/>
      <c r="AB11" s="1151"/>
      <c r="AC11" s="2717">
        <f>DASHBOARD!AD105</f>
        <v>0</v>
      </c>
      <c r="AD11" s="2717"/>
      <c r="AE11" s="2717"/>
      <c r="AF11" s="1186"/>
      <c r="AG11" s="1151"/>
      <c r="AH11" s="1373"/>
      <c r="AI11" s="1386" t="s">
        <v>169</v>
      </c>
      <c r="AJ11" s="1386"/>
      <c r="AK11" s="1373"/>
      <c r="AL11" s="1373"/>
      <c r="AM11" s="2697">
        <f>DASHBOARD!AD109</f>
        <v>0</v>
      </c>
      <c r="AN11" s="2697"/>
      <c r="AO11" s="2697"/>
      <c r="AP11" s="1374"/>
      <c r="AQ11" s="1380"/>
      <c r="AT11" s="354"/>
      <c r="AV11" s="357"/>
      <c r="AW11" s="356"/>
      <c r="AX11" s="356"/>
      <c r="AY11" s="356"/>
    </row>
    <row r="12" spans="1:83" ht="14.25" customHeight="1" x14ac:dyDescent="0.25">
      <c r="A12" s="2"/>
      <c r="B12" s="2"/>
      <c r="C12" s="2"/>
      <c r="D12" s="2"/>
      <c r="E12" s="91"/>
      <c r="F12" s="91"/>
      <c r="G12" s="91"/>
      <c r="H12" s="2"/>
      <c r="I12" s="2"/>
      <c r="J12" s="2"/>
      <c r="K12" s="2"/>
      <c r="L12" s="2"/>
      <c r="M12" s="2"/>
      <c r="N12" s="2"/>
      <c r="O12" s="2"/>
      <c r="P12" s="2"/>
      <c r="Q12" s="2"/>
      <c r="R12" s="2"/>
      <c r="S12" s="2"/>
      <c r="T12" s="2"/>
      <c r="U12" s="2"/>
      <c r="V12" s="2"/>
      <c r="W12" s="2"/>
      <c r="X12" s="2"/>
      <c r="Y12" s="2"/>
      <c r="Z12" s="2"/>
      <c r="AA12" s="2"/>
      <c r="AB12" s="2"/>
      <c r="AC12" s="2"/>
      <c r="AD12" s="2"/>
      <c r="AE12" s="2"/>
      <c r="AF12" s="2"/>
      <c r="AG12" s="175"/>
      <c r="AH12" s="175"/>
      <c r="AI12" s="175"/>
      <c r="AJ12" s="175"/>
      <c r="AK12" s="175"/>
      <c r="AL12" s="175"/>
      <c r="AM12" s="175"/>
      <c r="AN12" s="175"/>
      <c r="AO12" s="175"/>
      <c r="AP12" s="175"/>
      <c r="AQ12" s="1380"/>
      <c r="AT12" s="354"/>
      <c r="AV12" s="357"/>
      <c r="AW12" s="356"/>
      <c r="AX12" s="356"/>
      <c r="AY12" s="356"/>
    </row>
    <row r="13" spans="1:83" ht="14.25" customHeight="1" x14ac:dyDescent="0.25">
      <c r="A13" s="2"/>
      <c r="B13" s="1383" t="s">
        <v>1014</v>
      </c>
      <c r="C13" s="1360"/>
      <c r="D13" s="1360"/>
      <c r="E13" s="1360"/>
      <c r="F13" s="1360"/>
      <c r="G13" s="1360"/>
      <c r="H13" s="1360"/>
      <c r="I13" s="1360"/>
      <c r="J13" s="1360"/>
      <c r="K13" s="1360"/>
      <c r="L13" s="1360"/>
      <c r="M13" s="1360"/>
      <c r="N13" s="1360"/>
      <c r="O13" s="1360"/>
      <c r="P13" s="1360"/>
      <c r="Q13" s="1360"/>
      <c r="R13" s="1360"/>
      <c r="S13" s="1360"/>
      <c r="T13" s="1360"/>
      <c r="U13" s="1360"/>
      <c r="V13" s="1360"/>
      <c r="W13" s="1360"/>
      <c r="X13" s="1360"/>
      <c r="Y13" s="1360"/>
      <c r="Z13" s="1360"/>
      <c r="AA13" s="1360"/>
      <c r="AB13" s="1360"/>
      <c r="AC13" s="1360"/>
      <c r="AD13" s="1360"/>
      <c r="AE13" s="1360"/>
      <c r="AF13" s="1360"/>
      <c r="AG13" s="1360"/>
      <c r="AH13" s="1360"/>
      <c r="AI13" s="1360"/>
      <c r="AJ13" s="1360"/>
      <c r="AK13" s="1360"/>
      <c r="AL13" s="1360"/>
      <c r="AM13" s="1360"/>
      <c r="AN13" s="1360"/>
      <c r="AO13" s="1360"/>
      <c r="AP13" s="1360"/>
      <c r="AQ13" s="1380"/>
    </row>
    <row r="14" spans="1:83" ht="14.25" customHeight="1" x14ac:dyDescent="0.25">
      <c r="A14" s="2"/>
      <c r="B14" s="2"/>
      <c r="C14" s="2"/>
      <c r="D14" s="2"/>
      <c r="E14" s="91"/>
      <c r="F14" s="91"/>
      <c r="G14" s="91"/>
      <c r="H14" s="2"/>
      <c r="I14" s="2"/>
      <c r="J14" s="2"/>
      <c r="K14" s="2"/>
      <c r="L14" s="2"/>
      <c r="M14" s="2"/>
      <c r="N14" s="2"/>
      <c r="O14" s="2"/>
      <c r="P14" s="2"/>
      <c r="Q14" s="2"/>
      <c r="R14" s="2"/>
      <c r="S14" s="2"/>
      <c r="T14" s="2"/>
      <c r="U14" s="2"/>
      <c r="V14" s="2"/>
      <c r="W14" s="2"/>
      <c r="X14" s="2"/>
      <c r="Y14" s="2"/>
      <c r="Z14" s="2"/>
      <c r="AA14" s="2"/>
      <c r="AB14" s="2"/>
      <c r="AC14" s="2"/>
      <c r="AD14" s="2"/>
      <c r="AE14" s="2"/>
      <c r="AF14" s="2"/>
      <c r="AG14" s="175"/>
      <c r="AH14" s="175"/>
      <c r="AI14" s="175"/>
      <c r="AJ14" s="175"/>
      <c r="AK14" s="175"/>
      <c r="AL14" s="175"/>
      <c r="AM14" s="175"/>
      <c r="AN14" s="175"/>
      <c r="AO14" s="175"/>
      <c r="AP14" s="175"/>
      <c r="AQ14" s="1380"/>
    </row>
    <row r="15" spans="1:83" ht="14.25" customHeight="1" x14ac:dyDescent="0.25">
      <c r="A15" s="2"/>
      <c r="B15" s="2"/>
      <c r="C15" s="2"/>
      <c r="D15" s="2"/>
      <c r="E15" s="91"/>
      <c r="F15" s="91"/>
      <c r="G15" s="91"/>
      <c r="H15" s="2"/>
      <c r="I15" s="2"/>
      <c r="J15" s="2"/>
      <c r="K15" s="2"/>
      <c r="L15" s="2"/>
      <c r="M15" s="2"/>
      <c r="N15" s="2"/>
      <c r="O15" s="2"/>
      <c r="P15" s="2"/>
      <c r="Q15" s="2"/>
      <c r="R15" s="2"/>
      <c r="S15" s="2"/>
      <c r="T15" s="2"/>
      <c r="U15" s="2"/>
      <c r="V15" s="2"/>
      <c r="W15" s="2"/>
      <c r="X15" s="2"/>
      <c r="Y15" s="2"/>
      <c r="Z15" s="2"/>
      <c r="AA15" s="2"/>
      <c r="AB15" s="2"/>
      <c r="AC15" s="2"/>
      <c r="AD15" s="2"/>
      <c r="AE15" s="2"/>
      <c r="AF15" s="2"/>
      <c r="AG15" s="175"/>
      <c r="AH15" s="175"/>
      <c r="AI15" s="175"/>
      <c r="AJ15" s="175"/>
      <c r="AK15" s="175"/>
      <c r="AL15" s="175"/>
      <c r="AM15" s="175"/>
      <c r="AN15" s="175"/>
      <c r="AO15" s="175"/>
      <c r="AP15" s="175"/>
      <c r="AQ15" s="1380"/>
    </row>
    <row r="16" spans="1:83" ht="14.25" customHeight="1" x14ac:dyDescent="0.25">
      <c r="A16" s="2"/>
      <c r="B16" s="2"/>
      <c r="C16" s="2"/>
      <c r="D16" s="2"/>
      <c r="E16" s="91"/>
      <c r="F16" s="91"/>
      <c r="G16" s="91"/>
      <c r="H16" s="2"/>
      <c r="I16" s="2"/>
      <c r="J16" s="2"/>
      <c r="K16" s="2"/>
      <c r="L16" s="2"/>
      <c r="M16" s="2"/>
      <c r="N16" s="2"/>
      <c r="O16" s="2"/>
      <c r="P16" s="2"/>
      <c r="Q16" s="2"/>
      <c r="R16" s="2"/>
      <c r="S16" s="2"/>
      <c r="T16" s="2"/>
      <c r="U16" s="2"/>
      <c r="V16" s="2"/>
      <c r="W16" s="2"/>
      <c r="X16" s="2"/>
      <c r="Y16" s="2"/>
      <c r="Z16" s="2"/>
      <c r="AA16" s="2"/>
      <c r="AB16" s="2"/>
      <c r="AC16" s="2"/>
      <c r="AD16" s="2"/>
      <c r="AE16" s="2"/>
      <c r="AF16" s="2"/>
      <c r="AG16" s="175"/>
      <c r="AH16" s="175"/>
      <c r="AI16" s="175"/>
      <c r="AJ16" s="175"/>
      <c r="AK16" s="175"/>
      <c r="AL16" s="175"/>
      <c r="AM16" s="175"/>
      <c r="AN16" s="175"/>
      <c r="AO16" s="175"/>
      <c r="AP16" s="175"/>
      <c r="AQ16" s="1380"/>
    </row>
    <row r="17" spans="1:51" ht="14.25" customHeight="1" x14ac:dyDescent="0.25">
      <c r="A17" s="2"/>
      <c r="B17" s="2"/>
      <c r="C17" s="2"/>
      <c r="D17" s="2"/>
      <c r="E17" s="91"/>
      <c r="F17" s="91"/>
      <c r="G17" s="91"/>
      <c r="H17" s="2"/>
      <c r="I17" s="2"/>
      <c r="J17" s="2"/>
      <c r="K17" s="2"/>
      <c r="L17" s="2"/>
      <c r="M17" s="2"/>
      <c r="N17" s="2"/>
      <c r="O17" s="2"/>
      <c r="P17" s="2"/>
      <c r="Q17" s="2"/>
      <c r="R17" s="2"/>
      <c r="S17" s="2"/>
      <c r="T17" s="2"/>
      <c r="U17" s="2"/>
      <c r="V17" s="2"/>
      <c r="W17" s="2"/>
      <c r="X17" s="2"/>
      <c r="Y17" s="2"/>
      <c r="Z17" s="2"/>
      <c r="AA17" s="2"/>
      <c r="AB17" s="2"/>
      <c r="AC17" s="2"/>
      <c r="AD17" s="2"/>
      <c r="AE17" s="2"/>
      <c r="AF17" s="2"/>
      <c r="AG17" s="175"/>
      <c r="AH17" s="175"/>
      <c r="AI17" s="175"/>
      <c r="AJ17" s="175"/>
      <c r="AK17" s="175"/>
      <c r="AL17" s="175"/>
      <c r="AM17" s="175"/>
      <c r="AN17" s="175"/>
      <c r="AO17" s="175"/>
      <c r="AP17" s="175"/>
      <c r="AQ17" s="1380"/>
    </row>
    <row r="18" spans="1:51" ht="14.25" customHeight="1" x14ac:dyDescent="0.25">
      <c r="A18" s="2"/>
      <c r="B18" s="2"/>
      <c r="C18" s="2"/>
      <c r="D18" s="2"/>
      <c r="E18" s="91"/>
      <c r="F18" s="91"/>
      <c r="G18" s="91"/>
      <c r="H18" s="2"/>
      <c r="I18" s="2"/>
      <c r="J18" s="2"/>
      <c r="K18" s="2"/>
      <c r="L18" s="2"/>
      <c r="M18" s="2"/>
      <c r="N18" s="2"/>
      <c r="O18" s="2"/>
      <c r="P18" s="2"/>
      <c r="Q18" s="2"/>
      <c r="R18" s="2"/>
      <c r="S18" s="2"/>
      <c r="T18" s="2"/>
      <c r="U18" s="2"/>
      <c r="V18" s="2"/>
      <c r="W18" s="2"/>
      <c r="X18" s="2"/>
      <c r="Y18" s="2"/>
      <c r="Z18" s="2"/>
      <c r="AA18" s="2"/>
      <c r="AB18" s="2"/>
      <c r="AC18" s="2"/>
      <c r="AD18" s="2"/>
      <c r="AE18" s="2"/>
      <c r="AF18" s="2"/>
      <c r="AG18" s="175"/>
      <c r="AH18" s="175"/>
      <c r="AI18" s="175"/>
      <c r="AJ18" s="175"/>
      <c r="AK18" s="175"/>
      <c r="AL18" s="175"/>
      <c r="AM18" s="175"/>
      <c r="AN18" s="175"/>
      <c r="AO18" s="175"/>
      <c r="AP18" s="175"/>
      <c r="AQ18" s="1380"/>
    </row>
    <row r="19" spans="1:51" ht="14.25" customHeight="1" x14ac:dyDescent="0.25">
      <c r="A19" s="2"/>
      <c r="B19" s="2"/>
      <c r="C19" s="2"/>
      <c r="D19" s="2"/>
      <c r="E19" s="91"/>
      <c r="F19" s="91"/>
      <c r="G19" s="91"/>
      <c r="H19" s="2"/>
      <c r="I19" s="2"/>
      <c r="J19" s="2"/>
      <c r="K19" s="2"/>
      <c r="L19" s="2"/>
      <c r="M19" s="2"/>
      <c r="N19" s="2"/>
      <c r="O19" s="2"/>
      <c r="P19" s="2"/>
      <c r="Q19" s="2"/>
      <c r="R19" s="2"/>
      <c r="S19" s="2"/>
      <c r="T19" s="2"/>
      <c r="U19" s="2"/>
      <c r="V19" s="2"/>
      <c r="W19" s="2"/>
      <c r="X19" s="2"/>
      <c r="Y19" s="2"/>
      <c r="Z19" s="2"/>
      <c r="AA19" s="2"/>
      <c r="AB19" s="2"/>
      <c r="AC19" s="2"/>
      <c r="AD19" s="2"/>
      <c r="AE19" s="2"/>
      <c r="AF19" s="2"/>
      <c r="AG19" s="175"/>
      <c r="AH19" s="175"/>
      <c r="AI19" s="175"/>
      <c r="AJ19" s="175"/>
      <c r="AK19" s="175"/>
      <c r="AL19" s="175"/>
      <c r="AM19" s="175"/>
      <c r="AN19" s="175"/>
      <c r="AO19" s="175"/>
      <c r="AP19" s="175"/>
      <c r="AQ19" s="1380"/>
    </row>
    <row r="20" spans="1:51" ht="14.25" customHeight="1" x14ac:dyDescent="0.25">
      <c r="A20" s="2"/>
      <c r="B20" s="2"/>
      <c r="C20" s="2"/>
      <c r="D20" s="2"/>
      <c r="E20" s="91"/>
      <c r="F20" s="91"/>
      <c r="G20" s="91"/>
      <c r="H20" s="2"/>
      <c r="I20" s="2"/>
      <c r="J20" s="2"/>
      <c r="K20" s="2"/>
      <c r="L20" s="2"/>
      <c r="M20" s="2"/>
      <c r="N20" s="2"/>
      <c r="O20" s="2"/>
      <c r="P20" s="2"/>
      <c r="Q20" s="2"/>
      <c r="R20" s="2"/>
      <c r="S20" s="2"/>
      <c r="T20" s="2"/>
      <c r="U20" s="2"/>
      <c r="V20" s="2"/>
      <c r="W20" s="2"/>
      <c r="X20" s="2"/>
      <c r="Y20" s="2"/>
      <c r="Z20" s="2"/>
      <c r="AA20" s="2"/>
      <c r="AB20" s="2"/>
      <c r="AC20" s="2"/>
      <c r="AD20" s="2"/>
      <c r="AE20" s="2"/>
      <c r="AF20" s="2"/>
      <c r="AG20" s="175"/>
      <c r="AH20" s="175"/>
      <c r="AI20" s="175"/>
      <c r="AJ20" s="175"/>
      <c r="AK20" s="175"/>
      <c r="AL20" s="175"/>
      <c r="AM20" s="175"/>
      <c r="AN20" s="175"/>
      <c r="AO20" s="175"/>
      <c r="AP20" s="175"/>
      <c r="AQ20" s="1380"/>
    </row>
    <row r="21" spans="1:51" ht="14.25" customHeight="1" x14ac:dyDescent="0.25">
      <c r="A21" s="2"/>
      <c r="B21" s="2"/>
      <c r="C21" s="2"/>
      <c r="D21" s="2"/>
      <c r="E21" s="91"/>
      <c r="F21" s="91"/>
      <c r="G21" s="91"/>
      <c r="H21" s="2"/>
      <c r="I21" s="2"/>
      <c r="J21" s="2"/>
      <c r="K21" s="2"/>
      <c r="L21" s="2"/>
      <c r="M21" s="2"/>
      <c r="N21" s="2"/>
      <c r="O21" s="2"/>
      <c r="P21" s="2"/>
      <c r="Q21" s="2"/>
      <c r="R21" s="2"/>
      <c r="S21" s="2"/>
      <c r="T21" s="2"/>
      <c r="U21" s="2"/>
      <c r="V21" s="2"/>
      <c r="W21" s="2"/>
      <c r="X21" s="2"/>
      <c r="Y21" s="2"/>
      <c r="Z21" s="2"/>
      <c r="AA21" s="2"/>
      <c r="AB21" s="2"/>
      <c r="AC21" s="2"/>
      <c r="AD21" s="2"/>
      <c r="AE21" s="2"/>
      <c r="AF21" s="2"/>
      <c r="AG21" s="175"/>
      <c r="AH21" s="175"/>
      <c r="AI21" s="175"/>
      <c r="AJ21" s="175"/>
      <c r="AK21" s="175"/>
      <c r="AL21" s="175"/>
      <c r="AM21" s="175"/>
      <c r="AN21" s="175"/>
      <c r="AO21" s="175"/>
      <c r="AP21" s="175"/>
      <c r="AQ21" s="1380"/>
    </row>
    <row r="22" spans="1:51" ht="14.25" customHeight="1" x14ac:dyDescent="0.25">
      <c r="A22" s="2"/>
      <c r="B22" s="2"/>
      <c r="C22" s="2"/>
      <c r="D22" s="2"/>
      <c r="E22" s="91"/>
      <c r="F22" s="91"/>
      <c r="G22" s="91"/>
      <c r="H22" s="2"/>
      <c r="I22" s="2"/>
      <c r="J22" s="2"/>
      <c r="K22" s="2"/>
      <c r="L22" s="2"/>
      <c r="M22" s="2"/>
      <c r="N22" s="2"/>
      <c r="O22" s="2"/>
      <c r="P22" s="2"/>
      <c r="Q22" s="2"/>
      <c r="R22" s="2"/>
      <c r="S22" s="2"/>
      <c r="T22" s="2"/>
      <c r="U22" s="2"/>
      <c r="V22" s="2"/>
      <c r="W22" s="2"/>
      <c r="X22" s="2"/>
      <c r="Y22" s="2"/>
      <c r="Z22" s="2"/>
      <c r="AA22" s="2"/>
      <c r="AB22" s="2"/>
      <c r="AC22" s="2"/>
      <c r="AD22" s="2"/>
      <c r="AE22" s="2"/>
      <c r="AF22" s="2"/>
      <c r="AG22" s="175"/>
      <c r="AH22" s="175"/>
      <c r="AI22" s="175"/>
      <c r="AJ22" s="175"/>
      <c r="AK22" s="175"/>
      <c r="AL22" s="175"/>
      <c r="AM22" s="175"/>
      <c r="AN22" s="175"/>
      <c r="AO22" s="175"/>
      <c r="AP22" s="175"/>
      <c r="AQ22" s="1380"/>
    </row>
    <row r="23" spans="1:51" ht="14.25" customHeight="1" x14ac:dyDescent="0.25">
      <c r="A23" s="2"/>
      <c r="B23" s="2"/>
      <c r="C23" s="2"/>
      <c r="D23" s="2"/>
      <c r="E23" s="91"/>
      <c r="F23" s="91"/>
      <c r="G23" s="91"/>
      <c r="H23" s="2"/>
      <c r="I23" s="2"/>
      <c r="J23" s="2"/>
      <c r="K23" s="2"/>
      <c r="L23" s="2"/>
      <c r="M23" s="2"/>
      <c r="N23" s="2"/>
      <c r="O23" s="2"/>
      <c r="P23" s="2"/>
      <c r="Q23" s="2"/>
      <c r="R23" s="2"/>
      <c r="S23" s="2"/>
      <c r="T23" s="2"/>
      <c r="U23" s="2"/>
      <c r="V23" s="2"/>
      <c r="W23" s="2"/>
      <c r="X23" s="2"/>
      <c r="Y23" s="2"/>
      <c r="Z23" s="2"/>
      <c r="AA23" s="2"/>
      <c r="AB23" s="2"/>
      <c r="AC23" s="2"/>
      <c r="AD23" s="2"/>
      <c r="AE23" s="2"/>
      <c r="AF23" s="2"/>
      <c r="AG23" s="175"/>
      <c r="AH23" s="175"/>
      <c r="AI23" s="175"/>
      <c r="AJ23" s="175"/>
      <c r="AK23" s="175"/>
      <c r="AL23" s="175"/>
      <c r="AM23" s="175"/>
      <c r="AN23" s="175"/>
      <c r="AO23" s="175"/>
      <c r="AP23" s="175"/>
      <c r="AQ23" s="1380"/>
    </row>
    <row r="24" spans="1:51" ht="14.25" customHeight="1" x14ac:dyDescent="0.25">
      <c r="A24" s="2"/>
      <c r="B24" s="2"/>
      <c r="C24" s="2"/>
      <c r="D24" s="2"/>
      <c r="E24" s="91"/>
      <c r="F24" s="91"/>
      <c r="G24" s="91"/>
      <c r="H24" s="2"/>
      <c r="I24" s="2"/>
      <c r="J24" s="2"/>
      <c r="K24" s="2"/>
      <c r="L24" s="2"/>
      <c r="M24" s="2"/>
      <c r="N24" s="2"/>
      <c r="O24" s="2"/>
      <c r="P24" s="2"/>
      <c r="Q24" s="2"/>
      <c r="R24" s="2"/>
      <c r="S24" s="2"/>
      <c r="T24" s="2"/>
      <c r="U24" s="2"/>
      <c r="V24" s="2"/>
      <c r="W24" s="2"/>
      <c r="X24" s="2"/>
      <c r="Y24" s="2"/>
      <c r="Z24" s="2"/>
      <c r="AA24" s="2"/>
      <c r="AB24" s="2"/>
      <c r="AC24" s="2"/>
      <c r="AD24" s="2"/>
      <c r="AE24" s="2"/>
      <c r="AF24" s="2"/>
      <c r="AG24" s="175"/>
      <c r="AH24" s="175"/>
      <c r="AI24" s="175"/>
      <c r="AJ24" s="175"/>
      <c r="AK24" s="175"/>
      <c r="AL24" s="175"/>
      <c r="AM24" s="175"/>
      <c r="AN24" s="175"/>
      <c r="AO24" s="175"/>
      <c r="AP24" s="175"/>
      <c r="AQ24" s="1380"/>
    </row>
    <row r="25" spans="1:51" ht="14.25" customHeight="1" x14ac:dyDescent="0.25">
      <c r="A25" s="2"/>
      <c r="B25" s="2"/>
      <c r="C25" s="2"/>
      <c r="D25" s="2"/>
      <c r="E25" s="91"/>
      <c r="F25" s="91"/>
      <c r="G25" s="91"/>
      <c r="H25" s="2"/>
      <c r="I25" s="2"/>
      <c r="J25" s="2"/>
      <c r="K25" s="2"/>
      <c r="L25" s="2"/>
      <c r="M25" s="2"/>
      <c r="N25" s="2"/>
      <c r="O25" s="2"/>
      <c r="P25" s="2"/>
      <c r="Q25" s="2"/>
      <c r="R25" s="2"/>
      <c r="S25" s="2"/>
      <c r="T25" s="2"/>
      <c r="U25" s="2"/>
      <c r="V25" s="2"/>
      <c r="W25" s="2"/>
      <c r="X25" s="2"/>
      <c r="Y25" s="2"/>
      <c r="Z25" s="2"/>
      <c r="AA25" s="2"/>
      <c r="AB25" s="2"/>
      <c r="AC25" s="2"/>
      <c r="AD25" s="2"/>
      <c r="AE25" s="2"/>
      <c r="AF25" s="2"/>
      <c r="AG25" s="175"/>
      <c r="AH25" s="175"/>
      <c r="AI25" s="175"/>
      <c r="AJ25" s="175"/>
      <c r="AK25" s="175"/>
      <c r="AL25" s="175"/>
      <c r="AM25" s="175"/>
      <c r="AN25" s="175"/>
      <c r="AO25" s="175"/>
      <c r="AP25" s="175"/>
      <c r="AQ25" s="1380"/>
    </row>
    <row r="26" spans="1:51" ht="14.2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175"/>
      <c r="AH26" s="175"/>
      <c r="AI26" s="175"/>
      <c r="AJ26" s="175"/>
      <c r="AK26" s="175"/>
      <c r="AL26" s="175"/>
      <c r="AM26" s="175"/>
      <c r="AN26" s="175"/>
      <c r="AO26" s="175"/>
      <c r="AP26" s="175"/>
      <c r="AQ26" s="1380"/>
    </row>
    <row r="27" spans="1:51" ht="14.25" customHeight="1" x14ac:dyDescent="0.25">
      <c r="A27" s="2"/>
      <c r="B27" s="1383" t="s">
        <v>1013</v>
      </c>
      <c r="C27" s="1360"/>
      <c r="D27" s="1360"/>
      <c r="E27" s="1360"/>
      <c r="F27" s="1360"/>
      <c r="G27" s="1360"/>
      <c r="H27" s="1360"/>
      <c r="I27" s="1360"/>
      <c r="J27" s="1360"/>
      <c r="K27" s="1360"/>
      <c r="L27" s="1360"/>
      <c r="M27" s="1360"/>
      <c r="N27" s="1360"/>
      <c r="O27" s="1360"/>
      <c r="P27" s="1360"/>
      <c r="Q27" s="1360"/>
      <c r="R27" s="1360"/>
      <c r="S27" s="1360"/>
      <c r="T27" s="1360"/>
      <c r="U27" s="1360"/>
      <c r="V27" s="1360"/>
      <c r="W27" s="1360"/>
      <c r="X27" s="1360"/>
      <c r="Y27" s="1360"/>
      <c r="Z27" s="1360"/>
      <c r="AA27" s="1360"/>
      <c r="AB27" s="1360"/>
      <c r="AC27" s="1360"/>
      <c r="AD27" s="1360"/>
      <c r="AE27" s="1360"/>
      <c r="AF27" s="1360"/>
      <c r="AG27" s="1360"/>
      <c r="AH27" s="1360"/>
      <c r="AI27" s="1360"/>
      <c r="AJ27" s="1360"/>
      <c r="AK27" s="1360"/>
      <c r="AL27" s="1360"/>
      <c r="AM27" s="1360"/>
      <c r="AN27" s="1360"/>
      <c r="AO27" s="1360"/>
      <c r="AP27" s="1360"/>
      <c r="AQ27" s="1380"/>
    </row>
    <row r="28" spans="1:51" ht="14.25" customHeight="1" thickBot="1" x14ac:dyDescent="0.3">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175"/>
      <c r="AH28" s="175"/>
      <c r="AI28" s="175"/>
      <c r="AJ28" s="175"/>
      <c r="AK28" s="175"/>
      <c r="AL28" s="175"/>
      <c r="AM28" s="175"/>
      <c r="AN28" s="175"/>
      <c r="AO28" s="175"/>
      <c r="AP28" s="175"/>
      <c r="AQ28" s="1380"/>
    </row>
    <row r="29" spans="1:51" ht="15" customHeight="1" x14ac:dyDescent="0.25">
      <c r="A29" s="2"/>
      <c r="B29" s="175"/>
      <c r="C29" s="175"/>
      <c r="D29" s="175"/>
      <c r="E29" s="175"/>
      <c r="F29" s="175"/>
      <c r="G29" s="175"/>
      <c r="H29" s="2773" t="s">
        <v>149</v>
      </c>
      <c r="I29" s="2774"/>
      <c r="J29" s="2774"/>
      <c r="K29" s="2774"/>
      <c r="L29" s="2775"/>
      <c r="M29" s="2764" t="s">
        <v>146</v>
      </c>
      <c r="N29" s="2765"/>
      <c r="O29" s="2765"/>
      <c r="P29" s="2765"/>
      <c r="Q29" s="2766"/>
      <c r="R29" s="2752" t="s">
        <v>148</v>
      </c>
      <c r="S29" s="2753"/>
      <c r="T29" s="2753"/>
      <c r="U29" s="2753"/>
      <c r="V29" s="2754"/>
      <c r="W29" s="2742" t="s">
        <v>147</v>
      </c>
      <c r="X29" s="2743"/>
      <c r="Y29" s="2743"/>
      <c r="Z29" s="2743"/>
      <c r="AA29" s="2743"/>
      <c r="AB29" s="175"/>
      <c r="AC29" s="175"/>
      <c r="AD29" s="175"/>
      <c r="AE29" s="175"/>
      <c r="AF29" s="175"/>
      <c r="AG29" s="175"/>
      <c r="AH29" s="175"/>
      <c r="AI29" s="175"/>
      <c r="AJ29" s="175"/>
      <c r="AK29" s="175"/>
      <c r="AL29" s="175"/>
      <c r="AM29" s="175"/>
      <c r="AN29" s="175"/>
      <c r="AO29" s="175"/>
      <c r="AP29" s="175"/>
      <c r="AQ29" s="1380"/>
      <c r="AY29" s="359"/>
    </row>
    <row r="30" spans="1:51" ht="15.75" customHeight="1" thickBot="1" x14ac:dyDescent="0.3">
      <c r="A30" s="2"/>
      <c r="B30" s="175"/>
      <c r="C30" s="175"/>
      <c r="D30" s="175"/>
      <c r="E30" s="175"/>
      <c r="F30" s="175"/>
      <c r="G30" s="175"/>
      <c r="H30" s="2779">
        <f>SUM(H34:H393)</f>
        <v>0</v>
      </c>
      <c r="I30" s="2780"/>
      <c r="J30" s="2780"/>
      <c r="K30" s="2780"/>
      <c r="L30" s="2781"/>
      <c r="M30" s="2767">
        <f>SUM(M34:M393)</f>
        <v>0</v>
      </c>
      <c r="N30" s="2768"/>
      <c r="O30" s="2768"/>
      <c r="P30" s="2768"/>
      <c r="Q30" s="2769"/>
      <c r="R30" s="2755">
        <f>SUM(R34:R393)</f>
        <v>0</v>
      </c>
      <c r="S30" s="2756"/>
      <c r="T30" s="2756"/>
      <c r="U30" s="2756"/>
      <c r="V30" s="2757"/>
      <c r="W30" s="2744">
        <f>SUM(W34:W393)</f>
        <v>0</v>
      </c>
      <c r="X30" s="2745"/>
      <c r="Y30" s="2745"/>
      <c r="Z30" s="2745"/>
      <c r="AA30" s="2745"/>
      <c r="AB30" s="175"/>
      <c r="AC30" s="175"/>
      <c r="AD30" s="175"/>
      <c r="AE30" s="175"/>
      <c r="AF30" s="175"/>
      <c r="AG30" s="175"/>
      <c r="AH30" s="175"/>
      <c r="AI30" s="175"/>
      <c r="AJ30" s="175"/>
      <c r="AK30" s="175"/>
      <c r="AL30" s="175"/>
      <c r="AM30" s="175"/>
      <c r="AN30" s="175"/>
      <c r="AO30" s="175"/>
      <c r="AP30" s="175"/>
      <c r="AQ30" s="1380"/>
    </row>
    <row r="31" spans="1:51" ht="14.4" thickBot="1" x14ac:dyDescent="0.3">
      <c r="A31" s="2"/>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380"/>
    </row>
    <row r="32" spans="1:51" s="154" customFormat="1" ht="17.399999999999999" hidden="1" thickBot="1" x14ac:dyDescent="0.45">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U32" s="162"/>
    </row>
    <row r="33" spans="1:45" ht="28.5" customHeight="1" thickBot="1" x14ac:dyDescent="0.3">
      <c r="A33" s="2"/>
      <c r="B33" s="2800" t="s">
        <v>152</v>
      </c>
      <c r="C33" s="2801"/>
      <c r="D33" s="2802"/>
      <c r="E33" s="2788" t="s">
        <v>165</v>
      </c>
      <c r="F33" s="2789"/>
      <c r="G33" s="2790"/>
      <c r="H33" s="2782" t="s">
        <v>153</v>
      </c>
      <c r="I33" s="2783"/>
      <c r="J33" s="2783"/>
      <c r="K33" s="2783"/>
      <c r="L33" s="2784"/>
      <c r="M33" s="2770" t="s">
        <v>154</v>
      </c>
      <c r="N33" s="2771"/>
      <c r="O33" s="2771"/>
      <c r="P33" s="2771"/>
      <c r="Q33" s="2772"/>
      <c r="R33" s="2698" t="s">
        <v>140</v>
      </c>
      <c r="S33" s="2699"/>
      <c r="T33" s="2699"/>
      <c r="U33" s="2699"/>
      <c r="V33" s="2700"/>
      <c r="W33" s="2701" t="s">
        <v>141</v>
      </c>
      <c r="X33" s="2702"/>
      <c r="Y33" s="2702"/>
      <c r="Z33" s="2702"/>
      <c r="AA33" s="2703"/>
      <c r="AB33" s="2704" t="s">
        <v>142</v>
      </c>
      <c r="AC33" s="2705"/>
      <c r="AD33" s="2705"/>
      <c r="AE33" s="2705"/>
      <c r="AF33" s="2706"/>
      <c r="AG33" s="2707" t="s">
        <v>512</v>
      </c>
      <c r="AH33" s="2708"/>
      <c r="AI33" s="2708"/>
      <c r="AJ33" s="2708"/>
      <c r="AK33" s="2709"/>
      <c r="AL33" s="2710" t="s">
        <v>515</v>
      </c>
      <c r="AM33" s="2711"/>
      <c r="AN33" s="2711"/>
      <c r="AO33" s="2711"/>
      <c r="AP33" s="2711"/>
      <c r="AQ33" s="1239">
        <v>1</v>
      </c>
    </row>
    <row r="34" spans="1:45" ht="15" customHeight="1" x14ac:dyDescent="0.25">
      <c r="A34" s="2"/>
      <c r="B34" s="2797" t="str">
        <f>IFERROR(ROUNDUP(E34/12,0),"")</f>
        <v/>
      </c>
      <c r="C34" s="2798"/>
      <c r="D34" s="2799"/>
      <c r="E34" s="2785" t="str">
        <f>IF(MORTGAGE!B25=0,"",MORTGAGE!B25)</f>
        <v/>
      </c>
      <c r="F34" s="2786"/>
      <c r="G34" s="2787"/>
      <c r="H34" s="2773">
        <f>MORTGAGE!H25</f>
        <v>0</v>
      </c>
      <c r="I34" s="2774"/>
      <c r="J34" s="2774"/>
      <c r="K34" s="2774"/>
      <c r="L34" s="2775"/>
      <c r="M34" s="2758">
        <f>MORTGAGE!J25</f>
        <v>0</v>
      </c>
      <c r="N34" s="2759"/>
      <c r="O34" s="2759"/>
      <c r="P34" s="2759"/>
      <c r="Q34" s="2760"/>
      <c r="R34" s="2746">
        <f>MORTGAGE!I25</f>
        <v>0</v>
      </c>
      <c r="S34" s="2747"/>
      <c r="T34" s="2747"/>
      <c r="U34" s="2747"/>
      <c r="V34" s="2748"/>
      <c r="W34" s="2736">
        <f>MORTGAGE!K25</f>
        <v>0</v>
      </c>
      <c r="X34" s="2737"/>
      <c r="Y34" s="2737"/>
      <c r="Z34" s="2737"/>
      <c r="AA34" s="2738"/>
      <c r="AB34" s="2730">
        <f>MORTGAGE!L25</f>
        <v>118970</v>
      </c>
      <c r="AC34" s="2731"/>
      <c r="AD34" s="2731"/>
      <c r="AE34" s="2731"/>
      <c r="AF34" s="2732"/>
      <c r="AG34" s="2724">
        <f>MORTGAGE!N25</f>
        <v>1.025603448275862</v>
      </c>
      <c r="AH34" s="2725"/>
      <c r="AI34" s="2725"/>
      <c r="AJ34" s="2725"/>
      <c r="AK34" s="2726"/>
      <c r="AL34" s="2721">
        <f>MORTGAGE!O25</f>
        <v>0</v>
      </c>
      <c r="AM34" s="2722"/>
      <c r="AN34" s="2722"/>
      <c r="AO34" s="2722"/>
      <c r="AP34" s="2722"/>
      <c r="AQ34" s="1239">
        <v>1</v>
      </c>
    </row>
    <row r="35" spans="1:45" x14ac:dyDescent="0.25">
      <c r="A35" s="2"/>
      <c r="B35" s="2791"/>
      <c r="C35" s="2792"/>
      <c r="D35" s="2793"/>
      <c r="E35" s="2776" t="str">
        <f>IF(MORTGAGE!B26=0,"",MORTGAGE!B26)</f>
        <v/>
      </c>
      <c r="F35" s="2777"/>
      <c r="G35" s="2778"/>
      <c r="H35" s="2761">
        <f>MORTGAGE!H26</f>
        <v>0</v>
      </c>
      <c r="I35" s="2762"/>
      <c r="J35" s="2762"/>
      <c r="K35" s="2762"/>
      <c r="L35" s="2763"/>
      <c r="M35" s="2749">
        <f>MORTGAGE!J26</f>
        <v>0</v>
      </c>
      <c r="N35" s="2750"/>
      <c r="O35" s="2750"/>
      <c r="P35" s="2750"/>
      <c r="Q35" s="2751"/>
      <c r="R35" s="2739">
        <f>MORTGAGE!I26</f>
        <v>0</v>
      </c>
      <c r="S35" s="2740"/>
      <c r="T35" s="2740"/>
      <c r="U35" s="2740"/>
      <c r="V35" s="2741"/>
      <c r="W35" s="2733">
        <f>MORTGAGE!K26</f>
        <v>0</v>
      </c>
      <c r="X35" s="2734"/>
      <c r="Y35" s="2734"/>
      <c r="Z35" s="2734"/>
      <c r="AA35" s="2735"/>
      <c r="AB35" s="2727">
        <f>MORTGAGE!L26</f>
        <v>118970</v>
      </c>
      <c r="AC35" s="2728"/>
      <c r="AD35" s="2728"/>
      <c r="AE35" s="2728"/>
      <c r="AF35" s="2729"/>
      <c r="AG35" s="2719">
        <f>MORTGAGE!N26</f>
        <v>1.025603448275862</v>
      </c>
      <c r="AH35" s="2720"/>
      <c r="AI35" s="2720"/>
      <c r="AJ35" s="2720"/>
      <c r="AK35" s="2723"/>
      <c r="AL35" s="2719">
        <f>MORTGAGE!O26</f>
        <v>0</v>
      </c>
      <c r="AM35" s="2720"/>
      <c r="AN35" s="2720"/>
      <c r="AO35" s="2720"/>
      <c r="AP35" s="2720"/>
      <c r="AQ35" s="1239">
        <v>1</v>
      </c>
    </row>
    <row r="36" spans="1:45" x14ac:dyDescent="0.25">
      <c r="A36" s="2"/>
      <c r="B36" s="2791"/>
      <c r="C36" s="2792"/>
      <c r="D36" s="2793"/>
      <c r="E36" s="2776" t="str">
        <f>IF(MORTGAGE!B27=0,"",MORTGAGE!B27)</f>
        <v/>
      </c>
      <c r="F36" s="2777"/>
      <c r="G36" s="2778"/>
      <c r="H36" s="2761">
        <f>MORTGAGE!H27</f>
        <v>0</v>
      </c>
      <c r="I36" s="2762"/>
      <c r="J36" s="2762"/>
      <c r="K36" s="2762"/>
      <c r="L36" s="2763"/>
      <c r="M36" s="2749">
        <f>MORTGAGE!J27</f>
        <v>0</v>
      </c>
      <c r="N36" s="2750"/>
      <c r="O36" s="2750"/>
      <c r="P36" s="2750"/>
      <c r="Q36" s="2751"/>
      <c r="R36" s="2739">
        <f>MORTGAGE!I27</f>
        <v>0</v>
      </c>
      <c r="S36" s="2740"/>
      <c r="T36" s="2740"/>
      <c r="U36" s="2740"/>
      <c r="V36" s="2741"/>
      <c r="W36" s="2733">
        <f>MORTGAGE!K27</f>
        <v>0</v>
      </c>
      <c r="X36" s="2734"/>
      <c r="Y36" s="2734"/>
      <c r="Z36" s="2734"/>
      <c r="AA36" s="2735"/>
      <c r="AB36" s="2727">
        <f>MORTGAGE!L27</f>
        <v>118970</v>
      </c>
      <c r="AC36" s="2728"/>
      <c r="AD36" s="2728"/>
      <c r="AE36" s="2728"/>
      <c r="AF36" s="2729"/>
      <c r="AG36" s="2719">
        <f>MORTGAGE!N27</f>
        <v>1.025603448275862</v>
      </c>
      <c r="AH36" s="2720"/>
      <c r="AI36" s="2720"/>
      <c r="AJ36" s="2720"/>
      <c r="AK36" s="2723"/>
      <c r="AL36" s="2719">
        <f>MORTGAGE!O27</f>
        <v>0</v>
      </c>
      <c r="AM36" s="2720"/>
      <c r="AN36" s="2720"/>
      <c r="AO36" s="2720"/>
      <c r="AP36" s="2720"/>
      <c r="AQ36" s="1239">
        <v>1</v>
      </c>
      <c r="AS36" s="355"/>
    </row>
    <row r="37" spans="1:45" x14ac:dyDescent="0.25">
      <c r="A37" s="2"/>
      <c r="B37" s="2791"/>
      <c r="C37" s="2792"/>
      <c r="D37" s="2793"/>
      <c r="E37" s="2776" t="str">
        <f>IF(MORTGAGE!B28=0,"",MORTGAGE!B28)</f>
        <v/>
      </c>
      <c r="F37" s="2777"/>
      <c r="G37" s="2778"/>
      <c r="H37" s="2761">
        <f>MORTGAGE!H28</f>
        <v>0</v>
      </c>
      <c r="I37" s="2762"/>
      <c r="J37" s="2762"/>
      <c r="K37" s="2762"/>
      <c r="L37" s="2763"/>
      <c r="M37" s="2749">
        <f>MORTGAGE!J28</f>
        <v>0</v>
      </c>
      <c r="N37" s="2750"/>
      <c r="O37" s="2750"/>
      <c r="P37" s="2750"/>
      <c r="Q37" s="2751"/>
      <c r="R37" s="2739">
        <f>MORTGAGE!I28</f>
        <v>0</v>
      </c>
      <c r="S37" s="2740"/>
      <c r="T37" s="2740"/>
      <c r="U37" s="2740"/>
      <c r="V37" s="2741"/>
      <c r="W37" s="2733">
        <f>MORTGAGE!K28</f>
        <v>0</v>
      </c>
      <c r="X37" s="2734"/>
      <c r="Y37" s="2734"/>
      <c r="Z37" s="2734"/>
      <c r="AA37" s="2735"/>
      <c r="AB37" s="2727">
        <f>MORTGAGE!L28</f>
        <v>118970</v>
      </c>
      <c r="AC37" s="2728"/>
      <c r="AD37" s="2728"/>
      <c r="AE37" s="2728"/>
      <c r="AF37" s="2729"/>
      <c r="AG37" s="2719">
        <f>MORTGAGE!N28</f>
        <v>1.025603448275862</v>
      </c>
      <c r="AH37" s="2720"/>
      <c r="AI37" s="2720"/>
      <c r="AJ37" s="2720"/>
      <c r="AK37" s="2723"/>
      <c r="AL37" s="2719">
        <f>MORTGAGE!O28</f>
        <v>0</v>
      </c>
      <c r="AM37" s="2720"/>
      <c r="AN37" s="2720"/>
      <c r="AO37" s="2720"/>
      <c r="AP37" s="2720"/>
      <c r="AQ37" s="1239">
        <v>1</v>
      </c>
    </row>
    <row r="38" spans="1:45" x14ac:dyDescent="0.25">
      <c r="A38" s="2"/>
      <c r="B38" s="2791"/>
      <c r="C38" s="2792"/>
      <c r="D38" s="2793"/>
      <c r="E38" s="2776" t="str">
        <f>IF(MORTGAGE!B29=0,"",MORTGAGE!B29)</f>
        <v/>
      </c>
      <c r="F38" s="2777"/>
      <c r="G38" s="2778"/>
      <c r="H38" s="2761">
        <f>MORTGAGE!H29</f>
        <v>0</v>
      </c>
      <c r="I38" s="2762"/>
      <c r="J38" s="2762"/>
      <c r="K38" s="2762"/>
      <c r="L38" s="2763"/>
      <c r="M38" s="2749">
        <f>MORTGAGE!J29</f>
        <v>0</v>
      </c>
      <c r="N38" s="2750"/>
      <c r="O38" s="2750"/>
      <c r="P38" s="2750"/>
      <c r="Q38" s="2751"/>
      <c r="R38" s="2739">
        <f>MORTGAGE!I29</f>
        <v>0</v>
      </c>
      <c r="S38" s="2740"/>
      <c r="T38" s="2740"/>
      <c r="U38" s="2740"/>
      <c r="V38" s="2741"/>
      <c r="W38" s="2733">
        <f>MORTGAGE!K29</f>
        <v>0</v>
      </c>
      <c r="X38" s="2734"/>
      <c r="Y38" s="2734"/>
      <c r="Z38" s="2734"/>
      <c r="AA38" s="2735"/>
      <c r="AB38" s="2727">
        <f>MORTGAGE!L29</f>
        <v>118970</v>
      </c>
      <c r="AC38" s="2728"/>
      <c r="AD38" s="2728"/>
      <c r="AE38" s="2728"/>
      <c r="AF38" s="2729"/>
      <c r="AG38" s="2719">
        <f>MORTGAGE!N29</f>
        <v>1.025603448275862</v>
      </c>
      <c r="AH38" s="2720"/>
      <c r="AI38" s="2720"/>
      <c r="AJ38" s="2720"/>
      <c r="AK38" s="2723"/>
      <c r="AL38" s="2719">
        <f>MORTGAGE!O29</f>
        <v>0</v>
      </c>
      <c r="AM38" s="2720"/>
      <c r="AN38" s="2720"/>
      <c r="AO38" s="2720"/>
      <c r="AP38" s="2720"/>
      <c r="AQ38" s="1239">
        <v>1</v>
      </c>
    </row>
    <row r="39" spans="1:45" x14ac:dyDescent="0.25">
      <c r="A39" s="2"/>
      <c r="B39" s="2791"/>
      <c r="C39" s="2792"/>
      <c r="D39" s="2793"/>
      <c r="E39" s="2776" t="str">
        <f>IF(MORTGAGE!B30=0,"",MORTGAGE!B30)</f>
        <v/>
      </c>
      <c r="F39" s="2777"/>
      <c r="G39" s="2778"/>
      <c r="H39" s="2761">
        <f>MORTGAGE!H30</f>
        <v>0</v>
      </c>
      <c r="I39" s="2762"/>
      <c r="J39" s="2762"/>
      <c r="K39" s="2762"/>
      <c r="L39" s="2763"/>
      <c r="M39" s="2749">
        <f>MORTGAGE!J30</f>
        <v>0</v>
      </c>
      <c r="N39" s="2750"/>
      <c r="O39" s="2750"/>
      <c r="P39" s="2750"/>
      <c r="Q39" s="2751"/>
      <c r="R39" s="2739">
        <f>MORTGAGE!I30</f>
        <v>0</v>
      </c>
      <c r="S39" s="2740"/>
      <c r="T39" s="2740"/>
      <c r="U39" s="2740"/>
      <c r="V39" s="2741"/>
      <c r="W39" s="2733">
        <f>MORTGAGE!K30</f>
        <v>0</v>
      </c>
      <c r="X39" s="2734"/>
      <c r="Y39" s="2734"/>
      <c r="Z39" s="2734"/>
      <c r="AA39" s="2735"/>
      <c r="AB39" s="2727">
        <f>MORTGAGE!L30</f>
        <v>118970</v>
      </c>
      <c r="AC39" s="2728"/>
      <c r="AD39" s="2728"/>
      <c r="AE39" s="2728"/>
      <c r="AF39" s="2729"/>
      <c r="AG39" s="2719">
        <f>MORTGAGE!N30</f>
        <v>1.025603448275862</v>
      </c>
      <c r="AH39" s="2720"/>
      <c r="AI39" s="2720"/>
      <c r="AJ39" s="2720"/>
      <c r="AK39" s="2723"/>
      <c r="AL39" s="2719">
        <f>MORTGAGE!O30</f>
        <v>0</v>
      </c>
      <c r="AM39" s="2720"/>
      <c r="AN39" s="2720"/>
      <c r="AO39" s="2720"/>
      <c r="AP39" s="2720"/>
      <c r="AQ39" s="1239">
        <v>1</v>
      </c>
    </row>
    <row r="40" spans="1:45" x14ac:dyDescent="0.25">
      <c r="A40" s="2"/>
      <c r="B40" s="2791"/>
      <c r="C40" s="2792"/>
      <c r="D40" s="2793"/>
      <c r="E40" s="2776" t="str">
        <f>IF(MORTGAGE!B31=0,"",MORTGAGE!B31)</f>
        <v/>
      </c>
      <c r="F40" s="2777"/>
      <c r="G40" s="2778"/>
      <c r="H40" s="2761">
        <f>MORTGAGE!H31</f>
        <v>0</v>
      </c>
      <c r="I40" s="2762"/>
      <c r="J40" s="2762"/>
      <c r="K40" s="2762"/>
      <c r="L40" s="2763"/>
      <c r="M40" s="2749">
        <f>MORTGAGE!J31</f>
        <v>0</v>
      </c>
      <c r="N40" s="2750"/>
      <c r="O40" s="2750"/>
      <c r="P40" s="2750"/>
      <c r="Q40" s="2751"/>
      <c r="R40" s="2739">
        <f>MORTGAGE!I31</f>
        <v>0</v>
      </c>
      <c r="S40" s="2740"/>
      <c r="T40" s="2740"/>
      <c r="U40" s="2740"/>
      <c r="V40" s="2741"/>
      <c r="W40" s="2733">
        <f>MORTGAGE!K31</f>
        <v>0</v>
      </c>
      <c r="X40" s="2734"/>
      <c r="Y40" s="2734"/>
      <c r="Z40" s="2734"/>
      <c r="AA40" s="2735"/>
      <c r="AB40" s="2727">
        <f>MORTGAGE!L31</f>
        <v>118970</v>
      </c>
      <c r="AC40" s="2728"/>
      <c r="AD40" s="2728"/>
      <c r="AE40" s="2728"/>
      <c r="AF40" s="2729"/>
      <c r="AG40" s="2719">
        <f>MORTGAGE!N31</f>
        <v>1.025603448275862</v>
      </c>
      <c r="AH40" s="2720"/>
      <c r="AI40" s="2720"/>
      <c r="AJ40" s="2720"/>
      <c r="AK40" s="2723"/>
      <c r="AL40" s="2719">
        <f>MORTGAGE!O31</f>
        <v>0</v>
      </c>
      <c r="AM40" s="2720"/>
      <c r="AN40" s="2720"/>
      <c r="AO40" s="2720"/>
      <c r="AP40" s="2720"/>
      <c r="AQ40" s="1239">
        <v>1</v>
      </c>
    </row>
    <row r="41" spans="1:45" x14ac:dyDescent="0.25">
      <c r="A41" s="2"/>
      <c r="B41" s="2791"/>
      <c r="C41" s="2792"/>
      <c r="D41" s="2793"/>
      <c r="E41" s="2776" t="str">
        <f>IF(MORTGAGE!B32=0,"",MORTGAGE!B32)</f>
        <v/>
      </c>
      <c r="F41" s="2777"/>
      <c r="G41" s="2778"/>
      <c r="H41" s="2761">
        <f>MORTGAGE!H32</f>
        <v>0</v>
      </c>
      <c r="I41" s="2762"/>
      <c r="J41" s="2762"/>
      <c r="K41" s="2762"/>
      <c r="L41" s="2763"/>
      <c r="M41" s="2749">
        <f>MORTGAGE!J32</f>
        <v>0</v>
      </c>
      <c r="N41" s="2750"/>
      <c r="O41" s="2750"/>
      <c r="P41" s="2750"/>
      <c r="Q41" s="2751"/>
      <c r="R41" s="2739">
        <f>MORTGAGE!I32</f>
        <v>0</v>
      </c>
      <c r="S41" s="2740"/>
      <c r="T41" s="2740"/>
      <c r="U41" s="2740"/>
      <c r="V41" s="2741"/>
      <c r="W41" s="2733">
        <f>MORTGAGE!K32</f>
        <v>0</v>
      </c>
      <c r="X41" s="2734"/>
      <c r="Y41" s="2734"/>
      <c r="Z41" s="2734"/>
      <c r="AA41" s="2735"/>
      <c r="AB41" s="2727">
        <f>MORTGAGE!L32</f>
        <v>118970</v>
      </c>
      <c r="AC41" s="2728"/>
      <c r="AD41" s="2728"/>
      <c r="AE41" s="2728"/>
      <c r="AF41" s="2729"/>
      <c r="AG41" s="2719">
        <f>MORTGAGE!N32</f>
        <v>1.025603448275862</v>
      </c>
      <c r="AH41" s="2720"/>
      <c r="AI41" s="2720"/>
      <c r="AJ41" s="2720"/>
      <c r="AK41" s="2723"/>
      <c r="AL41" s="2719">
        <f>MORTGAGE!O32</f>
        <v>0</v>
      </c>
      <c r="AM41" s="2720"/>
      <c r="AN41" s="2720"/>
      <c r="AO41" s="2720"/>
      <c r="AP41" s="2720"/>
      <c r="AQ41" s="1239">
        <v>1</v>
      </c>
    </row>
    <row r="42" spans="1:45" x14ac:dyDescent="0.25">
      <c r="A42" s="2"/>
      <c r="B42" s="2791"/>
      <c r="C42" s="2792"/>
      <c r="D42" s="2793"/>
      <c r="E42" s="2776" t="str">
        <f>IF(MORTGAGE!B33=0,"",MORTGAGE!B33)</f>
        <v/>
      </c>
      <c r="F42" s="2777"/>
      <c r="G42" s="2778"/>
      <c r="H42" s="2761">
        <f>MORTGAGE!H33</f>
        <v>0</v>
      </c>
      <c r="I42" s="2762"/>
      <c r="J42" s="2762"/>
      <c r="K42" s="2762"/>
      <c r="L42" s="2763"/>
      <c r="M42" s="2749">
        <f>MORTGAGE!J33</f>
        <v>0</v>
      </c>
      <c r="N42" s="2750"/>
      <c r="O42" s="2750"/>
      <c r="P42" s="2750"/>
      <c r="Q42" s="2751"/>
      <c r="R42" s="2739">
        <f>MORTGAGE!I33</f>
        <v>0</v>
      </c>
      <c r="S42" s="2740"/>
      <c r="T42" s="2740"/>
      <c r="U42" s="2740"/>
      <c r="V42" s="2741"/>
      <c r="W42" s="2733">
        <f>MORTGAGE!K33</f>
        <v>0</v>
      </c>
      <c r="X42" s="2734"/>
      <c r="Y42" s="2734"/>
      <c r="Z42" s="2734"/>
      <c r="AA42" s="2735"/>
      <c r="AB42" s="2727">
        <f>MORTGAGE!L33</f>
        <v>118970</v>
      </c>
      <c r="AC42" s="2728"/>
      <c r="AD42" s="2728"/>
      <c r="AE42" s="2728"/>
      <c r="AF42" s="2729"/>
      <c r="AG42" s="2719">
        <f>MORTGAGE!N33</f>
        <v>1.025603448275862</v>
      </c>
      <c r="AH42" s="2720"/>
      <c r="AI42" s="2720"/>
      <c r="AJ42" s="2720"/>
      <c r="AK42" s="2723"/>
      <c r="AL42" s="2719">
        <f>MORTGAGE!O33</f>
        <v>0</v>
      </c>
      <c r="AM42" s="2720"/>
      <c r="AN42" s="2720"/>
      <c r="AO42" s="2720"/>
      <c r="AP42" s="2720"/>
      <c r="AQ42" s="1239">
        <v>1</v>
      </c>
    </row>
    <row r="43" spans="1:45" x14ac:dyDescent="0.25">
      <c r="A43" s="2"/>
      <c r="B43" s="2791"/>
      <c r="C43" s="2792"/>
      <c r="D43" s="2793"/>
      <c r="E43" s="2776" t="str">
        <f>IF(MORTGAGE!B34=0,"",MORTGAGE!B34)</f>
        <v/>
      </c>
      <c r="F43" s="2777"/>
      <c r="G43" s="2778"/>
      <c r="H43" s="2761">
        <f>MORTGAGE!H34</f>
        <v>0</v>
      </c>
      <c r="I43" s="2762"/>
      <c r="J43" s="2762"/>
      <c r="K43" s="2762"/>
      <c r="L43" s="2763"/>
      <c r="M43" s="2749">
        <f>MORTGAGE!J34</f>
        <v>0</v>
      </c>
      <c r="N43" s="2750"/>
      <c r="O43" s="2750"/>
      <c r="P43" s="2750"/>
      <c r="Q43" s="2751"/>
      <c r="R43" s="2739">
        <f>MORTGAGE!I34</f>
        <v>0</v>
      </c>
      <c r="S43" s="2740"/>
      <c r="T43" s="2740"/>
      <c r="U43" s="2740"/>
      <c r="V43" s="2741"/>
      <c r="W43" s="2733">
        <f>MORTGAGE!K34</f>
        <v>0</v>
      </c>
      <c r="X43" s="2734"/>
      <c r="Y43" s="2734"/>
      <c r="Z43" s="2734"/>
      <c r="AA43" s="2735"/>
      <c r="AB43" s="2727">
        <f>MORTGAGE!L34</f>
        <v>118970</v>
      </c>
      <c r="AC43" s="2728"/>
      <c r="AD43" s="2728"/>
      <c r="AE43" s="2728"/>
      <c r="AF43" s="2729"/>
      <c r="AG43" s="2719">
        <f>MORTGAGE!N34</f>
        <v>1.025603448275862</v>
      </c>
      <c r="AH43" s="2720"/>
      <c r="AI43" s="2720"/>
      <c r="AJ43" s="2720"/>
      <c r="AK43" s="2723"/>
      <c r="AL43" s="2719">
        <f>MORTGAGE!O34</f>
        <v>0</v>
      </c>
      <c r="AM43" s="2720"/>
      <c r="AN43" s="2720"/>
      <c r="AO43" s="2720"/>
      <c r="AP43" s="2720"/>
      <c r="AQ43" s="1239">
        <v>1</v>
      </c>
    </row>
    <row r="44" spans="1:45" x14ac:dyDescent="0.25">
      <c r="A44" s="2"/>
      <c r="B44" s="2791"/>
      <c r="C44" s="2792"/>
      <c r="D44" s="2793"/>
      <c r="E44" s="2776" t="str">
        <f>IF(MORTGAGE!B35=0,"",MORTGAGE!B35)</f>
        <v/>
      </c>
      <c r="F44" s="2777"/>
      <c r="G44" s="2778"/>
      <c r="H44" s="2761">
        <f>MORTGAGE!H35</f>
        <v>0</v>
      </c>
      <c r="I44" s="2762"/>
      <c r="J44" s="2762"/>
      <c r="K44" s="2762"/>
      <c r="L44" s="2763"/>
      <c r="M44" s="2749">
        <f>MORTGAGE!J35</f>
        <v>0</v>
      </c>
      <c r="N44" s="2750"/>
      <c r="O44" s="2750"/>
      <c r="P44" s="2750"/>
      <c r="Q44" s="2751"/>
      <c r="R44" s="2739">
        <f>MORTGAGE!I35</f>
        <v>0</v>
      </c>
      <c r="S44" s="2740"/>
      <c r="T44" s="2740"/>
      <c r="U44" s="2740"/>
      <c r="V44" s="2741"/>
      <c r="W44" s="2733">
        <f>MORTGAGE!K35</f>
        <v>0</v>
      </c>
      <c r="X44" s="2734"/>
      <c r="Y44" s="2734"/>
      <c r="Z44" s="2734"/>
      <c r="AA44" s="2735"/>
      <c r="AB44" s="2727">
        <f>MORTGAGE!L35</f>
        <v>118970</v>
      </c>
      <c r="AC44" s="2728"/>
      <c r="AD44" s="2728"/>
      <c r="AE44" s="2728"/>
      <c r="AF44" s="2729"/>
      <c r="AG44" s="2719">
        <f>MORTGAGE!N35</f>
        <v>1.025603448275862</v>
      </c>
      <c r="AH44" s="2720"/>
      <c r="AI44" s="2720"/>
      <c r="AJ44" s="2720"/>
      <c r="AK44" s="2723"/>
      <c r="AL44" s="2719">
        <f>MORTGAGE!O35</f>
        <v>0</v>
      </c>
      <c r="AM44" s="2720"/>
      <c r="AN44" s="2720"/>
      <c r="AO44" s="2720"/>
      <c r="AP44" s="2720"/>
      <c r="AQ44" s="1239">
        <v>1</v>
      </c>
    </row>
    <row r="45" spans="1:45" ht="14.4" thickBot="1" x14ac:dyDescent="0.3">
      <c r="A45" s="2"/>
      <c r="B45" s="2794"/>
      <c r="C45" s="2795"/>
      <c r="D45" s="2796"/>
      <c r="E45" s="2776" t="str">
        <f>IF(MORTGAGE!B36=0,"",MORTGAGE!B36)</f>
        <v/>
      </c>
      <c r="F45" s="2777"/>
      <c r="G45" s="2778"/>
      <c r="H45" s="2761">
        <f>MORTGAGE!H36</f>
        <v>0</v>
      </c>
      <c r="I45" s="2762"/>
      <c r="J45" s="2762"/>
      <c r="K45" s="2762"/>
      <c r="L45" s="2763"/>
      <c r="M45" s="2749">
        <f>MORTGAGE!J36</f>
        <v>0</v>
      </c>
      <c r="N45" s="2750"/>
      <c r="O45" s="2750"/>
      <c r="P45" s="2750"/>
      <c r="Q45" s="2751"/>
      <c r="R45" s="2739">
        <f>MORTGAGE!I36</f>
        <v>0</v>
      </c>
      <c r="S45" s="2740"/>
      <c r="T45" s="2740"/>
      <c r="U45" s="2740"/>
      <c r="V45" s="2741"/>
      <c r="W45" s="2733">
        <f>MORTGAGE!K36</f>
        <v>0</v>
      </c>
      <c r="X45" s="2734"/>
      <c r="Y45" s="2734"/>
      <c r="Z45" s="2734"/>
      <c r="AA45" s="2735"/>
      <c r="AB45" s="2727">
        <f>MORTGAGE!L36</f>
        <v>118970</v>
      </c>
      <c r="AC45" s="2728"/>
      <c r="AD45" s="2728"/>
      <c r="AE45" s="2728"/>
      <c r="AF45" s="2729"/>
      <c r="AG45" s="2719">
        <f>MORTGAGE!N36</f>
        <v>1.025603448275862</v>
      </c>
      <c r="AH45" s="2720"/>
      <c r="AI45" s="2720"/>
      <c r="AJ45" s="2720"/>
      <c r="AK45" s="2723"/>
      <c r="AL45" s="2719">
        <f>MORTGAGE!O36</f>
        <v>0</v>
      </c>
      <c r="AM45" s="2720"/>
      <c r="AN45" s="2720"/>
      <c r="AO45" s="2720"/>
      <c r="AP45" s="2720"/>
      <c r="AQ45" s="1239">
        <v>1</v>
      </c>
    </row>
    <row r="46" spans="1:45" x14ac:dyDescent="0.25">
      <c r="A46" s="2"/>
      <c r="B46" s="2797" t="str">
        <f>IFERROR(ROUNDUP(E46/12,0),"")</f>
        <v/>
      </c>
      <c r="C46" s="2798"/>
      <c r="D46" s="2799"/>
      <c r="E46" s="2785" t="str">
        <f>IF(MORTGAGE!B37=0,"",MORTGAGE!B37)</f>
        <v/>
      </c>
      <c r="F46" s="2786"/>
      <c r="G46" s="2787"/>
      <c r="H46" s="2773">
        <f>MORTGAGE!H37</f>
        <v>0</v>
      </c>
      <c r="I46" s="2774"/>
      <c r="J46" s="2774"/>
      <c r="K46" s="2774"/>
      <c r="L46" s="2775"/>
      <c r="M46" s="2758">
        <f>MORTGAGE!J37</f>
        <v>0</v>
      </c>
      <c r="N46" s="2759"/>
      <c r="O46" s="2759"/>
      <c r="P46" s="2759"/>
      <c r="Q46" s="2760"/>
      <c r="R46" s="2746">
        <f>MORTGAGE!I37</f>
        <v>0</v>
      </c>
      <c r="S46" s="2747"/>
      <c r="T46" s="2747"/>
      <c r="U46" s="2747"/>
      <c r="V46" s="2748"/>
      <c r="W46" s="2736">
        <f>MORTGAGE!K37</f>
        <v>0</v>
      </c>
      <c r="X46" s="2737"/>
      <c r="Y46" s="2737"/>
      <c r="Z46" s="2737"/>
      <c r="AA46" s="2738"/>
      <c r="AB46" s="2730">
        <f>MORTGAGE!L37</f>
        <v>118970</v>
      </c>
      <c r="AC46" s="2731"/>
      <c r="AD46" s="2731"/>
      <c r="AE46" s="2731"/>
      <c r="AF46" s="2732"/>
      <c r="AG46" s="2724">
        <f>MORTGAGE!N37</f>
        <v>1.025603448275862</v>
      </c>
      <c r="AH46" s="2725"/>
      <c r="AI46" s="2725"/>
      <c r="AJ46" s="2725"/>
      <c r="AK46" s="2726"/>
      <c r="AL46" s="2721">
        <f>MORTGAGE!O37</f>
        <v>0</v>
      </c>
      <c r="AM46" s="2722"/>
      <c r="AN46" s="2722"/>
      <c r="AO46" s="2722"/>
      <c r="AP46" s="2722"/>
      <c r="AQ46" s="1239">
        <f t="shared" ref="AQ46:AQ109" si="0">IF(SUM(H46:AG46)=0,0,1)</f>
        <v>1</v>
      </c>
    </row>
    <row r="47" spans="1:45" x14ac:dyDescent="0.25">
      <c r="A47" s="2"/>
      <c r="B47" s="2791"/>
      <c r="C47" s="2792"/>
      <c r="D47" s="2793"/>
      <c r="E47" s="2776" t="str">
        <f>IF(MORTGAGE!B38=0,"",MORTGAGE!B38)</f>
        <v/>
      </c>
      <c r="F47" s="2777"/>
      <c r="G47" s="2778"/>
      <c r="H47" s="2761">
        <f>MORTGAGE!H38</f>
        <v>0</v>
      </c>
      <c r="I47" s="2762"/>
      <c r="J47" s="2762"/>
      <c r="K47" s="2762"/>
      <c r="L47" s="2763"/>
      <c r="M47" s="2749">
        <f>MORTGAGE!J38</f>
        <v>0</v>
      </c>
      <c r="N47" s="2750"/>
      <c r="O47" s="2750"/>
      <c r="P47" s="2750"/>
      <c r="Q47" s="2751"/>
      <c r="R47" s="2739">
        <f>MORTGAGE!I38</f>
        <v>0</v>
      </c>
      <c r="S47" s="2740"/>
      <c r="T47" s="2740"/>
      <c r="U47" s="2740"/>
      <c r="V47" s="2741"/>
      <c r="W47" s="2733">
        <f>MORTGAGE!K38</f>
        <v>0</v>
      </c>
      <c r="X47" s="2734"/>
      <c r="Y47" s="2734"/>
      <c r="Z47" s="2734"/>
      <c r="AA47" s="2735"/>
      <c r="AB47" s="2727">
        <f>MORTGAGE!L38</f>
        <v>118970</v>
      </c>
      <c r="AC47" s="2728"/>
      <c r="AD47" s="2728"/>
      <c r="AE47" s="2728"/>
      <c r="AF47" s="2729"/>
      <c r="AG47" s="2719">
        <f>MORTGAGE!N38</f>
        <v>1.025603448275862</v>
      </c>
      <c r="AH47" s="2720"/>
      <c r="AI47" s="2720"/>
      <c r="AJ47" s="2720"/>
      <c r="AK47" s="2723"/>
      <c r="AL47" s="2719">
        <f>MORTGAGE!O38</f>
        <v>0</v>
      </c>
      <c r="AM47" s="2720"/>
      <c r="AN47" s="2720"/>
      <c r="AO47" s="2720"/>
      <c r="AP47" s="2720"/>
      <c r="AQ47" s="1239">
        <f t="shared" si="0"/>
        <v>1</v>
      </c>
    </row>
    <row r="48" spans="1:45" x14ac:dyDescent="0.25">
      <c r="A48" s="2"/>
      <c r="B48" s="2791"/>
      <c r="C48" s="2792"/>
      <c r="D48" s="2793"/>
      <c r="E48" s="2776" t="str">
        <f>IF(MORTGAGE!B39=0,"",MORTGAGE!B39)</f>
        <v/>
      </c>
      <c r="F48" s="2777"/>
      <c r="G48" s="2778"/>
      <c r="H48" s="2761">
        <f>MORTGAGE!H39</f>
        <v>0</v>
      </c>
      <c r="I48" s="2762"/>
      <c r="J48" s="2762"/>
      <c r="K48" s="2762"/>
      <c r="L48" s="2763"/>
      <c r="M48" s="2749">
        <f>MORTGAGE!J39</f>
        <v>0</v>
      </c>
      <c r="N48" s="2750"/>
      <c r="O48" s="2750"/>
      <c r="P48" s="2750"/>
      <c r="Q48" s="2751"/>
      <c r="R48" s="2739">
        <f>MORTGAGE!I39</f>
        <v>0</v>
      </c>
      <c r="S48" s="2740"/>
      <c r="T48" s="2740"/>
      <c r="U48" s="2740"/>
      <c r="V48" s="2741"/>
      <c r="W48" s="2733">
        <f>MORTGAGE!K39</f>
        <v>0</v>
      </c>
      <c r="X48" s="2734"/>
      <c r="Y48" s="2734"/>
      <c r="Z48" s="2734"/>
      <c r="AA48" s="2735"/>
      <c r="AB48" s="2727">
        <f>MORTGAGE!L39</f>
        <v>118970</v>
      </c>
      <c r="AC48" s="2728"/>
      <c r="AD48" s="2728"/>
      <c r="AE48" s="2728"/>
      <c r="AF48" s="2729"/>
      <c r="AG48" s="2719">
        <f>MORTGAGE!N39</f>
        <v>1.025603448275862</v>
      </c>
      <c r="AH48" s="2720"/>
      <c r="AI48" s="2720"/>
      <c r="AJ48" s="2720"/>
      <c r="AK48" s="2723"/>
      <c r="AL48" s="2719">
        <f>MORTGAGE!O39</f>
        <v>0</v>
      </c>
      <c r="AM48" s="2720"/>
      <c r="AN48" s="2720"/>
      <c r="AO48" s="2720"/>
      <c r="AP48" s="2720"/>
      <c r="AQ48" s="1239">
        <f t="shared" si="0"/>
        <v>1</v>
      </c>
    </row>
    <row r="49" spans="1:43" x14ac:dyDescent="0.25">
      <c r="A49" s="2"/>
      <c r="B49" s="2791"/>
      <c r="C49" s="2792"/>
      <c r="D49" s="2793"/>
      <c r="E49" s="2776" t="str">
        <f>IF(MORTGAGE!B40=0,"",MORTGAGE!B40)</f>
        <v/>
      </c>
      <c r="F49" s="2777"/>
      <c r="G49" s="2778"/>
      <c r="H49" s="2761">
        <f>MORTGAGE!H40</f>
        <v>0</v>
      </c>
      <c r="I49" s="2762"/>
      <c r="J49" s="2762"/>
      <c r="K49" s="2762"/>
      <c r="L49" s="2763"/>
      <c r="M49" s="2749">
        <f>MORTGAGE!J40</f>
        <v>0</v>
      </c>
      <c r="N49" s="2750"/>
      <c r="O49" s="2750"/>
      <c r="P49" s="2750"/>
      <c r="Q49" s="2751"/>
      <c r="R49" s="2739">
        <f>MORTGAGE!I40</f>
        <v>0</v>
      </c>
      <c r="S49" s="2740"/>
      <c r="T49" s="2740"/>
      <c r="U49" s="2740"/>
      <c r="V49" s="2741"/>
      <c r="W49" s="2733">
        <f>MORTGAGE!K40</f>
        <v>0</v>
      </c>
      <c r="X49" s="2734"/>
      <c r="Y49" s="2734"/>
      <c r="Z49" s="2734"/>
      <c r="AA49" s="2735"/>
      <c r="AB49" s="2727">
        <f>MORTGAGE!L40</f>
        <v>118970</v>
      </c>
      <c r="AC49" s="2728"/>
      <c r="AD49" s="2728"/>
      <c r="AE49" s="2728"/>
      <c r="AF49" s="2729"/>
      <c r="AG49" s="2719">
        <f>MORTGAGE!N40</f>
        <v>1.025603448275862</v>
      </c>
      <c r="AH49" s="2720"/>
      <c r="AI49" s="2720"/>
      <c r="AJ49" s="2720"/>
      <c r="AK49" s="2723"/>
      <c r="AL49" s="2719">
        <f>MORTGAGE!O40</f>
        <v>0</v>
      </c>
      <c r="AM49" s="2720"/>
      <c r="AN49" s="2720"/>
      <c r="AO49" s="2720"/>
      <c r="AP49" s="2720"/>
      <c r="AQ49" s="1239">
        <f t="shared" si="0"/>
        <v>1</v>
      </c>
    </row>
    <row r="50" spans="1:43" x14ac:dyDescent="0.25">
      <c r="A50" s="2"/>
      <c r="B50" s="2791"/>
      <c r="C50" s="2792"/>
      <c r="D50" s="2793"/>
      <c r="E50" s="2776" t="str">
        <f>IF(MORTGAGE!B41=0,"",MORTGAGE!B41)</f>
        <v/>
      </c>
      <c r="F50" s="2777"/>
      <c r="G50" s="2778"/>
      <c r="H50" s="2761">
        <f>MORTGAGE!H41</f>
        <v>0</v>
      </c>
      <c r="I50" s="2762"/>
      <c r="J50" s="2762"/>
      <c r="K50" s="2762"/>
      <c r="L50" s="2763"/>
      <c r="M50" s="2749">
        <f>MORTGAGE!J41</f>
        <v>0</v>
      </c>
      <c r="N50" s="2750"/>
      <c r="O50" s="2750"/>
      <c r="P50" s="2750"/>
      <c r="Q50" s="2751"/>
      <c r="R50" s="2739">
        <f>MORTGAGE!I41</f>
        <v>0</v>
      </c>
      <c r="S50" s="2740"/>
      <c r="T50" s="2740"/>
      <c r="U50" s="2740"/>
      <c r="V50" s="2741"/>
      <c r="W50" s="2733">
        <f>MORTGAGE!K41</f>
        <v>0</v>
      </c>
      <c r="X50" s="2734"/>
      <c r="Y50" s="2734"/>
      <c r="Z50" s="2734"/>
      <c r="AA50" s="2735"/>
      <c r="AB50" s="2727">
        <f>MORTGAGE!L41</f>
        <v>118970</v>
      </c>
      <c r="AC50" s="2728"/>
      <c r="AD50" s="2728"/>
      <c r="AE50" s="2728"/>
      <c r="AF50" s="2729"/>
      <c r="AG50" s="2719">
        <f>MORTGAGE!N41</f>
        <v>1.025603448275862</v>
      </c>
      <c r="AH50" s="2720"/>
      <c r="AI50" s="2720"/>
      <c r="AJ50" s="2720"/>
      <c r="AK50" s="2723"/>
      <c r="AL50" s="2719">
        <f>MORTGAGE!O41</f>
        <v>0</v>
      </c>
      <c r="AM50" s="2720"/>
      <c r="AN50" s="2720"/>
      <c r="AO50" s="2720"/>
      <c r="AP50" s="2720"/>
      <c r="AQ50" s="1239">
        <f t="shared" si="0"/>
        <v>1</v>
      </c>
    </row>
    <row r="51" spans="1:43" x14ac:dyDescent="0.25">
      <c r="A51" s="2"/>
      <c r="B51" s="2791"/>
      <c r="C51" s="2792"/>
      <c r="D51" s="2793"/>
      <c r="E51" s="2776" t="str">
        <f>IF(MORTGAGE!B42=0,"",MORTGAGE!B42)</f>
        <v/>
      </c>
      <c r="F51" s="2777"/>
      <c r="G51" s="2778"/>
      <c r="H51" s="2761">
        <f>MORTGAGE!H42</f>
        <v>0</v>
      </c>
      <c r="I51" s="2762"/>
      <c r="J51" s="2762"/>
      <c r="K51" s="2762"/>
      <c r="L51" s="2763"/>
      <c r="M51" s="2749">
        <f>MORTGAGE!J42</f>
        <v>0</v>
      </c>
      <c r="N51" s="2750"/>
      <c r="O51" s="2750"/>
      <c r="P51" s="2750"/>
      <c r="Q51" s="2751"/>
      <c r="R51" s="2739">
        <f>MORTGAGE!I42</f>
        <v>0</v>
      </c>
      <c r="S51" s="2740"/>
      <c r="T51" s="2740"/>
      <c r="U51" s="2740"/>
      <c r="V51" s="2741"/>
      <c r="W51" s="2733">
        <f>MORTGAGE!K42</f>
        <v>0</v>
      </c>
      <c r="X51" s="2734"/>
      <c r="Y51" s="2734"/>
      <c r="Z51" s="2734"/>
      <c r="AA51" s="2735"/>
      <c r="AB51" s="2727">
        <f>MORTGAGE!L42</f>
        <v>118970</v>
      </c>
      <c r="AC51" s="2728"/>
      <c r="AD51" s="2728"/>
      <c r="AE51" s="2728"/>
      <c r="AF51" s="2729"/>
      <c r="AG51" s="2719">
        <f>MORTGAGE!N42</f>
        <v>1.025603448275862</v>
      </c>
      <c r="AH51" s="2720"/>
      <c r="AI51" s="2720"/>
      <c r="AJ51" s="2720"/>
      <c r="AK51" s="2723"/>
      <c r="AL51" s="2719">
        <f>MORTGAGE!O42</f>
        <v>0</v>
      </c>
      <c r="AM51" s="2720"/>
      <c r="AN51" s="2720"/>
      <c r="AO51" s="2720"/>
      <c r="AP51" s="2720"/>
      <c r="AQ51" s="1239">
        <f t="shared" si="0"/>
        <v>1</v>
      </c>
    </row>
    <row r="52" spans="1:43" x14ac:dyDescent="0.25">
      <c r="A52" s="2"/>
      <c r="B52" s="2791"/>
      <c r="C52" s="2792"/>
      <c r="D52" s="2793"/>
      <c r="E52" s="2776" t="str">
        <f>IF(MORTGAGE!B43=0,"",MORTGAGE!B43)</f>
        <v/>
      </c>
      <c r="F52" s="2777"/>
      <c r="G52" s="2778"/>
      <c r="H52" s="2761">
        <f>MORTGAGE!H43</f>
        <v>0</v>
      </c>
      <c r="I52" s="2762"/>
      <c r="J52" s="2762"/>
      <c r="K52" s="2762"/>
      <c r="L52" s="2763"/>
      <c r="M52" s="2749">
        <f>MORTGAGE!J43</f>
        <v>0</v>
      </c>
      <c r="N52" s="2750"/>
      <c r="O52" s="2750"/>
      <c r="P52" s="2750"/>
      <c r="Q52" s="2751"/>
      <c r="R52" s="2739">
        <f>MORTGAGE!I43</f>
        <v>0</v>
      </c>
      <c r="S52" s="2740"/>
      <c r="T52" s="2740"/>
      <c r="U52" s="2740"/>
      <c r="V52" s="2741"/>
      <c r="W52" s="2733">
        <f>MORTGAGE!K43</f>
        <v>0</v>
      </c>
      <c r="X52" s="2734"/>
      <c r="Y52" s="2734"/>
      <c r="Z52" s="2734"/>
      <c r="AA52" s="2735"/>
      <c r="AB52" s="2727">
        <f>MORTGAGE!L43</f>
        <v>118970</v>
      </c>
      <c r="AC52" s="2728"/>
      <c r="AD52" s="2728"/>
      <c r="AE52" s="2728"/>
      <c r="AF52" s="2729"/>
      <c r="AG52" s="2719">
        <f>MORTGAGE!N43</f>
        <v>1.025603448275862</v>
      </c>
      <c r="AH52" s="2720"/>
      <c r="AI52" s="2720"/>
      <c r="AJ52" s="2720"/>
      <c r="AK52" s="2723"/>
      <c r="AL52" s="2719">
        <f>MORTGAGE!O43</f>
        <v>0</v>
      </c>
      <c r="AM52" s="2720"/>
      <c r="AN52" s="2720"/>
      <c r="AO52" s="2720"/>
      <c r="AP52" s="2720"/>
      <c r="AQ52" s="1239">
        <f t="shared" si="0"/>
        <v>1</v>
      </c>
    </row>
    <row r="53" spans="1:43" x14ac:dyDescent="0.25">
      <c r="A53" s="2"/>
      <c r="B53" s="2791"/>
      <c r="C53" s="2792"/>
      <c r="D53" s="2793"/>
      <c r="E53" s="2776" t="str">
        <f>IF(MORTGAGE!B44=0,"",MORTGAGE!B44)</f>
        <v/>
      </c>
      <c r="F53" s="2777"/>
      <c r="G53" s="2778"/>
      <c r="H53" s="2761">
        <f>MORTGAGE!H44</f>
        <v>0</v>
      </c>
      <c r="I53" s="2762"/>
      <c r="J53" s="2762"/>
      <c r="K53" s="2762"/>
      <c r="L53" s="2763"/>
      <c r="M53" s="2749">
        <f>MORTGAGE!J44</f>
        <v>0</v>
      </c>
      <c r="N53" s="2750"/>
      <c r="O53" s="2750"/>
      <c r="P53" s="2750"/>
      <c r="Q53" s="2751"/>
      <c r="R53" s="2739">
        <f>MORTGAGE!I44</f>
        <v>0</v>
      </c>
      <c r="S53" s="2740"/>
      <c r="T53" s="2740"/>
      <c r="U53" s="2740"/>
      <c r="V53" s="2741"/>
      <c r="W53" s="2733">
        <f>MORTGAGE!K44</f>
        <v>0</v>
      </c>
      <c r="X53" s="2734"/>
      <c r="Y53" s="2734"/>
      <c r="Z53" s="2734"/>
      <c r="AA53" s="2735"/>
      <c r="AB53" s="2727">
        <f>MORTGAGE!L44</f>
        <v>118970</v>
      </c>
      <c r="AC53" s="2728"/>
      <c r="AD53" s="2728"/>
      <c r="AE53" s="2728"/>
      <c r="AF53" s="2729"/>
      <c r="AG53" s="2719">
        <f>MORTGAGE!N44</f>
        <v>1.025603448275862</v>
      </c>
      <c r="AH53" s="2720"/>
      <c r="AI53" s="2720"/>
      <c r="AJ53" s="2720"/>
      <c r="AK53" s="2723"/>
      <c r="AL53" s="2719">
        <f>MORTGAGE!O44</f>
        <v>0</v>
      </c>
      <c r="AM53" s="2720"/>
      <c r="AN53" s="2720"/>
      <c r="AO53" s="2720"/>
      <c r="AP53" s="2720"/>
      <c r="AQ53" s="1239">
        <f t="shared" si="0"/>
        <v>1</v>
      </c>
    </row>
    <row r="54" spans="1:43" x14ac:dyDescent="0.25">
      <c r="A54" s="2"/>
      <c r="B54" s="2791"/>
      <c r="C54" s="2792"/>
      <c r="D54" s="2793"/>
      <c r="E54" s="2776" t="str">
        <f>IF(MORTGAGE!B45=0,"",MORTGAGE!B45)</f>
        <v/>
      </c>
      <c r="F54" s="2777"/>
      <c r="G54" s="2778"/>
      <c r="H54" s="2761">
        <f>MORTGAGE!H45</f>
        <v>0</v>
      </c>
      <c r="I54" s="2762"/>
      <c r="J54" s="2762"/>
      <c r="K54" s="2762"/>
      <c r="L54" s="2763"/>
      <c r="M54" s="2749">
        <f>MORTGAGE!J45</f>
        <v>0</v>
      </c>
      <c r="N54" s="2750"/>
      <c r="O54" s="2750"/>
      <c r="P54" s="2750"/>
      <c r="Q54" s="2751"/>
      <c r="R54" s="2739">
        <f>MORTGAGE!I45</f>
        <v>0</v>
      </c>
      <c r="S54" s="2740"/>
      <c r="T54" s="2740"/>
      <c r="U54" s="2740"/>
      <c r="V54" s="2741"/>
      <c r="W54" s="2733">
        <f>MORTGAGE!K45</f>
        <v>0</v>
      </c>
      <c r="X54" s="2734"/>
      <c r="Y54" s="2734"/>
      <c r="Z54" s="2734"/>
      <c r="AA54" s="2735"/>
      <c r="AB54" s="2727">
        <f>MORTGAGE!L45</f>
        <v>118970</v>
      </c>
      <c r="AC54" s="2728"/>
      <c r="AD54" s="2728"/>
      <c r="AE54" s="2728"/>
      <c r="AF54" s="2729"/>
      <c r="AG54" s="2719">
        <f>MORTGAGE!N45</f>
        <v>1.025603448275862</v>
      </c>
      <c r="AH54" s="2720"/>
      <c r="AI54" s="2720"/>
      <c r="AJ54" s="2720"/>
      <c r="AK54" s="2723"/>
      <c r="AL54" s="2719">
        <f>MORTGAGE!O45</f>
        <v>0</v>
      </c>
      <c r="AM54" s="2720"/>
      <c r="AN54" s="2720"/>
      <c r="AO54" s="2720"/>
      <c r="AP54" s="2720"/>
      <c r="AQ54" s="1239">
        <f t="shared" si="0"/>
        <v>1</v>
      </c>
    </row>
    <row r="55" spans="1:43" x14ac:dyDescent="0.25">
      <c r="A55" s="2"/>
      <c r="B55" s="2791"/>
      <c r="C55" s="2792"/>
      <c r="D55" s="2793"/>
      <c r="E55" s="2776" t="str">
        <f>IF(MORTGAGE!B46=0,"",MORTGAGE!B46)</f>
        <v/>
      </c>
      <c r="F55" s="2777"/>
      <c r="G55" s="2778"/>
      <c r="H55" s="2761">
        <f>MORTGAGE!H46</f>
        <v>0</v>
      </c>
      <c r="I55" s="2762"/>
      <c r="J55" s="2762"/>
      <c r="K55" s="2762"/>
      <c r="L55" s="2763"/>
      <c r="M55" s="2749">
        <f>MORTGAGE!J46</f>
        <v>0</v>
      </c>
      <c r="N55" s="2750"/>
      <c r="O55" s="2750"/>
      <c r="P55" s="2750"/>
      <c r="Q55" s="2751"/>
      <c r="R55" s="2739">
        <f>MORTGAGE!I46</f>
        <v>0</v>
      </c>
      <c r="S55" s="2740"/>
      <c r="T55" s="2740"/>
      <c r="U55" s="2740"/>
      <c r="V55" s="2741"/>
      <c r="W55" s="2733">
        <f>MORTGAGE!K46</f>
        <v>0</v>
      </c>
      <c r="X55" s="2734"/>
      <c r="Y55" s="2734"/>
      <c r="Z55" s="2734"/>
      <c r="AA55" s="2735"/>
      <c r="AB55" s="2727">
        <f>MORTGAGE!L46</f>
        <v>118970</v>
      </c>
      <c r="AC55" s="2728"/>
      <c r="AD55" s="2728"/>
      <c r="AE55" s="2728"/>
      <c r="AF55" s="2729"/>
      <c r="AG55" s="2719">
        <f>MORTGAGE!N46</f>
        <v>1.025603448275862</v>
      </c>
      <c r="AH55" s="2720"/>
      <c r="AI55" s="2720"/>
      <c r="AJ55" s="2720"/>
      <c r="AK55" s="2723"/>
      <c r="AL55" s="2719">
        <f>MORTGAGE!O46</f>
        <v>0</v>
      </c>
      <c r="AM55" s="2720"/>
      <c r="AN55" s="2720"/>
      <c r="AO55" s="2720"/>
      <c r="AP55" s="2720"/>
      <c r="AQ55" s="1239">
        <f t="shared" si="0"/>
        <v>1</v>
      </c>
    </row>
    <row r="56" spans="1:43" x14ac:dyDescent="0.25">
      <c r="A56" s="2"/>
      <c r="B56" s="2791"/>
      <c r="C56" s="2792"/>
      <c r="D56" s="2793"/>
      <c r="E56" s="2776" t="str">
        <f>IF(MORTGAGE!B47=0,"",MORTGAGE!B47)</f>
        <v/>
      </c>
      <c r="F56" s="2777"/>
      <c r="G56" s="2778"/>
      <c r="H56" s="2761">
        <f>MORTGAGE!H47</f>
        <v>0</v>
      </c>
      <c r="I56" s="2762"/>
      <c r="J56" s="2762"/>
      <c r="K56" s="2762"/>
      <c r="L56" s="2763"/>
      <c r="M56" s="2749">
        <f>MORTGAGE!J47</f>
        <v>0</v>
      </c>
      <c r="N56" s="2750"/>
      <c r="O56" s="2750"/>
      <c r="P56" s="2750"/>
      <c r="Q56" s="2751"/>
      <c r="R56" s="2739">
        <f>MORTGAGE!I47</f>
        <v>0</v>
      </c>
      <c r="S56" s="2740"/>
      <c r="T56" s="2740"/>
      <c r="U56" s="2740"/>
      <c r="V56" s="2741"/>
      <c r="W56" s="2733">
        <f>MORTGAGE!K47</f>
        <v>0</v>
      </c>
      <c r="X56" s="2734"/>
      <c r="Y56" s="2734"/>
      <c r="Z56" s="2734"/>
      <c r="AA56" s="2735"/>
      <c r="AB56" s="2727">
        <f>MORTGAGE!L47</f>
        <v>118970</v>
      </c>
      <c r="AC56" s="2728"/>
      <c r="AD56" s="2728"/>
      <c r="AE56" s="2728"/>
      <c r="AF56" s="2729"/>
      <c r="AG56" s="2719">
        <f>MORTGAGE!N47</f>
        <v>1.025603448275862</v>
      </c>
      <c r="AH56" s="2720"/>
      <c r="AI56" s="2720"/>
      <c r="AJ56" s="2720"/>
      <c r="AK56" s="2723"/>
      <c r="AL56" s="2719">
        <f>MORTGAGE!O47</f>
        <v>0</v>
      </c>
      <c r="AM56" s="2720"/>
      <c r="AN56" s="2720"/>
      <c r="AO56" s="2720"/>
      <c r="AP56" s="2720"/>
      <c r="AQ56" s="1239">
        <f t="shared" si="0"/>
        <v>1</v>
      </c>
    </row>
    <row r="57" spans="1:43" ht="14.4" thickBot="1" x14ac:dyDescent="0.3">
      <c r="A57" s="2"/>
      <c r="B57" s="2794"/>
      <c r="C57" s="2795"/>
      <c r="D57" s="2796"/>
      <c r="E57" s="2776" t="str">
        <f>IF(MORTGAGE!B48=0,"",MORTGAGE!B48)</f>
        <v/>
      </c>
      <c r="F57" s="2777"/>
      <c r="G57" s="2778"/>
      <c r="H57" s="2761">
        <f>MORTGAGE!H48</f>
        <v>0</v>
      </c>
      <c r="I57" s="2762"/>
      <c r="J57" s="2762"/>
      <c r="K57" s="2762"/>
      <c r="L57" s="2763"/>
      <c r="M57" s="2749">
        <f>MORTGAGE!J48</f>
        <v>0</v>
      </c>
      <c r="N57" s="2750"/>
      <c r="O57" s="2750"/>
      <c r="P57" s="2750"/>
      <c r="Q57" s="2751"/>
      <c r="R57" s="2739">
        <f>MORTGAGE!I48</f>
        <v>0</v>
      </c>
      <c r="S57" s="2740"/>
      <c r="T57" s="2740"/>
      <c r="U57" s="2740"/>
      <c r="V57" s="2741"/>
      <c r="W57" s="2733">
        <f>MORTGAGE!K48</f>
        <v>0</v>
      </c>
      <c r="X57" s="2734"/>
      <c r="Y57" s="2734"/>
      <c r="Z57" s="2734"/>
      <c r="AA57" s="2735"/>
      <c r="AB57" s="2727">
        <f>MORTGAGE!L48</f>
        <v>118970</v>
      </c>
      <c r="AC57" s="2728"/>
      <c r="AD57" s="2728"/>
      <c r="AE57" s="2728"/>
      <c r="AF57" s="2729"/>
      <c r="AG57" s="2719">
        <f>MORTGAGE!N48</f>
        <v>1.025603448275862</v>
      </c>
      <c r="AH57" s="2720"/>
      <c r="AI57" s="2720"/>
      <c r="AJ57" s="2720"/>
      <c r="AK57" s="2723"/>
      <c r="AL57" s="2719">
        <f>MORTGAGE!O48</f>
        <v>0</v>
      </c>
      <c r="AM57" s="2720"/>
      <c r="AN57" s="2720"/>
      <c r="AO57" s="2720"/>
      <c r="AP57" s="2720"/>
      <c r="AQ57" s="1239">
        <f t="shared" si="0"/>
        <v>1</v>
      </c>
    </row>
    <row r="58" spans="1:43" x14ac:dyDescent="0.25">
      <c r="A58" s="2"/>
      <c r="B58" s="2797" t="str">
        <f>IFERROR(ROUNDUP(E58/12,0),"")</f>
        <v/>
      </c>
      <c r="C58" s="2798"/>
      <c r="D58" s="2799"/>
      <c r="E58" s="2785" t="str">
        <f>IF(MORTGAGE!B49=0,"",MORTGAGE!B49)</f>
        <v/>
      </c>
      <c r="F58" s="2786"/>
      <c r="G58" s="2787"/>
      <c r="H58" s="2773">
        <f>MORTGAGE!H49</f>
        <v>0</v>
      </c>
      <c r="I58" s="2774"/>
      <c r="J58" s="2774"/>
      <c r="K58" s="2774"/>
      <c r="L58" s="2775"/>
      <c r="M58" s="2758">
        <f>MORTGAGE!J49</f>
        <v>0</v>
      </c>
      <c r="N58" s="2759"/>
      <c r="O58" s="2759"/>
      <c r="P58" s="2759"/>
      <c r="Q58" s="2760"/>
      <c r="R58" s="2746">
        <f>MORTGAGE!I49</f>
        <v>0</v>
      </c>
      <c r="S58" s="2747"/>
      <c r="T58" s="2747"/>
      <c r="U58" s="2747"/>
      <c r="V58" s="2748"/>
      <c r="W58" s="2736">
        <f>MORTGAGE!K49</f>
        <v>0</v>
      </c>
      <c r="X58" s="2737"/>
      <c r="Y58" s="2737"/>
      <c r="Z58" s="2737"/>
      <c r="AA58" s="2738"/>
      <c r="AB58" s="2730">
        <f>MORTGAGE!L49</f>
        <v>118970</v>
      </c>
      <c r="AC58" s="2731"/>
      <c r="AD58" s="2731"/>
      <c r="AE58" s="2731"/>
      <c r="AF58" s="2732"/>
      <c r="AG58" s="2724">
        <f>MORTGAGE!N49</f>
        <v>1.025603448275862</v>
      </c>
      <c r="AH58" s="2725"/>
      <c r="AI58" s="2725"/>
      <c r="AJ58" s="2725"/>
      <c r="AK58" s="2726"/>
      <c r="AL58" s="2721">
        <f>MORTGAGE!O49</f>
        <v>0</v>
      </c>
      <c r="AM58" s="2722"/>
      <c r="AN58" s="2722"/>
      <c r="AO58" s="2722"/>
      <c r="AP58" s="2722"/>
      <c r="AQ58" s="1239">
        <f t="shared" si="0"/>
        <v>1</v>
      </c>
    </row>
    <row r="59" spans="1:43" x14ac:dyDescent="0.25">
      <c r="A59" s="2"/>
      <c r="B59" s="2791"/>
      <c r="C59" s="2792"/>
      <c r="D59" s="2793"/>
      <c r="E59" s="2776" t="str">
        <f>IF(MORTGAGE!B50=0,"",MORTGAGE!B50)</f>
        <v/>
      </c>
      <c r="F59" s="2777"/>
      <c r="G59" s="2778"/>
      <c r="H59" s="2761">
        <f>MORTGAGE!H50</f>
        <v>0</v>
      </c>
      <c r="I59" s="2762"/>
      <c r="J59" s="2762"/>
      <c r="K59" s="2762"/>
      <c r="L59" s="2763"/>
      <c r="M59" s="2749">
        <f>MORTGAGE!J50</f>
        <v>0</v>
      </c>
      <c r="N59" s="2750"/>
      <c r="O59" s="2750"/>
      <c r="P59" s="2750"/>
      <c r="Q59" s="2751"/>
      <c r="R59" s="2739">
        <f>MORTGAGE!I50</f>
        <v>0</v>
      </c>
      <c r="S59" s="2740"/>
      <c r="T59" s="2740"/>
      <c r="U59" s="2740"/>
      <c r="V59" s="2741"/>
      <c r="W59" s="2733">
        <f>MORTGAGE!K50</f>
        <v>0</v>
      </c>
      <c r="X59" s="2734"/>
      <c r="Y59" s="2734"/>
      <c r="Z59" s="2734"/>
      <c r="AA59" s="2735"/>
      <c r="AB59" s="2727">
        <f>MORTGAGE!L50</f>
        <v>118970</v>
      </c>
      <c r="AC59" s="2728"/>
      <c r="AD59" s="2728"/>
      <c r="AE59" s="2728"/>
      <c r="AF59" s="2729"/>
      <c r="AG59" s="2719">
        <f>MORTGAGE!N50</f>
        <v>1.025603448275862</v>
      </c>
      <c r="AH59" s="2720"/>
      <c r="AI59" s="2720"/>
      <c r="AJ59" s="2720"/>
      <c r="AK59" s="2723"/>
      <c r="AL59" s="2719">
        <f>MORTGAGE!O50</f>
        <v>0</v>
      </c>
      <c r="AM59" s="2720"/>
      <c r="AN59" s="2720"/>
      <c r="AO59" s="2720"/>
      <c r="AP59" s="2720"/>
      <c r="AQ59" s="1239">
        <f t="shared" si="0"/>
        <v>1</v>
      </c>
    </row>
    <row r="60" spans="1:43" x14ac:dyDescent="0.25">
      <c r="A60" s="2"/>
      <c r="B60" s="2791"/>
      <c r="C60" s="2792"/>
      <c r="D60" s="2793"/>
      <c r="E60" s="2776" t="str">
        <f>IF(MORTGAGE!B51=0,"",MORTGAGE!B51)</f>
        <v/>
      </c>
      <c r="F60" s="2777"/>
      <c r="G60" s="2778"/>
      <c r="H60" s="2761">
        <f>MORTGAGE!H51</f>
        <v>0</v>
      </c>
      <c r="I60" s="2762"/>
      <c r="J60" s="2762"/>
      <c r="K60" s="2762"/>
      <c r="L60" s="2763"/>
      <c r="M60" s="2749">
        <f>MORTGAGE!J51</f>
        <v>0</v>
      </c>
      <c r="N60" s="2750"/>
      <c r="O60" s="2750"/>
      <c r="P60" s="2750"/>
      <c r="Q60" s="2751"/>
      <c r="R60" s="2739">
        <f>MORTGAGE!I51</f>
        <v>0</v>
      </c>
      <c r="S60" s="2740"/>
      <c r="T60" s="2740"/>
      <c r="U60" s="2740"/>
      <c r="V60" s="2741"/>
      <c r="W60" s="2733">
        <f>MORTGAGE!K51</f>
        <v>0</v>
      </c>
      <c r="X60" s="2734"/>
      <c r="Y60" s="2734"/>
      <c r="Z60" s="2734"/>
      <c r="AA60" s="2735"/>
      <c r="AB60" s="2727">
        <f>MORTGAGE!L51</f>
        <v>118970</v>
      </c>
      <c r="AC60" s="2728"/>
      <c r="AD60" s="2728"/>
      <c r="AE60" s="2728"/>
      <c r="AF60" s="2729"/>
      <c r="AG60" s="2719">
        <f>MORTGAGE!N51</f>
        <v>1.025603448275862</v>
      </c>
      <c r="AH60" s="2720"/>
      <c r="AI60" s="2720"/>
      <c r="AJ60" s="2720"/>
      <c r="AK60" s="2723"/>
      <c r="AL60" s="2719">
        <f>MORTGAGE!O51</f>
        <v>0</v>
      </c>
      <c r="AM60" s="2720"/>
      <c r="AN60" s="2720"/>
      <c r="AO60" s="2720"/>
      <c r="AP60" s="2720"/>
      <c r="AQ60" s="1239">
        <f t="shared" si="0"/>
        <v>1</v>
      </c>
    </row>
    <row r="61" spans="1:43" x14ac:dyDescent="0.25">
      <c r="A61" s="2"/>
      <c r="B61" s="2791"/>
      <c r="C61" s="2792"/>
      <c r="D61" s="2793"/>
      <c r="E61" s="2776" t="str">
        <f>IF(MORTGAGE!B52=0,"",MORTGAGE!B52)</f>
        <v/>
      </c>
      <c r="F61" s="2777"/>
      <c r="G61" s="2778"/>
      <c r="H61" s="2761">
        <f>MORTGAGE!H52</f>
        <v>0</v>
      </c>
      <c r="I61" s="2762"/>
      <c r="J61" s="2762"/>
      <c r="K61" s="2762"/>
      <c r="L61" s="2763"/>
      <c r="M61" s="2749">
        <f>MORTGAGE!J52</f>
        <v>0</v>
      </c>
      <c r="N61" s="2750"/>
      <c r="O61" s="2750"/>
      <c r="P61" s="2750"/>
      <c r="Q61" s="2751"/>
      <c r="R61" s="2739">
        <f>MORTGAGE!I52</f>
        <v>0</v>
      </c>
      <c r="S61" s="2740"/>
      <c r="T61" s="2740"/>
      <c r="U61" s="2740"/>
      <c r="V61" s="2741"/>
      <c r="W61" s="2733">
        <f>MORTGAGE!K52</f>
        <v>0</v>
      </c>
      <c r="X61" s="2734"/>
      <c r="Y61" s="2734"/>
      <c r="Z61" s="2734"/>
      <c r="AA61" s="2735"/>
      <c r="AB61" s="2727">
        <f>MORTGAGE!L52</f>
        <v>118970</v>
      </c>
      <c r="AC61" s="2728"/>
      <c r="AD61" s="2728"/>
      <c r="AE61" s="2728"/>
      <c r="AF61" s="2729"/>
      <c r="AG61" s="2719">
        <f>MORTGAGE!N52</f>
        <v>1.025603448275862</v>
      </c>
      <c r="AH61" s="2720"/>
      <c r="AI61" s="2720"/>
      <c r="AJ61" s="2720"/>
      <c r="AK61" s="2723"/>
      <c r="AL61" s="2719">
        <f>MORTGAGE!O52</f>
        <v>0</v>
      </c>
      <c r="AM61" s="2720"/>
      <c r="AN61" s="2720"/>
      <c r="AO61" s="2720"/>
      <c r="AP61" s="2720"/>
      <c r="AQ61" s="1239">
        <f t="shared" si="0"/>
        <v>1</v>
      </c>
    </row>
    <row r="62" spans="1:43" x14ac:dyDescent="0.25">
      <c r="A62" s="2"/>
      <c r="B62" s="2791"/>
      <c r="C62" s="2792"/>
      <c r="D62" s="2793"/>
      <c r="E62" s="2776" t="str">
        <f>IF(MORTGAGE!B53=0,"",MORTGAGE!B53)</f>
        <v/>
      </c>
      <c r="F62" s="2777"/>
      <c r="G62" s="2778"/>
      <c r="H62" s="2761">
        <f>MORTGAGE!H53</f>
        <v>0</v>
      </c>
      <c r="I62" s="2762"/>
      <c r="J62" s="2762"/>
      <c r="K62" s="2762"/>
      <c r="L62" s="2763"/>
      <c r="M62" s="2749">
        <f>MORTGAGE!J53</f>
        <v>0</v>
      </c>
      <c r="N62" s="2750"/>
      <c r="O62" s="2750"/>
      <c r="P62" s="2750"/>
      <c r="Q62" s="2751"/>
      <c r="R62" s="2739">
        <f>MORTGAGE!I53</f>
        <v>0</v>
      </c>
      <c r="S62" s="2740"/>
      <c r="T62" s="2740"/>
      <c r="U62" s="2740"/>
      <c r="V62" s="2741"/>
      <c r="W62" s="2733">
        <f>MORTGAGE!K53</f>
        <v>0</v>
      </c>
      <c r="X62" s="2734"/>
      <c r="Y62" s="2734"/>
      <c r="Z62" s="2734"/>
      <c r="AA62" s="2735"/>
      <c r="AB62" s="2727">
        <f>MORTGAGE!L53</f>
        <v>118970</v>
      </c>
      <c r="AC62" s="2728"/>
      <c r="AD62" s="2728"/>
      <c r="AE62" s="2728"/>
      <c r="AF62" s="2729"/>
      <c r="AG62" s="2719">
        <f>MORTGAGE!N53</f>
        <v>1.025603448275862</v>
      </c>
      <c r="AH62" s="2720"/>
      <c r="AI62" s="2720"/>
      <c r="AJ62" s="2720"/>
      <c r="AK62" s="2723"/>
      <c r="AL62" s="2719">
        <f>MORTGAGE!O53</f>
        <v>0</v>
      </c>
      <c r="AM62" s="2720"/>
      <c r="AN62" s="2720"/>
      <c r="AO62" s="2720"/>
      <c r="AP62" s="2720"/>
      <c r="AQ62" s="1239">
        <f t="shared" si="0"/>
        <v>1</v>
      </c>
    </row>
    <row r="63" spans="1:43" x14ac:dyDescent="0.25">
      <c r="A63" s="2"/>
      <c r="B63" s="2791"/>
      <c r="C63" s="2792"/>
      <c r="D63" s="2793"/>
      <c r="E63" s="2776" t="str">
        <f>IF(MORTGAGE!B54=0,"",MORTGAGE!B54)</f>
        <v/>
      </c>
      <c r="F63" s="2777"/>
      <c r="G63" s="2778"/>
      <c r="H63" s="2761">
        <f>MORTGAGE!H54</f>
        <v>0</v>
      </c>
      <c r="I63" s="2762"/>
      <c r="J63" s="2762"/>
      <c r="K63" s="2762"/>
      <c r="L63" s="2763"/>
      <c r="M63" s="2749">
        <f>MORTGAGE!J54</f>
        <v>0</v>
      </c>
      <c r="N63" s="2750"/>
      <c r="O63" s="2750"/>
      <c r="P63" s="2750"/>
      <c r="Q63" s="2751"/>
      <c r="R63" s="2739">
        <f>MORTGAGE!I54</f>
        <v>0</v>
      </c>
      <c r="S63" s="2740"/>
      <c r="T63" s="2740"/>
      <c r="U63" s="2740"/>
      <c r="V63" s="2741"/>
      <c r="W63" s="2733">
        <f>MORTGAGE!K54</f>
        <v>0</v>
      </c>
      <c r="X63" s="2734"/>
      <c r="Y63" s="2734"/>
      <c r="Z63" s="2734"/>
      <c r="AA63" s="2735"/>
      <c r="AB63" s="2727">
        <f>MORTGAGE!L54</f>
        <v>118970</v>
      </c>
      <c r="AC63" s="2728"/>
      <c r="AD63" s="2728"/>
      <c r="AE63" s="2728"/>
      <c r="AF63" s="2729"/>
      <c r="AG63" s="2719">
        <f>MORTGAGE!N54</f>
        <v>1.025603448275862</v>
      </c>
      <c r="AH63" s="2720"/>
      <c r="AI63" s="2720"/>
      <c r="AJ63" s="2720"/>
      <c r="AK63" s="2723"/>
      <c r="AL63" s="2719">
        <f>MORTGAGE!O54</f>
        <v>0</v>
      </c>
      <c r="AM63" s="2720"/>
      <c r="AN63" s="2720"/>
      <c r="AO63" s="2720"/>
      <c r="AP63" s="2720"/>
      <c r="AQ63" s="1239">
        <f t="shared" si="0"/>
        <v>1</v>
      </c>
    </row>
    <row r="64" spans="1:43" x14ac:dyDescent="0.25">
      <c r="A64" s="2"/>
      <c r="B64" s="2791"/>
      <c r="C64" s="2792"/>
      <c r="D64" s="2793"/>
      <c r="E64" s="2776" t="str">
        <f>IF(MORTGAGE!B55=0,"",MORTGAGE!B55)</f>
        <v/>
      </c>
      <c r="F64" s="2777"/>
      <c r="G64" s="2778"/>
      <c r="H64" s="2761">
        <f>MORTGAGE!H55</f>
        <v>0</v>
      </c>
      <c r="I64" s="2762"/>
      <c r="J64" s="2762"/>
      <c r="K64" s="2762"/>
      <c r="L64" s="2763"/>
      <c r="M64" s="2749">
        <f>MORTGAGE!J55</f>
        <v>0</v>
      </c>
      <c r="N64" s="2750"/>
      <c r="O64" s="2750"/>
      <c r="P64" s="2750"/>
      <c r="Q64" s="2751"/>
      <c r="R64" s="2739">
        <f>MORTGAGE!I55</f>
        <v>0</v>
      </c>
      <c r="S64" s="2740"/>
      <c r="T64" s="2740"/>
      <c r="U64" s="2740"/>
      <c r="V64" s="2741"/>
      <c r="W64" s="2733">
        <f>MORTGAGE!K55</f>
        <v>0</v>
      </c>
      <c r="X64" s="2734"/>
      <c r="Y64" s="2734"/>
      <c r="Z64" s="2734"/>
      <c r="AA64" s="2735"/>
      <c r="AB64" s="2727">
        <f>MORTGAGE!L55</f>
        <v>118970</v>
      </c>
      <c r="AC64" s="2728"/>
      <c r="AD64" s="2728"/>
      <c r="AE64" s="2728"/>
      <c r="AF64" s="2729"/>
      <c r="AG64" s="2719">
        <f>MORTGAGE!N55</f>
        <v>1.025603448275862</v>
      </c>
      <c r="AH64" s="2720"/>
      <c r="AI64" s="2720"/>
      <c r="AJ64" s="2720"/>
      <c r="AK64" s="2723"/>
      <c r="AL64" s="2719">
        <f>MORTGAGE!O55</f>
        <v>0</v>
      </c>
      <c r="AM64" s="2720"/>
      <c r="AN64" s="2720"/>
      <c r="AO64" s="2720"/>
      <c r="AP64" s="2720"/>
      <c r="AQ64" s="1239">
        <f t="shared" si="0"/>
        <v>1</v>
      </c>
    </row>
    <row r="65" spans="1:43" x14ac:dyDescent="0.25">
      <c r="A65" s="2"/>
      <c r="B65" s="2791"/>
      <c r="C65" s="2792"/>
      <c r="D65" s="2793"/>
      <c r="E65" s="2776" t="str">
        <f>IF(MORTGAGE!B56=0,"",MORTGAGE!B56)</f>
        <v/>
      </c>
      <c r="F65" s="2777"/>
      <c r="G65" s="2778"/>
      <c r="H65" s="2761">
        <f>MORTGAGE!H56</f>
        <v>0</v>
      </c>
      <c r="I65" s="2762"/>
      <c r="J65" s="2762"/>
      <c r="K65" s="2762"/>
      <c r="L65" s="2763"/>
      <c r="M65" s="2749">
        <f>MORTGAGE!J56</f>
        <v>0</v>
      </c>
      <c r="N65" s="2750"/>
      <c r="O65" s="2750"/>
      <c r="P65" s="2750"/>
      <c r="Q65" s="2751"/>
      <c r="R65" s="2739">
        <f>MORTGAGE!I56</f>
        <v>0</v>
      </c>
      <c r="S65" s="2740"/>
      <c r="T65" s="2740"/>
      <c r="U65" s="2740"/>
      <c r="V65" s="2741"/>
      <c r="W65" s="2733">
        <f>MORTGAGE!K56</f>
        <v>0</v>
      </c>
      <c r="X65" s="2734"/>
      <c r="Y65" s="2734"/>
      <c r="Z65" s="2734"/>
      <c r="AA65" s="2735"/>
      <c r="AB65" s="2727">
        <f>MORTGAGE!L56</f>
        <v>118970</v>
      </c>
      <c r="AC65" s="2728"/>
      <c r="AD65" s="2728"/>
      <c r="AE65" s="2728"/>
      <c r="AF65" s="2729"/>
      <c r="AG65" s="2719">
        <f>MORTGAGE!N56</f>
        <v>1.025603448275862</v>
      </c>
      <c r="AH65" s="2720"/>
      <c r="AI65" s="2720"/>
      <c r="AJ65" s="2720"/>
      <c r="AK65" s="2723"/>
      <c r="AL65" s="2719">
        <f>MORTGAGE!O56</f>
        <v>0</v>
      </c>
      <c r="AM65" s="2720"/>
      <c r="AN65" s="2720"/>
      <c r="AO65" s="2720"/>
      <c r="AP65" s="2720"/>
      <c r="AQ65" s="1239">
        <f t="shared" si="0"/>
        <v>1</v>
      </c>
    </row>
    <row r="66" spans="1:43" x14ac:dyDescent="0.25">
      <c r="A66" s="2"/>
      <c r="B66" s="2791"/>
      <c r="C66" s="2792"/>
      <c r="D66" s="2793"/>
      <c r="E66" s="2776" t="str">
        <f>IF(MORTGAGE!B57=0,"",MORTGAGE!B57)</f>
        <v/>
      </c>
      <c r="F66" s="2777"/>
      <c r="G66" s="2778"/>
      <c r="H66" s="2761">
        <f>MORTGAGE!H57</f>
        <v>0</v>
      </c>
      <c r="I66" s="2762"/>
      <c r="J66" s="2762"/>
      <c r="K66" s="2762"/>
      <c r="L66" s="2763"/>
      <c r="M66" s="2749">
        <f>MORTGAGE!J57</f>
        <v>0</v>
      </c>
      <c r="N66" s="2750"/>
      <c r="O66" s="2750"/>
      <c r="P66" s="2750"/>
      <c r="Q66" s="2751"/>
      <c r="R66" s="2739">
        <f>MORTGAGE!I57</f>
        <v>0</v>
      </c>
      <c r="S66" s="2740"/>
      <c r="T66" s="2740"/>
      <c r="U66" s="2740"/>
      <c r="V66" s="2741"/>
      <c r="W66" s="2733">
        <f>MORTGAGE!K57</f>
        <v>0</v>
      </c>
      <c r="X66" s="2734"/>
      <c r="Y66" s="2734"/>
      <c r="Z66" s="2734"/>
      <c r="AA66" s="2735"/>
      <c r="AB66" s="2727">
        <f>MORTGAGE!L57</f>
        <v>118970</v>
      </c>
      <c r="AC66" s="2728"/>
      <c r="AD66" s="2728"/>
      <c r="AE66" s="2728"/>
      <c r="AF66" s="2729"/>
      <c r="AG66" s="2719">
        <f>MORTGAGE!N57</f>
        <v>1.025603448275862</v>
      </c>
      <c r="AH66" s="2720"/>
      <c r="AI66" s="2720"/>
      <c r="AJ66" s="2720"/>
      <c r="AK66" s="2723"/>
      <c r="AL66" s="2719">
        <f>MORTGAGE!O57</f>
        <v>0</v>
      </c>
      <c r="AM66" s="2720"/>
      <c r="AN66" s="2720"/>
      <c r="AO66" s="2720"/>
      <c r="AP66" s="2720"/>
      <c r="AQ66" s="1239">
        <f t="shared" si="0"/>
        <v>1</v>
      </c>
    </row>
    <row r="67" spans="1:43" x14ac:dyDescent="0.25">
      <c r="A67" s="2"/>
      <c r="B67" s="2791"/>
      <c r="C67" s="2792"/>
      <c r="D67" s="2793"/>
      <c r="E67" s="2776" t="str">
        <f>IF(MORTGAGE!B58=0,"",MORTGAGE!B58)</f>
        <v/>
      </c>
      <c r="F67" s="2777"/>
      <c r="G67" s="2778"/>
      <c r="H67" s="2761">
        <f>MORTGAGE!H58</f>
        <v>0</v>
      </c>
      <c r="I67" s="2762"/>
      <c r="J67" s="2762"/>
      <c r="K67" s="2762"/>
      <c r="L67" s="2763"/>
      <c r="M67" s="2749">
        <f>MORTGAGE!J58</f>
        <v>0</v>
      </c>
      <c r="N67" s="2750"/>
      <c r="O67" s="2750"/>
      <c r="P67" s="2750"/>
      <c r="Q67" s="2751"/>
      <c r="R67" s="2739">
        <f>MORTGAGE!I58</f>
        <v>0</v>
      </c>
      <c r="S67" s="2740"/>
      <c r="T67" s="2740"/>
      <c r="U67" s="2740"/>
      <c r="V67" s="2741"/>
      <c r="W67" s="2733">
        <f>MORTGAGE!K58</f>
        <v>0</v>
      </c>
      <c r="X67" s="2734"/>
      <c r="Y67" s="2734"/>
      <c r="Z67" s="2734"/>
      <c r="AA67" s="2735"/>
      <c r="AB67" s="2727">
        <f>MORTGAGE!L58</f>
        <v>118970</v>
      </c>
      <c r="AC67" s="2728"/>
      <c r="AD67" s="2728"/>
      <c r="AE67" s="2728"/>
      <c r="AF67" s="2729"/>
      <c r="AG67" s="2719">
        <f>MORTGAGE!N58</f>
        <v>1.025603448275862</v>
      </c>
      <c r="AH67" s="2720"/>
      <c r="AI67" s="2720"/>
      <c r="AJ67" s="2720"/>
      <c r="AK67" s="2723"/>
      <c r="AL67" s="2719">
        <f>MORTGAGE!O58</f>
        <v>0</v>
      </c>
      <c r="AM67" s="2720"/>
      <c r="AN67" s="2720"/>
      <c r="AO67" s="2720"/>
      <c r="AP67" s="2720"/>
      <c r="AQ67" s="1239">
        <f t="shared" si="0"/>
        <v>1</v>
      </c>
    </row>
    <row r="68" spans="1:43" x14ac:dyDescent="0.25">
      <c r="A68" s="2"/>
      <c r="B68" s="2791"/>
      <c r="C68" s="2792"/>
      <c r="D68" s="2793"/>
      <c r="E68" s="2776" t="str">
        <f>IF(MORTGAGE!B59=0,"",MORTGAGE!B59)</f>
        <v/>
      </c>
      <c r="F68" s="2777"/>
      <c r="G68" s="2778"/>
      <c r="H68" s="2761">
        <f>MORTGAGE!H59</f>
        <v>0</v>
      </c>
      <c r="I68" s="2762"/>
      <c r="J68" s="2762"/>
      <c r="K68" s="2762"/>
      <c r="L68" s="2763"/>
      <c r="M68" s="2749">
        <f>MORTGAGE!J59</f>
        <v>0</v>
      </c>
      <c r="N68" s="2750"/>
      <c r="O68" s="2750"/>
      <c r="P68" s="2750"/>
      <c r="Q68" s="2751"/>
      <c r="R68" s="2739">
        <f>MORTGAGE!I59</f>
        <v>0</v>
      </c>
      <c r="S68" s="2740"/>
      <c r="T68" s="2740"/>
      <c r="U68" s="2740"/>
      <c r="V68" s="2741"/>
      <c r="W68" s="2733">
        <f>MORTGAGE!K59</f>
        <v>0</v>
      </c>
      <c r="X68" s="2734"/>
      <c r="Y68" s="2734"/>
      <c r="Z68" s="2734"/>
      <c r="AA68" s="2735"/>
      <c r="AB68" s="2727">
        <f>MORTGAGE!L59</f>
        <v>118970</v>
      </c>
      <c r="AC68" s="2728"/>
      <c r="AD68" s="2728"/>
      <c r="AE68" s="2728"/>
      <c r="AF68" s="2729"/>
      <c r="AG68" s="2719">
        <f>MORTGAGE!N59</f>
        <v>1.025603448275862</v>
      </c>
      <c r="AH68" s="2720"/>
      <c r="AI68" s="2720"/>
      <c r="AJ68" s="2720"/>
      <c r="AK68" s="2723"/>
      <c r="AL68" s="2719">
        <f>MORTGAGE!O59</f>
        <v>0</v>
      </c>
      <c r="AM68" s="2720"/>
      <c r="AN68" s="2720"/>
      <c r="AO68" s="2720"/>
      <c r="AP68" s="2720"/>
      <c r="AQ68" s="1239">
        <f t="shared" si="0"/>
        <v>1</v>
      </c>
    </row>
    <row r="69" spans="1:43" ht="14.4" thickBot="1" x14ac:dyDescent="0.3">
      <c r="A69" s="2"/>
      <c r="B69" s="2794"/>
      <c r="C69" s="2795"/>
      <c r="D69" s="2796"/>
      <c r="E69" s="2776" t="str">
        <f>IF(MORTGAGE!B60=0,"",MORTGAGE!B60)</f>
        <v/>
      </c>
      <c r="F69" s="2777"/>
      <c r="G69" s="2778"/>
      <c r="H69" s="2761">
        <f>MORTGAGE!H60</f>
        <v>0</v>
      </c>
      <c r="I69" s="2762"/>
      <c r="J69" s="2762"/>
      <c r="K69" s="2762"/>
      <c r="L69" s="2763"/>
      <c r="M69" s="2749">
        <f>MORTGAGE!J60</f>
        <v>0</v>
      </c>
      <c r="N69" s="2750"/>
      <c r="O69" s="2750"/>
      <c r="P69" s="2750"/>
      <c r="Q69" s="2751"/>
      <c r="R69" s="2739">
        <f>MORTGAGE!I60</f>
        <v>0</v>
      </c>
      <c r="S69" s="2740"/>
      <c r="T69" s="2740"/>
      <c r="U69" s="2740"/>
      <c r="V69" s="2741"/>
      <c r="W69" s="2733">
        <f>MORTGAGE!K60</f>
        <v>0</v>
      </c>
      <c r="X69" s="2734"/>
      <c r="Y69" s="2734"/>
      <c r="Z69" s="2734"/>
      <c r="AA69" s="2735"/>
      <c r="AB69" s="2727">
        <f>MORTGAGE!L60</f>
        <v>118970</v>
      </c>
      <c r="AC69" s="2728"/>
      <c r="AD69" s="2728"/>
      <c r="AE69" s="2728"/>
      <c r="AF69" s="2729"/>
      <c r="AG69" s="2719">
        <f>MORTGAGE!N60</f>
        <v>1.025603448275862</v>
      </c>
      <c r="AH69" s="2720"/>
      <c r="AI69" s="2720"/>
      <c r="AJ69" s="2720"/>
      <c r="AK69" s="2723"/>
      <c r="AL69" s="2719">
        <f>MORTGAGE!O60</f>
        <v>0</v>
      </c>
      <c r="AM69" s="2720"/>
      <c r="AN69" s="2720"/>
      <c r="AO69" s="2720"/>
      <c r="AP69" s="2720"/>
      <c r="AQ69" s="1239">
        <f t="shared" si="0"/>
        <v>1</v>
      </c>
    </row>
    <row r="70" spans="1:43" x14ac:dyDescent="0.25">
      <c r="A70" s="2"/>
      <c r="B70" s="2797" t="str">
        <f>IFERROR(ROUNDUP(E70/12,0),"")</f>
        <v/>
      </c>
      <c r="C70" s="2798"/>
      <c r="D70" s="2799"/>
      <c r="E70" s="2785" t="str">
        <f>IF(MORTGAGE!B61=0,"",MORTGAGE!B61)</f>
        <v/>
      </c>
      <c r="F70" s="2786"/>
      <c r="G70" s="2787"/>
      <c r="H70" s="2773">
        <f>MORTGAGE!H61</f>
        <v>0</v>
      </c>
      <c r="I70" s="2774"/>
      <c r="J70" s="2774"/>
      <c r="K70" s="2774"/>
      <c r="L70" s="2775"/>
      <c r="M70" s="2758">
        <f>MORTGAGE!J61</f>
        <v>0</v>
      </c>
      <c r="N70" s="2759"/>
      <c r="O70" s="2759"/>
      <c r="P70" s="2759"/>
      <c r="Q70" s="2760"/>
      <c r="R70" s="2746">
        <f>MORTGAGE!I61</f>
        <v>0</v>
      </c>
      <c r="S70" s="2747"/>
      <c r="T70" s="2747"/>
      <c r="U70" s="2747"/>
      <c r="V70" s="2748"/>
      <c r="W70" s="2736">
        <f>MORTGAGE!K61</f>
        <v>0</v>
      </c>
      <c r="X70" s="2737"/>
      <c r="Y70" s="2737"/>
      <c r="Z70" s="2737"/>
      <c r="AA70" s="2738"/>
      <c r="AB70" s="2730">
        <f>MORTGAGE!L61</f>
        <v>118970</v>
      </c>
      <c r="AC70" s="2731"/>
      <c r="AD70" s="2731"/>
      <c r="AE70" s="2731"/>
      <c r="AF70" s="2732"/>
      <c r="AG70" s="2724">
        <f>MORTGAGE!N61</f>
        <v>1.025603448275862</v>
      </c>
      <c r="AH70" s="2725"/>
      <c r="AI70" s="2725"/>
      <c r="AJ70" s="2725"/>
      <c r="AK70" s="2726"/>
      <c r="AL70" s="2721">
        <f>MORTGAGE!O61</f>
        <v>0</v>
      </c>
      <c r="AM70" s="2722"/>
      <c r="AN70" s="2722"/>
      <c r="AO70" s="2722"/>
      <c r="AP70" s="2722"/>
      <c r="AQ70" s="1239">
        <f t="shared" si="0"/>
        <v>1</v>
      </c>
    </row>
    <row r="71" spans="1:43" x14ac:dyDescent="0.25">
      <c r="A71" s="2"/>
      <c r="B71" s="2791"/>
      <c r="C71" s="2792"/>
      <c r="D71" s="2793"/>
      <c r="E71" s="2776" t="str">
        <f>IF(MORTGAGE!B62=0,"",MORTGAGE!B62)</f>
        <v/>
      </c>
      <c r="F71" s="2777"/>
      <c r="G71" s="2778"/>
      <c r="H71" s="2761">
        <f>MORTGAGE!H62</f>
        <v>0</v>
      </c>
      <c r="I71" s="2762"/>
      <c r="J71" s="2762"/>
      <c r="K71" s="2762"/>
      <c r="L71" s="2763"/>
      <c r="M71" s="2749">
        <f>MORTGAGE!J62</f>
        <v>0</v>
      </c>
      <c r="N71" s="2750"/>
      <c r="O71" s="2750"/>
      <c r="P71" s="2750"/>
      <c r="Q71" s="2751"/>
      <c r="R71" s="2739">
        <f>MORTGAGE!I62</f>
        <v>0</v>
      </c>
      <c r="S71" s="2740"/>
      <c r="T71" s="2740"/>
      <c r="U71" s="2740"/>
      <c r="V71" s="2741"/>
      <c r="W71" s="2733">
        <f>MORTGAGE!K62</f>
        <v>0</v>
      </c>
      <c r="X71" s="2734"/>
      <c r="Y71" s="2734"/>
      <c r="Z71" s="2734"/>
      <c r="AA71" s="2735"/>
      <c r="AB71" s="2727">
        <f>MORTGAGE!L62</f>
        <v>118970</v>
      </c>
      <c r="AC71" s="2728"/>
      <c r="AD71" s="2728"/>
      <c r="AE71" s="2728"/>
      <c r="AF71" s="2729"/>
      <c r="AG71" s="2719">
        <f>MORTGAGE!N62</f>
        <v>1.025603448275862</v>
      </c>
      <c r="AH71" s="2720"/>
      <c r="AI71" s="2720"/>
      <c r="AJ71" s="2720"/>
      <c r="AK71" s="2723"/>
      <c r="AL71" s="2719">
        <f>MORTGAGE!O62</f>
        <v>0</v>
      </c>
      <c r="AM71" s="2720"/>
      <c r="AN71" s="2720"/>
      <c r="AO71" s="2720"/>
      <c r="AP71" s="2720"/>
      <c r="AQ71" s="1239">
        <f t="shared" si="0"/>
        <v>1</v>
      </c>
    </row>
    <row r="72" spans="1:43" x14ac:dyDescent="0.25">
      <c r="A72" s="2"/>
      <c r="B72" s="2791"/>
      <c r="C72" s="2792"/>
      <c r="D72" s="2793"/>
      <c r="E72" s="2776" t="str">
        <f>IF(MORTGAGE!B63=0,"",MORTGAGE!B63)</f>
        <v/>
      </c>
      <c r="F72" s="2777"/>
      <c r="G72" s="2778"/>
      <c r="H72" s="2761">
        <f>MORTGAGE!H63</f>
        <v>0</v>
      </c>
      <c r="I72" s="2762"/>
      <c r="J72" s="2762"/>
      <c r="K72" s="2762"/>
      <c r="L72" s="2763"/>
      <c r="M72" s="2749">
        <f>MORTGAGE!J63</f>
        <v>0</v>
      </c>
      <c r="N72" s="2750"/>
      <c r="O72" s="2750"/>
      <c r="P72" s="2750"/>
      <c r="Q72" s="2751"/>
      <c r="R72" s="2739">
        <f>MORTGAGE!I63</f>
        <v>0</v>
      </c>
      <c r="S72" s="2740"/>
      <c r="T72" s="2740"/>
      <c r="U72" s="2740"/>
      <c r="V72" s="2741"/>
      <c r="W72" s="2733">
        <f>MORTGAGE!K63</f>
        <v>0</v>
      </c>
      <c r="X72" s="2734"/>
      <c r="Y72" s="2734"/>
      <c r="Z72" s="2734"/>
      <c r="AA72" s="2735"/>
      <c r="AB72" s="2727">
        <f>MORTGAGE!L63</f>
        <v>118970</v>
      </c>
      <c r="AC72" s="2728"/>
      <c r="AD72" s="2728"/>
      <c r="AE72" s="2728"/>
      <c r="AF72" s="2729"/>
      <c r="AG72" s="2719">
        <f>MORTGAGE!N63</f>
        <v>1.025603448275862</v>
      </c>
      <c r="AH72" s="2720"/>
      <c r="AI72" s="2720"/>
      <c r="AJ72" s="2720"/>
      <c r="AK72" s="2723"/>
      <c r="AL72" s="2719">
        <f>MORTGAGE!O63</f>
        <v>0</v>
      </c>
      <c r="AM72" s="2720"/>
      <c r="AN72" s="2720"/>
      <c r="AO72" s="2720"/>
      <c r="AP72" s="2720"/>
      <c r="AQ72" s="1239">
        <f t="shared" si="0"/>
        <v>1</v>
      </c>
    </row>
    <row r="73" spans="1:43" x14ac:dyDescent="0.25">
      <c r="A73" s="2"/>
      <c r="B73" s="2791"/>
      <c r="C73" s="2792"/>
      <c r="D73" s="2793"/>
      <c r="E73" s="2776" t="str">
        <f>IF(MORTGAGE!B64=0,"",MORTGAGE!B64)</f>
        <v/>
      </c>
      <c r="F73" s="2777"/>
      <c r="G73" s="2778"/>
      <c r="H73" s="2761">
        <f>MORTGAGE!H64</f>
        <v>0</v>
      </c>
      <c r="I73" s="2762"/>
      <c r="J73" s="2762"/>
      <c r="K73" s="2762"/>
      <c r="L73" s="2763"/>
      <c r="M73" s="2749">
        <f>MORTGAGE!J64</f>
        <v>0</v>
      </c>
      <c r="N73" s="2750"/>
      <c r="O73" s="2750"/>
      <c r="P73" s="2750"/>
      <c r="Q73" s="2751"/>
      <c r="R73" s="2739">
        <f>MORTGAGE!I64</f>
        <v>0</v>
      </c>
      <c r="S73" s="2740"/>
      <c r="T73" s="2740"/>
      <c r="U73" s="2740"/>
      <c r="V73" s="2741"/>
      <c r="W73" s="2733">
        <f>MORTGAGE!K64</f>
        <v>0</v>
      </c>
      <c r="X73" s="2734"/>
      <c r="Y73" s="2734"/>
      <c r="Z73" s="2734"/>
      <c r="AA73" s="2735"/>
      <c r="AB73" s="2727">
        <f>MORTGAGE!L64</f>
        <v>118970</v>
      </c>
      <c r="AC73" s="2728"/>
      <c r="AD73" s="2728"/>
      <c r="AE73" s="2728"/>
      <c r="AF73" s="2729"/>
      <c r="AG73" s="2719">
        <f>MORTGAGE!N64</f>
        <v>1.025603448275862</v>
      </c>
      <c r="AH73" s="2720"/>
      <c r="AI73" s="2720"/>
      <c r="AJ73" s="2720"/>
      <c r="AK73" s="2723"/>
      <c r="AL73" s="2719">
        <f>MORTGAGE!O64</f>
        <v>0</v>
      </c>
      <c r="AM73" s="2720"/>
      <c r="AN73" s="2720"/>
      <c r="AO73" s="2720"/>
      <c r="AP73" s="2720"/>
      <c r="AQ73" s="1239">
        <f t="shared" si="0"/>
        <v>1</v>
      </c>
    </row>
    <row r="74" spans="1:43" x14ac:dyDescent="0.25">
      <c r="A74" s="2"/>
      <c r="B74" s="2791"/>
      <c r="C74" s="2792"/>
      <c r="D74" s="2793"/>
      <c r="E74" s="2776" t="str">
        <f>IF(MORTGAGE!B65=0,"",MORTGAGE!B65)</f>
        <v/>
      </c>
      <c r="F74" s="2777"/>
      <c r="G74" s="2778"/>
      <c r="H74" s="2761">
        <f>MORTGAGE!H65</f>
        <v>0</v>
      </c>
      <c r="I74" s="2762"/>
      <c r="J74" s="2762"/>
      <c r="K74" s="2762"/>
      <c r="L74" s="2763"/>
      <c r="M74" s="2749">
        <f>MORTGAGE!J65</f>
        <v>0</v>
      </c>
      <c r="N74" s="2750"/>
      <c r="O74" s="2750"/>
      <c r="P74" s="2750"/>
      <c r="Q74" s="2751"/>
      <c r="R74" s="2739">
        <f>MORTGAGE!I65</f>
        <v>0</v>
      </c>
      <c r="S74" s="2740"/>
      <c r="T74" s="2740"/>
      <c r="U74" s="2740"/>
      <c r="V74" s="2741"/>
      <c r="W74" s="2733">
        <f>MORTGAGE!K65</f>
        <v>0</v>
      </c>
      <c r="X74" s="2734"/>
      <c r="Y74" s="2734"/>
      <c r="Z74" s="2734"/>
      <c r="AA74" s="2735"/>
      <c r="AB74" s="2727">
        <f>MORTGAGE!L65</f>
        <v>118970</v>
      </c>
      <c r="AC74" s="2728"/>
      <c r="AD74" s="2728"/>
      <c r="AE74" s="2728"/>
      <c r="AF74" s="2729"/>
      <c r="AG74" s="2719">
        <f>MORTGAGE!N65</f>
        <v>1.025603448275862</v>
      </c>
      <c r="AH74" s="2720"/>
      <c r="AI74" s="2720"/>
      <c r="AJ74" s="2720"/>
      <c r="AK74" s="2723"/>
      <c r="AL74" s="2719">
        <f>MORTGAGE!O65</f>
        <v>0</v>
      </c>
      <c r="AM74" s="2720"/>
      <c r="AN74" s="2720"/>
      <c r="AO74" s="2720"/>
      <c r="AP74" s="2720"/>
      <c r="AQ74" s="1239">
        <f t="shared" si="0"/>
        <v>1</v>
      </c>
    </row>
    <row r="75" spans="1:43" x14ac:dyDescent="0.25">
      <c r="A75" s="2"/>
      <c r="B75" s="2791"/>
      <c r="C75" s="2792"/>
      <c r="D75" s="2793"/>
      <c r="E75" s="2776" t="str">
        <f>IF(MORTGAGE!B66=0,"",MORTGAGE!B66)</f>
        <v/>
      </c>
      <c r="F75" s="2777"/>
      <c r="G75" s="2778"/>
      <c r="H75" s="2761">
        <f>MORTGAGE!H66</f>
        <v>0</v>
      </c>
      <c r="I75" s="2762"/>
      <c r="J75" s="2762"/>
      <c r="K75" s="2762"/>
      <c r="L75" s="2763"/>
      <c r="M75" s="2749">
        <f>MORTGAGE!J66</f>
        <v>0</v>
      </c>
      <c r="N75" s="2750"/>
      <c r="O75" s="2750"/>
      <c r="P75" s="2750"/>
      <c r="Q75" s="2751"/>
      <c r="R75" s="2739">
        <f>MORTGAGE!I66</f>
        <v>0</v>
      </c>
      <c r="S75" s="2740"/>
      <c r="T75" s="2740"/>
      <c r="U75" s="2740"/>
      <c r="V75" s="2741"/>
      <c r="W75" s="2733">
        <f>MORTGAGE!K66</f>
        <v>0</v>
      </c>
      <c r="X75" s="2734"/>
      <c r="Y75" s="2734"/>
      <c r="Z75" s="2734"/>
      <c r="AA75" s="2735"/>
      <c r="AB75" s="2727">
        <f>MORTGAGE!L66</f>
        <v>118970</v>
      </c>
      <c r="AC75" s="2728"/>
      <c r="AD75" s="2728"/>
      <c r="AE75" s="2728"/>
      <c r="AF75" s="2729"/>
      <c r="AG75" s="2719">
        <f>MORTGAGE!N66</f>
        <v>1.025603448275862</v>
      </c>
      <c r="AH75" s="2720"/>
      <c r="AI75" s="2720"/>
      <c r="AJ75" s="2720"/>
      <c r="AK75" s="2723"/>
      <c r="AL75" s="2719">
        <f>MORTGAGE!O66</f>
        <v>0</v>
      </c>
      <c r="AM75" s="2720"/>
      <c r="AN75" s="2720"/>
      <c r="AO75" s="2720"/>
      <c r="AP75" s="2720"/>
      <c r="AQ75" s="1239">
        <f t="shared" si="0"/>
        <v>1</v>
      </c>
    </row>
    <row r="76" spans="1:43" x14ac:dyDescent="0.25">
      <c r="A76" s="2"/>
      <c r="B76" s="2791"/>
      <c r="C76" s="2792"/>
      <c r="D76" s="2793"/>
      <c r="E76" s="2776" t="str">
        <f>IF(MORTGAGE!B67=0,"",MORTGAGE!B67)</f>
        <v/>
      </c>
      <c r="F76" s="2777"/>
      <c r="G76" s="2778"/>
      <c r="H76" s="2761">
        <f>MORTGAGE!H67</f>
        <v>0</v>
      </c>
      <c r="I76" s="2762"/>
      <c r="J76" s="2762"/>
      <c r="K76" s="2762"/>
      <c r="L76" s="2763"/>
      <c r="M76" s="2749">
        <f>MORTGAGE!J67</f>
        <v>0</v>
      </c>
      <c r="N76" s="2750"/>
      <c r="O76" s="2750"/>
      <c r="P76" s="2750"/>
      <c r="Q76" s="2751"/>
      <c r="R76" s="2739">
        <f>MORTGAGE!I67</f>
        <v>0</v>
      </c>
      <c r="S76" s="2740"/>
      <c r="T76" s="2740"/>
      <c r="U76" s="2740"/>
      <c r="V76" s="2741"/>
      <c r="W76" s="2733">
        <f>MORTGAGE!K67</f>
        <v>0</v>
      </c>
      <c r="X76" s="2734"/>
      <c r="Y76" s="2734"/>
      <c r="Z76" s="2734"/>
      <c r="AA76" s="2735"/>
      <c r="AB76" s="2727">
        <f>MORTGAGE!L67</f>
        <v>118970</v>
      </c>
      <c r="AC76" s="2728"/>
      <c r="AD76" s="2728"/>
      <c r="AE76" s="2728"/>
      <c r="AF76" s="2729"/>
      <c r="AG76" s="2719">
        <f>MORTGAGE!N67</f>
        <v>1.025603448275862</v>
      </c>
      <c r="AH76" s="2720"/>
      <c r="AI76" s="2720"/>
      <c r="AJ76" s="2720"/>
      <c r="AK76" s="2723"/>
      <c r="AL76" s="2719">
        <f>MORTGAGE!O67</f>
        <v>0</v>
      </c>
      <c r="AM76" s="2720"/>
      <c r="AN76" s="2720"/>
      <c r="AO76" s="2720"/>
      <c r="AP76" s="2720"/>
      <c r="AQ76" s="1239">
        <f t="shared" si="0"/>
        <v>1</v>
      </c>
    </row>
    <row r="77" spans="1:43" x14ac:dyDescent="0.25">
      <c r="A77" s="2"/>
      <c r="B77" s="2791"/>
      <c r="C77" s="2792"/>
      <c r="D77" s="2793"/>
      <c r="E77" s="2776" t="str">
        <f>IF(MORTGAGE!B68=0,"",MORTGAGE!B68)</f>
        <v/>
      </c>
      <c r="F77" s="2777"/>
      <c r="G77" s="2778"/>
      <c r="H77" s="2761">
        <f>MORTGAGE!H68</f>
        <v>0</v>
      </c>
      <c r="I77" s="2762"/>
      <c r="J77" s="2762"/>
      <c r="K77" s="2762"/>
      <c r="L77" s="2763"/>
      <c r="M77" s="2749">
        <f>MORTGAGE!J68</f>
        <v>0</v>
      </c>
      <c r="N77" s="2750"/>
      <c r="O77" s="2750"/>
      <c r="P77" s="2750"/>
      <c r="Q77" s="2751"/>
      <c r="R77" s="2739">
        <f>MORTGAGE!I68</f>
        <v>0</v>
      </c>
      <c r="S77" s="2740"/>
      <c r="T77" s="2740"/>
      <c r="U77" s="2740"/>
      <c r="V77" s="2741"/>
      <c r="W77" s="2733">
        <f>MORTGAGE!K68</f>
        <v>0</v>
      </c>
      <c r="X77" s="2734"/>
      <c r="Y77" s="2734"/>
      <c r="Z77" s="2734"/>
      <c r="AA77" s="2735"/>
      <c r="AB77" s="2727">
        <f>MORTGAGE!L68</f>
        <v>118970</v>
      </c>
      <c r="AC77" s="2728"/>
      <c r="AD77" s="2728"/>
      <c r="AE77" s="2728"/>
      <c r="AF77" s="2729"/>
      <c r="AG77" s="2719">
        <f>MORTGAGE!N68</f>
        <v>1.025603448275862</v>
      </c>
      <c r="AH77" s="2720"/>
      <c r="AI77" s="2720"/>
      <c r="AJ77" s="2720"/>
      <c r="AK77" s="2723"/>
      <c r="AL77" s="2719">
        <f>MORTGAGE!O68</f>
        <v>0</v>
      </c>
      <c r="AM77" s="2720"/>
      <c r="AN77" s="2720"/>
      <c r="AO77" s="2720"/>
      <c r="AP77" s="2720"/>
      <c r="AQ77" s="1239">
        <f t="shared" si="0"/>
        <v>1</v>
      </c>
    </row>
    <row r="78" spans="1:43" x14ac:dyDescent="0.25">
      <c r="A78" s="2"/>
      <c r="B78" s="2791"/>
      <c r="C78" s="2792"/>
      <c r="D78" s="2793"/>
      <c r="E78" s="2776" t="str">
        <f>IF(MORTGAGE!B69=0,"",MORTGAGE!B69)</f>
        <v/>
      </c>
      <c r="F78" s="2777"/>
      <c r="G78" s="2778"/>
      <c r="H78" s="2761">
        <f>MORTGAGE!H69</f>
        <v>0</v>
      </c>
      <c r="I78" s="2762"/>
      <c r="J78" s="2762"/>
      <c r="K78" s="2762"/>
      <c r="L78" s="2763"/>
      <c r="M78" s="2749">
        <f>MORTGAGE!J69</f>
        <v>0</v>
      </c>
      <c r="N78" s="2750"/>
      <c r="O78" s="2750"/>
      <c r="P78" s="2750"/>
      <c r="Q78" s="2751"/>
      <c r="R78" s="2739">
        <f>MORTGAGE!I69</f>
        <v>0</v>
      </c>
      <c r="S78" s="2740"/>
      <c r="T78" s="2740"/>
      <c r="U78" s="2740"/>
      <c r="V78" s="2741"/>
      <c r="W78" s="2733">
        <f>MORTGAGE!K69</f>
        <v>0</v>
      </c>
      <c r="X78" s="2734"/>
      <c r="Y78" s="2734"/>
      <c r="Z78" s="2734"/>
      <c r="AA78" s="2735"/>
      <c r="AB78" s="2727">
        <f>MORTGAGE!L69</f>
        <v>118970</v>
      </c>
      <c r="AC78" s="2728"/>
      <c r="AD78" s="2728"/>
      <c r="AE78" s="2728"/>
      <c r="AF78" s="2729"/>
      <c r="AG78" s="2719">
        <f>MORTGAGE!N69</f>
        <v>1.025603448275862</v>
      </c>
      <c r="AH78" s="2720"/>
      <c r="AI78" s="2720"/>
      <c r="AJ78" s="2720"/>
      <c r="AK78" s="2723"/>
      <c r="AL78" s="2719">
        <f>MORTGAGE!O69</f>
        <v>0</v>
      </c>
      <c r="AM78" s="2720"/>
      <c r="AN78" s="2720"/>
      <c r="AO78" s="2720"/>
      <c r="AP78" s="2720"/>
      <c r="AQ78" s="1239">
        <f t="shared" si="0"/>
        <v>1</v>
      </c>
    </row>
    <row r="79" spans="1:43" x14ac:dyDescent="0.25">
      <c r="A79" s="2"/>
      <c r="B79" s="2791"/>
      <c r="C79" s="2792"/>
      <c r="D79" s="2793"/>
      <c r="E79" s="2776" t="str">
        <f>IF(MORTGAGE!B70=0,"",MORTGAGE!B70)</f>
        <v/>
      </c>
      <c r="F79" s="2777"/>
      <c r="G79" s="2778"/>
      <c r="H79" s="2761">
        <f>MORTGAGE!H70</f>
        <v>0</v>
      </c>
      <c r="I79" s="2762"/>
      <c r="J79" s="2762"/>
      <c r="K79" s="2762"/>
      <c r="L79" s="2763"/>
      <c r="M79" s="2749">
        <f>MORTGAGE!J70</f>
        <v>0</v>
      </c>
      <c r="N79" s="2750"/>
      <c r="O79" s="2750"/>
      <c r="P79" s="2750"/>
      <c r="Q79" s="2751"/>
      <c r="R79" s="2739">
        <f>MORTGAGE!I70</f>
        <v>0</v>
      </c>
      <c r="S79" s="2740"/>
      <c r="T79" s="2740"/>
      <c r="U79" s="2740"/>
      <c r="V79" s="2741"/>
      <c r="W79" s="2733">
        <f>MORTGAGE!K70</f>
        <v>0</v>
      </c>
      <c r="X79" s="2734"/>
      <c r="Y79" s="2734"/>
      <c r="Z79" s="2734"/>
      <c r="AA79" s="2735"/>
      <c r="AB79" s="2727">
        <f>MORTGAGE!L70</f>
        <v>118970</v>
      </c>
      <c r="AC79" s="2728"/>
      <c r="AD79" s="2728"/>
      <c r="AE79" s="2728"/>
      <c r="AF79" s="2729"/>
      <c r="AG79" s="2719">
        <f>MORTGAGE!N70</f>
        <v>1.025603448275862</v>
      </c>
      <c r="AH79" s="2720"/>
      <c r="AI79" s="2720"/>
      <c r="AJ79" s="2720"/>
      <c r="AK79" s="2723"/>
      <c r="AL79" s="2719">
        <f>MORTGAGE!O70</f>
        <v>0</v>
      </c>
      <c r="AM79" s="2720"/>
      <c r="AN79" s="2720"/>
      <c r="AO79" s="2720"/>
      <c r="AP79" s="2720"/>
      <c r="AQ79" s="1239">
        <f t="shared" si="0"/>
        <v>1</v>
      </c>
    </row>
    <row r="80" spans="1:43" x14ac:dyDescent="0.25">
      <c r="A80" s="2"/>
      <c r="B80" s="2791"/>
      <c r="C80" s="2792"/>
      <c r="D80" s="2793"/>
      <c r="E80" s="2776" t="str">
        <f>IF(MORTGAGE!B71=0,"",MORTGAGE!B71)</f>
        <v/>
      </c>
      <c r="F80" s="2777"/>
      <c r="G80" s="2778"/>
      <c r="H80" s="2761">
        <f>MORTGAGE!H71</f>
        <v>0</v>
      </c>
      <c r="I80" s="2762"/>
      <c r="J80" s="2762"/>
      <c r="K80" s="2762"/>
      <c r="L80" s="2763"/>
      <c r="M80" s="2749">
        <f>MORTGAGE!J71</f>
        <v>0</v>
      </c>
      <c r="N80" s="2750"/>
      <c r="O80" s="2750"/>
      <c r="P80" s="2750"/>
      <c r="Q80" s="2751"/>
      <c r="R80" s="2739">
        <f>MORTGAGE!I71</f>
        <v>0</v>
      </c>
      <c r="S80" s="2740"/>
      <c r="T80" s="2740"/>
      <c r="U80" s="2740"/>
      <c r="V80" s="2741"/>
      <c r="W80" s="2733">
        <f>MORTGAGE!K71</f>
        <v>0</v>
      </c>
      <c r="X80" s="2734"/>
      <c r="Y80" s="2734"/>
      <c r="Z80" s="2734"/>
      <c r="AA80" s="2735"/>
      <c r="AB80" s="2727">
        <f>MORTGAGE!L71</f>
        <v>118970</v>
      </c>
      <c r="AC80" s="2728"/>
      <c r="AD80" s="2728"/>
      <c r="AE80" s="2728"/>
      <c r="AF80" s="2729"/>
      <c r="AG80" s="2719">
        <f>MORTGAGE!N71</f>
        <v>1.025603448275862</v>
      </c>
      <c r="AH80" s="2720"/>
      <c r="AI80" s="2720"/>
      <c r="AJ80" s="2720"/>
      <c r="AK80" s="2723"/>
      <c r="AL80" s="2719">
        <f>MORTGAGE!O71</f>
        <v>0</v>
      </c>
      <c r="AM80" s="2720"/>
      <c r="AN80" s="2720"/>
      <c r="AO80" s="2720"/>
      <c r="AP80" s="2720"/>
      <c r="AQ80" s="1239">
        <f t="shared" si="0"/>
        <v>1</v>
      </c>
    </row>
    <row r="81" spans="1:43" ht="14.4" thickBot="1" x14ac:dyDescent="0.3">
      <c r="A81" s="2"/>
      <c r="B81" s="2794"/>
      <c r="C81" s="2795"/>
      <c r="D81" s="2796"/>
      <c r="E81" s="2776" t="str">
        <f>IF(MORTGAGE!B72=0,"",MORTGAGE!B72)</f>
        <v/>
      </c>
      <c r="F81" s="2777"/>
      <c r="G81" s="2778"/>
      <c r="H81" s="2761">
        <f>MORTGAGE!H72</f>
        <v>0</v>
      </c>
      <c r="I81" s="2762"/>
      <c r="J81" s="2762"/>
      <c r="K81" s="2762"/>
      <c r="L81" s="2763"/>
      <c r="M81" s="2749">
        <f>MORTGAGE!J72</f>
        <v>0</v>
      </c>
      <c r="N81" s="2750"/>
      <c r="O81" s="2750"/>
      <c r="P81" s="2750"/>
      <c r="Q81" s="2751"/>
      <c r="R81" s="2739">
        <f>MORTGAGE!I72</f>
        <v>0</v>
      </c>
      <c r="S81" s="2740"/>
      <c r="T81" s="2740"/>
      <c r="U81" s="2740"/>
      <c r="V81" s="2741"/>
      <c r="W81" s="2733">
        <f>MORTGAGE!K72</f>
        <v>0</v>
      </c>
      <c r="X81" s="2734"/>
      <c r="Y81" s="2734"/>
      <c r="Z81" s="2734"/>
      <c r="AA81" s="2735"/>
      <c r="AB81" s="2727">
        <f>MORTGAGE!L72</f>
        <v>118970</v>
      </c>
      <c r="AC81" s="2728"/>
      <c r="AD81" s="2728"/>
      <c r="AE81" s="2728"/>
      <c r="AF81" s="2729"/>
      <c r="AG81" s="2719">
        <f>MORTGAGE!N72</f>
        <v>1.025603448275862</v>
      </c>
      <c r="AH81" s="2720"/>
      <c r="AI81" s="2720"/>
      <c r="AJ81" s="2720"/>
      <c r="AK81" s="2723"/>
      <c r="AL81" s="2719">
        <f>MORTGAGE!O72</f>
        <v>0</v>
      </c>
      <c r="AM81" s="2720"/>
      <c r="AN81" s="2720"/>
      <c r="AO81" s="2720"/>
      <c r="AP81" s="2720"/>
      <c r="AQ81" s="1239">
        <f t="shared" si="0"/>
        <v>1</v>
      </c>
    </row>
    <row r="82" spans="1:43" x14ac:dyDescent="0.25">
      <c r="A82" s="2"/>
      <c r="B82" s="2797" t="str">
        <f>IFERROR(ROUNDUP(E82/12,0),"")</f>
        <v/>
      </c>
      <c r="C82" s="2798"/>
      <c r="D82" s="2799"/>
      <c r="E82" s="2785" t="str">
        <f>IF(MORTGAGE!B73=0,"",MORTGAGE!B73)</f>
        <v/>
      </c>
      <c r="F82" s="2786"/>
      <c r="G82" s="2787"/>
      <c r="H82" s="2773">
        <f>MORTGAGE!H73</f>
        <v>0</v>
      </c>
      <c r="I82" s="2774"/>
      <c r="J82" s="2774"/>
      <c r="K82" s="2774"/>
      <c r="L82" s="2775"/>
      <c r="M82" s="2758">
        <f>MORTGAGE!J73</f>
        <v>0</v>
      </c>
      <c r="N82" s="2759"/>
      <c r="O82" s="2759"/>
      <c r="P82" s="2759"/>
      <c r="Q82" s="2760"/>
      <c r="R82" s="2746">
        <f>MORTGAGE!I73</f>
        <v>0</v>
      </c>
      <c r="S82" s="2747"/>
      <c r="T82" s="2747"/>
      <c r="U82" s="2747"/>
      <c r="V82" s="2748"/>
      <c r="W82" s="2736">
        <f>MORTGAGE!K73</f>
        <v>0</v>
      </c>
      <c r="X82" s="2737"/>
      <c r="Y82" s="2737"/>
      <c r="Z82" s="2737"/>
      <c r="AA82" s="2738"/>
      <c r="AB82" s="2730">
        <f>MORTGAGE!L73</f>
        <v>118970</v>
      </c>
      <c r="AC82" s="2731"/>
      <c r="AD82" s="2731"/>
      <c r="AE82" s="2731"/>
      <c r="AF82" s="2732"/>
      <c r="AG82" s="2724">
        <f>MORTGAGE!N73</f>
        <v>1.025603448275862</v>
      </c>
      <c r="AH82" s="2725"/>
      <c r="AI82" s="2725"/>
      <c r="AJ82" s="2725"/>
      <c r="AK82" s="2726"/>
      <c r="AL82" s="2721">
        <f>MORTGAGE!O73</f>
        <v>0</v>
      </c>
      <c r="AM82" s="2722"/>
      <c r="AN82" s="2722"/>
      <c r="AO82" s="2722"/>
      <c r="AP82" s="2722"/>
      <c r="AQ82" s="1239">
        <f t="shared" si="0"/>
        <v>1</v>
      </c>
    </row>
    <row r="83" spans="1:43" x14ac:dyDescent="0.25">
      <c r="A83" s="2"/>
      <c r="B83" s="2791"/>
      <c r="C83" s="2792"/>
      <c r="D83" s="2793"/>
      <c r="E83" s="2776" t="str">
        <f>IF(MORTGAGE!B74=0,"",MORTGAGE!B74)</f>
        <v/>
      </c>
      <c r="F83" s="2777"/>
      <c r="G83" s="2778"/>
      <c r="H83" s="2761">
        <f>MORTGAGE!H74</f>
        <v>0</v>
      </c>
      <c r="I83" s="2762"/>
      <c r="J83" s="2762"/>
      <c r="K83" s="2762"/>
      <c r="L83" s="2763"/>
      <c r="M83" s="2749">
        <f>MORTGAGE!J74</f>
        <v>0</v>
      </c>
      <c r="N83" s="2750"/>
      <c r="O83" s="2750"/>
      <c r="P83" s="2750"/>
      <c r="Q83" s="2751"/>
      <c r="R83" s="2739">
        <f>MORTGAGE!I74</f>
        <v>0</v>
      </c>
      <c r="S83" s="2740"/>
      <c r="T83" s="2740"/>
      <c r="U83" s="2740"/>
      <c r="V83" s="2741"/>
      <c r="W83" s="2733">
        <f>MORTGAGE!K74</f>
        <v>0</v>
      </c>
      <c r="X83" s="2734"/>
      <c r="Y83" s="2734"/>
      <c r="Z83" s="2734"/>
      <c r="AA83" s="2735"/>
      <c r="AB83" s="2727">
        <f>MORTGAGE!L74</f>
        <v>118970</v>
      </c>
      <c r="AC83" s="2728"/>
      <c r="AD83" s="2728"/>
      <c r="AE83" s="2728"/>
      <c r="AF83" s="2729"/>
      <c r="AG83" s="2719">
        <f>MORTGAGE!N74</f>
        <v>1.025603448275862</v>
      </c>
      <c r="AH83" s="2720"/>
      <c r="AI83" s="2720"/>
      <c r="AJ83" s="2720"/>
      <c r="AK83" s="2723"/>
      <c r="AL83" s="2719">
        <f>MORTGAGE!O74</f>
        <v>0</v>
      </c>
      <c r="AM83" s="2720"/>
      <c r="AN83" s="2720"/>
      <c r="AO83" s="2720"/>
      <c r="AP83" s="2720"/>
      <c r="AQ83" s="1239">
        <f t="shared" si="0"/>
        <v>1</v>
      </c>
    </row>
    <row r="84" spans="1:43" x14ac:dyDescent="0.25">
      <c r="A84" s="2"/>
      <c r="B84" s="2791"/>
      <c r="C84" s="2792"/>
      <c r="D84" s="2793"/>
      <c r="E84" s="2776" t="str">
        <f>IF(MORTGAGE!B75=0,"",MORTGAGE!B75)</f>
        <v/>
      </c>
      <c r="F84" s="2777"/>
      <c r="G84" s="2778"/>
      <c r="H84" s="2761">
        <f>MORTGAGE!H75</f>
        <v>0</v>
      </c>
      <c r="I84" s="2762"/>
      <c r="J84" s="2762"/>
      <c r="K84" s="2762"/>
      <c r="L84" s="2763"/>
      <c r="M84" s="2749">
        <f>MORTGAGE!J75</f>
        <v>0</v>
      </c>
      <c r="N84" s="2750"/>
      <c r="O84" s="2750"/>
      <c r="P84" s="2750"/>
      <c r="Q84" s="2751"/>
      <c r="R84" s="2739">
        <f>MORTGAGE!I75</f>
        <v>0</v>
      </c>
      <c r="S84" s="2740"/>
      <c r="T84" s="2740"/>
      <c r="U84" s="2740"/>
      <c r="V84" s="2741"/>
      <c r="W84" s="2733">
        <f>MORTGAGE!K75</f>
        <v>0</v>
      </c>
      <c r="X84" s="2734"/>
      <c r="Y84" s="2734"/>
      <c r="Z84" s="2734"/>
      <c r="AA84" s="2735"/>
      <c r="AB84" s="2727">
        <f>MORTGAGE!L75</f>
        <v>118970</v>
      </c>
      <c r="AC84" s="2728"/>
      <c r="AD84" s="2728"/>
      <c r="AE84" s="2728"/>
      <c r="AF84" s="2729"/>
      <c r="AG84" s="2719">
        <f>MORTGAGE!N75</f>
        <v>1.025603448275862</v>
      </c>
      <c r="AH84" s="2720"/>
      <c r="AI84" s="2720"/>
      <c r="AJ84" s="2720"/>
      <c r="AK84" s="2723"/>
      <c r="AL84" s="2719">
        <f>MORTGAGE!O75</f>
        <v>0</v>
      </c>
      <c r="AM84" s="2720"/>
      <c r="AN84" s="2720"/>
      <c r="AO84" s="2720"/>
      <c r="AP84" s="2720"/>
      <c r="AQ84" s="1239">
        <f t="shared" si="0"/>
        <v>1</v>
      </c>
    </row>
    <row r="85" spans="1:43" x14ac:dyDescent="0.25">
      <c r="A85" s="2"/>
      <c r="B85" s="2791"/>
      <c r="C85" s="2792"/>
      <c r="D85" s="2793"/>
      <c r="E85" s="2776" t="str">
        <f>IF(MORTGAGE!B76=0,"",MORTGAGE!B76)</f>
        <v/>
      </c>
      <c r="F85" s="2777"/>
      <c r="G85" s="2778"/>
      <c r="H85" s="2761">
        <f>MORTGAGE!H76</f>
        <v>0</v>
      </c>
      <c r="I85" s="2762"/>
      <c r="J85" s="2762"/>
      <c r="K85" s="2762"/>
      <c r="L85" s="2763"/>
      <c r="M85" s="2749">
        <f>MORTGAGE!J76</f>
        <v>0</v>
      </c>
      <c r="N85" s="2750"/>
      <c r="O85" s="2750"/>
      <c r="P85" s="2750"/>
      <c r="Q85" s="2751"/>
      <c r="R85" s="2739">
        <f>MORTGAGE!I76</f>
        <v>0</v>
      </c>
      <c r="S85" s="2740"/>
      <c r="T85" s="2740"/>
      <c r="U85" s="2740"/>
      <c r="V85" s="2741"/>
      <c r="W85" s="2733">
        <f>MORTGAGE!K76</f>
        <v>0</v>
      </c>
      <c r="X85" s="2734"/>
      <c r="Y85" s="2734"/>
      <c r="Z85" s="2734"/>
      <c r="AA85" s="2735"/>
      <c r="AB85" s="2727">
        <f>MORTGAGE!L76</f>
        <v>118970</v>
      </c>
      <c r="AC85" s="2728"/>
      <c r="AD85" s="2728"/>
      <c r="AE85" s="2728"/>
      <c r="AF85" s="2729"/>
      <c r="AG85" s="2719">
        <f>MORTGAGE!N76</f>
        <v>1.025603448275862</v>
      </c>
      <c r="AH85" s="2720"/>
      <c r="AI85" s="2720"/>
      <c r="AJ85" s="2720"/>
      <c r="AK85" s="2723"/>
      <c r="AL85" s="2719">
        <f>MORTGAGE!O76</f>
        <v>0</v>
      </c>
      <c r="AM85" s="2720"/>
      <c r="AN85" s="2720"/>
      <c r="AO85" s="2720"/>
      <c r="AP85" s="2720"/>
      <c r="AQ85" s="1239">
        <f t="shared" si="0"/>
        <v>1</v>
      </c>
    </row>
    <row r="86" spans="1:43" x14ac:dyDescent="0.25">
      <c r="A86" s="2"/>
      <c r="B86" s="2791"/>
      <c r="C86" s="2792"/>
      <c r="D86" s="2793"/>
      <c r="E86" s="2776" t="str">
        <f>IF(MORTGAGE!B77=0,"",MORTGAGE!B77)</f>
        <v/>
      </c>
      <c r="F86" s="2777"/>
      <c r="G86" s="2778"/>
      <c r="H86" s="2761">
        <f>MORTGAGE!H77</f>
        <v>0</v>
      </c>
      <c r="I86" s="2762"/>
      <c r="J86" s="2762"/>
      <c r="K86" s="2762"/>
      <c r="L86" s="2763"/>
      <c r="M86" s="2749">
        <f>MORTGAGE!J77</f>
        <v>0</v>
      </c>
      <c r="N86" s="2750"/>
      <c r="O86" s="2750"/>
      <c r="P86" s="2750"/>
      <c r="Q86" s="2751"/>
      <c r="R86" s="2739">
        <f>MORTGAGE!I77</f>
        <v>0</v>
      </c>
      <c r="S86" s="2740"/>
      <c r="T86" s="2740"/>
      <c r="U86" s="2740"/>
      <c r="V86" s="2741"/>
      <c r="W86" s="2733">
        <f>MORTGAGE!K77</f>
        <v>0</v>
      </c>
      <c r="X86" s="2734"/>
      <c r="Y86" s="2734"/>
      <c r="Z86" s="2734"/>
      <c r="AA86" s="2735"/>
      <c r="AB86" s="2727">
        <f>MORTGAGE!L77</f>
        <v>118970</v>
      </c>
      <c r="AC86" s="2728"/>
      <c r="AD86" s="2728"/>
      <c r="AE86" s="2728"/>
      <c r="AF86" s="2729"/>
      <c r="AG86" s="2719">
        <f>MORTGAGE!N77</f>
        <v>1.025603448275862</v>
      </c>
      <c r="AH86" s="2720"/>
      <c r="AI86" s="2720"/>
      <c r="AJ86" s="2720"/>
      <c r="AK86" s="2723"/>
      <c r="AL86" s="2719">
        <f>MORTGAGE!O77</f>
        <v>0</v>
      </c>
      <c r="AM86" s="2720"/>
      <c r="AN86" s="2720"/>
      <c r="AO86" s="2720"/>
      <c r="AP86" s="2720"/>
      <c r="AQ86" s="1239">
        <f t="shared" si="0"/>
        <v>1</v>
      </c>
    </row>
    <row r="87" spans="1:43" x14ac:dyDescent="0.25">
      <c r="A87" s="2"/>
      <c r="B87" s="2791"/>
      <c r="C87" s="2792"/>
      <c r="D87" s="2793"/>
      <c r="E87" s="2776" t="str">
        <f>IF(MORTGAGE!B78=0,"",MORTGAGE!B78)</f>
        <v/>
      </c>
      <c r="F87" s="2777"/>
      <c r="G87" s="2778"/>
      <c r="H87" s="2761">
        <f>MORTGAGE!H78</f>
        <v>0</v>
      </c>
      <c r="I87" s="2762"/>
      <c r="J87" s="2762"/>
      <c r="K87" s="2762"/>
      <c r="L87" s="2763"/>
      <c r="M87" s="2749">
        <f>MORTGAGE!J78</f>
        <v>0</v>
      </c>
      <c r="N87" s="2750"/>
      <c r="O87" s="2750"/>
      <c r="P87" s="2750"/>
      <c r="Q87" s="2751"/>
      <c r="R87" s="2739">
        <f>MORTGAGE!I78</f>
        <v>0</v>
      </c>
      <c r="S87" s="2740"/>
      <c r="T87" s="2740"/>
      <c r="U87" s="2740"/>
      <c r="V87" s="2741"/>
      <c r="W87" s="2733">
        <f>MORTGAGE!K78</f>
        <v>0</v>
      </c>
      <c r="X87" s="2734"/>
      <c r="Y87" s="2734"/>
      <c r="Z87" s="2734"/>
      <c r="AA87" s="2735"/>
      <c r="AB87" s="2727">
        <f>MORTGAGE!L78</f>
        <v>118970</v>
      </c>
      <c r="AC87" s="2728"/>
      <c r="AD87" s="2728"/>
      <c r="AE87" s="2728"/>
      <c r="AF87" s="2729"/>
      <c r="AG87" s="2719">
        <f>MORTGAGE!N78</f>
        <v>1.025603448275862</v>
      </c>
      <c r="AH87" s="2720"/>
      <c r="AI87" s="2720"/>
      <c r="AJ87" s="2720"/>
      <c r="AK87" s="2723"/>
      <c r="AL87" s="2719">
        <f>MORTGAGE!O78</f>
        <v>0</v>
      </c>
      <c r="AM87" s="2720"/>
      <c r="AN87" s="2720"/>
      <c r="AO87" s="2720"/>
      <c r="AP87" s="2720"/>
      <c r="AQ87" s="1239">
        <f t="shared" si="0"/>
        <v>1</v>
      </c>
    </row>
    <row r="88" spans="1:43" x14ac:dyDescent="0.25">
      <c r="A88" s="2"/>
      <c r="B88" s="2791"/>
      <c r="C88" s="2792"/>
      <c r="D88" s="2793"/>
      <c r="E88" s="2776" t="str">
        <f>IF(MORTGAGE!B79=0,"",MORTGAGE!B79)</f>
        <v/>
      </c>
      <c r="F88" s="2777"/>
      <c r="G88" s="2778"/>
      <c r="H88" s="2761">
        <f>MORTGAGE!H79</f>
        <v>0</v>
      </c>
      <c r="I88" s="2762"/>
      <c r="J88" s="2762"/>
      <c r="K88" s="2762"/>
      <c r="L88" s="2763"/>
      <c r="M88" s="2749">
        <f>MORTGAGE!J79</f>
        <v>0</v>
      </c>
      <c r="N88" s="2750"/>
      <c r="O88" s="2750"/>
      <c r="P88" s="2750"/>
      <c r="Q88" s="2751"/>
      <c r="R88" s="2739">
        <f>MORTGAGE!I79</f>
        <v>0</v>
      </c>
      <c r="S88" s="2740"/>
      <c r="T88" s="2740"/>
      <c r="U88" s="2740"/>
      <c r="V88" s="2741"/>
      <c r="W88" s="2733">
        <f>MORTGAGE!K79</f>
        <v>0</v>
      </c>
      <c r="X88" s="2734"/>
      <c r="Y88" s="2734"/>
      <c r="Z88" s="2734"/>
      <c r="AA88" s="2735"/>
      <c r="AB88" s="2727">
        <f>MORTGAGE!L79</f>
        <v>118970</v>
      </c>
      <c r="AC88" s="2728"/>
      <c r="AD88" s="2728"/>
      <c r="AE88" s="2728"/>
      <c r="AF88" s="2729"/>
      <c r="AG88" s="2719">
        <f>MORTGAGE!N79</f>
        <v>1.025603448275862</v>
      </c>
      <c r="AH88" s="2720"/>
      <c r="AI88" s="2720"/>
      <c r="AJ88" s="2720"/>
      <c r="AK88" s="2723"/>
      <c r="AL88" s="2719">
        <f>MORTGAGE!O79</f>
        <v>0</v>
      </c>
      <c r="AM88" s="2720"/>
      <c r="AN88" s="2720"/>
      <c r="AO88" s="2720"/>
      <c r="AP88" s="2720"/>
      <c r="AQ88" s="1239">
        <f t="shared" si="0"/>
        <v>1</v>
      </c>
    </row>
    <row r="89" spans="1:43" x14ac:dyDescent="0.25">
      <c r="A89" s="2"/>
      <c r="B89" s="2791"/>
      <c r="C89" s="2792"/>
      <c r="D89" s="2793"/>
      <c r="E89" s="2776" t="str">
        <f>IF(MORTGAGE!B80=0,"",MORTGAGE!B80)</f>
        <v/>
      </c>
      <c r="F89" s="2777"/>
      <c r="G89" s="2778"/>
      <c r="H89" s="2761">
        <f>MORTGAGE!H80</f>
        <v>0</v>
      </c>
      <c r="I89" s="2762"/>
      <c r="J89" s="2762"/>
      <c r="K89" s="2762"/>
      <c r="L89" s="2763"/>
      <c r="M89" s="2749">
        <f>MORTGAGE!J80</f>
        <v>0</v>
      </c>
      <c r="N89" s="2750"/>
      <c r="O89" s="2750"/>
      <c r="P89" s="2750"/>
      <c r="Q89" s="2751"/>
      <c r="R89" s="2739">
        <f>MORTGAGE!I80</f>
        <v>0</v>
      </c>
      <c r="S89" s="2740"/>
      <c r="T89" s="2740"/>
      <c r="U89" s="2740"/>
      <c r="V89" s="2741"/>
      <c r="W89" s="2733">
        <f>MORTGAGE!K80</f>
        <v>0</v>
      </c>
      <c r="X89" s="2734"/>
      <c r="Y89" s="2734"/>
      <c r="Z89" s="2734"/>
      <c r="AA89" s="2735"/>
      <c r="AB89" s="2727">
        <f>MORTGAGE!L80</f>
        <v>118970</v>
      </c>
      <c r="AC89" s="2728"/>
      <c r="AD89" s="2728"/>
      <c r="AE89" s="2728"/>
      <c r="AF89" s="2729"/>
      <c r="AG89" s="2719">
        <f>MORTGAGE!N80</f>
        <v>1.025603448275862</v>
      </c>
      <c r="AH89" s="2720"/>
      <c r="AI89" s="2720"/>
      <c r="AJ89" s="2720"/>
      <c r="AK89" s="2723"/>
      <c r="AL89" s="2719">
        <f>MORTGAGE!O80</f>
        <v>0</v>
      </c>
      <c r="AM89" s="2720"/>
      <c r="AN89" s="2720"/>
      <c r="AO89" s="2720"/>
      <c r="AP89" s="2720"/>
      <c r="AQ89" s="1239">
        <f t="shared" si="0"/>
        <v>1</v>
      </c>
    </row>
    <row r="90" spans="1:43" x14ac:dyDescent="0.25">
      <c r="A90" s="2"/>
      <c r="B90" s="2791"/>
      <c r="C90" s="2792"/>
      <c r="D90" s="2793"/>
      <c r="E90" s="2776" t="str">
        <f>IF(MORTGAGE!B81=0,"",MORTGAGE!B81)</f>
        <v/>
      </c>
      <c r="F90" s="2777"/>
      <c r="G90" s="2778"/>
      <c r="H90" s="2761">
        <f>MORTGAGE!H81</f>
        <v>0</v>
      </c>
      <c r="I90" s="2762"/>
      <c r="J90" s="2762"/>
      <c r="K90" s="2762"/>
      <c r="L90" s="2763"/>
      <c r="M90" s="2749">
        <f>MORTGAGE!J81</f>
        <v>0</v>
      </c>
      <c r="N90" s="2750"/>
      <c r="O90" s="2750"/>
      <c r="P90" s="2750"/>
      <c r="Q90" s="2751"/>
      <c r="R90" s="2739">
        <f>MORTGAGE!I81</f>
        <v>0</v>
      </c>
      <c r="S90" s="2740"/>
      <c r="T90" s="2740"/>
      <c r="U90" s="2740"/>
      <c r="V90" s="2741"/>
      <c r="W90" s="2733">
        <f>MORTGAGE!K81</f>
        <v>0</v>
      </c>
      <c r="X90" s="2734"/>
      <c r="Y90" s="2734"/>
      <c r="Z90" s="2734"/>
      <c r="AA90" s="2735"/>
      <c r="AB90" s="2727">
        <f>MORTGAGE!L81</f>
        <v>118970</v>
      </c>
      <c r="AC90" s="2728"/>
      <c r="AD90" s="2728"/>
      <c r="AE90" s="2728"/>
      <c r="AF90" s="2729"/>
      <c r="AG90" s="2719">
        <f>MORTGAGE!N81</f>
        <v>1.025603448275862</v>
      </c>
      <c r="AH90" s="2720"/>
      <c r="AI90" s="2720"/>
      <c r="AJ90" s="2720"/>
      <c r="AK90" s="2723"/>
      <c r="AL90" s="2719">
        <f>MORTGAGE!O81</f>
        <v>0</v>
      </c>
      <c r="AM90" s="2720"/>
      <c r="AN90" s="2720"/>
      <c r="AO90" s="2720"/>
      <c r="AP90" s="2720"/>
      <c r="AQ90" s="1239">
        <f t="shared" si="0"/>
        <v>1</v>
      </c>
    </row>
    <row r="91" spans="1:43" x14ac:dyDescent="0.25">
      <c r="A91" s="2"/>
      <c r="B91" s="2791"/>
      <c r="C91" s="2792"/>
      <c r="D91" s="2793"/>
      <c r="E91" s="2776" t="str">
        <f>IF(MORTGAGE!B82=0,"",MORTGAGE!B82)</f>
        <v/>
      </c>
      <c r="F91" s="2777"/>
      <c r="G91" s="2778"/>
      <c r="H91" s="2761">
        <f>MORTGAGE!H82</f>
        <v>0</v>
      </c>
      <c r="I91" s="2762"/>
      <c r="J91" s="2762"/>
      <c r="K91" s="2762"/>
      <c r="L91" s="2763"/>
      <c r="M91" s="2749">
        <f>MORTGAGE!J82</f>
        <v>0</v>
      </c>
      <c r="N91" s="2750"/>
      <c r="O91" s="2750"/>
      <c r="P91" s="2750"/>
      <c r="Q91" s="2751"/>
      <c r="R91" s="2739">
        <f>MORTGAGE!I82</f>
        <v>0</v>
      </c>
      <c r="S91" s="2740"/>
      <c r="T91" s="2740"/>
      <c r="U91" s="2740"/>
      <c r="V91" s="2741"/>
      <c r="W91" s="2733">
        <f>MORTGAGE!K82</f>
        <v>0</v>
      </c>
      <c r="X91" s="2734"/>
      <c r="Y91" s="2734"/>
      <c r="Z91" s="2734"/>
      <c r="AA91" s="2735"/>
      <c r="AB91" s="2727">
        <f>MORTGAGE!L82</f>
        <v>118970</v>
      </c>
      <c r="AC91" s="2728"/>
      <c r="AD91" s="2728"/>
      <c r="AE91" s="2728"/>
      <c r="AF91" s="2729"/>
      <c r="AG91" s="2719">
        <f>MORTGAGE!N82</f>
        <v>1.025603448275862</v>
      </c>
      <c r="AH91" s="2720"/>
      <c r="AI91" s="2720"/>
      <c r="AJ91" s="2720"/>
      <c r="AK91" s="2723"/>
      <c r="AL91" s="2719">
        <f>MORTGAGE!O82</f>
        <v>0</v>
      </c>
      <c r="AM91" s="2720"/>
      <c r="AN91" s="2720"/>
      <c r="AO91" s="2720"/>
      <c r="AP91" s="2720"/>
      <c r="AQ91" s="1239">
        <f t="shared" si="0"/>
        <v>1</v>
      </c>
    </row>
    <row r="92" spans="1:43" x14ac:dyDescent="0.25">
      <c r="A92" s="2"/>
      <c r="B92" s="2791"/>
      <c r="C92" s="2792"/>
      <c r="D92" s="2793"/>
      <c r="E92" s="2776" t="str">
        <f>IF(MORTGAGE!B83=0,"",MORTGAGE!B83)</f>
        <v/>
      </c>
      <c r="F92" s="2777"/>
      <c r="G92" s="2778"/>
      <c r="H92" s="2761">
        <f>MORTGAGE!H83</f>
        <v>0</v>
      </c>
      <c r="I92" s="2762"/>
      <c r="J92" s="2762"/>
      <c r="K92" s="2762"/>
      <c r="L92" s="2763"/>
      <c r="M92" s="2749">
        <f>MORTGAGE!J83</f>
        <v>0</v>
      </c>
      <c r="N92" s="2750"/>
      <c r="O92" s="2750"/>
      <c r="P92" s="2750"/>
      <c r="Q92" s="2751"/>
      <c r="R92" s="2739">
        <f>MORTGAGE!I83</f>
        <v>0</v>
      </c>
      <c r="S92" s="2740"/>
      <c r="T92" s="2740"/>
      <c r="U92" s="2740"/>
      <c r="V92" s="2741"/>
      <c r="W92" s="2733">
        <f>MORTGAGE!K83</f>
        <v>0</v>
      </c>
      <c r="X92" s="2734"/>
      <c r="Y92" s="2734"/>
      <c r="Z92" s="2734"/>
      <c r="AA92" s="2735"/>
      <c r="AB92" s="2727">
        <f>MORTGAGE!L83</f>
        <v>118970</v>
      </c>
      <c r="AC92" s="2728"/>
      <c r="AD92" s="2728"/>
      <c r="AE92" s="2728"/>
      <c r="AF92" s="2729"/>
      <c r="AG92" s="2719">
        <f>MORTGAGE!N83</f>
        <v>1.025603448275862</v>
      </c>
      <c r="AH92" s="2720"/>
      <c r="AI92" s="2720"/>
      <c r="AJ92" s="2720"/>
      <c r="AK92" s="2723"/>
      <c r="AL92" s="2719">
        <f>MORTGAGE!O83</f>
        <v>0</v>
      </c>
      <c r="AM92" s="2720"/>
      <c r="AN92" s="2720"/>
      <c r="AO92" s="2720"/>
      <c r="AP92" s="2720"/>
      <c r="AQ92" s="1239">
        <f t="shared" si="0"/>
        <v>1</v>
      </c>
    </row>
    <row r="93" spans="1:43" ht="14.4" thickBot="1" x14ac:dyDescent="0.3">
      <c r="A93" s="2"/>
      <c r="B93" s="2794"/>
      <c r="C93" s="2795"/>
      <c r="D93" s="2796"/>
      <c r="E93" s="2776" t="str">
        <f>IF(MORTGAGE!B84=0,"",MORTGAGE!B84)</f>
        <v/>
      </c>
      <c r="F93" s="2777"/>
      <c r="G93" s="2778"/>
      <c r="H93" s="2761">
        <f>MORTGAGE!H84</f>
        <v>0</v>
      </c>
      <c r="I93" s="2762"/>
      <c r="J93" s="2762"/>
      <c r="K93" s="2762"/>
      <c r="L93" s="2763"/>
      <c r="M93" s="2749">
        <f>MORTGAGE!J84</f>
        <v>0</v>
      </c>
      <c r="N93" s="2750"/>
      <c r="O93" s="2750"/>
      <c r="P93" s="2750"/>
      <c r="Q93" s="2751"/>
      <c r="R93" s="2739">
        <f>MORTGAGE!I84</f>
        <v>0</v>
      </c>
      <c r="S93" s="2740"/>
      <c r="T93" s="2740"/>
      <c r="U93" s="2740"/>
      <c r="V93" s="2741"/>
      <c r="W93" s="2733">
        <f>MORTGAGE!K84</f>
        <v>0</v>
      </c>
      <c r="X93" s="2734"/>
      <c r="Y93" s="2734"/>
      <c r="Z93" s="2734"/>
      <c r="AA93" s="2735"/>
      <c r="AB93" s="2727">
        <f>MORTGAGE!L84</f>
        <v>118970</v>
      </c>
      <c r="AC93" s="2728"/>
      <c r="AD93" s="2728"/>
      <c r="AE93" s="2728"/>
      <c r="AF93" s="2729"/>
      <c r="AG93" s="2719">
        <f>MORTGAGE!N84</f>
        <v>1.025603448275862</v>
      </c>
      <c r="AH93" s="2720"/>
      <c r="AI93" s="2720"/>
      <c r="AJ93" s="2720"/>
      <c r="AK93" s="2723"/>
      <c r="AL93" s="2719">
        <f>MORTGAGE!O84</f>
        <v>0</v>
      </c>
      <c r="AM93" s="2720"/>
      <c r="AN93" s="2720"/>
      <c r="AO93" s="2720"/>
      <c r="AP93" s="2720"/>
      <c r="AQ93" s="1239">
        <f t="shared" si="0"/>
        <v>1</v>
      </c>
    </row>
    <row r="94" spans="1:43" x14ac:dyDescent="0.25">
      <c r="A94" s="2"/>
      <c r="B94" s="2797" t="str">
        <f>IFERROR(ROUNDUP(E94/12,0),"")</f>
        <v/>
      </c>
      <c r="C94" s="2798"/>
      <c r="D94" s="2799"/>
      <c r="E94" s="2785" t="str">
        <f>IF(MORTGAGE!B85=0,"",MORTGAGE!B85)</f>
        <v/>
      </c>
      <c r="F94" s="2786"/>
      <c r="G94" s="2787"/>
      <c r="H94" s="2773">
        <f>MORTGAGE!H85</f>
        <v>0</v>
      </c>
      <c r="I94" s="2774"/>
      <c r="J94" s="2774"/>
      <c r="K94" s="2774"/>
      <c r="L94" s="2775"/>
      <c r="M94" s="2758">
        <f>MORTGAGE!J85</f>
        <v>0</v>
      </c>
      <c r="N94" s="2759"/>
      <c r="O94" s="2759"/>
      <c r="P94" s="2759"/>
      <c r="Q94" s="2760"/>
      <c r="R94" s="2746">
        <f>MORTGAGE!I85</f>
        <v>0</v>
      </c>
      <c r="S94" s="2747"/>
      <c r="T94" s="2747"/>
      <c r="U94" s="2747"/>
      <c r="V94" s="2748"/>
      <c r="W94" s="2736">
        <f>MORTGAGE!K85</f>
        <v>0</v>
      </c>
      <c r="X94" s="2737"/>
      <c r="Y94" s="2737"/>
      <c r="Z94" s="2737"/>
      <c r="AA94" s="2738"/>
      <c r="AB94" s="2730">
        <f>MORTGAGE!L85</f>
        <v>118970</v>
      </c>
      <c r="AC94" s="2731"/>
      <c r="AD94" s="2731"/>
      <c r="AE94" s="2731"/>
      <c r="AF94" s="2732"/>
      <c r="AG94" s="2724">
        <f>MORTGAGE!N85</f>
        <v>1.025603448275862</v>
      </c>
      <c r="AH94" s="2725"/>
      <c r="AI94" s="2725"/>
      <c r="AJ94" s="2725"/>
      <c r="AK94" s="2726"/>
      <c r="AL94" s="2721">
        <f>MORTGAGE!O85</f>
        <v>0</v>
      </c>
      <c r="AM94" s="2722"/>
      <c r="AN94" s="2722"/>
      <c r="AO94" s="2722"/>
      <c r="AP94" s="2722"/>
      <c r="AQ94" s="1239">
        <f t="shared" si="0"/>
        <v>1</v>
      </c>
    </row>
    <row r="95" spans="1:43" x14ac:dyDescent="0.25">
      <c r="A95" s="2"/>
      <c r="B95" s="2791"/>
      <c r="C95" s="2792"/>
      <c r="D95" s="2793"/>
      <c r="E95" s="2776" t="str">
        <f>IF(MORTGAGE!B86=0,"",MORTGAGE!B86)</f>
        <v/>
      </c>
      <c r="F95" s="2777"/>
      <c r="G95" s="2778"/>
      <c r="H95" s="2761">
        <f>MORTGAGE!H86</f>
        <v>0</v>
      </c>
      <c r="I95" s="2762"/>
      <c r="J95" s="2762"/>
      <c r="K95" s="2762"/>
      <c r="L95" s="2763"/>
      <c r="M95" s="2749">
        <f>MORTGAGE!J86</f>
        <v>0</v>
      </c>
      <c r="N95" s="2750"/>
      <c r="O95" s="2750"/>
      <c r="P95" s="2750"/>
      <c r="Q95" s="2751"/>
      <c r="R95" s="2739">
        <f>MORTGAGE!I86</f>
        <v>0</v>
      </c>
      <c r="S95" s="2740"/>
      <c r="T95" s="2740"/>
      <c r="U95" s="2740"/>
      <c r="V95" s="2741"/>
      <c r="W95" s="2733">
        <f>MORTGAGE!K86</f>
        <v>0</v>
      </c>
      <c r="X95" s="2734"/>
      <c r="Y95" s="2734"/>
      <c r="Z95" s="2734"/>
      <c r="AA95" s="2735"/>
      <c r="AB95" s="2727">
        <f>MORTGAGE!L86</f>
        <v>118970</v>
      </c>
      <c r="AC95" s="2728"/>
      <c r="AD95" s="2728"/>
      <c r="AE95" s="2728"/>
      <c r="AF95" s="2729"/>
      <c r="AG95" s="2719">
        <f>MORTGAGE!N86</f>
        <v>1.025603448275862</v>
      </c>
      <c r="AH95" s="2720"/>
      <c r="AI95" s="2720"/>
      <c r="AJ95" s="2720"/>
      <c r="AK95" s="2723"/>
      <c r="AL95" s="2719">
        <f>MORTGAGE!O86</f>
        <v>0</v>
      </c>
      <c r="AM95" s="2720"/>
      <c r="AN95" s="2720"/>
      <c r="AO95" s="2720"/>
      <c r="AP95" s="2720"/>
      <c r="AQ95" s="1239">
        <f t="shared" si="0"/>
        <v>1</v>
      </c>
    </row>
    <row r="96" spans="1:43" x14ac:dyDescent="0.25">
      <c r="A96" s="2"/>
      <c r="B96" s="2791"/>
      <c r="C96" s="2792"/>
      <c r="D96" s="2793"/>
      <c r="E96" s="2776" t="str">
        <f>IF(MORTGAGE!B87=0,"",MORTGAGE!B87)</f>
        <v/>
      </c>
      <c r="F96" s="2777"/>
      <c r="G96" s="2778"/>
      <c r="H96" s="2761">
        <f>MORTGAGE!H87</f>
        <v>0</v>
      </c>
      <c r="I96" s="2762"/>
      <c r="J96" s="2762"/>
      <c r="K96" s="2762"/>
      <c r="L96" s="2763"/>
      <c r="M96" s="2749">
        <f>MORTGAGE!J87</f>
        <v>0</v>
      </c>
      <c r="N96" s="2750"/>
      <c r="O96" s="2750"/>
      <c r="P96" s="2750"/>
      <c r="Q96" s="2751"/>
      <c r="R96" s="2739">
        <f>MORTGAGE!I87</f>
        <v>0</v>
      </c>
      <c r="S96" s="2740"/>
      <c r="T96" s="2740"/>
      <c r="U96" s="2740"/>
      <c r="V96" s="2741"/>
      <c r="W96" s="2733">
        <f>MORTGAGE!K87</f>
        <v>0</v>
      </c>
      <c r="X96" s="2734"/>
      <c r="Y96" s="2734"/>
      <c r="Z96" s="2734"/>
      <c r="AA96" s="2735"/>
      <c r="AB96" s="2727">
        <f>MORTGAGE!L87</f>
        <v>118970</v>
      </c>
      <c r="AC96" s="2728"/>
      <c r="AD96" s="2728"/>
      <c r="AE96" s="2728"/>
      <c r="AF96" s="2729"/>
      <c r="AG96" s="2719">
        <f>MORTGAGE!N87</f>
        <v>1.025603448275862</v>
      </c>
      <c r="AH96" s="2720"/>
      <c r="AI96" s="2720"/>
      <c r="AJ96" s="2720"/>
      <c r="AK96" s="2723"/>
      <c r="AL96" s="2719">
        <f>MORTGAGE!O87</f>
        <v>0</v>
      </c>
      <c r="AM96" s="2720"/>
      <c r="AN96" s="2720"/>
      <c r="AO96" s="2720"/>
      <c r="AP96" s="2720"/>
      <c r="AQ96" s="1239">
        <f t="shared" si="0"/>
        <v>1</v>
      </c>
    </row>
    <row r="97" spans="1:43" x14ac:dyDescent="0.25">
      <c r="A97" s="2"/>
      <c r="B97" s="2791"/>
      <c r="C97" s="2792"/>
      <c r="D97" s="2793"/>
      <c r="E97" s="2776" t="str">
        <f>IF(MORTGAGE!B88=0,"",MORTGAGE!B88)</f>
        <v/>
      </c>
      <c r="F97" s="2777"/>
      <c r="G97" s="2778"/>
      <c r="H97" s="2761">
        <f>MORTGAGE!H88</f>
        <v>0</v>
      </c>
      <c r="I97" s="2762"/>
      <c r="J97" s="2762"/>
      <c r="K97" s="2762"/>
      <c r="L97" s="2763"/>
      <c r="M97" s="2749">
        <f>MORTGAGE!J88</f>
        <v>0</v>
      </c>
      <c r="N97" s="2750"/>
      <c r="O97" s="2750"/>
      <c r="P97" s="2750"/>
      <c r="Q97" s="2751"/>
      <c r="R97" s="2739">
        <f>MORTGAGE!I88</f>
        <v>0</v>
      </c>
      <c r="S97" s="2740"/>
      <c r="T97" s="2740"/>
      <c r="U97" s="2740"/>
      <c r="V97" s="2741"/>
      <c r="W97" s="2733">
        <f>MORTGAGE!K88</f>
        <v>0</v>
      </c>
      <c r="X97" s="2734"/>
      <c r="Y97" s="2734"/>
      <c r="Z97" s="2734"/>
      <c r="AA97" s="2735"/>
      <c r="AB97" s="2727">
        <f>MORTGAGE!L88</f>
        <v>118970</v>
      </c>
      <c r="AC97" s="2728"/>
      <c r="AD97" s="2728"/>
      <c r="AE97" s="2728"/>
      <c r="AF97" s="2729"/>
      <c r="AG97" s="2719">
        <f>MORTGAGE!N88</f>
        <v>1.025603448275862</v>
      </c>
      <c r="AH97" s="2720"/>
      <c r="AI97" s="2720"/>
      <c r="AJ97" s="2720"/>
      <c r="AK97" s="2723"/>
      <c r="AL97" s="2719">
        <f>MORTGAGE!O88</f>
        <v>0</v>
      </c>
      <c r="AM97" s="2720"/>
      <c r="AN97" s="2720"/>
      <c r="AO97" s="2720"/>
      <c r="AP97" s="2720"/>
      <c r="AQ97" s="1239">
        <f t="shared" si="0"/>
        <v>1</v>
      </c>
    </row>
    <row r="98" spans="1:43" x14ac:dyDescent="0.25">
      <c r="A98" s="2"/>
      <c r="B98" s="2791"/>
      <c r="C98" s="2792"/>
      <c r="D98" s="2793"/>
      <c r="E98" s="2776" t="str">
        <f>IF(MORTGAGE!B89=0,"",MORTGAGE!B89)</f>
        <v/>
      </c>
      <c r="F98" s="2777"/>
      <c r="G98" s="2778"/>
      <c r="H98" s="2761">
        <f>MORTGAGE!H89</f>
        <v>0</v>
      </c>
      <c r="I98" s="2762"/>
      <c r="J98" s="2762"/>
      <c r="K98" s="2762"/>
      <c r="L98" s="2763"/>
      <c r="M98" s="2749">
        <f>MORTGAGE!J89</f>
        <v>0</v>
      </c>
      <c r="N98" s="2750"/>
      <c r="O98" s="2750"/>
      <c r="P98" s="2750"/>
      <c r="Q98" s="2751"/>
      <c r="R98" s="2739">
        <f>MORTGAGE!I89</f>
        <v>0</v>
      </c>
      <c r="S98" s="2740"/>
      <c r="T98" s="2740"/>
      <c r="U98" s="2740"/>
      <c r="V98" s="2741"/>
      <c r="W98" s="2733">
        <f>MORTGAGE!K89</f>
        <v>0</v>
      </c>
      <c r="X98" s="2734"/>
      <c r="Y98" s="2734"/>
      <c r="Z98" s="2734"/>
      <c r="AA98" s="2735"/>
      <c r="AB98" s="2727">
        <f>MORTGAGE!L89</f>
        <v>118970</v>
      </c>
      <c r="AC98" s="2728"/>
      <c r="AD98" s="2728"/>
      <c r="AE98" s="2728"/>
      <c r="AF98" s="2729"/>
      <c r="AG98" s="2719">
        <f>MORTGAGE!N89</f>
        <v>1.025603448275862</v>
      </c>
      <c r="AH98" s="2720"/>
      <c r="AI98" s="2720"/>
      <c r="AJ98" s="2720"/>
      <c r="AK98" s="2723"/>
      <c r="AL98" s="2719">
        <f>MORTGAGE!O89</f>
        <v>0</v>
      </c>
      <c r="AM98" s="2720"/>
      <c r="AN98" s="2720"/>
      <c r="AO98" s="2720"/>
      <c r="AP98" s="2720"/>
      <c r="AQ98" s="1239">
        <f t="shared" si="0"/>
        <v>1</v>
      </c>
    </row>
    <row r="99" spans="1:43" x14ac:dyDescent="0.25">
      <c r="A99" s="2"/>
      <c r="B99" s="2791"/>
      <c r="C99" s="2792"/>
      <c r="D99" s="2793"/>
      <c r="E99" s="2776" t="str">
        <f>IF(MORTGAGE!B90=0,"",MORTGAGE!B90)</f>
        <v/>
      </c>
      <c r="F99" s="2777"/>
      <c r="G99" s="2778"/>
      <c r="H99" s="2761">
        <f>MORTGAGE!H90</f>
        <v>0</v>
      </c>
      <c r="I99" s="2762"/>
      <c r="J99" s="2762"/>
      <c r="K99" s="2762"/>
      <c r="L99" s="2763"/>
      <c r="M99" s="2749">
        <f>MORTGAGE!J90</f>
        <v>0</v>
      </c>
      <c r="N99" s="2750"/>
      <c r="O99" s="2750"/>
      <c r="P99" s="2750"/>
      <c r="Q99" s="2751"/>
      <c r="R99" s="2739">
        <f>MORTGAGE!I90</f>
        <v>0</v>
      </c>
      <c r="S99" s="2740"/>
      <c r="T99" s="2740"/>
      <c r="U99" s="2740"/>
      <c r="V99" s="2741"/>
      <c r="W99" s="2733">
        <f>MORTGAGE!K90</f>
        <v>0</v>
      </c>
      <c r="X99" s="2734"/>
      <c r="Y99" s="2734"/>
      <c r="Z99" s="2734"/>
      <c r="AA99" s="2735"/>
      <c r="AB99" s="2727">
        <f>MORTGAGE!L90</f>
        <v>118970</v>
      </c>
      <c r="AC99" s="2728"/>
      <c r="AD99" s="2728"/>
      <c r="AE99" s="2728"/>
      <c r="AF99" s="2729"/>
      <c r="AG99" s="2719">
        <f>MORTGAGE!N90</f>
        <v>1.025603448275862</v>
      </c>
      <c r="AH99" s="2720"/>
      <c r="AI99" s="2720"/>
      <c r="AJ99" s="2720"/>
      <c r="AK99" s="2723"/>
      <c r="AL99" s="2719">
        <f>MORTGAGE!O90</f>
        <v>0</v>
      </c>
      <c r="AM99" s="2720"/>
      <c r="AN99" s="2720"/>
      <c r="AO99" s="2720"/>
      <c r="AP99" s="2720"/>
      <c r="AQ99" s="1239">
        <f t="shared" si="0"/>
        <v>1</v>
      </c>
    </row>
    <row r="100" spans="1:43" x14ac:dyDescent="0.25">
      <c r="A100" s="2"/>
      <c r="B100" s="2791"/>
      <c r="C100" s="2792"/>
      <c r="D100" s="2793"/>
      <c r="E100" s="2776" t="str">
        <f>IF(MORTGAGE!B91=0,"",MORTGAGE!B91)</f>
        <v/>
      </c>
      <c r="F100" s="2777"/>
      <c r="G100" s="2778"/>
      <c r="H100" s="2761">
        <f>MORTGAGE!H91</f>
        <v>0</v>
      </c>
      <c r="I100" s="2762"/>
      <c r="J100" s="2762"/>
      <c r="K100" s="2762"/>
      <c r="L100" s="2763"/>
      <c r="M100" s="2749">
        <f>MORTGAGE!J91</f>
        <v>0</v>
      </c>
      <c r="N100" s="2750"/>
      <c r="O100" s="2750"/>
      <c r="P100" s="2750"/>
      <c r="Q100" s="2751"/>
      <c r="R100" s="2739">
        <f>MORTGAGE!I91</f>
        <v>0</v>
      </c>
      <c r="S100" s="2740"/>
      <c r="T100" s="2740"/>
      <c r="U100" s="2740"/>
      <c r="V100" s="2741"/>
      <c r="W100" s="2733">
        <f>MORTGAGE!K91</f>
        <v>0</v>
      </c>
      <c r="X100" s="2734"/>
      <c r="Y100" s="2734"/>
      <c r="Z100" s="2734"/>
      <c r="AA100" s="2735"/>
      <c r="AB100" s="2727">
        <f>MORTGAGE!L91</f>
        <v>118970</v>
      </c>
      <c r="AC100" s="2728"/>
      <c r="AD100" s="2728"/>
      <c r="AE100" s="2728"/>
      <c r="AF100" s="2729"/>
      <c r="AG100" s="2719">
        <f>MORTGAGE!N91</f>
        <v>1.025603448275862</v>
      </c>
      <c r="AH100" s="2720"/>
      <c r="AI100" s="2720"/>
      <c r="AJ100" s="2720"/>
      <c r="AK100" s="2723"/>
      <c r="AL100" s="2719">
        <f>MORTGAGE!O91</f>
        <v>0</v>
      </c>
      <c r="AM100" s="2720"/>
      <c r="AN100" s="2720"/>
      <c r="AO100" s="2720"/>
      <c r="AP100" s="2720"/>
      <c r="AQ100" s="1239">
        <f t="shared" si="0"/>
        <v>1</v>
      </c>
    </row>
    <row r="101" spans="1:43" x14ac:dyDescent="0.25">
      <c r="A101" s="2"/>
      <c r="B101" s="2791"/>
      <c r="C101" s="2792"/>
      <c r="D101" s="2793"/>
      <c r="E101" s="2776" t="str">
        <f>IF(MORTGAGE!B92=0,"",MORTGAGE!B92)</f>
        <v/>
      </c>
      <c r="F101" s="2777"/>
      <c r="G101" s="2778"/>
      <c r="H101" s="2761">
        <f>MORTGAGE!H92</f>
        <v>0</v>
      </c>
      <c r="I101" s="2762"/>
      <c r="J101" s="2762"/>
      <c r="K101" s="2762"/>
      <c r="L101" s="2763"/>
      <c r="M101" s="2749">
        <f>MORTGAGE!J92</f>
        <v>0</v>
      </c>
      <c r="N101" s="2750"/>
      <c r="O101" s="2750"/>
      <c r="P101" s="2750"/>
      <c r="Q101" s="2751"/>
      <c r="R101" s="2739">
        <f>MORTGAGE!I92</f>
        <v>0</v>
      </c>
      <c r="S101" s="2740"/>
      <c r="T101" s="2740"/>
      <c r="U101" s="2740"/>
      <c r="V101" s="2741"/>
      <c r="W101" s="2733">
        <f>MORTGAGE!K92</f>
        <v>0</v>
      </c>
      <c r="X101" s="2734"/>
      <c r="Y101" s="2734"/>
      <c r="Z101" s="2734"/>
      <c r="AA101" s="2735"/>
      <c r="AB101" s="2727">
        <f>MORTGAGE!L92</f>
        <v>118970</v>
      </c>
      <c r="AC101" s="2728"/>
      <c r="AD101" s="2728"/>
      <c r="AE101" s="2728"/>
      <c r="AF101" s="2729"/>
      <c r="AG101" s="2719">
        <f>MORTGAGE!N92</f>
        <v>1.025603448275862</v>
      </c>
      <c r="AH101" s="2720"/>
      <c r="AI101" s="2720"/>
      <c r="AJ101" s="2720"/>
      <c r="AK101" s="2723"/>
      <c r="AL101" s="2719">
        <f>MORTGAGE!O92</f>
        <v>0</v>
      </c>
      <c r="AM101" s="2720"/>
      <c r="AN101" s="2720"/>
      <c r="AO101" s="2720"/>
      <c r="AP101" s="2720"/>
      <c r="AQ101" s="1239">
        <f t="shared" si="0"/>
        <v>1</v>
      </c>
    </row>
    <row r="102" spans="1:43" x14ac:dyDescent="0.25">
      <c r="A102" s="2"/>
      <c r="B102" s="2791"/>
      <c r="C102" s="2792"/>
      <c r="D102" s="2793"/>
      <c r="E102" s="2776" t="str">
        <f>IF(MORTGAGE!B93=0,"",MORTGAGE!B93)</f>
        <v/>
      </c>
      <c r="F102" s="2777"/>
      <c r="G102" s="2778"/>
      <c r="H102" s="2761">
        <f>MORTGAGE!H93</f>
        <v>0</v>
      </c>
      <c r="I102" s="2762"/>
      <c r="J102" s="2762"/>
      <c r="K102" s="2762"/>
      <c r="L102" s="2763"/>
      <c r="M102" s="2749">
        <f>MORTGAGE!J93</f>
        <v>0</v>
      </c>
      <c r="N102" s="2750"/>
      <c r="O102" s="2750"/>
      <c r="P102" s="2750"/>
      <c r="Q102" s="2751"/>
      <c r="R102" s="2739">
        <f>MORTGAGE!I93</f>
        <v>0</v>
      </c>
      <c r="S102" s="2740"/>
      <c r="T102" s="2740"/>
      <c r="U102" s="2740"/>
      <c r="V102" s="2741"/>
      <c r="W102" s="2733">
        <f>MORTGAGE!K93</f>
        <v>0</v>
      </c>
      <c r="X102" s="2734"/>
      <c r="Y102" s="2734"/>
      <c r="Z102" s="2734"/>
      <c r="AA102" s="2735"/>
      <c r="AB102" s="2727">
        <f>MORTGAGE!L93</f>
        <v>118970</v>
      </c>
      <c r="AC102" s="2728"/>
      <c r="AD102" s="2728"/>
      <c r="AE102" s="2728"/>
      <c r="AF102" s="2729"/>
      <c r="AG102" s="2719">
        <f>MORTGAGE!N93</f>
        <v>1.025603448275862</v>
      </c>
      <c r="AH102" s="2720"/>
      <c r="AI102" s="2720"/>
      <c r="AJ102" s="2720"/>
      <c r="AK102" s="2723"/>
      <c r="AL102" s="2719">
        <f>MORTGAGE!O93</f>
        <v>0</v>
      </c>
      <c r="AM102" s="2720"/>
      <c r="AN102" s="2720"/>
      <c r="AO102" s="2720"/>
      <c r="AP102" s="2720"/>
      <c r="AQ102" s="1239">
        <f t="shared" si="0"/>
        <v>1</v>
      </c>
    </row>
    <row r="103" spans="1:43" x14ac:dyDescent="0.25">
      <c r="A103" s="2"/>
      <c r="B103" s="2791"/>
      <c r="C103" s="2792"/>
      <c r="D103" s="2793"/>
      <c r="E103" s="2776" t="str">
        <f>IF(MORTGAGE!B94=0,"",MORTGAGE!B94)</f>
        <v/>
      </c>
      <c r="F103" s="2777"/>
      <c r="G103" s="2778"/>
      <c r="H103" s="2761">
        <f>MORTGAGE!H94</f>
        <v>0</v>
      </c>
      <c r="I103" s="2762"/>
      <c r="J103" s="2762"/>
      <c r="K103" s="2762"/>
      <c r="L103" s="2763"/>
      <c r="M103" s="2749">
        <f>MORTGAGE!J94</f>
        <v>0</v>
      </c>
      <c r="N103" s="2750"/>
      <c r="O103" s="2750"/>
      <c r="P103" s="2750"/>
      <c r="Q103" s="2751"/>
      <c r="R103" s="2739">
        <f>MORTGAGE!I94</f>
        <v>0</v>
      </c>
      <c r="S103" s="2740"/>
      <c r="T103" s="2740"/>
      <c r="U103" s="2740"/>
      <c r="V103" s="2741"/>
      <c r="W103" s="2733">
        <f>MORTGAGE!K94</f>
        <v>0</v>
      </c>
      <c r="X103" s="2734"/>
      <c r="Y103" s="2734"/>
      <c r="Z103" s="2734"/>
      <c r="AA103" s="2735"/>
      <c r="AB103" s="2727">
        <f>MORTGAGE!L94</f>
        <v>118970</v>
      </c>
      <c r="AC103" s="2728"/>
      <c r="AD103" s="2728"/>
      <c r="AE103" s="2728"/>
      <c r="AF103" s="2729"/>
      <c r="AG103" s="2719">
        <f>MORTGAGE!N94</f>
        <v>1.025603448275862</v>
      </c>
      <c r="AH103" s="2720"/>
      <c r="AI103" s="2720"/>
      <c r="AJ103" s="2720"/>
      <c r="AK103" s="2723"/>
      <c r="AL103" s="2719">
        <f>MORTGAGE!O94</f>
        <v>0</v>
      </c>
      <c r="AM103" s="2720"/>
      <c r="AN103" s="2720"/>
      <c r="AO103" s="2720"/>
      <c r="AP103" s="2720"/>
      <c r="AQ103" s="1239">
        <f t="shared" si="0"/>
        <v>1</v>
      </c>
    </row>
    <row r="104" spans="1:43" x14ac:dyDescent="0.25">
      <c r="A104" s="2"/>
      <c r="B104" s="2791"/>
      <c r="C104" s="2792"/>
      <c r="D104" s="2793"/>
      <c r="E104" s="2776" t="str">
        <f>IF(MORTGAGE!B95=0,"",MORTGAGE!B95)</f>
        <v/>
      </c>
      <c r="F104" s="2777"/>
      <c r="G104" s="2778"/>
      <c r="H104" s="2761">
        <f>MORTGAGE!H95</f>
        <v>0</v>
      </c>
      <c r="I104" s="2762"/>
      <c r="J104" s="2762"/>
      <c r="K104" s="2762"/>
      <c r="L104" s="2763"/>
      <c r="M104" s="2749">
        <f>MORTGAGE!J95</f>
        <v>0</v>
      </c>
      <c r="N104" s="2750"/>
      <c r="O104" s="2750"/>
      <c r="P104" s="2750"/>
      <c r="Q104" s="2751"/>
      <c r="R104" s="2739">
        <f>MORTGAGE!I95</f>
        <v>0</v>
      </c>
      <c r="S104" s="2740"/>
      <c r="T104" s="2740"/>
      <c r="U104" s="2740"/>
      <c r="V104" s="2741"/>
      <c r="W104" s="2733">
        <f>MORTGAGE!K95</f>
        <v>0</v>
      </c>
      <c r="X104" s="2734"/>
      <c r="Y104" s="2734"/>
      <c r="Z104" s="2734"/>
      <c r="AA104" s="2735"/>
      <c r="AB104" s="2727">
        <f>MORTGAGE!L95</f>
        <v>118970</v>
      </c>
      <c r="AC104" s="2728"/>
      <c r="AD104" s="2728"/>
      <c r="AE104" s="2728"/>
      <c r="AF104" s="2729"/>
      <c r="AG104" s="2719">
        <f>MORTGAGE!N95</f>
        <v>1.025603448275862</v>
      </c>
      <c r="AH104" s="2720"/>
      <c r="AI104" s="2720"/>
      <c r="AJ104" s="2720"/>
      <c r="AK104" s="2723"/>
      <c r="AL104" s="2719">
        <f>MORTGAGE!O95</f>
        <v>0</v>
      </c>
      <c r="AM104" s="2720"/>
      <c r="AN104" s="2720"/>
      <c r="AO104" s="2720"/>
      <c r="AP104" s="2720"/>
      <c r="AQ104" s="1239">
        <f t="shared" si="0"/>
        <v>1</v>
      </c>
    </row>
    <row r="105" spans="1:43" ht="14.4" thickBot="1" x14ac:dyDescent="0.3">
      <c r="A105" s="2"/>
      <c r="B105" s="2794"/>
      <c r="C105" s="2795"/>
      <c r="D105" s="2796"/>
      <c r="E105" s="2776" t="str">
        <f>IF(MORTGAGE!B96=0,"",MORTGAGE!B96)</f>
        <v/>
      </c>
      <c r="F105" s="2777"/>
      <c r="G105" s="2778"/>
      <c r="H105" s="2761">
        <f>MORTGAGE!H96</f>
        <v>0</v>
      </c>
      <c r="I105" s="2762"/>
      <c r="J105" s="2762"/>
      <c r="K105" s="2762"/>
      <c r="L105" s="2763"/>
      <c r="M105" s="2749">
        <f>MORTGAGE!J96</f>
        <v>0</v>
      </c>
      <c r="N105" s="2750"/>
      <c r="O105" s="2750"/>
      <c r="P105" s="2750"/>
      <c r="Q105" s="2751"/>
      <c r="R105" s="2739">
        <f>MORTGAGE!I96</f>
        <v>0</v>
      </c>
      <c r="S105" s="2740"/>
      <c r="T105" s="2740"/>
      <c r="U105" s="2740"/>
      <c r="V105" s="2741"/>
      <c r="W105" s="2733">
        <f>MORTGAGE!K96</f>
        <v>0</v>
      </c>
      <c r="X105" s="2734"/>
      <c r="Y105" s="2734"/>
      <c r="Z105" s="2734"/>
      <c r="AA105" s="2735"/>
      <c r="AB105" s="2727">
        <f>MORTGAGE!L96</f>
        <v>118970</v>
      </c>
      <c r="AC105" s="2728"/>
      <c r="AD105" s="2728"/>
      <c r="AE105" s="2728"/>
      <c r="AF105" s="2729"/>
      <c r="AG105" s="2719">
        <f>MORTGAGE!N96</f>
        <v>1.025603448275862</v>
      </c>
      <c r="AH105" s="2720"/>
      <c r="AI105" s="2720"/>
      <c r="AJ105" s="2720"/>
      <c r="AK105" s="2723"/>
      <c r="AL105" s="2719">
        <f>MORTGAGE!O96</f>
        <v>0</v>
      </c>
      <c r="AM105" s="2720"/>
      <c r="AN105" s="2720"/>
      <c r="AO105" s="2720"/>
      <c r="AP105" s="2720"/>
      <c r="AQ105" s="1239">
        <f t="shared" si="0"/>
        <v>1</v>
      </c>
    </row>
    <row r="106" spans="1:43" x14ac:dyDescent="0.25">
      <c r="A106" s="2"/>
      <c r="B106" s="2797" t="str">
        <f>IFERROR(ROUNDUP(E106/12,0),"")</f>
        <v/>
      </c>
      <c r="C106" s="2798"/>
      <c r="D106" s="2799"/>
      <c r="E106" s="2785" t="str">
        <f>IF(MORTGAGE!B97=0,"",MORTGAGE!B97)</f>
        <v/>
      </c>
      <c r="F106" s="2786"/>
      <c r="G106" s="2787"/>
      <c r="H106" s="2773">
        <f>MORTGAGE!H97</f>
        <v>0</v>
      </c>
      <c r="I106" s="2774"/>
      <c r="J106" s="2774"/>
      <c r="K106" s="2774"/>
      <c r="L106" s="2775"/>
      <c r="M106" s="2758">
        <f>MORTGAGE!J97</f>
        <v>0</v>
      </c>
      <c r="N106" s="2759"/>
      <c r="O106" s="2759"/>
      <c r="P106" s="2759"/>
      <c r="Q106" s="2760"/>
      <c r="R106" s="2746">
        <f>MORTGAGE!I97</f>
        <v>0</v>
      </c>
      <c r="S106" s="2747"/>
      <c r="T106" s="2747"/>
      <c r="U106" s="2747"/>
      <c r="V106" s="2748"/>
      <c r="W106" s="2736">
        <f>MORTGAGE!K97</f>
        <v>0</v>
      </c>
      <c r="X106" s="2737"/>
      <c r="Y106" s="2737"/>
      <c r="Z106" s="2737"/>
      <c r="AA106" s="2738"/>
      <c r="AB106" s="2730">
        <f>MORTGAGE!L97</f>
        <v>118970</v>
      </c>
      <c r="AC106" s="2731"/>
      <c r="AD106" s="2731"/>
      <c r="AE106" s="2731"/>
      <c r="AF106" s="2732"/>
      <c r="AG106" s="2724">
        <f>MORTGAGE!N97</f>
        <v>1.025603448275862</v>
      </c>
      <c r="AH106" s="2725"/>
      <c r="AI106" s="2725"/>
      <c r="AJ106" s="2725"/>
      <c r="AK106" s="2726"/>
      <c r="AL106" s="2721">
        <f>MORTGAGE!O97</f>
        <v>0</v>
      </c>
      <c r="AM106" s="2722"/>
      <c r="AN106" s="2722"/>
      <c r="AO106" s="2722"/>
      <c r="AP106" s="2722"/>
      <c r="AQ106" s="1239">
        <f t="shared" si="0"/>
        <v>1</v>
      </c>
    </row>
    <row r="107" spans="1:43" x14ac:dyDescent="0.25">
      <c r="A107" s="2"/>
      <c r="B107" s="2791"/>
      <c r="C107" s="2792"/>
      <c r="D107" s="2793"/>
      <c r="E107" s="2776" t="str">
        <f>IF(MORTGAGE!B98=0,"",MORTGAGE!B98)</f>
        <v/>
      </c>
      <c r="F107" s="2777"/>
      <c r="G107" s="2778"/>
      <c r="H107" s="2761">
        <f>MORTGAGE!H98</f>
        <v>0</v>
      </c>
      <c r="I107" s="2762"/>
      <c r="J107" s="2762"/>
      <c r="K107" s="2762"/>
      <c r="L107" s="2763"/>
      <c r="M107" s="2749">
        <f>MORTGAGE!J98</f>
        <v>0</v>
      </c>
      <c r="N107" s="2750"/>
      <c r="O107" s="2750"/>
      <c r="P107" s="2750"/>
      <c r="Q107" s="2751"/>
      <c r="R107" s="2739">
        <f>MORTGAGE!I98</f>
        <v>0</v>
      </c>
      <c r="S107" s="2740"/>
      <c r="T107" s="2740"/>
      <c r="U107" s="2740"/>
      <c r="V107" s="2741"/>
      <c r="W107" s="2733">
        <f>MORTGAGE!K98</f>
        <v>0</v>
      </c>
      <c r="X107" s="2734"/>
      <c r="Y107" s="2734"/>
      <c r="Z107" s="2734"/>
      <c r="AA107" s="2735"/>
      <c r="AB107" s="2727">
        <f>MORTGAGE!L98</f>
        <v>118970</v>
      </c>
      <c r="AC107" s="2728"/>
      <c r="AD107" s="2728"/>
      <c r="AE107" s="2728"/>
      <c r="AF107" s="2729"/>
      <c r="AG107" s="2719">
        <f>MORTGAGE!N98</f>
        <v>1.025603448275862</v>
      </c>
      <c r="AH107" s="2720"/>
      <c r="AI107" s="2720"/>
      <c r="AJ107" s="2720"/>
      <c r="AK107" s="2723"/>
      <c r="AL107" s="2719">
        <f>MORTGAGE!O98</f>
        <v>0</v>
      </c>
      <c r="AM107" s="2720"/>
      <c r="AN107" s="2720"/>
      <c r="AO107" s="2720"/>
      <c r="AP107" s="2720"/>
      <c r="AQ107" s="1239">
        <f t="shared" si="0"/>
        <v>1</v>
      </c>
    </row>
    <row r="108" spans="1:43" x14ac:dyDescent="0.25">
      <c r="A108" s="2"/>
      <c r="B108" s="2791"/>
      <c r="C108" s="2792"/>
      <c r="D108" s="2793"/>
      <c r="E108" s="2776" t="str">
        <f>IF(MORTGAGE!B99=0,"",MORTGAGE!B99)</f>
        <v/>
      </c>
      <c r="F108" s="2777"/>
      <c r="G108" s="2778"/>
      <c r="H108" s="2761">
        <f>MORTGAGE!H99</f>
        <v>0</v>
      </c>
      <c r="I108" s="2762"/>
      <c r="J108" s="2762"/>
      <c r="K108" s="2762"/>
      <c r="L108" s="2763"/>
      <c r="M108" s="2749">
        <f>MORTGAGE!J99</f>
        <v>0</v>
      </c>
      <c r="N108" s="2750"/>
      <c r="O108" s="2750"/>
      <c r="P108" s="2750"/>
      <c r="Q108" s="2751"/>
      <c r="R108" s="2739">
        <f>MORTGAGE!I99</f>
        <v>0</v>
      </c>
      <c r="S108" s="2740"/>
      <c r="T108" s="2740"/>
      <c r="U108" s="2740"/>
      <c r="V108" s="2741"/>
      <c r="W108" s="2733">
        <f>MORTGAGE!K99</f>
        <v>0</v>
      </c>
      <c r="X108" s="2734"/>
      <c r="Y108" s="2734"/>
      <c r="Z108" s="2734"/>
      <c r="AA108" s="2735"/>
      <c r="AB108" s="2727">
        <f>MORTGAGE!L99</f>
        <v>118970</v>
      </c>
      <c r="AC108" s="2728"/>
      <c r="AD108" s="2728"/>
      <c r="AE108" s="2728"/>
      <c r="AF108" s="2729"/>
      <c r="AG108" s="2719">
        <f>MORTGAGE!N99</f>
        <v>1.025603448275862</v>
      </c>
      <c r="AH108" s="2720"/>
      <c r="AI108" s="2720"/>
      <c r="AJ108" s="2720"/>
      <c r="AK108" s="2723"/>
      <c r="AL108" s="2719">
        <f>MORTGAGE!O99</f>
        <v>0</v>
      </c>
      <c r="AM108" s="2720"/>
      <c r="AN108" s="2720"/>
      <c r="AO108" s="2720"/>
      <c r="AP108" s="2720"/>
      <c r="AQ108" s="1239">
        <f t="shared" si="0"/>
        <v>1</v>
      </c>
    </row>
    <row r="109" spans="1:43" x14ac:dyDescent="0.25">
      <c r="A109" s="2"/>
      <c r="B109" s="2791"/>
      <c r="C109" s="2792"/>
      <c r="D109" s="2793"/>
      <c r="E109" s="2776" t="str">
        <f>IF(MORTGAGE!B100=0,"",MORTGAGE!B100)</f>
        <v/>
      </c>
      <c r="F109" s="2777"/>
      <c r="G109" s="2778"/>
      <c r="H109" s="2761">
        <f>MORTGAGE!H100</f>
        <v>0</v>
      </c>
      <c r="I109" s="2762"/>
      <c r="J109" s="2762"/>
      <c r="K109" s="2762"/>
      <c r="L109" s="2763"/>
      <c r="M109" s="2749">
        <f>MORTGAGE!J100</f>
        <v>0</v>
      </c>
      <c r="N109" s="2750"/>
      <c r="O109" s="2750"/>
      <c r="P109" s="2750"/>
      <c r="Q109" s="2751"/>
      <c r="R109" s="2739">
        <f>MORTGAGE!I100</f>
        <v>0</v>
      </c>
      <c r="S109" s="2740"/>
      <c r="T109" s="2740"/>
      <c r="U109" s="2740"/>
      <c r="V109" s="2741"/>
      <c r="W109" s="2733">
        <f>MORTGAGE!K100</f>
        <v>0</v>
      </c>
      <c r="X109" s="2734"/>
      <c r="Y109" s="2734"/>
      <c r="Z109" s="2734"/>
      <c r="AA109" s="2735"/>
      <c r="AB109" s="2727">
        <f>MORTGAGE!L100</f>
        <v>118970</v>
      </c>
      <c r="AC109" s="2728"/>
      <c r="AD109" s="2728"/>
      <c r="AE109" s="2728"/>
      <c r="AF109" s="2729"/>
      <c r="AG109" s="2719">
        <f>MORTGAGE!N100</f>
        <v>1.025603448275862</v>
      </c>
      <c r="AH109" s="2720"/>
      <c r="AI109" s="2720"/>
      <c r="AJ109" s="2720"/>
      <c r="AK109" s="2723"/>
      <c r="AL109" s="2719">
        <f>MORTGAGE!O100</f>
        <v>0</v>
      </c>
      <c r="AM109" s="2720"/>
      <c r="AN109" s="2720"/>
      <c r="AO109" s="2720"/>
      <c r="AP109" s="2720"/>
      <c r="AQ109" s="1239">
        <f t="shared" si="0"/>
        <v>1</v>
      </c>
    </row>
    <row r="110" spans="1:43" x14ac:dyDescent="0.25">
      <c r="A110" s="2"/>
      <c r="B110" s="2791"/>
      <c r="C110" s="2792"/>
      <c r="D110" s="2793"/>
      <c r="E110" s="2776" t="str">
        <f>IF(MORTGAGE!B101=0,"",MORTGAGE!B101)</f>
        <v/>
      </c>
      <c r="F110" s="2777"/>
      <c r="G110" s="2778"/>
      <c r="H110" s="2761">
        <f>MORTGAGE!H101</f>
        <v>0</v>
      </c>
      <c r="I110" s="2762"/>
      <c r="J110" s="2762"/>
      <c r="K110" s="2762"/>
      <c r="L110" s="2763"/>
      <c r="M110" s="2749">
        <f>MORTGAGE!J101</f>
        <v>0</v>
      </c>
      <c r="N110" s="2750"/>
      <c r="O110" s="2750"/>
      <c r="P110" s="2750"/>
      <c r="Q110" s="2751"/>
      <c r="R110" s="2739">
        <f>MORTGAGE!I101</f>
        <v>0</v>
      </c>
      <c r="S110" s="2740"/>
      <c r="T110" s="2740"/>
      <c r="U110" s="2740"/>
      <c r="V110" s="2741"/>
      <c r="W110" s="2733">
        <f>MORTGAGE!K101</f>
        <v>0</v>
      </c>
      <c r="X110" s="2734"/>
      <c r="Y110" s="2734"/>
      <c r="Z110" s="2734"/>
      <c r="AA110" s="2735"/>
      <c r="AB110" s="2727">
        <f>MORTGAGE!L101</f>
        <v>118970</v>
      </c>
      <c r="AC110" s="2728"/>
      <c r="AD110" s="2728"/>
      <c r="AE110" s="2728"/>
      <c r="AF110" s="2729"/>
      <c r="AG110" s="2719">
        <f>MORTGAGE!N101</f>
        <v>1.025603448275862</v>
      </c>
      <c r="AH110" s="2720"/>
      <c r="AI110" s="2720"/>
      <c r="AJ110" s="2720"/>
      <c r="AK110" s="2723"/>
      <c r="AL110" s="2719">
        <f>MORTGAGE!O101</f>
        <v>0</v>
      </c>
      <c r="AM110" s="2720"/>
      <c r="AN110" s="2720"/>
      <c r="AO110" s="2720"/>
      <c r="AP110" s="2720"/>
      <c r="AQ110" s="1239">
        <f t="shared" ref="AQ110:AQ173" si="1">IF(SUM(H110:AG110)=0,0,1)</f>
        <v>1</v>
      </c>
    </row>
    <row r="111" spans="1:43" x14ac:dyDescent="0.25">
      <c r="A111" s="2"/>
      <c r="B111" s="2791"/>
      <c r="C111" s="2792"/>
      <c r="D111" s="2793"/>
      <c r="E111" s="2776" t="str">
        <f>IF(MORTGAGE!B102=0,"",MORTGAGE!B102)</f>
        <v/>
      </c>
      <c r="F111" s="2777"/>
      <c r="G111" s="2778"/>
      <c r="H111" s="2761">
        <f>MORTGAGE!H102</f>
        <v>0</v>
      </c>
      <c r="I111" s="2762"/>
      <c r="J111" s="2762"/>
      <c r="K111" s="2762"/>
      <c r="L111" s="2763"/>
      <c r="M111" s="2749">
        <f>MORTGAGE!J102</f>
        <v>0</v>
      </c>
      <c r="N111" s="2750"/>
      <c r="O111" s="2750"/>
      <c r="P111" s="2750"/>
      <c r="Q111" s="2751"/>
      <c r="R111" s="2739">
        <f>MORTGAGE!I102</f>
        <v>0</v>
      </c>
      <c r="S111" s="2740"/>
      <c r="T111" s="2740"/>
      <c r="U111" s="2740"/>
      <c r="V111" s="2741"/>
      <c r="W111" s="2733">
        <f>MORTGAGE!K102</f>
        <v>0</v>
      </c>
      <c r="X111" s="2734"/>
      <c r="Y111" s="2734"/>
      <c r="Z111" s="2734"/>
      <c r="AA111" s="2735"/>
      <c r="AB111" s="2727">
        <f>MORTGAGE!L102</f>
        <v>118970</v>
      </c>
      <c r="AC111" s="2728"/>
      <c r="AD111" s="2728"/>
      <c r="AE111" s="2728"/>
      <c r="AF111" s="2729"/>
      <c r="AG111" s="2719">
        <f>MORTGAGE!N102</f>
        <v>1.025603448275862</v>
      </c>
      <c r="AH111" s="2720"/>
      <c r="AI111" s="2720"/>
      <c r="AJ111" s="2720"/>
      <c r="AK111" s="2723"/>
      <c r="AL111" s="2719">
        <f>MORTGAGE!O102</f>
        <v>0</v>
      </c>
      <c r="AM111" s="2720"/>
      <c r="AN111" s="2720"/>
      <c r="AO111" s="2720"/>
      <c r="AP111" s="2720"/>
      <c r="AQ111" s="1239">
        <f t="shared" si="1"/>
        <v>1</v>
      </c>
    </row>
    <row r="112" spans="1:43" x14ac:dyDescent="0.25">
      <c r="A112" s="2"/>
      <c r="B112" s="2791"/>
      <c r="C112" s="2792"/>
      <c r="D112" s="2793"/>
      <c r="E112" s="2776" t="str">
        <f>IF(MORTGAGE!B103=0,"",MORTGAGE!B103)</f>
        <v/>
      </c>
      <c r="F112" s="2777"/>
      <c r="G112" s="2778"/>
      <c r="H112" s="2761">
        <f>MORTGAGE!H103</f>
        <v>0</v>
      </c>
      <c r="I112" s="2762"/>
      <c r="J112" s="2762"/>
      <c r="K112" s="2762"/>
      <c r="L112" s="2763"/>
      <c r="M112" s="2749">
        <f>MORTGAGE!J103</f>
        <v>0</v>
      </c>
      <c r="N112" s="2750"/>
      <c r="O112" s="2750"/>
      <c r="P112" s="2750"/>
      <c r="Q112" s="2751"/>
      <c r="R112" s="2739">
        <f>MORTGAGE!I103</f>
        <v>0</v>
      </c>
      <c r="S112" s="2740"/>
      <c r="T112" s="2740"/>
      <c r="U112" s="2740"/>
      <c r="V112" s="2741"/>
      <c r="W112" s="2733">
        <f>MORTGAGE!K103</f>
        <v>0</v>
      </c>
      <c r="X112" s="2734"/>
      <c r="Y112" s="2734"/>
      <c r="Z112" s="2734"/>
      <c r="AA112" s="2735"/>
      <c r="AB112" s="2727">
        <f>MORTGAGE!L103</f>
        <v>118970</v>
      </c>
      <c r="AC112" s="2728"/>
      <c r="AD112" s="2728"/>
      <c r="AE112" s="2728"/>
      <c r="AF112" s="2729"/>
      <c r="AG112" s="2719">
        <f>MORTGAGE!N103</f>
        <v>1.025603448275862</v>
      </c>
      <c r="AH112" s="2720"/>
      <c r="AI112" s="2720"/>
      <c r="AJ112" s="2720"/>
      <c r="AK112" s="2723"/>
      <c r="AL112" s="2719">
        <f>MORTGAGE!O103</f>
        <v>0</v>
      </c>
      <c r="AM112" s="2720"/>
      <c r="AN112" s="2720"/>
      <c r="AO112" s="2720"/>
      <c r="AP112" s="2720"/>
      <c r="AQ112" s="1239">
        <f t="shared" si="1"/>
        <v>1</v>
      </c>
    </row>
    <row r="113" spans="1:43" x14ac:dyDescent="0.25">
      <c r="A113" s="2"/>
      <c r="B113" s="2791"/>
      <c r="C113" s="2792"/>
      <c r="D113" s="2793"/>
      <c r="E113" s="2776" t="str">
        <f>IF(MORTGAGE!B104=0,"",MORTGAGE!B104)</f>
        <v/>
      </c>
      <c r="F113" s="2777"/>
      <c r="G113" s="2778"/>
      <c r="H113" s="2761">
        <f>MORTGAGE!H104</f>
        <v>0</v>
      </c>
      <c r="I113" s="2762"/>
      <c r="J113" s="2762"/>
      <c r="K113" s="2762"/>
      <c r="L113" s="2763"/>
      <c r="M113" s="2749">
        <f>MORTGAGE!J104</f>
        <v>0</v>
      </c>
      <c r="N113" s="2750"/>
      <c r="O113" s="2750"/>
      <c r="P113" s="2750"/>
      <c r="Q113" s="2751"/>
      <c r="R113" s="2739">
        <f>MORTGAGE!I104</f>
        <v>0</v>
      </c>
      <c r="S113" s="2740"/>
      <c r="T113" s="2740"/>
      <c r="U113" s="2740"/>
      <c r="V113" s="2741"/>
      <c r="W113" s="2733">
        <f>MORTGAGE!K104</f>
        <v>0</v>
      </c>
      <c r="X113" s="2734"/>
      <c r="Y113" s="2734"/>
      <c r="Z113" s="2734"/>
      <c r="AA113" s="2735"/>
      <c r="AB113" s="2727">
        <f>MORTGAGE!L104</f>
        <v>118970</v>
      </c>
      <c r="AC113" s="2728"/>
      <c r="AD113" s="2728"/>
      <c r="AE113" s="2728"/>
      <c r="AF113" s="2729"/>
      <c r="AG113" s="2719">
        <f>MORTGAGE!N104</f>
        <v>1.025603448275862</v>
      </c>
      <c r="AH113" s="2720"/>
      <c r="AI113" s="2720"/>
      <c r="AJ113" s="2720"/>
      <c r="AK113" s="2723"/>
      <c r="AL113" s="2719">
        <f>MORTGAGE!O104</f>
        <v>0</v>
      </c>
      <c r="AM113" s="2720"/>
      <c r="AN113" s="2720"/>
      <c r="AO113" s="2720"/>
      <c r="AP113" s="2720"/>
      <c r="AQ113" s="1239">
        <f t="shared" si="1"/>
        <v>1</v>
      </c>
    </row>
    <row r="114" spans="1:43" x14ac:dyDescent="0.25">
      <c r="A114" s="2"/>
      <c r="B114" s="2791"/>
      <c r="C114" s="2792"/>
      <c r="D114" s="2793"/>
      <c r="E114" s="2776" t="str">
        <f>IF(MORTGAGE!B105=0,"",MORTGAGE!B105)</f>
        <v/>
      </c>
      <c r="F114" s="2777"/>
      <c r="G114" s="2778"/>
      <c r="H114" s="2761">
        <f>MORTGAGE!H105</f>
        <v>0</v>
      </c>
      <c r="I114" s="2762"/>
      <c r="J114" s="2762"/>
      <c r="K114" s="2762"/>
      <c r="L114" s="2763"/>
      <c r="M114" s="2749">
        <f>MORTGAGE!J105</f>
        <v>0</v>
      </c>
      <c r="N114" s="2750"/>
      <c r="O114" s="2750"/>
      <c r="P114" s="2750"/>
      <c r="Q114" s="2751"/>
      <c r="R114" s="2739">
        <f>MORTGAGE!I105</f>
        <v>0</v>
      </c>
      <c r="S114" s="2740"/>
      <c r="T114" s="2740"/>
      <c r="U114" s="2740"/>
      <c r="V114" s="2741"/>
      <c r="W114" s="2733">
        <f>MORTGAGE!K105</f>
        <v>0</v>
      </c>
      <c r="X114" s="2734"/>
      <c r="Y114" s="2734"/>
      <c r="Z114" s="2734"/>
      <c r="AA114" s="2735"/>
      <c r="AB114" s="2727">
        <f>MORTGAGE!L105</f>
        <v>118970</v>
      </c>
      <c r="AC114" s="2728"/>
      <c r="AD114" s="2728"/>
      <c r="AE114" s="2728"/>
      <c r="AF114" s="2729"/>
      <c r="AG114" s="2719">
        <f>MORTGAGE!N105</f>
        <v>1.025603448275862</v>
      </c>
      <c r="AH114" s="2720"/>
      <c r="AI114" s="2720"/>
      <c r="AJ114" s="2720"/>
      <c r="AK114" s="2723"/>
      <c r="AL114" s="2719">
        <f>MORTGAGE!O105</f>
        <v>0</v>
      </c>
      <c r="AM114" s="2720"/>
      <c r="AN114" s="2720"/>
      <c r="AO114" s="2720"/>
      <c r="AP114" s="2720"/>
      <c r="AQ114" s="1239">
        <f t="shared" si="1"/>
        <v>1</v>
      </c>
    </row>
    <row r="115" spans="1:43" x14ac:dyDescent="0.25">
      <c r="A115" s="2"/>
      <c r="B115" s="2791"/>
      <c r="C115" s="2792"/>
      <c r="D115" s="2793"/>
      <c r="E115" s="2776" t="str">
        <f>IF(MORTGAGE!B106=0,"",MORTGAGE!B106)</f>
        <v/>
      </c>
      <c r="F115" s="2777"/>
      <c r="G115" s="2778"/>
      <c r="H115" s="2761">
        <f>MORTGAGE!H106</f>
        <v>0</v>
      </c>
      <c r="I115" s="2762"/>
      <c r="J115" s="2762"/>
      <c r="K115" s="2762"/>
      <c r="L115" s="2763"/>
      <c r="M115" s="2749">
        <f>MORTGAGE!J106</f>
        <v>0</v>
      </c>
      <c r="N115" s="2750"/>
      <c r="O115" s="2750"/>
      <c r="P115" s="2750"/>
      <c r="Q115" s="2751"/>
      <c r="R115" s="2739">
        <f>MORTGAGE!I106</f>
        <v>0</v>
      </c>
      <c r="S115" s="2740"/>
      <c r="T115" s="2740"/>
      <c r="U115" s="2740"/>
      <c r="V115" s="2741"/>
      <c r="W115" s="2733">
        <f>MORTGAGE!K106</f>
        <v>0</v>
      </c>
      <c r="X115" s="2734"/>
      <c r="Y115" s="2734"/>
      <c r="Z115" s="2734"/>
      <c r="AA115" s="2735"/>
      <c r="AB115" s="2727">
        <f>MORTGAGE!L106</f>
        <v>118970</v>
      </c>
      <c r="AC115" s="2728"/>
      <c r="AD115" s="2728"/>
      <c r="AE115" s="2728"/>
      <c r="AF115" s="2729"/>
      <c r="AG115" s="2719">
        <f>MORTGAGE!N106</f>
        <v>1.025603448275862</v>
      </c>
      <c r="AH115" s="2720"/>
      <c r="AI115" s="2720"/>
      <c r="AJ115" s="2720"/>
      <c r="AK115" s="2723"/>
      <c r="AL115" s="2719">
        <f>MORTGAGE!O106</f>
        <v>0</v>
      </c>
      <c r="AM115" s="2720"/>
      <c r="AN115" s="2720"/>
      <c r="AO115" s="2720"/>
      <c r="AP115" s="2720"/>
      <c r="AQ115" s="1239">
        <f t="shared" si="1"/>
        <v>1</v>
      </c>
    </row>
    <row r="116" spans="1:43" x14ac:dyDescent="0.25">
      <c r="A116" s="2"/>
      <c r="B116" s="2791"/>
      <c r="C116" s="2792"/>
      <c r="D116" s="2793"/>
      <c r="E116" s="2776" t="str">
        <f>IF(MORTGAGE!B107=0,"",MORTGAGE!B107)</f>
        <v/>
      </c>
      <c r="F116" s="2777"/>
      <c r="G116" s="2778"/>
      <c r="H116" s="2761">
        <f>MORTGAGE!H107</f>
        <v>0</v>
      </c>
      <c r="I116" s="2762"/>
      <c r="J116" s="2762"/>
      <c r="K116" s="2762"/>
      <c r="L116" s="2763"/>
      <c r="M116" s="2749">
        <f>MORTGAGE!J107</f>
        <v>0</v>
      </c>
      <c r="N116" s="2750"/>
      <c r="O116" s="2750"/>
      <c r="P116" s="2750"/>
      <c r="Q116" s="2751"/>
      <c r="R116" s="2739">
        <f>MORTGAGE!I107</f>
        <v>0</v>
      </c>
      <c r="S116" s="2740"/>
      <c r="T116" s="2740"/>
      <c r="U116" s="2740"/>
      <c r="V116" s="2741"/>
      <c r="W116" s="2733">
        <f>MORTGAGE!K107</f>
        <v>0</v>
      </c>
      <c r="X116" s="2734"/>
      <c r="Y116" s="2734"/>
      <c r="Z116" s="2734"/>
      <c r="AA116" s="2735"/>
      <c r="AB116" s="2727">
        <f>MORTGAGE!L107</f>
        <v>118970</v>
      </c>
      <c r="AC116" s="2728"/>
      <c r="AD116" s="2728"/>
      <c r="AE116" s="2728"/>
      <c r="AF116" s="2729"/>
      <c r="AG116" s="2719">
        <f>MORTGAGE!N107</f>
        <v>1.025603448275862</v>
      </c>
      <c r="AH116" s="2720"/>
      <c r="AI116" s="2720"/>
      <c r="AJ116" s="2720"/>
      <c r="AK116" s="2723"/>
      <c r="AL116" s="2719">
        <f>MORTGAGE!O107</f>
        <v>0</v>
      </c>
      <c r="AM116" s="2720"/>
      <c r="AN116" s="2720"/>
      <c r="AO116" s="2720"/>
      <c r="AP116" s="2720"/>
      <c r="AQ116" s="1239">
        <f t="shared" si="1"/>
        <v>1</v>
      </c>
    </row>
    <row r="117" spans="1:43" ht="14.4" thickBot="1" x14ac:dyDescent="0.3">
      <c r="A117" s="2"/>
      <c r="B117" s="2794"/>
      <c r="C117" s="2795"/>
      <c r="D117" s="2796"/>
      <c r="E117" s="2776" t="str">
        <f>IF(MORTGAGE!B108=0,"",MORTGAGE!B108)</f>
        <v/>
      </c>
      <c r="F117" s="2777"/>
      <c r="G117" s="2778"/>
      <c r="H117" s="2761">
        <f>MORTGAGE!H108</f>
        <v>0</v>
      </c>
      <c r="I117" s="2762"/>
      <c r="J117" s="2762"/>
      <c r="K117" s="2762"/>
      <c r="L117" s="2763"/>
      <c r="M117" s="2749">
        <f>MORTGAGE!J108</f>
        <v>0</v>
      </c>
      <c r="N117" s="2750"/>
      <c r="O117" s="2750"/>
      <c r="P117" s="2750"/>
      <c r="Q117" s="2751"/>
      <c r="R117" s="2739">
        <f>MORTGAGE!I108</f>
        <v>0</v>
      </c>
      <c r="S117" s="2740"/>
      <c r="T117" s="2740"/>
      <c r="U117" s="2740"/>
      <c r="V117" s="2741"/>
      <c r="W117" s="2733">
        <f>MORTGAGE!K108</f>
        <v>0</v>
      </c>
      <c r="X117" s="2734"/>
      <c r="Y117" s="2734"/>
      <c r="Z117" s="2734"/>
      <c r="AA117" s="2735"/>
      <c r="AB117" s="2727">
        <f>MORTGAGE!L108</f>
        <v>118970</v>
      </c>
      <c r="AC117" s="2728"/>
      <c r="AD117" s="2728"/>
      <c r="AE117" s="2728"/>
      <c r="AF117" s="2729"/>
      <c r="AG117" s="2719">
        <f>MORTGAGE!N108</f>
        <v>1.025603448275862</v>
      </c>
      <c r="AH117" s="2720"/>
      <c r="AI117" s="2720"/>
      <c r="AJ117" s="2720"/>
      <c r="AK117" s="2723"/>
      <c r="AL117" s="2719">
        <f>MORTGAGE!O108</f>
        <v>0</v>
      </c>
      <c r="AM117" s="2720"/>
      <c r="AN117" s="2720"/>
      <c r="AO117" s="2720"/>
      <c r="AP117" s="2720"/>
      <c r="AQ117" s="1239">
        <f t="shared" si="1"/>
        <v>1</v>
      </c>
    </row>
    <row r="118" spans="1:43" x14ac:dyDescent="0.25">
      <c r="A118" s="2"/>
      <c r="B118" s="2797" t="str">
        <f>IFERROR(ROUNDUP(E118/12,0),"")</f>
        <v/>
      </c>
      <c r="C118" s="2798"/>
      <c r="D118" s="2799"/>
      <c r="E118" s="2785" t="str">
        <f>IF(MORTGAGE!B109=0,"",MORTGAGE!B109)</f>
        <v/>
      </c>
      <c r="F118" s="2786"/>
      <c r="G118" s="2787"/>
      <c r="H118" s="2773">
        <f>MORTGAGE!H109</f>
        <v>0</v>
      </c>
      <c r="I118" s="2774"/>
      <c r="J118" s="2774"/>
      <c r="K118" s="2774"/>
      <c r="L118" s="2775"/>
      <c r="M118" s="2758">
        <f>MORTGAGE!J109</f>
        <v>0</v>
      </c>
      <c r="N118" s="2759"/>
      <c r="O118" s="2759"/>
      <c r="P118" s="2759"/>
      <c r="Q118" s="2760"/>
      <c r="R118" s="2746">
        <f>MORTGAGE!I109</f>
        <v>0</v>
      </c>
      <c r="S118" s="2747"/>
      <c r="T118" s="2747"/>
      <c r="U118" s="2747"/>
      <c r="V118" s="2748"/>
      <c r="W118" s="2736">
        <f>MORTGAGE!K109</f>
        <v>0</v>
      </c>
      <c r="X118" s="2737"/>
      <c r="Y118" s="2737"/>
      <c r="Z118" s="2737"/>
      <c r="AA118" s="2738"/>
      <c r="AB118" s="2730">
        <f>MORTGAGE!L109</f>
        <v>118970</v>
      </c>
      <c r="AC118" s="2731"/>
      <c r="AD118" s="2731"/>
      <c r="AE118" s="2731"/>
      <c r="AF118" s="2732"/>
      <c r="AG118" s="2724">
        <f>MORTGAGE!N109</f>
        <v>1.025603448275862</v>
      </c>
      <c r="AH118" s="2725"/>
      <c r="AI118" s="2725"/>
      <c r="AJ118" s="2725"/>
      <c r="AK118" s="2726"/>
      <c r="AL118" s="2721">
        <f>MORTGAGE!O109</f>
        <v>0</v>
      </c>
      <c r="AM118" s="2722"/>
      <c r="AN118" s="2722"/>
      <c r="AO118" s="2722"/>
      <c r="AP118" s="2722"/>
      <c r="AQ118" s="1239">
        <f t="shared" si="1"/>
        <v>1</v>
      </c>
    </row>
    <row r="119" spans="1:43" x14ac:dyDescent="0.25">
      <c r="A119" s="2"/>
      <c r="B119" s="2791"/>
      <c r="C119" s="2792"/>
      <c r="D119" s="2793"/>
      <c r="E119" s="2776" t="str">
        <f>IF(MORTGAGE!B110=0,"",MORTGAGE!B110)</f>
        <v/>
      </c>
      <c r="F119" s="2777"/>
      <c r="G119" s="2778"/>
      <c r="H119" s="2761">
        <f>MORTGAGE!H110</f>
        <v>0</v>
      </c>
      <c r="I119" s="2762"/>
      <c r="J119" s="2762"/>
      <c r="K119" s="2762"/>
      <c r="L119" s="2763"/>
      <c r="M119" s="2749">
        <f>MORTGAGE!J110</f>
        <v>0</v>
      </c>
      <c r="N119" s="2750"/>
      <c r="O119" s="2750"/>
      <c r="P119" s="2750"/>
      <c r="Q119" s="2751"/>
      <c r="R119" s="2739">
        <f>MORTGAGE!I110</f>
        <v>0</v>
      </c>
      <c r="S119" s="2740"/>
      <c r="T119" s="2740"/>
      <c r="U119" s="2740"/>
      <c r="V119" s="2741"/>
      <c r="W119" s="2733">
        <f>MORTGAGE!K110</f>
        <v>0</v>
      </c>
      <c r="X119" s="2734"/>
      <c r="Y119" s="2734"/>
      <c r="Z119" s="2734"/>
      <c r="AA119" s="2735"/>
      <c r="AB119" s="2727">
        <f>MORTGAGE!L110</f>
        <v>118970</v>
      </c>
      <c r="AC119" s="2728"/>
      <c r="AD119" s="2728"/>
      <c r="AE119" s="2728"/>
      <c r="AF119" s="2729"/>
      <c r="AG119" s="2719">
        <f>MORTGAGE!N110</f>
        <v>1.025603448275862</v>
      </c>
      <c r="AH119" s="2720"/>
      <c r="AI119" s="2720"/>
      <c r="AJ119" s="2720"/>
      <c r="AK119" s="2723"/>
      <c r="AL119" s="2719">
        <f>MORTGAGE!O110</f>
        <v>0</v>
      </c>
      <c r="AM119" s="2720"/>
      <c r="AN119" s="2720"/>
      <c r="AO119" s="2720"/>
      <c r="AP119" s="2720"/>
      <c r="AQ119" s="1239">
        <f t="shared" si="1"/>
        <v>1</v>
      </c>
    </row>
    <row r="120" spans="1:43" x14ac:dyDescent="0.25">
      <c r="A120" s="2"/>
      <c r="B120" s="2791"/>
      <c r="C120" s="2792"/>
      <c r="D120" s="2793"/>
      <c r="E120" s="2776" t="str">
        <f>IF(MORTGAGE!B111=0,"",MORTGAGE!B111)</f>
        <v/>
      </c>
      <c r="F120" s="2777"/>
      <c r="G120" s="2778"/>
      <c r="H120" s="2761">
        <f>MORTGAGE!H111</f>
        <v>0</v>
      </c>
      <c r="I120" s="2762"/>
      <c r="J120" s="2762"/>
      <c r="K120" s="2762"/>
      <c r="L120" s="2763"/>
      <c r="M120" s="2749">
        <f>MORTGAGE!J111</f>
        <v>0</v>
      </c>
      <c r="N120" s="2750"/>
      <c r="O120" s="2750"/>
      <c r="P120" s="2750"/>
      <c r="Q120" s="2751"/>
      <c r="R120" s="2739">
        <f>MORTGAGE!I111</f>
        <v>0</v>
      </c>
      <c r="S120" s="2740"/>
      <c r="T120" s="2740"/>
      <c r="U120" s="2740"/>
      <c r="V120" s="2741"/>
      <c r="W120" s="2733">
        <f>MORTGAGE!K111</f>
        <v>0</v>
      </c>
      <c r="X120" s="2734"/>
      <c r="Y120" s="2734"/>
      <c r="Z120" s="2734"/>
      <c r="AA120" s="2735"/>
      <c r="AB120" s="2727">
        <f>MORTGAGE!L111</f>
        <v>118970</v>
      </c>
      <c r="AC120" s="2728"/>
      <c r="AD120" s="2728"/>
      <c r="AE120" s="2728"/>
      <c r="AF120" s="2729"/>
      <c r="AG120" s="2719">
        <f>MORTGAGE!N111</f>
        <v>1.025603448275862</v>
      </c>
      <c r="AH120" s="2720"/>
      <c r="AI120" s="2720"/>
      <c r="AJ120" s="2720"/>
      <c r="AK120" s="2723"/>
      <c r="AL120" s="2719">
        <f>MORTGAGE!O111</f>
        <v>0</v>
      </c>
      <c r="AM120" s="2720"/>
      <c r="AN120" s="2720"/>
      <c r="AO120" s="2720"/>
      <c r="AP120" s="2720"/>
      <c r="AQ120" s="1239">
        <f t="shared" si="1"/>
        <v>1</v>
      </c>
    </row>
    <row r="121" spans="1:43" x14ac:dyDescent="0.25">
      <c r="A121" s="2"/>
      <c r="B121" s="2791"/>
      <c r="C121" s="2792"/>
      <c r="D121" s="2793"/>
      <c r="E121" s="2776" t="str">
        <f>IF(MORTGAGE!B112=0,"",MORTGAGE!B112)</f>
        <v/>
      </c>
      <c r="F121" s="2777"/>
      <c r="G121" s="2778"/>
      <c r="H121" s="2761">
        <f>MORTGAGE!H112</f>
        <v>0</v>
      </c>
      <c r="I121" s="2762"/>
      <c r="J121" s="2762"/>
      <c r="K121" s="2762"/>
      <c r="L121" s="2763"/>
      <c r="M121" s="2749">
        <f>MORTGAGE!J112</f>
        <v>0</v>
      </c>
      <c r="N121" s="2750"/>
      <c r="O121" s="2750"/>
      <c r="P121" s="2750"/>
      <c r="Q121" s="2751"/>
      <c r="R121" s="2739">
        <f>MORTGAGE!I112</f>
        <v>0</v>
      </c>
      <c r="S121" s="2740"/>
      <c r="T121" s="2740"/>
      <c r="U121" s="2740"/>
      <c r="V121" s="2741"/>
      <c r="W121" s="2733">
        <f>MORTGAGE!K112</f>
        <v>0</v>
      </c>
      <c r="X121" s="2734"/>
      <c r="Y121" s="2734"/>
      <c r="Z121" s="2734"/>
      <c r="AA121" s="2735"/>
      <c r="AB121" s="2727">
        <f>MORTGAGE!L112</f>
        <v>118970</v>
      </c>
      <c r="AC121" s="2728"/>
      <c r="AD121" s="2728"/>
      <c r="AE121" s="2728"/>
      <c r="AF121" s="2729"/>
      <c r="AG121" s="2719">
        <f>MORTGAGE!N112</f>
        <v>1.025603448275862</v>
      </c>
      <c r="AH121" s="2720"/>
      <c r="AI121" s="2720"/>
      <c r="AJ121" s="2720"/>
      <c r="AK121" s="2723"/>
      <c r="AL121" s="2719">
        <f>MORTGAGE!O112</f>
        <v>0</v>
      </c>
      <c r="AM121" s="2720"/>
      <c r="AN121" s="2720"/>
      <c r="AO121" s="2720"/>
      <c r="AP121" s="2720"/>
      <c r="AQ121" s="1239">
        <f t="shared" si="1"/>
        <v>1</v>
      </c>
    </row>
    <row r="122" spans="1:43" x14ac:dyDescent="0.25">
      <c r="A122" s="2"/>
      <c r="B122" s="2791"/>
      <c r="C122" s="2792"/>
      <c r="D122" s="2793"/>
      <c r="E122" s="2776" t="str">
        <f>IF(MORTGAGE!B113=0,"",MORTGAGE!B113)</f>
        <v/>
      </c>
      <c r="F122" s="2777"/>
      <c r="G122" s="2778"/>
      <c r="H122" s="2761">
        <f>MORTGAGE!H113</f>
        <v>0</v>
      </c>
      <c r="I122" s="2762"/>
      <c r="J122" s="2762"/>
      <c r="K122" s="2762"/>
      <c r="L122" s="2763"/>
      <c r="M122" s="2749">
        <f>MORTGAGE!J113</f>
        <v>0</v>
      </c>
      <c r="N122" s="2750"/>
      <c r="O122" s="2750"/>
      <c r="P122" s="2750"/>
      <c r="Q122" s="2751"/>
      <c r="R122" s="2739">
        <f>MORTGAGE!I113</f>
        <v>0</v>
      </c>
      <c r="S122" s="2740"/>
      <c r="T122" s="2740"/>
      <c r="U122" s="2740"/>
      <c r="V122" s="2741"/>
      <c r="W122" s="2733">
        <f>MORTGAGE!K113</f>
        <v>0</v>
      </c>
      <c r="X122" s="2734"/>
      <c r="Y122" s="2734"/>
      <c r="Z122" s="2734"/>
      <c r="AA122" s="2735"/>
      <c r="AB122" s="2727">
        <f>MORTGAGE!L113</f>
        <v>118970</v>
      </c>
      <c r="AC122" s="2728"/>
      <c r="AD122" s="2728"/>
      <c r="AE122" s="2728"/>
      <c r="AF122" s="2729"/>
      <c r="AG122" s="2719">
        <f>MORTGAGE!N113</f>
        <v>1.025603448275862</v>
      </c>
      <c r="AH122" s="2720"/>
      <c r="AI122" s="2720"/>
      <c r="AJ122" s="2720"/>
      <c r="AK122" s="2723"/>
      <c r="AL122" s="2719">
        <f>MORTGAGE!O113</f>
        <v>0</v>
      </c>
      <c r="AM122" s="2720"/>
      <c r="AN122" s="2720"/>
      <c r="AO122" s="2720"/>
      <c r="AP122" s="2720"/>
      <c r="AQ122" s="1239">
        <f t="shared" si="1"/>
        <v>1</v>
      </c>
    </row>
    <row r="123" spans="1:43" x14ac:dyDescent="0.25">
      <c r="A123" s="2"/>
      <c r="B123" s="2791"/>
      <c r="C123" s="2792"/>
      <c r="D123" s="2793"/>
      <c r="E123" s="2776" t="str">
        <f>IF(MORTGAGE!B114=0,"",MORTGAGE!B114)</f>
        <v/>
      </c>
      <c r="F123" s="2777"/>
      <c r="G123" s="2778"/>
      <c r="H123" s="2761">
        <f>MORTGAGE!H114</f>
        <v>0</v>
      </c>
      <c r="I123" s="2762"/>
      <c r="J123" s="2762"/>
      <c r="K123" s="2762"/>
      <c r="L123" s="2763"/>
      <c r="M123" s="2749">
        <f>MORTGAGE!J114</f>
        <v>0</v>
      </c>
      <c r="N123" s="2750"/>
      <c r="O123" s="2750"/>
      <c r="P123" s="2750"/>
      <c r="Q123" s="2751"/>
      <c r="R123" s="2739">
        <f>MORTGAGE!I114</f>
        <v>0</v>
      </c>
      <c r="S123" s="2740"/>
      <c r="T123" s="2740"/>
      <c r="U123" s="2740"/>
      <c r="V123" s="2741"/>
      <c r="W123" s="2733">
        <f>MORTGAGE!K114</f>
        <v>0</v>
      </c>
      <c r="X123" s="2734"/>
      <c r="Y123" s="2734"/>
      <c r="Z123" s="2734"/>
      <c r="AA123" s="2735"/>
      <c r="AB123" s="2727">
        <f>MORTGAGE!L114</f>
        <v>118970</v>
      </c>
      <c r="AC123" s="2728"/>
      <c r="AD123" s="2728"/>
      <c r="AE123" s="2728"/>
      <c r="AF123" s="2729"/>
      <c r="AG123" s="2719">
        <f>MORTGAGE!N114</f>
        <v>1.025603448275862</v>
      </c>
      <c r="AH123" s="2720"/>
      <c r="AI123" s="2720"/>
      <c r="AJ123" s="2720"/>
      <c r="AK123" s="2723"/>
      <c r="AL123" s="2719">
        <f>MORTGAGE!O114</f>
        <v>0</v>
      </c>
      <c r="AM123" s="2720"/>
      <c r="AN123" s="2720"/>
      <c r="AO123" s="2720"/>
      <c r="AP123" s="2720"/>
      <c r="AQ123" s="1239">
        <f t="shared" si="1"/>
        <v>1</v>
      </c>
    </row>
    <row r="124" spans="1:43" x14ac:dyDescent="0.25">
      <c r="A124" s="2"/>
      <c r="B124" s="2791"/>
      <c r="C124" s="2792"/>
      <c r="D124" s="2793"/>
      <c r="E124" s="2776" t="str">
        <f>IF(MORTGAGE!B115=0,"",MORTGAGE!B115)</f>
        <v/>
      </c>
      <c r="F124" s="2777"/>
      <c r="G124" s="2778"/>
      <c r="H124" s="2761">
        <f>MORTGAGE!H115</f>
        <v>0</v>
      </c>
      <c r="I124" s="2762"/>
      <c r="J124" s="2762"/>
      <c r="K124" s="2762"/>
      <c r="L124" s="2763"/>
      <c r="M124" s="2749">
        <f>MORTGAGE!J115</f>
        <v>0</v>
      </c>
      <c r="N124" s="2750"/>
      <c r="O124" s="2750"/>
      <c r="P124" s="2750"/>
      <c r="Q124" s="2751"/>
      <c r="R124" s="2739">
        <f>MORTGAGE!I115</f>
        <v>0</v>
      </c>
      <c r="S124" s="2740"/>
      <c r="T124" s="2740"/>
      <c r="U124" s="2740"/>
      <c r="V124" s="2741"/>
      <c r="W124" s="2733">
        <f>MORTGAGE!K115</f>
        <v>0</v>
      </c>
      <c r="X124" s="2734"/>
      <c r="Y124" s="2734"/>
      <c r="Z124" s="2734"/>
      <c r="AA124" s="2735"/>
      <c r="AB124" s="2727">
        <f>MORTGAGE!L115</f>
        <v>118970</v>
      </c>
      <c r="AC124" s="2728"/>
      <c r="AD124" s="2728"/>
      <c r="AE124" s="2728"/>
      <c r="AF124" s="2729"/>
      <c r="AG124" s="2719">
        <f>MORTGAGE!N115</f>
        <v>1.025603448275862</v>
      </c>
      <c r="AH124" s="2720"/>
      <c r="AI124" s="2720"/>
      <c r="AJ124" s="2720"/>
      <c r="AK124" s="2723"/>
      <c r="AL124" s="2719">
        <f>MORTGAGE!O115</f>
        <v>0</v>
      </c>
      <c r="AM124" s="2720"/>
      <c r="AN124" s="2720"/>
      <c r="AO124" s="2720"/>
      <c r="AP124" s="2720"/>
      <c r="AQ124" s="1239">
        <f t="shared" si="1"/>
        <v>1</v>
      </c>
    </row>
    <row r="125" spans="1:43" x14ac:dyDescent="0.25">
      <c r="A125" s="2"/>
      <c r="B125" s="2791"/>
      <c r="C125" s="2792"/>
      <c r="D125" s="2793"/>
      <c r="E125" s="2776" t="str">
        <f>IF(MORTGAGE!B116=0,"",MORTGAGE!B116)</f>
        <v/>
      </c>
      <c r="F125" s="2777"/>
      <c r="G125" s="2778"/>
      <c r="H125" s="2761">
        <f>MORTGAGE!H116</f>
        <v>0</v>
      </c>
      <c r="I125" s="2762"/>
      <c r="J125" s="2762"/>
      <c r="K125" s="2762"/>
      <c r="L125" s="2763"/>
      <c r="M125" s="2749">
        <f>MORTGAGE!J116</f>
        <v>0</v>
      </c>
      <c r="N125" s="2750"/>
      <c r="O125" s="2750"/>
      <c r="P125" s="2750"/>
      <c r="Q125" s="2751"/>
      <c r="R125" s="2739">
        <f>MORTGAGE!I116</f>
        <v>0</v>
      </c>
      <c r="S125" s="2740"/>
      <c r="T125" s="2740"/>
      <c r="U125" s="2740"/>
      <c r="V125" s="2741"/>
      <c r="W125" s="2733">
        <f>MORTGAGE!K116</f>
        <v>0</v>
      </c>
      <c r="X125" s="2734"/>
      <c r="Y125" s="2734"/>
      <c r="Z125" s="2734"/>
      <c r="AA125" s="2735"/>
      <c r="AB125" s="2727">
        <f>MORTGAGE!L116</f>
        <v>118970</v>
      </c>
      <c r="AC125" s="2728"/>
      <c r="AD125" s="2728"/>
      <c r="AE125" s="2728"/>
      <c r="AF125" s="2729"/>
      <c r="AG125" s="2719">
        <f>MORTGAGE!N116</f>
        <v>1.025603448275862</v>
      </c>
      <c r="AH125" s="2720"/>
      <c r="AI125" s="2720"/>
      <c r="AJ125" s="2720"/>
      <c r="AK125" s="2723"/>
      <c r="AL125" s="2719">
        <f>MORTGAGE!O116</f>
        <v>0</v>
      </c>
      <c r="AM125" s="2720"/>
      <c r="AN125" s="2720"/>
      <c r="AO125" s="2720"/>
      <c r="AP125" s="2720"/>
      <c r="AQ125" s="1239">
        <f t="shared" si="1"/>
        <v>1</v>
      </c>
    </row>
    <row r="126" spans="1:43" x14ac:dyDescent="0.25">
      <c r="A126" s="2"/>
      <c r="B126" s="2791"/>
      <c r="C126" s="2792"/>
      <c r="D126" s="2793"/>
      <c r="E126" s="2776" t="str">
        <f>IF(MORTGAGE!B117=0,"",MORTGAGE!B117)</f>
        <v/>
      </c>
      <c r="F126" s="2777"/>
      <c r="G126" s="2778"/>
      <c r="H126" s="2761">
        <f>MORTGAGE!H117</f>
        <v>0</v>
      </c>
      <c r="I126" s="2762"/>
      <c r="J126" s="2762"/>
      <c r="K126" s="2762"/>
      <c r="L126" s="2763"/>
      <c r="M126" s="2749">
        <f>MORTGAGE!J117</f>
        <v>0</v>
      </c>
      <c r="N126" s="2750"/>
      <c r="O126" s="2750"/>
      <c r="P126" s="2750"/>
      <c r="Q126" s="2751"/>
      <c r="R126" s="2739">
        <f>MORTGAGE!I117</f>
        <v>0</v>
      </c>
      <c r="S126" s="2740"/>
      <c r="T126" s="2740"/>
      <c r="U126" s="2740"/>
      <c r="V126" s="2741"/>
      <c r="W126" s="2733">
        <f>MORTGAGE!K117</f>
        <v>0</v>
      </c>
      <c r="X126" s="2734"/>
      <c r="Y126" s="2734"/>
      <c r="Z126" s="2734"/>
      <c r="AA126" s="2735"/>
      <c r="AB126" s="2727">
        <f>MORTGAGE!L117</f>
        <v>118970</v>
      </c>
      <c r="AC126" s="2728"/>
      <c r="AD126" s="2728"/>
      <c r="AE126" s="2728"/>
      <c r="AF126" s="2729"/>
      <c r="AG126" s="2719">
        <f>MORTGAGE!N117</f>
        <v>1.025603448275862</v>
      </c>
      <c r="AH126" s="2720"/>
      <c r="AI126" s="2720"/>
      <c r="AJ126" s="2720"/>
      <c r="AK126" s="2723"/>
      <c r="AL126" s="2719">
        <f>MORTGAGE!O117</f>
        <v>0</v>
      </c>
      <c r="AM126" s="2720"/>
      <c r="AN126" s="2720"/>
      <c r="AO126" s="2720"/>
      <c r="AP126" s="2720"/>
      <c r="AQ126" s="1239">
        <f t="shared" si="1"/>
        <v>1</v>
      </c>
    </row>
    <row r="127" spans="1:43" x14ac:dyDescent="0.25">
      <c r="A127" s="2"/>
      <c r="B127" s="2791"/>
      <c r="C127" s="2792"/>
      <c r="D127" s="2793"/>
      <c r="E127" s="2776" t="str">
        <f>IF(MORTGAGE!B118=0,"",MORTGAGE!B118)</f>
        <v/>
      </c>
      <c r="F127" s="2777"/>
      <c r="G127" s="2778"/>
      <c r="H127" s="2761">
        <f>MORTGAGE!H118</f>
        <v>0</v>
      </c>
      <c r="I127" s="2762"/>
      <c r="J127" s="2762"/>
      <c r="K127" s="2762"/>
      <c r="L127" s="2763"/>
      <c r="M127" s="2749">
        <f>MORTGAGE!J118</f>
        <v>0</v>
      </c>
      <c r="N127" s="2750"/>
      <c r="O127" s="2750"/>
      <c r="P127" s="2750"/>
      <c r="Q127" s="2751"/>
      <c r="R127" s="2739">
        <f>MORTGAGE!I118</f>
        <v>0</v>
      </c>
      <c r="S127" s="2740"/>
      <c r="T127" s="2740"/>
      <c r="U127" s="2740"/>
      <c r="V127" s="2741"/>
      <c r="W127" s="2733">
        <f>MORTGAGE!K118</f>
        <v>0</v>
      </c>
      <c r="X127" s="2734"/>
      <c r="Y127" s="2734"/>
      <c r="Z127" s="2734"/>
      <c r="AA127" s="2735"/>
      <c r="AB127" s="2727">
        <f>MORTGAGE!L118</f>
        <v>118970</v>
      </c>
      <c r="AC127" s="2728"/>
      <c r="AD127" s="2728"/>
      <c r="AE127" s="2728"/>
      <c r="AF127" s="2729"/>
      <c r="AG127" s="2719">
        <f>MORTGAGE!N118</f>
        <v>1.025603448275862</v>
      </c>
      <c r="AH127" s="2720"/>
      <c r="AI127" s="2720"/>
      <c r="AJ127" s="2720"/>
      <c r="AK127" s="2723"/>
      <c r="AL127" s="2719">
        <f>MORTGAGE!O118</f>
        <v>0</v>
      </c>
      <c r="AM127" s="2720"/>
      <c r="AN127" s="2720"/>
      <c r="AO127" s="2720"/>
      <c r="AP127" s="2720"/>
      <c r="AQ127" s="1239">
        <f t="shared" si="1"/>
        <v>1</v>
      </c>
    </row>
    <row r="128" spans="1:43" x14ac:dyDescent="0.25">
      <c r="A128" s="2"/>
      <c r="B128" s="2791"/>
      <c r="C128" s="2792"/>
      <c r="D128" s="2793"/>
      <c r="E128" s="2776" t="str">
        <f>IF(MORTGAGE!B119=0,"",MORTGAGE!B119)</f>
        <v/>
      </c>
      <c r="F128" s="2777"/>
      <c r="G128" s="2778"/>
      <c r="H128" s="2761">
        <f>MORTGAGE!H119</f>
        <v>0</v>
      </c>
      <c r="I128" s="2762"/>
      <c r="J128" s="2762"/>
      <c r="K128" s="2762"/>
      <c r="L128" s="2763"/>
      <c r="M128" s="2749">
        <f>MORTGAGE!J119</f>
        <v>0</v>
      </c>
      <c r="N128" s="2750"/>
      <c r="O128" s="2750"/>
      <c r="P128" s="2750"/>
      <c r="Q128" s="2751"/>
      <c r="R128" s="2739">
        <f>MORTGAGE!I119</f>
        <v>0</v>
      </c>
      <c r="S128" s="2740"/>
      <c r="T128" s="2740"/>
      <c r="U128" s="2740"/>
      <c r="V128" s="2741"/>
      <c r="W128" s="2733">
        <f>MORTGAGE!K119</f>
        <v>0</v>
      </c>
      <c r="X128" s="2734"/>
      <c r="Y128" s="2734"/>
      <c r="Z128" s="2734"/>
      <c r="AA128" s="2735"/>
      <c r="AB128" s="2727">
        <f>MORTGAGE!L119</f>
        <v>118970</v>
      </c>
      <c r="AC128" s="2728"/>
      <c r="AD128" s="2728"/>
      <c r="AE128" s="2728"/>
      <c r="AF128" s="2729"/>
      <c r="AG128" s="2719">
        <f>MORTGAGE!N119</f>
        <v>1.025603448275862</v>
      </c>
      <c r="AH128" s="2720"/>
      <c r="AI128" s="2720"/>
      <c r="AJ128" s="2720"/>
      <c r="AK128" s="2723"/>
      <c r="AL128" s="2719">
        <f>MORTGAGE!O119</f>
        <v>0</v>
      </c>
      <c r="AM128" s="2720"/>
      <c r="AN128" s="2720"/>
      <c r="AO128" s="2720"/>
      <c r="AP128" s="2720"/>
      <c r="AQ128" s="1239">
        <f t="shared" si="1"/>
        <v>1</v>
      </c>
    </row>
    <row r="129" spans="1:43" ht="14.4" thickBot="1" x14ac:dyDescent="0.3">
      <c r="A129" s="2"/>
      <c r="B129" s="2794"/>
      <c r="C129" s="2795"/>
      <c r="D129" s="2796"/>
      <c r="E129" s="2776" t="str">
        <f>IF(MORTGAGE!B120=0,"",MORTGAGE!B120)</f>
        <v/>
      </c>
      <c r="F129" s="2777"/>
      <c r="G129" s="2778"/>
      <c r="H129" s="2761">
        <f>MORTGAGE!H120</f>
        <v>0</v>
      </c>
      <c r="I129" s="2762"/>
      <c r="J129" s="2762"/>
      <c r="K129" s="2762"/>
      <c r="L129" s="2763"/>
      <c r="M129" s="2749">
        <f>MORTGAGE!J120</f>
        <v>0</v>
      </c>
      <c r="N129" s="2750"/>
      <c r="O129" s="2750"/>
      <c r="P129" s="2750"/>
      <c r="Q129" s="2751"/>
      <c r="R129" s="2739">
        <f>MORTGAGE!I120</f>
        <v>0</v>
      </c>
      <c r="S129" s="2740"/>
      <c r="T129" s="2740"/>
      <c r="U129" s="2740"/>
      <c r="V129" s="2741"/>
      <c r="W129" s="2733">
        <f>MORTGAGE!K120</f>
        <v>0</v>
      </c>
      <c r="X129" s="2734"/>
      <c r="Y129" s="2734"/>
      <c r="Z129" s="2734"/>
      <c r="AA129" s="2735"/>
      <c r="AB129" s="2727">
        <f>MORTGAGE!L120</f>
        <v>118970</v>
      </c>
      <c r="AC129" s="2728"/>
      <c r="AD129" s="2728"/>
      <c r="AE129" s="2728"/>
      <c r="AF129" s="2729"/>
      <c r="AG129" s="2719">
        <f>MORTGAGE!N120</f>
        <v>1.025603448275862</v>
      </c>
      <c r="AH129" s="2720"/>
      <c r="AI129" s="2720"/>
      <c r="AJ129" s="2720"/>
      <c r="AK129" s="2723"/>
      <c r="AL129" s="2719">
        <f>MORTGAGE!O120</f>
        <v>0</v>
      </c>
      <c r="AM129" s="2720"/>
      <c r="AN129" s="2720"/>
      <c r="AO129" s="2720"/>
      <c r="AP129" s="2720"/>
      <c r="AQ129" s="1239">
        <f t="shared" si="1"/>
        <v>1</v>
      </c>
    </row>
    <row r="130" spans="1:43" x14ac:dyDescent="0.25">
      <c r="A130" s="2"/>
      <c r="B130" s="2797" t="str">
        <f>IFERROR(ROUNDUP(E130/12,0),"")</f>
        <v/>
      </c>
      <c r="C130" s="2798"/>
      <c r="D130" s="2799"/>
      <c r="E130" s="2785" t="str">
        <f>IF(MORTGAGE!B121=0,"",MORTGAGE!B121)</f>
        <v/>
      </c>
      <c r="F130" s="2786"/>
      <c r="G130" s="2787"/>
      <c r="H130" s="2773">
        <f>MORTGAGE!H121</f>
        <v>0</v>
      </c>
      <c r="I130" s="2774"/>
      <c r="J130" s="2774"/>
      <c r="K130" s="2774"/>
      <c r="L130" s="2775"/>
      <c r="M130" s="2758">
        <f>MORTGAGE!J121</f>
        <v>0</v>
      </c>
      <c r="N130" s="2759"/>
      <c r="O130" s="2759"/>
      <c r="P130" s="2759"/>
      <c r="Q130" s="2760"/>
      <c r="R130" s="2746">
        <f>MORTGAGE!I121</f>
        <v>0</v>
      </c>
      <c r="S130" s="2747"/>
      <c r="T130" s="2747"/>
      <c r="U130" s="2747"/>
      <c r="V130" s="2748"/>
      <c r="W130" s="2736">
        <f>MORTGAGE!K121</f>
        <v>0</v>
      </c>
      <c r="X130" s="2737"/>
      <c r="Y130" s="2737"/>
      <c r="Z130" s="2737"/>
      <c r="AA130" s="2738"/>
      <c r="AB130" s="2730">
        <f>MORTGAGE!L121</f>
        <v>118970</v>
      </c>
      <c r="AC130" s="2731"/>
      <c r="AD130" s="2731"/>
      <c r="AE130" s="2731"/>
      <c r="AF130" s="2732"/>
      <c r="AG130" s="2724">
        <f>MORTGAGE!N121</f>
        <v>1.025603448275862</v>
      </c>
      <c r="AH130" s="2725"/>
      <c r="AI130" s="2725"/>
      <c r="AJ130" s="2725"/>
      <c r="AK130" s="2726"/>
      <c r="AL130" s="2721">
        <f>MORTGAGE!O121</f>
        <v>0</v>
      </c>
      <c r="AM130" s="2722"/>
      <c r="AN130" s="2722"/>
      <c r="AO130" s="2722"/>
      <c r="AP130" s="2722"/>
      <c r="AQ130" s="1239">
        <f t="shared" si="1"/>
        <v>1</v>
      </c>
    </row>
    <row r="131" spans="1:43" x14ac:dyDescent="0.25">
      <c r="A131" s="2"/>
      <c r="B131" s="2791"/>
      <c r="C131" s="2792"/>
      <c r="D131" s="2793"/>
      <c r="E131" s="2776" t="str">
        <f>IF(MORTGAGE!B122=0,"",MORTGAGE!B122)</f>
        <v/>
      </c>
      <c r="F131" s="2777"/>
      <c r="G131" s="2778"/>
      <c r="H131" s="2761">
        <f>MORTGAGE!H122</f>
        <v>0</v>
      </c>
      <c r="I131" s="2762"/>
      <c r="J131" s="2762"/>
      <c r="K131" s="2762"/>
      <c r="L131" s="2763"/>
      <c r="M131" s="2749">
        <f>MORTGAGE!J122</f>
        <v>0</v>
      </c>
      <c r="N131" s="2750"/>
      <c r="O131" s="2750"/>
      <c r="P131" s="2750"/>
      <c r="Q131" s="2751"/>
      <c r="R131" s="2739">
        <f>MORTGAGE!I122</f>
        <v>0</v>
      </c>
      <c r="S131" s="2740"/>
      <c r="T131" s="2740"/>
      <c r="U131" s="2740"/>
      <c r="V131" s="2741"/>
      <c r="W131" s="2733">
        <f>MORTGAGE!K122</f>
        <v>0</v>
      </c>
      <c r="X131" s="2734"/>
      <c r="Y131" s="2734"/>
      <c r="Z131" s="2734"/>
      <c r="AA131" s="2735"/>
      <c r="AB131" s="2727">
        <f>MORTGAGE!L122</f>
        <v>118970</v>
      </c>
      <c r="AC131" s="2728"/>
      <c r="AD131" s="2728"/>
      <c r="AE131" s="2728"/>
      <c r="AF131" s="2729"/>
      <c r="AG131" s="2719">
        <f>MORTGAGE!N122</f>
        <v>1.025603448275862</v>
      </c>
      <c r="AH131" s="2720"/>
      <c r="AI131" s="2720"/>
      <c r="AJ131" s="2720"/>
      <c r="AK131" s="2723"/>
      <c r="AL131" s="2719">
        <f>MORTGAGE!O122</f>
        <v>0</v>
      </c>
      <c r="AM131" s="2720"/>
      <c r="AN131" s="2720"/>
      <c r="AO131" s="2720"/>
      <c r="AP131" s="2720"/>
      <c r="AQ131" s="1239">
        <f t="shared" si="1"/>
        <v>1</v>
      </c>
    </row>
    <row r="132" spans="1:43" x14ac:dyDescent="0.25">
      <c r="A132" s="2"/>
      <c r="B132" s="2791"/>
      <c r="C132" s="2792"/>
      <c r="D132" s="2793"/>
      <c r="E132" s="2776" t="str">
        <f>IF(MORTGAGE!B123=0,"",MORTGAGE!B123)</f>
        <v/>
      </c>
      <c r="F132" s="2777"/>
      <c r="G132" s="2778"/>
      <c r="H132" s="2761">
        <f>MORTGAGE!H123</f>
        <v>0</v>
      </c>
      <c r="I132" s="2762"/>
      <c r="J132" s="2762"/>
      <c r="K132" s="2762"/>
      <c r="L132" s="2763"/>
      <c r="M132" s="2749">
        <f>MORTGAGE!J123</f>
        <v>0</v>
      </c>
      <c r="N132" s="2750"/>
      <c r="O132" s="2750"/>
      <c r="P132" s="2750"/>
      <c r="Q132" s="2751"/>
      <c r="R132" s="2739">
        <f>MORTGAGE!I123</f>
        <v>0</v>
      </c>
      <c r="S132" s="2740"/>
      <c r="T132" s="2740"/>
      <c r="U132" s="2740"/>
      <c r="V132" s="2741"/>
      <c r="W132" s="2733">
        <f>MORTGAGE!K123</f>
        <v>0</v>
      </c>
      <c r="X132" s="2734"/>
      <c r="Y132" s="2734"/>
      <c r="Z132" s="2734"/>
      <c r="AA132" s="2735"/>
      <c r="AB132" s="2727">
        <f>MORTGAGE!L123</f>
        <v>118970</v>
      </c>
      <c r="AC132" s="2728"/>
      <c r="AD132" s="2728"/>
      <c r="AE132" s="2728"/>
      <c r="AF132" s="2729"/>
      <c r="AG132" s="2719">
        <f>MORTGAGE!N123</f>
        <v>1.025603448275862</v>
      </c>
      <c r="AH132" s="2720"/>
      <c r="AI132" s="2720"/>
      <c r="AJ132" s="2720"/>
      <c r="AK132" s="2723"/>
      <c r="AL132" s="2719">
        <f>MORTGAGE!O123</f>
        <v>0</v>
      </c>
      <c r="AM132" s="2720"/>
      <c r="AN132" s="2720"/>
      <c r="AO132" s="2720"/>
      <c r="AP132" s="2720"/>
      <c r="AQ132" s="1239">
        <f t="shared" si="1"/>
        <v>1</v>
      </c>
    </row>
    <row r="133" spans="1:43" x14ac:dyDescent="0.25">
      <c r="A133" s="2"/>
      <c r="B133" s="2791"/>
      <c r="C133" s="2792"/>
      <c r="D133" s="2793"/>
      <c r="E133" s="2776" t="str">
        <f>IF(MORTGAGE!B124=0,"",MORTGAGE!B124)</f>
        <v/>
      </c>
      <c r="F133" s="2777"/>
      <c r="G133" s="2778"/>
      <c r="H133" s="2761">
        <f>MORTGAGE!H124</f>
        <v>0</v>
      </c>
      <c r="I133" s="2762"/>
      <c r="J133" s="2762"/>
      <c r="K133" s="2762"/>
      <c r="L133" s="2763"/>
      <c r="M133" s="2749">
        <f>MORTGAGE!J124</f>
        <v>0</v>
      </c>
      <c r="N133" s="2750"/>
      <c r="O133" s="2750"/>
      <c r="P133" s="2750"/>
      <c r="Q133" s="2751"/>
      <c r="R133" s="2739">
        <f>MORTGAGE!I124</f>
        <v>0</v>
      </c>
      <c r="S133" s="2740"/>
      <c r="T133" s="2740"/>
      <c r="U133" s="2740"/>
      <c r="V133" s="2741"/>
      <c r="W133" s="2733">
        <f>MORTGAGE!K124</f>
        <v>0</v>
      </c>
      <c r="X133" s="2734"/>
      <c r="Y133" s="2734"/>
      <c r="Z133" s="2734"/>
      <c r="AA133" s="2735"/>
      <c r="AB133" s="2727">
        <f>MORTGAGE!L124</f>
        <v>118970</v>
      </c>
      <c r="AC133" s="2728"/>
      <c r="AD133" s="2728"/>
      <c r="AE133" s="2728"/>
      <c r="AF133" s="2729"/>
      <c r="AG133" s="2719">
        <f>MORTGAGE!N124</f>
        <v>1.025603448275862</v>
      </c>
      <c r="AH133" s="2720"/>
      <c r="AI133" s="2720"/>
      <c r="AJ133" s="2720"/>
      <c r="AK133" s="2723"/>
      <c r="AL133" s="2719">
        <f>MORTGAGE!O124</f>
        <v>0</v>
      </c>
      <c r="AM133" s="2720"/>
      <c r="AN133" s="2720"/>
      <c r="AO133" s="2720"/>
      <c r="AP133" s="2720"/>
      <c r="AQ133" s="1239">
        <f t="shared" si="1"/>
        <v>1</v>
      </c>
    </row>
    <row r="134" spans="1:43" x14ac:dyDescent="0.25">
      <c r="A134" s="2"/>
      <c r="B134" s="2791"/>
      <c r="C134" s="2792"/>
      <c r="D134" s="2793"/>
      <c r="E134" s="2776" t="str">
        <f>IF(MORTGAGE!B125=0,"",MORTGAGE!B125)</f>
        <v/>
      </c>
      <c r="F134" s="2777"/>
      <c r="G134" s="2778"/>
      <c r="H134" s="2761">
        <f>MORTGAGE!H125</f>
        <v>0</v>
      </c>
      <c r="I134" s="2762"/>
      <c r="J134" s="2762"/>
      <c r="K134" s="2762"/>
      <c r="L134" s="2763"/>
      <c r="M134" s="2749">
        <f>MORTGAGE!J125</f>
        <v>0</v>
      </c>
      <c r="N134" s="2750"/>
      <c r="O134" s="2750"/>
      <c r="P134" s="2750"/>
      <c r="Q134" s="2751"/>
      <c r="R134" s="2739">
        <f>MORTGAGE!I125</f>
        <v>0</v>
      </c>
      <c r="S134" s="2740"/>
      <c r="T134" s="2740"/>
      <c r="U134" s="2740"/>
      <c r="V134" s="2741"/>
      <c r="W134" s="2733">
        <f>MORTGAGE!K125</f>
        <v>0</v>
      </c>
      <c r="X134" s="2734"/>
      <c r="Y134" s="2734"/>
      <c r="Z134" s="2734"/>
      <c r="AA134" s="2735"/>
      <c r="AB134" s="2727">
        <f>MORTGAGE!L125</f>
        <v>118970</v>
      </c>
      <c r="AC134" s="2728"/>
      <c r="AD134" s="2728"/>
      <c r="AE134" s="2728"/>
      <c r="AF134" s="2729"/>
      <c r="AG134" s="2719">
        <f>MORTGAGE!N125</f>
        <v>1.025603448275862</v>
      </c>
      <c r="AH134" s="2720"/>
      <c r="AI134" s="2720"/>
      <c r="AJ134" s="2720"/>
      <c r="AK134" s="2723"/>
      <c r="AL134" s="2719">
        <f>MORTGAGE!O125</f>
        <v>0</v>
      </c>
      <c r="AM134" s="2720"/>
      <c r="AN134" s="2720"/>
      <c r="AO134" s="2720"/>
      <c r="AP134" s="2720"/>
      <c r="AQ134" s="1239">
        <f t="shared" si="1"/>
        <v>1</v>
      </c>
    </row>
    <row r="135" spans="1:43" x14ac:dyDescent="0.25">
      <c r="A135" s="2"/>
      <c r="B135" s="2791"/>
      <c r="C135" s="2792"/>
      <c r="D135" s="2793"/>
      <c r="E135" s="2776" t="str">
        <f>IF(MORTGAGE!B126=0,"",MORTGAGE!B126)</f>
        <v/>
      </c>
      <c r="F135" s="2777"/>
      <c r="G135" s="2778"/>
      <c r="H135" s="2761">
        <f>MORTGAGE!H126</f>
        <v>0</v>
      </c>
      <c r="I135" s="2762"/>
      <c r="J135" s="2762"/>
      <c r="K135" s="2762"/>
      <c r="L135" s="2763"/>
      <c r="M135" s="2749">
        <f>MORTGAGE!J126</f>
        <v>0</v>
      </c>
      <c r="N135" s="2750"/>
      <c r="O135" s="2750"/>
      <c r="P135" s="2750"/>
      <c r="Q135" s="2751"/>
      <c r="R135" s="2739">
        <f>MORTGAGE!I126</f>
        <v>0</v>
      </c>
      <c r="S135" s="2740"/>
      <c r="T135" s="2740"/>
      <c r="U135" s="2740"/>
      <c r="V135" s="2741"/>
      <c r="W135" s="2733">
        <f>MORTGAGE!K126</f>
        <v>0</v>
      </c>
      <c r="X135" s="2734"/>
      <c r="Y135" s="2734"/>
      <c r="Z135" s="2734"/>
      <c r="AA135" s="2735"/>
      <c r="AB135" s="2727">
        <f>MORTGAGE!L126</f>
        <v>118970</v>
      </c>
      <c r="AC135" s="2728"/>
      <c r="AD135" s="2728"/>
      <c r="AE135" s="2728"/>
      <c r="AF135" s="2729"/>
      <c r="AG135" s="2719">
        <f>MORTGAGE!N126</f>
        <v>1.025603448275862</v>
      </c>
      <c r="AH135" s="2720"/>
      <c r="AI135" s="2720"/>
      <c r="AJ135" s="2720"/>
      <c r="AK135" s="2723"/>
      <c r="AL135" s="2719">
        <f>MORTGAGE!O126</f>
        <v>0</v>
      </c>
      <c r="AM135" s="2720"/>
      <c r="AN135" s="2720"/>
      <c r="AO135" s="2720"/>
      <c r="AP135" s="2720"/>
      <c r="AQ135" s="1239">
        <f t="shared" si="1"/>
        <v>1</v>
      </c>
    </row>
    <row r="136" spans="1:43" x14ac:dyDescent="0.25">
      <c r="A136" s="2"/>
      <c r="B136" s="2791"/>
      <c r="C136" s="2792"/>
      <c r="D136" s="2793"/>
      <c r="E136" s="2776" t="str">
        <f>IF(MORTGAGE!B127=0,"",MORTGAGE!B127)</f>
        <v/>
      </c>
      <c r="F136" s="2777"/>
      <c r="G136" s="2778"/>
      <c r="H136" s="2761">
        <f>MORTGAGE!H127</f>
        <v>0</v>
      </c>
      <c r="I136" s="2762"/>
      <c r="J136" s="2762"/>
      <c r="K136" s="2762"/>
      <c r="L136" s="2763"/>
      <c r="M136" s="2749">
        <f>MORTGAGE!J127</f>
        <v>0</v>
      </c>
      <c r="N136" s="2750"/>
      <c r="O136" s="2750"/>
      <c r="P136" s="2750"/>
      <c r="Q136" s="2751"/>
      <c r="R136" s="2739">
        <f>MORTGAGE!I127</f>
        <v>0</v>
      </c>
      <c r="S136" s="2740"/>
      <c r="T136" s="2740"/>
      <c r="U136" s="2740"/>
      <c r="V136" s="2741"/>
      <c r="W136" s="2733">
        <f>MORTGAGE!K127</f>
        <v>0</v>
      </c>
      <c r="X136" s="2734"/>
      <c r="Y136" s="2734"/>
      <c r="Z136" s="2734"/>
      <c r="AA136" s="2735"/>
      <c r="AB136" s="2727">
        <f>MORTGAGE!L127</f>
        <v>118970</v>
      </c>
      <c r="AC136" s="2728"/>
      <c r="AD136" s="2728"/>
      <c r="AE136" s="2728"/>
      <c r="AF136" s="2729"/>
      <c r="AG136" s="2719">
        <f>MORTGAGE!N127</f>
        <v>1.025603448275862</v>
      </c>
      <c r="AH136" s="2720"/>
      <c r="AI136" s="2720"/>
      <c r="AJ136" s="2720"/>
      <c r="AK136" s="2723"/>
      <c r="AL136" s="2719">
        <f>MORTGAGE!O127</f>
        <v>0</v>
      </c>
      <c r="AM136" s="2720"/>
      <c r="AN136" s="2720"/>
      <c r="AO136" s="2720"/>
      <c r="AP136" s="2720"/>
      <c r="AQ136" s="1239">
        <f t="shared" si="1"/>
        <v>1</v>
      </c>
    </row>
    <row r="137" spans="1:43" x14ac:dyDescent="0.25">
      <c r="A137" s="2"/>
      <c r="B137" s="2791"/>
      <c r="C137" s="2792"/>
      <c r="D137" s="2793"/>
      <c r="E137" s="2776" t="str">
        <f>IF(MORTGAGE!B128=0,"",MORTGAGE!B128)</f>
        <v/>
      </c>
      <c r="F137" s="2777"/>
      <c r="G137" s="2778"/>
      <c r="H137" s="2761">
        <f>MORTGAGE!H128</f>
        <v>0</v>
      </c>
      <c r="I137" s="2762"/>
      <c r="J137" s="2762"/>
      <c r="K137" s="2762"/>
      <c r="L137" s="2763"/>
      <c r="M137" s="2749">
        <f>MORTGAGE!J128</f>
        <v>0</v>
      </c>
      <c r="N137" s="2750"/>
      <c r="O137" s="2750"/>
      <c r="P137" s="2750"/>
      <c r="Q137" s="2751"/>
      <c r="R137" s="2739">
        <f>MORTGAGE!I128</f>
        <v>0</v>
      </c>
      <c r="S137" s="2740"/>
      <c r="T137" s="2740"/>
      <c r="U137" s="2740"/>
      <c r="V137" s="2741"/>
      <c r="W137" s="2733">
        <f>MORTGAGE!K128</f>
        <v>0</v>
      </c>
      <c r="X137" s="2734"/>
      <c r="Y137" s="2734"/>
      <c r="Z137" s="2734"/>
      <c r="AA137" s="2735"/>
      <c r="AB137" s="2727">
        <f>MORTGAGE!L128</f>
        <v>118970</v>
      </c>
      <c r="AC137" s="2728"/>
      <c r="AD137" s="2728"/>
      <c r="AE137" s="2728"/>
      <c r="AF137" s="2729"/>
      <c r="AG137" s="2719">
        <f>MORTGAGE!N128</f>
        <v>1.025603448275862</v>
      </c>
      <c r="AH137" s="2720"/>
      <c r="AI137" s="2720"/>
      <c r="AJ137" s="2720"/>
      <c r="AK137" s="2723"/>
      <c r="AL137" s="2719">
        <f>MORTGAGE!O128</f>
        <v>0</v>
      </c>
      <c r="AM137" s="2720"/>
      <c r="AN137" s="2720"/>
      <c r="AO137" s="2720"/>
      <c r="AP137" s="2720"/>
      <c r="AQ137" s="1239">
        <f t="shared" si="1"/>
        <v>1</v>
      </c>
    </row>
    <row r="138" spans="1:43" x14ac:dyDescent="0.25">
      <c r="A138" s="2"/>
      <c r="B138" s="2791"/>
      <c r="C138" s="2792"/>
      <c r="D138" s="2793"/>
      <c r="E138" s="2776" t="str">
        <f>IF(MORTGAGE!B129=0,"",MORTGAGE!B129)</f>
        <v/>
      </c>
      <c r="F138" s="2777"/>
      <c r="G138" s="2778"/>
      <c r="H138" s="2761">
        <f>MORTGAGE!H129</f>
        <v>0</v>
      </c>
      <c r="I138" s="2762"/>
      <c r="J138" s="2762"/>
      <c r="K138" s="2762"/>
      <c r="L138" s="2763"/>
      <c r="M138" s="2749">
        <f>MORTGAGE!J129</f>
        <v>0</v>
      </c>
      <c r="N138" s="2750"/>
      <c r="O138" s="2750"/>
      <c r="P138" s="2750"/>
      <c r="Q138" s="2751"/>
      <c r="R138" s="2739">
        <f>MORTGAGE!I129</f>
        <v>0</v>
      </c>
      <c r="S138" s="2740"/>
      <c r="T138" s="2740"/>
      <c r="U138" s="2740"/>
      <c r="V138" s="2741"/>
      <c r="W138" s="2733">
        <f>MORTGAGE!K129</f>
        <v>0</v>
      </c>
      <c r="X138" s="2734"/>
      <c r="Y138" s="2734"/>
      <c r="Z138" s="2734"/>
      <c r="AA138" s="2735"/>
      <c r="AB138" s="2727">
        <f>MORTGAGE!L129</f>
        <v>118970</v>
      </c>
      <c r="AC138" s="2728"/>
      <c r="AD138" s="2728"/>
      <c r="AE138" s="2728"/>
      <c r="AF138" s="2729"/>
      <c r="AG138" s="2719">
        <f>MORTGAGE!N129</f>
        <v>1.025603448275862</v>
      </c>
      <c r="AH138" s="2720"/>
      <c r="AI138" s="2720"/>
      <c r="AJ138" s="2720"/>
      <c r="AK138" s="2723"/>
      <c r="AL138" s="2719">
        <f>MORTGAGE!O129</f>
        <v>0</v>
      </c>
      <c r="AM138" s="2720"/>
      <c r="AN138" s="2720"/>
      <c r="AO138" s="2720"/>
      <c r="AP138" s="2720"/>
      <c r="AQ138" s="1239">
        <f t="shared" si="1"/>
        <v>1</v>
      </c>
    </row>
    <row r="139" spans="1:43" x14ac:dyDescent="0.25">
      <c r="A139" s="2"/>
      <c r="B139" s="2791"/>
      <c r="C139" s="2792"/>
      <c r="D139" s="2793"/>
      <c r="E139" s="2776" t="str">
        <f>IF(MORTGAGE!B130=0,"",MORTGAGE!B130)</f>
        <v/>
      </c>
      <c r="F139" s="2777"/>
      <c r="G139" s="2778"/>
      <c r="H139" s="2761">
        <f>MORTGAGE!H130</f>
        <v>0</v>
      </c>
      <c r="I139" s="2762"/>
      <c r="J139" s="2762"/>
      <c r="K139" s="2762"/>
      <c r="L139" s="2763"/>
      <c r="M139" s="2749">
        <f>MORTGAGE!J130</f>
        <v>0</v>
      </c>
      <c r="N139" s="2750"/>
      <c r="O139" s="2750"/>
      <c r="P139" s="2750"/>
      <c r="Q139" s="2751"/>
      <c r="R139" s="2739">
        <f>MORTGAGE!I130</f>
        <v>0</v>
      </c>
      <c r="S139" s="2740"/>
      <c r="T139" s="2740"/>
      <c r="U139" s="2740"/>
      <c r="V139" s="2741"/>
      <c r="W139" s="2733">
        <f>MORTGAGE!K130</f>
        <v>0</v>
      </c>
      <c r="X139" s="2734"/>
      <c r="Y139" s="2734"/>
      <c r="Z139" s="2734"/>
      <c r="AA139" s="2735"/>
      <c r="AB139" s="2727">
        <f>MORTGAGE!L130</f>
        <v>118970</v>
      </c>
      <c r="AC139" s="2728"/>
      <c r="AD139" s="2728"/>
      <c r="AE139" s="2728"/>
      <c r="AF139" s="2729"/>
      <c r="AG139" s="2719">
        <f>MORTGAGE!N130</f>
        <v>1.025603448275862</v>
      </c>
      <c r="AH139" s="2720"/>
      <c r="AI139" s="2720"/>
      <c r="AJ139" s="2720"/>
      <c r="AK139" s="2723"/>
      <c r="AL139" s="2719">
        <f>MORTGAGE!O130</f>
        <v>0</v>
      </c>
      <c r="AM139" s="2720"/>
      <c r="AN139" s="2720"/>
      <c r="AO139" s="2720"/>
      <c r="AP139" s="2720"/>
      <c r="AQ139" s="1239">
        <f t="shared" si="1"/>
        <v>1</v>
      </c>
    </row>
    <row r="140" spans="1:43" x14ac:dyDescent="0.25">
      <c r="A140" s="2"/>
      <c r="B140" s="2791"/>
      <c r="C140" s="2792"/>
      <c r="D140" s="2793"/>
      <c r="E140" s="2776" t="str">
        <f>IF(MORTGAGE!B131=0,"",MORTGAGE!B131)</f>
        <v/>
      </c>
      <c r="F140" s="2777"/>
      <c r="G140" s="2778"/>
      <c r="H140" s="2761">
        <f>MORTGAGE!H131</f>
        <v>0</v>
      </c>
      <c r="I140" s="2762"/>
      <c r="J140" s="2762"/>
      <c r="K140" s="2762"/>
      <c r="L140" s="2763"/>
      <c r="M140" s="2749">
        <f>MORTGAGE!J131</f>
        <v>0</v>
      </c>
      <c r="N140" s="2750"/>
      <c r="O140" s="2750"/>
      <c r="P140" s="2750"/>
      <c r="Q140" s="2751"/>
      <c r="R140" s="2739">
        <f>MORTGAGE!I131</f>
        <v>0</v>
      </c>
      <c r="S140" s="2740"/>
      <c r="T140" s="2740"/>
      <c r="U140" s="2740"/>
      <c r="V140" s="2741"/>
      <c r="W140" s="2733">
        <f>MORTGAGE!K131</f>
        <v>0</v>
      </c>
      <c r="X140" s="2734"/>
      <c r="Y140" s="2734"/>
      <c r="Z140" s="2734"/>
      <c r="AA140" s="2735"/>
      <c r="AB140" s="2727">
        <f>MORTGAGE!L131</f>
        <v>118970</v>
      </c>
      <c r="AC140" s="2728"/>
      <c r="AD140" s="2728"/>
      <c r="AE140" s="2728"/>
      <c r="AF140" s="2729"/>
      <c r="AG140" s="2719">
        <f>MORTGAGE!N131</f>
        <v>1.025603448275862</v>
      </c>
      <c r="AH140" s="2720"/>
      <c r="AI140" s="2720"/>
      <c r="AJ140" s="2720"/>
      <c r="AK140" s="2723"/>
      <c r="AL140" s="2719">
        <f>MORTGAGE!O131</f>
        <v>0</v>
      </c>
      <c r="AM140" s="2720"/>
      <c r="AN140" s="2720"/>
      <c r="AO140" s="2720"/>
      <c r="AP140" s="2720"/>
      <c r="AQ140" s="1239">
        <f t="shared" si="1"/>
        <v>1</v>
      </c>
    </row>
    <row r="141" spans="1:43" ht="14.4" thickBot="1" x14ac:dyDescent="0.3">
      <c r="A141" s="2"/>
      <c r="B141" s="2794"/>
      <c r="C141" s="2795"/>
      <c r="D141" s="2796"/>
      <c r="E141" s="2776" t="str">
        <f>IF(MORTGAGE!B132=0,"",MORTGAGE!B132)</f>
        <v/>
      </c>
      <c r="F141" s="2777"/>
      <c r="G141" s="2778"/>
      <c r="H141" s="2761">
        <f>MORTGAGE!H132</f>
        <v>0</v>
      </c>
      <c r="I141" s="2762"/>
      <c r="J141" s="2762"/>
      <c r="K141" s="2762"/>
      <c r="L141" s="2763"/>
      <c r="M141" s="2749">
        <f>MORTGAGE!J132</f>
        <v>0</v>
      </c>
      <c r="N141" s="2750"/>
      <c r="O141" s="2750"/>
      <c r="P141" s="2750"/>
      <c r="Q141" s="2751"/>
      <c r="R141" s="2739">
        <f>MORTGAGE!I132</f>
        <v>0</v>
      </c>
      <c r="S141" s="2740"/>
      <c r="T141" s="2740"/>
      <c r="U141" s="2740"/>
      <c r="V141" s="2741"/>
      <c r="W141" s="2733">
        <f>MORTGAGE!K132</f>
        <v>0</v>
      </c>
      <c r="X141" s="2734"/>
      <c r="Y141" s="2734"/>
      <c r="Z141" s="2734"/>
      <c r="AA141" s="2735"/>
      <c r="AB141" s="2727">
        <f>MORTGAGE!L132</f>
        <v>118970</v>
      </c>
      <c r="AC141" s="2728"/>
      <c r="AD141" s="2728"/>
      <c r="AE141" s="2728"/>
      <c r="AF141" s="2729"/>
      <c r="AG141" s="2719">
        <f>MORTGAGE!N132</f>
        <v>1.025603448275862</v>
      </c>
      <c r="AH141" s="2720"/>
      <c r="AI141" s="2720"/>
      <c r="AJ141" s="2720"/>
      <c r="AK141" s="2723"/>
      <c r="AL141" s="2719">
        <f>MORTGAGE!O132</f>
        <v>0</v>
      </c>
      <c r="AM141" s="2720"/>
      <c r="AN141" s="2720"/>
      <c r="AO141" s="2720"/>
      <c r="AP141" s="2720"/>
      <c r="AQ141" s="1239">
        <f t="shared" si="1"/>
        <v>1</v>
      </c>
    </row>
    <row r="142" spans="1:43" x14ac:dyDescent="0.25">
      <c r="A142" s="2"/>
      <c r="B142" s="2797" t="str">
        <f>IFERROR(ROUNDUP(E142/12,0),"")</f>
        <v/>
      </c>
      <c r="C142" s="2798"/>
      <c r="D142" s="2799"/>
      <c r="E142" s="2785" t="str">
        <f>IF(MORTGAGE!B133=0,"",MORTGAGE!B133)</f>
        <v/>
      </c>
      <c r="F142" s="2786"/>
      <c r="G142" s="2787"/>
      <c r="H142" s="2773">
        <f>MORTGAGE!H133</f>
        <v>0</v>
      </c>
      <c r="I142" s="2774"/>
      <c r="J142" s="2774"/>
      <c r="K142" s="2774"/>
      <c r="L142" s="2775"/>
      <c r="M142" s="2758">
        <f>MORTGAGE!J133</f>
        <v>0</v>
      </c>
      <c r="N142" s="2759"/>
      <c r="O142" s="2759"/>
      <c r="P142" s="2759"/>
      <c r="Q142" s="2760"/>
      <c r="R142" s="2746">
        <f>MORTGAGE!I133</f>
        <v>0</v>
      </c>
      <c r="S142" s="2747"/>
      <c r="T142" s="2747"/>
      <c r="U142" s="2747"/>
      <c r="V142" s="2748"/>
      <c r="W142" s="2736">
        <f>MORTGAGE!K133</f>
        <v>0</v>
      </c>
      <c r="X142" s="2737"/>
      <c r="Y142" s="2737"/>
      <c r="Z142" s="2737"/>
      <c r="AA142" s="2738"/>
      <c r="AB142" s="2730">
        <f>MORTGAGE!L133</f>
        <v>118970</v>
      </c>
      <c r="AC142" s="2731"/>
      <c r="AD142" s="2731"/>
      <c r="AE142" s="2731"/>
      <c r="AF142" s="2732"/>
      <c r="AG142" s="2724">
        <f>MORTGAGE!N133</f>
        <v>1.025603448275862</v>
      </c>
      <c r="AH142" s="2725"/>
      <c r="AI142" s="2725"/>
      <c r="AJ142" s="2725"/>
      <c r="AK142" s="2726"/>
      <c r="AL142" s="2721">
        <f>MORTGAGE!O133</f>
        <v>0</v>
      </c>
      <c r="AM142" s="2722"/>
      <c r="AN142" s="2722"/>
      <c r="AO142" s="2722"/>
      <c r="AP142" s="2722"/>
      <c r="AQ142" s="1239">
        <f t="shared" si="1"/>
        <v>1</v>
      </c>
    </row>
    <row r="143" spans="1:43" x14ac:dyDescent="0.25">
      <c r="A143" s="2"/>
      <c r="B143" s="2791"/>
      <c r="C143" s="2792"/>
      <c r="D143" s="2793"/>
      <c r="E143" s="2776" t="str">
        <f>IF(MORTGAGE!B134=0,"",MORTGAGE!B134)</f>
        <v/>
      </c>
      <c r="F143" s="2777"/>
      <c r="G143" s="2778"/>
      <c r="H143" s="2761">
        <f>MORTGAGE!H134</f>
        <v>0</v>
      </c>
      <c r="I143" s="2762"/>
      <c r="J143" s="2762"/>
      <c r="K143" s="2762"/>
      <c r="L143" s="2763"/>
      <c r="M143" s="2749">
        <f>MORTGAGE!J134</f>
        <v>0</v>
      </c>
      <c r="N143" s="2750"/>
      <c r="O143" s="2750"/>
      <c r="P143" s="2750"/>
      <c r="Q143" s="2751"/>
      <c r="R143" s="2739">
        <f>MORTGAGE!I134</f>
        <v>0</v>
      </c>
      <c r="S143" s="2740"/>
      <c r="T143" s="2740"/>
      <c r="U143" s="2740"/>
      <c r="V143" s="2741"/>
      <c r="W143" s="2733">
        <f>MORTGAGE!K134</f>
        <v>0</v>
      </c>
      <c r="X143" s="2734"/>
      <c r="Y143" s="2734"/>
      <c r="Z143" s="2734"/>
      <c r="AA143" s="2735"/>
      <c r="AB143" s="2727">
        <f>MORTGAGE!L134</f>
        <v>118970</v>
      </c>
      <c r="AC143" s="2728"/>
      <c r="AD143" s="2728"/>
      <c r="AE143" s="2728"/>
      <c r="AF143" s="2729"/>
      <c r="AG143" s="2719">
        <f>MORTGAGE!N134</f>
        <v>1.025603448275862</v>
      </c>
      <c r="AH143" s="2720"/>
      <c r="AI143" s="2720"/>
      <c r="AJ143" s="2720"/>
      <c r="AK143" s="2723"/>
      <c r="AL143" s="2719">
        <f>MORTGAGE!O134</f>
        <v>0</v>
      </c>
      <c r="AM143" s="2720"/>
      <c r="AN143" s="2720"/>
      <c r="AO143" s="2720"/>
      <c r="AP143" s="2720"/>
      <c r="AQ143" s="1239">
        <f t="shared" si="1"/>
        <v>1</v>
      </c>
    </row>
    <row r="144" spans="1:43" x14ac:dyDescent="0.25">
      <c r="A144" s="2"/>
      <c r="B144" s="2791"/>
      <c r="C144" s="2792"/>
      <c r="D144" s="2793"/>
      <c r="E144" s="2776" t="str">
        <f>IF(MORTGAGE!B135=0,"",MORTGAGE!B135)</f>
        <v/>
      </c>
      <c r="F144" s="2777"/>
      <c r="G144" s="2778"/>
      <c r="H144" s="2761">
        <f>MORTGAGE!H135</f>
        <v>0</v>
      </c>
      <c r="I144" s="2762"/>
      <c r="J144" s="2762"/>
      <c r="K144" s="2762"/>
      <c r="L144" s="2763"/>
      <c r="M144" s="2749">
        <f>MORTGAGE!J135</f>
        <v>0</v>
      </c>
      <c r="N144" s="2750"/>
      <c r="O144" s="2750"/>
      <c r="P144" s="2750"/>
      <c r="Q144" s="2751"/>
      <c r="R144" s="2739">
        <f>MORTGAGE!I135</f>
        <v>0</v>
      </c>
      <c r="S144" s="2740"/>
      <c r="T144" s="2740"/>
      <c r="U144" s="2740"/>
      <c r="V144" s="2741"/>
      <c r="W144" s="2733">
        <f>MORTGAGE!K135</f>
        <v>0</v>
      </c>
      <c r="X144" s="2734"/>
      <c r="Y144" s="2734"/>
      <c r="Z144" s="2734"/>
      <c r="AA144" s="2735"/>
      <c r="AB144" s="2727">
        <f>MORTGAGE!L135</f>
        <v>118970</v>
      </c>
      <c r="AC144" s="2728"/>
      <c r="AD144" s="2728"/>
      <c r="AE144" s="2728"/>
      <c r="AF144" s="2729"/>
      <c r="AG144" s="2719">
        <f>MORTGAGE!N135</f>
        <v>1.025603448275862</v>
      </c>
      <c r="AH144" s="2720"/>
      <c r="AI144" s="2720"/>
      <c r="AJ144" s="2720"/>
      <c r="AK144" s="2723"/>
      <c r="AL144" s="2719">
        <f>MORTGAGE!O135</f>
        <v>0</v>
      </c>
      <c r="AM144" s="2720"/>
      <c r="AN144" s="2720"/>
      <c r="AO144" s="2720"/>
      <c r="AP144" s="2720"/>
      <c r="AQ144" s="1239">
        <f t="shared" si="1"/>
        <v>1</v>
      </c>
    </row>
    <row r="145" spans="1:43" x14ac:dyDescent="0.25">
      <c r="A145" s="2"/>
      <c r="B145" s="2791"/>
      <c r="C145" s="2792"/>
      <c r="D145" s="2793"/>
      <c r="E145" s="2776" t="str">
        <f>IF(MORTGAGE!B136=0,"",MORTGAGE!B136)</f>
        <v/>
      </c>
      <c r="F145" s="2777"/>
      <c r="G145" s="2778"/>
      <c r="H145" s="2761">
        <f>MORTGAGE!H136</f>
        <v>0</v>
      </c>
      <c r="I145" s="2762"/>
      <c r="J145" s="2762"/>
      <c r="K145" s="2762"/>
      <c r="L145" s="2763"/>
      <c r="M145" s="2749">
        <f>MORTGAGE!J136</f>
        <v>0</v>
      </c>
      <c r="N145" s="2750"/>
      <c r="O145" s="2750"/>
      <c r="P145" s="2750"/>
      <c r="Q145" s="2751"/>
      <c r="R145" s="2739">
        <f>MORTGAGE!I136</f>
        <v>0</v>
      </c>
      <c r="S145" s="2740"/>
      <c r="T145" s="2740"/>
      <c r="U145" s="2740"/>
      <c r="V145" s="2741"/>
      <c r="W145" s="2733">
        <f>MORTGAGE!K136</f>
        <v>0</v>
      </c>
      <c r="X145" s="2734"/>
      <c r="Y145" s="2734"/>
      <c r="Z145" s="2734"/>
      <c r="AA145" s="2735"/>
      <c r="AB145" s="2727">
        <f>MORTGAGE!L136</f>
        <v>118970</v>
      </c>
      <c r="AC145" s="2728"/>
      <c r="AD145" s="2728"/>
      <c r="AE145" s="2728"/>
      <c r="AF145" s="2729"/>
      <c r="AG145" s="2719">
        <f>MORTGAGE!N136</f>
        <v>1.025603448275862</v>
      </c>
      <c r="AH145" s="2720"/>
      <c r="AI145" s="2720"/>
      <c r="AJ145" s="2720"/>
      <c r="AK145" s="2723"/>
      <c r="AL145" s="2719">
        <f>MORTGAGE!O136</f>
        <v>0</v>
      </c>
      <c r="AM145" s="2720"/>
      <c r="AN145" s="2720"/>
      <c r="AO145" s="2720"/>
      <c r="AP145" s="2720"/>
      <c r="AQ145" s="1239">
        <f t="shared" si="1"/>
        <v>1</v>
      </c>
    </row>
    <row r="146" spans="1:43" x14ac:dyDescent="0.25">
      <c r="A146" s="2"/>
      <c r="B146" s="2791"/>
      <c r="C146" s="2792"/>
      <c r="D146" s="2793"/>
      <c r="E146" s="2776" t="str">
        <f>IF(MORTGAGE!B137=0,"",MORTGAGE!B137)</f>
        <v/>
      </c>
      <c r="F146" s="2777"/>
      <c r="G146" s="2778"/>
      <c r="H146" s="2761">
        <f>MORTGAGE!H137</f>
        <v>0</v>
      </c>
      <c r="I146" s="2762"/>
      <c r="J146" s="2762"/>
      <c r="K146" s="2762"/>
      <c r="L146" s="2763"/>
      <c r="M146" s="2749">
        <f>MORTGAGE!J137</f>
        <v>0</v>
      </c>
      <c r="N146" s="2750"/>
      <c r="O146" s="2750"/>
      <c r="P146" s="2750"/>
      <c r="Q146" s="2751"/>
      <c r="R146" s="2739">
        <f>MORTGAGE!I137</f>
        <v>0</v>
      </c>
      <c r="S146" s="2740"/>
      <c r="T146" s="2740"/>
      <c r="U146" s="2740"/>
      <c r="V146" s="2741"/>
      <c r="W146" s="2733">
        <f>MORTGAGE!K137</f>
        <v>0</v>
      </c>
      <c r="X146" s="2734"/>
      <c r="Y146" s="2734"/>
      <c r="Z146" s="2734"/>
      <c r="AA146" s="2735"/>
      <c r="AB146" s="2727">
        <f>MORTGAGE!L137</f>
        <v>118970</v>
      </c>
      <c r="AC146" s="2728"/>
      <c r="AD146" s="2728"/>
      <c r="AE146" s="2728"/>
      <c r="AF146" s="2729"/>
      <c r="AG146" s="2719">
        <f>MORTGAGE!N137</f>
        <v>1.025603448275862</v>
      </c>
      <c r="AH146" s="2720"/>
      <c r="AI146" s="2720"/>
      <c r="AJ146" s="2720"/>
      <c r="AK146" s="2723"/>
      <c r="AL146" s="2719">
        <f>MORTGAGE!O137</f>
        <v>0</v>
      </c>
      <c r="AM146" s="2720"/>
      <c r="AN146" s="2720"/>
      <c r="AO146" s="2720"/>
      <c r="AP146" s="2720"/>
      <c r="AQ146" s="1239">
        <f t="shared" si="1"/>
        <v>1</v>
      </c>
    </row>
    <row r="147" spans="1:43" x14ac:dyDescent="0.25">
      <c r="A147" s="2"/>
      <c r="B147" s="2791"/>
      <c r="C147" s="2792"/>
      <c r="D147" s="2793"/>
      <c r="E147" s="2776" t="str">
        <f>IF(MORTGAGE!B138=0,"",MORTGAGE!B138)</f>
        <v/>
      </c>
      <c r="F147" s="2777"/>
      <c r="G147" s="2778"/>
      <c r="H147" s="2761">
        <f>MORTGAGE!H138</f>
        <v>0</v>
      </c>
      <c r="I147" s="2762"/>
      <c r="J147" s="2762"/>
      <c r="K147" s="2762"/>
      <c r="L147" s="2763"/>
      <c r="M147" s="2749">
        <f>MORTGAGE!J138</f>
        <v>0</v>
      </c>
      <c r="N147" s="2750"/>
      <c r="O147" s="2750"/>
      <c r="P147" s="2750"/>
      <c r="Q147" s="2751"/>
      <c r="R147" s="2739">
        <f>MORTGAGE!I138</f>
        <v>0</v>
      </c>
      <c r="S147" s="2740"/>
      <c r="T147" s="2740"/>
      <c r="U147" s="2740"/>
      <c r="V147" s="2741"/>
      <c r="W147" s="2733">
        <f>MORTGAGE!K138</f>
        <v>0</v>
      </c>
      <c r="X147" s="2734"/>
      <c r="Y147" s="2734"/>
      <c r="Z147" s="2734"/>
      <c r="AA147" s="2735"/>
      <c r="AB147" s="2727">
        <f>MORTGAGE!L138</f>
        <v>118970</v>
      </c>
      <c r="AC147" s="2728"/>
      <c r="AD147" s="2728"/>
      <c r="AE147" s="2728"/>
      <c r="AF147" s="2729"/>
      <c r="AG147" s="2719">
        <f>MORTGAGE!N138</f>
        <v>1.025603448275862</v>
      </c>
      <c r="AH147" s="2720"/>
      <c r="AI147" s="2720"/>
      <c r="AJ147" s="2720"/>
      <c r="AK147" s="2723"/>
      <c r="AL147" s="2719">
        <f>MORTGAGE!O138</f>
        <v>0</v>
      </c>
      <c r="AM147" s="2720"/>
      <c r="AN147" s="2720"/>
      <c r="AO147" s="2720"/>
      <c r="AP147" s="2720"/>
      <c r="AQ147" s="1239">
        <f t="shared" si="1"/>
        <v>1</v>
      </c>
    </row>
    <row r="148" spans="1:43" x14ac:dyDescent="0.25">
      <c r="A148" s="2"/>
      <c r="B148" s="2791"/>
      <c r="C148" s="2792"/>
      <c r="D148" s="2793"/>
      <c r="E148" s="2776" t="str">
        <f>IF(MORTGAGE!B139=0,"",MORTGAGE!B139)</f>
        <v/>
      </c>
      <c r="F148" s="2777"/>
      <c r="G148" s="2778"/>
      <c r="H148" s="2761">
        <f>MORTGAGE!H139</f>
        <v>0</v>
      </c>
      <c r="I148" s="2762"/>
      <c r="J148" s="2762"/>
      <c r="K148" s="2762"/>
      <c r="L148" s="2763"/>
      <c r="M148" s="2749">
        <f>MORTGAGE!J139</f>
        <v>0</v>
      </c>
      <c r="N148" s="2750"/>
      <c r="O148" s="2750"/>
      <c r="P148" s="2750"/>
      <c r="Q148" s="2751"/>
      <c r="R148" s="2739">
        <f>MORTGAGE!I139</f>
        <v>0</v>
      </c>
      <c r="S148" s="2740"/>
      <c r="T148" s="2740"/>
      <c r="U148" s="2740"/>
      <c r="V148" s="2741"/>
      <c r="W148" s="2733">
        <f>MORTGAGE!K139</f>
        <v>0</v>
      </c>
      <c r="X148" s="2734"/>
      <c r="Y148" s="2734"/>
      <c r="Z148" s="2734"/>
      <c r="AA148" s="2735"/>
      <c r="AB148" s="2727">
        <f>MORTGAGE!L139</f>
        <v>118970</v>
      </c>
      <c r="AC148" s="2728"/>
      <c r="AD148" s="2728"/>
      <c r="AE148" s="2728"/>
      <c r="AF148" s="2729"/>
      <c r="AG148" s="2719">
        <f>MORTGAGE!N139</f>
        <v>1.025603448275862</v>
      </c>
      <c r="AH148" s="2720"/>
      <c r="AI148" s="2720"/>
      <c r="AJ148" s="2720"/>
      <c r="AK148" s="2723"/>
      <c r="AL148" s="2719">
        <f>MORTGAGE!O139</f>
        <v>0</v>
      </c>
      <c r="AM148" s="2720"/>
      <c r="AN148" s="2720"/>
      <c r="AO148" s="2720"/>
      <c r="AP148" s="2720"/>
      <c r="AQ148" s="1239">
        <f t="shared" si="1"/>
        <v>1</v>
      </c>
    </row>
    <row r="149" spans="1:43" x14ac:dyDescent="0.25">
      <c r="A149" s="2"/>
      <c r="B149" s="2791"/>
      <c r="C149" s="2792"/>
      <c r="D149" s="2793"/>
      <c r="E149" s="2776" t="str">
        <f>IF(MORTGAGE!B140=0,"",MORTGAGE!B140)</f>
        <v/>
      </c>
      <c r="F149" s="2777"/>
      <c r="G149" s="2778"/>
      <c r="H149" s="2761">
        <f>MORTGAGE!H140</f>
        <v>0</v>
      </c>
      <c r="I149" s="2762"/>
      <c r="J149" s="2762"/>
      <c r="K149" s="2762"/>
      <c r="L149" s="2763"/>
      <c r="M149" s="2749">
        <f>MORTGAGE!J140</f>
        <v>0</v>
      </c>
      <c r="N149" s="2750"/>
      <c r="O149" s="2750"/>
      <c r="P149" s="2750"/>
      <c r="Q149" s="2751"/>
      <c r="R149" s="2739">
        <f>MORTGAGE!I140</f>
        <v>0</v>
      </c>
      <c r="S149" s="2740"/>
      <c r="T149" s="2740"/>
      <c r="U149" s="2740"/>
      <c r="V149" s="2741"/>
      <c r="W149" s="2733">
        <f>MORTGAGE!K140</f>
        <v>0</v>
      </c>
      <c r="X149" s="2734"/>
      <c r="Y149" s="2734"/>
      <c r="Z149" s="2734"/>
      <c r="AA149" s="2735"/>
      <c r="AB149" s="2727">
        <f>MORTGAGE!L140</f>
        <v>118970</v>
      </c>
      <c r="AC149" s="2728"/>
      <c r="AD149" s="2728"/>
      <c r="AE149" s="2728"/>
      <c r="AF149" s="2729"/>
      <c r="AG149" s="2719">
        <f>MORTGAGE!N140</f>
        <v>1.025603448275862</v>
      </c>
      <c r="AH149" s="2720"/>
      <c r="AI149" s="2720"/>
      <c r="AJ149" s="2720"/>
      <c r="AK149" s="2723"/>
      <c r="AL149" s="2719">
        <f>MORTGAGE!O140</f>
        <v>0</v>
      </c>
      <c r="AM149" s="2720"/>
      <c r="AN149" s="2720"/>
      <c r="AO149" s="2720"/>
      <c r="AP149" s="2720"/>
      <c r="AQ149" s="1239">
        <f t="shared" si="1"/>
        <v>1</v>
      </c>
    </row>
    <row r="150" spans="1:43" x14ac:dyDescent="0.25">
      <c r="A150" s="2"/>
      <c r="B150" s="2791"/>
      <c r="C150" s="2792"/>
      <c r="D150" s="2793"/>
      <c r="E150" s="2776" t="str">
        <f>IF(MORTGAGE!B141=0,"",MORTGAGE!B141)</f>
        <v/>
      </c>
      <c r="F150" s="2777"/>
      <c r="G150" s="2778"/>
      <c r="H150" s="2761">
        <f>MORTGAGE!H141</f>
        <v>0</v>
      </c>
      <c r="I150" s="2762"/>
      <c r="J150" s="2762"/>
      <c r="K150" s="2762"/>
      <c r="L150" s="2763"/>
      <c r="M150" s="2749">
        <f>MORTGAGE!J141</f>
        <v>0</v>
      </c>
      <c r="N150" s="2750"/>
      <c r="O150" s="2750"/>
      <c r="P150" s="2750"/>
      <c r="Q150" s="2751"/>
      <c r="R150" s="2739">
        <f>MORTGAGE!I141</f>
        <v>0</v>
      </c>
      <c r="S150" s="2740"/>
      <c r="T150" s="2740"/>
      <c r="U150" s="2740"/>
      <c r="V150" s="2741"/>
      <c r="W150" s="2733">
        <f>MORTGAGE!K141</f>
        <v>0</v>
      </c>
      <c r="X150" s="2734"/>
      <c r="Y150" s="2734"/>
      <c r="Z150" s="2734"/>
      <c r="AA150" s="2735"/>
      <c r="AB150" s="2727">
        <f>MORTGAGE!L141</f>
        <v>118970</v>
      </c>
      <c r="AC150" s="2728"/>
      <c r="AD150" s="2728"/>
      <c r="AE150" s="2728"/>
      <c r="AF150" s="2729"/>
      <c r="AG150" s="2719">
        <f>MORTGAGE!N141</f>
        <v>1.025603448275862</v>
      </c>
      <c r="AH150" s="2720"/>
      <c r="AI150" s="2720"/>
      <c r="AJ150" s="2720"/>
      <c r="AK150" s="2723"/>
      <c r="AL150" s="2719">
        <f>MORTGAGE!O141</f>
        <v>0</v>
      </c>
      <c r="AM150" s="2720"/>
      <c r="AN150" s="2720"/>
      <c r="AO150" s="2720"/>
      <c r="AP150" s="2720"/>
      <c r="AQ150" s="1239">
        <f t="shared" si="1"/>
        <v>1</v>
      </c>
    </row>
    <row r="151" spans="1:43" x14ac:dyDescent="0.25">
      <c r="A151" s="2"/>
      <c r="B151" s="2791"/>
      <c r="C151" s="2792"/>
      <c r="D151" s="2793"/>
      <c r="E151" s="2776" t="str">
        <f>IF(MORTGAGE!B142=0,"",MORTGAGE!B142)</f>
        <v/>
      </c>
      <c r="F151" s="2777"/>
      <c r="G151" s="2778"/>
      <c r="H151" s="2761">
        <f>MORTGAGE!H142</f>
        <v>0</v>
      </c>
      <c r="I151" s="2762"/>
      <c r="J151" s="2762"/>
      <c r="K151" s="2762"/>
      <c r="L151" s="2763"/>
      <c r="M151" s="2749">
        <f>MORTGAGE!J142</f>
        <v>0</v>
      </c>
      <c r="N151" s="2750"/>
      <c r="O151" s="2750"/>
      <c r="P151" s="2750"/>
      <c r="Q151" s="2751"/>
      <c r="R151" s="2739">
        <f>MORTGAGE!I142</f>
        <v>0</v>
      </c>
      <c r="S151" s="2740"/>
      <c r="T151" s="2740"/>
      <c r="U151" s="2740"/>
      <c r="V151" s="2741"/>
      <c r="W151" s="2733">
        <f>MORTGAGE!K142</f>
        <v>0</v>
      </c>
      <c r="X151" s="2734"/>
      <c r="Y151" s="2734"/>
      <c r="Z151" s="2734"/>
      <c r="AA151" s="2735"/>
      <c r="AB151" s="2727">
        <f>MORTGAGE!L142</f>
        <v>118970</v>
      </c>
      <c r="AC151" s="2728"/>
      <c r="AD151" s="2728"/>
      <c r="AE151" s="2728"/>
      <c r="AF151" s="2729"/>
      <c r="AG151" s="2719">
        <f>MORTGAGE!N142</f>
        <v>1.025603448275862</v>
      </c>
      <c r="AH151" s="2720"/>
      <c r="AI151" s="2720"/>
      <c r="AJ151" s="2720"/>
      <c r="AK151" s="2723"/>
      <c r="AL151" s="2719">
        <f>MORTGAGE!O142</f>
        <v>0</v>
      </c>
      <c r="AM151" s="2720"/>
      <c r="AN151" s="2720"/>
      <c r="AO151" s="2720"/>
      <c r="AP151" s="2720"/>
      <c r="AQ151" s="1239">
        <f t="shared" si="1"/>
        <v>1</v>
      </c>
    </row>
    <row r="152" spans="1:43" x14ac:dyDescent="0.25">
      <c r="A152" s="2"/>
      <c r="B152" s="2791"/>
      <c r="C152" s="2792"/>
      <c r="D152" s="2793"/>
      <c r="E152" s="2776" t="str">
        <f>IF(MORTGAGE!B143=0,"",MORTGAGE!B143)</f>
        <v/>
      </c>
      <c r="F152" s="2777"/>
      <c r="G152" s="2778"/>
      <c r="H152" s="2761">
        <f>MORTGAGE!H143</f>
        <v>0</v>
      </c>
      <c r="I152" s="2762"/>
      <c r="J152" s="2762"/>
      <c r="K152" s="2762"/>
      <c r="L152" s="2763"/>
      <c r="M152" s="2749">
        <f>MORTGAGE!J143</f>
        <v>0</v>
      </c>
      <c r="N152" s="2750"/>
      <c r="O152" s="2750"/>
      <c r="P152" s="2750"/>
      <c r="Q152" s="2751"/>
      <c r="R152" s="2739">
        <f>MORTGAGE!I143</f>
        <v>0</v>
      </c>
      <c r="S152" s="2740"/>
      <c r="T152" s="2740"/>
      <c r="U152" s="2740"/>
      <c r="V152" s="2741"/>
      <c r="W152" s="2733">
        <f>MORTGAGE!K143</f>
        <v>0</v>
      </c>
      <c r="X152" s="2734"/>
      <c r="Y152" s="2734"/>
      <c r="Z152" s="2734"/>
      <c r="AA152" s="2735"/>
      <c r="AB152" s="2727">
        <f>MORTGAGE!L143</f>
        <v>118970</v>
      </c>
      <c r="AC152" s="2728"/>
      <c r="AD152" s="2728"/>
      <c r="AE152" s="2728"/>
      <c r="AF152" s="2729"/>
      <c r="AG152" s="2719">
        <f>MORTGAGE!N143</f>
        <v>1.025603448275862</v>
      </c>
      <c r="AH152" s="2720"/>
      <c r="AI152" s="2720"/>
      <c r="AJ152" s="2720"/>
      <c r="AK152" s="2723"/>
      <c r="AL152" s="2719">
        <f>MORTGAGE!O143</f>
        <v>0</v>
      </c>
      <c r="AM152" s="2720"/>
      <c r="AN152" s="2720"/>
      <c r="AO152" s="2720"/>
      <c r="AP152" s="2720"/>
      <c r="AQ152" s="1239">
        <f t="shared" si="1"/>
        <v>1</v>
      </c>
    </row>
    <row r="153" spans="1:43" ht="14.4" thickBot="1" x14ac:dyDescent="0.3">
      <c r="A153" s="2"/>
      <c r="B153" s="2794"/>
      <c r="C153" s="2795"/>
      <c r="D153" s="2796"/>
      <c r="E153" s="2776" t="str">
        <f>IF(MORTGAGE!B144=0,"",MORTGAGE!B144)</f>
        <v/>
      </c>
      <c r="F153" s="2777"/>
      <c r="G153" s="2778"/>
      <c r="H153" s="2761">
        <f>MORTGAGE!H144</f>
        <v>0</v>
      </c>
      <c r="I153" s="2762"/>
      <c r="J153" s="2762"/>
      <c r="K153" s="2762"/>
      <c r="L153" s="2763"/>
      <c r="M153" s="2749">
        <f>MORTGAGE!J144</f>
        <v>0</v>
      </c>
      <c r="N153" s="2750"/>
      <c r="O153" s="2750"/>
      <c r="P153" s="2750"/>
      <c r="Q153" s="2751"/>
      <c r="R153" s="2739">
        <f>MORTGAGE!I144</f>
        <v>0</v>
      </c>
      <c r="S153" s="2740"/>
      <c r="T153" s="2740"/>
      <c r="U153" s="2740"/>
      <c r="V153" s="2741"/>
      <c r="W153" s="2733">
        <f>MORTGAGE!K144</f>
        <v>0</v>
      </c>
      <c r="X153" s="2734"/>
      <c r="Y153" s="2734"/>
      <c r="Z153" s="2734"/>
      <c r="AA153" s="2735"/>
      <c r="AB153" s="2727">
        <f>MORTGAGE!L144</f>
        <v>118970</v>
      </c>
      <c r="AC153" s="2728"/>
      <c r="AD153" s="2728"/>
      <c r="AE153" s="2728"/>
      <c r="AF153" s="2729"/>
      <c r="AG153" s="2719">
        <f>MORTGAGE!N144</f>
        <v>1.025603448275862</v>
      </c>
      <c r="AH153" s="2720"/>
      <c r="AI153" s="2720"/>
      <c r="AJ153" s="2720"/>
      <c r="AK153" s="2723"/>
      <c r="AL153" s="2719">
        <f>MORTGAGE!O144</f>
        <v>0</v>
      </c>
      <c r="AM153" s="2720"/>
      <c r="AN153" s="2720"/>
      <c r="AO153" s="2720"/>
      <c r="AP153" s="2720"/>
      <c r="AQ153" s="1239">
        <f t="shared" si="1"/>
        <v>1</v>
      </c>
    </row>
    <row r="154" spans="1:43" x14ac:dyDescent="0.25">
      <c r="A154" s="2"/>
      <c r="B154" s="2797" t="str">
        <f>IFERROR(ROUNDUP(E154/12,0),"")</f>
        <v/>
      </c>
      <c r="C154" s="2798"/>
      <c r="D154" s="2799"/>
      <c r="E154" s="2785" t="str">
        <f>IF(MORTGAGE!B145=0,"",MORTGAGE!B145)</f>
        <v/>
      </c>
      <c r="F154" s="2786"/>
      <c r="G154" s="2787"/>
      <c r="H154" s="2773">
        <f>MORTGAGE!H145</f>
        <v>0</v>
      </c>
      <c r="I154" s="2774"/>
      <c r="J154" s="2774"/>
      <c r="K154" s="2774"/>
      <c r="L154" s="2775"/>
      <c r="M154" s="2758">
        <f>MORTGAGE!J145</f>
        <v>0</v>
      </c>
      <c r="N154" s="2759"/>
      <c r="O154" s="2759"/>
      <c r="P154" s="2759"/>
      <c r="Q154" s="2760"/>
      <c r="R154" s="2746">
        <f>MORTGAGE!I145</f>
        <v>0</v>
      </c>
      <c r="S154" s="2747"/>
      <c r="T154" s="2747"/>
      <c r="U154" s="2747"/>
      <c r="V154" s="2748"/>
      <c r="W154" s="2736">
        <f>MORTGAGE!K145</f>
        <v>0</v>
      </c>
      <c r="X154" s="2737"/>
      <c r="Y154" s="2737"/>
      <c r="Z154" s="2737"/>
      <c r="AA154" s="2738"/>
      <c r="AB154" s="2730">
        <f>MORTGAGE!L145</f>
        <v>118970</v>
      </c>
      <c r="AC154" s="2731"/>
      <c r="AD154" s="2731"/>
      <c r="AE154" s="2731"/>
      <c r="AF154" s="2732"/>
      <c r="AG154" s="2724">
        <f>MORTGAGE!N145</f>
        <v>1.025603448275862</v>
      </c>
      <c r="AH154" s="2725"/>
      <c r="AI154" s="2725"/>
      <c r="AJ154" s="2725"/>
      <c r="AK154" s="2726"/>
      <c r="AL154" s="2721">
        <f>MORTGAGE!O145</f>
        <v>0</v>
      </c>
      <c r="AM154" s="2722"/>
      <c r="AN154" s="2722"/>
      <c r="AO154" s="2722"/>
      <c r="AP154" s="2722"/>
      <c r="AQ154" s="1239">
        <f t="shared" si="1"/>
        <v>1</v>
      </c>
    </row>
    <row r="155" spans="1:43" x14ac:dyDescent="0.25">
      <c r="A155" s="2"/>
      <c r="B155" s="2791"/>
      <c r="C155" s="2792"/>
      <c r="D155" s="2793"/>
      <c r="E155" s="2776" t="str">
        <f>IF(MORTGAGE!B146=0,"",MORTGAGE!B146)</f>
        <v/>
      </c>
      <c r="F155" s="2777"/>
      <c r="G155" s="2778"/>
      <c r="H155" s="2761">
        <f>MORTGAGE!H146</f>
        <v>0</v>
      </c>
      <c r="I155" s="2762"/>
      <c r="J155" s="2762"/>
      <c r="K155" s="2762"/>
      <c r="L155" s="2763"/>
      <c r="M155" s="2749">
        <f>MORTGAGE!J146</f>
        <v>0</v>
      </c>
      <c r="N155" s="2750"/>
      <c r="O155" s="2750"/>
      <c r="P155" s="2750"/>
      <c r="Q155" s="2751"/>
      <c r="R155" s="2739">
        <f>MORTGAGE!I146</f>
        <v>0</v>
      </c>
      <c r="S155" s="2740"/>
      <c r="T155" s="2740"/>
      <c r="U155" s="2740"/>
      <c r="V155" s="2741"/>
      <c r="W155" s="2733">
        <f>MORTGAGE!K146</f>
        <v>0</v>
      </c>
      <c r="X155" s="2734"/>
      <c r="Y155" s="2734"/>
      <c r="Z155" s="2734"/>
      <c r="AA155" s="2735"/>
      <c r="AB155" s="2727">
        <f>MORTGAGE!L146</f>
        <v>118970</v>
      </c>
      <c r="AC155" s="2728"/>
      <c r="AD155" s="2728"/>
      <c r="AE155" s="2728"/>
      <c r="AF155" s="2729"/>
      <c r="AG155" s="2719">
        <f>MORTGAGE!N146</f>
        <v>1.025603448275862</v>
      </c>
      <c r="AH155" s="2720"/>
      <c r="AI155" s="2720"/>
      <c r="AJ155" s="2720"/>
      <c r="AK155" s="2723"/>
      <c r="AL155" s="2719">
        <f>MORTGAGE!O146</f>
        <v>0</v>
      </c>
      <c r="AM155" s="2720"/>
      <c r="AN155" s="2720"/>
      <c r="AO155" s="2720"/>
      <c r="AP155" s="2720"/>
      <c r="AQ155" s="1239">
        <f t="shared" si="1"/>
        <v>1</v>
      </c>
    </row>
    <row r="156" spans="1:43" x14ac:dyDescent="0.25">
      <c r="A156" s="2"/>
      <c r="B156" s="2791"/>
      <c r="C156" s="2792"/>
      <c r="D156" s="2793"/>
      <c r="E156" s="2776" t="str">
        <f>IF(MORTGAGE!B147=0,"",MORTGAGE!B147)</f>
        <v/>
      </c>
      <c r="F156" s="2777"/>
      <c r="G156" s="2778"/>
      <c r="H156" s="2761">
        <f>MORTGAGE!H147</f>
        <v>0</v>
      </c>
      <c r="I156" s="2762"/>
      <c r="J156" s="2762"/>
      <c r="K156" s="2762"/>
      <c r="L156" s="2763"/>
      <c r="M156" s="2749">
        <f>MORTGAGE!J147</f>
        <v>0</v>
      </c>
      <c r="N156" s="2750"/>
      <c r="O156" s="2750"/>
      <c r="P156" s="2750"/>
      <c r="Q156" s="2751"/>
      <c r="R156" s="2739">
        <f>MORTGAGE!I147</f>
        <v>0</v>
      </c>
      <c r="S156" s="2740"/>
      <c r="T156" s="2740"/>
      <c r="U156" s="2740"/>
      <c r="V156" s="2741"/>
      <c r="W156" s="2733">
        <f>MORTGAGE!K147</f>
        <v>0</v>
      </c>
      <c r="X156" s="2734"/>
      <c r="Y156" s="2734"/>
      <c r="Z156" s="2734"/>
      <c r="AA156" s="2735"/>
      <c r="AB156" s="2727">
        <f>MORTGAGE!L147</f>
        <v>118970</v>
      </c>
      <c r="AC156" s="2728"/>
      <c r="AD156" s="2728"/>
      <c r="AE156" s="2728"/>
      <c r="AF156" s="2729"/>
      <c r="AG156" s="2719">
        <f>MORTGAGE!N147</f>
        <v>1.025603448275862</v>
      </c>
      <c r="AH156" s="2720"/>
      <c r="AI156" s="2720"/>
      <c r="AJ156" s="2720"/>
      <c r="AK156" s="2723"/>
      <c r="AL156" s="2719">
        <f>MORTGAGE!O147</f>
        <v>0</v>
      </c>
      <c r="AM156" s="2720"/>
      <c r="AN156" s="2720"/>
      <c r="AO156" s="2720"/>
      <c r="AP156" s="2720"/>
      <c r="AQ156" s="1239">
        <f t="shared" si="1"/>
        <v>1</v>
      </c>
    </row>
    <row r="157" spans="1:43" x14ac:dyDescent="0.25">
      <c r="A157" s="2"/>
      <c r="B157" s="2791"/>
      <c r="C157" s="2792"/>
      <c r="D157" s="2793"/>
      <c r="E157" s="2776" t="str">
        <f>IF(MORTGAGE!B148=0,"",MORTGAGE!B148)</f>
        <v/>
      </c>
      <c r="F157" s="2777"/>
      <c r="G157" s="2778"/>
      <c r="H157" s="2761">
        <f>MORTGAGE!H148</f>
        <v>0</v>
      </c>
      <c r="I157" s="2762"/>
      <c r="J157" s="2762"/>
      <c r="K157" s="2762"/>
      <c r="L157" s="2763"/>
      <c r="M157" s="2749">
        <f>MORTGAGE!J148</f>
        <v>0</v>
      </c>
      <c r="N157" s="2750"/>
      <c r="O157" s="2750"/>
      <c r="P157" s="2750"/>
      <c r="Q157" s="2751"/>
      <c r="R157" s="2739">
        <f>MORTGAGE!I148</f>
        <v>0</v>
      </c>
      <c r="S157" s="2740"/>
      <c r="T157" s="2740"/>
      <c r="U157" s="2740"/>
      <c r="V157" s="2741"/>
      <c r="W157" s="2733">
        <f>MORTGAGE!K148</f>
        <v>0</v>
      </c>
      <c r="X157" s="2734"/>
      <c r="Y157" s="2734"/>
      <c r="Z157" s="2734"/>
      <c r="AA157" s="2735"/>
      <c r="AB157" s="2727">
        <f>MORTGAGE!L148</f>
        <v>118970</v>
      </c>
      <c r="AC157" s="2728"/>
      <c r="AD157" s="2728"/>
      <c r="AE157" s="2728"/>
      <c r="AF157" s="2729"/>
      <c r="AG157" s="2719">
        <f>MORTGAGE!N148</f>
        <v>1.025603448275862</v>
      </c>
      <c r="AH157" s="2720"/>
      <c r="AI157" s="2720"/>
      <c r="AJ157" s="2720"/>
      <c r="AK157" s="2723"/>
      <c r="AL157" s="2719">
        <f>MORTGAGE!O148</f>
        <v>0</v>
      </c>
      <c r="AM157" s="2720"/>
      <c r="AN157" s="2720"/>
      <c r="AO157" s="2720"/>
      <c r="AP157" s="2720"/>
      <c r="AQ157" s="1239">
        <f t="shared" si="1"/>
        <v>1</v>
      </c>
    </row>
    <row r="158" spans="1:43" x14ac:dyDescent="0.25">
      <c r="A158" s="2"/>
      <c r="B158" s="2791"/>
      <c r="C158" s="2792"/>
      <c r="D158" s="2793"/>
      <c r="E158" s="2776" t="str">
        <f>IF(MORTGAGE!B149=0,"",MORTGAGE!B149)</f>
        <v/>
      </c>
      <c r="F158" s="2777"/>
      <c r="G158" s="2778"/>
      <c r="H158" s="2761">
        <f>MORTGAGE!H149</f>
        <v>0</v>
      </c>
      <c r="I158" s="2762"/>
      <c r="J158" s="2762"/>
      <c r="K158" s="2762"/>
      <c r="L158" s="2763"/>
      <c r="M158" s="2749">
        <f>MORTGAGE!J149</f>
        <v>0</v>
      </c>
      <c r="N158" s="2750"/>
      <c r="O158" s="2750"/>
      <c r="P158" s="2750"/>
      <c r="Q158" s="2751"/>
      <c r="R158" s="2739">
        <f>MORTGAGE!I149</f>
        <v>0</v>
      </c>
      <c r="S158" s="2740"/>
      <c r="T158" s="2740"/>
      <c r="U158" s="2740"/>
      <c r="V158" s="2741"/>
      <c r="W158" s="2733">
        <f>MORTGAGE!K149</f>
        <v>0</v>
      </c>
      <c r="X158" s="2734"/>
      <c r="Y158" s="2734"/>
      <c r="Z158" s="2734"/>
      <c r="AA158" s="2735"/>
      <c r="AB158" s="2727">
        <f>MORTGAGE!L149</f>
        <v>118970</v>
      </c>
      <c r="AC158" s="2728"/>
      <c r="AD158" s="2728"/>
      <c r="AE158" s="2728"/>
      <c r="AF158" s="2729"/>
      <c r="AG158" s="2719">
        <f>MORTGAGE!N149</f>
        <v>1.025603448275862</v>
      </c>
      <c r="AH158" s="2720"/>
      <c r="AI158" s="2720"/>
      <c r="AJ158" s="2720"/>
      <c r="AK158" s="2723"/>
      <c r="AL158" s="2719">
        <f>MORTGAGE!O149</f>
        <v>0</v>
      </c>
      <c r="AM158" s="2720"/>
      <c r="AN158" s="2720"/>
      <c r="AO158" s="2720"/>
      <c r="AP158" s="2720"/>
      <c r="AQ158" s="1239">
        <f t="shared" si="1"/>
        <v>1</v>
      </c>
    </row>
    <row r="159" spans="1:43" x14ac:dyDescent="0.25">
      <c r="A159" s="2"/>
      <c r="B159" s="2791"/>
      <c r="C159" s="2792"/>
      <c r="D159" s="2793"/>
      <c r="E159" s="2776" t="str">
        <f>IF(MORTGAGE!B150=0,"",MORTGAGE!B150)</f>
        <v/>
      </c>
      <c r="F159" s="2777"/>
      <c r="G159" s="2778"/>
      <c r="H159" s="2761">
        <f>MORTGAGE!H150</f>
        <v>0</v>
      </c>
      <c r="I159" s="2762"/>
      <c r="J159" s="2762"/>
      <c r="K159" s="2762"/>
      <c r="L159" s="2763"/>
      <c r="M159" s="2749">
        <f>MORTGAGE!J150</f>
        <v>0</v>
      </c>
      <c r="N159" s="2750"/>
      <c r="O159" s="2750"/>
      <c r="P159" s="2750"/>
      <c r="Q159" s="2751"/>
      <c r="R159" s="2739">
        <f>MORTGAGE!I150</f>
        <v>0</v>
      </c>
      <c r="S159" s="2740"/>
      <c r="T159" s="2740"/>
      <c r="U159" s="2740"/>
      <c r="V159" s="2741"/>
      <c r="W159" s="2733">
        <f>MORTGAGE!K150</f>
        <v>0</v>
      </c>
      <c r="X159" s="2734"/>
      <c r="Y159" s="2734"/>
      <c r="Z159" s="2734"/>
      <c r="AA159" s="2735"/>
      <c r="AB159" s="2727">
        <f>MORTGAGE!L150</f>
        <v>118970</v>
      </c>
      <c r="AC159" s="2728"/>
      <c r="AD159" s="2728"/>
      <c r="AE159" s="2728"/>
      <c r="AF159" s="2729"/>
      <c r="AG159" s="2719">
        <f>MORTGAGE!N150</f>
        <v>1.025603448275862</v>
      </c>
      <c r="AH159" s="2720"/>
      <c r="AI159" s="2720"/>
      <c r="AJ159" s="2720"/>
      <c r="AK159" s="2723"/>
      <c r="AL159" s="2719">
        <f>MORTGAGE!O150</f>
        <v>0</v>
      </c>
      <c r="AM159" s="2720"/>
      <c r="AN159" s="2720"/>
      <c r="AO159" s="2720"/>
      <c r="AP159" s="2720"/>
      <c r="AQ159" s="1239">
        <f t="shared" si="1"/>
        <v>1</v>
      </c>
    </row>
    <row r="160" spans="1:43" x14ac:dyDescent="0.25">
      <c r="A160" s="2"/>
      <c r="B160" s="2791"/>
      <c r="C160" s="2792"/>
      <c r="D160" s="2793"/>
      <c r="E160" s="2776" t="str">
        <f>IF(MORTGAGE!B151=0,"",MORTGAGE!B151)</f>
        <v/>
      </c>
      <c r="F160" s="2777"/>
      <c r="G160" s="2778"/>
      <c r="H160" s="2761">
        <f>MORTGAGE!H151</f>
        <v>0</v>
      </c>
      <c r="I160" s="2762"/>
      <c r="J160" s="2762"/>
      <c r="K160" s="2762"/>
      <c r="L160" s="2763"/>
      <c r="M160" s="2749">
        <f>MORTGAGE!J151</f>
        <v>0</v>
      </c>
      <c r="N160" s="2750"/>
      <c r="O160" s="2750"/>
      <c r="P160" s="2750"/>
      <c r="Q160" s="2751"/>
      <c r="R160" s="2739">
        <f>MORTGAGE!I151</f>
        <v>0</v>
      </c>
      <c r="S160" s="2740"/>
      <c r="T160" s="2740"/>
      <c r="U160" s="2740"/>
      <c r="V160" s="2741"/>
      <c r="W160" s="2733">
        <f>MORTGAGE!K151</f>
        <v>0</v>
      </c>
      <c r="X160" s="2734"/>
      <c r="Y160" s="2734"/>
      <c r="Z160" s="2734"/>
      <c r="AA160" s="2735"/>
      <c r="AB160" s="2727">
        <f>MORTGAGE!L151</f>
        <v>118970</v>
      </c>
      <c r="AC160" s="2728"/>
      <c r="AD160" s="2728"/>
      <c r="AE160" s="2728"/>
      <c r="AF160" s="2729"/>
      <c r="AG160" s="2719">
        <f>MORTGAGE!N151</f>
        <v>1.025603448275862</v>
      </c>
      <c r="AH160" s="2720"/>
      <c r="AI160" s="2720"/>
      <c r="AJ160" s="2720"/>
      <c r="AK160" s="2723"/>
      <c r="AL160" s="2719">
        <f>MORTGAGE!O151</f>
        <v>0</v>
      </c>
      <c r="AM160" s="2720"/>
      <c r="AN160" s="2720"/>
      <c r="AO160" s="2720"/>
      <c r="AP160" s="2720"/>
      <c r="AQ160" s="1239">
        <f t="shared" si="1"/>
        <v>1</v>
      </c>
    </row>
    <row r="161" spans="1:43" x14ac:dyDescent="0.25">
      <c r="A161" s="2"/>
      <c r="B161" s="2791"/>
      <c r="C161" s="2792"/>
      <c r="D161" s="2793"/>
      <c r="E161" s="2776" t="str">
        <f>IF(MORTGAGE!B152=0,"",MORTGAGE!B152)</f>
        <v/>
      </c>
      <c r="F161" s="2777"/>
      <c r="G161" s="2778"/>
      <c r="H161" s="2761">
        <f>MORTGAGE!H152</f>
        <v>0</v>
      </c>
      <c r="I161" s="2762"/>
      <c r="J161" s="2762"/>
      <c r="K161" s="2762"/>
      <c r="L161" s="2763"/>
      <c r="M161" s="2749">
        <f>MORTGAGE!J152</f>
        <v>0</v>
      </c>
      <c r="N161" s="2750"/>
      <c r="O161" s="2750"/>
      <c r="P161" s="2750"/>
      <c r="Q161" s="2751"/>
      <c r="R161" s="2739">
        <f>MORTGAGE!I152</f>
        <v>0</v>
      </c>
      <c r="S161" s="2740"/>
      <c r="T161" s="2740"/>
      <c r="U161" s="2740"/>
      <c r="V161" s="2741"/>
      <c r="W161" s="2733">
        <f>MORTGAGE!K152</f>
        <v>0</v>
      </c>
      <c r="X161" s="2734"/>
      <c r="Y161" s="2734"/>
      <c r="Z161" s="2734"/>
      <c r="AA161" s="2735"/>
      <c r="AB161" s="2727">
        <f>MORTGAGE!L152</f>
        <v>118970</v>
      </c>
      <c r="AC161" s="2728"/>
      <c r="AD161" s="2728"/>
      <c r="AE161" s="2728"/>
      <c r="AF161" s="2729"/>
      <c r="AG161" s="2719">
        <f>MORTGAGE!N152</f>
        <v>1.025603448275862</v>
      </c>
      <c r="AH161" s="2720"/>
      <c r="AI161" s="2720"/>
      <c r="AJ161" s="2720"/>
      <c r="AK161" s="2723"/>
      <c r="AL161" s="2719">
        <f>MORTGAGE!O152</f>
        <v>0</v>
      </c>
      <c r="AM161" s="2720"/>
      <c r="AN161" s="2720"/>
      <c r="AO161" s="2720"/>
      <c r="AP161" s="2720"/>
      <c r="AQ161" s="1239">
        <f t="shared" si="1"/>
        <v>1</v>
      </c>
    </row>
    <row r="162" spans="1:43" x14ac:dyDescent="0.25">
      <c r="A162" s="2"/>
      <c r="B162" s="2791"/>
      <c r="C162" s="2792"/>
      <c r="D162" s="2793"/>
      <c r="E162" s="2776" t="str">
        <f>IF(MORTGAGE!B153=0,"",MORTGAGE!B153)</f>
        <v/>
      </c>
      <c r="F162" s="2777"/>
      <c r="G162" s="2778"/>
      <c r="H162" s="2761">
        <f>MORTGAGE!H153</f>
        <v>0</v>
      </c>
      <c r="I162" s="2762"/>
      <c r="J162" s="2762"/>
      <c r="K162" s="2762"/>
      <c r="L162" s="2763"/>
      <c r="M162" s="2749">
        <f>MORTGAGE!J153</f>
        <v>0</v>
      </c>
      <c r="N162" s="2750"/>
      <c r="O162" s="2750"/>
      <c r="P162" s="2750"/>
      <c r="Q162" s="2751"/>
      <c r="R162" s="2739">
        <f>MORTGAGE!I153</f>
        <v>0</v>
      </c>
      <c r="S162" s="2740"/>
      <c r="T162" s="2740"/>
      <c r="U162" s="2740"/>
      <c r="V162" s="2741"/>
      <c r="W162" s="2733">
        <f>MORTGAGE!K153</f>
        <v>0</v>
      </c>
      <c r="X162" s="2734"/>
      <c r="Y162" s="2734"/>
      <c r="Z162" s="2734"/>
      <c r="AA162" s="2735"/>
      <c r="AB162" s="2727">
        <f>MORTGAGE!L153</f>
        <v>118970</v>
      </c>
      <c r="AC162" s="2728"/>
      <c r="AD162" s="2728"/>
      <c r="AE162" s="2728"/>
      <c r="AF162" s="2729"/>
      <c r="AG162" s="2719">
        <f>MORTGAGE!N153</f>
        <v>1.025603448275862</v>
      </c>
      <c r="AH162" s="2720"/>
      <c r="AI162" s="2720"/>
      <c r="AJ162" s="2720"/>
      <c r="AK162" s="2723"/>
      <c r="AL162" s="2719">
        <f>MORTGAGE!O153</f>
        <v>0</v>
      </c>
      <c r="AM162" s="2720"/>
      <c r="AN162" s="2720"/>
      <c r="AO162" s="2720"/>
      <c r="AP162" s="2720"/>
      <c r="AQ162" s="1239">
        <f t="shared" si="1"/>
        <v>1</v>
      </c>
    </row>
    <row r="163" spans="1:43" x14ac:dyDescent="0.25">
      <c r="A163" s="2"/>
      <c r="B163" s="2791"/>
      <c r="C163" s="2792"/>
      <c r="D163" s="2793"/>
      <c r="E163" s="2776" t="str">
        <f>IF(MORTGAGE!B154=0,"",MORTGAGE!B154)</f>
        <v/>
      </c>
      <c r="F163" s="2777"/>
      <c r="G163" s="2778"/>
      <c r="H163" s="2761">
        <f>MORTGAGE!H154</f>
        <v>0</v>
      </c>
      <c r="I163" s="2762"/>
      <c r="J163" s="2762"/>
      <c r="K163" s="2762"/>
      <c r="L163" s="2763"/>
      <c r="M163" s="2749">
        <f>MORTGAGE!J154</f>
        <v>0</v>
      </c>
      <c r="N163" s="2750"/>
      <c r="O163" s="2750"/>
      <c r="P163" s="2750"/>
      <c r="Q163" s="2751"/>
      <c r="R163" s="2739">
        <f>MORTGAGE!I154</f>
        <v>0</v>
      </c>
      <c r="S163" s="2740"/>
      <c r="T163" s="2740"/>
      <c r="U163" s="2740"/>
      <c r="V163" s="2741"/>
      <c r="W163" s="2733">
        <f>MORTGAGE!K154</f>
        <v>0</v>
      </c>
      <c r="X163" s="2734"/>
      <c r="Y163" s="2734"/>
      <c r="Z163" s="2734"/>
      <c r="AA163" s="2735"/>
      <c r="AB163" s="2727">
        <f>MORTGAGE!L154</f>
        <v>118970</v>
      </c>
      <c r="AC163" s="2728"/>
      <c r="AD163" s="2728"/>
      <c r="AE163" s="2728"/>
      <c r="AF163" s="2729"/>
      <c r="AG163" s="2719">
        <f>MORTGAGE!N154</f>
        <v>1.025603448275862</v>
      </c>
      <c r="AH163" s="2720"/>
      <c r="AI163" s="2720"/>
      <c r="AJ163" s="2720"/>
      <c r="AK163" s="2723"/>
      <c r="AL163" s="2719">
        <f>MORTGAGE!O154</f>
        <v>0</v>
      </c>
      <c r="AM163" s="2720"/>
      <c r="AN163" s="2720"/>
      <c r="AO163" s="2720"/>
      <c r="AP163" s="2720"/>
      <c r="AQ163" s="1239">
        <f t="shared" si="1"/>
        <v>1</v>
      </c>
    </row>
    <row r="164" spans="1:43" x14ac:dyDescent="0.25">
      <c r="A164" s="2"/>
      <c r="B164" s="2791"/>
      <c r="C164" s="2792"/>
      <c r="D164" s="2793"/>
      <c r="E164" s="2776" t="str">
        <f>IF(MORTGAGE!B155=0,"",MORTGAGE!B155)</f>
        <v/>
      </c>
      <c r="F164" s="2777"/>
      <c r="G164" s="2778"/>
      <c r="H164" s="2761">
        <f>MORTGAGE!H155</f>
        <v>0</v>
      </c>
      <c r="I164" s="2762"/>
      <c r="J164" s="2762"/>
      <c r="K164" s="2762"/>
      <c r="L164" s="2763"/>
      <c r="M164" s="2749">
        <f>MORTGAGE!J155</f>
        <v>0</v>
      </c>
      <c r="N164" s="2750"/>
      <c r="O164" s="2750"/>
      <c r="P164" s="2750"/>
      <c r="Q164" s="2751"/>
      <c r="R164" s="2739">
        <f>MORTGAGE!I155</f>
        <v>0</v>
      </c>
      <c r="S164" s="2740"/>
      <c r="T164" s="2740"/>
      <c r="U164" s="2740"/>
      <c r="V164" s="2741"/>
      <c r="W164" s="2733">
        <f>MORTGAGE!K155</f>
        <v>0</v>
      </c>
      <c r="X164" s="2734"/>
      <c r="Y164" s="2734"/>
      <c r="Z164" s="2734"/>
      <c r="AA164" s="2735"/>
      <c r="AB164" s="2727">
        <f>MORTGAGE!L155</f>
        <v>118970</v>
      </c>
      <c r="AC164" s="2728"/>
      <c r="AD164" s="2728"/>
      <c r="AE164" s="2728"/>
      <c r="AF164" s="2729"/>
      <c r="AG164" s="2719">
        <f>MORTGAGE!N155</f>
        <v>1.025603448275862</v>
      </c>
      <c r="AH164" s="2720"/>
      <c r="AI164" s="2720"/>
      <c r="AJ164" s="2720"/>
      <c r="AK164" s="2723"/>
      <c r="AL164" s="2719">
        <f>MORTGAGE!O155</f>
        <v>0</v>
      </c>
      <c r="AM164" s="2720"/>
      <c r="AN164" s="2720"/>
      <c r="AO164" s="2720"/>
      <c r="AP164" s="2720"/>
      <c r="AQ164" s="1239">
        <f t="shared" si="1"/>
        <v>1</v>
      </c>
    </row>
    <row r="165" spans="1:43" ht="14.4" thickBot="1" x14ac:dyDescent="0.3">
      <c r="A165" s="2"/>
      <c r="B165" s="2794"/>
      <c r="C165" s="2795"/>
      <c r="D165" s="2796"/>
      <c r="E165" s="2776" t="str">
        <f>IF(MORTGAGE!B156=0,"",MORTGAGE!B156)</f>
        <v/>
      </c>
      <c r="F165" s="2777"/>
      <c r="G165" s="2778"/>
      <c r="H165" s="2761">
        <f>MORTGAGE!H156</f>
        <v>0</v>
      </c>
      <c r="I165" s="2762"/>
      <c r="J165" s="2762"/>
      <c r="K165" s="2762"/>
      <c r="L165" s="2763"/>
      <c r="M165" s="2749">
        <f>MORTGAGE!J156</f>
        <v>0</v>
      </c>
      <c r="N165" s="2750"/>
      <c r="O165" s="2750"/>
      <c r="P165" s="2750"/>
      <c r="Q165" s="2751"/>
      <c r="R165" s="2739">
        <f>MORTGAGE!I156</f>
        <v>0</v>
      </c>
      <c r="S165" s="2740"/>
      <c r="T165" s="2740"/>
      <c r="U165" s="2740"/>
      <c r="V165" s="2741"/>
      <c r="W165" s="2733">
        <f>MORTGAGE!K156</f>
        <v>0</v>
      </c>
      <c r="X165" s="2734"/>
      <c r="Y165" s="2734"/>
      <c r="Z165" s="2734"/>
      <c r="AA165" s="2735"/>
      <c r="AB165" s="2727">
        <f>MORTGAGE!L156</f>
        <v>118970</v>
      </c>
      <c r="AC165" s="2728"/>
      <c r="AD165" s="2728"/>
      <c r="AE165" s="2728"/>
      <c r="AF165" s="2729"/>
      <c r="AG165" s="2719">
        <f>MORTGAGE!N156</f>
        <v>1.025603448275862</v>
      </c>
      <c r="AH165" s="2720"/>
      <c r="AI165" s="2720"/>
      <c r="AJ165" s="2720"/>
      <c r="AK165" s="2723"/>
      <c r="AL165" s="2719">
        <f>MORTGAGE!O156</f>
        <v>0</v>
      </c>
      <c r="AM165" s="2720"/>
      <c r="AN165" s="2720"/>
      <c r="AO165" s="2720"/>
      <c r="AP165" s="2720"/>
      <c r="AQ165" s="1239">
        <f t="shared" si="1"/>
        <v>1</v>
      </c>
    </row>
    <row r="166" spans="1:43" x14ac:dyDescent="0.25">
      <c r="A166" s="2"/>
      <c r="B166" s="2797" t="str">
        <f>IFERROR(ROUNDUP(E166/12,0),"")</f>
        <v/>
      </c>
      <c r="C166" s="2798"/>
      <c r="D166" s="2799"/>
      <c r="E166" s="2785" t="str">
        <f>IF(MORTGAGE!B157=0,"",MORTGAGE!B157)</f>
        <v/>
      </c>
      <c r="F166" s="2786"/>
      <c r="G166" s="2787"/>
      <c r="H166" s="2773">
        <f>MORTGAGE!H157</f>
        <v>0</v>
      </c>
      <c r="I166" s="2774"/>
      <c r="J166" s="2774"/>
      <c r="K166" s="2774"/>
      <c r="L166" s="2775"/>
      <c r="M166" s="2758">
        <f>MORTGAGE!J157</f>
        <v>0</v>
      </c>
      <c r="N166" s="2759"/>
      <c r="O166" s="2759"/>
      <c r="P166" s="2759"/>
      <c r="Q166" s="2760"/>
      <c r="R166" s="2746">
        <f>MORTGAGE!I157</f>
        <v>0</v>
      </c>
      <c r="S166" s="2747"/>
      <c r="T166" s="2747"/>
      <c r="U166" s="2747"/>
      <c r="V166" s="2748"/>
      <c r="W166" s="2736">
        <f>MORTGAGE!K157</f>
        <v>0</v>
      </c>
      <c r="X166" s="2737"/>
      <c r="Y166" s="2737"/>
      <c r="Z166" s="2737"/>
      <c r="AA166" s="2738"/>
      <c r="AB166" s="2730">
        <f>MORTGAGE!L157</f>
        <v>118970</v>
      </c>
      <c r="AC166" s="2731"/>
      <c r="AD166" s="2731"/>
      <c r="AE166" s="2731"/>
      <c r="AF166" s="2732"/>
      <c r="AG166" s="2724">
        <f>MORTGAGE!N157</f>
        <v>1.025603448275862</v>
      </c>
      <c r="AH166" s="2725"/>
      <c r="AI166" s="2725"/>
      <c r="AJ166" s="2725"/>
      <c r="AK166" s="2726"/>
      <c r="AL166" s="2721">
        <f>MORTGAGE!O157</f>
        <v>0</v>
      </c>
      <c r="AM166" s="2722"/>
      <c r="AN166" s="2722"/>
      <c r="AO166" s="2722"/>
      <c r="AP166" s="2722"/>
      <c r="AQ166" s="1239">
        <f t="shared" si="1"/>
        <v>1</v>
      </c>
    </row>
    <row r="167" spans="1:43" x14ac:dyDescent="0.25">
      <c r="A167" s="2"/>
      <c r="B167" s="2791"/>
      <c r="C167" s="2792"/>
      <c r="D167" s="2793"/>
      <c r="E167" s="2776" t="str">
        <f>IF(MORTGAGE!B158=0,"",MORTGAGE!B158)</f>
        <v/>
      </c>
      <c r="F167" s="2777"/>
      <c r="G167" s="2778"/>
      <c r="H167" s="2761">
        <f>MORTGAGE!H158</f>
        <v>0</v>
      </c>
      <c r="I167" s="2762"/>
      <c r="J167" s="2762"/>
      <c r="K167" s="2762"/>
      <c r="L167" s="2763"/>
      <c r="M167" s="2749">
        <f>MORTGAGE!J158</f>
        <v>0</v>
      </c>
      <c r="N167" s="2750"/>
      <c r="O167" s="2750"/>
      <c r="P167" s="2750"/>
      <c r="Q167" s="2751"/>
      <c r="R167" s="2739">
        <f>MORTGAGE!I158</f>
        <v>0</v>
      </c>
      <c r="S167" s="2740"/>
      <c r="T167" s="2740"/>
      <c r="U167" s="2740"/>
      <c r="V167" s="2741"/>
      <c r="W167" s="2733">
        <f>MORTGAGE!K158</f>
        <v>0</v>
      </c>
      <c r="X167" s="2734"/>
      <c r="Y167" s="2734"/>
      <c r="Z167" s="2734"/>
      <c r="AA167" s="2735"/>
      <c r="AB167" s="2727">
        <f>MORTGAGE!L158</f>
        <v>118970</v>
      </c>
      <c r="AC167" s="2728"/>
      <c r="AD167" s="2728"/>
      <c r="AE167" s="2728"/>
      <c r="AF167" s="2729"/>
      <c r="AG167" s="2719">
        <f>MORTGAGE!N158</f>
        <v>1.025603448275862</v>
      </c>
      <c r="AH167" s="2720"/>
      <c r="AI167" s="2720"/>
      <c r="AJ167" s="2720"/>
      <c r="AK167" s="2723"/>
      <c r="AL167" s="2719">
        <f>MORTGAGE!O158</f>
        <v>0</v>
      </c>
      <c r="AM167" s="2720"/>
      <c r="AN167" s="2720"/>
      <c r="AO167" s="2720"/>
      <c r="AP167" s="2720"/>
      <c r="AQ167" s="1239">
        <f t="shared" si="1"/>
        <v>1</v>
      </c>
    </row>
    <row r="168" spans="1:43" x14ac:dyDescent="0.25">
      <c r="A168" s="2"/>
      <c r="B168" s="2791"/>
      <c r="C168" s="2792"/>
      <c r="D168" s="2793"/>
      <c r="E168" s="2776" t="str">
        <f>IF(MORTGAGE!B159=0,"",MORTGAGE!B159)</f>
        <v/>
      </c>
      <c r="F168" s="2777"/>
      <c r="G168" s="2778"/>
      <c r="H168" s="2761">
        <f>MORTGAGE!H159</f>
        <v>0</v>
      </c>
      <c r="I168" s="2762"/>
      <c r="J168" s="2762"/>
      <c r="K168" s="2762"/>
      <c r="L168" s="2763"/>
      <c r="M168" s="2749">
        <f>MORTGAGE!J159</f>
        <v>0</v>
      </c>
      <c r="N168" s="2750"/>
      <c r="O168" s="2750"/>
      <c r="P168" s="2750"/>
      <c r="Q168" s="2751"/>
      <c r="R168" s="2739">
        <f>MORTGAGE!I159</f>
        <v>0</v>
      </c>
      <c r="S168" s="2740"/>
      <c r="T168" s="2740"/>
      <c r="U168" s="2740"/>
      <c r="V168" s="2741"/>
      <c r="W168" s="2733">
        <f>MORTGAGE!K159</f>
        <v>0</v>
      </c>
      <c r="X168" s="2734"/>
      <c r="Y168" s="2734"/>
      <c r="Z168" s="2734"/>
      <c r="AA168" s="2735"/>
      <c r="AB168" s="2727">
        <f>MORTGAGE!L159</f>
        <v>118970</v>
      </c>
      <c r="AC168" s="2728"/>
      <c r="AD168" s="2728"/>
      <c r="AE168" s="2728"/>
      <c r="AF168" s="2729"/>
      <c r="AG168" s="2719">
        <f>MORTGAGE!N159</f>
        <v>1.025603448275862</v>
      </c>
      <c r="AH168" s="2720"/>
      <c r="AI168" s="2720"/>
      <c r="AJ168" s="2720"/>
      <c r="AK168" s="2723"/>
      <c r="AL168" s="2719">
        <f>MORTGAGE!O159</f>
        <v>0</v>
      </c>
      <c r="AM168" s="2720"/>
      <c r="AN168" s="2720"/>
      <c r="AO168" s="2720"/>
      <c r="AP168" s="2720"/>
      <c r="AQ168" s="1239">
        <f t="shared" si="1"/>
        <v>1</v>
      </c>
    </row>
    <row r="169" spans="1:43" x14ac:dyDescent="0.25">
      <c r="A169" s="2"/>
      <c r="B169" s="2791"/>
      <c r="C169" s="2792"/>
      <c r="D169" s="2793"/>
      <c r="E169" s="2776" t="str">
        <f>IF(MORTGAGE!B160=0,"",MORTGAGE!B160)</f>
        <v/>
      </c>
      <c r="F169" s="2777"/>
      <c r="G169" s="2778"/>
      <c r="H169" s="2761">
        <f>MORTGAGE!H160</f>
        <v>0</v>
      </c>
      <c r="I169" s="2762"/>
      <c r="J169" s="2762"/>
      <c r="K169" s="2762"/>
      <c r="L169" s="2763"/>
      <c r="M169" s="2749">
        <f>MORTGAGE!J160</f>
        <v>0</v>
      </c>
      <c r="N169" s="2750"/>
      <c r="O169" s="2750"/>
      <c r="P169" s="2750"/>
      <c r="Q169" s="2751"/>
      <c r="R169" s="2739">
        <f>MORTGAGE!I160</f>
        <v>0</v>
      </c>
      <c r="S169" s="2740"/>
      <c r="T169" s="2740"/>
      <c r="U169" s="2740"/>
      <c r="V169" s="2741"/>
      <c r="W169" s="2733">
        <f>MORTGAGE!K160</f>
        <v>0</v>
      </c>
      <c r="X169" s="2734"/>
      <c r="Y169" s="2734"/>
      <c r="Z169" s="2734"/>
      <c r="AA169" s="2735"/>
      <c r="AB169" s="2727">
        <f>MORTGAGE!L160</f>
        <v>118970</v>
      </c>
      <c r="AC169" s="2728"/>
      <c r="AD169" s="2728"/>
      <c r="AE169" s="2728"/>
      <c r="AF169" s="2729"/>
      <c r="AG169" s="2719">
        <f>MORTGAGE!N160</f>
        <v>1.025603448275862</v>
      </c>
      <c r="AH169" s="2720"/>
      <c r="AI169" s="2720"/>
      <c r="AJ169" s="2720"/>
      <c r="AK169" s="2723"/>
      <c r="AL169" s="2719">
        <f>MORTGAGE!O160</f>
        <v>0</v>
      </c>
      <c r="AM169" s="2720"/>
      <c r="AN169" s="2720"/>
      <c r="AO169" s="2720"/>
      <c r="AP169" s="2720"/>
      <c r="AQ169" s="1239">
        <f t="shared" si="1"/>
        <v>1</v>
      </c>
    </row>
    <row r="170" spans="1:43" x14ac:dyDescent="0.25">
      <c r="A170" s="2"/>
      <c r="B170" s="2791"/>
      <c r="C170" s="2792"/>
      <c r="D170" s="2793"/>
      <c r="E170" s="2776" t="str">
        <f>IF(MORTGAGE!B161=0,"",MORTGAGE!B161)</f>
        <v/>
      </c>
      <c r="F170" s="2777"/>
      <c r="G170" s="2778"/>
      <c r="H170" s="2761">
        <f>MORTGAGE!H161</f>
        <v>0</v>
      </c>
      <c r="I170" s="2762"/>
      <c r="J170" s="2762"/>
      <c r="K170" s="2762"/>
      <c r="L170" s="2763"/>
      <c r="M170" s="2749">
        <f>MORTGAGE!J161</f>
        <v>0</v>
      </c>
      <c r="N170" s="2750"/>
      <c r="O170" s="2750"/>
      <c r="P170" s="2750"/>
      <c r="Q170" s="2751"/>
      <c r="R170" s="2739">
        <f>MORTGAGE!I161</f>
        <v>0</v>
      </c>
      <c r="S170" s="2740"/>
      <c r="T170" s="2740"/>
      <c r="U170" s="2740"/>
      <c r="V170" s="2741"/>
      <c r="W170" s="2733">
        <f>MORTGAGE!K161</f>
        <v>0</v>
      </c>
      <c r="X170" s="2734"/>
      <c r="Y170" s="2734"/>
      <c r="Z170" s="2734"/>
      <c r="AA170" s="2735"/>
      <c r="AB170" s="2727">
        <f>MORTGAGE!L161</f>
        <v>118970</v>
      </c>
      <c r="AC170" s="2728"/>
      <c r="AD170" s="2728"/>
      <c r="AE170" s="2728"/>
      <c r="AF170" s="2729"/>
      <c r="AG170" s="2719">
        <f>MORTGAGE!N161</f>
        <v>1.025603448275862</v>
      </c>
      <c r="AH170" s="2720"/>
      <c r="AI170" s="2720"/>
      <c r="AJ170" s="2720"/>
      <c r="AK170" s="2723"/>
      <c r="AL170" s="2719">
        <f>MORTGAGE!O161</f>
        <v>0</v>
      </c>
      <c r="AM170" s="2720"/>
      <c r="AN170" s="2720"/>
      <c r="AO170" s="2720"/>
      <c r="AP170" s="2720"/>
      <c r="AQ170" s="1239">
        <f t="shared" si="1"/>
        <v>1</v>
      </c>
    </row>
    <row r="171" spans="1:43" x14ac:dyDescent="0.25">
      <c r="A171" s="2"/>
      <c r="B171" s="2791"/>
      <c r="C171" s="2792"/>
      <c r="D171" s="2793"/>
      <c r="E171" s="2776" t="str">
        <f>IF(MORTGAGE!B162=0,"",MORTGAGE!B162)</f>
        <v/>
      </c>
      <c r="F171" s="2777"/>
      <c r="G171" s="2778"/>
      <c r="H171" s="2761">
        <f>MORTGAGE!H162</f>
        <v>0</v>
      </c>
      <c r="I171" s="2762"/>
      <c r="J171" s="2762"/>
      <c r="K171" s="2762"/>
      <c r="L171" s="2763"/>
      <c r="M171" s="2749">
        <f>MORTGAGE!J162</f>
        <v>0</v>
      </c>
      <c r="N171" s="2750"/>
      <c r="O171" s="2750"/>
      <c r="P171" s="2750"/>
      <c r="Q171" s="2751"/>
      <c r="R171" s="2739">
        <f>MORTGAGE!I162</f>
        <v>0</v>
      </c>
      <c r="S171" s="2740"/>
      <c r="T171" s="2740"/>
      <c r="U171" s="2740"/>
      <c r="V171" s="2741"/>
      <c r="W171" s="2733">
        <f>MORTGAGE!K162</f>
        <v>0</v>
      </c>
      <c r="X171" s="2734"/>
      <c r="Y171" s="2734"/>
      <c r="Z171" s="2734"/>
      <c r="AA171" s="2735"/>
      <c r="AB171" s="2727">
        <f>MORTGAGE!L162</f>
        <v>118970</v>
      </c>
      <c r="AC171" s="2728"/>
      <c r="AD171" s="2728"/>
      <c r="AE171" s="2728"/>
      <c r="AF171" s="2729"/>
      <c r="AG171" s="2719">
        <f>MORTGAGE!N162</f>
        <v>1.025603448275862</v>
      </c>
      <c r="AH171" s="2720"/>
      <c r="AI171" s="2720"/>
      <c r="AJ171" s="2720"/>
      <c r="AK171" s="2723"/>
      <c r="AL171" s="2719">
        <f>MORTGAGE!O162</f>
        <v>0</v>
      </c>
      <c r="AM171" s="2720"/>
      <c r="AN171" s="2720"/>
      <c r="AO171" s="2720"/>
      <c r="AP171" s="2720"/>
      <c r="AQ171" s="1239">
        <f t="shared" si="1"/>
        <v>1</v>
      </c>
    </row>
    <row r="172" spans="1:43" x14ac:dyDescent="0.25">
      <c r="A172" s="2"/>
      <c r="B172" s="2791"/>
      <c r="C172" s="2792"/>
      <c r="D172" s="2793"/>
      <c r="E172" s="2776" t="str">
        <f>IF(MORTGAGE!B163=0,"",MORTGAGE!B163)</f>
        <v/>
      </c>
      <c r="F172" s="2777"/>
      <c r="G172" s="2778"/>
      <c r="H172" s="2761">
        <f>MORTGAGE!H163</f>
        <v>0</v>
      </c>
      <c r="I172" s="2762"/>
      <c r="J172" s="2762"/>
      <c r="K172" s="2762"/>
      <c r="L172" s="2763"/>
      <c r="M172" s="2749">
        <f>MORTGAGE!J163</f>
        <v>0</v>
      </c>
      <c r="N172" s="2750"/>
      <c r="O172" s="2750"/>
      <c r="P172" s="2750"/>
      <c r="Q172" s="2751"/>
      <c r="R172" s="2739">
        <f>MORTGAGE!I163</f>
        <v>0</v>
      </c>
      <c r="S172" s="2740"/>
      <c r="T172" s="2740"/>
      <c r="U172" s="2740"/>
      <c r="V172" s="2741"/>
      <c r="W172" s="2733">
        <f>MORTGAGE!K163</f>
        <v>0</v>
      </c>
      <c r="X172" s="2734"/>
      <c r="Y172" s="2734"/>
      <c r="Z172" s="2734"/>
      <c r="AA172" s="2735"/>
      <c r="AB172" s="2727">
        <f>MORTGAGE!L163</f>
        <v>118970</v>
      </c>
      <c r="AC172" s="2728"/>
      <c r="AD172" s="2728"/>
      <c r="AE172" s="2728"/>
      <c r="AF172" s="2729"/>
      <c r="AG172" s="2719">
        <f>MORTGAGE!N163</f>
        <v>1.025603448275862</v>
      </c>
      <c r="AH172" s="2720"/>
      <c r="AI172" s="2720"/>
      <c r="AJ172" s="2720"/>
      <c r="AK172" s="2723"/>
      <c r="AL172" s="2719">
        <f>MORTGAGE!O163</f>
        <v>0</v>
      </c>
      <c r="AM172" s="2720"/>
      <c r="AN172" s="2720"/>
      <c r="AO172" s="2720"/>
      <c r="AP172" s="2720"/>
      <c r="AQ172" s="1239">
        <f t="shared" si="1"/>
        <v>1</v>
      </c>
    </row>
    <row r="173" spans="1:43" x14ac:dyDescent="0.25">
      <c r="A173" s="2"/>
      <c r="B173" s="2791"/>
      <c r="C173" s="2792"/>
      <c r="D173" s="2793"/>
      <c r="E173" s="2776" t="str">
        <f>IF(MORTGAGE!B164=0,"",MORTGAGE!B164)</f>
        <v/>
      </c>
      <c r="F173" s="2777"/>
      <c r="G173" s="2778"/>
      <c r="H173" s="2761">
        <f>MORTGAGE!H164</f>
        <v>0</v>
      </c>
      <c r="I173" s="2762"/>
      <c r="J173" s="2762"/>
      <c r="K173" s="2762"/>
      <c r="L173" s="2763"/>
      <c r="M173" s="2749">
        <f>MORTGAGE!J164</f>
        <v>0</v>
      </c>
      <c r="N173" s="2750"/>
      <c r="O173" s="2750"/>
      <c r="P173" s="2750"/>
      <c r="Q173" s="2751"/>
      <c r="R173" s="2739">
        <f>MORTGAGE!I164</f>
        <v>0</v>
      </c>
      <c r="S173" s="2740"/>
      <c r="T173" s="2740"/>
      <c r="U173" s="2740"/>
      <c r="V173" s="2741"/>
      <c r="W173" s="2733">
        <f>MORTGAGE!K164</f>
        <v>0</v>
      </c>
      <c r="X173" s="2734"/>
      <c r="Y173" s="2734"/>
      <c r="Z173" s="2734"/>
      <c r="AA173" s="2735"/>
      <c r="AB173" s="2727">
        <f>MORTGAGE!L164</f>
        <v>118970</v>
      </c>
      <c r="AC173" s="2728"/>
      <c r="AD173" s="2728"/>
      <c r="AE173" s="2728"/>
      <c r="AF173" s="2729"/>
      <c r="AG173" s="2719">
        <f>MORTGAGE!N164</f>
        <v>1.025603448275862</v>
      </c>
      <c r="AH173" s="2720"/>
      <c r="AI173" s="2720"/>
      <c r="AJ173" s="2720"/>
      <c r="AK173" s="2723"/>
      <c r="AL173" s="2719">
        <f>MORTGAGE!O164</f>
        <v>0</v>
      </c>
      <c r="AM173" s="2720"/>
      <c r="AN173" s="2720"/>
      <c r="AO173" s="2720"/>
      <c r="AP173" s="2720"/>
      <c r="AQ173" s="1239">
        <f t="shared" si="1"/>
        <v>1</v>
      </c>
    </row>
    <row r="174" spans="1:43" x14ac:dyDescent="0.25">
      <c r="A174" s="2"/>
      <c r="B174" s="2791"/>
      <c r="C174" s="2792"/>
      <c r="D174" s="2793"/>
      <c r="E174" s="2776" t="str">
        <f>IF(MORTGAGE!B165=0,"",MORTGAGE!B165)</f>
        <v/>
      </c>
      <c r="F174" s="2777"/>
      <c r="G174" s="2778"/>
      <c r="H174" s="2761">
        <f>MORTGAGE!H165</f>
        <v>0</v>
      </c>
      <c r="I174" s="2762"/>
      <c r="J174" s="2762"/>
      <c r="K174" s="2762"/>
      <c r="L174" s="2763"/>
      <c r="M174" s="2749">
        <f>MORTGAGE!J165</f>
        <v>0</v>
      </c>
      <c r="N174" s="2750"/>
      <c r="O174" s="2750"/>
      <c r="P174" s="2750"/>
      <c r="Q174" s="2751"/>
      <c r="R174" s="2739">
        <f>MORTGAGE!I165</f>
        <v>0</v>
      </c>
      <c r="S174" s="2740"/>
      <c r="T174" s="2740"/>
      <c r="U174" s="2740"/>
      <c r="V174" s="2741"/>
      <c r="W174" s="2733">
        <f>MORTGAGE!K165</f>
        <v>0</v>
      </c>
      <c r="X174" s="2734"/>
      <c r="Y174" s="2734"/>
      <c r="Z174" s="2734"/>
      <c r="AA174" s="2735"/>
      <c r="AB174" s="2727">
        <f>MORTGAGE!L165</f>
        <v>118970</v>
      </c>
      <c r="AC174" s="2728"/>
      <c r="AD174" s="2728"/>
      <c r="AE174" s="2728"/>
      <c r="AF174" s="2729"/>
      <c r="AG174" s="2719">
        <f>MORTGAGE!N165</f>
        <v>1.025603448275862</v>
      </c>
      <c r="AH174" s="2720"/>
      <c r="AI174" s="2720"/>
      <c r="AJ174" s="2720"/>
      <c r="AK174" s="2723"/>
      <c r="AL174" s="2719">
        <f>MORTGAGE!O165</f>
        <v>0</v>
      </c>
      <c r="AM174" s="2720"/>
      <c r="AN174" s="2720"/>
      <c r="AO174" s="2720"/>
      <c r="AP174" s="2720"/>
      <c r="AQ174" s="1239">
        <f t="shared" ref="AQ174:AQ237" si="2">IF(SUM(H174:AG174)=0,0,1)</f>
        <v>1</v>
      </c>
    </row>
    <row r="175" spans="1:43" x14ac:dyDescent="0.25">
      <c r="A175" s="2"/>
      <c r="B175" s="2791"/>
      <c r="C175" s="2792"/>
      <c r="D175" s="2793"/>
      <c r="E175" s="2776" t="str">
        <f>IF(MORTGAGE!B166=0,"",MORTGAGE!B166)</f>
        <v/>
      </c>
      <c r="F175" s="2777"/>
      <c r="G175" s="2778"/>
      <c r="H175" s="2761">
        <f>MORTGAGE!H166</f>
        <v>0</v>
      </c>
      <c r="I175" s="2762"/>
      <c r="J175" s="2762"/>
      <c r="K175" s="2762"/>
      <c r="L175" s="2763"/>
      <c r="M175" s="2749">
        <f>MORTGAGE!J166</f>
        <v>0</v>
      </c>
      <c r="N175" s="2750"/>
      <c r="O175" s="2750"/>
      <c r="P175" s="2750"/>
      <c r="Q175" s="2751"/>
      <c r="R175" s="2739">
        <f>MORTGAGE!I166</f>
        <v>0</v>
      </c>
      <c r="S175" s="2740"/>
      <c r="T175" s="2740"/>
      <c r="U175" s="2740"/>
      <c r="V175" s="2741"/>
      <c r="W175" s="2733">
        <f>MORTGAGE!K166</f>
        <v>0</v>
      </c>
      <c r="X175" s="2734"/>
      <c r="Y175" s="2734"/>
      <c r="Z175" s="2734"/>
      <c r="AA175" s="2735"/>
      <c r="AB175" s="2727">
        <f>MORTGAGE!L166</f>
        <v>118970</v>
      </c>
      <c r="AC175" s="2728"/>
      <c r="AD175" s="2728"/>
      <c r="AE175" s="2728"/>
      <c r="AF175" s="2729"/>
      <c r="AG175" s="2719">
        <f>MORTGAGE!N166</f>
        <v>1.025603448275862</v>
      </c>
      <c r="AH175" s="2720"/>
      <c r="AI175" s="2720"/>
      <c r="AJ175" s="2720"/>
      <c r="AK175" s="2723"/>
      <c r="AL175" s="2719">
        <f>MORTGAGE!O166</f>
        <v>0</v>
      </c>
      <c r="AM175" s="2720"/>
      <c r="AN175" s="2720"/>
      <c r="AO175" s="2720"/>
      <c r="AP175" s="2720"/>
      <c r="AQ175" s="1239">
        <f t="shared" si="2"/>
        <v>1</v>
      </c>
    </row>
    <row r="176" spans="1:43" x14ac:dyDescent="0.25">
      <c r="A176" s="2"/>
      <c r="B176" s="2791"/>
      <c r="C176" s="2792"/>
      <c r="D176" s="2793"/>
      <c r="E176" s="2776" t="str">
        <f>IF(MORTGAGE!B167=0,"",MORTGAGE!B167)</f>
        <v/>
      </c>
      <c r="F176" s="2777"/>
      <c r="G176" s="2778"/>
      <c r="H176" s="2761">
        <f>MORTGAGE!H167</f>
        <v>0</v>
      </c>
      <c r="I176" s="2762"/>
      <c r="J176" s="2762"/>
      <c r="K176" s="2762"/>
      <c r="L176" s="2763"/>
      <c r="M176" s="2749">
        <f>MORTGAGE!J167</f>
        <v>0</v>
      </c>
      <c r="N176" s="2750"/>
      <c r="O176" s="2750"/>
      <c r="P176" s="2750"/>
      <c r="Q176" s="2751"/>
      <c r="R176" s="2739">
        <f>MORTGAGE!I167</f>
        <v>0</v>
      </c>
      <c r="S176" s="2740"/>
      <c r="T176" s="2740"/>
      <c r="U176" s="2740"/>
      <c r="V176" s="2741"/>
      <c r="W176" s="2733">
        <f>MORTGAGE!K167</f>
        <v>0</v>
      </c>
      <c r="X176" s="2734"/>
      <c r="Y176" s="2734"/>
      <c r="Z176" s="2734"/>
      <c r="AA176" s="2735"/>
      <c r="AB176" s="2727">
        <f>MORTGAGE!L167</f>
        <v>118970</v>
      </c>
      <c r="AC176" s="2728"/>
      <c r="AD176" s="2728"/>
      <c r="AE176" s="2728"/>
      <c r="AF176" s="2729"/>
      <c r="AG176" s="2719">
        <f>MORTGAGE!N167</f>
        <v>1.025603448275862</v>
      </c>
      <c r="AH176" s="2720"/>
      <c r="AI176" s="2720"/>
      <c r="AJ176" s="2720"/>
      <c r="AK176" s="2723"/>
      <c r="AL176" s="2719">
        <f>MORTGAGE!O167</f>
        <v>0</v>
      </c>
      <c r="AM176" s="2720"/>
      <c r="AN176" s="2720"/>
      <c r="AO176" s="2720"/>
      <c r="AP176" s="2720"/>
      <c r="AQ176" s="1239">
        <f t="shared" si="2"/>
        <v>1</v>
      </c>
    </row>
    <row r="177" spans="1:43" ht="14.4" thickBot="1" x14ac:dyDescent="0.3">
      <c r="A177" s="2"/>
      <c r="B177" s="2794"/>
      <c r="C177" s="2795"/>
      <c r="D177" s="2796"/>
      <c r="E177" s="2776" t="str">
        <f>IF(MORTGAGE!B168=0,"",MORTGAGE!B168)</f>
        <v/>
      </c>
      <c r="F177" s="2777"/>
      <c r="G177" s="2778"/>
      <c r="H177" s="2761">
        <f>MORTGAGE!H168</f>
        <v>0</v>
      </c>
      <c r="I177" s="2762"/>
      <c r="J177" s="2762"/>
      <c r="K177" s="2762"/>
      <c r="L177" s="2763"/>
      <c r="M177" s="2749">
        <f>MORTGAGE!J168</f>
        <v>0</v>
      </c>
      <c r="N177" s="2750"/>
      <c r="O177" s="2750"/>
      <c r="P177" s="2750"/>
      <c r="Q177" s="2751"/>
      <c r="R177" s="2739">
        <f>MORTGAGE!I168</f>
        <v>0</v>
      </c>
      <c r="S177" s="2740"/>
      <c r="T177" s="2740"/>
      <c r="U177" s="2740"/>
      <c r="V177" s="2741"/>
      <c r="W177" s="2733">
        <f>MORTGAGE!K168</f>
        <v>0</v>
      </c>
      <c r="X177" s="2734"/>
      <c r="Y177" s="2734"/>
      <c r="Z177" s="2734"/>
      <c r="AA177" s="2735"/>
      <c r="AB177" s="2727">
        <f>MORTGAGE!L168</f>
        <v>118970</v>
      </c>
      <c r="AC177" s="2728"/>
      <c r="AD177" s="2728"/>
      <c r="AE177" s="2728"/>
      <c r="AF177" s="2729"/>
      <c r="AG177" s="2719">
        <f>MORTGAGE!N168</f>
        <v>1.025603448275862</v>
      </c>
      <c r="AH177" s="2720"/>
      <c r="AI177" s="2720"/>
      <c r="AJ177" s="2720"/>
      <c r="AK177" s="2723"/>
      <c r="AL177" s="2719">
        <f>MORTGAGE!O168</f>
        <v>0</v>
      </c>
      <c r="AM177" s="2720"/>
      <c r="AN177" s="2720"/>
      <c r="AO177" s="2720"/>
      <c r="AP177" s="2720"/>
      <c r="AQ177" s="1239">
        <f t="shared" si="2"/>
        <v>1</v>
      </c>
    </row>
    <row r="178" spans="1:43" x14ac:dyDescent="0.25">
      <c r="A178" s="2"/>
      <c r="B178" s="2797" t="str">
        <f>IFERROR(ROUNDUP(E178/12,0),"")</f>
        <v/>
      </c>
      <c r="C178" s="2798"/>
      <c r="D178" s="2799"/>
      <c r="E178" s="2785" t="str">
        <f>IF(MORTGAGE!B169=0,"",MORTGAGE!B169)</f>
        <v/>
      </c>
      <c r="F178" s="2786"/>
      <c r="G178" s="2787"/>
      <c r="H178" s="2773">
        <f>MORTGAGE!H169</f>
        <v>0</v>
      </c>
      <c r="I178" s="2774"/>
      <c r="J178" s="2774"/>
      <c r="K178" s="2774"/>
      <c r="L178" s="2775"/>
      <c r="M178" s="2758">
        <f>MORTGAGE!J169</f>
        <v>0</v>
      </c>
      <c r="N178" s="2759"/>
      <c r="O178" s="2759"/>
      <c r="P178" s="2759"/>
      <c r="Q178" s="2760"/>
      <c r="R178" s="2746">
        <f>MORTGAGE!I169</f>
        <v>0</v>
      </c>
      <c r="S178" s="2747"/>
      <c r="T178" s="2747"/>
      <c r="U178" s="2747"/>
      <c r="V178" s="2748"/>
      <c r="W178" s="2736">
        <f>MORTGAGE!K169</f>
        <v>0</v>
      </c>
      <c r="X178" s="2737"/>
      <c r="Y178" s="2737"/>
      <c r="Z178" s="2737"/>
      <c r="AA178" s="2738"/>
      <c r="AB178" s="2730">
        <f>MORTGAGE!L169</f>
        <v>118970</v>
      </c>
      <c r="AC178" s="2731"/>
      <c r="AD178" s="2731"/>
      <c r="AE178" s="2731"/>
      <c r="AF178" s="2732"/>
      <c r="AG178" s="2724">
        <f>MORTGAGE!N169</f>
        <v>1.025603448275862</v>
      </c>
      <c r="AH178" s="2725"/>
      <c r="AI178" s="2725"/>
      <c r="AJ178" s="2725"/>
      <c r="AK178" s="2726"/>
      <c r="AL178" s="2721">
        <f>MORTGAGE!O169</f>
        <v>0</v>
      </c>
      <c r="AM178" s="2722"/>
      <c r="AN178" s="2722"/>
      <c r="AO178" s="2722"/>
      <c r="AP178" s="2722"/>
      <c r="AQ178" s="1239">
        <f t="shared" si="2"/>
        <v>1</v>
      </c>
    </row>
    <row r="179" spans="1:43" x14ac:dyDescent="0.25">
      <c r="A179" s="2"/>
      <c r="B179" s="2791"/>
      <c r="C179" s="2792"/>
      <c r="D179" s="2793"/>
      <c r="E179" s="2776" t="str">
        <f>IF(MORTGAGE!B170=0,"",MORTGAGE!B170)</f>
        <v/>
      </c>
      <c r="F179" s="2777"/>
      <c r="G179" s="2778"/>
      <c r="H179" s="2761">
        <f>MORTGAGE!H170</f>
        <v>0</v>
      </c>
      <c r="I179" s="2762"/>
      <c r="J179" s="2762"/>
      <c r="K179" s="2762"/>
      <c r="L179" s="2763"/>
      <c r="M179" s="2749">
        <f>MORTGAGE!J170</f>
        <v>0</v>
      </c>
      <c r="N179" s="2750"/>
      <c r="O179" s="2750"/>
      <c r="P179" s="2750"/>
      <c r="Q179" s="2751"/>
      <c r="R179" s="2739">
        <f>MORTGAGE!I170</f>
        <v>0</v>
      </c>
      <c r="S179" s="2740"/>
      <c r="T179" s="2740"/>
      <c r="U179" s="2740"/>
      <c r="V179" s="2741"/>
      <c r="W179" s="2733">
        <f>MORTGAGE!K170</f>
        <v>0</v>
      </c>
      <c r="X179" s="2734"/>
      <c r="Y179" s="2734"/>
      <c r="Z179" s="2734"/>
      <c r="AA179" s="2735"/>
      <c r="AB179" s="2727">
        <f>MORTGAGE!L170</f>
        <v>118970</v>
      </c>
      <c r="AC179" s="2728"/>
      <c r="AD179" s="2728"/>
      <c r="AE179" s="2728"/>
      <c r="AF179" s="2729"/>
      <c r="AG179" s="2719">
        <f>MORTGAGE!N170</f>
        <v>1.025603448275862</v>
      </c>
      <c r="AH179" s="2720"/>
      <c r="AI179" s="2720"/>
      <c r="AJ179" s="2720"/>
      <c r="AK179" s="2723"/>
      <c r="AL179" s="2719">
        <f>MORTGAGE!O170</f>
        <v>0</v>
      </c>
      <c r="AM179" s="2720"/>
      <c r="AN179" s="2720"/>
      <c r="AO179" s="2720"/>
      <c r="AP179" s="2720"/>
      <c r="AQ179" s="1239">
        <f t="shared" si="2"/>
        <v>1</v>
      </c>
    </row>
    <row r="180" spans="1:43" x14ac:dyDescent="0.25">
      <c r="A180" s="2"/>
      <c r="B180" s="2791"/>
      <c r="C180" s="2792"/>
      <c r="D180" s="2793"/>
      <c r="E180" s="2776" t="str">
        <f>IF(MORTGAGE!B171=0,"",MORTGAGE!B171)</f>
        <v/>
      </c>
      <c r="F180" s="2777"/>
      <c r="G180" s="2778"/>
      <c r="H180" s="2761">
        <f>MORTGAGE!H171</f>
        <v>0</v>
      </c>
      <c r="I180" s="2762"/>
      <c r="J180" s="2762"/>
      <c r="K180" s="2762"/>
      <c r="L180" s="2763"/>
      <c r="M180" s="2749">
        <f>MORTGAGE!J171</f>
        <v>0</v>
      </c>
      <c r="N180" s="2750"/>
      <c r="O180" s="2750"/>
      <c r="P180" s="2750"/>
      <c r="Q180" s="2751"/>
      <c r="R180" s="2739">
        <f>MORTGAGE!I171</f>
        <v>0</v>
      </c>
      <c r="S180" s="2740"/>
      <c r="T180" s="2740"/>
      <c r="U180" s="2740"/>
      <c r="V180" s="2741"/>
      <c r="W180" s="2733">
        <f>MORTGAGE!K171</f>
        <v>0</v>
      </c>
      <c r="X180" s="2734"/>
      <c r="Y180" s="2734"/>
      <c r="Z180" s="2734"/>
      <c r="AA180" s="2735"/>
      <c r="AB180" s="2727">
        <f>MORTGAGE!L171</f>
        <v>118970</v>
      </c>
      <c r="AC180" s="2728"/>
      <c r="AD180" s="2728"/>
      <c r="AE180" s="2728"/>
      <c r="AF180" s="2729"/>
      <c r="AG180" s="2719">
        <f>MORTGAGE!N171</f>
        <v>1.025603448275862</v>
      </c>
      <c r="AH180" s="2720"/>
      <c r="AI180" s="2720"/>
      <c r="AJ180" s="2720"/>
      <c r="AK180" s="2723"/>
      <c r="AL180" s="2719">
        <f>MORTGAGE!O171</f>
        <v>0</v>
      </c>
      <c r="AM180" s="2720"/>
      <c r="AN180" s="2720"/>
      <c r="AO180" s="2720"/>
      <c r="AP180" s="2720"/>
      <c r="AQ180" s="1239">
        <f t="shared" si="2"/>
        <v>1</v>
      </c>
    </row>
    <row r="181" spans="1:43" x14ac:dyDescent="0.25">
      <c r="A181" s="2"/>
      <c r="B181" s="2791"/>
      <c r="C181" s="2792"/>
      <c r="D181" s="2793"/>
      <c r="E181" s="2776" t="str">
        <f>IF(MORTGAGE!B172=0,"",MORTGAGE!B172)</f>
        <v/>
      </c>
      <c r="F181" s="2777"/>
      <c r="G181" s="2778"/>
      <c r="H181" s="2761">
        <f>MORTGAGE!H172</f>
        <v>0</v>
      </c>
      <c r="I181" s="2762"/>
      <c r="J181" s="2762"/>
      <c r="K181" s="2762"/>
      <c r="L181" s="2763"/>
      <c r="M181" s="2749">
        <f>MORTGAGE!J172</f>
        <v>0</v>
      </c>
      <c r="N181" s="2750"/>
      <c r="O181" s="2750"/>
      <c r="P181" s="2750"/>
      <c r="Q181" s="2751"/>
      <c r="R181" s="2739">
        <f>MORTGAGE!I172</f>
        <v>0</v>
      </c>
      <c r="S181" s="2740"/>
      <c r="T181" s="2740"/>
      <c r="U181" s="2740"/>
      <c r="V181" s="2741"/>
      <c r="W181" s="2733">
        <f>MORTGAGE!K172</f>
        <v>0</v>
      </c>
      <c r="X181" s="2734"/>
      <c r="Y181" s="2734"/>
      <c r="Z181" s="2734"/>
      <c r="AA181" s="2735"/>
      <c r="AB181" s="2727">
        <f>MORTGAGE!L172</f>
        <v>118970</v>
      </c>
      <c r="AC181" s="2728"/>
      <c r="AD181" s="2728"/>
      <c r="AE181" s="2728"/>
      <c r="AF181" s="2729"/>
      <c r="AG181" s="2719">
        <f>MORTGAGE!N172</f>
        <v>1.025603448275862</v>
      </c>
      <c r="AH181" s="2720"/>
      <c r="AI181" s="2720"/>
      <c r="AJ181" s="2720"/>
      <c r="AK181" s="2723"/>
      <c r="AL181" s="2719">
        <f>MORTGAGE!O172</f>
        <v>0</v>
      </c>
      <c r="AM181" s="2720"/>
      <c r="AN181" s="2720"/>
      <c r="AO181" s="2720"/>
      <c r="AP181" s="2720"/>
      <c r="AQ181" s="1239">
        <f t="shared" si="2"/>
        <v>1</v>
      </c>
    </row>
    <row r="182" spans="1:43" x14ac:dyDescent="0.25">
      <c r="A182" s="2"/>
      <c r="B182" s="2791"/>
      <c r="C182" s="2792"/>
      <c r="D182" s="2793"/>
      <c r="E182" s="2776" t="str">
        <f>IF(MORTGAGE!B173=0,"",MORTGAGE!B173)</f>
        <v/>
      </c>
      <c r="F182" s="2777"/>
      <c r="G182" s="2778"/>
      <c r="H182" s="2761">
        <f>MORTGAGE!H173</f>
        <v>0</v>
      </c>
      <c r="I182" s="2762"/>
      <c r="J182" s="2762"/>
      <c r="K182" s="2762"/>
      <c r="L182" s="2763"/>
      <c r="M182" s="2749">
        <f>MORTGAGE!J173</f>
        <v>0</v>
      </c>
      <c r="N182" s="2750"/>
      <c r="O182" s="2750"/>
      <c r="P182" s="2750"/>
      <c r="Q182" s="2751"/>
      <c r="R182" s="2739">
        <f>MORTGAGE!I173</f>
        <v>0</v>
      </c>
      <c r="S182" s="2740"/>
      <c r="T182" s="2740"/>
      <c r="U182" s="2740"/>
      <c r="V182" s="2741"/>
      <c r="W182" s="2733">
        <f>MORTGAGE!K173</f>
        <v>0</v>
      </c>
      <c r="X182" s="2734"/>
      <c r="Y182" s="2734"/>
      <c r="Z182" s="2734"/>
      <c r="AA182" s="2735"/>
      <c r="AB182" s="2727">
        <f>MORTGAGE!L173</f>
        <v>118970</v>
      </c>
      <c r="AC182" s="2728"/>
      <c r="AD182" s="2728"/>
      <c r="AE182" s="2728"/>
      <c r="AF182" s="2729"/>
      <c r="AG182" s="2719">
        <f>MORTGAGE!N173</f>
        <v>1.025603448275862</v>
      </c>
      <c r="AH182" s="2720"/>
      <c r="AI182" s="2720"/>
      <c r="AJ182" s="2720"/>
      <c r="AK182" s="2723"/>
      <c r="AL182" s="2719">
        <f>MORTGAGE!O173</f>
        <v>0</v>
      </c>
      <c r="AM182" s="2720"/>
      <c r="AN182" s="2720"/>
      <c r="AO182" s="2720"/>
      <c r="AP182" s="2720"/>
      <c r="AQ182" s="1239">
        <f t="shared" si="2"/>
        <v>1</v>
      </c>
    </row>
    <row r="183" spans="1:43" x14ac:dyDescent="0.25">
      <c r="A183" s="2"/>
      <c r="B183" s="2791"/>
      <c r="C183" s="2792"/>
      <c r="D183" s="2793"/>
      <c r="E183" s="2776" t="str">
        <f>IF(MORTGAGE!B174=0,"",MORTGAGE!B174)</f>
        <v/>
      </c>
      <c r="F183" s="2777"/>
      <c r="G183" s="2778"/>
      <c r="H183" s="2761">
        <f>MORTGAGE!H174</f>
        <v>0</v>
      </c>
      <c r="I183" s="2762"/>
      <c r="J183" s="2762"/>
      <c r="K183" s="2762"/>
      <c r="L183" s="2763"/>
      <c r="M183" s="2749">
        <f>MORTGAGE!J174</f>
        <v>0</v>
      </c>
      <c r="N183" s="2750"/>
      <c r="O183" s="2750"/>
      <c r="P183" s="2750"/>
      <c r="Q183" s="2751"/>
      <c r="R183" s="2739">
        <f>MORTGAGE!I174</f>
        <v>0</v>
      </c>
      <c r="S183" s="2740"/>
      <c r="T183" s="2740"/>
      <c r="U183" s="2740"/>
      <c r="V183" s="2741"/>
      <c r="W183" s="2733">
        <f>MORTGAGE!K174</f>
        <v>0</v>
      </c>
      <c r="X183" s="2734"/>
      <c r="Y183" s="2734"/>
      <c r="Z183" s="2734"/>
      <c r="AA183" s="2735"/>
      <c r="AB183" s="2727">
        <f>MORTGAGE!L174</f>
        <v>118970</v>
      </c>
      <c r="AC183" s="2728"/>
      <c r="AD183" s="2728"/>
      <c r="AE183" s="2728"/>
      <c r="AF183" s="2729"/>
      <c r="AG183" s="2719">
        <f>MORTGAGE!N174</f>
        <v>1.025603448275862</v>
      </c>
      <c r="AH183" s="2720"/>
      <c r="AI183" s="2720"/>
      <c r="AJ183" s="2720"/>
      <c r="AK183" s="2723"/>
      <c r="AL183" s="2719">
        <f>MORTGAGE!O174</f>
        <v>0</v>
      </c>
      <c r="AM183" s="2720"/>
      <c r="AN183" s="2720"/>
      <c r="AO183" s="2720"/>
      <c r="AP183" s="2720"/>
      <c r="AQ183" s="1239">
        <f t="shared" si="2"/>
        <v>1</v>
      </c>
    </row>
    <row r="184" spans="1:43" x14ac:dyDescent="0.25">
      <c r="A184" s="2"/>
      <c r="B184" s="2791"/>
      <c r="C184" s="2792"/>
      <c r="D184" s="2793"/>
      <c r="E184" s="2776" t="str">
        <f>IF(MORTGAGE!B175=0,"",MORTGAGE!B175)</f>
        <v/>
      </c>
      <c r="F184" s="2777"/>
      <c r="G184" s="2778"/>
      <c r="H184" s="2761">
        <f>MORTGAGE!H175</f>
        <v>0</v>
      </c>
      <c r="I184" s="2762"/>
      <c r="J184" s="2762"/>
      <c r="K184" s="2762"/>
      <c r="L184" s="2763"/>
      <c r="M184" s="2749">
        <f>MORTGAGE!J175</f>
        <v>0</v>
      </c>
      <c r="N184" s="2750"/>
      <c r="O184" s="2750"/>
      <c r="P184" s="2750"/>
      <c r="Q184" s="2751"/>
      <c r="R184" s="2739">
        <f>MORTGAGE!I175</f>
        <v>0</v>
      </c>
      <c r="S184" s="2740"/>
      <c r="T184" s="2740"/>
      <c r="U184" s="2740"/>
      <c r="V184" s="2741"/>
      <c r="W184" s="2733">
        <f>MORTGAGE!K175</f>
        <v>0</v>
      </c>
      <c r="X184" s="2734"/>
      <c r="Y184" s="2734"/>
      <c r="Z184" s="2734"/>
      <c r="AA184" s="2735"/>
      <c r="AB184" s="2727">
        <f>MORTGAGE!L175</f>
        <v>118970</v>
      </c>
      <c r="AC184" s="2728"/>
      <c r="AD184" s="2728"/>
      <c r="AE184" s="2728"/>
      <c r="AF184" s="2729"/>
      <c r="AG184" s="2719">
        <f>MORTGAGE!N175</f>
        <v>1.025603448275862</v>
      </c>
      <c r="AH184" s="2720"/>
      <c r="AI184" s="2720"/>
      <c r="AJ184" s="2720"/>
      <c r="AK184" s="2723"/>
      <c r="AL184" s="2719">
        <f>MORTGAGE!O175</f>
        <v>0</v>
      </c>
      <c r="AM184" s="2720"/>
      <c r="AN184" s="2720"/>
      <c r="AO184" s="2720"/>
      <c r="AP184" s="2720"/>
      <c r="AQ184" s="1239">
        <f t="shared" si="2"/>
        <v>1</v>
      </c>
    </row>
    <row r="185" spans="1:43" x14ac:dyDescent="0.25">
      <c r="A185" s="2"/>
      <c r="B185" s="2791"/>
      <c r="C185" s="2792"/>
      <c r="D185" s="2793"/>
      <c r="E185" s="2776" t="str">
        <f>IF(MORTGAGE!B176=0,"",MORTGAGE!B176)</f>
        <v/>
      </c>
      <c r="F185" s="2777"/>
      <c r="G185" s="2778"/>
      <c r="H185" s="2761">
        <f>MORTGAGE!H176</f>
        <v>0</v>
      </c>
      <c r="I185" s="2762"/>
      <c r="J185" s="2762"/>
      <c r="K185" s="2762"/>
      <c r="L185" s="2763"/>
      <c r="M185" s="2749">
        <f>MORTGAGE!J176</f>
        <v>0</v>
      </c>
      <c r="N185" s="2750"/>
      <c r="O185" s="2750"/>
      <c r="P185" s="2750"/>
      <c r="Q185" s="2751"/>
      <c r="R185" s="2739">
        <f>MORTGAGE!I176</f>
        <v>0</v>
      </c>
      <c r="S185" s="2740"/>
      <c r="T185" s="2740"/>
      <c r="U185" s="2740"/>
      <c r="V185" s="2741"/>
      <c r="W185" s="2733">
        <f>MORTGAGE!K176</f>
        <v>0</v>
      </c>
      <c r="X185" s="2734"/>
      <c r="Y185" s="2734"/>
      <c r="Z185" s="2734"/>
      <c r="AA185" s="2735"/>
      <c r="AB185" s="2727">
        <f>MORTGAGE!L176</f>
        <v>118970</v>
      </c>
      <c r="AC185" s="2728"/>
      <c r="AD185" s="2728"/>
      <c r="AE185" s="2728"/>
      <c r="AF185" s="2729"/>
      <c r="AG185" s="2719">
        <f>MORTGAGE!N176</f>
        <v>1.025603448275862</v>
      </c>
      <c r="AH185" s="2720"/>
      <c r="AI185" s="2720"/>
      <c r="AJ185" s="2720"/>
      <c r="AK185" s="2723"/>
      <c r="AL185" s="2719">
        <f>MORTGAGE!O176</f>
        <v>0</v>
      </c>
      <c r="AM185" s="2720"/>
      <c r="AN185" s="2720"/>
      <c r="AO185" s="2720"/>
      <c r="AP185" s="2720"/>
      <c r="AQ185" s="1239">
        <f t="shared" si="2"/>
        <v>1</v>
      </c>
    </row>
    <row r="186" spans="1:43" x14ac:dyDescent="0.25">
      <c r="A186" s="2"/>
      <c r="B186" s="2791"/>
      <c r="C186" s="2792"/>
      <c r="D186" s="2793"/>
      <c r="E186" s="2776" t="str">
        <f>IF(MORTGAGE!B177=0,"",MORTGAGE!B177)</f>
        <v/>
      </c>
      <c r="F186" s="2777"/>
      <c r="G186" s="2778"/>
      <c r="H186" s="2761">
        <f>MORTGAGE!H177</f>
        <v>0</v>
      </c>
      <c r="I186" s="2762"/>
      <c r="J186" s="2762"/>
      <c r="K186" s="2762"/>
      <c r="L186" s="2763"/>
      <c r="M186" s="2749">
        <f>MORTGAGE!J177</f>
        <v>0</v>
      </c>
      <c r="N186" s="2750"/>
      <c r="O186" s="2750"/>
      <c r="P186" s="2750"/>
      <c r="Q186" s="2751"/>
      <c r="R186" s="2739">
        <f>MORTGAGE!I177</f>
        <v>0</v>
      </c>
      <c r="S186" s="2740"/>
      <c r="T186" s="2740"/>
      <c r="U186" s="2740"/>
      <c r="V186" s="2741"/>
      <c r="W186" s="2733">
        <f>MORTGAGE!K177</f>
        <v>0</v>
      </c>
      <c r="X186" s="2734"/>
      <c r="Y186" s="2734"/>
      <c r="Z186" s="2734"/>
      <c r="AA186" s="2735"/>
      <c r="AB186" s="2727">
        <f>MORTGAGE!L177</f>
        <v>118970</v>
      </c>
      <c r="AC186" s="2728"/>
      <c r="AD186" s="2728"/>
      <c r="AE186" s="2728"/>
      <c r="AF186" s="2729"/>
      <c r="AG186" s="2719">
        <f>MORTGAGE!N177</f>
        <v>1.025603448275862</v>
      </c>
      <c r="AH186" s="2720"/>
      <c r="AI186" s="2720"/>
      <c r="AJ186" s="2720"/>
      <c r="AK186" s="2723"/>
      <c r="AL186" s="2719">
        <f>MORTGAGE!O177</f>
        <v>0</v>
      </c>
      <c r="AM186" s="2720"/>
      <c r="AN186" s="2720"/>
      <c r="AO186" s="2720"/>
      <c r="AP186" s="2720"/>
      <c r="AQ186" s="1239">
        <f t="shared" si="2"/>
        <v>1</v>
      </c>
    </row>
    <row r="187" spans="1:43" x14ac:dyDescent="0.25">
      <c r="A187" s="2"/>
      <c r="B187" s="2791"/>
      <c r="C187" s="2792"/>
      <c r="D187" s="2793"/>
      <c r="E187" s="2776" t="str">
        <f>IF(MORTGAGE!B178=0,"",MORTGAGE!B178)</f>
        <v/>
      </c>
      <c r="F187" s="2777"/>
      <c r="G187" s="2778"/>
      <c r="H187" s="2761">
        <f>MORTGAGE!H178</f>
        <v>0</v>
      </c>
      <c r="I187" s="2762"/>
      <c r="J187" s="2762"/>
      <c r="K187" s="2762"/>
      <c r="L187" s="2763"/>
      <c r="M187" s="2749">
        <f>MORTGAGE!J178</f>
        <v>0</v>
      </c>
      <c r="N187" s="2750"/>
      <c r="O187" s="2750"/>
      <c r="P187" s="2750"/>
      <c r="Q187" s="2751"/>
      <c r="R187" s="2739">
        <f>MORTGAGE!I178</f>
        <v>0</v>
      </c>
      <c r="S187" s="2740"/>
      <c r="T187" s="2740"/>
      <c r="U187" s="2740"/>
      <c r="V187" s="2741"/>
      <c r="W187" s="2733">
        <f>MORTGAGE!K178</f>
        <v>0</v>
      </c>
      <c r="X187" s="2734"/>
      <c r="Y187" s="2734"/>
      <c r="Z187" s="2734"/>
      <c r="AA187" s="2735"/>
      <c r="AB187" s="2727">
        <f>MORTGAGE!L178</f>
        <v>118970</v>
      </c>
      <c r="AC187" s="2728"/>
      <c r="AD187" s="2728"/>
      <c r="AE187" s="2728"/>
      <c r="AF187" s="2729"/>
      <c r="AG187" s="2719">
        <f>MORTGAGE!N178</f>
        <v>1.025603448275862</v>
      </c>
      <c r="AH187" s="2720"/>
      <c r="AI187" s="2720"/>
      <c r="AJ187" s="2720"/>
      <c r="AK187" s="2723"/>
      <c r="AL187" s="2719">
        <f>MORTGAGE!O178</f>
        <v>0</v>
      </c>
      <c r="AM187" s="2720"/>
      <c r="AN187" s="2720"/>
      <c r="AO187" s="2720"/>
      <c r="AP187" s="2720"/>
      <c r="AQ187" s="1239">
        <f t="shared" si="2"/>
        <v>1</v>
      </c>
    </row>
    <row r="188" spans="1:43" x14ac:dyDescent="0.25">
      <c r="A188" s="2"/>
      <c r="B188" s="2791"/>
      <c r="C188" s="2792"/>
      <c r="D188" s="2793"/>
      <c r="E188" s="2776" t="str">
        <f>IF(MORTGAGE!B179=0,"",MORTGAGE!B179)</f>
        <v/>
      </c>
      <c r="F188" s="2777"/>
      <c r="G188" s="2778"/>
      <c r="H188" s="2761">
        <f>MORTGAGE!H179</f>
        <v>0</v>
      </c>
      <c r="I188" s="2762"/>
      <c r="J188" s="2762"/>
      <c r="K188" s="2762"/>
      <c r="L188" s="2763"/>
      <c r="M188" s="2749">
        <f>MORTGAGE!J179</f>
        <v>0</v>
      </c>
      <c r="N188" s="2750"/>
      <c r="O188" s="2750"/>
      <c r="P188" s="2750"/>
      <c r="Q188" s="2751"/>
      <c r="R188" s="2739">
        <f>MORTGAGE!I179</f>
        <v>0</v>
      </c>
      <c r="S188" s="2740"/>
      <c r="T188" s="2740"/>
      <c r="U188" s="2740"/>
      <c r="V188" s="2741"/>
      <c r="W188" s="2733">
        <f>MORTGAGE!K179</f>
        <v>0</v>
      </c>
      <c r="X188" s="2734"/>
      <c r="Y188" s="2734"/>
      <c r="Z188" s="2734"/>
      <c r="AA188" s="2735"/>
      <c r="AB188" s="2727">
        <f>MORTGAGE!L179</f>
        <v>118970</v>
      </c>
      <c r="AC188" s="2728"/>
      <c r="AD188" s="2728"/>
      <c r="AE188" s="2728"/>
      <c r="AF188" s="2729"/>
      <c r="AG188" s="2719">
        <f>MORTGAGE!N179</f>
        <v>1.025603448275862</v>
      </c>
      <c r="AH188" s="2720"/>
      <c r="AI188" s="2720"/>
      <c r="AJ188" s="2720"/>
      <c r="AK188" s="2723"/>
      <c r="AL188" s="2719">
        <f>MORTGAGE!O179</f>
        <v>0</v>
      </c>
      <c r="AM188" s="2720"/>
      <c r="AN188" s="2720"/>
      <c r="AO188" s="2720"/>
      <c r="AP188" s="2720"/>
      <c r="AQ188" s="1239">
        <f t="shared" si="2"/>
        <v>1</v>
      </c>
    </row>
    <row r="189" spans="1:43" ht="14.4" thickBot="1" x14ac:dyDescent="0.3">
      <c r="A189" s="2"/>
      <c r="B189" s="2794"/>
      <c r="C189" s="2795"/>
      <c r="D189" s="2796"/>
      <c r="E189" s="2776" t="str">
        <f>IF(MORTGAGE!B180=0,"",MORTGAGE!B180)</f>
        <v/>
      </c>
      <c r="F189" s="2777"/>
      <c r="G189" s="2778"/>
      <c r="H189" s="2761">
        <f>MORTGAGE!H180</f>
        <v>0</v>
      </c>
      <c r="I189" s="2762"/>
      <c r="J189" s="2762"/>
      <c r="K189" s="2762"/>
      <c r="L189" s="2763"/>
      <c r="M189" s="2749">
        <f>MORTGAGE!J180</f>
        <v>0</v>
      </c>
      <c r="N189" s="2750"/>
      <c r="O189" s="2750"/>
      <c r="P189" s="2750"/>
      <c r="Q189" s="2751"/>
      <c r="R189" s="2739">
        <f>MORTGAGE!I180</f>
        <v>0</v>
      </c>
      <c r="S189" s="2740"/>
      <c r="T189" s="2740"/>
      <c r="U189" s="2740"/>
      <c r="V189" s="2741"/>
      <c r="W189" s="2733">
        <f>MORTGAGE!K180</f>
        <v>0</v>
      </c>
      <c r="X189" s="2734"/>
      <c r="Y189" s="2734"/>
      <c r="Z189" s="2734"/>
      <c r="AA189" s="2735"/>
      <c r="AB189" s="2727">
        <f>MORTGAGE!L180</f>
        <v>118970</v>
      </c>
      <c r="AC189" s="2728"/>
      <c r="AD189" s="2728"/>
      <c r="AE189" s="2728"/>
      <c r="AF189" s="2729"/>
      <c r="AG189" s="2719">
        <f>MORTGAGE!N180</f>
        <v>1.025603448275862</v>
      </c>
      <c r="AH189" s="2720"/>
      <c r="AI189" s="2720"/>
      <c r="AJ189" s="2720"/>
      <c r="AK189" s="2723"/>
      <c r="AL189" s="2719">
        <f>MORTGAGE!O180</f>
        <v>0</v>
      </c>
      <c r="AM189" s="2720"/>
      <c r="AN189" s="2720"/>
      <c r="AO189" s="2720"/>
      <c r="AP189" s="2720"/>
      <c r="AQ189" s="1239">
        <f t="shared" si="2"/>
        <v>1</v>
      </c>
    </row>
    <row r="190" spans="1:43" x14ac:dyDescent="0.25">
      <c r="A190" s="2"/>
      <c r="B190" s="2797" t="str">
        <f>IFERROR(ROUNDUP(E190/12,0),"")</f>
        <v/>
      </c>
      <c r="C190" s="2798"/>
      <c r="D190" s="2799"/>
      <c r="E190" s="2785" t="str">
        <f>IF(MORTGAGE!B181=0,"",MORTGAGE!B181)</f>
        <v/>
      </c>
      <c r="F190" s="2786"/>
      <c r="G190" s="2787"/>
      <c r="H190" s="2773">
        <f>MORTGAGE!H181</f>
        <v>0</v>
      </c>
      <c r="I190" s="2774"/>
      <c r="J190" s="2774"/>
      <c r="K190" s="2774"/>
      <c r="L190" s="2775"/>
      <c r="M190" s="2758">
        <f>MORTGAGE!J181</f>
        <v>0</v>
      </c>
      <c r="N190" s="2759"/>
      <c r="O190" s="2759"/>
      <c r="P190" s="2759"/>
      <c r="Q190" s="2760"/>
      <c r="R190" s="2746">
        <f>MORTGAGE!I181</f>
        <v>0</v>
      </c>
      <c r="S190" s="2747"/>
      <c r="T190" s="2747"/>
      <c r="U190" s="2747"/>
      <c r="V190" s="2748"/>
      <c r="W190" s="2736">
        <f>MORTGAGE!K181</f>
        <v>0</v>
      </c>
      <c r="X190" s="2737"/>
      <c r="Y190" s="2737"/>
      <c r="Z190" s="2737"/>
      <c r="AA190" s="2738"/>
      <c r="AB190" s="2730">
        <f>MORTGAGE!L181</f>
        <v>118970</v>
      </c>
      <c r="AC190" s="2731"/>
      <c r="AD190" s="2731"/>
      <c r="AE190" s="2731"/>
      <c r="AF190" s="2732"/>
      <c r="AG190" s="2724">
        <f>MORTGAGE!N181</f>
        <v>1.025603448275862</v>
      </c>
      <c r="AH190" s="2725"/>
      <c r="AI190" s="2725"/>
      <c r="AJ190" s="2725"/>
      <c r="AK190" s="2726"/>
      <c r="AL190" s="2721">
        <f>MORTGAGE!O181</f>
        <v>0</v>
      </c>
      <c r="AM190" s="2722"/>
      <c r="AN190" s="2722"/>
      <c r="AO190" s="2722"/>
      <c r="AP190" s="2722"/>
      <c r="AQ190" s="1239">
        <f t="shared" si="2"/>
        <v>1</v>
      </c>
    </row>
    <row r="191" spans="1:43" x14ac:dyDescent="0.25">
      <c r="A191" s="2"/>
      <c r="B191" s="2791"/>
      <c r="C191" s="2792"/>
      <c r="D191" s="2793"/>
      <c r="E191" s="2776" t="str">
        <f>IF(MORTGAGE!B182=0,"",MORTGAGE!B182)</f>
        <v/>
      </c>
      <c r="F191" s="2777"/>
      <c r="G191" s="2778"/>
      <c r="H191" s="2761">
        <f>MORTGAGE!H182</f>
        <v>0</v>
      </c>
      <c r="I191" s="2762"/>
      <c r="J191" s="2762"/>
      <c r="K191" s="2762"/>
      <c r="L191" s="2763"/>
      <c r="M191" s="2749">
        <f>MORTGAGE!J182</f>
        <v>0</v>
      </c>
      <c r="N191" s="2750"/>
      <c r="O191" s="2750"/>
      <c r="P191" s="2750"/>
      <c r="Q191" s="2751"/>
      <c r="R191" s="2739">
        <f>MORTGAGE!I182</f>
        <v>0</v>
      </c>
      <c r="S191" s="2740"/>
      <c r="T191" s="2740"/>
      <c r="U191" s="2740"/>
      <c r="V191" s="2741"/>
      <c r="W191" s="2733">
        <f>MORTGAGE!K182</f>
        <v>0</v>
      </c>
      <c r="X191" s="2734"/>
      <c r="Y191" s="2734"/>
      <c r="Z191" s="2734"/>
      <c r="AA191" s="2735"/>
      <c r="AB191" s="2727">
        <f>MORTGAGE!L182</f>
        <v>118970</v>
      </c>
      <c r="AC191" s="2728"/>
      <c r="AD191" s="2728"/>
      <c r="AE191" s="2728"/>
      <c r="AF191" s="2729"/>
      <c r="AG191" s="2719">
        <f>MORTGAGE!N182</f>
        <v>1.025603448275862</v>
      </c>
      <c r="AH191" s="2720"/>
      <c r="AI191" s="2720"/>
      <c r="AJ191" s="2720"/>
      <c r="AK191" s="2723"/>
      <c r="AL191" s="2719">
        <f>MORTGAGE!O182</f>
        <v>0</v>
      </c>
      <c r="AM191" s="2720"/>
      <c r="AN191" s="2720"/>
      <c r="AO191" s="2720"/>
      <c r="AP191" s="2720"/>
      <c r="AQ191" s="1239">
        <f t="shared" si="2"/>
        <v>1</v>
      </c>
    </row>
    <row r="192" spans="1:43" x14ac:dyDescent="0.25">
      <c r="A192" s="2"/>
      <c r="B192" s="2791"/>
      <c r="C192" s="2792"/>
      <c r="D192" s="2793"/>
      <c r="E192" s="2776" t="str">
        <f>IF(MORTGAGE!B183=0,"",MORTGAGE!B183)</f>
        <v/>
      </c>
      <c r="F192" s="2777"/>
      <c r="G192" s="2778"/>
      <c r="H192" s="2761">
        <f>MORTGAGE!H183</f>
        <v>0</v>
      </c>
      <c r="I192" s="2762"/>
      <c r="J192" s="2762"/>
      <c r="K192" s="2762"/>
      <c r="L192" s="2763"/>
      <c r="M192" s="2749">
        <f>MORTGAGE!J183</f>
        <v>0</v>
      </c>
      <c r="N192" s="2750"/>
      <c r="O192" s="2750"/>
      <c r="P192" s="2750"/>
      <c r="Q192" s="2751"/>
      <c r="R192" s="2739">
        <f>MORTGAGE!I183</f>
        <v>0</v>
      </c>
      <c r="S192" s="2740"/>
      <c r="T192" s="2740"/>
      <c r="U192" s="2740"/>
      <c r="V192" s="2741"/>
      <c r="W192" s="2733">
        <f>MORTGAGE!K183</f>
        <v>0</v>
      </c>
      <c r="X192" s="2734"/>
      <c r="Y192" s="2734"/>
      <c r="Z192" s="2734"/>
      <c r="AA192" s="2735"/>
      <c r="AB192" s="2727">
        <f>MORTGAGE!L183</f>
        <v>118970</v>
      </c>
      <c r="AC192" s="2728"/>
      <c r="AD192" s="2728"/>
      <c r="AE192" s="2728"/>
      <c r="AF192" s="2729"/>
      <c r="AG192" s="2719">
        <f>MORTGAGE!N183</f>
        <v>1.025603448275862</v>
      </c>
      <c r="AH192" s="2720"/>
      <c r="AI192" s="2720"/>
      <c r="AJ192" s="2720"/>
      <c r="AK192" s="2723"/>
      <c r="AL192" s="2719">
        <f>MORTGAGE!O183</f>
        <v>0</v>
      </c>
      <c r="AM192" s="2720"/>
      <c r="AN192" s="2720"/>
      <c r="AO192" s="2720"/>
      <c r="AP192" s="2720"/>
      <c r="AQ192" s="1239">
        <f t="shared" si="2"/>
        <v>1</v>
      </c>
    </row>
    <row r="193" spans="1:43" x14ac:dyDescent="0.25">
      <c r="A193" s="2"/>
      <c r="B193" s="2791"/>
      <c r="C193" s="2792"/>
      <c r="D193" s="2793"/>
      <c r="E193" s="2776" t="str">
        <f>IF(MORTGAGE!B184=0,"",MORTGAGE!B184)</f>
        <v/>
      </c>
      <c r="F193" s="2777"/>
      <c r="G193" s="2778"/>
      <c r="H193" s="2761">
        <f>MORTGAGE!H184</f>
        <v>0</v>
      </c>
      <c r="I193" s="2762"/>
      <c r="J193" s="2762"/>
      <c r="K193" s="2762"/>
      <c r="L193" s="2763"/>
      <c r="M193" s="2749">
        <f>MORTGAGE!J184</f>
        <v>0</v>
      </c>
      <c r="N193" s="2750"/>
      <c r="O193" s="2750"/>
      <c r="P193" s="2750"/>
      <c r="Q193" s="2751"/>
      <c r="R193" s="2739">
        <f>MORTGAGE!I184</f>
        <v>0</v>
      </c>
      <c r="S193" s="2740"/>
      <c r="T193" s="2740"/>
      <c r="U193" s="2740"/>
      <c r="V193" s="2741"/>
      <c r="W193" s="2733">
        <f>MORTGAGE!K184</f>
        <v>0</v>
      </c>
      <c r="X193" s="2734"/>
      <c r="Y193" s="2734"/>
      <c r="Z193" s="2734"/>
      <c r="AA193" s="2735"/>
      <c r="AB193" s="2727">
        <f>MORTGAGE!L184</f>
        <v>118970</v>
      </c>
      <c r="AC193" s="2728"/>
      <c r="AD193" s="2728"/>
      <c r="AE193" s="2728"/>
      <c r="AF193" s="2729"/>
      <c r="AG193" s="2719">
        <f>MORTGAGE!N184</f>
        <v>1.025603448275862</v>
      </c>
      <c r="AH193" s="2720"/>
      <c r="AI193" s="2720"/>
      <c r="AJ193" s="2720"/>
      <c r="AK193" s="2723"/>
      <c r="AL193" s="2719">
        <f>MORTGAGE!O184</f>
        <v>0</v>
      </c>
      <c r="AM193" s="2720"/>
      <c r="AN193" s="2720"/>
      <c r="AO193" s="2720"/>
      <c r="AP193" s="2720"/>
      <c r="AQ193" s="1239">
        <f t="shared" si="2"/>
        <v>1</v>
      </c>
    </row>
    <row r="194" spans="1:43" x14ac:dyDescent="0.25">
      <c r="A194" s="2"/>
      <c r="B194" s="2791"/>
      <c r="C194" s="2792"/>
      <c r="D194" s="2793"/>
      <c r="E194" s="2776" t="str">
        <f>IF(MORTGAGE!B185=0,"",MORTGAGE!B185)</f>
        <v/>
      </c>
      <c r="F194" s="2777"/>
      <c r="G194" s="2778"/>
      <c r="H194" s="2761">
        <f>MORTGAGE!H185</f>
        <v>0</v>
      </c>
      <c r="I194" s="2762"/>
      <c r="J194" s="2762"/>
      <c r="K194" s="2762"/>
      <c r="L194" s="2763"/>
      <c r="M194" s="2749">
        <f>MORTGAGE!J185</f>
        <v>0</v>
      </c>
      <c r="N194" s="2750"/>
      <c r="O194" s="2750"/>
      <c r="P194" s="2750"/>
      <c r="Q194" s="2751"/>
      <c r="R194" s="2739">
        <f>MORTGAGE!I185</f>
        <v>0</v>
      </c>
      <c r="S194" s="2740"/>
      <c r="T194" s="2740"/>
      <c r="U194" s="2740"/>
      <c r="V194" s="2741"/>
      <c r="W194" s="2733">
        <f>MORTGAGE!K185</f>
        <v>0</v>
      </c>
      <c r="X194" s="2734"/>
      <c r="Y194" s="2734"/>
      <c r="Z194" s="2734"/>
      <c r="AA194" s="2735"/>
      <c r="AB194" s="2727">
        <f>MORTGAGE!L185</f>
        <v>118970</v>
      </c>
      <c r="AC194" s="2728"/>
      <c r="AD194" s="2728"/>
      <c r="AE194" s="2728"/>
      <c r="AF194" s="2729"/>
      <c r="AG194" s="2719">
        <f>MORTGAGE!N185</f>
        <v>1.025603448275862</v>
      </c>
      <c r="AH194" s="2720"/>
      <c r="AI194" s="2720"/>
      <c r="AJ194" s="2720"/>
      <c r="AK194" s="2723"/>
      <c r="AL194" s="2719">
        <f>MORTGAGE!O185</f>
        <v>0</v>
      </c>
      <c r="AM194" s="2720"/>
      <c r="AN194" s="2720"/>
      <c r="AO194" s="2720"/>
      <c r="AP194" s="2720"/>
      <c r="AQ194" s="1239">
        <f t="shared" si="2"/>
        <v>1</v>
      </c>
    </row>
    <row r="195" spans="1:43" x14ac:dyDescent="0.25">
      <c r="A195" s="2"/>
      <c r="B195" s="2791"/>
      <c r="C195" s="2792"/>
      <c r="D195" s="2793"/>
      <c r="E195" s="2776" t="str">
        <f>IF(MORTGAGE!B186=0,"",MORTGAGE!B186)</f>
        <v/>
      </c>
      <c r="F195" s="2777"/>
      <c r="G195" s="2778"/>
      <c r="H195" s="2761">
        <f>MORTGAGE!H186</f>
        <v>0</v>
      </c>
      <c r="I195" s="2762"/>
      <c r="J195" s="2762"/>
      <c r="K195" s="2762"/>
      <c r="L195" s="2763"/>
      <c r="M195" s="2749">
        <f>MORTGAGE!J186</f>
        <v>0</v>
      </c>
      <c r="N195" s="2750"/>
      <c r="O195" s="2750"/>
      <c r="P195" s="2750"/>
      <c r="Q195" s="2751"/>
      <c r="R195" s="2739">
        <f>MORTGAGE!I186</f>
        <v>0</v>
      </c>
      <c r="S195" s="2740"/>
      <c r="T195" s="2740"/>
      <c r="U195" s="2740"/>
      <c r="V195" s="2741"/>
      <c r="W195" s="2733">
        <f>MORTGAGE!K186</f>
        <v>0</v>
      </c>
      <c r="X195" s="2734"/>
      <c r="Y195" s="2734"/>
      <c r="Z195" s="2734"/>
      <c r="AA195" s="2735"/>
      <c r="AB195" s="2727">
        <f>MORTGAGE!L186</f>
        <v>118970</v>
      </c>
      <c r="AC195" s="2728"/>
      <c r="AD195" s="2728"/>
      <c r="AE195" s="2728"/>
      <c r="AF195" s="2729"/>
      <c r="AG195" s="2719">
        <f>MORTGAGE!N186</f>
        <v>1.025603448275862</v>
      </c>
      <c r="AH195" s="2720"/>
      <c r="AI195" s="2720"/>
      <c r="AJ195" s="2720"/>
      <c r="AK195" s="2723"/>
      <c r="AL195" s="2719">
        <f>MORTGAGE!O186</f>
        <v>0</v>
      </c>
      <c r="AM195" s="2720"/>
      <c r="AN195" s="2720"/>
      <c r="AO195" s="2720"/>
      <c r="AP195" s="2720"/>
      <c r="AQ195" s="1239">
        <f t="shared" si="2"/>
        <v>1</v>
      </c>
    </row>
    <row r="196" spans="1:43" x14ac:dyDescent="0.25">
      <c r="A196" s="2"/>
      <c r="B196" s="2791"/>
      <c r="C196" s="2792"/>
      <c r="D196" s="2793"/>
      <c r="E196" s="2776" t="str">
        <f>IF(MORTGAGE!B187=0,"",MORTGAGE!B187)</f>
        <v/>
      </c>
      <c r="F196" s="2777"/>
      <c r="G196" s="2778"/>
      <c r="H196" s="2761">
        <f>MORTGAGE!H187</f>
        <v>0</v>
      </c>
      <c r="I196" s="2762"/>
      <c r="J196" s="2762"/>
      <c r="K196" s="2762"/>
      <c r="L196" s="2763"/>
      <c r="M196" s="2749">
        <f>MORTGAGE!J187</f>
        <v>0</v>
      </c>
      <c r="N196" s="2750"/>
      <c r="O196" s="2750"/>
      <c r="P196" s="2750"/>
      <c r="Q196" s="2751"/>
      <c r="R196" s="2739">
        <f>MORTGAGE!I187</f>
        <v>0</v>
      </c>
      <c r="S196" s="2740"/>
      <c r="T196" s="2740"/>
      <c r="U196" s="2740"/>
      <c r="V196" s="2741"/>
      <c r="W196" s="2733">
        <f>MORTGAGE!K187</f>
        <v>0</v>
      </c>
      <c r="X196" s="2734"/>
      <c r="Y196" s="2734"/>
      <c r="Z196" s="2734"/>
      <c r="AA196" s="2735"/>
      <c r="AB196" s="2727">
        <f>MORTGAGE!L187</f>
        <v>118970</v>
      </c>
      <c r="AC196" s="2728"/>
      <c r="AD196" s="2728"/>
      <c r="AE196" s="2728"/>
      <c r="AF196" s="2729"/>
      <c r="AG196" s="2719">
        <f>MORTGAGE!N187</f>
        <v>1.025603448275862</v>
      </c>
      <c r="AH196" s="2720"/>
      <c r="AI196" s="2720"/>
      <c r="AJ196" s="2720"/>
      <c r="AK196" s="2723"/>
      <c r="AL196" s="2719">
        <f>MORTGAGE!O187</f>
        <v>0</v>
      </c>
      <c r="AM196" s="2720"/>
      <c r="AN196" s="2720"/>
      <c r="AO196" s="2720"/>
      <c r="AP196" s="2720"/>
      <c r="AQ196" s="1239">
        <f t="shared" si="2"/>
        <v>1</v>
      </c>
    </row>
    <row r="197" spans="1:43" x14ac:dyDescent="0.25">
      <c r="A197" s="2"/>
      <c r="B197" s="2791"/>
      <c r="C197" s="2792"/>
      <c r="D197" s="2793"/>
      <c r="E197" s="2776" t="str">
        <f>IF(MORTGAGE!B188=0,"",MORTGAGE!B188)</f>
        <v/>
      </c>
      <c r="F197" s="2777"/>
      <c r="G197" s="2778"/>
      <c r="H197" s="2761">
        <f>MORTGAGE!H188</f>
        <v>0</v>
      </c>
      <c r="I197" s="2762"/>
      <c r="J197" s="2762"/>
      <c r="K197" s="2762"/>
      <c r="L197" s="2763"/>
      <c r="M197" s="2749">
        <f>MORTGAGE!J188</f>
        <v>0</v>
      </c>
      <c r="N197" s="2750"/>
      <c r="O197" s="2750"/>
      <c r="P197" s="2750"/>
      <c r="Q197" s="2751"/>
      <c r="R197" s="2739">
        <f>MORTGAGE!I188</f>
        <v>0</v>
      </c>
      <c r="S197" s="2740"/>
      <c r="T197" s="2740"/>
      <c r="U197" s="2740"/>
      <c r="V197" s="2741"/>
      <c r="W197" s="2733">
        <f>MORTGAGE!K188</f>
        <v>0</v>
      </c>
      <c r="X197" s="2734"/>
      <c r="Y197" s="2734"/>
      <c r="Z197" s="2734"/>
      <c r="AA197" s="2735"/>
      <c r="AB197" s="2727">
        <f>MORTGAGE!L188</f>
        <v>118970</v>
      </c>
      <c r="AC197" s="2728"/>
      <c r="AD197" s="2728"/>
      <c r="AE197" s="2728"/>
      <c r="AF197" s="2729"/>
      <c r="AG197" s="2719">
        <f>MORTGAGE!N188</f>
        <v>1.025603448275862</v>
      </c>
      <c r="AH197" s="2720"/>
      <c r="AI197" s="2720"/>
      <c r="AJ197" s="2720"/>
      <c r="AK197" s="2723"/>
      <c r="AL197" s="2719">
        <f>MORTGAGE!O188</f>
        <v>0</v>
      </c>
      <c r="AM197" s="2720"/>
      <c r="AN197" s="2720"/>
      <c r="AO197" s="2720"/>
      <c r="AP197" s="2720"/>
      <c r="AQ197" s="1239">
        <f t="shared" si="2"/>
        <v>1</v>
      </c>
    </row>
    <row r="198" spans="1:43" x14ac:dyDescent="0.25">
      <c r="A198" s="2"/>
      <c r="B198" s="2791"/>
      <c r="C198" s="2792"/>
      <c r="D198" s="2793"/>
      <c r="E198" s="2776" t="str">
        <f>IF(MORTGAGE!B189=0,"",MORTGAGE!B189)</f>
        <v/>
      </c>
      <c r="F198" s="2777"/>
      <c r="G198" s="2778"/>
      <c r="H198" s="2761">
        <f>MORTGAGE!H189</f>
        <v>0</v>
      </c>
      <c r="I198" s="2762"/>
      <c r="J198" s="2762"/>
      <c r="K198" s="2762"/>
      <c r="L198" s="2763"/>
      <c r="M198" s="2749">
        <f>MORTGAGE!J189</f>
        <v>0</v>
      </c>
      <c r="N198" s="2750"/>
      <c r="O198" s="2750"/>
      <c r="P198" s="2750"/>
      <c r="Q198" s="2751"/>
      <c r="R198" s="2739">
        <f>MORTGAGE!I189</f>
        <v>0</v>
      </c>
      <c r="S198" s="2740"/>
      <c r="T198" s="2740"/>
      <c r="U198" s="2740"/>
      <c r="V198" s="2741"/>
      <c r="W198" s="2733">
        <f>MORTGAGE!K189</f>
        <v>0</v>
      </c>
      <c r="X198" s="2734"/>
      <c r="Y198" s="2734"/>
      <c r="Z198" s="2734"/>
      <c r="AA198" s="2735"/>
      <c r="AB198" s="2727">
        <f>MORTGAGE!L189</f>
        <v>118970</v>
      </c>
      <c r="AC198" s="2728"/>
      <c r="AD198" s="2728"/>
      <c r="AE198" s="2728"/>
      <c r="AF198" s="2729"/>
      <c r="AG198" s="2719">
        <f>MORTGAGE!N189</f>
        <v>1.025603448275862</v>
      </c>
      <c r="AH198" s="2720"/>
      <c r="AI198" s="2720"/>
      <c r="AJ198" s="2720"/>
      <c r="AK198" s="2723"/>
      <c r="AL198" s="2719">
        <f>MORTGAGE!O189</f>
        <v>0</v>
      </c>
      <c r="AM198" s="2720"/>
      <c r="AN198" s="2720"/>
      <c r="AO198" s="2720"/>
      <c r="AP198" s="2720"/>
      <c r="AQ198" s="1239">
        <f t="shared" si="2"/>
        <v>1</v>
      </c>
    </row>
    <row r="199" spans="1:43" x14ac:dyDescent="0.25">
      <c r="A199" s="2"/>
      <c r="B199" s="2791"/>
      <c r="C199" s="2792"/>
      <c r="D199" s="2793"/>
      <c r="E199" s="2776" t="str">
        <f>IF(MORTGAGE!B190=0,"",MORTGAGE!B190)</f>
        <v/>
      </c>
      <c r="F199" s="2777"/>
      <c r="G199" s="2778"/>
      <c r="H199" s="2761">
        <f>MORTGAGE!H190</f>
        <v>0</v>
      </c>
      <c r="I199" s="2762"/>
      <c r="J199" s="2762"/>
      <c r="K199" s="2762"/>
      <c r="L199" s="2763"/>
      <c r="M199" s="2749">
        <f>MORTGAGE!J190</f>
        <v>0</v>
      </c>
      <c r="N199" s="2750"/>
      <c r="O199" s="2750"/>
      <c r="P199" s="2750"/>
      <c r="Q199" s="2751"/>
      <c r="R199" s="2739">
        <f>MORTGAGE!I190</f>
        <v>0</v>
      </c>
      <c r="S199" s="2740"/>
      <c r="T199" s="2740"/>
      <c r="U199" s="2740"/>
      <c r="V199" s="2741"/>
      <c r="W199" s="2733">
        <f>MORTGAGE!K190</f>
        <v>0</v>
      </c>
      <c r="X199" s="2734"/>
      <c r="Y199" s="2734"/>
      <c r="Z199" s="2734"/>
      <c r="AA199" s="2735"/>
      <c r="AB199" s="2727">
        <f>MORTGAGE!L190</f>
        <v>118970</v>
      </c>
      <c r="AC199" s="2728"/>
      <c r="AD199" s="2728"/>
      <c r="AE199" s="2728"/>
      <c r="AF199" s="2729"/>
      <c r="AG199" s="2719">
        <f>MORTGAGE!N190</f>
        <v>1.025603448275862</v>
      </c>
      <c r="AH199" s="2720"/>
      <c r="AI199" s="2720"/>
      <c r="AJ199" s="2720"/>
      <c r="AK199" s="2723"/>
      <c r="AL199" s="2719">
        <f>MORTGAGE!O190</f>
        <v>0</v>
      </c>
      <c r="AM199" s="2720"/>
      <c r="AN199" s="2720"/>
      <c r="AO199" s="2720"/>
      <c r="AP199" s="2720"/>
      <c r="AQ199" s="1239">
        <f t="shared" si="2"/>
        <v>1</v>
      </c>
    </row>
    <row r="200" spans="1:43" x14ac:dyDescent="0.25">
      <c r="A200" s="2"/>
      <c r="B200" s="2791"/>
      <c r="C200" s="2792"/>
      <c r="D200" s="2793"/>
      <c r="E200" s="2776" t="str">
        <f>IF(MORTGAGE!B191=0,"",MORTGAGE!B191)</f>
        <v/>
      </c>
      <c r="F200" s="2777"/>
      <c r="G200" s="2778"/>
      <c r="H200" s="2761">
        <f>MORTGAGE!H191</f>
        <v>0</v>
      </c>
      <c r="I200" s="2762"/>
      <c r="J200" s="2762"/>
      <c r="K200" s="2762"/>
      <c r="L200" s="2763"/>
      <c r="M200" s="2749">
        <f>MORTGAGE!J191</f>
        <v>0</v>
      </c>
      <c r="N200" s="2750"/>
      <c r="O200" s="2750"/>
      <c r="P200" s="2750"/>
      <c r="Q200" s="2751"/>
      <c r="R200" s="2739">
        <f>MORTGAGE!I191</f>
        <v>0</v>
      </c>
      <c r="S200" s="2740"/>
      <c r="T200" s="2740"/>
      <c r="U200" s="2740"/>
      <c r="V200" s="2741"/>
      <c r="W200" s="2733">
        <f>MORTGAGE!K191</f>
        <v>0</v>
      </c>
      <c r="X200" s="2734"/>
      <c r="Y200" s="2734"/>
      <c r="Z200" s="2734"/>
      <c r="AA200" s="2735"/>
      <c r="AB200" s="2727">
        <f>MORTGAGE!L191</f>
        <v>118970</v>
      </c>
      <c r="AC200" s="2728"/>
      <c r="AD200" s="2728"/>
      <c r="AE200" s="2728"/>
      <c r="AF200" s="2729"/>
      <c r="AG200" s="2719">
        <f>MORTGAGE!N191</f>
        <v>1.025603448275862</v>
      </c>
      <c r="AH200" s="2720"/>
      <c r="AI200" s="2720"/>
      <c r="AJ200" s="2720"/>
      <c r="AK200" s="2723"/>
      <c r="AL200" s="2719">
        <f>MORTGAGE!O191</f>
        <v>0</v>
      </c>
      <c r="AM200" s="2720"/>
      <c r="AN200" s="2720"/>
      <c r="AO200" s="2720"/>
      <c r="AP200" s="2720"/>
      <c r="AQ200" s="1239">
        <f t="shared" si="2"/>
        <v>1</v>
      </c>
    </row>
    <row r="201" spans="1:43" ht="14.4" thickBot="1" x14ac:dyDescent="0.3">
      <c r="A201" s="2"/>
      <c r="B201" s="2794"/>
      <c r="C201" s="2795"/>
      <c r="D201" s="2796"/>
      <c r="E201" s="2776" t="str">
        <f>IF(MORTGAGE!B192=0,"",MORTGAGE!B192)</f>
        <v/>
      </c>
      <c r="F201" s="2777"/>
      <c r="G201" s="2778"/>
      <c r="H201" s="2761">
        <f>MORTGAGE!H192</f>
        <v>0</v>
      </c>
      <c r="I201" s="2762"/>
      <c r="J201" s="2762"/>
      <c r="K201" s="2762"/>
      <c r="L201" s="2763"/>
      <c r="M201" s="2749">
        <f>MORTGAGE!J192</f>
        <v>0</v>
      </c>
      <c r="N201" s="2750"/>
      <c r="O201" s="2750"/>
      <c r="P201" s="2750"/>
      <c r="Q201" s="2751"/>
      <c r="R201" s="2739">
        <f>MORTGAGE!I192</f>
        <v>0</v>
      </c>
      <c r="S201" s="2740"/>
      <c r="T201" s="2740"/>
      <c r="U201" s="2740"/>
      <c r="V201" s="2741"/>
      <c r="W201" s="2733">
        <f>MORTGAGE!K192</f>
        <v>0</v>
      </c>
      <c r="X201" s="2734"/>
      <c r="Y201" s="2734"/>
      <c r="Z201" s="2734"/>
      <c r="AA201" s="2735"/>
      <c r="AB201" s="2727">
        <f>MORTGAGE!L192</f>
        <v>118970</v>
      </c>
      <c r="AC201" s="2728"/>
      <c r="AD201" s="2728"/>
      <c r="AE201" s="2728"/>
      <c r="AF201" s="2729"/>
      <c r="AG201" s="2719">
        <f>MORTGAGE!N192</f>
        <v>1.025603448275862</v>
      </c>
      <c r="AH201" s="2720"/>
      <c r="AI201" s="2720"/>
      <c r="AJ201" s="2720"/>
      <c r="AK201" s="2723"/>
      <c r="AL201" s="2719">
        <f>MORTGAGE!O192</f>
        <v>0</v>
      </c>
      <c r="AM201" s="2720"/>
      <c r="AN201" s="2720"/>
      <c r="AO201" s="2720"/>
      <c r="AP201" s="2720"/>
      <c r="AQ201" s="1239">
        <f t="shared" si="2"/>
        <v>1</v>
      </c>
    </row>
    <row r="202" spans="1:43" x14ac:dyDescent="0.25">
      <c r="A202" s="2"/>
      <c r="B202" s="2797" t="str">
        <f>IFERROR(ROUNDUP(E202/12,0),"")</f>
        <v/>
      </c>
      <c r="C202" s="2798"/>
      <c r="D202" s="2799"/>
      <c r="E202" s="2785" t="str">
        <f>IF(MORTGAGE!B193=0,"",MORTGAGE!B193)</f>
        <v/>
      </c>
      <c r="F202" s="2786"/>
      <c r="G202" s="2787"/>
      <c r="H202" s="2773">
        <f>MORTGAGE!H193</f>
        <v>0</v>
      </c>
      <c r="I202" s="2774"/>
      <c r="J202" s="2774"/>
      <c r="K202" s="2774"/>
      <c r="L202" s="2775"/>
      <c r="M202" s="2758">
        <f>MORTGAGE!J193</f>
        <v>0</v>
      </c>
      <c r="N202" s="2759"/>
      <c r="O202" s="2759"/>
      <c r="P202" s="2759"/>
      <c r="Q202" s="2760"/>
      <c r="R202" s="2746">
        <f>MORTGAGE!I193</f>
        <v>0</v>
      </c>
      <c r="S202" s="2747"/>
      <c r="T202" s="2747"/>
      <c r="U202" s="2747"/>
      <c r="V202" s="2748"/>
      <c r="W202" s="2736">
        <f>MORTGAGE!K193</f>
        <v>0</v>
      </c>
      <c r="X202" s="2737"/>
      <c r="Y202" s="2737"/>
      <c r="Z202" s="2737"/>
      <c r="AA202" s="2738"/>
      <c r="AB202" s="2730">
        <f>MORTGAGE!L193</f>
        <v>118970</v>
      </c>
      <c r="AC202" s="2731"/>
      <c r="AD202" s="2731"/>
      <c r="AE202" s="2731"/>
      <c r="AF202" s="2732"/>
      <c r="AG202" s="2724">
        <f>MORTGAGE!N193</f>
        <v>1.025603448275862</v>
      </c>
      <c r="AH202" s="2725"/>
      <c r="AI202" s="2725"/>
      <c r="AJ202" s="2725"/>
      <c r="AK202" s="2726"/>
      <c r="AL202" s="2721">
        <f>MORTGAGE!O193</f>
        <v>0</v>
      </c>
      <c r="AM202" s="2722"/>
      <c r="AN202" s="2722"/>
      <c r="AO202" s="2722"/>
      <c r="AP202" s="2722"/>
      <c r="AQ202" s="1239">
        <f t="shared" si="2"/>
        <v>1</v>
      </c>
    </row>
    <row r="203" spans="1:43" x14ac:dyDescent="0.25">
      <c r="A203" s="2"/>
      <c r="B203" s="2791"/>
      <c r="C203" s="2792"/>
      <c r="D203" s="2793"/>
      <c r="E203" s="2776" t="str">
        <f>IF(MORTGAGE!B194=0,"",MORTGAGE!B194)</f>
        <v/>
      </c>
      <c r="F203" s="2777"/>
      <c r="G203" s="2778"/>
      <c r="H203" s="2761">
        <f>MORTGAGE!H194</f>
        <v>0</v>
      </c>
      <c r="I203" s="2762"/>
      <c r="J203" s="2762"/>
      <c r="K203" s="2762"/>
      <c r="L203" s="2763"/>
      <c r="M203" s="2749">
        <f>MORTGAGE!J194</f>
        <v>0</v>
      </c>
      <c r="N203" s="2750"/>
      <c r="O203" s="2750"/>
      <c r="P203" s="2750"/>
      <c r="Q203" s="2751"/>
      <c r="R203" s="2739">
        <f>MORTGAGE!I194</f>
        <v>0</v>
      </c>
      <c r="S203" s="2740"/>
      <c r="T203" s="2740"/>
      <c r="U203" s="2740"/>
      <c r="V203" s="2741"/>
      <c r="W203" s="2733">
        <f>MORTGAGE!K194</f>
        <v>0</v>
      </c>
      <c r="X203" s="2734"/>
      <c r="Y203" s="2734"/>
      <c r="Z203" s="2734"/>
      <c r="AA203" s="2735"/>
      <c r="AB203" s="2727">
        <f>MORTGAGE!L194</f>
        <v>118970</v>
      </c>
      <c r="AC203" s="2728"/>
      <c r="AD203" s="2728"/>
      <c r="AE203" s="2728"/>
      <c r="AF203" s="2729"/>
      <c r="AG203" s="2719">
        <f>MORTGAGE!N194</f>
        <v>1.025603448275862</v>
      </c>
      <c r="AH203" s="2720"/>
      <c r="AI203" s="2720"/>
      <c r="AJ203" s="2720"/>
      <c r="AK203" s="2723"/>
      <c r="AL203" s="2719">
        <f>MORTGAGE!O194</f>
        <v>0</v>
      </c>
      <c r="AM203" s="2720"/>
      <c r="AN203" s="2720"/>
      <c r="AO203" s="2720"/>
      <c r="AP203" s="2720"/>
      <c r="AQ203" s="1239">
        <f t="shared" si="2"/>
        <v>1</v>
      </c>
    </row>
    <row r="204" spans="1:43" x14ac:dyDescent="0.25">
      <c r="A204" s="2"/>
      <c r="B204" s="2791"/>
      <c r="C204" s="2792"/>
      <c r="D204" s="2793"/>
      <c r="E204" s="2776" t="str">
        <f>IF(MORTGAGE!B195=0,"",MORTGAGE!B195)</f>
        <v/>
      </c>
      <c r="F204" s="2777"/>
      <c r="G204" s="2778"/>
      <c r="H204" s="2761">
        <f>MORTGAGE!H195</f>
        <v>0</v>
      </c>
      <c r="I204" s="2762"/>
      <c r="J204" s="2762"/>
      <c r="K204" s="2762"/>
      <c r="L204" s="2763"/>
      <c r="M204" s="2749">
        <f>MORTGAGE!J195</f>
        <v>0</v>
      </c>
      <c r="N204" s="2750"/>
      <c r="O204" s="2750"/>
      <c r="P204" s="2750"/>
      <c r="Q204" s="2751"/>
      <c r="R204" s="2739">
        <f>MORTGAGE!I195</f>
        <v>0</v>
      </c>
      <c r="S204" s="2740"/>
      <c r="T204" s="2740"/>
      <c r="U204" s="2740"/>
      <c r="V204" s="2741"/>
      <c r="W204" s="2733">
        <f>MORTGAGE!K195</f>
        <v>0</v>
      </c>
      <c r="X204" s="2734"/>
      <c r="Y204" s="2734"/>
      <c r="Z204" s="2734"/>
      <c r="AA204" s="2735"/>
      <c r="AB204" s="2727">
        <f>MORTGAGE!L195</f>
        <v>118970</v>
      </c>
      <c r="AC204" s="2728"/>
      <c r="AD204" s="2728"/>
      <c r="AE204" s="2728"/>
      <c r="AF204" s="2729"/>
      <c r="AG204" s="2719">
        <f>MORTGAGE!N195</f>
        <v>1.025603448275862</v>
      </c>
      <c r="AH204" s="2720"/>
      <c r="AI204" s="2720"/>
      <c r="AJ204" s="2720"/>
      <c r="AK204" s="2723"/>
      <c r="AL204" s="2719">
        <f>MORTGAGE!O195</f>
        <v>0</v>
      </c>
      <c r="AM204" s="2720"/>
      <c r="AN204" s="2720"/>
      <c r="AO204" s="2720"/>
      <c r="AP204" s="2720"/>
      <c r="AQ204" s="1239">
        <f t="shared" si="2"/>
        <v>1</v>
      </c>
    </row>
    <row r="205" spans="1:43" x14ac:dyDescent="0.25">
      <c r="A205" s="2"/>
      <c r="B205" s="2791"/>
      <c r="C205" s="2792"/>
      <c r="D205" s="2793"/>
      <c r="E205" s="2776" t="str">
        <f>IF(MORTGAGE!B196=0,"",MORTGAGE!B196)</f>
        <v/>
      </c>
      <c r="F205" s="2777"/>
      <c r="G205" s="2778"/>
      <c r="H205" s="2761">
        <f>MORTGAGE!H196</f>
        <v>0</v>
      </c>
      <c r="I205" s="2762"/>
      <c r="J205" s="2762"/>
      <c r="K205" s="2762"/>
      <c r="L205" s="2763"/>
      <c r="M205" s="2749">
        <f>MORTGAGE!J196</f>
        <v>0</v>
      </c>
      <c r="N205" s="2750"/>
      <c r="O205" s="2750"/>
      <c r="P205" s="2750"/>
      <c r="Q205" s="2751"/>
      <c r="R205" s="2739">
        <f>MORTGAGE!I196</f>
        <v>0</v>
      </c>
      <c r="S205" s="2740"/>
      <c r="T205" s="2740"/>
      <c r="U205" s="2740"/>
      <c r="V205" s="2741"/>
      <c r="W205" s="2733">
        <f>MORTGAGE!K196</f>
        <v>0</v>
      </c>
      <c r="X205" s="2734"/>
      <c r="Y205" s="2734"/>
      <c r="Z205" s="2734"/>
      <c r="AA205" s="2735"/>
      <c r="AB205" s="2727">
        <f>MORTGAGE!L196</f>
        <v>118970</v>
      </c>
      <c r="AC205" s="2728"/>
      <c r="AD205" s="2728"/>
      <c r="AE205" s="2728"/>
      <c r="AF205" s="2729"/>
      <c r="AG205" s="2719">
        <f>MORTGAGE!N196</f>
        <v>1.025603448275862</v>
      </c>
      <c r="AH205" s="2720"/>
      <c r="AI205" s="2720"/>
      <c r="AJ205" s="2720"/>
      <c r="AK205" s="2723"/>
      <c r="AL205" s="2719">
        <f>MORTGAGE!O196</f>
        <v>0</v>
      </c>
      <c r="AM205" s="2720"/>
      <c r="AN205" s="2720"/>
      <c r="AO205" s="2720"/>
      <c r="AP205" s="2720"/>
      <c r="AQ205" s="1239">
        <f t="shared" si="2"/>
        <v>1</v>
      </c>
    </row>
    <row r="206" spans="1:43" x14ac:dyDescent="0.25">
      <c r="A206" s="2"/>
      <c r="B206" s="2791"/>
      <c r="C206" s="2792"/>
      <c r="D206" s="2793"/>
      <c r="E206" s="2776" t="str">
        <f>IF(MORTGAGE!B197=0,"",MORTGAGE!B197)</f>
        <v/>
      </c>
      <c r="F206" s="2777"/>
      <c r="G206" s="2778"/>
      <c r="H206" s="2761">
        <f>MORTGAGE!H197</f>
        <v>0</v>
      </c>
      <c r="I206" s="2762"/>
      <c r="J206" s="2762"/>
      <c r="K206" s="2762"/>
      <c r="L206" s="2763"/>
      <c r="M206" s="2749">
        <f>MORTGAGE!J197</f>
        <v>0</v>
      </c>
      <c r="N206" s="2750"/>
      <c r="O206" s="2750"/>
      <c r="P206" s="2750"/>
      <c r="Q206" s="2751"/>
      <c r="R206" s="2739">
        <f>MORTGAGE!I197</f>
        <v>0</v>
      </c>
      <c r="S206" s="2740"/>
      <c r="T206" s="2740"/>
      <c r="U206" s="2740"/>
      <c r="V206" s="2741"/>
      <c r="W206" s="2733">
        <f>MORTGAGE!K197</f>
        <v>0</v>
      </c>
      <c r="X206" s="2734"/>
      <c r="Y206" s="2734"/>
      <c r="Z206" s="2734"/>
      <c r="AA206" s="2735"/>
      <c r="AB206" s="2727">
        <f>MORTGAGE!L197</f>
        <v>118970</v>
      </c>
      <c r="AC206" s="2728"/>
      <c r="AD206" s="2728"/>
      <c r="AE206" s="2728"/>
      <c r="AF206" s="2729"/>
      <c r="AG206" s="2719">
        <f>MORTGAGE!N197</f>
        <v>1.025603448275862</v>
      </c>
      <c r="AH206" s="2720"/>
      <c r="AI206" s="2720"/>
      <c r="AJ206" s="2720"/>
      <c r="AK206" s="2723"/>
      <c r="AL206" s="2719">
        <f>MORTGAGE!O197</f>
        <v>0</v>
      </c>
      <c r="AM206" s="2720"/>
      <c r="AN206" s="2720"/>
      <c r="AO206" s="2720"/>
      <c r="AP206" s="2720"/>
      <c r="AQ206" s="1239">
        <f t="shared" si="2"/>
        <v>1</v>
      </c>
    </row>
    <row r="207" spans="1:43" x14ac:dyDescent="0.25">
      <c r="A207" s="2"/>
      <c r="B207" s="2791"/>
      <c r="C207" s="2792"/>
      <c r="D207" s="2793"/>
      <c r="E207" s="2776" t="str">
        <f>IF(MORTGAGE!B198=0,"",MORTGAGE!B198)</f>
        <v/>
      </c>
      <c r="F207" s="2777"/>
      <c r="G207" s="2778"/>
      <c r="H207" s="2761">
        <f>MORTGAGE!H198</f>
        <v>0</v>
      </c>
      <c r="I207" s="2762"/>
      <c r="J207" s="2762"/>
      <c r="K207" s="2762"/>
      <c r="L207" s="2763"/>
      <c r="M207" s="2749">
        <f>MORTGAGE!J198</f>
        <v>0</v>
      </c>
      <c r="N207" s="2750"/>
      <c r="O207" s="2750"/>
      <c r="P207" s="2750"/>
      <c r="Q207" s="2751"/>
      <c r="R207" s="2739">
        <f>MORTGAGE!I198</f>
        <v>0</v>
      </c>
      <c r="S207" s="2740"/>
      <c r="T207" s="2740"/>
      <c r="U207" s="2740"/>
      <c r="V207" s="2741"/>
      <c r="W207" s="2733">
        <f>MORTGAGE!K198</f>
        <v>0</v>
      </c>
      <c r="X207" s="2734"/>
      <c r="Y207" s="2734"/>
      <c r="Z207" s="2734"/>
      <c r="AA207" s="2735"/>
      <c r="AB207" s="2727">
        <f>MORTGAGE!L198</f>
        <v>118970</v>
      </c>
      <c r="AC207" s="2728"/>
      <c r="AD207" s="2728"/>
      <c r="AE207" s="2728"/>
      <c r="AF207" s="2729"/>
      <c r="AG207" s="2719">
        <f>MORTGAGE!N198</f>
        <v>1.025603448275862</v>
      </c>
      <c r="AH207" s="2720"/>
      <c r="AI207" s="2720"/>
      <c r="AJ207" s="2720"/>
      <c r="AK207" s="2723"/>
      <c r="AL207" s="2719">
        <f>MORTGAGE!O198</f>
        <v>0</v>
      </c>
      <c r="AM207" s="2720"/>
      <c r="AN207" s="2720"/>
      <c r="AO207" s="2720"/>
      <c r="AP207" s="2720"/>
      <c r="AQ207" s="1239">
        <f t="shared" si="2"/>
        <v>1</v>
      </c>
    </row>
    <row r="208" spans="1:43" x14ac:dyDescent="0.25">
      <c r="A208" s="2"/>
      <c r="B208" s="2791"/>
      <c r="C208" s="2792"/>
      <c r="D208" s="2793"/>
      <c r="E208" s="2776" t="str">
        <f>IF(MORTGAGE!B199=0,"",MORTGAGE!B199)</f>
        <v/>
      </c>
      <c r="F208" s="2777"/>
      <c r="G208" s="2778"/>
      <c r="H208" s="2761">
        <f>MORTGAGE!H199</f>
        <v>0</v>
      </c>
      <c r="I208" s="2762"/>
      <c r="J208" s="2762"/>
      <c r="K208" s="2762"/>
      <c r="L208" s="2763"/>
      <c r="M208" s="2749">
        <f>MORTGAGE!J199</f>
        <v>0</v>
      </c>
      <c r="N208" s="2750"/>
      <c r="O208" s="2750"/>
      <c r="P208" s="2750"/>
      <c r="Q208" s="2751"/>
      <c r="R208" s="2739">
        <f>MORTGAGE!I199</f>
        <v>0</v>
      </c>
      <c r="S208" s="2740"/>
      <c r="T208" s="2740"/>
      <c r="U208" s="2740"/>
      <c r="V208" s="2741"/>
      <c r="W208" s="2733">
        <f>MORTGAGE!K199</f>
        <v>0</v>
      </c>
      <c r="X208" s="2734"/>
      <c r="Y208" s="2734"/>
      <c r="Z208" s="2734"/>
      <c r="AA208" s="2735"/>
      <c r="AB208" s="2727">
        <f>MORTGAGE!L199</f>
        <v>118970</v>
      </c>
      <c r="AC208" s="2728"/>
      <c r="AD208" s="2728"/>
      <c r="AE208" s="2728"/>
      <c r="AF208" s="2729"/>
      <c r="AG208" s="2719">
        <f>MORTGAGE!N199</f>
        <v>1.025603448275862</v>
      </c>
      <c r="AH208" s="2720"/>
      <c r="AI208" s="2720"/>
      <c r="AJ208" s="2720"/>
      <c r="AK208" s="2723"/>
      <c r="AL208" s="2719">
        <f>MORTGAGE!O199</f>
        <v>0</v>
      </c>
      <c r="AM208" s="2720"/>
      <c r="AN208" s="2720"/>
      <c r="AO208" s="2720"/>
      <c r="AP208" s="2720"/>
      <c r="AQ208" s="1239">
        <f t="shared" si="2"/>
        <v>1</v>
      </c>
    </row>
    <row r="209" spans="1:43" x14ac:dyDescent="0.25">
      <c r="A209" s="2"/>
      <c r="B209" s="2791"/>
      <c r="C209" s="2792"/>
      <c r="D209" s="2793"/>
      <c r="E209" s="2776" t="str">
        <f>IF(MORTGAGE!B200=0,"",MORTGAGE!B200)</f>
        <v/>
      </c>
      <c r="F209" s="2777"/>
      <c r="G209" s="2778"/>
      <c r="H209" s="2761">
        <f>MORTGAGE!H200</f>
        <v>0</v>
      </c>
      <c r="I209" s="2762"/>
      <c r="J209" s="2762"/>
      <c r="K209" s="2762"/>
      <c r="L209" s="2763"/>
      <c r="M209" s="2749">
        <f>MORTGAGE!J200</f>
        <v>0</v>
      </c>
      <c r="N209" s="2750"/>
      <c r="O209" s="2750"/>
      <c r="P209" s="2750"/>
      <c r="Q209" s="2751"/>
      <c r="R209" s="2739">
        <f>MORTGAGE!I200</f>
        <v>0</v>
      </c>
      <c r="S209" s="2740"/>
      <c r="T209" s="2740"/>
      <c r="U209" s="2740"/>
      <c r="V209" s="2741"/>
      <c r="W209" s="2733">
        <f>MORTGAGE!K200</f>
        <v>0</v>
      </c>
      <c r="X209" s="2734"/>
      <c r="Y209" s="2734"/>
      <c r="Z209" s="2734"/>
      <c r="AA209" s="2735"/>
      <c r="AB209" s="2727">
        <f>MORTGAGE!L200</f>
        <v>118970</v>
      </c>
      <c r="AC209" s="2728"/>
      <c r="AD209" s="2728"/>
      <c r="AE209" s="2728"/>
      <c r="AF209" s="2729"/>
      <c r="AG209" s="2719">
        <f>MORTGAGE!N200</f>
        <v>1.025603448275862</v>
      </c>
      <c r="AH209" s="2720"/>
      <c r="AI209" s="2720"/>
      <c r="AJ209" s="2720"/>
      <c r="AK209" s="2723"/>
      <c r="AL209" s="2719">
        <f>MORTGAGE!O200</f>
        <v>0</v>
      </c>
      <c r="AM209" s="2720"/>
      <c r="AN209" s="2720"/>
      <c r="AO209" s="2720"/>
      <c r="AP209" s="2720"/>
      <c r="AQ209" s="1239">
        <f t="shared" si="2"/>
        <v>1</v>
      </c>
    </row>
    <row r="210" spans="1:43" x14ac:dyDescent="0.25">
      <c r="A210" s="2"/>
      <c r="B210" s="2791"/>
      <c r="C210" s="2792"/>
      <c r="D210" s="2793"/>
      <c r="E210" s="2776" t="str">
        <f>IF(MORTGAGE!B201=0,"",MORTGAGE!B201)</f>
        <v/>
      </c>
      <c r="F210" s="2777"/>
      <c r="G210" s="2778"/>
      <c r="H210" s="2761">
        <f>MORTGAGE!H201</f>
        <v>0</v>
      </c>
      <c r="I210" s="2762"/>
      <c r="J210" s="2762"/>
      <c r="K210" s="2762"/>
      <c r="L210" s="2763"/>
      <c r="M210" s="2749">
        <f>MORTGAGE!J201</f>
        <v>0</v>
      </c>
      <c r="N210" s="2750"/>
      <c r="O210" s="2750"/>
      <c r="P210" s="2750"/>
      <c r="Q210" s="2751"/>
      <c r="R210" s="2739">
        <f>MORTGAGE!I201</f>
        <v>0</v>
      </c>
      <c r="S210" s="2740"/>
      <c r="T210" s="2740"/>
      <c r="U210" s="2740"/>
      <c r="V210" s="2741"/>
      <c r="W210" s="2733">
        <f>MORTGAGE!K201</f>
        <v>0</v>
      </c>
      <c r="X210" s="2734"/>
      <c r="Y210" s="2734"/>
      <c r="Z210" s="2734"/>
      <c r="AA210" s="2735"/>
      <c r="AB210" s="2727">
        <f>MORTGAGE!L201</f>
        <v>118970</v>
      </c>
      <c r="AC210" s="2728"/>
      <c r="AD210" s="2728"/>
      <c r="AE210" s="2728"/>
      <c r="AF210" s="2729"/>
      <c r="AG210" s="2719">
        <f>MORTGAGE!N201</f>
        <v>1.025603448275862</v>
      </c>
      <c r="AH210" s="2720"/>
      <c r="AI210" s="2720"/>
      <c r="AJ210" s="2720"/>
      <c r="AK210" s="2723"/>
      <c r="AL210" s="2719">
        <f>MORTGAGE!O201</f>
        <v>0</v>
      </c>
      <c r="AM210" s="2720"/>
      <c r="AN210" s="2720"/>
      <c r="AO210" s="2720"/>
      <c r="AP210" s="2720"/>
      <c r="AQ210" s="1239">
        <f t="shared" si="2"/>
        <v>1</v>
      </c>
    </row>
    <row r="211" spans="1:43" x14ac:dyDescent="0.25">
      <c r="A211" s="2"/>
      <c r="B211" s="2791"/>
      <c r="C211" s="2792"/>
      <c r="D211" s="2793"/>
      <c r="E211" s="2776" t="str">
        <f>IF(MORTGAGE!B202=0,"",MORTGAGE!B202)</f>
        <v/>
      </c>
      <c r="F211" s="2777"/>
      <c r="G211" s="2778"/>
      <c r="H211" s="2761">
        <f>MORTGAGE!H202</f>
        <v>0</v>
      </c>
      <c r="I211" s="2762"/>
      <c r="J211" s="2762"/>
      <c r="K211" s="2762"/>
      <c r="L211" s="2763"/>
      <c r="M211" s="2749">
        <f>MORTGAGE!J202</f>
        <v>0</v>
      </c>
      <c r="N211" s="2750"/>
      <c r="O211" s="2750"/>
      <c r="P211" s="2750"/>
      <c r="Q211" s="2751"/>
      <c r="R211" s="2739">
        <f>MORTGAGE!I202</f>
        <v>0</v>
      </c>
      <c r="S211" s="2740"/>
      <c r="T211" s="2740"/>
      <c r="U211" s="2740"/>
      <c r="V211" s="2741"/>
      <c r="W211" s="2733">
        <f>MORTGAGE!K202</f>
        <v>0</v>
      </c>
      <c r="X211" s="2734"/>
      <c r="Y211" s="2734"/>
      <c r="Z211" s="2734"/>
      <c r="AA211" s="2735"/>
      <c r="AB211" s="2727">
        <f>MORTGAGE!L202</f>
        <v>118970</v>
      </c>
      <c r="AC211" s="2728"/>
      <c r="AD211" s="2728"/>
      <c r="AE211" s="2728"/>
      <c r="AF211" s="2729"/>
      <c r="AG211" s="2719">
        <f>MORTGAGE!N202</f>
        <v>1.025603448275862</v>
      </c>
      <c r="AH211" s="2720"/>
      <c r="AI211" s="2720"/>
      <c r="AJ211" s="2720"/>
      <c r="AK211" s="2723"/>
      <c r="AL211" s="2719">
        <f>MORTGAGE!O202</f>
        <v>0</v>
      </c>
      <c r="AM211" s="2720"/>
      <c r="AN211" s="2720"/>
      <c r="AO211" s="2720"/>
      <c r="AP211" s="2720"/>
      <c r="AQ211" s="1239">
        <f t="shared" si="2"/>
        <v>1</v>
      </c>
    </row>
    <row r="212" spans="1:43" x14ac:dyDescent="0.25">
      <c r="A212" s="2"/>
      <c r="B212" s="2791"/>
      <c r="C212" s="2792"/>
      <c r="D212" s="2793"/>
      <c r="E212" s="2776" t="str">
        <f>IF(MORTGAGE!B203=0,"",MORTGAGE!B203)</f>
        <v/>
      </c>
      <c r="F212" s="2777"/>
      <c r="G212" s="2778"/>
      <c r="H212" s="2761">
        <f>MORTGAGE!H203</f>
        <v>0</v>
      </c>
      <c r="I212" s="2762"/>
      <c r="J212" s="2762"/>
      <c r="K212" s="2762"/>
      <c r="L212" s="2763"/>
      <c r="M212" s="2749">
        <f>MORTGAGE!J203</f>
        <v>0</v>
      </c>
      <c r="N212" s="2750"/>
      <c r="O212" s="2750"/>
      <c r="P212" s="2750"/>
      <c r="Q212" s="2751"/>
      <c r="R212" s="2739">
        <f>MORTGAGE!I203</f>
        <v>0</v>
      </c>
      <c r="S212" s="2740"/>
      <c r="T212" s="2740"/>
      <c r="U212" s="2740"/>
      <c r="V212" s="2741"/>
      <c r="W212" s="2733">
        <f>MORTGAGE!K203</f>
        <v>0</v>
      </c>
      <c r="X212" s="2734"/>
      <c r="Y212" s="2734"/>
      <c r="Z212" s="2734"/>
      <c r="AA212" s="2735"/>
      <c r="AB212" s="2727">
        <f>MORTGAGE!L203</f>
        <v>118970</v>
      </c>
      <c r="AC212" s="2728"/>
      <c r="AD212" s="2728"/>
      <c r="AE212" s="2728"/>
      <c r="AF212" s="2729"/>
      <c r="AG212" s="2719">
        <f>MORTGAGE!N203</f>
        <v>1.025603448275862</v>
      </c>
      <c r="AH212" s="2720"/>
      <c r="AI212" s="2720"/>
      <c r="AJ212" s="2720"/>
      <c r="AK212" s="2723"/>
      <c r="AL212" s="2719">
        <f>MORTGAGE!O203</f>
        <v>0</v>
      </c>
      <c r="AM212" s="2720"/>
      <c r="AN212" s="2720"/>
      <c r="AO212" s="2720"/>
      <c r="AP212" s="2720"/>
      <c r="AQ212" s="1239">
        <f t="shared" si="2"/>
        <v>1</v>
      </c>
    </row>
    <row r="213" spans="1:43" ht="14.4" thickBot="1" x14ac:dyDescent="0.3">
      <c r="A213" s="2"/>
      <c r="B213" s="2794"/>
      <c r="C213" s="2795"/>
      <c r="D213" s="2796"/>
      <c r="E213" s="2776" t="str">
        <f>IF(MORTGAGE!B204=0,"",MORTGAGE!B204)</f>
        <v/>
      </c>
      <c r="F213" s="2777"/>
      <c r="G213" s="2778"/>
      <c r="H213" s="2761">
        <f>MORTGAGE!H204</f>
        <v>0</v>
      </c>
      <c r="I213" s="2762"/>
      <c r="J213" s="2762"/>
      <c r="K213" s="2762"/>
      <c r="L213" s="2763"/>
      <c r="M213" s="2749">
        <f>MORTGAGE!J204</f>
        <v>0</v>
      </c>
      <c r="N213" s="2750"/>
      <c r="O213" s="2750"/>
      <c r="P213" s="2750"/>
      <c r="Q213" s="2751"/>
      <c r="R213" s="2739">
        <f>MORTGAGE!I204</f>
        <v>0</v>
      </c>
      <c r="S213" s="2740"/>
      <c r="T213" s="2740"/>
      <c r="U213" s="2740"/>
      <c r="V213" s="2741"/>
      <c r="W213" s="2733">
        <f>MORTGAGE!K204</f>
        <v>0</v>
      </c>
      <c r="X213" s="2734"/>
      <c r="Y213" s="2734"/>
      <c r="Z213" s="2734"/>
      <c r="AA213" s="2735"/>
      <c r="AB213" s="2727">
        <f>MORTGAGE!L204</f>
        <v>118970</v>
      </c>
      <c r="AC213" s="2728"/>
      <c r="AD213" s="2728"/>
      <c r="AE213" s="2728"/>
      <c r="AF213" s="2729"/>
      <c r="AG213" s="2719">
        <f>MORTGAGE!N204</f>
        <v>1.025603448275862</v>
      </c>
      <c r="AH213" s="2720"/>
      <c r="AI213" s="2720"/>
      <c r="AJ213" s="2720"/>
      <c r="AK213" s="2723"/>
      <c r="AL213" s="2719">
        <f>MORTGAGE!O204</f>
        <v>0</v>
      </c>
      <c r="AM213" s="2720"/>
      <c r="AN213" s="2720"/>
      <c r="AO213" s="2720"/>
      <c r="AP213" s="2720"/>
      <c r="AQ213" s="1239">
        <f t="shared" si="2"/>
        <v>1</v>
      </c>
    </row>
    <row r="214" spans="1:43" x14ac:dyDescent="0.25">
      <c r="A214" s="2"/>
      <c r="B214" s="2797" t="str">
        <f>IFERROR(ROUNDUP(E214/12,0),"")</f>
        <v/>
      </c>
      <c r="C214" s="2798"/>
      <c r="D214" s="2799"/>
      <c r="E214" s="2785" t="str">
        <f>IF(MORTGAGE!B205=0,"",MORTGAGE!B205)</f>
        <v/>
      </c>
      <c r="F214" s="2786"/>
      <c r="G214" s="2787"/>
      <c r="H214" s="2773">
        <f>MORTGAGE!H205</f>
        <v>0</v>
      </c>
      <c r="I214" s="2774"/>
      <c r="J214" s="2774"/>
      <c r="K214" s="2774"/>
      <c r="L214" s="2775"/>
      <c r="M214" s="2758">
        <f>MORTGAGE!J205</f>
        <v>0</v>
      </c>
      <c r="N214" s="2759"/>
      <c r="O214" s="2759"/>
      <c r="P214" s="2759"/>
      <c r="Q214" s="2760"/>
      <c r="R214" s="2746">
        <f>MORTGAGE!I205</f>
        <v>0</v>
      </c>
      <c r="S214" s="2747"/>
      <c r="T214" s="2747"/>
      <c r="U214" s="2747"/>
      <c r="V214" s="2748"/>
      <c r="W214" s="2736">
        <f>MORTGAGE!K205</f>
        <v>0</v>
      </c>
      <c r="X214" s="2737"/>
      <c r="Y214" s="2737"/>
      <c r="Z214" s="2737"/>
      <c r="AA214" s="2738"/>
      <c r="AB214" s="2730">
        <f>MORTGAGE!L205</f>
        <v>118970</v>
      </c>
      <c r="AC214" s="2731"/>
      <c r="AD214" s="2731"/>
      <c r="AE214" s="2731"/>
      <c r="AF214" s="2732"/>
      <c r="AG214" s="2724">
        <f>MORTGAGE!N205</f>
        <v>1.025603448275862</v>
      </c>
      <c r="AH214" s="2725"/>
      <c r="AI214" s="2725"/>
      <c r="AJ214" s="2725"/>
      <c r="AK214" s="2726"/>
      <c r="AL214" s="2721">
        <f>MORTGAGE!O205</f>
        <v>0</v>
      </c>
      <c r="AM214" s="2722"/>
      <c r="AN214" s="2722"/>
      <c r="AO214" s="2722"/>
      <c r="AP214" s="2722"/>
      <c r="AQ214" s="1239">
        <f t="shared" si="2"/>
        <v>1</v>
      </c>
    </row>
    <row r="215" spans="1:43" x14ac:dyDescent="0.25">
      <c r="A215" s="2"/>
      <c r="B215" s="2791"/>
      <c r="C215" s="2792"/>
      <c r="D215" s="2793"/>
      <c r="E215" s="2776" t="str">
        <f>IF(MORTGAGE!B206=0,"",MORTGAGE!B206)</f>
        <v/>
      </c>
      <c r="F215" s="2777"/>
      <c r="G215" s="2778"/>
      <c r="H215" s="2761">
        <f>MORTGAGE!H206</f>
        <v>0</v>
      </c>
      <c r="I215" s="2762"/>
      <c r="J215" s="2762"/>
      <c r="K215" s="2762"/>
      <c r="L215" s="2763"/>
      <c r="M215" s="2749">
        <f>MORTGAGE!J206</f>
        <v>0</v>
      </c>
      <c r="N215" s="2750"/>
      <c r="O215" s="2750"/>
      <c r="P215" s="2750"/>
      <c r="Q215" s="2751"/>
      <c r="R215" s="2739">
        <f>MORTGAGE!I206</f>
        <v>0</v>
      </c>
      <c r="S215" s="2740"/>
      <c r="T215" s="2740"/>
      <c r="U215" s="2740"/>
      <c r="V215" s="2741"/>
      <c r="W215" s="2733">
        <f>MORTGAGE!K206</f>
        <v>0</v>
      </c>
      <c r="X215" s="2734"/>
      <c r="Y215" s="2734"/>
      <c r="Z215" s="2734"/>
      <c r="AA215" s="2735"/>
      <c r="AB215" s="2727">
        <f>MORTGAGE!L206</f>
        <v>118970</v>
      </c>
      <c r="AC215" s="2728"/>
      <c r="AD215" s="2728"/>
      <c r="AE215" s="2728"/>
      <c r="AF215" s="2729"/>
      <c r="AG215" s="2719">
        <f>MORTGAGE!N206</f>
        <v>1.025603448275862</v>
      </c>
      <c r="AH215" s="2720"/>
      <c r="AI215" s="2720"/>
      <c r="AJ215" s="2720"/>
      <c r="AK215" s="2723"/>
      <c r="AL215" s="2719">
        <f>MORTGAGE!O206</f>
        <v>0</v>
      </c>
      <c r="AM215" s="2720"/>
      <c r="AN215" s="2720"/>
      <c r="AO215" s="2720"/>
      <c r="AP215" s="2720"/>
      <c r="AQ215" s="1239">
        <f t="shared" si="2"/>
        <v>1</v>
      </c>
    </row>
    <row r="216" spans="1:43" x14ac:dyDescent="0.25">
      <c r="A216" s="2"/>
      <c r="B216" s="2791"/>
      <c r="C216" s="2792"/>
      <c r="D216" s="2793"/>
      <c r="E216" s="2776" t="str">
        <f>IF(MORTGAGE!B207=0,"",MORTGAGE!B207)</f>
        <v/>
      </c>
      <c r="F216" s="2777"/>
      <c r="G216" s="2778"/>
      <c r="H216" s="2761">
        <f>MORTGAGE!H207</f>
        <v>0</v>
      </c>
      <c r="I216" s="2762"/>
      <c r="J216" s="2762"/>
      <c r="K216" s="2762"/>
      <c r="L216" s="2763"/>
      <c r="M216" s="2749">
        <f>MORTGAGE!J207</f>
        <v>0</v>
      </c>
      <c r="N216" s="2750"/>
      <c r="O216" s="2750"/>
      <c r="P216" s="2750"/>
      <c r="Q216" s="2751"/>
      <c r="R216" s="2739">
        <f>MORTGAGE!I207</f>
        <v>0</v>
      </c>
      <c r="S216" s="2740"/>
      <c r="T216" s="2740"/>
      <c r="U216" s="2740"/>
      <c r="V216" s="2741"/>
      <c r="W216" s="2733">
        <f>MORTGAGE!K207</f>
        <v>0</v>
      </c>
      <c r="X216" s="2734"/>
      <c r="Y216" s="2734"/>
      <c r="Z216" s="2734"/>
      <c r="AA216" s="2735"/>
      <c r="AB216" s="2727">
        <f>MORTGAGE!L207</f>
        <v>118970</v>
      </c>
      <c r="AC216" s="2728"/>
      <c r="AD216" s="2728"/>
      <c r="AE216" s="2728"/>
      <c r="AF216" s="2729"/>
      <c r="AG216" s="2719">
        <f>MORTGAGE!N207</f>
        <v>1.025603448275862</v>
      </c>
      <c r="AH216" s="2720"/>
      <c r="AI216" s="2720"/>
      <c r="AJ216" s="2720"/>
      <c r="AK216" s="2723"/>
      <c r="AL216" s="2719">
        <f>MORTGAGE!O207</f>
        <v>0</v>
      </c>
      <c r="AM216" s="2720"/>
      <c r="AN216" s="2720"/>
      <c r="AO216" s="2720"/>
      <c r="AP216" s="2720"/>
      <c r="AQ216" s="1239">
        <f t="shared" si="2"/>
        <v>1</v>
      </c>
    </row>
    <row r="217" spans="1:43" x14ac:dyDescent="0.25">
      <c r="A217" s="2"/>
      <c r="B217" s="2791"/>
      <c r="C217" s="2792"/>
      <c r="D217" s="2793"/>
      <c r="E217" s="2776" t="str">
        <f>IF(MORTGAGE!B208=0,"",MORTGAGE!B208)</f>
        <v/>
      </c>
      <c r="F217" s="2777"/>
      <c r="G217" s="2778"/>
      <c r="H217" s="2761">
        <f>MORTGAGE!H208</f>
        <v>0</v>
      </c>
      <c r="I217" s="2762"/>
      <c r="J217" s="2762"/>
      <c r="K217" s="2762"/>
      <c r="L217" s="2763"/>
      <c r="M217" s="2749">
        <f>MORTGAGE!J208</f>
        <v>0</v>
      </c>
      <c r="N217" s="2750"/>
      <c r="O217" s="2750"/>
      <c r="P217" s="2750"/>
      <c r="Q217" s="2751"/>
      <c r="R217" s="2739">
        <f>MORTGAGE!I208</f>
        <v>0</v>
      </c>
      <c r="S217" s="2740"/>
      <c r="T217" s="2740"/>
      <c r="U217" s="2740"/>
      <c r="V217" s="2741"/>
      <c r="W217" s="2733">
        <f>MORTGAGE!K208</f>
        <v>0</v>
      </c>
      <c r="X217" s="2734"/>
      <c r="Y217" s="2734"/>
      <c r="Z217" s="2734"/>
      <c r="AA217" s="2735"/>
      <c r="AB217" s="2727">
        <f>MORTGAGE!L208</f>
        <v>118970</v>
      </c>
      <c r="AC217" s="2728"/>
      <c r="AD217" s="2728"/>
      <c r="AE217" s="2728"/>
      <c r="AF217" s="2729"/>
      <c r="AG217" s="2719">
        <f>MORTGAGE!N208</f>
        <v>1.025603448275862</v>
      </c>
      <c r="AH217" s="2720"/>
      <c r="AI217" s="2720"/>
      <c r="AJ217" s="2720"/>
      <c r="AK217" s="2723"/>
      <c r="AL217" s="2719">
        <f>MORTGAGE!O208</f>
        <v>0</v>
      </c>
      <c r="AM217" s="2720"/>
      <c r="AN217" s="2720"/>
      <c r="AO217" s="2720"/>
      <c r="AP217" s="2720"/>
      <c r="AQ217" s="1239">
        <f t="shared" si="2"/>
        <v>1</v>
      </c>
    </row>
    <row r="218" spans="1:43" x14ac:dyDescent="0.25">
      <c r="A218" s="2"/>
      <c r="B218" s="2791"/>
      <c r="C218" s="2792"/>
      <c r="D218" s="2793"/>
      <c r="E218" s="2776" t="str">
        <f>IF(MORTGAGE!B209=0,"",MORTGAGE!B209)</f>
        <v/>
      </c>
      <c r="F218" s="2777"/>
      <c r="G218" s="2778"/>
      <c r="H218" s="2761">
        <f>MORTGAGE!H209</f>
        <v>0</v>
      </c>
      <c r="I218" s="2762"/>
      <c r="J218" s="2762"/>
      <c r="K218" s="2762"/>
      <c r="L218" s="2763"/>
      <c r="M218" s="2749">
        <f>MORTGAGE!J209</f>
        <v>0</v>
      </c>
      <c r="N218" s="2750"/>
      <c r="O218" s="2750"/>
      <c r="P218" s="2750"/>
      <c r="Q218" s="2751"/>
      <c r="R218" s="2739">
        <f>MORTGAGE!I209</f>
        <v>0</v>
      </c>
      <c r="S218" s="2740"/>
      <c r="T218" s="2740"/>
      <c r="U218" s="2740"/>
      <c r="V218" s="2741"/>
      <c r="W218" s="2733">
        <f>MORTGAGE!K209</f>
        <v>0</v>
      </c>
      <c r="X218" s="2734"/>
      <c r="Y218" s="2734"/>
      <c r="Z218" s="2734"/>
      <c r="AA218" s="2735"/>
      <c r="AB218" s="2727">
        <f>MORTGAGE!L209</f>
        <v>118970</v>
      </c>
      <c r="AC218" s="2728"/>
      <c r="AD218" s="2728"/>
      <c r="AE218" s="2728"/>
      <c r="AF218" s="2729"/>
      <c r="AG218" s="2719">
        <f>MORTGAGE!N209</f>
        <v>1.025603448275862</v>
      </c>
      <c r="AH218" s="2720"/>
      <c r="AI218" s="2720"/>
      <c r="AJ218" s="2720"/>
      <c r="AK218" s="2723"/>
      <c r="AL218" s="2719">
        <f>MORTGAGE!O209</f>
        <v>0</v>
      </c>
      <c r="AM218" s="2720"/>
      <c r="AN218" s="2720"/>
      <c r="AO218" s="2720"/>
      <c r="AP218" s="2720"/>
      <c r="AQ218" s="1239">
        <f t="shared" si="2"/>
        <v>1</v>
      </c>
    </row>
    <row r="219" spans="1:43" x14ac:dyDescent="0.25">
      <c r="A219" s="2"/>
      <c r="B219" s="2791"/>
      <c r="C219" s="2792"/>
      <c r="D219" s="2793"/>
      <c r="E219" s="2776" t="str">
        <f>IF(MORTGAGE!B210=0,"",MORTGAGE!B210)</f>
        <v/>
      </c>
      <c r="F219" s="2777"/>
      <c r="G219" s="2778"/>
      <c r="H219" s="2761">
        <f>MORTGAGE!H210</f>
        <v>0</v>
      </c>
      <c r="I219" s="2762"/>
      <c r="J219" s="2762"/>
      <c r="K219" s="2762"/>
      <c r="L219" s="2763"/>
      <c r="M219" s="2749">
        <f>MORTGAGE!J210</f>
        <v>0</v>
      </c>
      <c r="N219" s="2750"/>
      <c r="O219" s="2750"/>
      <c r="P219" s="2750"/>
      <c r="Q219" s="2751"/>
      <c r="R219" s="2739">
        <f>MORTGAGE!I210</f>
        <v>0</v>
      </c>
      <c r="S219" s="2740"/>
      <c r="T219" s="2740"/>
      <c r="U219" s="2740"/>
      <c r="V219" s="2741"/>
      <c r="W219" s="2733">
        <f>MORTGAGE!K210</f>
        <v>0</v>
      </c>
      <c r="X219" s="2734"/>
      <c r="Y219" s="2734"/>
      <c r="Z219" s="2734"/>
      <c r="AA219" s="2735"/>
      <c r="AB219" s="2727">
        <f>MORTGAGE!L210</f>
        <v>118970</v>
      </c>
      <c r="AC219" s="2728"/>
      <c r="AD219" s="2728"/>
      <c r="AE219" s="2728"/>
      <c r="AF219" s="2729"/>
      <c r="AG219" s="2719">
        <f>MORTGAGE!N210</f>
        <v>1.025603448275862</v>
      </c>
      <c r="AH219" s="2720"/>
      <c r="AI219" s="2720"/>
      <c r="AJ219" s="2720"/>
      <c r="AK219" s="2723"/>
      <c r="AL219" s="2719">
        <f>MORTGAGE!O210</f>
        <v>0</v>
      </c>
      <c r="AM219" s="2720"/>
      <c r="AN219" s="2720"/>
      <c r="AO219" s="2720"/>
      <c r="AP219" s="2720"/>
      <c r="AQ219" s="1239">
        <f t="shared" si="2"/>
        <v>1</v>
      </c>
    </row>
    <row r="220" spans="1:43" x14ac:dyDescent="0.25">
      <c r="A220" s="2"/>
      <c r="B220" s="2791"/>
      <c r="C220" s="2792"/>
      <c r="D220" s="2793"/>
      <c r="E220" s="2776" t="str">
        <f>IF(MORTGAGE!B211=0,"",MORTGAGE!B211)</f>
        <v/>
      </c>
      <c r="F220" s="2777"/>
      <c r="G220" s="2778"/>
      <c r="H220" s="2761">
        <f>MORTGAGE!H211</f>
        <v>0</v>
      </c>
      <c r="I220" s="2762"/>
      <c r="J220" s="2762"/>
      <c r="K220" s="2762"/>
      <c r="L220" s="2763"/>
      <c r="M220" s="2749">
        <f>MORTGAGE!J211</f>
        <v>0</v>
      </c>
      <c r="N220" s="2750"/>
      <c r="O220" s="2750"/>
      <c r="P220" s="2750"/>
      <c r="Q220" s="2751"/>
      <c r="R220" s="2739">
        <f>MORTGAGE!I211</f>
        <v>0</v>
      </c>
      <c r="S220" s="2740"/>
      <c r="T220" s="2740"/>
      <c r="U220" s="2740"/>
      <c r="V220" s="2741"/>
      <c r="W220" s="2733">
        <f>MORTGAGE!K211</f>
        <v>0</v>
      </c>
      <c r="X220" s="2734"/>
      <c r="Y220" s="2734"/>
      <c r="Z220" s="2734"/>
      <c r="AA220" s="2735"/>
      <c r="AB220" s="2727">
        <f>MORTGAGE!L211</f>
        <v>118970</v>
      </c>
      <c r="AC220" s="2728"/>
      <c r="AD220" s="2728"/>
      <c r="AE220" s="2728"/>
      <c r="AF220" s="2729"/>
      <c r="AG220" s="2719">
        <f>MORTGAGE!N211</f>
        <v>1.025603448275862</v>
      </c>
      <c r="AH220" s="2720"/>
      <c r="AI220" s="2720"/>
      <c r="AJ220" s="2720"/>
      <c r="AK220" s="2723"/>
      <c r="AL220" s="2719">
        <f>MORTGAGE!O211</f>
        <v>0</v>
      </c>
      <c r="AM220" s="2720"/>
      <c r="AN220" s="2720"/>
      <c r="AO220" s="2720"/>
      <c r="AP220" s="2720"/>
      <c r="AQ220" s="1239">
        <f t="shared" si="2"/>
        <v>1</v>
      </c>
    </row>
    <row r="221" spans="1:43" x14ac:dyDescent="0.25">
      <c r="A221" s="2"/>
      <c r="B221" s="2791"/>
      <c r="C221" s="2792"/>
      <c r="D221" s="2793"/>
      <c r="E221" s="2776" t="str">
        <f>IF(MORTGAGE!B212=0,"",MORTGAGE!B212)</f>
        <v/>
      </c>
      <c r="F221" s="2777"/>
      <c r="G221" s="2778"/>
      <c r="H221" s="2761">
        <f>MORTGAGE!H212</f>
        <v>0</v>
      </c>
      <c r="I221" s="2762"/>
      <c r="J221" s="2762"/>
      <c r="K221" s="2762"/>
      <c r="L221" s="2763"/>
      <c r="M221" s="2749">
        <f>MORTGAGE!J212</f>
        <v>0</v>
      </c>
      <c r="N221" s="2750"/>
      <c r="O221" s="2750"/>
      <c r="P221" s="2750"/>
      <c r="Q221" s="2751"/>
      <c r="R221" s="2739">
        <f>MORTGAGE!I212</f>
        <v>0</v>
      </c>
      <c r="S221" s="2740"/>
      <c r="T221" s="2740"/>
      <c r="U221" s="2740"/>
      <c r="V221" s="2741"/>
      <c r="W221" s="2733">
        <f>MORTGAGE!K212</f>
        <v>0</v>
      </c>
      <c r="X221" s="2734"/>
      <c r="Y221" s="2734"/>
      <c r="Z221" s="2734"/>
      <c r="AA221" s="2735"/>
      <c r="AB221" s="2727">
        <f>MORTGAGE!L212</f>
        <v>118970</v>
      </c>
      <c r="AC221" s="2728"/>
      <c r="AD221" s="2728"/>
      <c r="AE221" s="2728"/>
      <c r="AF221" s="2729"/>
      <c r="AG221" s="2719">
        <f>MORTGAGE!N212</f>
        <v>1.025603448275862</v>
      </c>
      <c r="AH221" s="2720"/>
      <c r="AI221" s="2720"/>
      <c r="AJ221" s="2720"/>
      <c r="AK221" s="2723"/>
      <c r="AL221" s="2719">
        <f>MORTGAGE!O212</f>
        <v>0</v>
      </c>
      <c r="AM221" s="2720"/>
      <c r="AN221" s="2720"/>
      <c r="AO221" s="2720"/>
      <c r="AP221" s="2720"/>
      <c r="AQ221" s="1239">
        <f t="shared" si="2"/>
        <v>1</v>
      </c>
    </row>
    <row r="222" spans="1:43" x14ac:dyDescent="0.25">
      <c r="A222" s="2"/>
      <c r="B222" s="2791"/>
      <c r="C222" s="2792"/>
      <c r="D222" s="2793"/>
      <c r="E222" s="2776" t="str">
        <f>IF(MORTGAGE!B213=0,"",MORTGAGE!B213)</f>
        <v/>
      </c>
      <c r="F222" s="2777"/>
      <c r="G222" s="2778"/>
      <c r="H222" s="2761">
        <f>MORTGAGE!H213</f>
        <v>0</v>
      </c>
      <c r="I222" s="2762"/>
      <c r="J222" s="2762"/>
      <c r="K222" s="2762"/>
      <c r="L222" s="2763"/>
      <c r="M222" s="2749">
        <f>MORTGAGE!J213</f>
        <v>0</v>
      </c>
      <c r="N222" s="2750"/>
      <c r="O222" s="2750"/>
      <c r="P222" s="2750"/>
      <c r="Q222" s="2751"/>
      <c r="R222" s="2739">
        <f>MORTGAGE!I213</f>
        <v>0</v>
      </c>
      <c r="S222" s="2740"/>
      <c r="T222" s="2740"/>
      <c r="U222" s="2740"/>
      <c r="V222" s="2741"/>
      <c r="W222" s="2733">
        <f>MORTGAGE!K213</f>
        <v>0</v>
      </c>
      <c r="X222" s="2734"/>
      <c r="Y222" s="2734"/>
      <c r="Z222" s="2734"/>
      <c r="AA222" s="2735"/>
      <c r="AB222" s="2727">
        <f>MORTGAGE!L213</f>
        <v>118970</v>
      </c>
      <c r="AC222" s="2728"/>
      <c r="AD222" s="2728"/>
      <c r="AE222" s="2728"/>
      <c r="AF222" s="2729"/>
      <c r="AG222" s="2719">
        <f>MORTGAGE!N213</f>
        <v>1.025603448275862</v>
      </c>
      <c r="AH222" s="2720"/>
      <c r="AI222" s="2720"/>
      <c r="AJ222" s="2720"/>
      <c r="AK222" s="2723"/>
      <c r="AL222" s="2719">
        <f>MORTGAGE!O213</f>
        <v>0</v>
      </c>
      <c r="AM222" s="2720"/>
      <c r="AN222" s="2720"/>
      <c r="AO222" s="2720"/>
      <c r="AP222" s="2720"/>
      <c r="AQ222" s="1239">
        <f t="shared" si="2"/>
        <v>1</v>
      </c>
    </row>
    <row r="223" spans="1:43" x14ac:dyDescent="0.25">
      <c r="A223" s="2"/>
      <c r="B223" s="2791"/>
      <c r="C223" s="2792"/>
      <c r="D223" s="2793"/>
      <c r="E223" s="2776" t="str">
        <f>IF(MORTGAGE!B214=0,"",MORTGAGE!B214)</f>
        <v/>
      </c>
      <c r="F223" s="2777"/>
      <c r="G223" s="2778"/>
      <c r="H223" s="2761">
        <f>MORTGAGE!H214</f>
        <v>0</v>
      </c>
      <c r="I223" s="2762"/>
      <c r="J223" s="2762"/>
      <c r="K223" s="2762"/>
      <c r="L223" s="2763"/>
      <c r="M223" s="2749">
        <f>MORTGAGE!J214</f>
        <v>0</v>
      </c>
      <c r="N223" s="2750"/>
      <c r="O223" s="2750"/>
      <c r="P223" s="2750"/>
      <c r="Q223" s="2751"/>
      <c r="R223" s="2739">
        <f>MORTGAGE!I214</f>
        <v>0</v>
      </c>
      <c r="S223" s="2740"/>
      <c r="T223" s="2740"/>
      <c r="U223" s="2740"/>
      <c r="V223" s="2741"/>
      <c r="W223" s="2733">
        <f>MORTGAGE!K214</f>
        <v>0</v>
      </c>
      <c r="X223" s="2734"/>
      <c r="Y223" s="2734"/>
      <c r="Z223" s="2734"/>
      <c r="AA223" s="2735"/>
      <c r="AB223" s="2727">
        <f>MORTGAGE!L214</f>
        <v>118970</v>
      </c>
      <c r="AC223" s="2728"/>
      <c r="AD223" s="2728"/>
      <c r="AE223" s="2728"/>
      <c r="AF223" s="2729"/>
      <c r="AG223" s="2719">
        <f>MORTGAGE!N214</f>
        <v>1.025603448275862</v>
      </c>
      <c r="AH223" s="2720"/>
      <c r="AI223" s="2720"/>
      <c r="AJ223" s="2720"/>
      <c r="AK223" s="2723"/>
      <c r="AL223" s="2719">
        <f>MORTGAGE!O214</f>
        <v>0</v>
      </c>
      <c r="AM223" s="2720"/>
      <c r="AN223" s="2720"/>
      <c r="AO223" s="2720"/>
      <c r="AP223" s="2720"/>
      <c r="AQ223" s="1239">
        <f t="shared" si="2"/>
        <v>1</v>
      </c>
    </row>
    <row r="224" spans="1:43" x14ac:dyDescent="0.25">
      <c r="A224" s="2"/>
      <c r="B224" s="2791"/>
      <c r="C224" s="2792"/>
      <c r="D224" s="2793"/>
      <c r="E224" s="2776" t="str">
        <f>IF(MORTGAGE!B215=0,"",MORTGAGE!B215)</f>
        <v/>
      </c>
      <c r="F224" s="2777"/>
      <c r="G224" s="2778"/>
      <c r="H224" s="2761">
        <f>MORTGAGE!H215</f>
        <v>0</v>
      </c>
      <c r="I224" s="2762"/>
      <c r="J224" s="2762"/>
      <c r="K224" s="2762"/>
      <c r="L224" s="2763"/>
      <c r="M224" s="2749">
        <f>MORTGAGE!J215</f>
        <v>0</v>
      </c>
      <c r="N224" s="2750"/>
      <c r="O224" s="2750"/>
      <c r="P224" s="2750"/>
      <c r="Q224" s="2751"/>
      <c r="R224" s="2739">
        <f>MORTGAGE!I215</f>
        <v>0</v>
      </c>
      <c r="S224" s="2740"/>
      <c r="T224" s="2740"/>
      <c r="U224" s="2740"/>
      <c r="V224" s="2741"/>
      <c r="W224" s="2733">
        <f>MORTGAGE!K215</f>
        <v>0</v>
      </c>
      <c r="X224" s="2734"/>
      <c r="Y224" s="2734"/>
      <c r="Z224" s="2734"/>
      <c r="AA224" s="2735"/>
      <c r="AB224" s="2727">
        <f>MORTGAGE!L215</f>
        <v>118970</v>
      </c>
      <c r="AC224" s="2728"/>
      <c r="AD224" s="2728"/>
      <c r="AE224" s="2728"/>
      <c r="AF224" s="2729"/>
      <c r="AG224" s="2719">
        <f>MORTGAGE!N215</f>
        <v>1.025603448275862</v>
      </c>
      <c r="AH224" s="2720"/>
      <c r="AI224" s="2720"/>
      <c r="AJ224" s="2720"/>
      <c r="AK224" s="2723"/>
      <c r="AL224" s="2719">
        <f>MORTGAGE!O215</f>
        <v>0</v>
      </c>
      <c r="AM224" s="2720"/>
      <c r="AN224" s="2720"/>
      <c r="AO224" s="2720"/>
      <c r="AP224" s="2720"/>
      <c r="AQ224" s="1239">
        <f t="shared" si="2"/>
        <v>1</v>
      </c>
    </row>
    <row r="225" spans="1:43" ht="14.4" thickBot="1" x14ac:dyDescent="0.3">
      <c r="A225" s="2"/>
      <c r="B225" s="2794"/>
      <c r="C225" s="2795"/>
      <c r="D225" s="2796"/>
      <c r="E225" s="2776" t="str">
        <f>IF(MORTGAGE!B216=0,"",MORTGAGE!B216)</f>
        <v/>
      </c>
      <c r="F225" s="2777"/>
      <c r="G225" s="2778"/>
      <c r="H225" s="2761">
        <f>MORTGAGE!H216</f>
        <v>0</v>
      </c>
      <c r="I225" s="2762"/>
      <c r="J225" s="2762"/>
      <c r="K225" s="2762"/>
      <c r="L225" s="2763"/>
      <c r="M225" s="2749">
        <f>MORTGAGE!J216</f>
        <v>0</v>
      </c>
      <c r="N225" s="2750"/>
      <c r="O225" s="2750"/>
      <c r="P225" s="2750"/>
      <c r="Q225" s="2751"/>
      <c r="R225" s="2739">
        <f>MORTGAGE!I216</f>
        <v>0</v>
      </c>
      <c r="S225" s="2740"/>
      <c r="T225" s="2740"/>
      <c r="U225" s="2740"/>
      <c r="V225" s="2741"/>
      <c r="W225" s="2733">
        <f>MORTGAGE!K216</f>
        <v>0</v>
      </c>
      <c r="X225" s="2734"/>
      <c r="Y225" s="2734"/>
      <c r="Z225" s="2734"/>
      <c r="AA225" s="2735"/>
      <c r="AB225" s="2727">
        <f>MORTGAGE!L216</f>
        <v>118970</v>
      </c>
      <c r="AC225" s="2728"/>
      <c r="AD225" s="2728"/>
      <c r="AE225" s="2728"/>
      <c r="AF225" s="2729"/>
      <c r="AG225" s="2719">
        <f>MORTGAGE!N216</f>
        <v>1.025603448275862</v>
      </c>
      <c r="AH225" s="2720"/>
      <c r="AI225" s="2720"/>
      <c r="AJ225" s="2720"/>
      <c r="AK225" s="2723"/>
      <c r="AL225" s="2719">
        <f>MORTGAGE!O216</f>
        <v>0</v>
      </c>
      <c r="AM225" s="2720"/>
      <c r="AN225" s="2720"/>
      <c r="AO225" s="2720"/>
      <c r="AP225" s="2720"/>
      <c r="AQ225" s="1239">
        <f t="shared" si="2"/>
        <v>1</v>
      </c>
    </row>
    <row r="226" spans="1:43" x14ac:dyDescent="0.25">
      <c r="A226" s="2"/>
      <c r="B226" s="2797" t="str">
        <f>IFERROR(ROUNDUP(E226/12,0),"")</f>
        <v/>
      </c>
      <c r="C226" s="2798"/>
      <c r="D226" s="2799"/>
      <c r="E226" s="2785" t="str">
        <f>IF(MORTGAGE!B217=0,"",MORTGAGE!B217)</f>
        <v/>
      </c>
      <c r="F226" s="2786"/>
      <c r="G226" s="2787"/>
      <c r="H226" s="2773">
        <f>MORTGAGE!H217</f>
        <v>0</v>
      </c>
      <c r="I226" s="2774"/>
      <c r="J226" s="2774"/>
      <c r="K226" s="2774"/>
      <c r="L226" s="2775"/>
      <c r="M226" s="2758">
        <f>MORTGAGE!J217</f>
        <v>0</v>
      </c>
      <c r="N226" s="2759"/>
      <c r="O226" s="2759"/>
      <c r="P226" s="2759"/>
      <c r="Q226" s="2760"/>
      <c r="R226" s="2746">
        <f>MORTGAGE!I217</f>
        <v>0</v>
      </c>
      <c r="S226" s="2747"/>
      <c r="T226" s="2747"/>
      <c r="U226" s="2747"/>
      <c r="V226" s="2748"/>
      <c r="W226" s="2736">
        <f>MORTGAGE!K217</f>
        <v>0</v>
      </c>
      <c r="X226" s="2737"/>
      <c r="Y226" s="2737"/>
      <c r="Z226" s="2737"/>
      <c r="AA226" s="2738"/>
      <c r="AB226" s="2730">
        <f>MORTGAGE!L217</f>
        <v>118970</v>
      </c>
      <c r="AC226" s="2731"/>
      <c r="AD226" s="2731"/>
      <c r="AE226" s="2731"/>
      <c r="AF226" s="2732"/>
      <c r="AG226" s="2724">
        <f>MORTGAGE!N217</f>
        <v>1.025603448275862</v>
      </c>
      <c r="AH226" s="2725"/>
      <c r="AI226" s="2725"/>
      <c r="AJ226" s="2725"/>
      <c r="AK226" s="2726"/>
      <c r="AL226" s="2721">
        <f>MORTGAGE!O217</f>
        <v>0</v>
      </c>
      <c r="AM226" s="2722"/>
      <c r="AN226" s="2722"/>
      <c r="AO226" s="2722"/>
      <c r="AP226" s="2722"/>
      <c r="AQ226" s="1239">
        <f t="shared" si="2"/>
        <v>1</v>
      </c>
    </row>
    <row r="227" spans="1:43" x14ac:dyDescent="0.25">
      <c r="A227" s="2"/>
      <c r="B227" s="2791"/>
      <c r="C227" s="2792"/>
      <c r="D227" s="2793"/>
      <c r="E227" s="2776" t="str">
        <f>IF(MORTGAGE!B218=0,"",MORTGAGE!B218)</f>
        <v/>
      </c>
      <c r="F227" s="2777"/>
      <c r="G227" s="2778"/>
      <c r="H227" s="2761">
        <f>MORTGAGE!H218</f>
        <v>0</v>
      </c>
      <c r="I227" s="2762"/>
      <c r="J227" s="2762"/>
      <c r="K227" s="2762"/>
      <c r="L227" s="2763"/>
      <c r="M227" s="2749">
        <f>MORTGAGE!J218</f>
        <v>0</v>
      </c>
      <c r="N227" s="2750"/>
      <c r="O227" s="2750"/>
      <c r="P227" s="2750"/>
      <c r="Q227" s="2751"/>
      <c r="R227" s="2739">
        <f>MORTGAGE!I218</f>
        <v>0</v>
      </c>
      <c r="S227" s="2740"/>
      <c r="T227" s="2740"/>
      <c r="U227" s="2740"/>
      <c r="V227" s="2741"/>
      <c r="W227" s="2733">
        <f>MORTGAGE!K218</f>
        <v>0</v>
      </c>
      <c r="X227" s="2734"/>
      <c r="Y227" s="2734"/>
      <c r="Z227" s="2734"/>
      <c r="AA227" s="2735"/>
      <c r="AB227" s="2727">
        <f>MORTGAGE!L218</f>
        <v>118970</v>
      </c>
      <c r="AC227" s="2728"/>
      <c r="AD227" s="2728"/>
      <c r="AE227" s="2728"/>
      <c r="AF227" s="2729"/>
      <c r="AG227" s="2719">
        <f>MORTGAGE!N218</f>
        <v>1.025603448275862</v>
      </c>
      <c r="AH227" s="2720"/>
      <c r="AI227" s="2720"/>
      <c r="AJ227" s="2720"/>
      <c r="AK227" s="2723"/>
      <c r="AL227" s="2719">
        <f>MORTGAGE!O218</f>
        <v>0</v>
      </c>
      <c r="AM227" s="2720"/>
      <c r="AN227" s="2720"/>
      <c r="AO227" s="2720"/>
      <c r="AP227" s="2720"/>
      <c r="AQ227" s="1239">
        <f t="shared" si="2"/>
        <v>1</v>
      </c>
    </row>
    <row r="228" spans="1:43" x14ac:dyDescent="0.25">
      <c r="A228" s="2"/>
      <c r="B228" s="2791"/>
      <c r="C228" s="2792"/>
      <c r="D228" s="2793"/>
      <c r="E228" s="2776" t="str">
        <f>IF(MORTGAGE!B219=0,"",MORTGAGE!B219)</f>
        <v/>
      </c>
      <c r="F228" s="2777"/>
      <c r="G228" s="2778"/>
      <c r="H228" s="2761">
        <f>MORTGAGE!H219</f>
        <v>0</v>
      </c>
      <c r="I228" s="2762"/>
      <c r="J228" s="2762"/>
      <c r="K228" s="2762"/>
      <c r="L228" s="2763"/>
      <c r="M228" s="2749">
        <f>MORTGAGE!J219</f>
        <v>0</v>
      </c>
      <c r="N228" s="2750"/>
      <c r="O228" s="2750"/>
      <c r="P228" s="2750"/>
      <c r="Q228" s="2751"/>
      <c r="R228" s="2739">
        <f>MORTGAGE!I219</f>
        <v>0</v>
      </c>
      <c r="S228" s="2740"/>
      <c r="T228" s="2740"/>
      <c r="U228" s="2740"/>
      <c r="V228" s="2741"/>
      <c r="W228" s="2733">
        <f>MORTGAGE!K219</f>
        <v>0</v>
      </c>
      <c r="X228" s="2734"/>
      <c r="Y228" s="2734"/>
      <c r="Z228" s="2734"/>
      <c r="AA228" s="2735"/>
      <c r="AB228" s="2727">
        <f>MORTGAGE!L219</f>
        <v>118970</v>
      </c>
      <c r="AC228" s="2728"/>
      <c r="AD228" s="2728"/>
      <c r="AE228" s="2728"/>
      <c r="AF228" s="2729"/>
      <c r="AG228" s="2719">
        <f>MORTGAGE!N219</f>
        <v>1.025603448275862</v>
      </c>
      <c r="AH228" s="2720"/>
      <c r="AI228" s="2720"/>
      <c r="AJ228" s="2720"/>
      <c r="AK228" s="2723"/>
      <c r="AL228" s="2719">
        <f>MORTGAGE!O219</f>
        <v>0</v>
      </c>
      <c r="AM228" s="2720"/>
      <c r="AN228" s="2720"/>
      <c r="AO228" s="2720"/>
      <c r="AP228" s="2720"/>
      <c r="AQ228" s="1239">
        <f t="shared" si="2"/>
        <v>1</v>
      </c>
    </row>
    <row r="229" spans="1:43" x14ac:dyDescent="0.25">
      <c r="A229" s="2"/>
      <c r="B229" s="2791"/>
      <c r="C229" s="2792"/>
      <c r="D229" s="2793"/>
      <c r="E229" s="2776" t="str">
        <f>IF(MORTGAGE!B220=0,"",MORTGAGE!B220)</f>
        <v/>
      </c>
      <c r="F229" s="2777"/>
      <c r="G229" s="2778"/>
      <c r="H229" s="2761">
        <f>MORTGAGE!H220</f>
        <v>0</v>
      </c>
      <c r="I229" s="2762"/>
      <c r="J229" s="2762"/>
      <c r="K229" s="2762"/>
      <c r="L229" s="2763"/>
      <c r="M229" s="2749">
        <f>MORTGAGE!J220</f>
        <v>0</v>
      </c>
      <c r="N229" s="2750"/>
      <c r="O229" s="2750"/>
      <c r="P229" s="2750"/>
      <c r="Q229" s="2751"/>
      <c r="R229" s="2739">
        <f>MORTGAGE!I220</f>
        <v>0</v>
      </c>
      <c r="S229" s="2740"/>
      <c r="T229" s="2740"/>
      <c r="U229" s="2740"/>
      <c r="V229" s="2741"/>
      <c r="W229" s="2733">
        <f>MORTGAGE!K220</f>
        <v>0</v>
      </c>
      <c r="X229" s="2734"/>
      <c r="Y229" s="2734"/>
      <c r="Z229" s="2734"/>
      <c r="AA229" s="2735"/>
      <c r="AB229" s="2727">
        <f>MORTGAGE!L220</f>
        <v>118970</v>
      </c>
      <c r="AC229" s="2728"/>
      <c r="AD229" s="2728"/>
      <c r="AE229" s="2728"/>
      <c r="AF229" s="2729"/>
      <c r="AG229" s="2719">
        <f>MORTGAGE!N220</f>
        <v>1.025603448275862</v>
      </c>
      <c r="AH229" s="2720"/>
      <c r="AI229" s="2720"/>
      <c r="AJ229" s="2720"/>
      <c r="AK229" s="2723"/>
      <c r="AL229" s="2719">
        <f>MORTGAGE!O220</f>
        <v>0</v>
      </c>
      <c r="AM229" s="2720"/>
      <c r="AN229" s="2720"/>
      <c r="AO229" s="2720"/>
      <c r="AP229" s="2720"/>
      <c r="AQ229" s="1239">
        <f t="shared" si="2"/>
        <v>1</v>
      </c>
    </row>
    <row r="230" spans="1:43" x14ac:dyDescent="0.25">
      <c r="A230" s="2"/>
      <c r="B230" s="2791"/>
      <c r="C230" s="2792"/>
      <c r="D230" s="2793"/>
      <c r="E230" s="2776" t="str">
        <f>IF(MORTGAGE!B221=0,"",MORTGAGE!B221)</f>
        <v/>
      </c>
      <c r="F230" s="2777"/>
      <c r="G230" s="2778"/>
      <c r="H230" s="2761">
        <f>MORTGAGE!H221</f>
        <v>0</v>
      </c>
      <c r="I230" s="2762"/>
      <c r="J230" s="2762"/>
      <c r="K230" s="2762"/>
      <c r="L230" s="2763"/>
      <c r="M230" s="2749">
        <f>MORTGAGE!J221</f>
        <v>0</v>
      </c>
      <c r="N230" s="2750"/>
      <c r="O230" s="2750"/>
      <c r="P230" s="2750"/>
      <c r="Q230" s="2751"/>
      <c r="R230" s="2739">
        <f>MORTGAGE!I221</f>
        <v>0</v>
      </c>
      <c r="S230" s="2740"/>
      <c r="T230" s="2740"/>
      <c r="U230" s="2740"/>
      <c r="V230" s="2741"/>
      <c r="W230" s="2733">
        <f>MORTGAGE!K221</f>
        <v>0</v>
      </c>
      <c r="X230" s="2734"/>
      <c r="Y230" s="2734"/>
      <c r="Z230" s="2734"/>
      <c r="AA230" s="2735"/>
      <c r="AB230" s="2727">
        <f>MORTGAGE!L221</f>
        <v>118970</v>
      </c>
      <c r="AC230" s="2728"/>
      <c r="AD230" s="2728"/>
      <c r="AE230" s="2728"/>
      <c r="AF230" s="2729"/>
      <c r="AG230" s="2719">
        <f>MORTGAGE!N221</f>
        <v>1.025603448275862</v>
      </c>
      <c r="AH230" s="2720"/>
      <c r="AI230" s="2720"/>
      <c r="AJ230" s="2720"/>
      <c r="AK230" s="2723"/>
      <c r="AL230" s="2719">
        <f>MORTGAGE!O221</f>
        <v>0</v>
      </c>
      <c r="AM230" s="2720"/>
      <c r="AN230" s="2720"/>
      <c r="AO230" s="2720"/>
      <c r="AP230" s="2720"/>
      <c r="AQ230" s="1239">
        <f t="shared" si="2"/>
        <v>1</v>
      </c>
    </row>
    <row r="231" spans="1:43" x14ac:dyDescent="0.25">
      <c r="A231" s="2"/>
      <c r="B231" s="2791"/>
      <c r="C231" s="2792"/>
      <c r="D231" s="2793"/>
      <c r="E231" s="2776" t="str">
        <f>IF(MORTGAGE!B222=0,"",MORTGAGE!B222)</f>
        <v/>
      </c>
      <c r="F231" s="2777"/>
      <c r="G231" s="2778"/>
      <c r="H231" s="2761">
        <f>MORTGAGE!H222</f>
        <v>0</v>
      </c>
      <c r="I231" s="2762"/>
      <c r="J231" s="2762"/>
      <c r="K231" s="2762"/>
      <c r="L231" s="2763"/>
      <c r="M231" s="2749">
        <f>MORTGAGE!J222</f>
        <v>0</v>
      </c>
      <c r="N231" s="2750"/>
      <c r="O231" s="2750"/>
      <c r="P231" s="2750"/>
      <c r="Q231" s="2751"/>
      <c r="R231" s="2739">
        <f>MORTGAGE!I222</f>
        <v>0</v>
      </c>
      <c r="S231" s="2740"/>
      <c r="T231" s="2740"/>
      <c r="U231" s="2740"/>
      <c r="V231" s="2741"/>
      <c r="W231" s="2733">
        <f>MORTGAGE!K222</f>
        <v>0</v>
      </c>
      <c r="X231" s="2734"/>
      <c r="Y231" s="2734"/>
      <c r="Z231" s="2734"/>
      <c r="AA231" s="2735"/>
      <c r="AB231" s="2727">
        <f>MORTGAGE!L222</f>
        <v>118970</v>
      </c>
      <c r="AC231" s="2728"/>
      <c r="AD231" s="2728"/>
      <c r="AE231" s="2728"/>
      <c r="AF231" s="2729"/>
      <c r="AG231" s="2719">
        <f>MORTGAGE!N222</f>
        <v>1.025603448275862</v>
      </c>
      <c r="AH231" s="2720"/>
      <c r="AI231" s="2720"/>
      <c r="AJ231" s="2720"/>
      <c r="AK231" s="2723"/>
      <c r="AL231" s="2719">
        <f>MORTGAGE!O222</f>
        <v>0</v>
      </c>
      <c r="AM231" s="2720"/>
      <c r="AN231" s="2720"/>
      <c r="AO231" s="2720"/>
      <c r="AP231" s="2720"/>
      <c r="AQ231" s="1239">
        <f t="shared" si="2"/>
        <v>1</v>
      </c>
    </row>
    <row r="232" spans="1:43" x14ac:dyDescent="0.25">
      <c r="A232" s="2"/>
      <c r="B232" s="2791"/>
      <c r="C232" s="2792"/>
      <c r="D232" s="2793"/>
      <c r="E232" s="2776" t="str">
        <f>IF(MORTGAGE!B223=0,"",MORTGAGE!B223)</f>
        <v/>
      </c>
      <c r="F232" s="2777"/>
      <c r="G232" s="2778"/>
      <c r="H232" s="2761">
        <f>MORTGAGE!H223</f>
        <v>0</v>
      </c>
      <c r="I232" s="2762"/>
      <c r="J232" s="2762"/>
      <c r="K232" s="2762"/>
      <c r="L232" s="2763"/>
      <c r="M232" s="2749">
        <f>MORTGAGE!J223</f>
        <v>0</v>
      </c>
      <c r="N232" s="2750"/>
      <c r="O232" s="2750"/>
      <c r="P232" s="2750"/>
      <c r="Q232" s="2751"/>
      <c r="R232" s="2739">
        <f>MORTGAGE!I223</f>
        <v>0</v>
      </c>
      <c r="S232" s="2740"/>
      <c r="T232" s="2740"/>
      <c r="U232" s="2740"/>
      <c r="V232" s="2741"/>
      <c r="W232" s="2733">
        <f>MORTGAGE!K223</f>
        <v>0</v>
      </c>
      <c r="X232" s="2734"/>
      <c r="Y232" s="2734"/>
      <c r="Z232" s="2734"/>
      <c r="AA232" s="2735"/>
      <c r="AB232" s="2727">
        <f>MORTGAGE!L223</f>
        <v>118970</v>
      </c>
      <c r="AC232" s="2728"/>
      <c r="AD232" s="2728"/>
      <c r="AE232" s="2728"/>
      <c r="AF232" s="2729"/>
      <c r="AG232" s="2719">
        <f>MORTGAGE!N223</f>
        <v>1.025603448275862</v>
      </c>
      <c r="AH232" s="2720"/>
      <c r="AI232" s="2720"/>
      <c r="AJ232" s="2720"/>
      <c r="AK232" s="2723"/>
      <c r="AL232" s="2719">
        <f>MORTGAGE!O223</f>
        <v>0</v>
      </c>
      <c r="AM232" s="2720"/>
      <c r="AN232" s="2720"/>
      <c r="AO232" s="2720"/>
      <c r="AP232" s="2720"/>
      <c r="AQ232" s="1239">
        <f t="shared" si="2"/>
        <v>1</v>
      </c>
    </row>
    <row r="233" spans="1:43" x14ac:dyDescent="0.25">
      <c r="A233" s="2"/>
      <c r="B233" s="2791"/>
      <c r="C233" s="2792"/>
      <c r="D233" s="2793"/>
      <c r="E233" s="2776" t="str">
        <f>IF(MORTGAGE!B224=0,"",MORTGAGE!B224)</f>
        <v/>
      </c>
      <c r="F233" s="2777"/>
      <c r="G233" s="2778"/>
      <c r="H233" s="2761">
        <f>MORTGAGE!H224</f>
        <v>0</v>
      </c>
      <c r="I233" s="2762"/>
      <c r="J233" s="2762"/>
      <c r="K233" s="2762"/>
      <c r="L233" s="2763"/>
      <c r="M233" s="2749">
        <f>MORTGAGE!J224</f>
        <v>0</v>
      </c>
      <c r="N233" s="2750"/>
      <c r="O233" s="2750"/>
      <c r="P233" s="2750"/>
      <c r="Q233" s="2751"/>
      <c r="R233" s="2739">
        <f>MORTGAGE!I224</f>
        <v>0</v>
      </c>
      <c r="S233" s="2740"/>
      <c r="T233" s="2740"/>
      <c r="U233" s="2740"/>
      <c r="V233" s="2741"/>
      <c r="W233" s="2733">
        <f>MORTGAGE!K224</f>
        <v>0</v>
      </c>
      <c r="X233" s="2734"/>
      <c r="Y233" s="2734"/>
      <c r="Z233" s="2734"/>
      <c r="AA233" s="2735"/>
      <c r="AB233" s="2727">
        <f>MORTGAGE!L224</f>
        <v>118970</v>
      </c>
      <c r="AC233" s="2728"/>
      <c r="AD233" s="2728"/>
      <c r="AE233" s="2728"/>
      <c r="AF233" s="2729"/>
      <c r="AG233" s="2719">
        <f>MORTGAGE!N224</f>
        <v>1.025603448275862</v>
      </c>
      <c r="AH233" s="2720"/>
      <c r="AI233" s="2720"/>
      <c r="AJ233" s="2720"/>
      <c r="AK233" s="2723"/>
      <c r="AL233" s="2719">
        <f>MORTGAGE!O224</f>
        <v>0</v>
      </c>
      <c r="AM233" s="2720"/>
      <c r="AN233" s="2720"/>
      <c r="AO233" s="2720"/>
      <c r="AP233" s="2720"/>
      <c r="AQ233" s="1239">
        <f t="shared" si="2"/>
        <v>1</v>
      </c>
    </row>
    <row r="234" spans="1:43" x14ac:dyDescent="0.25">
      <c r="A234" s="2"/>
      <c r="B234" s="2791"/>
      <c r="C234" s="2792"/>
      <c r="D234" s="2793"/>
      <c r="E234" s="2776" t="str">
        <f>IF(MORTGAGE!B225=0,"",MORTGAGE!B225)</f>
        <v/>
      </c>
      <c r="F234" s="2777"/>
      <c r="G234" s="2778"/>
      <c r="H234" s="2761">
        <f>MORTGAGE!H225</f>
        <v>0</v>
      </c>
      <c r="I234" s="2762"/>
      <c r="J234" s="2762"/>
      <c r="K234" s="2762"/>
      <c r="L234" s="2763"/>
      <c r="M234" s="2749">
        <f>MORTGAGE!J225</f>
        <v>0</v>
      </c>
      <c r="N234" s="2750"/>
      <c r="O234" s="2750"/>
      <c r="P234" s="2750"/>
      <c r="Q234" s="2751"/>
      <c r="R234" s="2739">
        <f>MORTGAGE!I225</f>
        <v>0</v>
      </c>
      <c r="S234" s="2740"/>
      <c r="T234" s="2740"/>
      <c r="U234" s="2740"/>
      <c r="V234" s="2741"/>
      <c r="W234" s="2733">
        <f>MORTGAGE!K225</f>
        <v>0</v>
      </c>
      <c r="X234" s="2734"/>
      <c r="Y234" s="2734"/>
      <c r="Z234" s="2734"/>
      <c r="AA234" s="2735"/>
      <c r="AB234" s="2727">
        <f>MORTGAGE!L225</f>
        <v>118970</v>
      </c>
      <c r="AC234" s="2728"/>
      <c r="AD234" s="2728"/>
      <c r="AE234" s="2728"/>
      <c r="AF234" s="2729"/>
      <c r="AG234" s="2719">
        <f>MORTGAGE!N225</f>
        <v>1.025603448275862</v>
      </c>
      <c r="AH234" s="2720"/>
      <c r="AI234" s="2720"/>
      <c r="AJ234" s="2720"/>
      <c r="AK234" s="2723"/>
      <c r="AL234" s="2719">
        <f>MORTGAGE!O225</f>
        <v>0</v>
      </c>
      <c r="AM234" s="2720"/>
      <c r="AN234" s="2720"/>
      <c r="AO234" s="2720"/>
      <c r="AP234" s="2720"/>
      <c r="AQ234" s="1239">
        <f t="shared" si="2"/>
        <v>1</v>
      </c>
    </row>
    <row r="235" spans="1:43" x14ac:dyDescent="0.25">
      <c r="A235" s="2"/>
      <c r="B235" s="2791"/>
      <c r="C235" s="2792"/>
      <c r="D235" s="2793"/>
      <c r="E235" s="2776" t="str">
        <f>IF(MORTGAGE!B226=0,"",MORTGAGE!B226)</f>
        <v/>
      </c>
      <c r="F235" s="2777"/>
      <c r="G235" s="2778"/>
      <c r="H235" s="2761">
        <f>MORTGAGE!H226</f>
        <v>0</v>
      </c>
      <c r="I235" s="2762"/>
      <c r="J235" s="2762"/>
      <c r="K235" s="2762"/>
      <c r="L235" s="2763"/>
      <c r="M235" s="2749">
        <f>MORTGAGE!J226</f>
        <v>0</v>
      </c>
      <c r="N235" s="2750"/>
      <c r="O235" s="2750"/>
      <c r="P235" s="2750"/>
      <c r="Q235" s="2751"/>
      <c r="R235" s="2739">
        <f>MORTGAGE!I226</f>
        <v>0</v>
      </c>
      <c r="S235" s="2740"/>
      <c r="T235" s="2740"/>
      <c r="U235" s="2740"/>
      <c r="V235" s="2741"/>
      <c r="W235" s="2733">
        <f>MORTGAGE!K226</f>
        <v>0</v>
      </c>
      <c r="X235" s="2734"/>
      <c r="Y235" s="2734"/>
      <c r="Z235" s="2734"/>
      <c r="AA235" s="2735"/>
      <c r="AB235" s="2727">
        <f>MORTGAGE!L226</f>
        <v>118970</v>
      </c>
      <c r="AC235" s="2728"/>
      <c r="AD235" s="2728"/>
      <c r="AE235" s="2728"/>
      <c r="AF235" s="2729"/>
      <c r="AG235" s="2719">
        <f>MORTGAGE!N226</f>
        <v>1.025603448275862</v>
      </c>
      <c r="AH235" s="2720"/>
      <c r="AI235" s="2720"/>
      <c r="AJ235" s="2720"/>
      <c r="AK235" s="2723"/>
      <c r="AL235" s="2719">
        <f>MORTGAGE!O226</f>
        <v>0</v>
      </c>
      <c r="AM235" s="2720"/>
      <c r="AN235" s="2720"/>
      <c r="AO235" s="2720"/>
      <c r="AP235" s="2720"/>
      <c r="AQ235" s="1239">
        <f t="shared" si="2"/>
        <v>1</v>
      </c>
    </row>
    <row r="236" spans="1:43" x14ac:dyDescent="0.25">
      <c r="A236" s="2"/>
      <c r="B236" s="2791"/>
      <c r="C236" s="2792"/>
      <c r="D236" s="2793"/>
      <c r="E236" s="2776" t="str">
        <f>IF(MORTGAGE!B227=0,"",MORTGAGE!B227)</f>
        <v/>
      </c>
      <c r="F236" s="2777"/>
      <c r="G236" s="2778"/>
      <c r="H236" s="2761">
        <f>MORTGAGE!H227</f>
        <v>0</v>
      </c>
      <c r="I236" s="2762"/>
      <c r="J236" s="2762"/>
      <c r="K236" s="2762"/>
      <c r="L236" s="2763"/>
      <c r="M236" s="2749">
        <f>MORTGAGE!J227</f>
        <v>0</v>
      </c>
      <c r="N236" s="2750"/>
      <c r="O236" s="2750"/>
      <c r="P236" s="2750"/>
      <c r="Q236" s="2751"/>
      <c r="R236" s="2739">
        <f>MORTGAGE!I227</f>
        <v>0</v>
      </c>
      <c r="S236" s="2740"/>
      <c r="T236" s="2740"/>
      <c r="U236" s="2740"/>
      <c r="V236" s="2741"/>
      <c r="W236" s="2733">
        <f>MORTGAGE!K227</f>
        <v>0</v>
      </c>
      <c r="X236" s="2734"/>
      <c r="Y236" s="2734"/>
      <c r="Z236" s="2734"/>
      <c r="AA236" s="2735"/>
      <c r="AB236" s="2727">
        <f>MORTGAGE!L227</f>
        <v>118970</v>
      </c>
      <c r="AC236" s="2728"/>
      <c r="AD236" s="2728"/>
      <c r="AE236" s="2728"/>
      <c r="AF236" s="2729"/>
      <c r="AG236" s="2719">
        <f>MORTGAGE!N227</f>
        <v>1.025603448275862</v>
      </c>
      <c r="AH236" s="2720"/>
      <c r="AI236" s="2720"/>
      <c r="AJ236" s="2720"/>
      <c r="AK236" s="2723"/>
      <c r="AL236" s="2719">
        <f>MORTGAGE!O227</f>
        <v>0</v>
      </c>
      <c r="AM236" s="2720"/>
      <c r="AN236" s="2720"/>
      <c r="AO236" s="2720"/>
      <c r="AP236" s="2720"/>
      <c r="AQ236" s="1239">
        <f t="shared" si="2"/>
        <v>1</v>
      </c>
    </row>
    <row r="237" spans="1:43" ht="14.4" thickBot="1" x14ac:dyDescent="0.3">
      <c r="A237" s="2"/>
      <c r="B237" s="2794"/>
      <c r="C237" s="2795"/>
      <c r="D237" s="2796"/>
      <c r="E237" s="2776" t="str">
        <f>IF(MORTGAGE!B228=0,"",MORTGAGE!B228)</f>
        <v/>
      </c>
      <c r="F237" s="2777"/>
      <c r="G237" s="2778"/>
      <c r="H237" s="2761">
        <f>MORTGAGE!H228</f>
        <v>0</v>
      </c>
      <c r="I237" s="2762"/>
      <c r="J237" s="2762"/>
      <c r="K237" s="2762"/>
      <c r="L237" s="2763"/>
      <c r="M237" s="2749">
        <f>MORTGAGE!J228</f>
        <v>0</v>
      </c>
      <c r="N237" s="2750"/>
      <c r="O237" s="2750"/>
      <c r="P237" s="2750"/>
      <c r="Q237" s="2751"/>
      <c r="R237" s="2739">
        <f>MORTGAGE!I228</f>
        <v>0</v>
      </c>
      <c r="S237" s="2740"/>
      <c r="T237" s="2740"/>
      <c r="U237" s="2740"/>
      <c r="V237" s="2741"/>
      <c r="W237" s="2733">
        <f>MORTGAGE!K228</f>
        <v>0</v>
      </c>
      <c r="X237" s="2734"/>
      <c r="Y237" s="2734"/>
      <c r="Z237" s="2734"/>
      <c r="AA237" s="2735"/>
      <c r="AB237" s="2727">
        <f>MORTGAGE!L228</f>
        <v>118970</v>
      </c>
      <c r="AC237" s="2728"/>
      <c r="AD237" s="2728"/>
      <c r="AE237" s="2728"/>
      <c r="AF237" s="2729"/>
      <c r="AG237" s="2719">
        <f>MORTGAGE!N228</f>
        <v>1.025603448275862</v>
      </c>
      <c r="AH237" s="2720"/>
      <c r="AI237" s="2720"/>
      <c r="AJ237" s="2720"/>
      <c r="AK237" s="2723"/>
      <c r="AL237" s="2719">
        <f>MORTGAGE!O228</f>
        <v>0</v>
      </c>
      <c r="AM237" s="2720"/>
      <c r="AN237" s="2720"/>
      <c r="AO237" s="2720"/>
      <c r="AP237" s="2720"/>
      <c r="AQ237" s="1239">
        <f t="shared" si="2"/>
        <v>1</v>
      </c>
    </row>
    <row r="238" spans="1:43" x14ac:dyDescent="0.25">
      <c r="A238" s="2"/>
      <c r="B238" s="2797" t="str">
        <f>IFERROR(ROUNDUP(E238/12,0),"")</f>
        <v/>
      </c>
      <c r="C238" s="2798"/>
      <c r="D238" s="2799"/>
      <c r="E238" s="2785" t="str">
        <f>IF(MORTGAGE!B229=0,"",MORTGAGE!B229)</f>
        <v/>
      </c>
      <c r="F238" s="2786"/>
      <c r="G238" s="2787"/>
      <c r="H238" s="2773">
        <f>MORTGAGE!H229</f>
        <v>0</v>
      </c>
      <c r="I238" s="2774"/>
      <c r="J238" s="2774"/>
      <c r="K238" s="2774"/>
      <c r="L238" s="2775"/>
      <c r="M238" s="2758">
        <f>MORTGAGE!J229</f>
        <v>0</v>
      </c>
      <c r="N238" s="2759"/>
      <c r="O238" s="2759"/>
      <c r="P238" s="2759"/>
      <c r="Q238" s="2760"/>
      <c r="R238" s="2746">
        <f>MORTGAGE!I229</f>
        <v>0</v>
      </c>
      <c r="S238" s="2747"/>
      <c r="T238" s="2747"/>
      <c r="U238" s="2747"/>
      <c r="V238" s="2748"/>
      <c r="W238" s="2736">
        <f>MORTGAGE!K229</f>
        <v>0</v>
      </c>
      <c r="X238" s="2737"/>
      <c r="Y238" s="2737"/>
      <c r="Z238" s="2737"/>
      <c r="AA238" s="2738"/>
      <c r="AB238" s="2730">
        <f>MORTGAGE!L229</f>
        <v>118970</v>
      </c>
      <c r="AC238" s="2731"/>
      <c r="AD238" s="2731"/>
      <c r="AE238" s="2731"/>
      <c r="AF238" s="2732"/>
      <c r="AG238" s="2724">
        <f>MORTGAGE!N229</f>
        <v>1.025603448275862</v>
      </c>
      <c r="AH238" s="2725"/>
      <c r="AI238" s="2725"/>
      <c r="AJ238" s="2725"/>
      <c r="AK238" s="2726"/>
      <c r="AL238" s="2721">
        <f>MORTGAGE!O229</f>
        <v>0</v>
      </c>
      <c r="AM238" s="2722"/>
      <c r="AN238" s="2722"/>
      <c r="AO238" s="2722"/>
      <c r="AP238" s="2722"/>
      <c r="AQ238" s="1239">
        <f t="shared" ref="AQ238:AQ301" si="3">IF(SUM(H238:AG238)=0,0,1)</f>
        <v>1</v>
      </c>
    </row>
    <row r="239" spans="1:43" x14ac:dyDescent="0.25">
      <c r="A239" s="2"/>
      <c r="B239" s="2791"/>
      <c r="C239" s="2792"/>
      <c r="D239" s="2793"/>
      <c r="E239" s="2776" t="str">
        <f>IF(MORTGAGE!B230=0,"",MORTGAGE!B230)</f>
        <v/>
      </c>
      <c r="F239" s="2777"/>
      <c r="G239" s="2778"/>
      <c r="H239" s="2761">
        <f>MORTGAGE!H230</f>
        <v>0</v>
      </c>
      <c r="I239" s="2762"/>
      <c r="J239" s="2762"/>
      <c r="K239" s="2762"/>
      <c r="L239" s="2763"/>
      <c r="M239" s="2749">
        <f>MORTGAGE!J230</f>
        <v>0</v>
      </c>
      <c r="N239" s="2750"/>
      <c r="O239" s="2750"/>
      <c r="P239" s="2750"/>
      <c r="Q239" s="2751"/>
      <c r="R239" s="2739">
        <f>MORTGAGE!I230</f>
        <v>0</v>
      </c>
      <c r="S239" s="2740"/>
      <c r="T239" s="2740"/>
      <c r="U239" s="2740"/>
      <c r="V239" s="2741"/>
      <c r="W239" s="2733">
        <f>MORTGAGE!K230</f>
        <v>0</v>
      </c>
      <c r="X239" s="2734"/>
      <c r="Y239" s="2734"/>
      <c r="Z239" s="2734"/>
      <c r="AA239" s="2735"/>
      <c r="AB239" s="2727">
        <f>MORTGAGE!L230</f>
        <v>118970</v>
      </c>
      <c r="AC239" s="2728"/>
      <c r="AD239" s="2728"/>
      <c r="AE239" s="2728"/>
      <c r="AF239" s="2729"/>
      <c r="AG239" s="2719">
        <f>MORTGAGE!N230</f>
        <v>1.025603448275862</v>
      </c>
      <c r="AH239" s="2720"/>
      <c r="AI239" s="2720"/>
      <c r="AJ239" s="2720"/>
      <c r="AK239" s="2723"/>
      <c r="AL239" s="2719">
        <f>MORTGAGE!O230</f>
        <v>0</v>
      </c>
      <c r="AM239" s="2720"/>
      <c r="AN239" s="2720"/>
      <c r="AO239" s="2720"/>
      <c r="AP239" s="2720"/>
      <c r="AQ239" s="1239">
        <f t="shared" si="3"/>
        <v>1</v>
      </c>
    </row>
    <row r="240" spans="1:43" x14ac:dyDescent="0.25">
      <c r="A240" s="2"/>
      <c r="B240" s="2791"/>
      <c r="C240" s="2792"/>
      <c r="D240" s="2793"/>
      <c r="E240" s="2776" t="str">
        <f>IF(MORTGAGE!B231=0,"",MORTGAGE!B231)</f>
        <v/>
      </c>
      <c r="F240" s="2777"/>
      <c r="G240" s="2778"/>
      <c r="H240" s="2761">
        <f>MORTGAGE!H231</f>
        <v>0</v>
      </c>
      <c r="I240" s="2762"/>
      <c r="J240" s="2762"/>
      <c r="K240" s="2762"/>
      <c r="L240" s="2763"/>
      <c r="M240" s="2749">
        <f>MORTGAGE!J231</f>
        <v>0</v>
      </c>
      <c r="N240" s="2750"/>
      <c r="O240" s="2750"/>
      <c r="P240" s="2750"/>
      <c r="Q240" s="2751"/>
      <c r="R240" s="2739">
        <f>MORTGAGE!I231</f>
        <v>0</v>
      </c>
      <c r="S240" s="2740"/>
      <c r="T240" s="2740"/>
      <c r="U240" s="2740"/>
      <c r="V240" s="2741"/>
      <c r="W240" s="2733">
        <f>MORTGAGE!K231</f>
        <v>0</v>
      </c>
      <c r="X240" s="2734"/>
      <c r="Y240" s="2734"/>
      <c r="Z240" s="2734"/>
      <c r="AA240" s="2735"/>
      <c r="AB240" s="2727">
        <f>MORTGAGE!L231</f>
        <v>118970</v>
      </c>
      <c r="AC240" s="2728"/>
      <c r="AD240" s="2728"/>
      <c r="AE240" s="2728"/>
      <c r="AF240" s="2729"/>
      <c r="AG240" s="2719">
        <f>MORTGAGE!N231</f>
        <v>1.025603448275862</v>
      </c>
      <c r="AH240" s="2720"/>
      <c r="AI240" s="2720"/>
      <c r="AJ240" s="2720"/>
      <c r="AK240" s="2723"/>
      <c r="AL240" s="2719">
        <f>MORTGAGE!O231</f>
        <v>0</v>
      </c>
      <c r="AM240" s="2720"/>
      <c r="AN240" s="2720"/>
      <c r="AO240" s="2720"/>
      <c r="AP240" s="2720"/>
      <c r="AQ240" s="1239">
        <f t="shared" si="3"/>
        <v>1</v>
      </c>
    </row>
    <row r="241" spans="1:43" x14ac:dyDescent="0.25">
      <c r="A241" s="2"/>
      <c r="B241" s="2791"/>
      <c r="C241" s="2792"/>
      <c r="D241" s="2793"/>
      <c r="E241" s="2776" t="str">
        <f>IF(MORTGAGE!B232=0,"",MORTGAGE!B232)</f>
        <v/>
      </c>
      <c r="F241" s="2777"/>
      <c r="G241" s="2778"/>
      <c r="H241" s="2761">
        <f>MORTGAGE!H232</f>
        <v>0</v>
      </c>
      <c r="I241" s="2762"/>
      <c r="J241" s="2762"/>
      <c r="K241" s="2762"/>
      <c r="L241" s="2763"/>
      <c r="M241" s="2749">
        <f>MORTGAGE!J232</f>
        <v>0</v>
      </c>
      <c r="N241" s="2750"/>
      <c r="O241" s="2750"/>
      <c r="P241" s="2750"/>
      <c r="Q241" s="2751"/>
      <c r="R241" s="2739">
        <f>MORTGAGE!I232</f>
        <v>0</v>
      </c>
      <c r="S241" s="2740"/>
      <c r="T241" s="2740"/>
      <c r="U241" s="2740"/>
      <c r="V241" s="2741"/>
      <c r="W241" s="2733">
        <f>MORTGAGE!K232</f>
        <v>0</v>
      </c>
      <c r="X241" s="2734"/>
      <c r="Y241" s="2734"/>
      <c r="Z241" s="2734"/>
      <c r="AA241" s="2735"/>
      <c r="AB241" s="2727">
        <f>MORTGAGE!L232</f>
        <v>118970</v>
      </c>
      <c r="AC241" s="2728"/>
      <c r="AD241" s="2728"/>
      <c r="AE241" s="2728"/>
      <c r="AF241" s="2729"/>
      <c r="AG241" s="2719">
        <f>MORTGAGE!N232</f>
        <v>1.025603448275862</v>
      </c>
      <c r="AH241" s="2720"/>
      <c r="AI241" s="2720"/>
      <c r="AJ241" s="2720"/>
      <c r="AK241" s="2723"/>
      <c r="AL241" s="2719">
        <f>MORTGAGE!O232</f>
        <v>0</v>
      </c>
      <c r="AM241" s="2720"/>
      <c r="AN241" s="2720"/>
      <c r="AO241" s="2720"/>
      <c r="AP241" s="2720"/>
      <c r="AQ241" s="1239">
        <f t="shared" si="3"/>
        <v>1</v>
      </c>
    </row>
    <row r="242" spans="1:43" x14ac:dyDescent="0.25">
      <c r="A242" s="2"/>
      <c r="B242" s="2791"/>
      <c r="C242" s="2792"/>
      <c r="D242" s="2793"/>
      <c r="E242" s="2776" t="str">
        <f>IF(MORTGAGE!B233=0,"",MORTGAGE!B233)</f>
        <v/>
      </c>
      <c r="F242" s="2777"/>
      <c r="G242" s="2778"/>
      <c r="H242" s="2761">
        <f>MORTGAGE!H233</f>
        <v>0</v>
      </c>
      <c r="I242" s="2762"/>
      <c r="J242" s="2762"/>
      <c r="K242" s="2762"/>
      <c r="L242" s="2763"/>
      <c r="M242" s="2749">
        <f>MORTGAGE!J233</f>
        <v>0</v>
      </c>
      <c r="N242" s="2750"/>
      <c r="O242" s="2750"/>
      <c r="P242" s="2750"/>
      <c r="Q242" s="2751"/>
      <c r="R242" s="2739">
        <f>MORTGAGE!I233</f>
        <v>0</v>
      </c>
      <c r="S242" s="2740"/>
      <c r="T242" s="2740"/>
      <c r="U242" s="2740"/>
      <c r="V242" s="2741"/>
      <c r="W242" s="2733">
        <f>MORTGAGE!K233</f>
        <v>0</v>
      </c>
      <c r="X242" s="2734"/>
      <c r="Y242" s="2734"/>
      <c r="Z242" s="2734"/>
      <c r="AA242" s="2735"/>
      <c r="AB242" s="2727">
        <f>MORTGAGE!L233</f>
        <v>118970</v>
      </c>
      <c r="AC242" s="2728"/>
      <c r="AD242" s="2728"/>
      <c r="AE242" s="2728"/>
      <c r="AF242" s="2729"/>
      <c r="AG242" s="2719">
        <f>MORTGAGE!N233</f>
        <v>1.025603448275862</v>
      </c>
      <c r="AH242" s="2720"/>
      <c r="AI242" s="2720"/>
      <c r="AJ242" s="2720"/>
      <c r="AK242" s="2723"/>
      <c r="AL242" s="2719">
        <f>MORTGAGE!O233</f>
        <v>0</v>
      </c>
      <c r="AM242" s="2720"/>
      <c r="AN242" s="2720"/>
      <c r="AO242" s="2720"/>
      <c r="AP242" s="2720"/>
      <c r="AQ242" s="1239">
        <f t="shared" si="3"/>
        <v>1</v>
      </c>
    </row>
    <row r="243" spans="1:43" x14ac:dyDescent="0.25">
      <c r="A243" s="2"/>
      <c r="B243" s="2791"/>
      <c r="C243" s="2792"/>
      <c r="D243" s="2793"/>
      <c r="E243" s="2776" t="str">
        <f>IF(MORTGAGE!B234=0,"",MORTGAGE!B234)</f>
        <v/>
      </c>
      <c r="F243" s="2777"/>
      <c r="G243" s="2778"/>
      <c r="H243" s="2761">
        <f>MORTGAGE!H234</f>
        <v>0</v>
      </c>
      <c r="I243" s="2762"/>
      <c r="J243" s="2762"/>
      <c r="K243" s="2762"/>
      <c r="L243" s="2763"/>
      <c r="M243" s="2749">
        <f>MORTGAGE!J234</f>
        <v>0</v>
      </c>
      <c r="N243" s="2750"/>
      <c r="O243" s="2750"/>
      <c r="P243" s="2750"/>
      <c r="Q243" s="2751"/>
      <c r="R243" s="2739">
        <f>MORTGAGE!I234</f>
        <v>0</v>
      </c>
      <c r="S243" s="2740"/>
      <c r="T243" s="2740"/>
      <c r="U243" s="2740"/>
      <c r="V243" s="2741"/>
      <c r="W243" s="2733">
        <f>MORTGAGE!K234</f>
        <v>0</v>
      </c>
      <c r="X243" s="2734"/>
      <c r="Y243" s="2734"/>
      <c r="Z243" s="2734"/>
      <c r="AA243" s="2735"/>
      <c r="AB243" s="2727">
        <f>MORTGAGE!L234</f>
        <v>118970</v>
      </c>
      <c r="AC243" s="2728"/>
      <c r="AD243" s="2728"/>
      <c r="AE243" s="2728"/>
      <c r="AF243" s="2729"/>
      <c r="AG243" s="2719">
        <f>MORTGAGE!N234</f>
        <v>1.025603448275862</v>
      </c>
      <c r="AH243" s="2720"/>
      <c r="AI243" s="2720"/>
      <c r="AJ243" s="2720"/>
      <c r="AK243" s="2723"/>
      <c r="AL243" s="2719">
        <f>MORTGAGE!O234</f>
        <v>0</v>
      </c>
      <c r="AM243" s="2720"/>
      <c r="AN243" s="2720"/>
      <c r="AO243" s="2720"/>
      <c r="AP243" s="2720"/>
      <c r="AQ243" s="1239">
        <f t="shared" si="3"/>
        <v>1</v>
      </c>
    </row>
    <row r="244" spans="1:43" x14ac:dyDescent="0.25">
      <c r="A244" s="2"/>
      <c r="B244" s="2791"/>
      <c r="C244" s="2792"/>
      <c r="D244" s="2793"/>
      <c r="E244" s="2776" t="str">
        <f>IF(MORTGAGE!B235=0,"",MORTGAGE!B235)</f>
        <v/>
      </c>
      <c r="F244" s="2777"/>
      <c r="G244" s="2778"/>
      <c r="H244" s="2761">
        <f>MORTGAGE!H235</f>
        <v>0</v>
      </c>
      <c r="I244" s="2762"/>
      <c r="J244" s="2762"/>
      <c r="K244" s="2762"/>
      <c r="L244" s="2763"/>
      <c r="M244" s="2749">
        <f>MORTGAGE!J235</f>
        <v>0</v>
      </c>
      <c r="N244" s="2750"/>
      <c r="O244" s="2750"/>
      <c r="P244" s="2750"/>
      <c r="Q244" s="2751"/>
      <c r="R244" s="2739">
        <f>MORTGAGE!I235</f>
        <v>0</v>
      </c>
      <c r="S244" s="2740"/>
      <c r="T244" s="2740"/>
      <c r="U244" s="2740"/>
      <c r="V244" s="2741"/>
      <c r="W244" s="2733">
        <f>MORTGAGE!K235</f>
        <v>0</v>
      </c>
      <c r="X244" s="2734"/>
      <c r="Y244" s="2734"/>
      <c r="Z244" s="2734"/>
      <c r="AA244" s="2735"/>
      <c r="AB244" s="2727">
        <f>MORTGAGE!L235</f>
        <v>118970</v>
      </c>
      <c r="AC244" s="2728"/>
      <c r="AD244" s="2728"/>
      <c r="AE244" s="2728"/>
      <c r="AF244" s="2729"/>
      <c r="AG244" s="2719">
        <f>MORTGAGE!N235</f>
        <v>1.025603448275862</v>
      </c>
      <c r="AH244" s="2720"/>
      <c r="AI244" s="2720"/>
      <c r="AJ244" s="2720"/>
      <c r="AK244" s="2723"/>
      <c r="AL244" s="2719">
        <f>MORTGAGE!O235</f>
        <v>0</v>
      </c>
      <c r="AM244" s="2720"/>
      <c r="AN244" s="2720"/>
      <c r="AO244" s="2720"/>
      <c r="AP244" s="2720"/>
      <c r="AQ244" s="1239">
        <f t="shared" si="3"/>
        <v>1</v>
      </c>
    </row>
    <row r="245" spans="1:43" x14ac:dyDescent="0.25">
      <c r="A245" s="2"/>
      <c r="B245" s="2791"/>
      <c r="C245" s="2792"/>
      <c r="D245" s="2793"/>
      <c r="E245" s="2776" t="str">
        <f>IF(MORTGAGE!B236=0,"",MORTGAGE!B236)</f>
        <v/>
      </c>
      <c r="F245" s="2777"/>
      <c r="G245" s="2778"/>
      <c r="H245" s="2761">
        <f>MORTGAGE!H236</f>
        <v>0</v>
      </c>
      <c r="I245" s="2762"/>
      <c r="J245" s="2762"/>
      <c r="K245" s="2762"/>
      <c r="L245" s="2763"/>
      <c r="M245" s="2749">
        <f>MORTGAGE!J236</f>
        <v>0</v>
      </c>
      <c r="N245" s="2750"/>
      <c r="O245" s="2750"/>
      <c r="P245" s="2750"/>
      <c r="Q245" s="2751"/>
      <c r="R245" s="2739">
        <f>MORTGAGE!I236</f>
        <v>0</v>
      </c>
      <c r="S245" s="2740"/>
      <c r="T245" s="2740"/>
      <c r="U245" s="2740"/>
      <c r="V245" s="2741"/>
      <c r="W245" s="2733">
        <f>MORTGAGE!K236</f>
        <v>0</v>
      </c>
      <c r="X245" s="2734"/>
      <c r="Y245" s="2734"/>
      <c r="Z245" s="2734"/>
      <c r="AA245" s="2735"/>
      <c r="AB245" s="2727">
        <f>MORTGAGE!L236</f>
        <v>118970</v>
      </c>
      <c r="AC245" s="2728"/>
      <c r="AD245" s="2728"/>
      <c r="AE245" s="2728"/>
      <c r="AF245" s="2729"/>
      <c r="AG245" s="2719">
        <f>MORTGAGE!N236</f>
        <v>1.025603448275862</v>
      </c>
      <c r="AH245" s="2720"/>
      <c r="AI245" s="2720"/>
      <c r="AJ245" s="2720"/>
      <c r="AK245" s="2723"/>
      <c r="AL245" s="2719">
        <f>MORTGAGE!O236</f>
        <v>0</v>
      </c>
      <c r="AM245" s="2720"/>
      <c r="AN245" s="2720"/>
      <c r="AO245" s="2720"/>
      <c r="AP245" s="2720"/>
      <c r="AQ245" s="1239">
        <f t="shared" si="3"/>
        <v>1</v>
      </c>
    </row>
    <row r="246" spans="1:43" x14ac:dyDescent="0.25">
      <c r="A246" s="2"/>
      <c r="B246" s="2791"/>
      <c r="C246" s="2792"/>
      <c r="D246" s="2793"/>
      <c r="E246" s="2776" t="str">
        <f>IF(MORTGAGE!B237=0,"",MORTGAGE!B237)</f>
        <v/>
      </c>
      <c r="F246" s="2777"/>
      <c r="G246" s="2778"/>
      <c r="H246" s="2761">
        <f>MORTGAGE!H237</f>
        <v>0</v>
      </c>
      <c r="I246" s="2762"/>
      <c r="J246" s="2762"/>
      <c r="K246" s="2762"/>
      <c r="L246" s="2763"/>
      <c r="M246" s="2749">
        <f>MORTGAGE!J237</f>
        <v>0</v>
      </c>
      <c r="N246" s="2750"/>
      <c r="O246" s="2750"/>
      <c r="P246" s="2750"/>
      <c r="Q246" s="2751"/>
      <c r="R246" s="2739">
        <f>MORTGAGE!I237</f>
        <v>0</v>
      </c>
      <c r="S246" s="2740"/>
      <c r="T246" s="2740"/>
      <c r="U246" s="2740"/>
      <c r="V246" s="2741"/>
      <c r="W246" s="2733">
        <f>MORTGAGE!K237</f>
        <v>0</v>
      </c>
      <c r="X246" s="2734"/>
      <c r="Y246" s="2734"/>
      <c r="Z246" s="2734"/>
      <c r="AA246" s="2735"/>
      <c r="AB246" s="2727">
        <f>MORTGAGE!L237</f>
        <v>118970</v>
      </c>
      <c r="AC246" s="2728"/>
      <c r="AD246" s="2728"/>
      <c r="AE246" s="2728"/>
      <c r="AF246" s="2729"/>
      <c r="AG246" s="2719">
        <f>MORTGAGE!N237</f>
        <v>1.025603448275862</v>
      </c>
      <c r="AH246" s="2720"/>
      <c r="AI246" s="2720"/>
      <c r="AJ246" s="2720"/>
      <c r="AK246" s="2723"/>
      <c r="AL246" s="2719">
        <f>MORTGAGE!O237</f>
        <v>0</v>
      </c>
      <c r="AM246" s="2720"/>
      <c r="AN246" s="2720"/>
      <c r="AO246" s="2720"/>
      <c r="AP246" s="2720"/>
      <c r="AQ246" s="1239">
        <f t="shared" si="3"/>
        <v>1</v>
      </c>
    </row>
    <row r="247" spans="1:43" x14ac:dyDescent="0.25">
      <c r="A247" s="2"/>
      <c r="B247" s="2791"/>
      <c r="C247" s="2792"/>
      <c r="D247" s="2793"/>
      <c r="E247" s="2776" t="str">
        <f>IF(MORTGAGE!B238=0,"",MORTGAGE!B238)</f>
        <v/>
      </c>
      <c r="F247" s="2777"/>
      <c r="G247" s="2778"/>
      <c r="H247" s="2761">
        <f>MORTGAGE!H238</f>
        <v>0</v>
      </c>
      <c r="I247" s="2762"/>
      <c r="J247" s="2762"/>
      <c r="K247" s="2762"/>
      <c r="L247" s="2763"/>
      <c r="M247" s="2749">
        <f>MORTGAGE!J238</f>
        <v>0</v>
      </c>
      <c r="N247" s="2750"/>
      <c r="O247" s="2750"/>
      <c r="P247" s="2750"/>
      <c r="Q247" s="2751"/>
      <c r="R247" s="2739">
        <f>MORTGAGE!I238</f>
        <v>0</v>
      </c>
      <c r="S247" s="2740"/>
      <c r="T247" s="2740"/>
      <c r="U247" s="2740"/>
      <c r="V247" s="2741"/>
      <c r="W247" s="2733">
        <f>MORTGAGE!K238</f>
        <v>0</v>
      </c>
      <c r="X247" s="2734"/>
      <c r="Y247" s="2734"/>
      <c r="Z247" s="2734"/>
      <c r="AA247" s="2735"/>
      <c r="AB247" s="2727">
        <f>MORTGAGE!L238</f>
        <v>118970</v>
      </c>
      <c r="AC247" s="2728"/>
      <c r="AD247" s="2728"/>
      <c r="AE247" s="2728"/>
      <c r="AF247" s="2729"/>
      <c r="AG247" s="2719">
        <f>MORTGAGE!N238</f>
        <v>1.025603448275862</v>
      </c>
      <c r="AH247" s="2720"/>
      <c r="AI247" s="2720"/>
      <c r="AJ247" s="2720"/>
      <c r="AK247" s="2723"/>
      <c r="AL247" s="2719">
        <f>MORTGAGE!O238</f>
        <v>0</v>
      </c>
      <c r="AM247" s="2720"/>
      <c r="AN247" s="2720"/>
      <c r="AO247" s="2720"/>
      <c r="AP247" s="2720"/>
      <c r="AQ247" s="1239">
        <f t="shared" si="3"/>
        <v>1</v>
      </c>
    </row>
    <row r="248" spans="1:43" x14ac:dyDescent="0.25">
      <c r="A248" s="2"/>
      <c r="B248" s="2791"/>
      <c r="C248" s="2792"/>
      <c r="D248" s="2793"/>
      <c r="E248" s="2776" t="str">
        <f>IF(MORTGAGE!B239=0,"",MORTGAGE!B239)</f>
        <v/>
      </c>
      <c r="F248" s="2777"/>
      <c r="G248" s="2778"/>
      <c r="H248" s="2761">
        <f>MORTGAGE!H239</f>
        <v>0</v>
      </c>
      <c r="I248" s="2762"/>
      <c r="J248" s="2762"/>
      <c r="K248" s="2762"/>
      <c r="L248" s="2763"/>
      <c r="M248" s="2749">
        <f>MORTGAGE!J239</f>
        <v>0</v>
      </c>
      <c r="N248" s="2750"/>
      <c r="O248" s="2750"/>
      <c r="P248" s="2750"/>
      <c r="Q248" s="2751"/>
      <c r="R248" s="2739">
        <f>MORTGAGE!I239</f>
        <v>0</v>
      </c>
      <c r="S248" s="2740"/>
      <c r="T248" s="2740"/>
      <c r="U248" s="2740"/>
      <c r="V248" s="2741"/>
      <c r="W248" s="2733">
        <f>MORTGAGE!K239</f>
        <v>0</v>
      </c>
      <c r="X248" s="2734"/>
      <c r="Y248" s="2734"/>
      <c r="Z248" s="2734"/>
      <c r="AA248" s="2735"/>
      <c r="AB248" s="2727">
        <f>MORTGAGE!L239</f>
        <v>118970</v>
      </c>
      <c r="AC248" s="2728"/>
      <c r="AD248" s="2728"/>
      <c r="AE248" s="2728"/>
      <c r="AF248" s="2729"/>
      <c r="AG248" s="2719">
        <f>MORTGAGE!N239</f>
        <v>1.025603448275862</v>
      </c>
      <c r="AH248" s="2720"/>
      <c r="AI248" s="2720"/>
      <c r="AJ248" s="2720"/>
      <c r="AK248" s="2723"/>
      <c r="AL248" s="2719">
        <f>MORTGAGE!O239</f>
        <v>0</v>
      </c>
      <c r="AM248" s="2720"/>
      <c r="AN248" s="2720"/>
      <c r="AO248" s="2720"/>
      <c r="AP248" s="2720"/>
      <c r="AQ248" s="1239">
        <f t="shared" si="3"/>
        <v>1</v>
      </c>
    </row>
    <row r="249" spans="1:43" ht="14.4" thickBot="1" x14ac:dyDescent="0.3">
      <c r="A249" s="2"/>
      <c r="B249" s="2794"/>
      <c r="C249" s="2795"/>
      <c r="D249" s="2796"/>
      <c r="E249" s="2776" t="str">
        <f>IF(MORTGAGE!B240=0,"",MORTGAGE!B240)</f>
        <v/>
      </c>
      <c r="F249" s="2777"/>
      <c r="G249" s="2778"/>
      <c r="H249" s="2761">
        <f>MORTGAGE!H240</f>
        <v>0</v>
      </c>
      <c r="I249" s="2762"/>
      <c r="J249" s="2762"/>
      <c r="K249" s="2762"/>
      <c r="L249" s="2763"/>
      <c r="M249" s="2749">
        <f>MORTGAGE!J240</f>
        <v>0</v>
      </c>
      <c r="N249" s="2750"/>
      <c r="O249" s="2750"/>
      <c r="P249" s="2750"/>
      <c r="Q249" s="2751"/>
      <c r="R249" s="2739">
        <f>MORTGAGE!I240</f>
        <v>0</v>
      </c>
      <c r="S249" s="2740"/>
      <c r="T249" s="2740"/>
      <c r="U249" s="2740"/>
      <c r="V249" s="2741"/>
      <c r="W249" s="2733">
        <f>MORTGAGE!K240</f>
        <v>0</v>
      </c>
      <c r="X249" s="2734"/>
      <c r="Y249" s="2734"/>
      <c r="Z249" s="2734"/>
      <c r="AA249" s="2735"/>
      <c r="AB249" s="2727">
        <f>MORTGAGE!L240</f>
        <v>118970</v>
      </c>
      <c r="AC249" s="2728"/>
      <c r="AD249" s="2728"/>
      <c r="AE249" s="2728"/>
      <c r="AF249" s="2729"/>
      <c r="AG249" s="2719">
        <f>MORTGAGE!N240</f>
        <v>1.025603448275862</v>
      </c>
      <c r="AH249" s="2720"/>
      <c r="AI249" s="2720"/>
      <c r="AJ249" s="2720"/>
      <c r="AK249" s="2723"/>
      <c r="AL249" s="2719">
        <f>MORTGAGE!O240</f>
        <v>0</v>
      </c>
      <c r="AM249" s="2720"/>
      <c r="AN249" s="2720"/>
      <c r="AO249" s="2720"/>
      <c r="AP249" s="2720"/>
      <c r="AQ249" s="1239">
        <f t="shared" si="3"/>
        <v>1</v>
      </c>
    </row>
    <row r="250" spans="1:43" x14ac:dyDescent="0.25">
      <c r="A250" s="2"/>
      <c r="B250" s="2797" t="str">
        <f>IFERROR(ROUNDUP(E250/12,0),"")</f>
        <v/>
      </c>
      <c r="C250" s="2798"/>
      <c r="D250" s="2799"/>
      <c r="E250" s="2785" t="str">
        <f>IF(MORTGAGE!B241=0,"",MORTGAGE!B241)</f>
        <v/>
      </c>
      <c r="F250" s="2786"/>
      <c r="G250" s="2787"/>
      <c r="H250" s="2773">
        <f>MORTGAGE!H241</f>
        <v>0</v>
      </c>
      <c r="I250" s="2774"/>
      <c r="J250" s="2774"/>
      <c r="K250" s="2774"/>
      <c r="L250" s="2775"/>
      <c r="M250" s="2758">
        <f>MORTGAGE!J241</f>
        <v>0</v>
      </c>
      <c r="N250" s="2759"/>
      <c r="O250" s="2759"/>
      <c r="P250" s="2759"/>
      <c r="Q250" s="2760"/>
      <c r="R250" s="2746">
        <f>MORTGAGE!I241</f>
        <v>0</v>
      </c>
      <c r="S250" s="2747"/>
      <c r="T250" s="2747"/>
      <c r="U250" s="2747"/>
      <c r="V250" s="2748"/>
      <c r="W250" s="2736">
        <f>MORTGAGE!K241</f>
        <v>0</v>
      </c>
      <c r="X250" s="2737"/>
      <c r="Y250" s="2737"/>
      <c r="Z250" s="2737"/>
      <c r="AA250" s="2738"/>
      <c r="AB250" s="2730">
        <f>MORTGAGE!L241</f>
        <v>118970</v>
      </c>
      <c r="AC250" s="2731"/>
      <c r="AD250" s="2731"/>
      <c r="AE250" s="2731"/>
      <c r="AF250" s="2732"/>
      <c r="AG250" s="2724">
        <f>MORTGAGE!N241</f>
        <v>1.025603448275862</v>
      </c>
      <c r="AH250" s="2725"/>
      <c r="AI250" s="2725"/>
      <c r="AJ250" s="2725"/>
      <c r="AK250" s="2726"/>
      <c r="AL250" s="2721">
        <f>MORTGAGE!O241</f>
        <v>0</v>
      </c>
      <c r="AM250" s="2722"/>
      <c r="AN250" s="2722"/>
      <c r="AO250" s="2722"/>
      <c r="AP250" s="2722"/>
      <c r="AQ250" s="1239">
        <f t="shared" si="3"/>
        <v>1</v>
      </c>
    </row>
    <row r="251" spans="1:43" x14ac:dyDescent="0.25">
      <c r="A251" s="2"/>
      <c r="B251" s="2791"/>
      <c r="C251" s="2792"/>
      <c r="D251" s="2793"/>
      <c r="E251" s="2776" t="str">
        <f>IF(MORTGAGE!B242=0,"",MORTGAGE!B242)</f>
        <v/>
      </c>
      <c r="F251" s="2777"/>
      <c r="G251" s="2778"/>
      <c r="H251" s="2761">
        <f>MORTGAGE!H242</f>
        <v>0</v>
      </c>
      <c r="I251" s="2762"/>
      <c r="J251" s="2762"/>
      <c r="K251" s="2762"/>
      <c r="L251" s="2763"/>
      <c r="M251" s="2749">
        <f>MORTGAGE!J242</f>
        <v>0</v>
      </c>
      <c r="N251" s="2750"/>
      <c r="O251" s="2750"/>
      <c r="P251" s="2750"/>
      <c r="Q251" s="2751"/>
      <c r="R251" s="2739">
        <f>MORTGAGE!I242</f>
        <v>0</v>
      </c>
      <c r="S251" s="2740"/>
      <c r="T251" s="2740"/>
      <c r="U251" s="2740"/>
      <c r="V251" s="2741"/>
      <c r="W251" s="2733">
        <f>MORTGAGE!K242</f>
        <v>0</v>
      </c>
      <c r="X251" s="2734"/>
      <c r="Y251" s="2734"/>
      <c r="Z251" s="2734"/>
      <c r="AA251" s="2735"/>
      <c r="AB251" s="2727">
        <f>MORTGAGE!L242</f>
        <v>118970</v>
      </c>
      <c r="AC251" s="2728"/>
      <c r="AD251" s="2728"/>
      <c r="AE251" s="2728"/>
      <c r="AF251" s="2729"/>
      <c r="AG251" s="2719">
        <f>MORTGAGE!N242</f>
        <v>1.025603448275862</v>
      </c>
      <c r="AH251" s="2720"/>
      <c r="AI251" s="2720"/>
      <c r="AJ251" s="2720"/>
      <c r="AK251" s="2723"/>
      <c r="AL251" s="2719">
        <f>MORTGAGE!O242</f>
        <v>0</v>
      </c>
      <c r="AM251" s="2720"/>
      <c r="AN251" s="2720"/>
      <c r="AO251" s="2720"/>
      <c r="AP251" s="2720"/>
      <c r="AQ251" s="1239">
        <f t="shared" si="3"/>
        <v>1</v>
      </c>
    </row>
    <row r="252" spans="1:43" x14ac:dyDescent="0.25">
      <c r="A252" s="2"/>
      <c r="B252" s="2791"/>
      <c r="C252" s="2792"/>
      <c r="D252" s="2793"/>
      <c r="E252" s="2776" t="str">
        <f>IF(MORTGAGE!B243=0,"",MORTGAGE!B243)</f>
        <v/>
      </c>
      <c r="F252" s="2777"/>
      <c r="G252" s="2778"/>
      <c r="H252" s="2761">
        <f>MORTGAGE!H243</f>
        <v>0</v>
      </c>
      <c r="I252" s="2762"/>
      <c r="J252" s="2762"/>
      <c r="K252" s="2762"/>
      <c r="L252" s="2763"/>
      <c r="M252" s="2749">
        <f>MORTGAGE!J243</f>
        <v>0</v>
      </c>
      <c r="N252" s="2750"/>
      <c r="O252" s="2750"/>
      <c r="P252" s="2750"/>
      <c r="Q252" s="2751"/>
      <c r="R252" s="2739">
        <f>MORTGAGE!I243</f>
        <v>0</v>
      </c>
      <c r="S252" s="2740"/>
      <c r="T252" s="2740"/>
      <c r="U252" s="2740"/>
      <c r="V252" s="2741"/>
      <c r="W252" s="2733">
        <f>MORTGAGE!K243</f>
        <v>0</v>
      </c>
      <c r="X252" s="2734"/>
      <c r="Y252" s="2734"/>
      <c r="Z252" s="2734"/>
      <c r="AA252" s="2735"/>
      <c r="AB252" s="2727">
        <f>MORTGAGE!L243</f>
        <v>118970</v>
      </c>
      <c r="AC252" s="2728"/>
      <c r="AD252" s="2728"/>
      <c r="AE252" s="2728"/>
      <c r="AF252" s="2729"/>
      <c r="AG252" s="2719">
        <f>MORTGAGE!N243</f>
        <v>1.025603448275862</v>
      </c>
      <c r="AH252" s="2720"/>
      <c r="AI252" s="2720"/>
      <c r="AJ252" s="2720"/>
      <c r="AK252" s="2723"/>
      <c r="AL252" s="2719">
        <f>MORTGAGE!O243</f>
        <v>0</v>
      </c>
      <c r="AM252" s="2720"/>
      <c r="AN252" s="2720"/>
      <c r="AO252" s="2720"/>
      <c r="AP252" s="2720"/>
      <c r="AQ252" s="1239">
        <f t="shared" si="3"/>
        <v>1</v>
      </c>
    </row>
    <row r="253" spans="1:43" x14ac:dyDescent="0.25">
      <c r="A253" s="2"/>
      <c r="B253" s="2791"/>
      <c r="C253" s="2792"/>
      <c r="D253" s="2793"/>
      <c r="E253" s="2776" t="str">
        <f>IF(MORTGAGE!B244=0,"",MORTGAGE!B244)</f>
        <v/>
      </c>
      <c r="F253" s="2777"/>
      <c r="G253" s="2778"/>
      <c r="H253" s="2761">
        <f>MORTGAGE!H244</f>
        <v>0</v>
      </c>
      <c r="I253" s="2762"/>
      <c r="J253" s="2762"/>
      <c r="K253" s="2762"/>
      <c r="L253" s="2763"/>
      <c r="M253" s="2749">
        <f>MORTGAGE!J244</f>
        <v>0</v>
      </c>
      <c r="N253" s="2750"/>
      <c r="O253" s="2750"/>
      <c r="P253" s="2750"/>
      <c r="Q253" s="2751"/>
      <c r="R253" s="2739">
        <f>MORTGAGE!I244</f>
        <v>0</v>
      </c>
      <c r="S253" s="2740"/>
      <c r="T253" s="2740"/>
      <c r="U253" s="2740"/>
      <c r="V253" s="2741"/>
      <c r="W253" s="2733">
        <f>MORTGAGE!K244</f>
        <v>0</v>
      </c>
      <c r="X253" s="2734"/>
      <c r="Y253" s="2734"/>
      <c r="Z253" s="2734"/>
      <c r="AA253" s="2735"/>
      <c r="AB253" s="2727">
        <f>MORTGAGE!L244</f>
        <v>118970</v>
      </c>
      <c r="AC253" s="2728"/>
      <c r="AD253" s="2728"/>
      <c r="AE253" s="2728"/>
      <c r="AF253" s="2729"/>
      <c r="AG253" s="2719">
        <f>MORTGAGE!N244</f>
        <v>1.025603448275862</v>
      </c>
      <c r="AH253" s="2720"/>
      <c r="AI253" s="2720"/>
      <c r="AJ253" s="2720"/>
      <c r="AK253" s="2723"/>
      <c r="AL253" s="2719">
        <f>MORTGAGE!O244</f>
        <v>0</v>
      </c>
      <c r="AM253" s="2720"/>
      <c r="AN253" s="2720"/>
      <c r="AO253" s="2720"/>
      <c r="AP253" s="2720"/>
      <c r="AQ253" s="1239">
        <f t="shared" si="3"/>
        <v>1</v>
      </c>
    </row>
    <row r="254" spans="1:43" x14ac:dyDescent="0.25">
      <c r="A254" s="2"/>
      <c r="B254" s="2791"/>
      <c r="C254" s="2792"/>
      <c r="D254" s="2793"/>
      <c r="E254" s="2776" t="str">
        <f>IF(MORTGAGE!B245=0,"",MORTGAGE!B245)</f>
        <v/>
      </c>
      <c r="F254" s="2777"/>
      <c r="G254" s="2778"/>
      <c r="H254" s="2761">
        <f>MORTGAGE!H245</f>
        <v>0</v>
      </c>
      <c r="I254" s="2762"/>
      <c r="J254" s="2762"/>
      <c r="K254" s="2762"/>
      <c r="L254" s="2763"/>
      <c r="M254" s="2749">
        <f>MORTGAGE!J245</f>
        <v>0</v>
      </c>
      <c r="N254" s="2750"/>
      <c r="O254" s="2750"/>
      <c r="P254" s="2750"/>
      <c r="Q254" s="2751"/>
      <c r="R254" s="2739">
        <f>MORTGAGE!I245</f>
        <v>0</v>
      </c>
      <c r="S254" s="2740"/>
      <c r="T254" s="2740"/>
      <c r="U254" s="2740"/>
      <c r="V254" s="2741"/>
      <c r="W254" s="2733">
        <f>MORTGAGE!K245</f>
        <v>0</v>
      </c>
      <c r="X254" s="2734"/>
      <c r="Y254" s="2734"/>
      <c r="Z254" s="2734"/>
      <c r="AA254" s="2735"/>
      <c r="AB254" s="2727">
        <f>MORTGAGE!L245</f>
        <v>118970</v>
      </c>
      <c r="AC254" s="2728"/>
      <c r="AD254" s="2728"/>
      <c r="AE254" s="2728"/>
      <c r="AF254" s="2729"/>
      <c r="AG254" s="2719">
        <f>MORTGAGE!N245</f>
        <v>1.025603448275862</v>
      </c>
      <c r="AH254" s="2720"/>
      <c r="AI254" s="2720"/>
      <c r="AJ254" s="2720"/>
      <c r="AK254" s="2723"/>
      <c r="AL254" s="2719">
        <f>MORTGAGE!O245</f>
        <v>0</v>
      </c>
      <c r="AM254" s="2720"/>
      <c r="AN254" s="2720"/>
      <c r="AO254" s="2720"/>
      <c r="AP254" s="2720"/>
      <c r="AQ254" s="1239">
        <f t="shared" si="3"/>
        <v>1</v>
      </c>
    </row>
    <row r="255" spans="1:43" x14ac:dyDescent="0.25">
      <c r="A255" s="2"/>
      <c r="B255" s="2791"/>
      <c r="C255" s="2792"/>
      <c r="D255" s="2793"/>
      <c r="E255" s="2776" t="str">
        <f>IF(MORTGAGE!B246=0,"",MORTGAGE!B246)</f>
        <v/>
      </c>
      <c r="F255" s="2777"/>
      <c r="G255" s="2778"/>
      <c r="H255" s="2761">
        <f>MORTGAGE!H246</f>
        <v>0</v>
      </c>
      <c r="I255" s="2762"/>
      <c r="J255" s="2762"/>
      <c r="K255" s="2762"/>
      <c r="L255" s="2763"/>
      <c r="M255" s="2749">
        <f>MORTGAGE!J246</f>
        <v>0</v>
      </c>
      <c r="N255" s="2750"/>
      <c r="O255" s="2750"/>
      <c r="P255" s="2750"/>
      <c r="Q255" s="2751"/>
      <c r="R255" s="2739">
        <f>MORTGAGE!I246</f>
        <v>0</v>
      </c>
      <c r="S255" s="2740"/>
      <c r="T255" s="2740"/>
      <c r="U255" s="2740"/>
      <c r="V255" s="2741"/>
      <c r="W255" s="2733">
        <f>MORTGAGE!K246</f>
        <v>0</v>
      </c>
      <c r="X255" s="2734"/>
      <c r="Y255" s="2734"/>
      <c r="Z255" s="2734"/>
      <c r="AA255" s="2735"/>
      <c r="AB255" s="2727">
        <f>MORTGAGE!L246</f>
        <v>118970</v>
      </c>
      <c r="AC255" s="2728"/>
      <c r="AD255" s="2728"/>
      <c r="AE255" s="2728"/>
      <c r="AF255" s="2729"/>
      <c r="AG255" s="2719">
        <f>MORTGAGE!N246</f>
        <v>1.025603448275862</v>
      </c>
      <c r="AH255" s="2720"/>
      <c r="AI255" s="2720"/>
      <c r="AJ255" s="2720"/>
      <c r="AK255" s="2723"/>
      <c r="AL255" s="2719">
        <f>MORTGAGE!O246</f>
        <v>0</v>
      </c>
      <c r="AM255" s="2720"/>
      <c r="AN255" s="2720"/>
      <c r="AO255" s="2720"/>
      <c r="AP255" s="2720"/>
      <c r="AQ255" s="1239">
        <f t="shared" si="3"/>
        <v>1</v>
      </c>
    </row>
    <row r="256" spans="1:43" x14ac:dyDescent="0.25">
      <c r="A256" s="2"/>
      <c r="B256" s="2791"/>
      <c r="C256" s="2792"/>
      <c r="D256" s="2793"/>
      <c r="E256" s="2776" t="str">
        <f>IF(MORTGAGE!B247=0,"",MORTGAGE!B247)</f>
        <v/>
      </c>
      <c r="F256" s="2777"/>
      <c r="G256" s="2778"/>
      <c r="H256" s="2761">
        <f>MORTGAGE!H247</f>
        <v>0</v>
      </c>
      <c r="I256" s="2762"/>
      <c r="J256" s="2762"/>
      <c r="K256" s="2762"/>
      <c r="L256" s="2763"/>
      <c r="M256" s="2749">
        <f>MORTGAGE!J247</f>
        <v>0</v>
      </c>
      <c r="N256" s="2750"/>
      <c r="O256" s="2750"/>
      <c r="P256" s="2750"/>
      <c r="Q256" s="2751"/>
      <c r="R256" s="2739">
        <f>MORTGAGE!I247</f>
        <v>0</v>
      </c>
      <c r="S256" s="2740"/>
      <c r="T256" s="2740"/>
      <c r="U256" s="2740"/>
      <c r="V256" s="2741"/>
      <c r="W256" s="2733">
        <f>MORTGAGE!K247</f>
        <v>0</v>
      </c>
      <c r="X256" s="2734"/>
      <c r="Y256" s="2734"/>
      <c r="Z256" s="2734"/>
      <c r="AA256" s="2735"/>
      <c r="AB256" s="2727">
        <f>MORTGAGE!L247</f>
        <v>118970</v>
      </c>
      <c r="AC256" s="2728"/>
      <c r="AD256" s="2728"/>
      <c r="AE256" s="2728"/>
      <c r="AF256" s="2729"/>
      <c r="AG256" s="2719">
        <f>MORTGAGE!N247</f>
        <v>1.025603448275862</v>
      </c>
      <c r="AH256" s="2720"/>
      <c r="AI256" s="2720"/>
      <c r="AJ256" s="2720"/>
      <c r="AK256" s="2723"/>
      <c r="AL256" s="2719">
        <f>MORTGAGE!O247</f>
        <v>0</v>
      </c>
      <c r="AM256" s="2720"/>
      <c r="AN256" s="2720"/>
      <c r="AO256" s="2720"/>
      <c r="AP256" s="2720"/>
      <c r="AQ256" s="1239">
        <f t="shared" si="3"/>
        <v>1</v>
      </c>
    </row>
    <row r="257" spans="1:43" x14ac:dyDescent="0.25">
      <c r="A257" s="2"/>
      <c r="B257" s="2791"/>
      <c r="C257" s="2792"/>
      <c r="D257" s="2793"/>
      <c r="E257" s="2776" t="str">
        <f>IF(MORTGAGE!B248=0,"",MORTGAGE!B248)</f>
        <v/>
      </c>
      <c r="F257" s="2777"/>
      <c r="G257" s="2778"/>
      <c r="H257" s="2761">
        <f>MORTGAGE!H248</f>
        <v>0</v>
      </c>
      <c r="I257" s="2762"/>
      <c r="J257" s="2762"/>
      <c r="K257" s="2762"/>
      <c r="L257" s="2763"/>
      <c r="M257" s="2749">
        <f>MORTGAGE!J248</f>
        <v>0</v>
      </c>
      <c r="N257" s="2750"/>
      <c r="O257" s="2750"/>
      <c r="P257" s="2750"/>
      <c r="Q257" s="2751"/>
      <c r="R257" s="2739">
        <f>MORTGAGE!I248</f>
        <v>0</v>
      </c>
      <c r="S257" s="2740"/>
      <c r="T257" s="2740"/>
      <c r="U257" s="2740"/>
      <c r="V257" s="2741"/>
      <c r="W257" s="2733">
        <f>MORTGAGE!K248</f>
        <v>0</v>
      </c>
      <c r="X257" s="2734"/>
      <c r="Y257" s="2734"/>
      <c r="Z257" s="2734"/>
      <c r="AA257" s="2735"/>
      <c r="AB257" s="2727">
        <f>MORTGAGE!L248</f>
        <v>118970</v>
      </c>
      <c r="AC257" s="2728"/>
      <c r="AD257" s="2728"/>
      <c r="AE257" s="2728"/>
      <c r="AF257" s="2729"/>
      <c r="AG257" s="2719">
        <f>MORTGAGE!N248</f>
        <v>1.025603448275862</v>
      </c>
      <c r="AH257" s="2720"/>
      <c r="AI257" s="2720"/>
      <c r="AJ257" s="2720"/>
      <c r="AK257" s="2723"/>
      <c r="AL257" s="2719">
        <f>MORTGAGE!O248</f>
        <v>0</v>
      </c>
      <c r="AM257" s="2720"/>
      <c r="AN257" s="2720"/>
      <c r="AO257" s="2720"/>
      <c r="AP257" s="2720"/>
      <c r="AQ257" s="1239">
        <f t="shared" si="3"/>
        <v>1</v>
      </c>
    </row>
    <row r="258" spans="1:43" x14ac:dyDescent="0.25">
      <c r="A258" s="2"/>
      <c r="B258" s="2791"/>
      <c r="C258" s="2792"/>
      <c r="D258" s="2793"/>
      <c r="E258" s="2776" t="str">
        <f>IF(MORTGAGE!B249=0,"",MORTGAGE!B249)</f>
        <v/>
      </c>
      <c r="F258" s="2777"/>
      <c r="G258" s="2778"/>
      <c r="H258" s="2761">
        <f>MORTGAGE!H249</f>
        <v>0</v>
      </c>
      <c r="I258" s="2762"/>
      <c r="J258" s="2762"/>
      <c r="K258" s="2762"/>
      <c r="L258" s="2763"/>
      <c r="M258" s="2749">
        <f>MORTGAGE!J249</f>
        <v>0</v>
      </c>
      <c r="N258" s="2750"/>
      <c r="O258" s="2750"/>
      <c r="P258" s="2750"/>
      <c r="Q258" s="2751"/>
      <c r="R258" s="2739">
        <f>MORTGAGE!I249</f>
        <v>0</v>
      </c>
      <c r="S258" s="2740"/>
      <c r="T258" s="2740"/>
      <c r="U258" s="2740"/>
      <c r="V258" s="2741"/>
      <c r="W258" s="2733">
        <f>MORTGAGE!K249</f>
        <v>0</v>
      </c>
      <c r="X258" s="2734"/>
      <c r="Y258" s="2734"/>
      <c r="Z258" s="2734"/>
      <c r="AA258" s="2735"/>
      <c r="AB258" s="2727">
        <f>MORTGAGE!L249</f>
        <v>118970</v>
      </c>
      <c r="AC258" s="2728"/>
      <c r="AD258" s="2728"/>
      <c r="AE258" s="2728"/>
      <c r="AF258" s="2729"/>
      <c r="AG258" s="2719">
        <f>MORTGAGE!N249</f>
        <v>1.025603448275862</v>
      </c>
      <c r="AH258" s="2720"/>
      <c r="AI258" s="2720"/>
      <c r="AJ258" s="2720"/>
      <c r="AK258" s="2723"/>
      <c r="AL258" s="2719">
        <f>MORTGAGE!O249</f>
        <v>0</v>
      </c>
      <c r="AM258" s="2720"/>
      <c r="AN258" s="2720"/>
      <c r="AO258" s="2720"/>
      <c r="AP258" s="2720"/>
      <c r="AQ258" s="1239">
        <f t="shared" si="3"/>
        <v>1</v>
      </c>
    </row>
    <row r="259" spans="1:43" x14ac:dyDescent="0.25">
      <c r="A259" s="2"/>
      <c r="B259" s="2791"/>
      <c r="C259" s="2792"/>
      <c r="D259" s="2793"/>
      <c r="E259" s="2776" t="str">
        <f>IF(MORTGAGE!B250=0,"",MORTGAGE!B250)</f>
        <v/>
      </c>
      <c r="F259" s="2777"/>
      <c r="G259" s="2778"/>
      <c r="H259" s="2761">
        <f>MORTGAGE!H250</f>
        <v>0</v>
      </c>
      <c r="I259" s="2762"/>
      <c r="J259" s="2762"/>
      <c r="K259" s="2762"/>
      <c r="L259" s="2763"/>
      <c r="M259" s="2749">
        <f>MORTGAGE!J250</f>
        <v>0</v>
      </c>
      <c r="N259" s="2750"/>
      <c r="O259" s="2750"/>
      <c r="P259" s="2750"/>
      <c r="Q259" s="2751"/>
      <c r="R259" s="2739">
        <f>MORTGAGE!I250</f>
        <v>0</v>
      </c>
      <c r="S259" s="2740"/>
      <c r="T259" s="2740"/>
      <c r="U259" s="2740"/>
      <c r="V259" s="2741"/>
      <c r="W259" s="2733">
        <f>MORTGAGE!K250</f>
        <v>0</v>
      </c>
      <c r="X259" s="2734"/>
      <c r="Y259" s="2734"/>
      <c r="Z259" s="2734"/>
      <c r="AA259" s="2735"/>
      <c r="AB259" s="2727">
        <f>MORTGAGE!L250</f>
        <v>118970</v>
      </c>
      <c r="AC259" s="2728"/>
      <c r="AD259" s="2728"/>
      <c r="AE259" s="2728"/>
      <c r="AF259" s="2729"/>
      <c r="AG259" s="2719">
        <f>MORTGAGE!N250</f>
        <v>1.025603448275862</v>
      </c>
      <c r="AH259" s="2720"/>
      <c r="AI259" s="2720"/>
      <c r="AJ259" s="2720"/>
      <c r="AK259" s="2723"/>
      <c r="AL259" s="2719">
        <f>MORTGAGE!O250</f>
        <v>0</v>
      </c>
      <c r="AM259" s="2720"/>
      <c r="AN259" s="2720"/>
      <c r="AO259" s="2720"/>
      <c r="AP259" s="2720"/>
      <c r="AQ259" s="1239">
        <f t="shared" si="3"/>
        <v>1</v>
      </c>
    </row>
    <row r="260" spans="1:43" x14ac:dyDescent="0.25">
      <c r="A260" s="2"/>
      <c r="B260" s="2791"/>
      <c r="C260" s="2792"/>
      <c r="D260" s="2793"/>
      <c r="E260" s="2776" t="str">
        <f>IF(MORTGAGE!B251=0,"",MORTGAGE!B251)</f>
        <v/>
      </c>
      <c r="F260" s="2777"/>
      <c r="G260" s="2778"/>
      <c r="H260" s="2761">
        <f>MORTGAGE!H251</f>
        <v>0</v>
      </c>
      <c r="I260" s="2762"/>
      <c r="J260" s="2762"/>
      <c r="K260" s="2762"/>
      <c r="L260" s="2763"/>
      <c r="M260" s="2749">
        <f>MORTGAGE!J251</f>
        <v>0</v>
      </c>
      <c r="N260" s="2750"/>
      <c r="O260" s="2750"/>
      <c r="P260" s="2750"/>
      <c r="Q260" s="2751"/>
      <c r="R260" s="2739">
        <f>MORTGAGE!I251</f>
        <v>0</v>
      </c>
      <c r="S260" s="2740"/>
      <c r="T260" s="2740"/>
      <c r="U260" s="2740"/>
      <c r="V260" s="2741"/>
      <c r="W260" s="2733">
        <f>MORTGAGE!K251</f>
        <v>0</v>
      </c>
      <c r="X260" s="2734"/>
      <c r="Y260" s="2734"/>
      <c r="Z260" s="2734"/>
      <c r="AA260" s="2735"/>
      <c r="AB260" s="2727">
        <f>MORTGAGE!L251</f>
        <v>118970</v>
      </c>
      <c r="AC260" s="2728"/>
      <c r="AD260" s="2728"/>
      <c r="AE260" s="2728"/>
      <c r="AF260" s="2729"/>
      <c r="AG260" s="2719">
        <f>MORTGAGE!N251</f>
        <v>1.025603448275862</v>
      </c>
      <c r="AH260" s="2720"/>
      <c r="AI260" s="2720"/>
      <c r="AJ260" s="2720"/>
      <c r="AK260" s="2723"/>
      <c r="AL260" s="2719">
        <f>MORTGAGE!O251</f>
        <v>0</v>
      </c>
      <c r="AM260" s="2720"/>
      <c r="AN260" s="2720"/>
      <c r="AO260" s="2720"/>
      <c r="AP260" s="2720"/>
      <c r="AQ260" s="1239">
        <f t="shared" si="3"/>
        <v>1</v>
      </c>
    </row>
    <row r="261" spans="1:43" ht="14.4" thickBot="1" x14ac:dyDescent="0.3">
      <c r="A261" s="2"/>
      <c r="B261" s="2794"/>
      <c r="C261" s="2795"/>
      <c r="D261" s="2796"/>
      <c r="E261" s="2776" t="str">
        <f>IF(MORTGAGE!B252=0,"",MORTGAGE!B252)</f>
        <v/>
      </c>
      <c r="F261" s="2777"/>
      <c r="G261" s="2778"/>
      <c r="H261" s="2761">
        <f>MORTGAGE!H252</f>
        <v>0</v>
      </c>
      <c r="I261" s="2762"/>
      <c r="J261" s="2762"/>
      <c r="K261" s="2762"/>
      <c r="L261" s="2763"/>
      <c r="M261" s="2749">
        <f>MORTGAGE!J252</f>
        <v>0</v>
      </c>
      <c r="N261" s="2750"/>
      <c r="O261" s="2750"/>
      <c r="P261" s="2750"/>
      <c r="Q261" s="2751"/>
      <c r="R261" s="2739">
        <f>MORTGAGE!I252</f>
        <v>0</v>
      </c>
      <c r="S261" s="2740"/>
      <c r="T261" s="2740"/>
      <c r="U261" s="2740"/>
      <c r="V261" s="2741"/>
      <c r="W261" s="2733">
        <f>MORTGAGE!K252</f>
        <v>0</v>
      </c>
      <c r="X261" s="2734"/>
      <c r="Y261" s="2734"/>
      <c r="Z261" s="2734"/>
      <c r="AA261" s="2735"/>
      <c r="AB261" s="2727">
        <f>MORTGAGE!L252</f>
        <v>118970</v>
      </c>
      <c r="AC261" s="2728"/>
      <c r="AD261" s="2728"/>
      <c r="AE261" s="2728"/>
      <c r="AF261" s="2729"/>
      <c r="AG261" s="2719">
        <f>MORTGAGE!N252</f>
        <v>1.025603448275862</v>
      </c>
      <c r="AH261" s="2720"/>
      <c r="AI261" s="2720"/>
      <c r="AJ261" s="2720"/>
      <c r="AK261" s="2723"/>
      <c r="AL261" s="2719">
        <f>MORTGAGE!O252</f>
        <v>0</v>
      </c>
      <c r="AM261" s="2720"/>
      <c r="AN261" s="2720"/>
      <c r="AO261" s="2720"/>
      <c r="AP261" s="2720"/>
      <c r="AQ261" s="1239">
        <f t="shared" si="3"/>
        <v>1</v>
      </c>
    </row>
    <row r="262" spans="1:43" x14ac:dyDescent="0.25">
      <c r="A262" s="2"/>
      <c r="B262" s="2797" t="str">
        <f>IFERROR(ROUNDUP(E262/12,0),"")</f>
        <v/>
      </c>
      <c r="C262" s="2798"/>
      <c r="D262" s="2799"/>
      <c r="E262" s="2785" t="str">
        <f>IF(MORTGAGE!B253=0,"",MORTGAGE!B253)</f>
        <v/>
      </c>
      <c r="F262" s="2786"/>
      <c r="G262" s="2787"/>
      <c r="H262" s="2773">
        <f>MORTGAGE!H253</f>
        <v>0</v>
      </c>
      <c r="I262" s="2774"/>
      <c r="J262" s="2774"/>
      <c r="K262" s="2774"/>
      <c r="L262" s="2775"/>
      <c r="M262" s="2758">
        <f>MORTGAGE!J253</f>
        <v>0</v>
      </c>
      <c r="N262" s="2759"/>
      <c r="O262" s="2759"/>
      <c r="P262" s="2759"/>
      <c r="Q262" s="2760"/>
      <c r="R262" s="2746">
        <f>MORTGAGE!I253</f>
        <v>0</v>
      </c>
      <c r="S262" s="2747"/>
      <c r="T262" s="2747"/>
      <c r="U262" s="2747"/>
      <c r="V262" s="2748"/>
      <c r="W262" s="2736">
        <f>MORTGAGE!K253</f>
        <v>0</v>
      </c>
      <c r="X262" s="2737"/>
      <c r="Y262" s="2737"/>
      <c r="Z262" s="2737"/>
      <c r="AA262" s="2738"/>
      <c r="AB262" s="2730">
        <f>MORTGAGE!L253</f>
        <v>118970</v>
      </c>
      <c r="AC262" s="2731"/>
      <c r="AD262" s="2731"/>
      <c r="AE262" s="2731"/>
      <c r="AF262" s="2732"/>
      <c r="AG262" s="2724">
        <f>MORTGAGE!N253</f>
        <v>1.025603448275862</v>
      </c>
      <c r="AH262" s="2725"/>
      <c r="AI262" s="2725"/>
      <c r="AJ262" s="2725"/>
      <c r="AK262" s="2726"/>
      <c r="AL262" s="2721">
        <f>MORTGAGE!O253</f>
        <v>0</v>
      </c>
      <c r="AM262" s="2722"/>
      <c r="AN262" s="2722"/>
      <c r="AO262" s="2722"/>
      <c r="AP262" s="2722"/>
      <c r="AQ262" s="1239">
        <f t="shared" si="3"/>
        <v>1</v>
      </c>
    </row>
    <row r="263" spans="1:43" x14ac:dyDescent="0.25">
      <c r="A263" s="2"/>
      <c r="B263" s="2791"/>
      <c r="C263" s="2792"/>
      <c r="D263" s="2793"/>
      <c r="E263" s="2776" t="str">
        <f>IF(MORTGAGE!B254=0,"",MORTGAGE!B254)</f>
        <v/>
      </c>
      <c r="F263" s="2777"/>
      <c r="G263" s="2778"/>
      <c r="H263" s="2761">
        <f>MORTGAGE!H254</f>
        <v>0</v>
      </c>
      <c r="I263" s="2762"/>
      <c r="J263" s="2762"/>
      <c r="K263" s="2762"/>
      <c r="L263" s="2763"/>
      <c r="M263" s="2749">
        <f>MORTGAGE!J254</f>
        <v>0</v>
      </c>
      <c r="N263" s="2750"/>
      <c r="O263" s="2750"/>
      <c r="P263" s="2750"/>
      <c r="Q263" s="2751"/>
      <c r="R263" s="2739">
        <f>MORTGAGE!I254</f>
        <v>0</v>
      </c>
      <c r="S263" s="2740"/>
      <c r="T263" s="2740"/>
      <c r="U263" s="2740"/>
      <c r="V263" s="2741"/>
      <c r="W263" s="2733">
        <f>MORTGAGE!K254</f>
        <v>0</v>
      </c>
      <c r="X263" s="2734"/>
      <c r="Y263" s="2734"/>
      <c r="Z263" s="2734"/>
      <c r="AA263" s="2735"/>
      <c r="AB263" s="2727">
        <f>MORTGAGE!L254</f>
        <v>118970</v>
      </c>
      <c r="AC263" s="2728"/>
      <c r="AD263" s="2728"/>
      <c r="AE263" s="2728"/>
      <c r="AF263" s="2729"/>
      <c r="AG263" s="2719">
        <f>MORTGAGE!N254</f>
        <v>1.025603448275862</v>
      </c>
      <c r="AH263" s="2720"/>
      <c r="AI263" s="2720"/>
      <c r="AJ263" s="2720"/>
      <c r="AK263" s="2723"/>
      <c r="AL263" s="2719">
        <f>MORTGAGE!O254</f>
        <v>0</v>
      </c>
      <c r="AM263" s="2720"/>
      <c r="AN263" s="2720"/>
      <c r="AO263" s="2720"/>
      <c r="AP263" s="2720"/>
      <c r="AQ263" s="1239">
        <f t="shared" si="3"/>
        <v>1</v>
      </c>
    </row>
    <row r="264" spans="1:43" x14ac:dyDescent="0.25">
      <c r="A264" s="2"/>
      <c r="B264" s="2791"/>
      <c r="C264" s="2792"/>
      <c r="D264" s="2793"/>
      <c r="E264" s="2776" t="str">
        <f>IF(MORTGAGE!B255=0,"",MORTGAGE!B255)</f>
        <v/>
      </c>
      <c r="F264" s="2777"/>
      <c r="G264" s="2778"/>
      <c r="H264" s="2761">
        <f>MORTGAGE!H255</f>
        <v>0</v>
      </c>
      <c r="I264" s="2762"/>
      <c r="J264" s="2762"/>
      <c r="K264" s="2762"/>
      <c r="L264" s="2763"/>
      <c r="M264" s="2749">
        <f>MORTGAGE!J255</f>
        <v>0</v>
      </c>
      <c r="N264" s="2750"/>
      <c r="O264" s="2750"/>
      <c r="P264" s="2750"/>
      <c r="Q264" s="2751"/>
      <c r="R264" s="2739">
        <f>MORTGAGE!I255</f>
        <v>0</v>
      </c>
      <c r="S264" s="2740"/>
      <c r="T264" s="2740"/>
      <c r="U264" s="2740"/>
      <c r="V264" s="2741"/>
      <c r="W264" s="2733">
        <f>MORTGAGE!K255</f>
        <v>0</v>
      </c>
      <c r="X264" s="2734"/>
      <c r="Y264" s="2734"/>
      <c r="Z264" s="2734"/>
      <c r="AA264" s="2735"/>
      <c r="AB264" s="2727">
        <f>MORTGAGE!L255</f>
        <v>118970</v>
      </c>
      <c r="AC264" s="2728"/>
      <c r="AD264" s="2728"/>
      <c r="AE264" s="2728"/>
      <c r="AF264" s="2729"/>
      <c r="AG264" s="2719">
        <f>MORTGAGE!N255</f>
        <v>1.025603448275862</v>
      </c>
      <c r="AH264" s="2720"/>
      <c r="AI264" s="2720"/>
      <c r="AJ264" s="2720"/>
      <c r="AK264" s="2723"/>
      <c r="AL264" s="2719">
        <f>MORTGAGE!O255</f>
        <v>0</v>
      </c>
      <c r="AM264" s="2720"/>
      <c r="AN264" s="2720"/>
      <c r="AO264" s="2720"/>
      <c r="AP264" s="2720"/>
      <c r="AQ264" s="1239">
        <f t="shared" si="3"/>
        <v>1</v>
      </c>
    </row>
    <row r="265" spans="1:43" x14ac:dyDescent="0.25">
      <c r="A265" s="2"/>
      <c r="B265" s="2791"/>
      <c r="C265" s="2792"/>
      <c r="D265" s="2793"/>
      <c r="E265" s="2776" t="str">
        <f>IF(MORTGAGE!B256=0,"",MORTGAGE!B256)</f>
        <v/>
      </c>
      <c r="F265" s="2777"/>
      <c r="G265" s="2778"/>
      <c r="H265" s="2761">
        <f>MORTGAGE!H256</f>
        <v>0</v>
      </c>
      <c r="I265" s="2762"/>
      <c r="J265" s="2762"/>
      <c r="K265" s="2762"/>
      <c r="L265" s="2763"/>
      <c r="M265" s="2749">
        <f>MORTGAGE!J256</f>
        <v>0</v>
      </c>
      <c r="N265" s="2750"/>
      <c r="O265" s="2750"/>
      <c r="P265" s="2750"/>
      <c r="Q265" s="2751"/>
      <c r="R265" s="2739">
        <f>MORTGAGE!I256</f>
        <v>0</v>
      </c>
      <c r="S265" s="2740"/>
      <c r="T265" s="2740"/>
      <c r="U265" s="2740"/>
      <c r="V265" s="2741"/>
      <c r="W265" s="2733">
        <f>MORTGAGE!K256</f>
        <v>0</v>
      </c>
      <c r="X265" s="2734"/>
      <c r="Y265" s="2734"/>
      <c r="Z265" s="2734"/>
      <c r="AA265" s="2735"/>
      <c r="AB265" s="2727">
        <f>MORTGAGE!L256</f>
        <v>118970</v>
      </c>
      <c r="AC265" s="2728"/>
      <c r="AD265" s="2728"/>
      <c r="AE265" s="2728"/>
      <c r="AF265" s="2729"/>
      <c r="AG265" s="2719">
        <f>MORTGAGE!N256</f>
        <v>1.025603448275862</v>
      </c>
      <c r="AH265" s="2720"/>
      <c r="AI265" s="2720"/>
      <c r="AJ265" s="2720"/>
      <c r="AK265" s="2723"/>
      <c r="AL265" s="2719">
        <f>MORTGAGE!O256</f>
        <v>0</v>
      </c>
      <c r="AM265" s="2720"/>
      <c r="AN265" s="2720"/>
      <c r="AO265" s="2720"/>
      <c r="AP265" s="2720"/>
      <c r="AQ265" s="1239">
        <f t="shared" si="3"/>
        <v>1</v>
      </c>
    </row>
    <row r="266" spans="1:43" x14ac:dyDescent="0.25">
      <c r="A266" s="2"/>
      <c r="B266" s="2791"/>
      <c r="C266" s="2792"/>
      <c r="D266" s="2793"/>
      <c r="E266" s="2776" t="str">
        <f>IF(MORTGAGE!B257=0,"",MORTGAGE!B257)</f>
        <v/>
      </c>
      <c r="F266" s="2777"/>
      <c r="G266" s="2778"/>
      <c r="H266" s="2761">
        <f>MORTGAGE!H257</f>
        <v>0</v>
      </c>
      <c r="I266" s="2762"/>
      <c r="J266" s="2762"/>
      <c r="K266" s="2762"/>
      <c r="L266" s="2763"/>
      <c r="M266" s="2749">
        <f>MORTGAGE!J257</f>
        <v>0</v>
      </c>
      <c r="N266" s="2750"/>
      <c r="O266" s="2750"/>
      <c r="P266" s="2750"/>
      <c r="Q266" s="2751"/>
      <c r="R266" s="2739">
        <f>MORTGAGE!I257</f>
        <v>0</v>
      </c>
      <c r="S266" s="2740"/>
      <c r="T266" s="2740"/>
      <c r="U266" s="2740"/>
      <c r="V266" s="2741"/>
      <c r="W266" s="2733">
        <f>MORTGAGE!K257</f>
        <v>0</v>
      </c>
      <c r="X266" s="2734"/>
      <c r="Y266" s="2734"/>
      <c r="Z266" s="2734"/>
      <c r="AA266" s="2735"/>
      <c r="AB266" s="2727">
        <f>MORTGAGE!L257</f>
        <v>118970</v>
      </c>
      <c r="AC266" s="2728"/>
      <c r="AD266" s="2728"/>
      <c r="AE266" s="2728"/>
      <c r="AF266" s="2729"/>
      <c r="AG266" s="2719">
        <f>MORTGAGE!N257</f>
        <v>1.025603448275862</v>
      </c>
      <c r="AH266" s="2720"/>
      <c r="AI266" s="2720"/>
      <c r="AJ266" s="2720"/>
      <c r="AK266" s="2723"/>
      <c r="AL266" s="2719">
        <f>MORTGAGE!O257</f>
        <v>0</v>
      </c>
      <c r="AM266" s="2720"/>
      <c r="AN266" s="2720"/>
      <c r="AO266" s="2720"/>
      <c r="AP266" s="2720"/>
      <c r="AQ266" s="1239">
        <f t="shared" si="3"/>
        <v>1</v>
      </c>
    </row>
    <row r="267" spans="1:43" x14ac:dyDescent="0.25">
      <c r="A267" s="2"/>
      <c r="B267" s="2791"/>
      <c r="C267" s="2792"/>
      <c r="D267" s="2793"/>
      <c r="E267" s="2776" t="str">
        <f>IF(MORTGAGE!B258=0,"",MORTGAGE!B258)</f>
        <v/>
      </c>
      <c r="F267" s="2777"/>
      <c r="G267" s="2778"/>
      <c r="H267" s="2761">
        <f>MORTGAGE!H258</f>
        <v>0</v>
      </c>
      <c r="I267" s="2762"/>
      <c r="J267" s="2762"/>
      <c r="K267" s="2762"/>
      <c r="L267" s="2763"/>
      <c r="M267" s="2749">
        <f>MORTGAGE!J258</f>
        <v>0</v>
      </c>
      <c r="N267" s="2750"/>
      <c r="O267" s="2750"/>
      <c r="P267" s="2750"/>
      <c r="Q267" s="2751"/>
      <c r="R267" s="2739">
        <f>MORTGAGE!I258</f>
        <v>0</v>
      </c>
      <c r="S267" s="2740"/>
      <c r="T267" s="2740"/>
      <c r="U267" s="2740"/>
      <c r="V267" s="2741"/>
      <c r="W267" s="2733">
        <f>MORTGAGE!K258</f>
        <v>0</v>
      </c>
      <c r="X267" s="2734"/>
      <c r="Y267" s="2734"/>
      <c r="Z267" s="2734"/>
      <c r="AA267" s="2735"/>
      <c r="AB267" s="2727">
        <f>MORTGAGE!L258</f>
        <v>118970</v>
      </c>
      <c r="AC267" s="2728"/>
      <c r="AD267" s="2728"/>
      <c r="AE267" s="2728"/>
      <c r="AF267" s="2729"/>
      <c r="AG267" s="2719">
        <f>MORTGAGE!N258</f>
        <v>1.025603448275862</v>
      </c>
      <c r="AH267" s="2720"/>
      <c r="AI267" s="2720"/>
      <c r="AJ267" s="2720"/>
      <c r="AK267" s="2723"/>
      <c r="AL267" s="2719">
        <f>MORTGAGE!O258</f>
        <v>0</v>
      </c>
      <c r="AM267" s="2720"/>
      <c r="AN267" s="2720"/>
      <c r="AO267" s="2720"/>
      <c r="AP267" s="2720"/>
      <c r="AQ267" s="1239">
        <f t="shared" si="3"/>
        <v>1</v>
      </c>
    </row>
    <row r="268" spans="1:43" x14ac:dyDescent="0.25">
      <c r="A268" s="2"/>
      <c r="B268" s="2791"/>
      <c r="C268" s="2792"/>
      <c r="D268" s="2793"/>
      <c r="E268" s="2776" t="str">
        <f>IF(MORTGAGE!B259=0,"",MORTGAGE!B259)</f>
        <v/>
      </c>
      <c r="F268" s="2777"/>
      <c r="G268" s="2778"/>
      <c r="H268" s="2761">
        <f>MORTGAGE!H259</f>
        <v>0</v>
      </c>
      <c r="I268" s="2762"/>
      <c r="J268" s="2762"/>
      <c r="K268" s="2762"/>
      <c r="L268" s="2763"/>
      <c r="M268" s="2749">
        <f>MORTGAGE!J259</f>
        <v>0</v>
      </c>
      <c r="N268" s="2750"/>
      <c r="O268" s="2750"/>
      <c r="P268" s="2750"/>
      <c r="Q268" s="2751"/>
      <c r="R268" s="2739">
        <f>MORTGAGE!I259</f>
        <v>0</v>
      </c>
      <c r="S268" s="2740"/>
      <c r="T268" s="2740"/>
      <c r="U268" s="2740"/>
      <c r="V268" s="2741"/>
      <c r="W268" s="2733">
        <f>MORTGAGE!K259</f>
        <v>0</v>
      </c>
      <c r="X268" s="2734"/>
      <c r="Y268" s="2734"/>
      <c r="Z268" s="2734"/>
      <c r="AA268" s="2735"/>
      <c r="AB268" s="2727">
        <f>MORTGAGE!L259</f>
        <v>118970</v>
      </c>
      <c r="AC268" s="2728"/>
      <c r="AD268" s="2728"/>
      <c r="AE268" s="2728"/>
      <c r="AF268" s="2729"/>
      <c r="AG268" s="2719">
        <f>MORTGAGE!N259</f>
        <v>1.025603448275862</v>
      </c>
      <c r="AH268" s="2720"/>
      <c r="AI268" s="2720"/>
      <c r="AJ268" s="2720"/>
      <c r="AK268" s="2723"/>
      <c r="AL268" s="2719">
        <f>MORTGAGE!O259</f>
        <v>0</v>
      </c>
      <c r="AM268" s="2720"/>
      <c r="AN268" s="2720"/>
      <c r="AO268" s="2720"/>
      <c r="AP268" s="2720"/>
      <c r="AQ268" s="1239">
        <f t="shared" si="3"/>
        <v>1</v>
      </c>
    </row>
    <row r="269" spans="1:43" x14ac:dyDescent="0.25">
      <c r="A269" s="2"/>
      <c r="B269" s="2791"/>
      <c r="C269" s="2792"/>
      <c r="D269" s="2793"/>
      <c r="E269" s="2776" t="str">
        <f>IF(MORTGAGE!B260=0,"",MORTGAGE!B260)</f>
        <v/>
      </c>
      <c r="F269" s="2777"/>
      <c r="G269" s="2778"/>
      <c r="H269" s="2761">
        <f>MORTGAGE!H260</f>
        <v>0</v>
      </c>
      <c r="I269" s="2762"/>
      <c r="J269" s="2762"/>
      <c r="K269" s="2762"/>
      <c r="L269" s="2763"/>
      <c r="M269" s="2749">
        <f>MORTGAGE!J260</f>
        <v>0</v>
      </c>
      <c r="N269" s="2750"/>
      <c r="O269" s="2750"/>
      <c r="P269" s="2750"/>
      <c r="Q269" s="2751"/>
      <c r="R269" s="2739">
        <f>MORTGAGE!I260</f>
        <v>0</v>
      </c>
      <c r="S269" s="2740"/>
      <c r="T269" s="2740"/>
      <c r="U269" s="2740"/>
      <c r="V269" s="2741"/>
      <c r="W269" s="2733">
        <f>MORTGAGE!K260</f>
        <v>0</v>
      </c>
      <c r="X269" s="2734"/>
      <c r="Y269" s="2734"/>
      <c r="Z269" s="2734"/>
      <c r="AA269" s="2735"/>
      <c r="AB269" s="2727">
        <f>MORTGAGE!L260</f>
        <v>118970</v>
      </c>
      <c r="AC269" s="2728"/>
      <c r="AD269" s="2728"/>
      <c r="AE269" s="2728"/>
      <c r="AF269" s="2729"/>
      <c r="AG269" s="2719">
        <f>MORTGAGE!N260</f>
        <v>1.025603448275862</v>
      </c>
      <c r="AH269" s="2720"/>
      <c r="AI269" s="2720"/>
      <c r="AJ269" s="2720"/>
      <c r="AK269" s="2723"/>
      <c r="AL269" s="2719">
        <f>MORTGAGE!O260</f>
        <v>0</v>
      </c>
      <c r="AM269" s="2720"/>
      <c r="AN269" s="2720"/>
      <c r="AO269" s="2720"/>
      <c r="AP269" s="2720"/>
      <c r="AQ269" s="1239">
        <f t="shared" si="3"/>
        <v>1</v>
      </c>
    </row>
    <row r="270" spans="1:43" x14ac:dyDescent="0.25">
      <c r="A270" s="2"/>
      <c r="B270" s="2791"/>
      <c r="C270" s="2792"/>
      <c r="D270" s="2793"/>
      <c r="E270" s="2776" t="str">
        <f>IF(MORTGAGE!B261=0,"",MORTGAGE!B261)</f>
        <v/>
      </c>
      <c r="F270" s="2777"/>
      <c r="G270" s="2778"/>
      <c r="H270" s="2761">
        <f>MORTGAGE!H261</f>
        <v>0</v>
      </c>
      <c r="I270" s="2762"/>
      <c r="J270" s="2762"/>
      <c r="K270" s="2762"/>
      <c r="L270" s="2763"/>
      <c r="M270" s="2749">
        <f>MORTGAGE!J261</f>
        <v>0</v>
      </c>
      <c r="N270" s="2750"/>
      <c r="O270" s="2750"/>
      <c r="P270" s="2750"/>
      <c r="Q270" s="2751"/>
      <c r="R270" s="2739">
        <f>MORTGAGE!I261</f>
        <v>0</v>
      </c>
      <c r="S270" s="2740"/>
      <c r="T270" s="2740"/>
      <c r="U270" s="2740"/>
      <c r="V270" s="2741"/>
      <c r="W270" s="2733">
        <f>MORTGAGE!K261</f>
        <v>0</v>
      </c>
      <c r="X270" s="2734"/>
      <c r="Y270" s="2734"/>
      <c r="Z270" s="2734"/>
      <c r="AA270" s="2735"/>
      <c r="AB270" s="2727">
        <f>MORTGAGE!L261</f>
        <v>118970</v>
      </c>
      <c r="AC270" s="2728"/>
      <c r="AD270" s="2728"/>
      <c r="AE270" s="2728"/>
      <c r="AF270" s="2729"/>
      <c r="AG270" s="2719">
        <f>MORTGAGE!N261</f>
        <v>1.025603448275862</v>
      </c>
      <c r="AH270" s="2720"/>
      <c r="AI270" s="2720"/>
      <c r="AJ270" s="2720"/>
      <c r="AK270" s="2723"/>
      <c r="AL270" s="2719">
        <f>MORTGAGE!O261</f>
        <v>0</v>
      </c>
      <c r="AM270" s="2720"/>
      <c r="AN270" s="2720"/>
      <c r="AO270" s="2720"/>
      <c r="AP270" s="2720"/>
      <c r="AQ270" s="1239">
        <f t="shared" si="3"/>
        <v>1</v>
      </c>
    </row>
    <row r="271" spans="1:43" x14ac:dyDescent="0.25">
      <c r="A271" s="2"/>
      <c r="B271" s="2791"/>
      <c r="C271" s="2792"/>
      <c r="D271" s="2793"/>
      <c r="E271" s="2776" t="str">
        <f>IF(MORTGAGE!B262=0,"",MORTGAGE!B262)</f>
        <v/>
      </c>
      <c r="F271" s="2777"/>
      <c r="G271" s="2778"/>
      <c r="H271" s="2761">
        <f>MORTGAGE!H262</f>
        <v>0</v>
      </c>
      <c r="I271" s="2762"/>
      <c r="J271" s="2762"/>
      <c r="K271" s="2762"/>
      <c r="L271" s="2763"/>
      <c r="M271" s="2749">
        <f>MORTGAGE!J262</f>
        <v>0</v>
      </c>
      <c r="N271" s="2750"/>
      <c r="O271" s="2750"/>
      <c r="P271" s="2750"/>
      <c r="Q271" s="2751"/>
      <c r="R271" s="2739">
        <f>MORTGAGE!I262</f>
        <v>0</v>
      </c>
      <c r="S271" s="2740"/>
      <c r="T271" s="2740"/>
      <c r="U271" s="2740"/>
      <c r="V271" s="2741"/>
      <c r="W271" s="2733">
        <f>MORTGAGE!K262</f>
        <v>0</v>
      </c>
      <c r="X271" s="2734"/>
      <c r="Y271" s="2734"/>
      <c r="Z271" s="2734"/>
      <c r="AA271" s="2735"/>
      <c r="AB271" s="2727">
        <f>MORTGAGE!L262</f>
        <v>118970</v>
      </c>
      <c r="AC271" s="2728"/>
      <c r="AD271" s="2728"/>
      <c r="AE271" s="2728"/>
      <c r="AF271" s="2729"/>
      <c r="AG271" s="2719">
        <f>MORTGAGE!N262</f>
        <v>1.025603448275862</v>
      </c>
      <c r="AH271" s="2720"/>
      <c r="AI271" s="2720"/>
      <c r="AJ271" s="2720"/>
      <c r="AK271" s="2723"/>
      <c r="AL271" s="2719">
        <f>MORTGAGE!O262</f>
        <v>0</v>
      </c>
      <c r="AM271" s="2720"/>
      <c r="AN271" s="2720"/>
      <c r="AO271" s="2720"/>
      <c r="AP271" s="2720"/>
      <c r="AQ271" s="1239">
        <f t="shared" si="3"/>
        <v>1</v>
      </c>
    </row>
    <row r="272" spans="1:43" x14ac:dyDescent="0.25">
      <c r="A272" s="2"/>
      <c r="B272" s="2791"/>
      <c r="C272" s="2792"/>
      <c r="D272" s="2793"/>
      <c r="E272" s="2776" t="str">
        <f>IF(MORTGAGE!B263=0,"",MORTGAGE!B263)</f>
        <v/>
      </c>
      <c r="F272" s="2777"/>
      <c r="G272" s="2778"/>
      <c r="H272" s="2761">
        <f>MORTGAGE!H263</f>
        <v>0</v>
      </c>
      <c r="I272" s="2762"/>
      <c r="J272" s="2762"/>
      <c r="K272" s="2762"/>
      <c r="L272" s="2763"/>
      <c r="M272" s="2749">
        <f>MORTGAGE!J263</f>
        <v>0</v>
      </c>
      <c r="N272" s="2750"/>
      <c r="O272" s="2750"/>
      <c r="P272" s="2750"/>
      <c r="Q272" s="2751"/>
      <c r="R272" s="2739">
        <f>MORTGAGE!I263</f>
        <v>0</v>
      </c>
      <c r="S272" s="2740"/>
      <c r="T272" s="2740"/>
      <c r="U272" s="2740"/>
      <c r="V272" s="2741"/>
      <c r="W272" s="2733">
        <f>MORTGAGE!K263</f>
        <v>0</v>
      </c>
      <c r="X272" s="2734"/>
      <c r="Y272" s="2734"/>
      <c r="Z272" s="2734"/>
      <c r="AA272" s="2735"/>
      <c r="AB272" s="2727">
        <f>MORTGAGE!L263</f>
        <v>118970</v>
      </c>
      <c r="AC272" s="2728"/>
      <c r="AD272" s="2728"/>
      <c r="AE272" s="2728"/>
      <c r="AF272" s="2729"/>
      <c r="AG272" s="2719">
        <f>MORTGAGE!N263</f>
        <v>1.025603448275862</v>
      </c>
      <c r="AH272" s="2720"/>
      <c r="AI272" s="2720"/>
      <c r="AJ272" s="2720"/>
      <c r="AK272" s="2723"/>
      <c r="AL272" s="2719">
        <f>MORTGAGE!O263</f>
        <v>0</v>
      </c>
      <c r="AM272" s="2720"/>
      <c r="AN272" s="2720"/>
      <c r="AO272" s="2720"/>
      <c r="AP272" s="2720"/>
      <c r="AQ272" s="1239">
        <f t="shared" si="3"/>
        <v>1</v>
      </c>
    </row>
    <row r="273" spans="1:43" ht="14.4" thickBot="1" x14ac:dyDescent="0.3">
      <c r="A273" s="2"/>
      <c r="B273" s="2794"/>
      <c r="C273" s="2795"/>
      <c r="D273" s="2796"/>
      <c r="E273" s="2776" t="str">
        <f>IF(MORTGAGE!B264=0,"",MORTGAGE!B264)</f>
        <v/>
      </c>
      <c r="F273" s="2777"/>
      <c r="G273" s="2778"/>
      <c r="H273" s="2761">
        <f>MORTGAGE!H264</f>
        <v>0</v>
      </c>
      <c r="I273" s="2762"/>
      <c r="J273" s="2762"/>
      <c r="K273" s="2762"/>
      <c r="L273" s="2763"/>
      <c r="M273" s="2749">
        <f>MORTGAGE!J264</f>
        <v>0</v>
      </c>
      <c r="N273" s="2750"/>
      <c r="O273" s="2750"/>
      <c r="P273" s="2750"/>
      <c r="Q273" s="2751"/>
      <c r="R273" s="2739">
        <f>MORTGAGE!I264</f>
        <v>0</v>
      </c>
      <c r="S273" s="2740"/>
      <c r="T273" s="2740"/>
      <c r="U273" s="2740"/>
      <c r="V273" s="2741"/>
      <c r="W273" s="2733">
        <f>MORTGAGE!K264</f>
        <v>0</v>
      </c>
      <c r="X273" s="2734"/>
      <c r="Y273" s="2734"/>
      <c r="Z273" s="2734"/>
      <c r="AA273" s="2735"/>
      <c r="AB273" s="2727">
        <f>MORTGAGE!L264</f>
        <v>118970</v>
      </c>
      <c r="AC273" s="2728"/>
      <c r="AD273" s="2728"/>
      <c r="AE273" s="2728"/>
      <c r="AF273" s="2729"/>
      <c r="AG273" s="2719">
        <f>MORTGAGE!N264</f>
        <v>1.025603448275862</v>
      </c>
      <c r="AH273" s="2720"/>
      <c r="AI273" s="2720"/>
      <c r="AJ273" s="2720"/>
      <c r="AK273" s="2723"/>
      <c r="AL273" s="2719">
        <f>MORTGAGE!O264</f>
        <v>0</v>
      </c>
      <c r="AM273" s="2720"/>
      <c r="AN273" s="2720"/>
      <c r="AO273" s="2720"/>
      <c r="AP273" s="2720"/>
      <c r="AQ273" s="1239">
        <f t="shared" si="3"/>
        <v>1</v>
      </c>
    </row>
    <row r="274" spans="1:43" x14ac:dyDescent="0.25">
      <c r="A274" s="2"/>
      <c r="B274" s="2797" t="str">
        <f>IFERROR(ROUNDUP(E274/12,0),"")</f>
        <v/>
      </c>
      <c r="C274" s="2798"/>
      <c r="D274" s="2799"/>
      <c r="E274" s="2785" t="str">
        <f>IF(MORTGAGE!B265=0,"",MORTGAGE!B265)</f>
        <v/>
      </c>
      <c r="F274" s="2786"/>
      <c r="G274" s="2787"/>
      <c r="H274" s="2773">
        <f>MORTGAGE!H265</f>
        <v>0</v>
      </c>
      <c r="I274" s="2774"/>
      <c r="J274" s="2774"/>
      <c r="K274" s="2774"/>
      <c r="L274" s="2775"/>
      <c r="M274" s="2758">
        <f>MORTGAGE!J265</f>
        <v>0</v>
      </c>
      <c r="N274" s="2759"/>
      <c r="O274" s="2759"/>
      <c r="P274" s="2759"/>
      <c r="Q274" s="2760"/>
      <c r="R274" s="2746">
        <f>MORTGAGE!I265</f>
        <v>0</v>
      </c>
      <c r="S274" s="2747"/>
      <c r="T274" s="2747"/>
      <c r="U274" s="2747"/>
      <c r="V274" s="2748"/>
      <c r="W274" s="2736">
        <f>MORTGAGE!K265</f>
        <v>0</v>
      </c>
      <c r="X274" s="2737"/>
      <c r="Y274" s="2737"/>
      <c r="Z274" s="2737"/>
      <c r="AA274" s="2738"/>
      <c r="AB274" s="2730">
        <f>MORTGAGE!L265</f>
        <v>118970</v>
      </c>
      <c r="AC274" s="2731"/>
      <c r="AD274" s="2731"/>
      <c r="AE274" s="2731"/>
      <c r="AF274" s="2732"/>
      <c r="AG274" s="2724">
        <f>MORTGAGE!N265</f>
        <v>1.025603448275862</v>
      </c>
      <c r="AH274" s="2725"/>
      <c r="AI274" s="2725"/>
      <c r="AJ274" s="2725"/>
      <c r="AK274" s="2726"/>
      <c r="AL274" s="2721">
        <f>MORTGAGE!O265</f>
        <v>0</v>
      </c>
      <c r="AM274" s="2722"/>
      <c r="AN274" s="2722"/>
      <c r="AO274" s="2722"/>
      <c r="AP274" s="2722"/>
      <c r="AQ274" s="1239">
        <f t="shared" si="3"/>
        <v>1</v>
      </c>
    </row>
    <row r="275" spans="1:43" x14ac:dyDescent="0.25">
      <c r="A275" s="2"/>
      <c r="B275" s="2791"/>
      <c r="C275" s="2792"/>
      <c r="D275" s="2793"/>
      <c r="E275" s="2776" t="str">
        <f>IF(MORTGAGE!B266=0,"",MORTGAGE!B266)</f>
        <v/>
      </c>
      <c r="F275" s="2777"/>
      <c r="G275" s="2778"/>
      <c r="H275" s="2761">
        <f>MORTGAGE!H266</f>
        <v>0</v>
      </c>
      <c r="I275" s="2762"/>
      <c r="J275" s="2762"/>
      <c r="K275" s="2762"/>
      <c r="L275" s="2763"/>
      <c r="M275" s="2749">
        <f>MORTGAGE!J266</f>
        <v>0</v>
      </c>
      <c r="N275" s="2750"/>
      <c r="O275" s="2750"/>
      <c r="P275" s="2750"/>
      <c r="Q275" s="2751"/>
      <c r="R275" s="2739">
        <f>MORTGAGE!I266</f>
        <v>0</v>
      </c>
      <c r="S275" s="2740"/>
      <c r="T275" s="2740"/>
      <c r="U275" s="2740"/>
      <c r="V275" s="2741"/>
      <c r="W275" s="2733">
        <f>MORTGAGE!K266</f>
        <v>0</v>
      </c>
      <c r="X275" s="2734"/>
      <c r="Y275" s="2734"/>
      <c r="Z275" s="2734"/>
      <c r="AA275" s="2735"/>
      <c r="AB275" s="2727">
        <f>MORTGAGE!L266</f>
        <v>118970</v>
      </c>
      <c r="AC275" s="2728"/>
      <c r="AD275" s="2728"/>
      <c r="AE275" s="2728"/>
      <c r="AF275" s="2729"/>
      <c r="AG275" s="2719">
        <f>MORTGAGE!N266</f>
        <v>1.025603448275862</v>
      </c>
      <c r="AH275" s="2720"/>
      <c r="AI275" s="2720"/>
      <c r="AJ275" s="2720"/>
      <c r="AK275" s="2723"/>
      <c r="AL275" s="2719">
        <f>MORTGAGE!O266</f>
        <v>0</v>
      </c>
      <c r="AM275" s="2720"/>
      <c r="AN275" s="2720"/>
      <c r="AO275" s="2720"/>
      <c r="AP275" s="2720"/>
      <c r="AQ275" s="1239">
        <f t="shared" si="3"/>
        <v>1</v>
      </c>
    </row>
    <row r="276" spans="1:43" x14ac:dyDescent="0.25">
      <c r="A276" s="2"/>
      <c r="B276" s="2791"/>
      <c r="C276" s="2792"/>
      <c r="D276" s="2793"/>
      <c r="E276" s="2776" t="str">
        <f>IF(MORTGAGE!B267=0,"",MORTGAGE!B267)</f>
        <v/>
      </c>
      <c r="F276" s="2777"/>
      <c r="G276" s="2778"/>
      <c r="H276" s="2761">
        <f>MORTGAGE!H267</f>
        <v>0</v>
      </c>
      <c r="I276" s="2762"/>
      <c r="J276" s="2762"/>
      <c r="K276" s="2762"/>
      <c r="L276" s="2763"/>
      <c r="M276" s="2749">
        <f>MORTGAGE!J267</f>
        <v>0</v>
      </c>
      <c r="N276" s="2750"/>
      <c r="O276" s="2750"/>
      <c r="P276" s="2750"/>
      <c r="Q276" s="2751"/>
      <c r="R276" s="2739">
        <f>MORTGAGE!I267</f>
        <v>0</v>
      </c>
      <c r="S276" s="2740"/>
      <c r="T276" s="2740"/>
      <c r="U276" s="2740"/>
      <c r="V276" s="2741"/>
      <c r="W276" s="2733">
        <f>MORTGAGE!K267</f>
        <v>0</v>
      </c>
      <c r="X276" s="2734"/>
      <c r="Y276" s="2734"/>
      <c r="Z276" s="2734"/>
      <c r="AA276" s="2735"/>
      <c r="AB276" s="2727">
        <f>MORTGAGE!L267</f>
        <v>118970</v>
      </c>
      <c r="AC276" s="2728"/>
      <c r="AD276" s="2728"/>
      <c r="AE276" s="2728"/>
      <c r="AF276" s="2729"/>
      <c r="AG276" s="2719">
        <f>MORTGAGE!N267</f>
        <v>1.025603448275862</v>
      </c>
      <c r="AH276" s="2720"/>
      <c r="AI276" s="2720"/>
      <c r="AJ276" s="2720"/>
      <c r="AK276" s="2723"/>
      <c r="AL276" s="2719">
        <f>MORTGAGE!O267</f>
        <v>0</v>
      </c>
      <c r="AM276" s="2720"/>
      <c r="AN276" s="2720"/>
      <c r="AO276" s="2720"/>
      <c r="AP276" s="2720"/>
      <c r="AQ276" s="1239">
        <f t="shared" si="3"/>
        <v>1</v>
      </c>
    </row>
    <row r="277" spans="1:43" x14ac:dyDescent="0.25">
      <c r="A277" s="2"/>
      <c r="B277" s="2791"/>
      <c r="C277" s="2792"/>
      <c r="D277" s="2793"/>
      <c r="E277" s="2776" t="str">
        <f>IF(MORTGAGE!B268=0,"",MORTGAGE!B268)</f>
        <v/>
      </c>
      <c r="F277" s="2777"/>
      <c r="G277" s="2778"/>
      <c r="H277" s="2761">
        <f>MORTGAGE!H268</f>
        <v>0</v>
      </c>
      <c r="I277" s="2762"/>
      <c r="J277" s="2762"/>
      <c r="K277" s="2762"/>
      <c r="L277" s="2763"/>
      <c r="M277" s="2749">
        <f>MORTGAGE!J268</f>
        <v>0</v>
      </c>
      <c r="N277" s="2750"/>
      <c r="O277" s="2750"/>
      <c r="P277" s="2750"/>
      <c r="Q277" s="2751"/>
      <c r="R277" s="2739">
        <f>MORTGAGE!I268</f>
        <v>0</v>
      </c>
      <c r="S277" s="2740"/>
      <c r="T277" s="2740"/>
      <c r="U277" s="2740"/>
      <c r="V277" s="2741"/>
      <c r="W277" s="2733">
        <f>MORTGAGE!K268</f>
        <v>0</v>
      </c>
      <c r="X277" s="2734"/>
      <c r="Y277" s="2734"/>
      <c r="Z277" s="2734"/>
      <c r="AA277" s="2735"/>
      <c r="AB277" s="2727">
        <f>MORTGAGE!L268</f>
        <v>118970</v>
      </c>
      <c r="AC277" s="2728"/>
      <c r="AD277" s="2728"/>
      <c r="AE277" s="2728"/>
      <c r="AF277" s="2729"/>
      <c r="AG277" s="2719">
        <f>MORTGAGE!N268</f>
        <v>1.025603448275862</v>
      </c>
      <c r="AH277" s="2720"/>
      <c r="AI277" s="2720"/>
      <c r="AJ277" s="2720"/>
      <c r="AK277" s="2723"/>
      <c r="AL277" s="2719">
        <f>MORTGAGE!O268</f>
        <v>0</v>
      </c>
      <c r="AM277" s="2720"/>
      <c r="AN277" s="2720"/>
      <c r="AO277" s="2720"/>
      <c r="AP277" s="2720"/>
      <c r="AQ277" s="1239">
        <f t="shared" si="3"/>
        <v>1</v>
      </c>
    </row>
    <row r="278" spans="1:43" x14ac:dyDescent="0.25">
      <c r="A278" s="2"/>
      <c r="B278" s="2791"/>
      <c r="C278" s="2792"/>
      <c r="D278" s="2793"/>
      <c r="E278" s="2776" t="str">
        <f>IF(MORTGAGE!B269=0,"",MORTGAGE!B269)</f>
        <v/>
      </c>
      <c r="F278" s="2777"/>
      <c r="G278" s="2778"/>
      <c r="H278" s="2761">
        <f>MORTGAGE!H269</f>
        <v>0</v>
      </c>
      <c r="I278" s="2762"/>
      <c r="J278" s="2762"/>
      <c r="K278" s="2762"/>
      <c r="L278" s="2763"/>
      <c r="M278" s="2749">
        <f>MORTGAGE!J269</f>
        <v>0</v>
      </c>
      <c r="N278" s="2750"/>
      <c r="O278" s="2750"/>
      <c r="P278" s="2750"/>
      <c r="Q278" s="2751"/>
      <c r="R278" s="2739">
        <f>MORTGAGE!I269</f>
        <v>0</v>
      </c>
      <c r="S278" s="2740"/>
      <c r="T278" s="2740"/>
      <c r="U278" s="2740"/>
      <c r="V278" s="2741"/>
      <c r="W278" s="2733">
        <f>MORTGAGE!K269</f>
        <v>0</v>
      </c>
      <c r="X278" s="2734"/>
      <c r="Y278" s="2734"/>
      <c r="Z278" s="2734"/>
      <c r="AA278" s="2735"/>
      <c r="AB278" s="2727">
        <f>MORTGAGE!L269</f>
        <v>118970</v>
      </c>
      <c r="AC278" s="2728"/>
      <c r="AD278" s="2728"/>
      <c r="AE278" s="2728"/>
      <c r="AF278" s="2729"/>
      <c r="AG278" s="2719">
        <f>MORTGAGE!N269</f>
        <v>1.025603448275862</v>
      </c>
      <c r="AH278" s="2720"/>
      <c r="AI278" s="2720"/>
      <c r="AJ278" s="2720"/>
      <c r="AK278" s="2723"/>
      <c r="AL278" s="2719">
        <f>MORTGAGE!O269</f>
        <v>0</v>
      </c>
      <c r="AM278" s="2720"/>
      <c r="AN278" s="2720"/>
      <c r="AO278" s="2720"/>
      <c r="AP278" s="2720"/>
      <c r="AQ278" s="1239">
        <f t="shared" si="3"/>
        <v>1</v>
      </c>
    </row>
    <row r="279" spans="1:43" x14ac:dyDescent="0.25">
      <c r="A279" s="2"/>
      <c r="B279" s="2791"/>
      <c r="C279" s="2792"/>
      <c r="D279" s="2793"/>
      <c r="E279" s="2776" t="str">
        <f>IF(MORTGAGE!B270=0,"",MORTGAGE!B270)</f>
        <v/>
      </c>
      <c r="F279" s="2777"/>
      <c r="G279" s="2778"/>
      <c r="H279" s="2761">
        <f>MORTGAGE!H270</f>
        <v>0</v>
      </c>
      <c r="I279" s="2762"/>
      <c r="J279" s="2762"/>
      <c r="K279" s="2762"/>
      <c r="L279" s="2763"/>
      <c r="M279" s="2749">
        <f>MORTGAGE!J270</f>
        <v>0</v>
      </c>
      <c r="N279" s="2750"/>
      <c r="O279" s="2750"/>
      <c r="P279" s="2750"/>
      <c r="Q279" s="2751"/>
      <c r="R279" s="2739">
        <f>MORTGAGE!I270</f>
        <v>0</v>
      </c>
      <c r="S279" s="2740"/>
      <c r="T279" s="2740"/>
      <c r="U279" s="2740"/>
      <c r="V279" s="2741"/>
      <c r="W279" s="2733">
        <f>MORTGAGE!K270</f>
        <v>0</v>
      </c>
      <c r="X279" s="2734"/>
      <c r="Y279" s="2734"/>
      <c r="Z279" s="2734"/>
      <c r="AA279" s="2735"/>
      <c r="AB279" s="2727">
        <f>MORTGAGE!L270</f>
        <v>118970</v>
      </c>
      <c r="AC279" s="2728"/>
      <c r="AD279" s="2728"/>
      <c r="AE279" s="2728"/>
      <c r="AF279" s="2729"/>
      <c r="AG279" s="2719">
        <f>MORTGAGE!N270</f>
        <v>1.025603448275862</v>
      </c>
      <c r="AH279" s="2720"/>
      <c r="AI279" s="2720"/>
      <c r="AJ279" s="2720"/>
      <c r="AK279" s="2723"/>
      <c r="AL279" s="2719">
        <f>MORTGAGE!O270</f>
        <v>0</v>
      </c>
      <c r="AM279" s="2720"/>
      <c r="AN279" s="2720"/>
      <c r="AO279" s="2720"/>
      <c r="AP279" s="2720"/>
      <c r="AQ279" s="1239">
        <f t="shared" si="3"/>
        <v>1</v>
      </c>
    </row>
    <row r="280" spans="1:43" x14ac:dyDescent="0.25">
      <c r="A280" s="2"/>
      <c r="B280" s="2791"/>
      <c r="C280" s="2792"/>
      <c r="D280" s="2793"/>
      <c r="E280" s="2776" t="str">
        <f>IF(MORTGAGE!B271=0,"",MORTGAGE!B271)</f>
        <v/>
      </c>
      <c r="F280" s="2777"/>
      <c r="G280" s="2778"/>
      <c r="H280" s="2761">
        <f>MORTGAGE!H271</f>
        <v>0</v>
      </c>
      <c r="I280" s="2762"/>
      <c r="J280" s="2762"/>
      <c r="K280" s="2762"/>
      <c r="L280" s="2763"/>
      <c r="M280" s="2749">
        <f>MORTGAGE!J271</f>
        <v>0</v>
      </c>
      <c r="N280" s="2750"/>
      <c r="O280" s="2750"/>
      <c r="P280" s="2750"/>
      <c r="Q280" s="2751"/>
      <c r="R280" s="2739">
        <f>MORTGAGE!I271</f>
        <v>0</v>
      </c>
      <c r="S280" s="2740"/>
      <c r="T280" s="2740"/>
      <c r="U280" s="2740"/>
      <c r="V280" s="2741"/>
      <c r="W280" s="2733">
        <f>MORTGAGE!K271</f>
        <v>0</v>
      </c>
      <c r="X280" s="2734"/>
      <c r="Y280" s="2734"/>
      <c r="Z280" s="2734"/>
      <c r="AA280" s="2735"/>
      <c r="AB280" s="2727">
        <f>MORTGAGE!L271</f>
        <v>118970</v>
      </c>
      <c r="AC280" s="2728"/>
      <c r="AD280" s="2728"/>
      <c r="AE280" s="2728"/>
      <c r="AF280" s="2729"/>
      <c r="AG280" s="2719">
        <f>MORTGAGE!N271</f>
        <v>1.025603448275862</v>
      </c>
      <c r="AH280" s="2720"/>
      <c r="AI280" s="2720"/>
      <c r="AJ280" s="2720"/>
      <c r="AK280" s="2723"/>
      <c r="AL280" s="2719">
        <f>MORTGAGE!O271</f>
        <v>0</v>
      </c>
      <c r="AM280" s="2720"/>
      <c r="AN280" s="2720"/>
      <c r="AO280" s="2720"/>
      <c r="AP280" s="2720"/>
      <c r="AQ280" s="1239">
        <f t="shared" si="3"/>
        <v>1</v>
      </c>
    </row>
    <row r="281" spans="1:43" x14ac:dyDescent="0.25">
      <c r="A281" s="2"/>
      <c r="B281" s="2791"/>
      <c r="C281" s="2792"/>
      <c r="D281" s="2793"/>
      <c r="E281" s="2776" t="str">
        <f>IF(MORTGAGE!B272=0,"",MORTGAGE!B272)</f>
        <v/>
      </c>
      <c r="F281" s="2777"/>
      <c r="G281" s="2778"/>
      <c r="H281" s="2761">
        <f>MORTGAGE!H272</f>
        <v>0</v>
      </c>
      <c r="I281" s="2762"/>
      <c r="J281" s="2762"/>
      <c r="K281" s="2762"/>
      <c r="L281" s="2763"/>
      <c r="M281" s="2749">
        <f>MORTGAGE!J272</f>
        <v>0</v>
      </c>
      <c r="N281" s="2750"/>
      <c r="O281" s="2750"/>
      <c r="P281" s="2750"/>
      <c r="Q281" s="2751"/>
      <c r="R281" s="2739">
        <f>MORTGAGE!I272</f>
        <v>0</v>
      </c>
      <c r="S281" s="2740"/>
      <c r="T281" s="2740"/>
      <c r="U281" s="2740"/>
      <c r="V281" s="2741"/>
      <c r="W281" s="2733">
        <f>MORTGAGE!K272</f>
        <v>0</v>
      </c>
      <c r="X281" s="2734"/>
      <c r="Y281" s="2734"/>
      <c r="Z281" s="2734"/>
      <c r="AA281" s="2735"/>
      <c r="AB281" s="2727">
        <f>MORTGAGE!L272</f>
        <v>118970</v>
      </c>
      <c r="AC281" s="2728"/>
      <c r="AD281" s="2728"/>
      <c r="AE281" s="2728"/>
      <c r="AF281" s="2729"/>
      <c r="AG281" s="2719">
        <f>MORTGAGE!N272</f>
        <v>1.025603448275862</v>
      </c>
      <c r="AH281" s="2720"/>
      <c r="AI281" s="2720"/>
      <c r="AJ281" s="2720"/>
      <c r="AK281" s="2723"/>
      <c r="AL281" s="2719">
        <f>MORTGAGE!O272</f>
        <v>0</v>
      </c>
      <c r="AM281" s="2720"/>
      <c r="AN281" s="2720"/>
      <c r="AO281" s="2720"/>
      <c r="AP281" s="2720"/>
      <c r="AQ281" s="1239">
        <f t="shared" si="3"/>
        <v>1</v>
      </c>
    </row>
    <row r="282" spans="1:43" x14ac:dyDescent="0.25">
      <c r="A282" s="2"/>
      <c r="B282" s="2791"/>
      <c r="C282" s="2792"/>
      <c r="D282" s="2793"/>
      <c r="E282" s="2776" t="str">
        <f>IF(MORTGAGE!B273=0,"",MORTGAGE!B273)</f>
        <v/>
      </c>
      <c r="F282" s="2777"/>
      <c r="G282" s="2778"/>
      <c r="H282" s="2761">
        <f>MORTGAGE!H273</f>
        <v>0</v>
      </c>
      <c r="I282" s="2762"/>
      <c r="J282" s="2762"/>
      <c r="K282" s="2762"/>
      <c r="L282" s="2763"/>
      <c r="M282" s="2749">
        <f>MORTGAGE!J273</f>
        <v>0</v>
      </c>
      <c r="N282" s="2750"/>
      <c r="O282" s="2750"/>
      <c r="P282" s="2750"/>
      <c r="Q282" s="2751"/>
      <c r="R282" s="2739">
        <f>MORTGAGE!I273</f>
        <v>0</v>
      </c>
      <c r="S282" s="2740"/>
      <c r="T282" s="2740"/>
      <c r="U282" s="2740"/>
      <c r="V282" s="2741"/>
      <c r="W282" s="2733">
        <f>MORTGAGE!K273</f>
        <v>0</v>
      </c>
      <c r="X282" s="2734"/>
      <c r="Y282" s="2734"/>
      <c r="Z282" s="2734"/>
      <c r="AA282" s="2735"/>
      <c r="AB282" s="2727">
        <f>MORTGAGE!L273</f>
        <v>118970</v>
      </c>
      <c r="AC282" s="2728"/>
      <c r="AD282" s="2728"/>
      <c r="AE282" s="2728"/>
      <c r="AF282" s="2729"/>
      <c r="AG282" s="2719">
        <f>MORTGAGE!N273</f>
        <v>1.025603448275862</v>
      </c>
      <c r="AH282" s="2720"/>
      <c r="AI282" s="2720"/>
      <c r="AJ282" s="2720"/>
      <c r="AK282" s="2723"/>
      <c r="AL282" s="2719">
        <f>MORTGAGE!O273</f>
        <v>0</v>
      </c>
      <c r="AM282" s="2720"/>
      <c r="AN282" s="2720"/>
      <c r="AO282" s="2720"/>
      <c r="AP282" s="2720"/>
      <c r="AQ282" s="1239">
        <f t="shared" si="3"/>
        <v>1</v>
      </c>
    </row>
    <row r="283" spans="1:43" x14ac:dyDescent="0.25">
      <c r="A283" s="2"/>
      <c r="B283" s="2791"/>
      <c r="C283" s="2792"/>
      <c r="D283" s="2793"/>
      <c r="E283" s="2776" t="str">
        <f>IF(MORTGAGE!B274=0,"",MORTGAGE!B274)</f>
        <v/>
      </c>
      <c r="F283" s="2777"/>
      <c r="G283" s="2778"/>
      <c r="H283" s="2761">
        <f>MORTGAGE!H274</f>
        <v>0</v>
      </c>
      <c r="I283" s="2762"/>
      <c r="J283" s="2762"/>
      <c r="K283" s="2762"/>
      <c r="L283" s="2763"/>
      <c r="M283" s="2749">
        <f>MORTGAGE!J274</f>
        <v>0</v>
      </c>
      <c r="N283" s="2750"/>
      <c r="O283" s="2750"/>
      <c r="P283" s="2750"/>
      <c r="Q283" s="2751"/>
      <c r="R283" s="2739">
        <f>MORTGAGE!I274</f>
        <v>0</v>
      </c>
      <c r="S283" s="2740"/>
      <c r="T283" s="2740"/>
      <c r="U283" s="2740"/>
      <c r="V283" s="2741"/>
      <c r="W283" s="2733">
        <f>MORTGAGE!K274</f>
        <v>0</v>
      </c>
      <c r="X283" s="2734"/>
      <c r="Y283" s="2734"/>
      <c r="Z283" s="2734"/>
      <c r="AA283" s="2735"/>
      <c r="AB283" s="2727">
        <f>MORTGAGE!L274</f>
        <v>118970</v>
      </c>
      <c r="AC283" s="2728"/>
      <c r="AD283" s="2728"/>
      <c r="AE283" s="2728"/>
      <c r="AF283" s="2729"/>
      <c r="AG283" s="2719">
        <f>MORTGAGE!N274</f>
        <v>1.025603448275862</v>
      </c>
      <c r="AH283" s="2720"/>
      <c r="AI283" s="2720"/>
      <c r="AJ283" s="2720"/>
      <c r="AK283" s="2723"/>
      <c r="AL283" s="2719">
        <f>MORTGAGE!O274</f>
        <v>0</v>
      </c>
      <c r="AM283" s="2720"/>
      <c r="AN283" s="2720"/>
      <c r="AO283" s="2720"/>
      <c r="AP283" s="2720"/>
      <c r="AQ283" s="1239">
        <f t="shared" si="3"/>
        <v>1</v>
      </c>
    </row>
    <row r="284" spans="1:43" x14ac:dyDescent="0.25">
      <c r="A284" s="2"/>
      <c r="B284" s="2791"/>
      <c r="C284" s="2792"/>
      <c r="D284" s="2793"/>
      <c r="E284" s="2776" t="str">
        <f>IF(MORTGAGE!B275=0,"",MORTGAGE!B275)</f>
        <v/>
      </c>
      <c r="F284" s="2777"/>
      <c r="G284" s="2778"/>
      <c r="H284" s="2761">
        <f>MORTGAGE!H275</f>
        <v>0</v>
      </c>
      <c r="I284" s="2762"/>
      <c r="J284" s="2762"/>
      <c r="K284" s="2762"/>
      <c r="L284" s="2763"/>
      <c r="M284" s="2749">
        <f>MORTGAGE!J275</f>
        <v>0</v>
      </c>
      <c r="N284" s="2750"/>
      <c r="O284" s="2750"/>
      <c r="P284" s="2750"/>
      <c r="Q284" s="2751"/>
      <c r="R284" s="2739">
        <f>MORTGAGE!I275</f>
        <v>0</v>
      </c>
      <c r="S284" s="2740"/>
      <c r="T284" s="2740"/>
      <c r="U284" s="2740"/>
      <c r="V284" s="2741"/>
      <c r="W284" s="2733">
        <f>MORTGAGE!K275</f>
        <v>0</v>
      </c>
      <c r="X284" s="2734"/>
      <c r="Y284" s="2734"/>
      <c r="Z284" s="2734"/>
      <c r="AA284" s="2735"/>
      <c r="AB284" s="2727">
        <f>MORTGAGE!L275</f>
        <v>118970</v>
      </c>
      <c r="AC284" s="2728"/>
      <c r="AD284" s="2728"/>
      <c r="AE284" s="2728"/>
      <c r="AF284" s="2729"/>
      <c r="AG284" s="2719">
        <f>MORTGAGE!N275</f>
        <v>1.025603448275862</v>
      </c>
      <c r="AH284" s="2720"/>
      <c r="AI284" s="2720"/>
      <c r="AJ284" s="2720"/>
      <c r="AK284" s="2723"/>
      <c r="AL284" s="2719">
        <f>MORTGAGE!O275</f>
        <v>0</v>
      </c>
      <c r="AM284" s="2720"/>
      <c r="AN284" s="2720"/>
      <c r="AO284" s="2720"/>
      <c r="AP284" s="2720"/>
      <c r="AQ284" s="1239">
        <f t="shared" si="3"/>
        <v>1</v>
      </c>
    </row>
    <row r="285" spans="1:43" ht="14.4" thickBot="1" x14ac:dyDescent="0.3">
      <c r="A285" s="2"/>
      <c r="B285" s="2794"/>
      <c r="C285" s="2795"/>
      <c r="D285" s="2796"/>
      <c r="E285" s="2776" t="str">
        <f>IF(MORTGAGE!B276=0,"",MORTGAGE!B276)</f>
        <v/>
      </c>
      <c r="F285" s="2777"/>
      <c r="G285" s="2778"/>
      <c r="H285" s="2761">
        <f>MORTGAGE!H276</f>
        <v>0</v>
      </c>
      <c r="I285" s="2762"/>
      <c r="J285" s="2762"/>
      <c r="K285" s="2762"/>
      <c r="L285" s="2763"/>
      <c r="M285" s="2749">
        <f>MORTGAGE!J276</f>
        <v>0</v>
      </c>
      <c r="N285" s="2750"/>
      <c r="O285" s="2750"/>
      <c r="P285" s="2750"/>
      <c r="Q285" s="2751"/>
      <c r="R285" s="2739">
        <f>MORTGAGE!I276</f>
        <v>0</v>
      </c>
      <c r="S285" s="2740"/>
      <c r="T285" s="2740"/>
      <c r="U285" s="2740"/>
      <c r="V285" s="2741"/>
      <c r="W285" s="2733">
        <f>MORTGAGE!K276</f>
        <v>0</v>
      </c>
      <c r="X285" s="2734"/>
      <c r="Y285" s="2734"/>
      <c r="Z285" s="2734"/>
      <c r="AA285" s="2735"/>
      <c r="AB285" s="2727">
        <f>MORTGAGE!L276</f>
        <v>118970</v>
      </c>
      <c r="AC285" s="2728"/>
      <c r="AD285" s="2728"/>
      <c r="AE285" s="2728"/>
      <c r="AF285" s="2729"/>
      <c r="AG285" s="2719">
        <f>MORTGAGE!N276</f>
        <v>1.025603448275862</v>
      </c>
      <c r="AH285" s="2720"/>
      <c r="AI285" s="2720"/>
      <c r="AJ285" s="2720"/>
      <c r="AK285" s="2723"/>
      <c r="AL285" s="2719">
        <f>MORTGAGE!O276</f>
        <v>0</v>
      </c>
      <c r="AM285" s="2720"/>
      <c r="AN285" s="2720"/>
      <c r="AO285" s="2720"/>
      <c r="AP285" s="2720"/>
      <c r="AQ285" s="1239">
        <f t="shared" si="3"/>
        <v>1</v>
      </c>
    </row>
    <row r="286" spans="1:43" x14ac:dyDescent="0.25">
      <c r="A286" s="2"/>
      <c r="B286" s="2797" t="str">
        <f>IFERROR(ROUNDUP(E286/12,0),"")</f>
        <v/>
      </c>
      <c r="C286" s="2798"/>
      <c r="D286" s="2799"/>
      <c r="E286" s="2785" t="str">
        <f>IF(MORTGAGE!B277=0,"",MORTGAGE!B277)</f>
        <v/>
      </c>
      <c r="F286" s="2786"/>
      <c r="G286" s="2787"/>
      <c r="H286" s="2773">
        <f>MORTGAGE!H277</f>
        <v>0</v>
      </c>
      <c r="I286" s="2774"/>
      <c r="J286" s="2774"/>
      <c r="K286" s="2774"/>
      <c r="L286" s="2775"/>
      <c r="M286" s="2758">
        <f>MORTGAGE!J277</f>
        <v>0</v>
      </c>
      <c r="N286" s="2759"/>
      <c r="O286" s="2759"/>
      <c r="P286" s="2759"/>
      <c r="Q286" s="2760"/>
      <c r="R286" s="2746">
        <f>MORTGAGE!I277</f>
        <v>0</v>
      </c>
      <c r="S286" s="2747"/>
      <c r="T286" s="2747"/>
      <c r="U286" s="2747"/>
      <c r="V286" s="2748"/>
      <c r="W286" s="2736">
        <f>MORTGAGE!K277</f>
        <v>0</v>
      </c>
      <c r="X286" s="2737"/>
      <c r="Y286" s="2737"/>
      <c r="Z286" s="2737"/>
      <c r="AA286" s="2738"/>
      <c r="AB286" s="2730">
        <f>MORTGAGE!L277</f>
        <v>118970</v>
      </c>
      <c r="AC286" s="2731"/>
      <c r="AD286" s="2731"/>
      <c r="AE286" s="2731"/>
      <c r="AF286" s="2732"/>
      <c r="AG286" s="2724">
        <f>MORTGAGE!N277</f>
        <v>1.025603448275862</v>
      </c>
      <c r="AH286" s="2725"/>
      <c r="AI286" s="2725"/>
      <c r="AJ286" s="2725"/>
      <c r="AK286" s="2726"/>
      <c r="AL286" s="2721">
        <f>MORTGAGE!O277</f>
        <v>0</v>
      </c>
      <c r="AM286" s="2722"/>
      <c r="AN286" s="2722"/>
      <c r="AO286" s="2722"/>
      <c r="AP286" s="2722"/>
      <c r="AQ286" s="1239">
        <f t="shared" si="3"/>
        <v>1</v>
      </c>
    </row>
    <row r="287" spans="1:43" x14ac:dyDescent="0.25">
      <c r="A287" s="2"/>
      <c r="B287" s="2791"/>
      <c r="C287" s="2792"/>
      <c r="D287" s="2793"/>
      <c r="E287" s="2776" t="str">
        <f>IF(MORTGAGE!B278=0,"",MORTGAGE!B278)</f>
        <v/>
      </c>
      <c r="F287" s="2777"/>
      <c r="G287" s="2778"/>
      <c r="H287" s="2761">
        <f>MORTGAGE!H278</f>
        <v>0</v>
      </c>
      <c r="I287" s="2762"/>
      <c r="J287" s="2762"/>
      <c r="K287" s="2762"/>
      <c r="L287" s="2763"/>
      <c r="M287" s="2749">
        <f>MORTGAGE!J278</f>
        <v>0</v>
      </c>
      <c r="N287" s="2750"/>
      <c r="O287" s="2750"/>
      <c r="P287" s="2750"/>
      <c r="Q287" s="2751"/>
      <c r="R287" s="2739">
        <f>MORTGAGE!I278</f>
        <v>0</v>
      </c>
      <c r="S287" s="2740"/>
      <c r="T287" s="2740"/>
      <c r="U287" s="2740"/>
      <c r="V287" s="2741"/>
      <c r="W287" s="2733">
        <f>MORTGAGE!K278</f>
        <v>0</v>
      </c>
      <c r="X287" s="2734"/>
      <c r="Y287" s="2734"/>
      <c r="Z287" s="2734"/>
      <c r="AA287" s="2735"/>
      <c r="AB287" s="2727">
        <f>MORTGAGE!L278</f>
        <v>118970</v>
      </c>
      <c r="AC287" s="2728"/>
      <c r="AD287" s="2728"/>
      <c r="AE287" s="2728"/>
      <c r="AF287" s="2729"/>
      <c r="AG287" s="2719">
        <f>MORTGAGE!N278</f>
        <v>1.025603448275862</v>
      </c>
      <c r="AH287" s="2720"/>
      <c r="AI287" s="2720"/>
      <c r="AJ287" s="2720"/>
      <c r="AK287" s="2723"/>
      <c r="AL287" s="2719">
        <f>MORTGAGE!O278</f>
        <v>0</v>
      </c>
      <c r="AM287" s="2720"/>
      <c r="AN287" s="2720"/>
      <c r="AO287" s="2720"/>
      <c r="AP287" s="2720"/>
      <c r="AQ287" s="1239">
        <f t="shared" si="3"/>
        <v>1</v>
      </c>
    </row>
    <row r="288" spans="1:43" x14ac:dyDescent="0.25">
      <c r="A288" s="2"/>
      <c r="B288" s="2791"/>
      <c r="C288" s="2792"/>
      <c r="D288" s="2793"/>
      <c r="E288" s="2776" t="str">
        <f>IF(MORTGAGE!B279=0,"",MORTGAGE!B279)</f>
        <v/>
      </c>
      <c r="F288" s="2777"/>
      <c r="G288" s="2778"/>
      <c r="H288" s="2761">
        <f>MORTGAGE!H279</f>
        <v>0</v>
      </c>
      <c r="I288" s="2762"/>
      <c r="J288" s="2762"/>
      <c r="K288" s="2762"/>
      <c r="L288" s="2763"/>
      <c r="M288" s="2749">
        <f>MORTGAGE!J279</f>
        <v>0</v>
      </c>
      <c r="N288" s="2750"/>
      <c r="O288" s="2750"/>
      <c r="P288" s="2750"/>
      <c r="Q288" s="2751"/>
      <c r="R288" s="2739">
        <f>MORTGAGE!I279</f>
        <v>0</v>
      </c>
      <c r="S288" s="2740"/>
      <c r="T288" s="2740"/>
      <c r="U288" s="2740"/>
      <c r="V288" s="2741"/>
      <c r="W288" s="2733">
        <f>MORTGAGE!K279</f>
        <v>0</v>
      </c>
      <c r="X288" s="2734"/>
      <c r="Y288" s="2734"/>
      <c r="Z288" s="2734"/>
      <c r="AA288" s="2735"/>
      <c r="AB288" s="2727">
        <f>MORTGAGE!L279</f>
        <v>118970</v>
      </c>
      <c r="AC288" s="2728"/>
      <c r="AD288" s="2728"/>
      <c r="AE288" s="2728"/>
      <c r="AF288" s="2729"/>
      <c r="AG288" s="2719">
        <f>MORTGAGE!N279</f>
        <v>1.025603448275862</v>
      </c>
      <c r="AH288" s="2720"/>
      <c r="AI288" s="2720"/>
      <c r="AJ288" s="2720"/>
      <c r="AK288" s="2723"/>
      <c r="AL288" s="2719">
        <f>MORTGAGE!O279</f>
        <v>0</v>
      </c>
      <c r="AM288" s="2720"/>
      <c r="AN288" s="2720"/>
      <c r="AO288" s="2720"/>
      <c r="AP288" s="2720"/>
      <c r="AQ288" s="1239">
        <f t="shared" si="3"/>
        <v>1</v>
      </c>
    </row>
    <row r="289" spans="1:43" x14ac:dyDescent="0.25">
      <c r="A289" s="2"/>
      <c r="B289" s="2791"/>
      <c r="C289" s="2792"/>
      <c r="D289" s="2793"/>
      <c r="E289" s="2776" t="str">
        <f>IF(MORTGAGE!B280=0,"",MORTGAGE!B280)</f>
        <v/>
      </c>
      <c r="F289" s="2777"/>
      <c r="G289" s="2778"/>
      <c r="H289" s="2761">
        <f>MORTGAGE!H280</f>
        <v>0</v>
      </c>
      <c r="I289" s="2762"/>
      <c r="J289" s="2762"/>
      <c r="K289" s="2762"/>
      <c r="L289" s="2763"/>
      <c r="M289" s="2749">
        <f>MORTGAGE!J280</f>
        <v>0</v>
      </c>
      <c r="N289" s="2750"/>
      <c r="O289" s="2750"/>
      <c r="P289" s="2750"/>
      <c r="Q289" s="2751"/>
      <c r="R289" s="2739">
        <f>MORTGAGE!I280</f>
        <v>0</v>
      </c>
      <c r="S289" s="2740"/>
      <c r="T289" s="2740"/>
      <c r="U289" s="2740"/>
      <c r="V289" s="2741"/>
      <c r="W289" s="2733">
        <f>MORTGAGE!K280</f>
        <v>0</v>
      </c>
      <c r="X289" s="2734"/>
      <c r="Y289" s="2734"/>
      <c r="Z289" s="2734"/>
      <c r="AA289" s="2735"/>
      <c r="AB289" s="2727">
        <f>MORTGAGE!L280</f>
        <v>118970</v>
      </c>
      <c r="AC289" s="2728"/>
      <c r="AD289" s="2728"/>
      <c r="AE289" s="2728"/>
      <c r="AF289" s="2729"/>
      <c r="AG289" s="2719">
        <f>MORTGAGE!N280</f>
        <v>1.025603448275862</v>
      </c>
      <c r="AH289" s="2720"/>
      <c r="AI289" s="2720"/>
      <c r="AJ289" s="2720"/>
      <c r="AK289" s="2723"/>
      <c r="AL289" s="2719">
        <f>MORTGAGE!O280</f>
        <v>0</v>
      </c>
      <c r="AM289" s="2720"/>
      <c r="AN289" s="2720"/>
      <c r="AO289" s="2720"/>
      <c r="AP289" s="2720"/>
      <c r="AQ289" s="1239">
        <f t="shared" si="3"/>
        <v>1</v>
      </c>
    </row>
    <row r="290" spans="1:43" x14ac:dyDescent="0.25">
      <c r="A290" s="2"/>
      <c r="B290" s="2791"/>
      <c r="C290" s="2792"/>
      <c r="D290" s="2793"/>
      <c r="E290" s="2776" t="str">
        <f>IF(MORTGAGE!B281=0,"",MORTGAGE!B281)</f>
        <v/>
      </c>
      <c r="F290" s="2777"/>
      <c r="G290" s="2778"/>
      <c r="H290" s="2761">
        <f>MORTGAGE!H281</f>
        <v>0</v>
      </c>
      <c r="I290" s="2762"/>
      <c r="J290" s="2762"/>
      <c r="K290" s="2762"/>
      <c r="L290" s="2763"/>
      <c r="M290" s="2749">
        <f>MORTGAGE!J281</f>
        <v>0</v>
      </c>
      <c r="N290" s="2750"/>
      <c r="O290" s="2750"/>
      <c r="P290" s="2750"/>
      <c r="Q290" s="2751"/>
      <c r="R290" s="2739">
        <f>MORTGAGE!I281</f>
        <v>0</v>
      </c>
      <c r="S290" s="2740"/>
      <c r="T290" s="2740"/>
      <c r="U290" s="2740"/>
      <c r="V290" s="2741"/>
      <c r="W290" s="2733">
        <f>MORTGAGE!K281</f>
        <v>0</v>
      </c>
      <c r="X290" s="2734"/>
      <c r="Y290" s="2734"/>
      <c r="Z290" s="2734"/>
      <c r="AA290" s="2735"/>
      <c r="AB290" s="2727">
        <f>MORTGAGE!L281</f>
        <v>118970</v>
      </c>
      <c r="AC290" s="2728"/>
      <c r="AD290" s="2728"/>
      <c r="AE290" s="2728"/>
      <c r="AF290" s="2729"/>
      <c r="AG290" s="2719">
        <f>MORTGAGE!N281</f>
        <v>1.025603448275862</v>
      </c>
      <c r="AH290" s="2720"/>
      <c r="AI290" s="2720"/>
      <c r="AJ290" s="2720"/>
      <c r="AK290" s="2723"/>
      <c r="AL290" s="2719">
        <f>MORTGAGE!O281</f>
        <v>0</v>
      </c>
      <c r="AM290" s="2720"/>
      <c r="AN290" s="2720"/>
      <c r="AO290" s="2720"/>
      <c r="AP290" s="2720"/>
      <c r="AQ290" s="1239">
        <f t="shared" si="3"/>
        <v>1</v>
      </c>
    </row>
    <row r="291" spans="1:43" x14ac:dyDescent="0.25">
      <c r="A291" s="2"/>
      <c r="B291" s="2791"/>
      <c r="C291" s="2792"/>
      <c r="D291" s="2793"/>
      <c r="E291" s="2776" t="str">
        <f>IF(MORTGAGE!B282=0,"",MORTGAGE!B282)</f>
        <v/>
      </c>
      <c r="F291" s="2777"/>
      <c r="G291" s="2778"/>
      <c r="H291" s="2761">
        <f>MORTGAGE!H282</f>
        <v>0</v>
      </c>
      <c r="I291" s="2762"/>
      <c r="J291" s="2762"/>
      <c r="K291" s="2762"/>
      <c r="L291" s="2763"/>
      <c r="M291" s="2749">
        <f>MORTGAGE!J282</f>
        <v>0</v>
      </c>
      <c r="N291" s="2750"/>
      <c r="O291" s="2750"/>
      <c r="P291" s="2750"/>
      <c r="Q291" s="2751"/>
      <c r="R291" s="2739">
        <f>MORTGAGE!I282</f>
        <v>0</v>
      </c>
      <c r="S291" s="2740"/>
      <c r="T291" s="2740"/>
      <c r="U291" s="2740"/>
      <c r="V291" s="2741"/>
      <c r="W291" s="2733">
        <f>MORTGAGE!K282</f>
        <v>0</v>
      </c>
      <c r="X291" s="2734"/>
      <c r="Y291" s="2734"/>
      <c r="Z291" s="2734"/>
      <c r="AA291" s="2735"/>
      <c r="AB291" s="2727">
        <f>MORTGAGE!L282</f>
        <v>118970</v>
      </c>
      <c r="AC291" s="2728"/>
      <c r="AD291" s="2728"/>
      <c r="AE291" s="2728"/>
      <c r="AF291" s="2729"/>
      <c r="AG291" s="2719">
        <f>MORTGAGE!N282</f>
        <v>1.025603448275862</v>
      </c>
      <c r="AH291" s="2720"/>
      <c r="AI291" s="2720"/>
      <c r="AJ291" s="2720"/>
      <c r="AK291" s="2723"/>
      <c r="AL291" s="2719">
        <f>MORTGAGE!O282</f>
        <v>0</v>
      </c>
      <c r="AM291" s="2720"/>
      <c r="AN291" s="2720"/>
      <c r="AO291" s="2720"/>
      <c r="AP291" s="2720"/>
      <c r="AQ291" s="1239">
        <f t="shared" si="3"/>
        <v>1</v>
      </c>
    </row>
    <row r="292" spans="1:43" x14ac:dyDescent="0.25">
      <c r="A292" s="2"/>
      <c r="B292" s="2791"/>
      <c r="C292" s="2792"/>
      <c r="D292" s="2793"/>
      <c r="E292" s="2776" t="str">
        <f>IF(MORTGAGE!B283=0,"",MORTGAGE!B283)</f>
        <v/>
      </c>
      <c r="F292" s="2777"/>
      <c r="G292" s="2778"/>
      <c r="H292" s="2761">
        <f>MORTGAGE!H283</f>
        <v>0</v>
      </c>
      <c r="I292" s="2762"/>
      <c r="J292" s="2762"/>
      <c r="K292" s="2762"/>
      <c r="L292" s="2763"/>
      <c r="M292" s="2749">
        <f>MORTGAGE!J283</f>
        <v>0</v>
      </c>
      <c r="N292" s="2750"/>
      <c r="O292" s="2750"/>
      <c r="P292" s="2750"/>
      <c r="Q292" s="2751"/>
      <c r="R292" s="2739">
        <f>MORTGAGE!I283</f>
        <v>0</v>
      </c>
      <c r="S292" s="2740"/>
      <c r="T292" s="2740"/>
      <c r="U292" s="2740"/>
      <c r="V292" s="2741"/>
      <c r="W292" s="2733">
        <f>MORTGAGE!K283</f>
        <v>0</v>
      </c>
      <c r="X292" s="2734"/>
      <c r="Y292" s="2734"/>
      <c r="Z292" s="2734"/>
      <c r="AA292" s="2735"/>
      <c r="AB292" s="2727">
        <f>MORTGAGE!L283</f>
        <v>118970</v>
      </c>
      <c r="AC292" s="2728"/>
      <c r="AD292" s="2728"/>
      <c r="AE292" s="2728"/>
      <c r="AF292" s="2729"/>
      <c r="AG292" s="2719">
        <f>MORTGAGE!N283</f>
        <v>1.025603448275862</v>
      </c>
      <c r="AH292" s="2720"/>
      <c r="AI292" s="2720"/>
      <c r="AJ292" s="2720"/>
      <c r="AK292" s="2723"/>
      <c r="AL292" s="2719">
        <f>MORTGAGE!O283</f>
        <v>0</v>
      </c>
      <c r="AM292" s="2720"/>
      <c r="AN292" s="2720"/>
      <c r="AO292" s="2720"/>
      <c r="AP292" s="2720"/>
      <c r="AQ292" s="1239">
        <f t="shared" si="3"/>
        <v>1</v>
      </c>
    </row>
    <row r="293" spans="1:43" x14ac:dyDescent="0.25">
      <c r="A293" s="2"/>
      <c r="B293" s="2791"/>
      <c r="C293" s="2792"/>
      <c r="D293" s="2793"/>
      <c r="E293" s="2776" t="str">
        <f>IF(MORTGAGE!B284=0,"",MORTGAGE!B284)</f>
        <v/>
      </c>
      <c r="F293" s="2777"/>
      <c r="G293" s="2778"/>
      <c r="H293" s="2761">
        <f>MORTGAGE!H284</f>
        <v>0</v>
      </c>
      <c r="I293" s="2762"/>
      <c r="J293" s="2762"/>
      <c r="K293" s="2762"/>
      <c r="L293" s="2763"/>
      <c r="M293" s="2749">
        <f>MORTGAGE!J284</f>
        <v>0</v>
      </c>
      <c r="N293" s="2750"/>
      <c r="O293" s="2750"/>
      <c r="P293" s="2750"/>
      <c r="Q293" s="2751"/>
      <c r="R293" s="2739">
        <f>MORTGAGE!I284</f>
        <v>0</v>
      </c>
      <c r="S293" s="2740"/>
      <c r="T293" s="2740"/>
      <c r="U293" s="2740"/>
      <c r="V293" s="2741"/>
      <c r="W293" s="2733">
        <f>MORTGAGE!K284</f>
        <v>0</v>
      </c>
      <c r="X293" s="2734"/>
      <c r="Y293" s="2734"/>
      <c r="Z293" s="2734"/>
      <c r="AA293" s="2735"/>
      <c r="AB293" s="2727">
        <f>MORTGAGE!L284</f>
        <v>118970</v>
      </c>
      <c r="AC293" s="2728"/>
      <c r="AD293" s="2728"/>
      <c r="AE293" s="2728"/>
      <c r="AF293" s="2729"/>
      <c r="AG293" s="2719">
        <f>MORTGAGE!N284</f>
        <v>1.025603448275862</v>
      </c>
      <c r="AH293" s="2720"/>
      <c r="AI293" s="2720"/>
      <c r="AJ293" s="2720"/>
      <c r="AK293" s="2723"/>
      <c r="AL293" s="2719">
        <f>MORTGAGE!O284</f>
        <v>0</v>
      </c>
      <c r="AM293" s="2720"/>
      <c r="AN293" s="2720"/>
      <c r="AO293" s="2720"/>
      <c r="AP293" s="2720"/>
      <c r="AQ293" s="1239">
        <f t="shared" si="3"/>
        <v>1</v>
      </c>
    </row>
    <row r="294" spans="1:43" x14ac:dyDescent="0.25">
      <c r="A294" s="2"/>
      <c r="B294" s="2791"/>
      <c r="C294" s="2792"/>
      <c r="D294" s="2793"/>
      <c r="E294" s="2776" t="str">
        <f>IF(MORTGAGE!B285=0,"",MORTGAGE!B285)</f>
        <v/>
      </c>
      <c r="F294" s="2777"/>
      <c r="G294" s="2778"/>
      <c r="H294" s="2761">
        <f>MORTGAGE!H285</f>
        <v>0</v>
      </c>
      <c r="I294" s="2762"/>
      <c r="J294" s="2762"/>
      <c r="K294" s="2762"/>
      <c r="L294" s="2763"/>
      <c r="M294" s="2749">
        <f>MORTGAGE!J285</f>
        <v>0</v>
      </c>
      <c r="N294" s="2750"/>
      <c r="O294" s="2750"/>
      <c r="P294" s="2750"/>
      <c r="Q294" s="2751"/>
      <c r="R294" s="2739">
        <f>MORTGAGE!I285</f>
        <v>0</v>
      </c>
      <c r="S294" s="2740"/>
      <c r="T294" s="2740"/>
      <c r="U294" s="2740"/>
      <c r="V294" s="2741"/>
      <c r="W294" s="2733">
        <f>MORTGAGE!K285</f>
        <v>0</v>
      </c>
      <c r="X294" s="2734"/>
      <c r="Y294" s="2734"/>
      <c r="Z294" s="2734"/>
      <c r="AA294" s="2735"/>
      <c r="AB294" s="2727">
        <f>MORTGAGE!L285</f>
        <v>118970</v>
      </c>
      <c r="AC294" s="2728"/>
      <c r="AD294" s="2728"/>
      <c r="AE294" s="2728"/>
      <c r="AF294" s="2729"/>
      <c r="AG294" s="2719">
        <f>MORTGAGE!N285</f>
        <v>1.025603448275862</v>
      </c>
      <c r="AH294" s="2720"/>
      <c r="AI294" s="2720"/>
      <c r="AJ294" s="2720"/>
      <c r="AK294" s="2723"/>
      <c r="AL294" s="2719">
        <f>MORTGAGE!O285</f>
        <v>0</v>
      </c>
      <c r="AM294" s="2720"/>
      <c r="AN294" s="2720"/>
      <c r="AO294" s="2720"/>
      <c r="AP294" s="2720"/>
      <c r="AQ294" s="1239">
        <f t="shared" si="3"/>
        <v>1</v>
      </c>
    </row>
    <row r="295" spans="1:43" x14ac:dyDescent="0.25">
      <c r="A295" s="2"/>
      <c r="B295" s="2791"/>
      <c r="C295" s="2792"/>
      <c r="D295" s="2793"/>
      <c r="E295" s="2776" t="str">
        <f>IF(MORTGAGE!B286=0,"",MORTGAGE!B286)</f>
        <v/>
      </c>
      <c r="F295" s="2777"/>
      <c r="G295" s="2778"/>
      <c r="H295" s="2761">
        <f>MORTGAGE!H286</f>
        <v>0</v>
      </c>
      <c r="I295" s="2762"/>
      <c r="J295" s="2762"/>
      <c r="K295" s="2762"/>
      <c r="L295" s="2763"/>
      <c r="M295" s="2749">
        <f>MORTGAGE!J286</f>
        <v>0</v>
      </c>
      <c r="N295" s="2750"/>
      <c r="O295" s="2750"/>
      <c r="P295" s="2750"/>
      <c r="Q295" s="2751"/>
      <c r="R295" s="2739">
        <f>MORTGAGE!I286</f>
        <v>0</v>
      </c>
      <c r="S295" s="2740"/>
      <c r="T295" s="2740"/>
      <c r="U295" s="2740"/>
      <c r="V295" s="2741"/>
      <c r="W295" s="2733">
        <f>MORTGAGE!K286</f>
        <v>0</v>
      </c>
      <c r="X295" s="2734"/>
      <c r="Y295" s="2734"/>
      <c r="Z295" s="2734"/>
      <c r="AA295" s="2735"/>
      <c r="AB295" s="2727">
        <f>MORTGAGE!L286</f>
        <v>118970</v>
      </c>
      <c r="AC295" s="2728"/>
      <c r="AD295" s="2728"/>
      <c r="AE295" s="2728"/>
      <c r="AF295" s="2729"/>
      <c r="AG295" s="2719">
        <f>MORTGAGE!N286</f>
        <v>1.025603448275862</v>
      </c>
      <c r="AH295" s="2720"/>
      <c r="AI295" s="2720"/>
      <c r="AJ295" s="2720"/>
      <c r="AK295" s="2723"/>
      <c r="AL295" s="2719">
        <f>MORTGAGE!O286</f>
        <v>0</v>
      </c>
      <c r="AM295" s="2720"/>
      <c r="AN295" s="2720"/>
      <c r="AO295" s="2720"/>
      <c r="AP295" s="2720"/>
      <c r="AQ295" s="1239">
        <f t="shared" si="3"/>
        <v>1</v>
      </c>
    </row>
    <row r="296" spans="1:43" x14ac:dyDescent="0.25">
      <c r="A296" s="2"/>
      <c r="B296" s="2791"/>
      <c r="C296" s="2792"/>
      <c r="D296" s="2793"/>
      <c r="E296" s="2776" t="str">
        <f>IF(MORTGAGE!B287=0,"",MORTGAGE!B287)</f>
        <v/>
      </c>
      <c r="F296" s="2777"/>
      <c r="G296" s="2778"/>
      <c r="H296" s="2761">
        <f>MORTGAGE!H287</f>
        <v>0</v>
      </c>
      <c r="I296" s="2762"/>
      <c r="J296" s="2762"/>
      <c r="K296" s="2762"/>
      <c r="L296" s="2763"/>
      <c r="M296" s="2749">
        <f>MORTGAGE!J287</f>
        <v>0</v>
      </c>
      <c r="N296" s="2750"/>
      <c r="O296" s="2750"/>
      <c r="P296" s="2750"/>
      <c r="Q296" s="2751"/>
      <c r="R296" s="2739">
        <f>MORTGAGE!I287</f>
        <v>0</v>
      </c>
      <c r="S296" s="2740"/>
      <c r="T296" s="2740"/>
      <c r="U296" s="2740"/>
      <c r="V296" s="2741"/>
      <c r="W296" s="2733">
        <f>MORTGAGE!K287</f>
        <v>0</v>
      </c>
      <c r="X296" s="2734"/>
      <c r="Y296" s="2734"/>
      <c r="Z296" s="2734"/>
      <c r="AA296" s="2735"/>
      <c r="AB296" s="2727">
        <f>MORTGAGE!L287</f>
        <v>118970</v>
      </c>
      <c r="AC296" s="2728"/>
      <c r="AD296" s="2728"/>
      <c r="AE296" s="2728"/>
      <c r="AF296" s="2729"/>
      <c r="AG296" s="2719">
        <f>MORTGAGE!N287</f>
        <v>1.025603448275862</v>
      </c>
      <c r="AH296" s="2720"/>
      <c r="AI296" s="2720"/>
      <c r="AJ296" s="2720"/>
      <c r="AK296" s="2723"/>
      <c r="AL296" s="2719">
        <f>MORTGAGE!O287</f>
        <v>0</v>
      </c>
      <c r="AM296" s="2720"/>
      <c r="AN296" s="2720"/>
      <c r="AO296" s="2720"/>
      <c r="AP296" s="2720"/>
      <c r="AQ296" s="1239">
        <f t="shared" si="3"/>
        <v>1</v>
      </c>
    </row>
    <row r="297" spans="1:43" ht="14.4" thickBot="1" x14ac:dyDescent="0.3">
      <c r="A297" s="2"/>
      <c r="B297" s="2794"/>
      <c r="C297" s="2795"/>
      <c r="D297" s="2796"/>
      <c r="E297" s="2776" t="str">
        <f>IF(MORTGAGE!B288=0,"",MORTGAGE!B288)</f>
        <v/>
      </c>
      <c r="F297" s="2777"/>
      <c r="G297" s="2778"/>
      <c r="H297" s="2761">
        <f>MORTGAGE!H288</f>
        <v>0</v>
      </c>
      <c r="I297" s="2762"/>
      <c r="J297" s="2762"/>
      <c r="K297" s="2762"/>
      <c r="L297" s="2763"/>
      <c r="M297" s="2749">
        <f>MORTGAGE!J288</f>
        <v>0</v>
      </c>
      <c r="N297" s="2750"/>
      <c r="O297" s="2750"/>
      <c r="P297" s="2750"/>
      <c r="Q297" s="2751"/>
      <c r="R297" s="2739">
        <f>MORTGAGE!I288</f>
        <v>0</v>
      </c>
      <c r="S297" s="2740"/>
      <c r="T297" s="2740"/>
      <c r="U297" s="2740"/>
      <c r="V297" s="2741"/>
      <c r="W297" s="2733">
        <f>MORTGAGE!K288</f>
        <v>0</v>
      </c>
      <c r="X297" s="2734"/>
      <c r="Y297" s="2734"/>
      <c r="Z297" s="2734"/>
      <c r="AA297" s="2735"/>
      <c r="AB297" s="2727">
        <f>MORTGAGE!L288</f>
        <v>118970</v>
      </c>
      <c r="AC297" s="2728"/>
      <c r="AD297" s="2728"/>
      <c r="AE297" s="2728"/>
      <c r="AF297" s="2729"/>
      <c r="AG297" s="2719">
        <f>MORTGAGE!N288</f>
        <v>1.025603448275862</v>
      </c>
      <c r="AH297" s="2720"/>
      <c r="AI297" s="2720"/>
      <c r="AJ297" s="2720"/>
      <c r="AK297" s="2723"/>
      <c r="AL297" s="2719">
        <f>MORTGAGE!O288</f>
        <v>0</v>
      </c>
      <c r="AM297" s="2720"/>
      <c r="AN297" s="2720"/>
      <c r="AO297" s="2720"/>
      <c r="AP297" s="2720"/>
      <c r="AQ297" s="1239">
        <f t="shared" si="3"/>
        <v>1</v>
      </c>
    </row>
    <row r="298" spans="1:43" x14ac:dyDescent="0.25">
      <c r="A298" s="2"/>
      <c r="B298" s="2797" t="str">
        <f>IFERROR(ROUNDUP(E298/12,0),"")</f>
        <v/>
      </c>
      <c r="C298" s="2798"/>
      <c r="D298" s="2799"/>
      <c r="E298" s="2785" t="str">
        <f>IF(MORTGAGE!B289=0,"",MORTGAGE!B289)</f>
        <v/>
      </c>
      <c r="F298" s="2786"/>
      <c r="G298" s="2787"/>
      <c r="H298" s="2773">
        <f>MORTGAGE!H289</f>
        <v>0</v>
      </c>
      <c r="I298" s="2774"/>
      <c r="J298" s="2774"/>
      <c r="K298" s="2774"/>
      <c r="L298" s="2775"/>
      <c r="M298" s="2758">
        <f>MORTGAGE!J289</f>
        <v>0</v>
      </c>
      <c r="N298" s="2759"/>
      <c r="O298" s="2759"/>
      <c r="P298" s="2759"/>
      <c r="Q298" s="2760"/>
      <c r="R298" s="2746">
        <f>MORTGAGE!I289</f>
        <v>0</v>
      </c>
      <c r="S298" s="2747"/>
      <c r="T298" s="2747"/>
      <c r="U298" s="2747"/>
      <c r="V298" s="2748"/>
      <c r="W298" s="2736">
        <f>MORTGAGE!K289</f>
        <v>0</v>
      </c>
      <c r="X298" s="2737"/>
      <c r="Y298" s="2737"/>
      <c r="Z298" s="2737"/>
      <c r="AA298" s="2738"/>
      <c r="AB298" s="2730">
        <f>MORTGAGE!L289</f>
        <v>118970</v>
      </c>
      <c r="AC298" s="2731"/>
      <c r="AD298" s="2731"/>
      <c r="AE298" s="2731"/>
      <c r="AF298" s="2732"/>
      <c r="AG298" s="2724">
        <f>MORTGAGE!N289</f>
        <v>1.025603448275862</v>
      </c>
      <c r="AH298" s="2725"/>
      <c r="AI298" s="2725"/>
      <c r="AJ298" s="2725"/>
      <c r="AK298" s="2726"/>
      <c r="AL298" s="2721">
        <f>MORTGAGE!O289</f>
        <v>0</v>
      </c>
      <c r="AM298" s="2722"/>
      <c r="AN298" s="2722"/>
      <c r="AO298" s="2722"/>
      <c r="AP298" s="2722"/>
      <c r="AQ298" s="1239">
        <f t="shared" si="3"/>
        <v>1</v>
      </c>
    </row>
    <row r="299" spans="1:43" x14ac:dyDescent="0.25">
      <c r="A299" s="2"/>
      <c r="B299" s="2791"/>
      <c r="C299" s="2792"/>
      <c r="D299" s="2793"/>
      <c r="E299" s="2776" t="str">
        <f>IF(MORTGAGE!B290=0,"",MORTGAGE!B290)</f>
        <v/>
      </c>
      <c r="F299" s="2777"/>
      <c r="G299" s="2778"/>
      <c r="H299" s="2761">
        <f>MORTGAGE!H290</f>
        <v>0</v>
      </c>
      <c r="I299" s="2762"/>
      <c r="J299" s="2762"/>
      <c r="K299" s="2762"/>
      <c r="L299" s="2763"/>
      <c r="M299" s="2749">
        <f>MORTGAGE!J290</f>
        <v>0</v>
      </c>
      <c r="N299" s="2750"/>
      <c r="O299" s="2750"/>
      <c r="P299" s="2750"/>
      <c r="Q299" s="2751"/>
      <c r="R299" s="2739">
        <f>MORTGAGE!I290</f>
        <v>0</v>
      </c>
      <c r="S299" s="2740"/>
      <c r="T299" s="2740"/>
      <c r="U299" s="2740"/>
      <c r="V299" s="2741"/>
      <c r="W299" s="2733">
        <f>MORTGAGE!K290</f>
        <v>0</v>
      </c>
      <c r="X299" s="2734"/>
      <c r="Y299" s="2734"/>
      <c r="Z299" s="2734"/>
      <c r="AA299" s="2735"/>
      <c r="AB299" s="2727">
        <f>MORTGAGE!L290</f>
        <v>118970</v>
      </c>
      <c r="AC299" s="2728"/>
      <c r="AD299" s="2728"/>
      <c r="AE299" s="2728"/>
      <c r="AF299" s="2729"/>
      <c r="AG299" s="2719">
        <f>MORTGAGE!N290</f>
        <v>1.025603448275862</v>
      </c>
      <c r="AH299" s="2720"/>
      <c r="AI299" s="2720"/>
      <c r="AJ299" s="2720"/>
      <c r="AK299" s="2723"/>
      <c r="AL299" s="2719">
        <f>MORTGAGE!O290</f>
        <v>0</v>
      </c>
      <c r="AM299" s="2720"/>
      <c r="AN299" s="2720"/>
      <c r="AO299" s="2720"/>
      <c r="AP299" s="2720"/>
      <c r="AQ299" s="1239">
        <f t="shared" si="3"/>
        <v>1</v>
      </c>
    </row>
    <row r="300" spans="1:43" x14ac:dyDescent="0.25">
      <c r="A300" s="2"/>
      <c r="B300" s="2791"/>
      <c r="C300" s="2792"/>
      <c r="D300" s="2793"/>
      <c r="E300" s="2776" t="str">
        <f>IF(MORTGAGE!B291=0,"",MORTGAGE!B291)</f>
        <v/>
      </c>
      <c r="F300" s="2777"/>
      <c r="G300" s="2778"/>
      <c r="H300" s="2761">
        <f>MORTGAGE!H291</f>
        <v>0</v>
      </c>
      <c r="I300" s="2762"/>
      <c r="J300" s="2762"/>
      <c r="K300" s="2762"/>
      <c r="L300" s="2763"/>
      <c r="M300" s="2749">
        <f>MORTGAGE!J291</f>
        <v>0</v>
      </c>
      <c r="N300" s="2750"/>
      <c r="O300" s="2750"/>
      <c r="P300" s="2750"/>
      <c r="Q300" s="2751"/>
      <c r="R300" s="2739">
        <f>MORTGAGE!I291</f>
        <v>0</v>
      </c>
      <c r="S300" s="2740"/>
      <c r="T300" s="2740"/>
      <c r="U300" s="2740"/>
      <c r="V300" s="2741"/>
      <c r="W300" s="2733">
        <f>MORTGAGE!K291</f>
        <v>0</v>
      </c>
      <c r="X300" s="2734"/>
      <c r="Y300" s="2734"/>
      <c r="Z300" s="2734"/>
      <c r="AA300" s="2735"/>
      <c r="AB300" s="2727">
        <f>MORTGAGE!L291</f>
        <v>118970</v>
      </c>
      <c r="AC300" s="2728"/>
      <c r="AD300" s="2728"/>
      <c r="AE300" s="2728"/>
      <c r="AF300" s="2729"/>
      <c r="AG300" s="2719">
        <f>MORTGAGE!N291</f>
        <v>1.025603448275862</v>
      </c>
      <c r="AH300" s="2720"/>
      <c r="AI300" s="2720"/>
      <c r="AJ300" s="2720"/>
      <c r="AK300" s="2723"/>
      <c r="AL300" s="2719">
        <f>MORTGAGE!O291</f>
        <v>0</v>
      </c>
      <c r="AM300" s="2720"/>
      <c r="AN300" s="2720"/>
      <c r="AO300" s="2720"/>
      <c r="AP300" s="2720"/>
      <c r="AQ300" s="1239">
        <f t="shared" si="3"/>
        <v>1</v>
      </c>
    </row>
    <row r="301" spans="1:43" x14ac:dyDescent="0.25">
      <c r="A301" s="2"/>
      <c r="B301" s="2791"/>
      <c r="C301" s="2792"/>
      <c r="D301" s="2793"/>
      <c r="E301" s="2776" t="str">
        <f>IF(MORTGAGE!B292=0,"",MORTGAGE!B292)</f>
        <v/>
      </c>
      <c r="F301" s="2777"/>
      <c r="G301" s="2778"/>
      <c r="H301" s="2761">
        <f>MORTGAGE!H292</f>
        <v>0</v>
      </c>
      <c r="I301" s="2762"/>
      <c r="J301" s="2762"/>
      <c r="K301" s="2762"/>
      <c r="L301" s="2763"/>
      <c r="M301" s="2749">
        <f>MORTGAGE!J292</f>
        <v>0</v>
      </c>
      <c r="N301" s="2750"/>
      <c r="O301" s="2750"/>
      <c r="P301" s="2750"/>
      <c r="Q301" s="2751"/>
      <c r="R301" s="2739">
        <f>MORTGAGE!I292</f>
        <v>0</v>
      </c>
      <c r="S301" s="2740"/>
      <c r="T301" s="2740"/>
      <c r="U301" s="2740"/>
      <c r="V301" s="2741"/>
      <c r="W301" s="2733">
        <f>MORTGAGE!K292</f>
        <v>0</v>
      </c>
      <c r="X301" s="2734"/>
      <c r="Y301" s="2734"/>
      <c r="Z301" s="2734"/>
      <c r="AA301" s="2735"/>
      <c r="AB301" s="2727">
        <f>MORTGAGE!L292</f>
        <v>118970</v>
      </c>
      <c r="AC301" s="2728"/>
      <c r="AD301" s="2728"/>
      <c r="AE301" s="2728"/>
      <c r="AF301" s="2729"/>
      <c r="AG301" s="2719">
        <f>MORTGAGE!N292</f>
        <v>1.025603448275862</v>
      </c>
      <c r="AH301" s="2720"/>
      <c r="AI301" s="2720"/>
      <c r="AJ301" s="2720"/>
      <c r="AK301" s="2723"/>
      <c r="AL301" s="2719">
        <f>MORTGAGE!O292</f>
        <v>0</v>
      </c>
      <c r="AM301" s="2720"/>
      <c r="AN301" s="2720"/>
      <c r="AO301" s="2720"/>
      <c r="AP301" s="2720"/>
      <c r="AQ301" s="1239">
        <f t="shared" si="3"/>
        <v>1</v>
      </c>
    </row>
    <row r="302" spans="1:43" x14ac:dyDescent="0.25">
      <c r="A302" s="2"/>
      <c r="B302" s="2791"/>
      <c r="C302" s="2792"/>
      <c r="D302" s="2793"/>
      <c r="E302" s="2776" t="str">
        <f>IF(MORTGAGE!B293=0,"",MORTGAGE!B293)</f>
        <v/>
      </c>
      <c r="F302" s="2777"/>
      <c r="G302" s="2778"/>
      <c r="H302" s="2761">
        <f>MORTGAGE!H293</f>
        <v>0</v>
      </c>
      <c r="I302" s="2762"/>
      <c r="J302" s="2762"/>
      <c r="K302" s="2762"/>
      <c r="L302" s="2763"/>
      <c r="M302" s="2749">
        <f>MORTGAGE!J293</f>
        <v>0</v>
      </c>
      <c r="N302" s="2750"/>
      <c r="O302" s="2750"/>
      <c r="P302" s="2750"/>
      <c r="Q302" s="2751"/>
      <c r="R302" s="2739">
        <f>MORTGAGE!I293</f>
        <v>0</v>
      </c>
      <c r="S302" s="2740"/>
      <c r="T302" s="2740"/>
      <c r="U302" s="2740"/>
      <c r="V302" s="2741"/>
      <c r="W302" s="2733">
        <f>MORTGAGE!K293</f>
        <v>0</v>
      </c>
      <c r="X302" s="2734"/>
      <c r="Y302" s="2734"/>
      <c r="Z302" s="2734"/>
      <c r="AA302" s="2735"/>
      <c r="AB302" s="2727">
        <f>MORTGAGE!L293</f>
        <v>118970</v>
      </c>
      <c r="AC302" s="2728"/>
      <c r="AD302" s="2728"/>
      <c r="AE302" s="2728"/>
      <c r="AF302" s="2729"/>
      <c r="AG302" s="2719">
        <f>MORTGAGE!N293</f>
        <v>1.025603448275862</v>
      </c>
      <c r="AH302" s="2720"/>
      <c r="AI302" s="2720"/>
      <c r="AJ302" s="2720"/>
      <c r="AK302" s="2723"/>
      <c r="AL302" s="2719">
        <f>MORTGAGE!O293</f>
        <v>0</v>
      </c>
      <c r="AM302" s="2720"/>
      <c r="AN302" s="2720"/>
      <c r="AO302" s="2720"/>
      <c r="AP302" s="2720"/>
      <c r="AQ302" s="1239">
        <f t="shared" ref="AQ302:AQ354" si="4">IF(SUM(H302:AG302)=0,0,1)</f>
        <v>1</v>
      </c>
    </row>
    <row r="303" spans="1:43" x14ac:dyDescent="0.25">
      <c r="A303" s="2"/>
      <c r="B303" s="2791"/>
      <c r="C303" s="2792"/>
      <c r="D303" s="2793"/>
      <c r="E303" s="2776" t="str">
        <f>IF(MORTGAGE!B294=0,"",MORTGAGE!B294)</f>
        <v/>
      </c>
      <c r="F303" s="2777"/>
      <c r="G303" s="2778"/>
      <c r="H303" s="2761">
        <f>MORTGAGE!H294</f>
        <v>0</v>
      </c>
      <c r="I303" s="2762"/>
      <c r="J303" s="2762"/>
      <c r="K303" s="2762"/>
      <c r="L303" s="2763"/>
      <c r="M303" s="2749">
        <f>MORTGAGE!J294</f>
        <v>0</v>
      </c>
      <c r="N303" s="2750"/>
      <c r="O303" s="2750"/>
      <c r="P303" s="2750"/>
      <c r="Q303" s="2751"/>
      <c r="R303" s="2739">
        <f>MORTGAGE!I294</f>
        <v>0</v>
      </c>
      <c r="S303" s="2740"/>
      <c r="T303" s="2740"/>
      <c r="U303" s="2740"/>
      <c r="V303" s="2741"/>
      <c r="W303" s="2733">
        <f>MORTGAGE!K294</f>
        <v>0</v>
      </c>
      <c r="X303" s="2734"/>
      <c r="Y303" s="2734"/>
      <c r="Z303" s="2734"/>
      <c r="AA303" s="2735"/>
      <c r="AB303" s="2727">
        <f>MORTGAGE!L294</f>
        <v>118970</v>
      </c>
      <c r="AC303" s="2728"/>
      <c r="AD303" s="2728"/>
      <c r="AE303" s="2728"/>
      <c r="AF303" s="2729"/>
      <c r="AG303" s="2719">
        <f>MORTGAGE!N294</f>
        <v>1.025603448275862</v>
      </c>
      <c r="AH303" s="2720"/>
      <c r="AI303" s="2720"/>
      <c r="AJ303" s="2720"/>
      <c r="AK303" s="2723"/>
      <c r="AL303" s="2719">
        <f>MORTGAGE!O294</f>
        <v>0</v>
      </c>
      <c r="AM303" s="2720"/>
      <c r="AN303" s="2720"/>
      <c r="AO303" s="2720"/>
      <c r="AP303" s="2720"/>
      <c r="AQ303" s="1239">
        <f t="shared" si="4"/>
        <v>1</v>
      </c>
    </row>
    <row r="304" spans="1:43" x14ac:dyDescent="0.25">
      <c r="A304" s="2"/>
      <c r="B304" s="2791"/>
      <c r="C304" s="2792"/>
      <c r="D304" s="2793"/>
      <c r="E304" s="2776" t="str">
        <f>IF(MORTGAGE!B295=0,"",MORTGAGE!B295)</f>
        <v/>
      </c>
      <c r="F304" s="2777"/>
      <c r="G304" s="2778"/>
      <c r="H304" s="2761">
        <f>MORTGAGE!H295</f>
        <v>0</v>
      </c>
      <c r="I304" s="2762"/>
      <c r="J304" s="2762"/>
      <c r="K304" s="2762"/>
      <c r="L304" s="2763"/>
      <c r="M304" s="2749">
        <f>MORTGAGE!J295</f>
        <v>0</v>
      </c>
      <c r="N304" s="2750"/>
      <c r="O304" s="2750"/>
      <c r="P304" s="2750"/>
      <c r="Q304" s="2751"/>
      <c r="R304" s="2739">
        <f>MORTGAGE!I295</f>
        <v>0</v>
      </c>
      <c r="S304" s="2740"/>
      <c r="T304" s="2740"/>
      <c r="U304" s="2740"/>
      <c r="V304" s="2741"/>
      <c r="W304" s="2733">
        <f>MORTGAGE!K295</f>
        <v>0</v>
      </c>
      <c r="X304" s="2734"/>
      <c r="Y304" s="2734"/>
      <c r="Z304" s="2734"/>
      <c r="AA304" s="2735"/>
      <c r="AB304" s="2727">
        <f>MORTGAGE!L295</f>
        <v>118970</v>
      </c>
      <c r="AC304" s="2728"/>
      <c r="AD304" s="2728"/>
      <c r="AE304" s="2728"/>
      <c r="AF304" s="2729"/>
      <c r="AG304" s="2719">
        <f>MORTGAGE!N295</f>
        <v>1.025603448275862</v>
      </c>
      <c r="AH304" s="2720"/>
      <c r="AI304" s="2720"/>
      <c r="AJ304" s="2720"/>
      <c r="AK304" s="2723"/>
      <c r="AL304" s="2719">
        <f>MORTGAGE!O295</f>
        <v>0</v>
      </c>
      <c r="AM304" s="2720"/>
      <c r="AN304" s="2720"/>
      <c r="AO304" s="2720"/>
      <c r="AP304" s="2720"/>
      <c r="AQ304" s="1239">
        <f t="shared" si="4"/>
        <v>1</v>
      </c>
    </row>
    <row r="305" spans="1:43" x14ac:dyDescent="0.25">
      <c r="A305" s="2"/>
      <c r="B305" s="2791"/>
      <c r="C305" s="2792"/>
      <c r="D305" s="2793"/>
      <c r="E305" s="2776" t="str">
        <f>IF(MORTGAGE!B296=0,"",MORTGAGE!B296)</f>
        <v/>
      </c>
      <c r="F305" s="2777"/>
      <c r="G305" s="2778"/>
      <c r="H305" s="2761">
        <f>MORTGAGE!H296</f>
        <v>0</v>
      </c>
      <c r="I305" s="2762"/>
      <c r="J305" s="2762"/>
      <c r="K305" s="2762"/>
      <c r="L305" s="2763"/>
      <c r="M305" s="2749">
        <f>MORTGAGE!J296</f>
        <v>0</v>
      </c>
      <c r="N305" s="2750"/>
      <c r="O305" s="2750"/>
      <c r="P305" s="2750"/>
      <c r="Q305" s="2751"/>
      <c r="R305" s="2739">
        <f>MORTGAGE!I296</f>
        <v>0</v>
      </c>
      <c r="S305" s="2740"/>
      <c r="T305" s="2740"/>
      <c r="U305" s="2740"/>
      <c r="V305" s="2741"/>
      <c r="W305" s="2733">
        <f>MORTGAGE!K296</f>
        <v>0</v>
      </c>
      <c r="X305" s="2734"/>
      <c r="Y305" s="2734"/>
      <c r="Z305" s="2734"/>
      <c r="AA305" s="2735"/>
      <c r="AB305" s="2727">
        <f>MORTGAGE!L296</f>
        <v>118970</v>
      </c>
      <c r="AC305" s="2728"/>
      <c r="AD305" s="2728"/>
      <c r="AE305" s="2728"/>
      <c r="AF305" s="2729"/>
      <c r="AG305" s="2719">
        <f>MORTGAGE!N296</f>
        <v>1.025603448275862</v>
      </c>
      <c r="AH305" s="2720"/>
      <c r="AI305" s="2720"/>
      <c r="AJ305" s="2720"/>
      <c r="AK305" s="2723"/>
      <c r="AL305" s="2719">
        <f>MORTGAGE!O296</f>
        <v>0</v>
      </c>
      <c r="AM305" s="2720"/>
      <c r="AN305" s="2720"/>
      <c r="AO305" s="2720"/>
      <c r="AP305" s="2720"/>
      <c r="AQ305" s="1239">
        <f t="shared" si="4"/>
        <v>1</v>
      </c>
    </row>
    <row r="306" spans="1:43" x14ac:dyDescent="0.25">
      <c r="A306" s="2"/>
      <c r="B306" s="2791"/>
      <c r="C306" s="2792"/>
      <c r="D306" s="2793"/>
      <c r="E306" s="2776" t="str">
        <f>IF(MORTGAGE!B297=0,"",MORTGAGE!B297)</f>
        <v/>
      </c>
      <c r="F306" s="2777"/>
      <c r="G306" s="2778"/>
      <c r="H306" s="2761">
        <f>MORTGAGE!H297</f>
        <v>0</v>
      </c>
      <c r="I306" s="2762"/>
      <c r="J306" s="2762"/>
      <c r="K306" s="2762"/>
      <c r="L306" s="2763"/>
      <c r="M306" s="2749">
        <f>MORTGAGE!J297</f>
        <v>0</v>
      </c>
      <c r="N306" s="2750"/>
      <c r="O306" s="2750"/>
      <c r="P306" s="2750"/>
      <c r="Q306" s="2751"/>
      <c r="R306" s="2739">
        <f>MORTGAGE!I297</f>
        <v>0</v>
      </c>
      <c r="S306" s="2740"/>
      <c r="T306" s="2740"/>
      <c r="U306" s="2740"/>
      <c r="V306" s="2741"/>
      <c r="W306" s="2733">
        <f>MORTGAGE!K297</f>
        <v>0</v>
      </c>
      <c r="X306" s="2734"/>
      <c r="Y306" s="2734"/>
      <c r="Z306" s="2734"/>
      <c r="AA306" s="2735"/>
      <c r="AB306" s="2727">
        <f>MORTGAGE!L297</f>
        <v>118970</v>
      </c>
      <c r="AC306" s="2728"/>
      <c r="AD306" s="2728"/>
      <c r="AE306" s="2728"/>
      <c r="AF306" s="2729"/>
      <c r="AG306" s="2719">
        <f>MORTGAGE!N297</f>
        <v>1.025603448275862</v>
      </c>
      <c r="AH306" s="2720"/>
      <c r="AI306" s="2720"/>
      <c r="AJ306" s="2720"/>
      <c r="AK306" s="2723"/>
      <c r="AL306" s="2719">
        <f>MORTGAGE!O297</f>
        <v>0</v>
      </c>
      <c r="AM306" s="2720"/>
      <c r="AN306" s="2720"/>
      <c r="AO306" s="2720"/>
      <c r="AP306" s="2720"/>
      <c r="AQ306" s="1239">
        <f t="shared" si="4"/>
        <v>1</v>
      </c>
    </row>
    <row r="307" spans="1:43" x14ac:dyDescent="0.25">
      <c r="A307" s="2"/>
      <c r="B307" s="2791"/>
      <c r="C307" s="2792"/>
      <c r="D307" s="2793"/>
      <c r="E307" s="2776" t="str">
        <f>IF(MORTGAGE!B298=0,"",MORTGAGE!B298)</f>
        <v/>
      </c>
      <c r="F307" s="2777"/>
      <c r="G307" s="2778"/>
      <c r="H307" s="2761">
        <f>MORTGAGE!H298</f>
        <v>0</v>
      </c>
      <c r="I307" s="2762"/>
      <c r="J307" s="2762"/>
      <c r="K307" s="2762"/>
      <c r="L307" s="2763"/>
      <c r="M307" s="2749">
        <f>MORTGAGE!J298</f>
        <v>0</v>
      </c>
      <c r="N307" s="2750"/>
      <c r="O307" s="2750"/>
      <c r="P307" s="2750"/>
      <c r="Q307" s="2751"/>
      <c r="R307" s="2739">
        <f>MORTGAGE!I298</f>
        <v>0</v>
      </c>
      <c r="S307" s="2740"/>
      <c r="T307" s="2740"/>
      <c r="U307" s="2740"/>
      <c r="V307" s="2741"/>
      <c r="W307" s="2733">
        <f>MORTGAGE!K298</f>
        <v>0</v>
      </c>
      <c r="X307" s="2734"/>
      <c r="Y307" s="2734"/>
      <c r="Z307" s="2734"/>
      <c r="AA307" s="2735"/>
      <c r="AB307" s="2727">
        <f>MORTGAGE!L298</f>
        <v>118970</v>
      </c>
      <c r="AC307" s="2728"/>
      <c r="AD307" s="2728"/>
      <c r="AE307" s="2728"/>
      <c r="AF307" s="2729"/>
      <c r="AG307" s="2719">
        <f>MORTGAGE!N298</f>
        <v>1.025603448275862</v>
      </c>
      <c r="AH307" s="2720"/>
      <c r="AI307" s="2720"/>
      <c r="AJ307" s="2720"/>
      <c r="AK307" s="2723"/>
      <c r="AL307" s="2719">
        <f>MORTGAGE!O298</f>
        <v>0</v>
      </c>
      <c r="AM307" s="2720"/>
      <c r="AN307" s="2720"/>
      <c r="AO307" s="2720"/>
      <c r="AP307" s="2720"/>
      <c r="AQ307" s="1239">
        <f t="shared" si="4"/>
        <v>1</v>
      </c>
    </row>
    <row r="308" spans="1:43" x14ac:dyDescent="0.25">
      <c r="A308" s="2"/>
      <c r="B308" s="2791"/>
      <c r="C308" s="2792"/>
      <c r="D308" s="2793"/>
      <c r="E308" s="2776" t="str">
        <f>IF(MORTGAGE!B299=0,"",MORTGAGE!B299)</f>
        <v/>
      </c>
      <c r="F308" s="2777"/>
      <c r="G308" s="2778"/>
      <c r="H308" s="2761">
        <f>MORTGAGE!H299</f>
        <v>0</v>
      </c>
      <c r="I308" s="2762"/>
      <c r="J308" s="2762"/>
      <c r="K308" s="2762"/>
      <c r="L308" s="2763"/>
      <c r="M308" s="2749">
        <f>MORTGAGE!J299</f>
        <v>0</v>
      </c>
      <c r="N308" s="2750"/>
      <c r="O308" s="2750"/>
      <c r="P308" s="2750"/>
      <c r="Q308" s="2751"/>
      <c r="R308" s="2739">
        <f>MORTGAGE!I299</f>
        <v>0</v>
      </c>
      <c r="S308" s="2740"/>
      <c r="T308" s="2740"/>
      <c r="U308" s="2740"/>
      <c r="V308" s="2741"/>
      <c r="W308" s="2733">
        <f>MORTGAGE!K299</f>
        <v>0</v>
      </c>
      <c r="X308" s="2734"/>
      <c r="Y308" s="2734"/>
      <c r="Z308" s="2734"/>
      <c r="AA308" s="2735"/>
      <c r="AB308" s="2727">
        <f>MORTGAGE!L299</f>
        <v>118970</v>
      </c>
      <c r="AC308" s="2728"/>
      <c r="AD308" s="2728"/>
      <c r="AE308" s="2728"/>
      <c r="AF308" s="2729"/>
      <c r="AG308" s="2719">
        <f>MORTGAGE!N299</f>
        <v>1.025603448275862</v>
      </c>
      <c r="AH308" s="2720"/>
      <c r="AI308" s="2720"/>
      <c r="AJ308" s="2720"/>
      <c r="AK308" s="2723"/>
      <c r="AL308" s="2719">
        <f>MORTGAGE!O299</f>
        <v>0</v>
      </c>
      <c r="AM308" s="2720"/>
      <c r="AN308" s="2720"/>
      <c r="AO308" s="2720"/>
      <c r="AP308" s="2720"/>
      <c r="AQ308" s="1239">
        <f t="shared" si="4"/>
        <v>1</v>
      </c>
    </row>
    <row r="309" spans="1:43" ht="14.4" thickBot="1" x14ac:dyDescent="0.3">
      <c r="A309" s="2"/>
      <c r="B309" s="2794"/>
      <c r="C309" s="2795"/>
      <c r="D309" s="2796"/>
      <c r="E309" s="2776" t="str">
        <f>IF(MORTGAGE!B300=0,"",MORTGAGE!B300)</f>
        <v/>
      </c>
      <c r="F309" s="2777"/>
      <c r="G309" s="2778"/>
      <c r="H309" s="2761">
        <f>MORTGAGE!H300</f>
        <v>0</v>
      </c>
      <c r="I309" s="2762"/>
      <c r="J309" s="2762"/>
      <c r="K309" s="2762"/>
      <c r="L309" s="2763"/>
      <c r="M309" s="2749">
        <f>MORTGAGE!J300</f>
        <v>0</v>
      </c>
      <c r="N309" s="2750"/>
      <c r="O309" s="2750"/>
      <c r="P309" s="2750"/>
      <c r="Q309" s="2751"/>
      <c r="R309" s="2739">
        <f>MORTGAGE!I300</f>
        <v>0</v>
      </c>
      <c r="S309" s="2740"/>
      <c r="T309" s="2740"/>
      <c r="U309" s="2740"/>
      <c r="V309" s="2741"/>
      <c r="W309" s="2733">
        <f>MORTGAGE!K300</f>
        <v>0</v>
      </c>
      <c r="X309" s="2734"/>
      <c r="Y309" s="2734"/>
      <c r="Z309" s="2734"/>
      <c r="AA309" s="2735"/>
      <c r="AB309" s="2727">
        <f>MORTGAGE!L300</f>
        <v>118970</v>
      </c>
      <c r="AC309" s="2728"/>
      <c r="AD309" s="2728"/>
      <c r="AE309" s="2728"/>
      <c r="AF309" s="2729"/>
      <c r="AG309" s="2719">
        <f>MORTGAGE!N300</f>
        <v>1.025603448275862</v>
      </c>
      <c r="AH309" s="2720"/>
      <c r="AI309" s="2720"/>
      <c r="AJ309" s="2720"/>
      <c r="AK309" s="2723"/>
      <c r="AL309" s="2719">
        <f>MORTGAGE!O300</f>
        <v>0</v>
      </c>
      <c r="AM309" s="2720"/>
      <c r="AN309" s="2720"/>
      <c r="AO309" s="2720"/>
      <c r="AP309" s="2720"/>
      <c r="AQ309" s="1239">
        <f t="shared" si="4"/>
        <v>1</v>
      </c>
    </row>
    <row r="310" spans="1:43" x14ac:dyDescent="0.25">
      <c r="A310" s="2"/>
      <c r="B310" s="2797" t="str">
        <f>IFERROR(ROUNDUP(E310/12,0),"")</f>
        <v/>
      </c>
      <c r="C310" s="2798"/>
      <c r="D310" s="2799"/>
      <c r="E310" s="2785" t="str">
        <f>IF(MORTGAGE!B301=0,"",MORTGAGE!B301)</f>
        <v/>
      </c>
      <c r="F310" s="2786"/>
      <c r="G310" s="2787"/>
      <c r="H310" s="2773">
        <f>MORTGAGE!H301</f>
        <v>0</v>
      </c>
      <c r="I310" s="2774"/>
      <c r="J310" s="2774"/>
      <c r="K310" s="2774"/>
      <c r="L310" s="2775"/>
      <c r="M310" s="2758">
        <f>MORTGAGE!J301</f>
        <v>0</v>
      </c>
      <c r="N310" s="2759"/>
      <c r="O310" s="2759"/>
      <c r="P310" s="2759"/>
      <c r="Q310" s="2760"/>
      <c r="R310" s="2746">
        <f>MORTGAGE!I301</f>
        <v>0</v>
      </c>
      <c r="S310" s="2747"/>
      <c r="T310" s="2747"/>
      <c r="U310" s="2747"/>
      <c r="V310" s="2748"/>
      <c r="W310" s="2736">
        <f>MORTGAGE!K301</f>
        <v>0</v>
      </c>
      <c r="X310" s="2737"/>
      <c r="Y310" s="2737"/>
      <c r="Z310" s="2737"/>
      <c r="AA310" s="2738"/>
      <c r="AB310" s="2730">
        <f>MORTGAGE!L301</f>
        <v>118970</v>
      </c>
      <c r="AC310" s="2731"/>
      <c r="AD310" s="2731"/>
      <c r="AE310" s="2731"/>
      <c r="AF310" s="2732"/>
      <c r="AG310" s="2724">
        <f>MORTGAGE!N301</f>
        <v>1.025603448275862</v>
      </c>
      <c r="AH310" s="2725"/>
      <c r="AI310" s="2725"/>
      <c r="AJ310" s="2725"/>
      <c r="AK310" s="2726"/>
      <c r="AL310" s="2721">
        <f>MORTGAGE!O301</f>
        <v>0</v>
      </c>
      <c r="AM310" s="2722"/>
      <c r="AN310" s="2722"/>
      <c r="AO310" s="2722"/>
      <c r="AP310" s="2722"/>
      <c r="AQ310" s="1239">
        <f t="shared" si="4"/>
        <v>1</v>
      </c>
    </row>
    <row r="311" spans="1:43" x14ac:dyDescent="0.25">
      <c r="A311" s="2"/>
      <c r="B311" s="2791"/>
      <c r="C311" s="2792"/>
      <c r="D311" s="2793"/>
      <c r="E311" s="2776" t="str">
        <f>IF(MORTGAGE!B302=0,"",MORTGAGE!B302)</f>
        <v/>
      </c>
      <c r="F311" s="2777"/>
      <c r="G311" s="2778"/>
      <c r="H311" s="2761">
        <f>MORTGAGE!H302</f>
        <v>0</v>
      </c>
      <c r="I311" s="2762"/>
      <c r="J311" s="2762"/>
      <c r="K311" s="2762"/>
      <c r="L311" s="2763"/>
      <c r="M311" s="2749">
        <f>MORTGAGE!J302</f>
        <v>0</v>
      </c>
      <c r="N311" s="2750"/>
      <c r="O311" s="2750"/>
      <c r="P311" s="2750"/>
      <c r="Q311" s="2751"/>
      <c r="R311" s="2739">
        <f>MORTGAGE!I302</f>
        <v>0</v>
      </c>
      <c r="S311" s="2740"/>
      <c r="T311" s="2740"/>
      <c r="U311" s="2740"/>
      <c r="V311" s="2741"/>
      <c r="W311" s="2733">
        <f>MORTGAGE!K302</f>
        <v>0</v>
      </c>
      <c r="X311" s="2734"/>
      <c r="Y311" s="2734"/>
      <c r="Z311" s="2734"/>
      <c r="AA311" s="2735"/>
      <c r="AB311" s="2727">
        <f>MORTGAGE!L302</f>
        <v>118970</v>
      </c>
      <c r="AC311" s="2728"/>
      <c r="AD311" s="2728"/>
      <c r="AE311" s="2728"/>
      <c r="AF311" s="2729"/>
      <c r="AG311" s="2719">
        <f>MORTGAGE!N302</f>
        <v>1.025603448275862</v>
      </c>
      <c r="AH311" s="2720"/>
      <c r="AI311" s="2720"/>
      <c r="AJ311" s="2720"/>
      <c r="AK311" s="2723"/>
      <c r="AL311" s="2719">
        <f>MORTGAGE!O302</f>
        <v>0</v>
      </c>
      <c r="AM311" s="2720"/>
      <c r="AN311" s="2720"/>
      <c r="AO311" s="2720"/>
      <c r="AP311" s="2720"/>
      <c r="AQ311" s="1239">
        <f t="shared" si="4"/>
        <v>1</v>
      </c>
    </row>
    <row r="312" spans="1:43" x14ac:dyDescent="0.25">
      <c r="A312" s="2"/>
      <c r="B312" s="2791"/>
      <c r="C312" s="2792"/>
      <c r="D312" s="2793"/>
      <c r="E312" s="2776" t="str">
        <f>IF(MORTGAGE!B303=0,"",MORTGAGE!B303)</f>
        <v/>
      </c>
      <c r="F312" s="2777"/>
      <c r="G312" s="2778"/>
      <c r="H312" s="2761">
        <f>MORTGAGE!H303</f>
        <v>0</v>
      </c>
      <c r="I312" s="2762"/>
      <c r="J312" s="2762"/>
      <c r="K312" s="2762"/>
      <c r="L312" s="2763"/>
      <c r="M312" s="2749">
        <f>MORTGAGE!J303</f>
        <v>0</v>
      </c>
      <c r="N312" s="2750"/>
      <c r="O312" s="2750"/>
      <c r="P312" s="2750"/>
      <c r="Q312" s="2751"/>
      <c r="R312" s="2739">
        <f>MORTGAGE!I303</f>
        <v>0</v>
      </c>
      <c r="S312" s="2740"/>
      <c r="T312" s="2740"/>
      <c r="U312" s="2740"/>
      <c r="V312" s="2741"/>
      <c r="W312" s="2733">
        <f>MORTGAGE!K303</f>
        <v>0</v>
      </c>
      <c r="X312" s="2734"/>
      <c r="Y312" s="2734"/>
      <c r="Z312" s="2734"/>
      <c r="AA312" s="2735"/>
      <c r="AB312" s="2727">
        <f>MORTGAGE!L303</f>
        <v>118970</v>
      </c>
      <c r="AC312" s="2728"/>
      <c r="AD312" s="2728"/>
      <c r="AE312" s="2728"/>
      <c r="AF312" s="2729"/>
      <c r="AG312" s="2719">
        <f>MORTGAGE!N303</f>
        <v>1.025603448275862</v>
      </c>
      <c r="AH312" s="2720"/>
      <c r="AI312" s="2720"/>
      <c r="AJ312" s="2720"/>
      <c r="AK312" s="2723"/>
      <c r="AL312" s="2719">
        <f>MORTGAGE!O303</f>
        <v>0</v>
      </c>
      <c r="AM312" s="2720"/>
      <c r="AN312" s="2720"/>
      <c r="AO312" s="2720"/>
      <c r="AP312" s="2720"/>
      <c r="AQ312" s="1239">
        <f t="shared" si="4"/>
        <v>1</v>
      </c>
    </row>
    <row r="313" spans="1:43" x14ac:dyDescent="0.25">
      <c r="A313" s="2"/>
      <c r="B313" s="2791"/>
      <c r="C313" s="2792"/>
      <c r="D313" s="2793"/>
      <c r="E313" s="2776" t="str">
        <f>IF(MORTGAGE!B304=0,"",MORTGAGE!B304)</f>
        <v/>
      </c>
      <c r="F313" s="2777"/>
      <c r="G313" s="2778"/>
      <c r="H313" s="2761">
        <f>MORTGAGE!H304</f>
        <v>0</v>
      </c>
      <c r="I313" s="2762"/>
      <c r="J313" s="2762"/>
      <c r="K313" s="2762"/>
      <c r="L313" s="2763"/>
      <c r="M313" s="2749">
        <f>MORTGAGE!J304</f>
        <v>0</v>
      </c>
      <c r="N313" s="2750"/>
      <c r="O313" s="2750"/>
      <c r="P313" s="2750"/>
      <c r="Q313" s="2751"/>
      <c r="R313" s="2739">
        <f>MORTGAGE!I304</f>
        <v>0</v>
      </c>
      <c r="S313" s="2740"/>
      <c r="T313" s="2740"/>
      <c r="U313" s="2740"/>
      <c r="V313" s="2741"/>
      <c r="W313" s="2733">
        <f>MORTGAGE!K304</f>
        <v>0</v>
      </c>
      <c r="X313" s="2734"/>
      <c r="Y313" s="2734"/>
      <c r="Z313" s="2734"/>
      <c r="AA313" s="2735"/>
      <c r="AB313" s="2727">
        <f>MORTGAGE!L304</f>
        <v>118970</v>
      </c>
      <c r="AC313" s="2728"/>
      <c r="AD313" s="2728"/>
      <c r="AE313" s="2728"/>
      <c r="AF313" s="2729"/>
      <c r="AG313" s="2719">
        <f>MORTGAGE!N304</f>
        <v>1.025603448275862</v>
      </c>
      <c r="AH313" s="2720"/>
      <c r="AI313" s="2720"/>
      <c r="AJ313" s="2720"/>
      <c r="AK313" s="2723"/>
      <c r="AL313" s="2719">
        <f>MORTGAGE!O304</f>
        <v>0</v>
      </c>
      <c r="AM313" s="2720"/>
      <c r="AN313" s="2720"/>
      <c r="AO313" s="2720"/>
      <c r="AP313" s="2720"/>
      <c r="AQ313" s="1239">
        <f t="shared" si="4"/>
        <v>1</v>
      </c>
    </row>
    <row r="314" spans="1:43" x14ac:dyDescent="0.25">
      <c r="A314" s="2"/>
      <c r="B314" s="2791"/>
      <c r="C314" s="2792"/>
      <c r="D314" s="2793"/>
      <c r="E314" s="2776" t="str">
        <f>IF(MORTGAGE!B305=0,"",MORTGAGE!B305)</f>
        <v/>
      </c>
      <c r="F314" s="2777"/>
      <c r="G314" s="2778"/>
      <c r="H314" s="2761">
        <f>MORTGAGE!H305</f>
        <v>0</v>
      </c>
      <c r="I314" s="2762"/>
      <c r="J314" s="2762"/>
      <c r="K314" s="2762"/>
      <c r="L314" s="2763"/>
      <c r="M314" s="2749">
        <f>MORTGAGE!J305</f>
        <v>0</v>
      </c>
      <c r="N314" s="2750"/>
      <c r="O314" s="2750"/>
      <c r="P314" s="2750"/>
      <c r="Q314" s="2751"/>
      <c r="R314" s="2739">
        <f>MORTGAGE!I305</f>
        <v>0</v>
      </c>
      <c r="S314" s="2740"/>
      <c r="T314" s="2740"/>
      <c r="U314" s="2740"/>
      <c r="V314" s="2741"/>
      <c r="W314" s="2733">
        <f>MORTGAGE!K305</f>
        <v>0</v>
      </c>
      <c r="X314" s="2734"/>
      <c r="Y314" s="2734"/>
      <c r="Z314" s="2734"/>
      <c r="AA314" s="2735"/>
      <c r="AB314" s="2727">
        <f>MORTGAGE!L305</f>
        <v>118970</v>
      </c>
      <c r="AC314" s="2728"/>
      <c r="AD314" s="2728"/>
      <c r="AE314" s="2728"/>
      <c r="AF314" s="2729"/>
      <c r="AG314" s="2719">
        <f>MORTGAGE!N305</f>
        <v>1.025603448275862</v>
      </c>
      <c r="AH314" s="2720"/>
      <c r="AI314" s="2720"/>
      <c r="AJ314" s="2720"/>
      <c r="AK314" s="2723"/>
      <c r="AL314" s="2719">
        <f>MORTGAGE!O305</f>
        <v>0</v>
      </c>
      <c r="AM314" s="2720"/>
      <c r="AN314" s="2720"/>
      <c r="AO314" s="2720"/>
      <c r="AP314" s="2720"/>
      <c r="AQ314" s="1239">
        <f t="shared" si="4"/>
        <v>1</v>
      </c>
    </row>
    <row r="315" spans="1:43" x14ac:dyDescent="0.25">
      <c r="A315" s="2"/>
      <c r="B315" s="2791"/>
      <c r="C315" s="2792"/>
      <c r="D315" s="2793"/>
      <c r="E315" s="2776" t="str">
        <f>IF(MORTGAGE!B306=0,"",MORTGAGE!B306)</f>
        <v/>
      </c>
      <c r="F315" s="2777"/>
      <c r="G315" s="2778"/>
      <c r="H315" s="2761">
        <f>MORTGAGE!H306</f>
        <v>0</v>
      </c>
      <c r="I315" s="2762"/>
      <c r="J315" s="2762"/>
      <c r="K315" s="2762"/>
      <c r="L315" s="2763"/>
      <c r="M315" s="2749">
        <f>MORTGAGE!J306</f>
        <v>0</v>
      </c>
      <c r="N315" s="2750"/>
      <c r="O315" s="2750"/>
      <c r="P315" s="2750"/>
      <c r="Q315" s="2751"/>
      <c r="R315" s="2739">
        <f>MORTGAGE!I306</f>
        <v>0</v>
      </c>
      <c r="S315" s="2740"/>
      <c r="T315" s="2740"/>
      <c r="U315" s="2740"/>
      <c r="V315" s="2741"/>
      <c r="W315" s="2733">
        <f>MORTGAGE!K306</f>
        <v>0</v>
      </c>
      <c r="X315" s="2734"/>
      <c r="Y315" s="2734"/>
      <c r="Z315" s="2734"/>
      <c r="AA315" s="2735"/>
      <c r="AB315" s="2727">
        <f>MORTGAGE!L306</f>
        <v>118970</v>
      </c>
      <c r="AC315" s="2728"/>
      <c r="AD315" s="2728"/>
      <c r="AE315" s="2728"/>
      <c r="AF315" s="2729"/>
      <c r="AG315" s="2719">
        <f>MORTGAGE!N306</f>
        <v>1.025603448275862</v>
      </c>
      <c r="AH315" s="2720"/>
      <c r="AI315" s="2720"/>
      <c r="AJ315" s="2720"/>
      <c r="AK315" s="2723"/>
      <c r="AL315" s="2719">
        <f>MORTGAGE!O306</f>
        <v>0</v>
      </c>
      <c r="AM315" s="2720"/>
      <c r="AN315" s="2720"/>
      <c r="AO315" s="2720"/>
      <c r="AP315" s="2720"/>
      <c r="AQ315" s="1239">
        <f t="shared" si="4"/>
        <v>1</v>
      </c>
    </row>
    <row r="316" spans="1:43" x14ac:dyDescent="0.25">
      <c r="A316" s="2"/>
      <c r="B316" s="2791"/>
      <c r="C316" s="2792"/>
      <c r="D316" s="2793"/>
      <c r="E316" s="2776" t="str">
        <f>IF(MORTGAGE!B307=0,"",MORTGAGE!B307)</f>
        <v/>
      </c>
      <c r="F316" s="2777"/>
      <c r="G316" s="2778"/>
      <c r="H316" s="2761">
        <f>MORTGAGE!H307</f>
        <v>0</v>
      </c>
      <c r="I316" s="2762"/>
      <c r="J316" s="2762"/>
      <c r="K316" s="2762"/>
      <c r="L316" s="2763"/>
      <c r="M316" s="2749">
        <f>MORTGAGE!J307</f>
        <v>0</v>
      </c>
      <c r="N316" s="2750"/>
      <c r="O316" s="2750"/>
      <c r="P316" s="2750"/>
      <c r="Q316" s="2751"/>
      <c r="R316" s="2739">
        <f>MORTGAGE!I307</f>
        <v>0</v>
      </c>
      <c r="S316" s="2740"/>
      <c r="T316" s="2740"/>
      <c r="U316" s="2740"/>
      <c r="V316" s="2741"/>
      <c r="W316" s="2733">
        <f>MORTGAGE!K307</f>
        <v>0</v>
      </c>
      <c r="X316" s="2734"/>
      <c r="Y316" s="2734"/>
      <c r="Z316" s="2734"/>
      <c r="AA316" s="2735"/>
      <c r="AB316" s="2727">
        <f>MORTGAGE!L307</f>
        <v>118970</v>
      </c>
      <c r="AC316" s="2728"/>
      <c r="AD316" s="2728"/>
      <c r="AE316" s="2728"/>
      <c r="AF316" s="2729"/>
      <c r="AG316" s="2719">
        <f>MORTGAGE!N307</f>
        <v>1.025603448275862</v>
      </c>
      <c r="AH316" s="2720"/>
      <c r="AI316" s="2720"/>
      <c r="AJ316" s="2720"/>
      <c r="AK316" s="2723"/>
      <c r="AL316" s="2719">
        <f>MORTGAGE!O307</f>
        <v>0</v>
      </c>
      <c r="AM316" s="2720"/>
      <c r="AN316" s="2720"/>
      <c r="AO316" s="2720"/>
      <c r="AP316" s="2720"/>
      <c r="AQ316" s="1239">
        <f t="shared" si="4"/>
        <v>1</v>
      </c>
    </row>
    <row r="317" spans="1:43" x14ac:dyDescent="0.25">
      <c r="A317" s="2"/>
      <c r="B317" s="2791"/>
      <c r="C317" s="2792"/>
      <c r="D317" s="2793"/>
      <c r="E317" s="2776" t="str">
        <f>IF(MORTGAGE!B308=0,"",MORTGAGE!B308)</f>
        <v/>
      </c>
      <c r="F317" s="2777"/>
      <c r="G317" s="2778"/>
      <c r="H317" s="2761">
        <f>MORTGAGE!H308</f>
        <v>0</v>
      </c>
      <c r="I317" s="2762"/>
      <c r="J317" s="2762"/>
      <c r="K317" s="2762"/>
      <c r="L317" s="2763"/>
      <c r="M317" s="2749">
        <f>MORTGAGE!J308</f>
        <v>0</v>
      </c>
      <c r="N317" s="2750"/>
      <c r="O317" s="2750"/>
      <c r="P317" s="2750"/>
      <c r="Q317" s="2751"/>
      <c r="R317" s="2739">
        <f>MORTGAGE!I308</f>
        <v>0</v>
      </c>
      <c r="S317" s="2740"/>
      <c r="T317" s="2740"/>
      <c r="U317" s="2740"/>
      <c r="V317" s="2741"/>
      <c r="W317" s="2733">
        <f>MORTGAGE!K308</f>
        <v>0</v>
      </c>
      <c r="X317" s="2734"/>
      <c r="Y317" s="2734"/>
      <c r="Z317" s="2734"/>
      <c r="AA317" s="2735"/>
      <c r="AB317" s="2727">
        <f>MORTGAGE!L308</f>
        <v>118970</v>
      </c>
      <c r="AC317" s="2728"/>
      <c r="AD317" s="2728"/>
      <c r="AE317" s="2728"/>
      <c r="AF317" s="2729"/>
      <c r="AG317" s="2719">
        <f>MORTGAGE!N308</f>
        <v>1.025603448275862</v>
      </c>
      <c r="AH317" s="2720"/>
      <c r="AI317" s="2720"/>
      <c r="AJ317" s="2720"/>
      <c r="AK317" s="2723"/>
      <c r="AL317" s="2719">
        <f>MORTGAGE!O308</f>
        <v>0</v>
      </c>
      <c r="AM317" s="2720"/>
      <c r="AN317" s="2720"/>
      <c r="AO317" s="2720"/>
      <c r="AP317" s="2720"/>
      <c r="AQ317" s="1239">
        <f t="shared" si="4"/>
        <v>1</v>
      </c>
    </row>
    <row r="318" spans="1:43" x14ac:dyDescent="0.25">
      <c r="A318" s="2"/>
      <c r="B318" s="2791"/>
      <c r="C318" s="2792"/>
      <c r="D318" s="2793"/>
      <c r="E318" s="2776" t="str">
        <f>IF(MORTGAGE!B309=0,"",MORTGAGE!B309)</f>
        <v/>
      </c>
      <c r="F318" s="2777"/>
      <c r="G318" s="2778"/>
      <c r="H318" s="2761">
        <f>MORTGAGE!H309</f>
        <v>0</v>
      </c>
      <c r="I318" s="2762"/>
      <c r="J318" s="2762"/>
      <c r="K318" s="2762"/>
      <c r="L318" s="2763"/>
      <c r="M318" s="2749">
        <f>MORTGAGE!J309</f>
        <v>0</v>
      </c>
      <c r="N318" s="2750"/>
      <c r="O318" s="2750"/>
      <c r="P318" s="2750"/>
      <c r="Q318" s="2751"/>
      <c r="R318" s="2739">
        <f>MORTGAGE!I309</f>
        <v>0</v>
      </c>
      <c r="S318" s="2740"/>
      <c r="T318" s="2740"/>
      <c r="U318" s="2740"/>
      <c r="V318" s="2741"/>
      <c r="W318" s="2733">
        <f>MORTGAGE!K309</f>
        <v>0</v>
      </c>
      <c r="X318" s="2734"/>
      <c r="Y318" s="2734"/>
      <c r="Z318" s="2734"/>
      <c r="AA318" s="2735"/>
      <c r="AB318" s="2727">
        <f>MORTGAGE!L309</f>
        <v>118970</v>
      </c>
      <c r="AC318" s="2728"/>
      <c r="AD318" s="2728"/>
      <c r="AE318" s="2728"/>
      <c r="AF318" s="2729"/>
      <c r="AG318" s="2719">
        <f>MORTGAGE!N309</f>
        <v>1.025603448275862</v>
      </c>
      <c r="AH318" s="2720"/>
      <c r="AI318" s="2720"/>
      <c r="AJ318" s="2720"/>
      <c r="AK318" s="2723"/>
      <c r="AL318" s="2719">
        <f>MORTGAGE!O309</f>
        <v>0</v>
      </c>
      <c r="AM318" s="2720"/>
      <c r="AN318" s="2720"/>
      <c r="AO318" s="2720"/>
      <c r="AP318" s="2720"/>
      <c r="AQ318" s="1239">
        <f t="shared" si="4"/>
        <v>1</v>
      </c>
    </row>
    <row r="319" spans="1:43" x14ac:dyDescent="0.25">
      <c r="A319" s="2"/>
      <c r="B319" s="2791"/>
      <c r="C319" s="2792"/>
      <c r="D319" s="2793"/>
      <c r="E319" s="2776" t="str">
        <f>IF(MORTGAGE!B310=0,"",MORTGAGE!B310)</f>
        <v/>
      </c>
      <c r="F319" s="2777"/>
      <c r="G319" s="2778"/>
      <c r="H319" s="2761">
        <f>MORTGAGE!H310</f>
        <v>0</v>
      </c>
      <c r="I319" s="2762"/>
      <c r="J319" s="2762"/>
      <c r="K319" s="2762"/>
      <c r="L319" s="2763"/>
      <c r="M319" s="2749">
        <f>MORTGAGE!J310</f>
        <v>0</v>
      </c>
      <c r="N319" s="2750"/>
      <c r="O319" s="2750"/>
      <c r="P319" s="2750"/>
      <c r="Q319" s="2751"/>
      <c r="R319" s="2739">
        <f>MORTGAGE!I310</f>
        <v>0</v>
      </c>
      <c r="S319" s="2740"/>
      <c r="T319" s="2740"/>
      <c r="U319" s="2740"/>
      <c r="V319" s="2741"/>
      <c r="W319" s="2733">
        <f>MORTGAGE!K310</f>
        <v>0</v>
      </c>
      <c r="X319" s="2734"/>
      <c r="Y319" s="2734"/>
      <c r="Z319" s="2734"/>
      <c r="AA319" s="2735"/>
      <c r="AB319" s="2727">
        <f>MORTGAGE!L310</f>
        <v>118970</v>
      </c>
      <c r="AC319" s="2728"/>
      <c r="AD319" s="2728"/>
      <c r="AE319" s="2728"/>
      <c r="AF319" s="2729"/>
      <c r="AG319" s="2719">
        <f>MORTGAGE!N310</f>
        <v>1.025603448275862</v>
      </c>
      <c r="AH319" s="2720"/>
      <c r="AI319" s="2720"/>
      <c r="AJ319" s="2720"/>
      <c r="AK319" s="2723"/>
      <c r="AL319" s="2719">
        <f>MORTGAGE!O310</f>
        <v>0</v>
      </c>
      <c r="AM319" s="2720"/>
      <c r="AN319" s="2720"/>
      <c r="AO319" s="2720"/>
      <c r="AP319" s="2720"/>
      <c r="AQ319" s="1239">
        <f t="shared" si="4"/>
        <v>1</v>
      </c>
    </row>
    <row r="320" spans="1:43" x14ac:dyDescent="0.25">
      <c r="A320" s="2"/>
      <c r="B320" s="2791"/>
      <c r="C320" s="2792"/>
      <c r="D320" s="2793"/>
      <c r="E320" s="2776" t="str">
        <f>IF(MORTGAGE!B311=0,"",MORTGAGE!B311)</f>
        <v/>
      </c>
      <c r="F320" s="2777"/>
      <c r="G320" s="2778"/>
      <c r="H320" s="2761">
        <f>MORTGAGE!H311</f>
        <v>0</v>
      </c>
      <c r="I320" s="2762"/>
      <c r="J320" s="2762"/>
      <c r="K320" s="2762"/>
      <c r="L320" s="2763"/>
      <c r="M320" s="2749">
        <f>MORTGAGE!J311</f>
        <v>0</v>
      </c>
      <c r="N320" s="2750"/>
      <c r="O320" s="2750"/>
      <c r="P320" s="2750"/>
      <c r="Q320" s="2751"/>
      <c r="R320" s="2739">
        <f>MORTGAGE!I311</f>
        <v>0</v>
      </c>
      <c r="S320" s="2740"/>
      <c r="T320" s="2740"/>
      <c r="U320" s="2740"/>
      <c r="V320" s="2741"/>
      <c r="W320" s="2733">
        <f>MORTGAGE!K311</f>
        <v>0</v>
      </c>
      <c r="X320" s="2734"/>
      <c r="Y320" s="2734"/>
      <c r="Z320" s="2734"/>
      <c r="AA320" s="2735"/>
      <c r="AB320" s="2727">
        <f>MORTGAGE!L311</f>
        <v>118970</v>
      </c>
      <c r="AC320" s="2728"/>
      <c r="AD320" s="2728"/>
      <c r="AE320" s="2728"/>
      <c r="AF320" s="2729"/>
      <c r="AG320" s="2719">
        <f>MORTGAGE!N311</f>
        <v>1.025603448275862</v>
      </c>
      <c r="AH320" s="2720"/>
      <c r="AI320" s="2720"/>
      <c r="AJ320" s="2720"/>
      <c r="AK320" s="2723"/>
      <c r="AL320" s="2719">
        <f>MORTGAGE!O311</f>
        <v>0</v>
      </c>
      <c r="AM320" s="2720"/>
      <c r="AN320" s="2720"/>
      <c r="AO320" s="2720"/>
      <c r="AP320" s="2720"/>
      <c r="AQ320" s="1239">
        <f t="shared" si="4"/>
        <v>1</v>
      </c>
    </row>
    <row r="321" spans="1:43" ht="14.4" thickBot="1" x14ac:dyDescent="0.3">
      <c r="A321" s="2"/>
      <c r="B321" s="2794"/>
      <c r="C321" s="2795"/>
      <c r="D321" s="2796"/>
      <c r="E321" s="2776" t="str">
        <f>IF(MORTGAGE!B312=0,"",MORTGAGE!B312)</f>
        <v/>
      </c>
      <c r="F321" s="2777"/>
      <c r="G321" s="2778"/>
      <c r="H321" s="2761">
        <f>MORTGAGE!H312</f>
        <v>0</v>
      </c>
      <c r="I321" s="2762"/>
      <c r="J321" s="2762"/>
      <c r="K321" s="2762"/>
      <c r="L321" s="2763"/>
      <c r="M321" s="2749">
        <f>MORTGAGE!J312</f>
        <v>0</v>
      </c>
      <c r="N321" s="2750"/>
      <c r="O321" s="2750"/>
      <c r="P321" s="2750"/>
      <c r="Q321" s="2751"/>
      <c r="R321" s="2739">
        <f>MORTGAGE!I312</f>
        <v>0</v>
      </c>
      <c r="S321" s="2740"/>
      <c r="T321" s="2740"/>
      <c r="U321" s="2740"/>
      <c r="V321" s="2741"/>
      <c r="W321" s="2733">
        <f>MORTGAGE!K312</f>
        <v>0</v>
      </c>
      <c r="X321" s="2734"/>
      <c r="Y321" s="2734"/>
      <c r="Z321" s="2734"/>
      <c r="AA321" s="2735"/>
      <c r="AB321" s="2727">
        <f>MORTGAGE!L312</f>
        <v>118970</v>
      </c>
      <c r="AC321" s="2728"/>
      <c r="AD321" s="2728"/>
      <c r="AE321" s="2728"/>
      <c r="AF321" s="2729"/>
      <c r="AG321" s="2719">
        <f>MORTGAGE!N312</f>
        <v>1.025603448275862</v>
      </c>
      <c r="AH321" s="2720"/>
      <c r="AI321" s="2720"/>
      <c r="AJ321" s="2720"/>
      <c r="AK321" s="2723"/>
      <c r="AL321" s="2719">
        <f>MORTGAGE!O312</f>
        <v>0</v>
      </c>
      <c r="AM321" s="2720"/>
      <c r="AN321" s="2720"/>
      <c r="AO321" s="2720"/>
      <c r="AP321" s="2720"/>
      <c r="AQ321" s="1239">
        <f t="shared" si="4"/>
        <v>1</v>
      </c>
    </row>
    <row r="322" spans="1:43" x14ac:dyDescent="0.25">
      <c r="A322" s="2"/>
      <c r="B322" s="2797" t="str">
        <f>IFERROR(ROUNDUP(E322/12,0),"")</f>
        <v/>
      </c>
      <c r="C322" s="2798"/>
      <c r="D322" s="2799"/>
      <c r="E322" s="2785" t="str">
        <f>IF(MORTGAGE!B313=0,"",MORTGAGE!B313)</f>
        <v/>
      </c>
      <c r="F322" s="2786"/>
      <c r="G322" s="2787"/>
      <c r="H322" s="2773">
        <f>MORTGAGE!H313</f>
        <v>0</v>
      </c>
      <c r="I322" s="2774"/>
      <c r="J322" s="2774"/>
      <c r="K322" s="2774"/>
      <c r="L322" s="2775"/>
      <c r="M322" s="2758">
        <f>MORTGAGE!J313</f>
        <v>0</v>
      </c>
      <c r="N322" s="2759"/>
      <c r="O322" s="2759"/>
      <c r="P322" s="2759"/>
      <c r="Q322" s="2760"/>
      <c r="R322" s="2746">
        <f>MORTGAGE!I313</f>
        <v>0</v>
      </c>
      <c r="S322" s="2747"/>
      <c r="T322" s="2747"/>
      <c r="U322" s="2747"/>
      <c r="V322" s="2748"/>
      <c r="W322" s="2736">
        <f>MORTGAGE!K313</f>
        <v>0</v>
      </c>
      <c r="X322" s="2737"/>
      <c r="Y322" s="2737"/>
      <c r="Z322" s="2737"/>
      <c r="AA322" s="2738"/>
      <c r="AB322" s="2730">
        <f>MORTGAGE!L313</f>
        <v>118970</v>
      </c>
      <c r="AC322" s="2731"/>
      <c r="AD322" s="2731"/>
      <c r="AE322" s="2731"/>
      <c r="AF322" s="2732"/>
      <c r="AG322" s="2724">
        <f>MORTGAGE!N313</f>
        <v>1.025603448275862</v>
      </c>
      <c r="AH322" s="2725"/>
      <c r="AI322" s="2725"/>
      <c r="AJ322" s="2725"/>
      <c r="AK322" s="2726"/>
      <c r="AL322" s="2721">
        <f>MORTGAGE!O313</f>
        <v>0</v>
      </c>
      <c r="AM322" s="2722"/>
      <c r="AN322" s="2722"/>
      <c r="AO322" s="2722"/>
      <c r="AP322" s="2722"/>
      <c r="AQ322" s="1239">
        <f t="shared" si="4"/>
        <v>1</v>
      </c>
    </row>
    <row r="323" spans="1:43" x14ac:dyDescent="0.25">
      <c r="A323" s="2"/>
      <c r="B323" s="2791"/>
      <c r="C323" s="2792"/>
      <c r="D323" s="2793"/>
      <c r="E323" s="2776" t="str">
        <f>IF(MORTGAGE!B314=0,"",MORTGAGE!B314)</f>
        <v/>
      </c>
      <c r="F323" s="2777"/>
      <c r="G323" s="2778"/>
      <c r="H323" s="2761">
        <f>MORTGAGE!H314</f>
        <v>0</v>
      </c>
      <c r="I323" s="2762"/>
      <c r="J323" s="2762"/>
      <c r="K323" s="2762"/>
      <c r="L323" s="2763"/>
      <c r="M323" s="2749">
        <f>MORTGAGE!J314</f>
        <v>0</v>
      </c>
      <c r="N323" s="2750"/>
      <c r="O323" s="2750"/>
      <c r="P323" s="2750"/>
      <c r="Q323" s="2751"/>
      <c r="R323" s="2739">
        <f>MORTGAGE!I314</f>
        <v>0</v>
      </c>
      <c r="S323" s="2740"/>
      <c r="T323" s="2740"/>
      <c r="U323" s="2740"/>
      <c r="V323" s="2741"/>
      <c r="W323" s="2733">
        <f>MORTGAGE!K314</f>
        <v>0</v>
      </c>
      <c r="X323" s="2734"/>
      <c r="Y323" s="2734"/>
      <c r="Z323" s="2734"/>
      <c r="AA323" s="2735"/>
      <c r="AB323" s="2727">
        <f>MORTGAGE!L314</f>
        <v>118970</v>
      </c>
      <c r="AC323" s="2728"/>
      <c r="AD323" s="2728"/>
      <c r="AE323" s="2728"/>
      <c r="AF323" s="2729"/>
      <c r="AG323" s="2719">
        <f>MORTGAGE!N314</f>
        <v>1.025603448275862</v>
      </c>
      <c r="AH323" s="2720"/>
      <c r="AI323" s="2720"/>
      <c r="AJ323" s="2720"/>
      <c r="AK323" s="2723"/>
      <c r="AL323" s="2719">
        <f>MORTGAGE!O314</f>
        <v>0</v>
      </c>
      <c r="AM323" s="2720"/>
      <c r="AN323" s="2720"/>
      <c r="AO323" s="2720"/>
      <c r="AP323" s="2720"/>
      <c r="AQ323" s="1239">
        <f t="shared" si="4"/>
        <v>1</v>
      </c>
    </row>
    <row r="324" spans="1:43" x14ac:dyDescent="0.25">
      <c r="A324" s="2"/>
      <c r="B324" s="2791"/>
      <c r="C324" s="2792"/>
      <c r="D324" s="2793"/>
      <c r="E324" s="2776" t="str">
        <f>IF(MORTGAGE!B315=0,"",MORTGAGE!B315)</f>
        <v/>
      </c>
      <c r="F324" s="2777"/>
      <c r="G324" s="2778"/>
      <c r="H324" s="2761">
        <f>MORTGAGE!H315</f>
        <v>0</v>
      </c>
      <c r="I324" s="2762"/>
      <c r="J324" s="2762"/>
      <c r="K324" s="2762"/>
      <c r="L324" s="2763"/>
      <c r="M324" s="2749">
        <f>MORTGAGE!J315</f>
        <v>0</v>
      </c>
      <c r="N324" s="2750"/>
      <c r="O324" s="2750"/>
      <c r="P324" s="2750"/>
      <c r="Q324" s="2751"/>
      <c r="R324" s="2739">
        <f>MORTGAGE!I315</f>
        <v>0</v>
      </c>
      <c r="S324" s="2740"/>
      <c r="T324" s="2740"/>
      <c r="U324" s="2740"/>
      <c r="V324" s="2741"/>
      <c r="W324" s="2733">
        <f>MORTGAGE!K315</f>
        <v>0</v>
      </c>
      <c r="X324" s="2734"/>
      <c r="Y324" s="2734"/>
      <c r="Z324" s="2734"/>
      <c r="AA324" s="2735"/>
      <c r="AB324" s="2727">
        <f>MORTGAGE!L315</f>
        <v>118970</v>
      </c>
      <c r="AC324" s="2728"/>
      <c r="AD324" s="2728"/>
      <c r="AE324" s="2728"/>
      <c r="AF324" s="2729"/>
      <c r="AG324" s="2719">
        <f>MORTGAGE!N315</f>
        <v>1.025603448275862</v>
      </c>
      <c r="AH324" s="2720"/>
      <c r="AI324" s="2720"/>
      <c r="AJ324" s="2720"/>
      <c r="AK324" s="2723"/>
      <c r="AL324" s="2719">
        <f>MORTGAGE!O315</f>
        <v>0</v>
      </c>
      <c r="AM324" s="2720"/>
      <c r="AN324" s="2720"/>
      <c r="AO324" s="2720"/>
      <c r="AP324" s="2720"/>
      <c r="AQ324" s="1239">
        <f t="shared" si="4"/>
        <v>1</v>
      </c>
    </row>
    <row r="325" spans="1:43" x14ac:dyDescent="0.25">
      <c r="A325" s="2"/>
      <c r="B325" s="2791"/>
      <c r="C325" s="2792"/>
      <c r="D325" s="2793"/>
      <c r="E325" s="2776" t="str">
        <f>IF(MORTGAGE!B316=0,"",MORTGAGE!B316)</f>
        <v/>
      </c>
      <c r="F325" s="2777"/>
      <c r="G325" s="2778"/>
      <c r="H325" s="2761">
        <f>MORTGAGE!H316</f>
        <v>0</v>
      </c>
      <c r="I325" s="2762"/>
      <c r="J325" s="2762"/>
      <c r="K325" s="2762"/>
      <c r="L325" s="2763"/>
      <c r="M325" s="2749">
        <f>MORTGAGE!J316</f>
        <v>0</v>
      </c>
      <c r="N325" s="2750"/>
      <c r="O325" s="2750"/>
      <c r="P325" s="2750"/>
      <c r="Q325" s="2751"/>
      <c r="R325" s="2739">
        <f>MORTGAGE!I316</f>
        <v>0</v>
      </c>
      <c r="S325" s="2740"/>
      <c r="T325" s="2740"/>
      <c r="U325" s="2740"/>
      <c r="V325" s="2741"/>
      <c r="W325" s="2733">
        <f>MORTGAGE!K316</f>
        <v>0</v>
      </c>
      <c r="X325" s="2734"/>
      <c r="Y325" s="2734"/>
      <c r="Z325" s="2734"/>
      <c r="AA325" s="2735"/>
      <c r="AB325" s="2727">
        <f>MORTGAGE!L316</f>
        <v>118970</v>
      </c>
      <c r="AC325" s="2728"/>
      <c r="AD325" s="2728"/>
      <c r="AE325" s="2728"/>
      <c r="AF325" s="2729"/>
      <c r="AG325" s="2719">
        <f>MORTGAGE!N316</f>
        <v>1.025603448275862</v>
      </c>
      <c r="AH325" s="2720"/>
      <c r="AI325" s="2720"/>
      <c r="AJ325" s="2720"/>
      <c r="AK325" s="2723"/>
      <c r="AL325" s="2719">
        <f>MORTGAGE!O316</f>
        <v>0</v>
      </c>
      <c r="AM325" s="2720"/>
      <c r="AN325" s="2720"/>
      <c r="AO325" s="2720"/>
      <c r="AP325" s="2720"/>
      <c r="AQ325" s="1239">
        <f t="shared" si="4"/>
        <v>1</v>
      </c>
    </row>
    <row r="326" spans="1:43" x14ac:dyDescent="0.25">
      <c r="A326" s="2"/>
      <c r="B326" s="2791"/>
      <c r="C326" s="2792"/>
      <c r="D326" s="2793"/>
      <c r="E326" s="2776" t="str">
        <f>IF(MORTGAGE!B317=0,"",MORTGAGE!B317)</f>
        <v/>
      </c>
      <c r="F326" s="2777"/>
      <c r="G326" s="2778"/>
      <c r="H326" s="2761">
        <f>MORTGAGE!H317</f>
        <v>0</v>
      </c>
      <c r="I326" s="2762"/>
      <c r="J326" s="2762"/>
      <c r="K326" s="2762"/>
      <c r="L326" s="2763"/>
      <c r="M326" s="2749">
        <f>MORTGAGE!J317</f>
        <v>0</v>
      </c>
      <c r="N326" s="2750"/>
      <c r="O326" s="2750"/>
      <c r="P326" s="2750"/>
      <c r="Q326" s="2751"/>
      <c r="R326" s="2739">
        <f>MORTGAGE!I317</f>
        <v>0</v>
      </c>
      <c r="S326" s="2740"/>
      <c r="T326" s="2740"/>
      <c r="U326" s="2740"/>
      <c r="V326" s="2741"/>
      <c r="W326" s="2733">
        <f>MORTGAGE!K317</f>
        <v>0</v>
      </c>
      <c r="X326" s="2734"/>
      <c r="Y326" s="2734"/>
      <c r="Z326" s="2734"/>
      <c r="AA326" s="2735"/>
      <c r="AB326" s="2727">
        <f>MORTGAGE!L317</f>
        <v>118970</v>
      </c>
      <c r="AC326" s="2728"/>
      <c r="AD326" s="2728"/>
      <c r="AE326" s="2728"/>
      <c r="AF326" s="2729"/>
      <c r="AG326" s="2719">
        <f>MORTGAGE!N317</f>
        <v>1.025603448275862</v>
      </c>
      <c r="AH326" s="2720"/>
      <c r="AI326" s="2720"/>
      <c r="AJ326" s="2720"/>
      <c r="AK326" s="2723"/>
      <c r="AL326" s="2719">
        <f>MORTGAGE!O317</f>
        <v>0</v>
      </c>
      <c r="AM326" s="2720"/>
      <c r="AN326" s="2720"/>
      <c r="AO326" s="2720"/>
      <c r="AP326" s="2720"/>
      <c r="AQ326" s="1239">
        <f t="shared" si="4"/>
        <v>1</v>
      </c>
    </row>
    <row r="327" spans="1:43" x14ac:dyDescent="0.25">
      <c r="A327" s="2"/>
      <c r="B327" s="2791"/>
      <c r="C327" s="2792"/>
      <c r="D327" s="2793"/>
      <c r="E327" s="2776" t="str">
        <f>IF(MORTGAGE!B318=0,"",MORTGAGE!B318)</f>
        <v/>
      </c>
      <c r="F327" s="2777"/>
      <c r="G327" s="2778"/>
      <c r="H327" s="2761">
        <f>MORTGAGE!H318</f>
        <v>0</v>
      </c>
      <c r="I327" s="2762"/>
      <c r="J327" s="2762"/>
      <c r="K327" s="2762"/>
      <c r="L327" s="2763"/>
      <c r="M327" s="2749">
        <f>MORTGAGE!J318</f>
        <v>0</v>
      </c>
      <c r="N327" s="2750"/>
      <c r="O327" s="2750"/>
      <c r="P327" s="2750"/>
      <c r="Q327" s="2751"/>
      <c r="R327" s="2739">
        <f>MORTGAGE!I318</f>
        <v>0</v>
      </c>
      <c r="S327" s="2740"/>
      <c r="T327" s="2740"/>
      <c r="U327" s="2740"/>
      <c r="V327" s="2741"/>
      <c r="W327" s="2733">
        <f>MORTGAGE!K318</f>
        <v>0</v>
      </c>
      <c r="X327" s="2734"/>
      <c r="Y327" s="2734"/>
      <c r="Z327" s="2734"/>
      <c r="AA327" s="2735"/>
      <c r="AB327" s="2727">
        <f>MORTGAGE!L318</f>
        <v>118970</v>
      </c>
      <c r="AC327" s="2728"/>
      <c r="AD327" s="2728"/>
      <c r="AE327" s="2728"/>
      <c r="AF327" s="2729"/>
      <c r="AG327" s="2719">
        <f>MORTGAGE!N318</f>
        <v>1.025603448275862</v>
      </c>
      <c r="AH327" s="2720"/>
      <c r="AI327" s="2720"/>
      <c r="AJ327" s="2720"/>
      <c r="AK327" s="2723"/>
      <c r="AL327" s="2719">
        <f>MORTGAGE!O318</f>
        <v>0</v>
      </c>
      <c r="AM327" s="2720"/>
      <c r="AN327" s="2720"/>
      <c r="AO327" s="2720"/>
      <c r="AP327" s="2720"/>
      <c r="AQ327" s="1239">
        <f t="shared" si="4"/>
        <v>1</v>
      </c>
    </row>
    <row r="328" spans="1:43" x14ac:dyDescent="0.25">
      <c r="A328" s="2"/>
      <c r="B328" s="2791"/>
      <c r="C328" s="2792"/>
      <c r="D328" s="2793"/>
      <c r="E328" s="2776" t="str">
        <f>IF(MORTGAGE!B319=0,"",MORTGAGE!B319)</f>
        <v/>
      </c>
      <c r="F328" s="2777"/>
      <c r="G328" s="2778"/>
      <c r="H328" s="2761">
        <f>MORTGAGE!H319</f>
        <v>0</v>
      </c>
      <c r="I328" s="2762"/>
      <c r="J328" s="2762"/>
      <c r="K328" s="2762"/>
      <c r="L328" s="2763"/>
      <c r="M328" s="2749">
        <f>MORTGAGE!J319</f>
        <v>0</v>
      </c>
      <c r="N328" s="2750"/>
      <c r="O328" s="2750"/>
      <c r="P328" s="2750"/>
      <c r="Q328" s="2751"/>
      <c r="R328" s="2739">
        <f>MORTGAGE!I319</f>
        <v>0</v>
      </c>
      <c r="S328" s="2740"/>
      <c r="T328" s="2740"/>
      <c r="U328" s="2740"/>
      <c r="V328" s="2741"/>
      <c r="W328" s="2733">
        <f>MORTGAGE!K319</f>
        <v>0</v>
      </c>
      <c r="X328" s="2734"/>
      <c r="Y328" s="2734"/>
      <c r="Z328" s="2734"/>
      <c r="AA328" s="2735"/>
      <c r="AB328" s="2727">
        <f>MORTGAGE!L319</f>
        <v>118970</v>
      </c>
      <c r="AC328" s="2728"/>
      <c r="AD328" s="2728"/>
      <c r="AE328" s="2728"/>
      <c r="AF328" s="2729"/>
      <c r="AG328" s="2719">
        <f>MORTGAGE!N319</f>
        <v>1.025603448275862</v>
      </c>
      <c r="AH328" s="2720"/>
      <c r="AI328" s="2720"/>
      <c r="AJ328" s="2720"/>
      <c r="AK328" s="2723"/>
      <c r="AL328" s="2719">
        <f>MORTGAGE!O319</f>
        <v>0</v>
      </c>
      <c r="AM328" s="2720"/>
      <c r="AN328" s="2720"/>
      <c r="AO328" s="2720"/>
      <c r="AP328" s="2720"/>
      <c r="AQ328" s="1239">
        <f t="shared" si="4"/>
        <v>1</v>
      </c>
    </row>
    <row r="329" spans="1:43" x14ac:dyDescent="0.25">
      <c r="A329" s="2"/>
      <c r="B329" s="2791"/>
      <c r="C329" s="2792"/>
      <c r="D329" s="2793"/>
      <c r="E329" s="2776" t="str">
        <f>IF(MORTGAGE!B320=0,"",MORTGAGE!B320)</f>
        <v/>
      </c>
      <c r="F329" s="2777"/>
      <c r="G329" s="2778"/>
      <c r="H329" s="2761">
        <f>MORTGAGE!H320</f>
        <v>0</v>
      </c>
      <c r="I329" s="2762"/>
      <c r="J329" s="2762"/>
      <c r="K329" s="2762"/>
      <c r="L329" s="2763"/>
      <c r="M329" s="2749">
        <f>MORTGAGE!J320</f>
        <v>0</v>
      </c>
      <c r="N329" s="2750"/>
      <c r="O329" s="2750"/>
      <c r="P329" s="2750"/>
      <c r="Q329" s="2751"/>
      <c r="R329" s="2739">
        <f>MORTGAGE!I320</f>
        <v>0</v>
      </c>
      <c r="S329" s="2740"/>
      <c r="T329" s="2740"/>
      <c r="U329" s="2740"/>
      <c r="V329" s="2741"/>
      <c r="W329" s="2733">
        <f>MORTGAGE!K320</f>
        <v>0</v>
      </c>
      <c r="X329" s="2734"/>
      <c r="Y329" s="2734"/>
      <c r="Z329" s="2734"/>
      <c r="AA329" s="2735"/>
      <c r="AB329" s="2727">
        <f>MORTGAGE!L320</f>
        <v>118970</v>
      </c>
      <c r="AC329" s="2728"/>
      <c r="AD329" s="2728"/>
      <c r="AE329" s="2728"/>
      <c r="AF329" s="2729"/>
      <c r="AG329" s="2719">
        <f>MORTGAGE!N320</f>
        <v>1.025603448275862</v>
      </c>
      <c r="AH329" s="2720"/>
      <c r="AI329" s="2720"/>
      <c r="AJ329" s="2720"/>
      <c r="AK329" s="2723"/>
      <c r="AL329" s="2719">
        <f>MORTGAGE!O320</f>
        <v>0</v>
      </c>
      <c r="AM329" s="2720"/>
      <c r="AN329" s="2720"/>
      <c r="AO329" s="2720"/>
      <c r="AP329" s="2720"/>
      <c r="AQ329" s="1239">
        <f t="shared" si="4"/>
        <v>1</v>
      </c>
    </row>
    <row r="330" spans="1:43" x14ac:dyDescent="0.25">
      <c r="A330" s="2"/>
      <c r="B330" s="2791"/>
      <c r="C330" s="2792"/>
      <c r="D330" s="2793"/>
      <c r="E330" s="2776" t="str">
        <f>IF(MORTGAGE!B321=0,"",MORTGAGE!B321)</f>
        <v/>
      </c>
      <c r="F330" s="2777"/>
      <c r="G330" s="2778"/>
      <c r="H330" s="2761">
        <f>MORTGAGE!H321</f>
        <v>0</v>
      </c>
      <c r="I330" s="2762"/>
      <c r="J330" s="2762"/>
      <c r="K330" s="2762"/>
      <c r="L330" s="2763"/>
      <c r="M330" s="2749">
        <f>MORTGAGE!J321</f>
        <v>0</v>
      </c>
      <c r="N330" s="2750"/>
      <c r="O330" s="2750"/>
      <c r="P330" s="2750"/>
      <c r="Q330" s="2751"/>
      <c r="R330" s="2739">
        <f>MORTGAGE!I321</f>
        <v>0</v>
      </c>
      <c r="S330" s="2740"/>
      <c r="T330" s="2740"/>
      <c r="U330" s="2740"/>
      <c r="V330" s="2741"/>
      <c r="W330" s="2733">
        <f>MORTGAGE!K321</f>
        <v>0</v>
      </c>
      <c r="X330" s="2734"/>
      <c r="Y330" s="2734"/>
      <c r="Z330" s="2734"/>
      <c r="AA330" s="2735"/>
      <c r="AB330" s="2727">
        <f>MORTGAGE!L321</f>
        <v>118970</v>
      </c>
      <c r="AC330" s="2728"/>
      <c r="AD330" s="2728"/>
      <c r="AE330" s="2728"/>
      <c r="AF330" s="2729"/>
      <c r="AG330" s="2719">
        <f>MORTGAGE!N321</f>
        <v>1.025603448275862</v>
      </c>
      <c r="AH330" s="2720"/>
      <c r="AI330" s="2720"/>
      <c r="AJ330" s="2720"/>
      <c r="AK330" s="2723"/>
      <c r="AL330" s="2719">
        <f>MORTGAGE!O321</f>
        <v>0</v>
      </c>
      <c r="AM330" s="2720"/>
      <c r="AN330" s="2720"/>
      <c r="AO330" s="2720"/>
      <c r="AP330" s="2720"/>
      <c r="AQ330" s="1239">
        <f t="shared" si="4"/>
        <v>1</v>
      </c>
    </row>
    <row r="331" spans="1:43" x14ac:dyDescent="0.25">
      <c r="A331" s="2"/>
      <c r="B331" s="2791"/>
      <c r="C331" s="2792"/>
      <c r="D331" s="2793"/>
      <c r="E331" s="2776" t="str">
        <f>IF(MORTGAGE!B322=0,"",MORTGAGE!B322)</f>
        <v/>
      </c>
      <c r="F331" s="2777"/>
      <c r="G331" s="2778"/>
      <c r="H331" s="2761">
        <f>MORTGAGE!H322</f>
        <v>0</v>
      </c>
      <c r="I331" s="2762"/>
      <c r="J331" s="2762"/>
      <c r="K331" s="2762"/>
      <c r="L331" s="2763"/>
      <c r="M331" s="2749">
        <f>MORTGAGE!J322</f>
        <v>0</v>
      </c>
      <c r="N331" s="2750"/>
      <c r="O331" s="2750"/>
      <c r="P331" s="2750"/>
      <c r="Q331" s="2751"/>
      <c r="R331" s="2739">
        <f>MORTGAGE!I322</f>
        <v>0</v>
      </c>
      <c r="S331" s="2740"/>
      <c r="T331" s="2740"/>
      <c r="U331" s="2740"/>
      <c r="V331" s="2741"/>
      <c r="W331" s="2733">
        <f>MORTGAGE!K322</f>
        <v>0</v>
      </c>
      <c r="X331" s="2734"/>
      <c r="Y331" s="2734"/>
      <c r="Z331" s="2734"/>
      <c r="AA331" s="2735"/>
      <c r="AB331" s="2727">
        <f>MORTGAGE!L322</f>
        <v>118970</v>
      </c>
      <c r="AC331" s="2728"/>
      <c r="AD331" s="2728"/>
      <c r="AE331" s="2728"/>
      <c r="AF331" s="2729"/>
      <c r="AG331" s="2719">
        <f>MORTGAGE!N322</f>
        <v>1.025603448275862</v>
      </c>
      <c r="AH331" s="2720"/>
      <c r="AI331" s="2720"/>
      <c r="AJ331" s="2720"/>
      <c r="AK331" s="2723"/>
      <c r="AL331" s="2719">
        <f>MORTGAGE!O322</f>
        <v>0</v>
      </c>
      <c r="AM331" s="2720"/>
      <c r="AN331" s="2720"/>
      <c r="AO331" s="2720"/>
      <c r="AP331" s="2720"/>
      <c r="AQ331" s="1239">
        <f t="shared" si="4"/>
        <v>1</v>
      </c>
    </row>
    <row r="332" spans="1:43" x14ac:dyDescent="0.25">
      <c r="A332" s="2"/>
      <c r="B332" s="2791"/>
      <c r="C332" s="2792"/>
      <c r="D332" s="2793"/>
      <c r="E332" s="2776" t="str">
        <f>IF(MORTGAGE!B323=0,"",MORTGAGE!B323)</f>
        <v/>
      </c>
      <c r="F332" s="2777"/>
      <c r="G332" s="2778"/>
      <c r="H332" s="2761">
        <f>MORTGAGE!H323</f>
        <v>0</v>
      </c>
      <c r="I332" s="2762"/>
      <c r="J332" s="2762"/>
      <c r="K332" s="2762"/>
      <c r="L332" s="2763"/>
      <c r="M332" s="2749">
        <f>MORTGAGE!J323</f>
        <v>0</v>
      </c>
      <c r="N332" s="2750"/>
      <c r="O332" s="2750"/>
      <c r="P332" s="2750"/>
      <c r="Q332" s="2751"/>
      <c r="R332" s="2739">
        <f>MORTGAGE!I323</f>
        <v>0</v>
      </c>
      <c r="S332" s="2740"/>
      <c r="T332" s="2740"/>
      <c r="U332" s="2740"/>
      <c r="V332" s="2741"/>
      <c r="W332" s="2733">
        <f>MORTGAGE!K323</f>
        <v>0</v>
      </c>
      <c r="X332" s="2734"/>
      <c r="Y332" s="2734"/>
      <c r="Z332" s="2734"/>
      <c r="AA332" s="2735"/>
      <c r="AB332" s="2727">
        <f>MORTGAGE!L323</f>
        <v>118970</v>
      </c>
      <c r="AC332" s="2728"/>
      <c r="AD332" s="2728"/>
      <c r="AE332" s="2728"/>
      <c r="AF332" s="2729"/>
      <c r="AG332" s="2719">
        <f>MORTGAGE!N323</f>
        <v>1.025603448275862</v>
      </c>
      <c r="AH332" s="2720"/>
      <c r="AI332" s="2720"/>
      <c r="AJ332" s="2720"/>
      <c r="AK332" s="2723"/>
      <c r="AL332" s="2719">
        <f>MORTGAGE!O323</f>
        <v>0</v>
      </c>
      <c r="AM332" s="2720"/>
      <c r="AN332" s="2720"/>
      <c r="AO332" s="2720"/>
      <c r="AP332" s="2720"/>
      <c r="AQ332" s="1239">
        <f t="shared" si="4"/>
        <v>1</v>
      </c>
    </row>
    <row r="333" spans="1:43" ht="14.4" thickBot="1" x14ac:dyDescent="0.3">
      <c r="A333" s="2"/>
      <c r="B333" s="2794"/>
      <c r="C333" s="2795"/>
      <c r="D333" s="2796"/>
      <c r="E333" s="2776" t="str">
        <f>IF(MORTGAGE!B324=0,"",MORTGAGE!B324)</f>
        <v/>
      </c>
      <c r="F333" s="2777"/>
      <c r="G333" s="2778"/>
      <c r="H333" s="2761">
        <f>MORTGAGE!H324</f>
        <v>0</v>
      </c>
      <c r="I333" s="2762"/>
      <c r="J333" s="2762"/>
      <c r="K333" s="2762"/>
      <c r="L333" s="2763"/>
      <c r="M333" s="2749">
        <f>MORTGAGE!J324</f>
        <v>0</v>
      </c>
      <c r="N333" s="2750"/>
      <c r="O333" s="2750"/>
      <c r="P333" s="2750"/>
      <c r="Q333" s="2751"/>
      <c r="R333" s="2739">
        <f>MORTGAGE!I324</f>
        <v>0</v>
      </c>
      <c r="S333" s="2740"/>
      <c r="T333" s="2740"/>
      <c r="U333" s="2740"/>
      <c r="V333" s="2741"/>
      <c r="W333" s="2733">
        <f>MORTGAGE!K324</f>
        <v>0</v>
      </c>
      <c r="X333" s="2734"/>
      <c r="Y333" s="2734"/>
      <c r="Z333" s="2734"/>
      <c r="AA333" s="2735"/>
      <c r="AB333" s="2727">
        <f>MORTGAGE!L324</f>
        <v>118970</v>
      </c>
      <c r="AC333" s="2728"/>
      <c r="AD333" s="2728"/>
      <c r="AE333" s="2728"/>
      <c r="AF333" s="2729"/>
      <c r="AG333" s="2719">
        <f>MORTGAGE!N324</f>
        <v>1.025603448275862</v>
      </c>
      <c r="AH333" s="2720"/>
      <c r="AI333" s="2720"/>
      <c r="AJ333" s="2720"/>
      <c r="AK333" s="2723"/>
      <c r="AL333" s="2719">
        <f>MORTGAGE!O324</f>
        <v>0</v>
      </c>
      <c r="AM333" s="2720"/>
      <c r="AN333" s="2720"/>
      <c r="AO333" s="2720"/>
      <c r="AP333" s="2720"/>
      <c r="AQ333" s="1239">
        <f t="shared" si="4"/>
        <v>1</v>
      </c>
    </row>
    <row r="334" spans="1:43" x14ac:dyDescent="0.25">
      <c r="A334" s="2"/>
      <c r="B334" s="2797" t="str">
        <f>IFERROR(ROUNDUP(E334/12,0),"")</f>
        <v/>
      </c>
      <c r="C334" s="2798"/>
      <c r="D334" s="2799"/>
      <c r="E334" s="2785" t="str">
        <f>IF(MORTGAGE!B325=0,"",MORTGAGE!B325)</f>
        <v/>
      </c>
      <c r="F334" s="2786"/>
      <c r="G334" s="2787"/>
      <c r="H334" s="2773">
        <f>MORTGAGE!H325</f>
        <v>0</v>
      </c>
      <c r="I334" s="2774"/>
      <c r="J334" s="2774"/>
      <c r="K334" s="2774"/>
      <c r="L334" s="2775"/>
      <c r="M334" s="2758">
        <f>MORTGAGE!J325</f>
        <v>0</v>
      </c>
      <c r="N334" s="2759"/>
      <c r="O334" s="2759"/>
      <c r="P334" s="2759"/>
      <c r="Q334" s="2760"/>
      <c r="R334" s="2746">
        <f>MORTGAGE!I325</f>
        <v>0</v>
      </c>
      <c r="S334" s="2747"/>
      <c r="T334" s="2747"/>
      <c r="U334" s="2747"/>
      <c r="V334" s="2748"/>
      <c r="W334" s="2736">
        <f>MORTGAGE!K325</f>
        <v>0</v>
      </c>
      <c r="X334" s="2737"/>
      <c r="Y334" s="2737"/>
      <c r="Z334" s="2737"/>
      <c r="AA334" s="2738"/>
      <c r="AB334" s="2730">
        <f>MORTGAGE!L325</f>
        <v>118970</v>
      </c>
      <c r="AC334" s="2731"/>
      <c r="AD334" s="2731"/>
      <c r="AE334" s="2731"/>
      <c r="AF334" s="2732"/>
      <c r="AG334" s="2724">
        <f>MORTGAGE!N325</f>
        <v>1.025603448275862</v>
      </c>
      <c r="AH334" s="2725"/>
      <c r="AI334" s="2725"/>
      <c r="AJ334" s="2725"/>
      <c r="AK334" s="2726"/>
      <c r="AL334" s="2721">
        <f>MORTGAGE!O325</f>
        <v>0</v>
      </c>
      <c r="AM334" s="2722"/>
      <c r="AN334" s="2722"/>
      <c r="AO334" s="2722"/>
      <c r="AP334" s="2722"/>
      <c r="AQ334" s="1239">
        <f t="shared" si="4"/>
        <v>1</v>
      </c>
    </row>
    <row r="335" spans="1:43" x14ac:dyDescent="0.25">
      <c r="A335" s="2"/>
      <c r="B335" s="2791"/>
      <c r="C335" s="2792"/>
      <c r="D335" s="2793"/>
      <c r="E335" s="2776" t="str">
        <f>IF(MORTGAGE!B326=0,"",MORTGAGE!B326)</f>
        <v/>
      </c>
      <c r="F335" s="2777"/>
      <c r="G335" s="2778"/>
      <c r="H335" s="2761">
        <f>MORTGAGE!H326</f>
        <v>0</v>
      </c>
      <c r="I335" s="2762"/>
      <c r="J335" s="2762"/>
      <c r="K335" s="2762"/>
      <c r="L335" s="2763"/>
      <c r="M335" s="2749">
        <f>MORTGAGE!J326</f>
        <v>0</v>
      </c>
      <c r="N335" s="2750"/>
      <c r="O335" s="2750"/>
      <c r="P335" s="2750"/>
      <c r="Q335" s="2751"/>
      <c r="R335" s="2739">
        <f>MORTGAGE!I326</f>
        <v>0</v>
      </c>
      <c r="S335" s="2740"/>
      <c r="T335" s="2740"/>
      <c r="U335" s="2740"/>
      <c r="V335" s="2741"/>
      <c r="W335" s="2733">
        <f>MORTGAGE!K326</f>
        <v>0</v>
      </c>
      <c r="X335" s="2734"/>
      <c r="Y335" s="2734"/>
      <c r="Z335" s="2734"/>
      <c r="AA335" s="2735"/>
      <c r="AB335" s="2727">
        <f>MORTGAGE!L326</f>
        <v>118970</v>
      </c>
      <c r="AC335" s="2728"/>
      <c r="AD335" s="2728"/>
      <c r="AE335" s="2728"/>
      <c r="AF335" s="2729"/>
      <c r="AG335" s="2719">
        <f>MORTGAGE!N326</f>
        <v>1.025603448275862</v>
      </c>
      <c r="AH335" s="2720"/>
      <c r="AI335" s="2720"/>
      <c r="AJ335" s="2720"/>
      <c r="AK335" s="2723"/>
      <c r="AL335" s="2719">
        <f>MORTGAGE!O326</f>
        <v>0</v>
      </c>
      <c r="AM335" s="2720"/>
      <c r="AN335" s="2720"/>
      <c r="AO335" s="2720"/>
      <c r="AP335" s="2720"/>
      <c r="AQ335" s="1239">
        <f t="shared" si="4"/>
        <v>1</v>
      </c>
    </row>
    <row r="336" spans="1:43" x14ac:dyDescent="0.25">
      <c r="A336" s="2"/>
      <c r="B336" s="2791"/>
      <c r="C336" s="2792"/>
      <c r="D336" s="2793"/>
      <c r="E336" s="2776" t="str">
        <f>IF(MORTGAGE!B327=0,"",MORTGAGE!B327)</f>
        <v/>
      </c>
      <c r="F336" s="2777"/>
      <c r="G336" s="2778"/>
      <c r="H336" s="2761">
        <f>MORTGAGE!H327</f>
        <v>0</v>
      </c>
      <c r="I336" s="2762"/>
      <c r="J336" s="2762"/>
      <c r="K336" s="2762"/>
      <c r="L336" s="2763"/>
      <c r="M336" s="2749">
        <f>MORTGAGE!J327</f>
        <v>0</v>
      </c>
      <c r="N336" s="2750"/>
      <c r="O336" s="2750"/>
      <c r="P336" s="2750"/>
      <c r="Q336" s="2751"/>
      <c r="R336" s="2739">
        <f>MORTGAGE!I327</f>
        <v>0</v>
      </c>
      <c r="S336" s="2740"/>
      <c r="T336" s="2740"/>
      <c r="U336" s="2740"/>
      <c r="V336" s="2741"/>
      <c r="W336" s="2733">
        <f>MORTGAGE!K327</f>
        <v>0</v>
      </c>
      <c r="X336" s="2734"/>
      <c r="Y336" s="2734"/>
      <c r="Z336" s="2734"/>
      <c r="AA336" s="2735"/>
      <c r="AB336" s="2727">
        <f>MORTGAGE!L327</f>
        <v>118970</v>
      </c>
      <c r="AC336" s="2728"/>
      <c r="AD336" s="2728"/>
      <c r="AE336" s="2728"/>
      <c r="AF336" s="2729"/>
      <c r="AG336" s="2719">
        <f>MORTGAGE!N327</f>
        <v>1.025603448275862</v>
      </c>
      <c r="AH336" s="2720"/>
      <c r="AI336" s="2720"/>
      <c r="AJ336" s="2720"/>
      <c r="AK336" s="2723"/>
      <c r="AL336" s="2719">
        <f>MORTGAGE!O327</f>
        <v>0</v>
      </c>
      <c r="AM336" s="2720"/>
      <c r="AN336" s="2720"/>
      <c r="AO336" s="2720"/>
      <c r="AP336" s="2720"/>
      <c r="AQ336" s="1239">
        <f t="shared" si="4"/>
        <v>1</v>
      </c>
    </row>
    <row r="337" spans="1:43" x14ac:dyDescent="0.25">
      <c r="A337" s="2"/>
      <c r="B337" s="2791"/>
      <c r="C337" s="2792"/>
      <c r="D337" s="2793"/>
      <c r="E337" s="2776" t="str">
        <f>IF(MORTGAGE!B328=0,"",MORTGAGE!B328)</f>
        <v/>
      </c>
      <c r="F337" s="2777"/>
      <c r="G337" s="2778"/>
      <c r="H337" s="2761">
        <f>MORTGAGE!H328</f>
        <v>0</v>
      </c>
      <c r="I337" s="2762"/>
      <c r="J337" s="2762"/>
      <c r="K337" s="2762"/>
      <c r="L337" s="2763"/>
      <c r="M337" s="2749">
        <f>MORTGAGE!J328</f>
        <v>0</v>
      </c>
      <c r="N337" s="2750"/>
      <c r="O337" s="2750"/>
      <c r="P337" s="2750"/>
      <c r="Q337" s="2751"/>
      <c r="R337" s="2739">
        <f>MORTGAGE!I328</f>
        <v>0</v>
      </c>
      <c r="S337" s="2740"/>
      <c r="T337" s="2740"/>
      <c r="U337" s="2740"/>
      <c r="V337" s="2741"/>
      <c r="W337" s="2733">
        <f>MORTGAGE!K328</f>
        <v>0</v>
      </c>
      <c r="X337" s="2734"/>
      <c r="Y337" s="2734"/>
      <c r="Z337" s="2734"/>
      <c r="AA337" s="2735"/>
      <c r="AB337" s="2727">
        <f>MORTGAGE!L328</f>
        <v>118970</v>
      </c>
      <c r="AC337" s="2728"/>
      <c r="AD337" s="2728"/>
      <c r="AE337" s="2728"/>
      <c r="AF337" s="2729"/>
      <c r="AG337" s="2719">
        <f>MORTGAGE!N328</f>
        <v>1.025603448275862</v>
      </c>
      <c r="AH337" s="2720"/>
      <c r="AI337" s="2720"/>
      <c r="AJ337" s="2720"/>
      <c r="AK337" s="2723"/>
      <c r="AL337" s="2719">
        <f>MORTGAGE!O328</f>
        <v>0</v>
      </c>
      <c r="AM337" s="2720"/>
      <c r="AN337" s="2720"/>
      <c r="AO337" s="2720"/>
      <c r="AP337" s="2720"/>
      <c r="AQ337" s="1239">
        <f t="shared" si="4"/>
        <v>1</v>
      </c>
    </row>
    <row r="338" spans="1:43" x14ac:dyDescent="0.25">
      <c r="A338" s="2"/>
      <c r="B338" s="2791"/>
      <c r="C338" s="2792"/>
      <c r="D338" s="2793"/>
      <c r="E338" s="2776" t="str">
        <f>IF(MORTGAGE!B329=0,"",MORTGAGE!B329)</f>
        <v/>
      </c>
      <c r="F338" s="2777"/>
      <c r="G338" s="2778"/>
      <c r="H338" s="2761">
        <f>MORTGAGE!H329</f>
        <v>0</v>
      </c>
      <c r="I338" s="2762"/>
      <c r="J338" s="2762"/>
      <c r="K338" s="2762"/>
      <c r="L338" s="2763"/>
      <c r="M338" s="2749">
        <f>MORTGAGE!J329</f>
        <v>0</v>
      </c>
      <c r="N338" s="2750"/>
      <c r="O338" s="2750"/>
      <c r="P338" s="2750"/>
      <c r="Q338" s="2751"/>
      <c r="R338" s="2739">
        <f>MORTGAGE!I329</f>
        <v>0</v>
      </c>
      <c r="S338" s="2740"/>
      <c r="T338" s="2740"/>
      <c r="U338" s="2740"/>
      <c r="V338" s="2741"/>
      <c r="W338" s="2733">
        <f>MORTGAGE!K329</f>
        <v>0</v>
      </c>
      <c r="X338" s="2734"/>
      <c r="Y338" s="2734"/>
      <c r="Z338" s="2734"/>
      <c r="AA338" s="2735"/>
      <c r="AB338" s="2727">
        <f>MORTGAGE!L329</f>
        <v>118970</v>
      </c>
      <c r="AC338" s="2728"/>
      <c r="AD338" s="2728"/>
      <c r="AE338" s="2728"/>
      <c r="AF338" s="2729"/>
      <c r="AG338" s="2719">
        <f>MORTGAGE!N329</f>
        <v>1.025603448275862</v>
      </c>
      <c r="AH338" s="2720"/>
      <c r="AI338" s="2720"/>
      <c r="AJ338" s="2720"/>
      <c r="AK338" s="2723"/>
      <c r="AL338" s="2719">
        <f>MORTGAGE!O329</f>
        <v>0</v>
      </c>
      <c r="AM338" s="2720"/>
      <c r="AN338" s="2720"/>
      <c r="AO338" s="2720"/>
      <c r="AP338" s="2720"/>
      <c r="AQ338" s="1239">
        <f t="shared" si="4"/>
        <v>1</v>
      </c>
    </row>
    <row r="339" spans="1:43" x14ac:dyDescent="0.25">
      <c r="A339" s="2"/>
      <c r="B339" s="2791"/>
      <c r="C339" s="2792"/>
      <c r="D339" s="2793"/>
      <c r="E339" s="2776" t="str">
        <f>IF(MORTGAGE!B330=0,"",MORTGAGE!B330)</f>
        <v/>
      </c>
      <c r="F339" s="2777"/>
      <c r="G339" s="2778"/>
      <c r="H339" s="2761">
        <f>MORTGAGE!H330</f>
        <v>0</v>
      </c>
      <c r="I339" s="2762"/>
      <c r="J339" s="2762"/>
      <c r="K339" s="2762"/>
      <c r="L339" s="2763"/>
      <c r="M339" s="2749">
        <f>MORTGAGE!J330</f>
        <v>0</v>
      </c>
      <c r="N339" s="2750"/>
      <c r="O339" s="2750"/>
      <c r="P339" s="2750"/>
      <c r="Q339" s="2751"/>
      <c r="R339" s="2739">
        <f>MORTGAGE!I330</f>
        <v>0</v>
      </c>
      <c r="S339" s="2740"/>
      <c r="T339" s="2740"/>
      <c r="U339" s="2740"/>
      <c r="V339" s="2741"/>
      <c r="W339" s="2733">
        <f>MORTGAGE!K330</f>
        <v>0</v>
      </c>
      <c r="X339" s="2734"/>
      <c r="Y339" s="2734"/>
      <c r="Z339" s="2734"/>
      <c r="AA339" s="2735"/>
      <c r="AB339" s="2727">
        <f>MORTGAGE!L330</f>
        <v>118970</v>
      </c>
      <c r="AC339" s="2728"/>
      <c r="AD339" s="2728"/>
      <c r="AE339" s="2728"/>
      <c r="AF339" s="2729"/>
      <c r="AG339" s="2719">
        <f>MORTGAGE!N330</f>
        <v>1.025603448275862</v>
      </c>
      <c r="AH339" s="2720"/>
      <c r="AI339" s="2720"/>
      <c r="AJ339" s="2720"/>
      <c r="AK339" s="2723"/>
      <c r="AL339" s="2719">
        <f>MORTGAGE!O330</f>
        <v>0</v>
      </c>
      <c r="AM339" s="2720"/>
      <c r="AN339" s="2720"/>
      <c r="AO339" s="2720"/>
      <c r="AP339" s="2720"/>
      <c r="AQ339" s="1239">
        <f t="shared" si="4"/>
        <v>1</v>
      </c>
    </row>
    <row r="340" spans="1:43" x14ac:dyDescent="0.25">
      <c r="A340" s="2"/>
      <c r="B340" s="2791"/>
      <c r="C340" s="2792"/>
      <c r="D340" s="2793"/>
      <c r="E340" s="2776" t="str">
        <f>IF(MORTGAGE!B331=0,"",MORTGAGE!B331)</f>
        <v/>
      </c>
      <c r="F340" s="2777"/>
      <c r="G340" s="2778"/>
      <c r="H340" s="2761">
        <f>MORTGAGE!H331</f>
        <v>0</v>
      </c>
      <c r="I340" s="2762"/>
      <c r="J340" s="2762"/>
      <c r="K340" s="2762"/>
      <c r="L340" s="2763"/>
      <c r="M340" s="2749">
        <f>MORTGAGE!J331</f>
        <v>0</v>
      </c>
      <c r="N340" s="2750"/>
      <c r="O340" s="2750"/>
      <c r="P340" s="2750"/>
      <c r="Q340" s="2751"/>
      <c r="R340" s="2739">
        <f>MORTGAGE!I331</f>
        <v>0</v>
      </c>
      <c r="S340" s="2740"/>
      <c r="T340" s="2740"/>
      <c r="U340" s="2740"/>
      <c r="V340" s="2741"/>
      <c r="W340" s="2733">
        <f>MORTGAGE!K331</f>
        <v>0</v>
      </c>
      <c r="X340" s="2734"/>
      <c r="Y340" s="2734"/>
      <c r="Z340" s="2734"/>
      <c r="AA340" s="2735"/>
      <c r="AB340" s="2727">
        <f>MORTGAGE!L331</f>
        <v>118970</v>
      </c>
      <c r="AC340" s="2728"/>
      <c r="AD340" s="2728"/>
      <c r="AE340" s="2728"/>
      <c r="AF340" s="2729"/>
      <c r="AG340" s="2719">
        <f>MORTGAGE!N331</f>
        <v>1.025603448275862</v>
      </c>
      <c r="AH340" s="2720"/>
      <c r="AI340" s="2720"/>
      <c r="AJ340" s="2720"/>
      <c r="AK340" s="2723"/>
      <c r="AL340" s="2719">
        <f>MORTGAGE!O331</f>
        <v>0</v>
      </c>
      <c r="AM340" s="2720"/>
      <c r="AN340" s="2720"/>
      <c r="AO340" s="2720"/>
      <c r="AP340" s="2720"/>
      <c r="AQ340" s="1239">
        <f t="shared" si="4"/>
        <v>1</v>
      </c>
    </row>
    <row r="341" spans="1:43" x14ac:dyDescent="0.25">
      <c r="A341" s="2"/>
      <c r="B341" s="2791"/>
      <c r="C341" s="2792"/>
      <c r="D341" s="2793"/>
      <c r="E341" s="2776" t="str">
        <f>IF(MORTGAGE!B332=0,"",MORTGAGE!B332)</f>
        <v/>
      </c>
      <c r="F341" s="2777"/>
      <c r="G341" s="2778"/>
      <c r="H341" s="2761">
        <f>MORTGAGE!H332</f>
        <v>0</v>
      </c>
      <c r="I341" s="2762"/>
      <c r="J341" s="2762"/>
      <c r="K341" s="2762"/>
      <c r="L341" s="2763"/>
      <c r="M341" s="2749">
        <f>MORTGAGE!J332</f>
        <v>0</v>
      </c>
      <c r="N341" s="2750"/>
      <c r="O341" s="2750"/>
      <c r="P341" s="2750"/>
      <c r="Q341" s="2751"/>
      <c r="R341" s="2739">
        <f>MORTGAGE!I332</f>
        <v>0</v>
      </c>
      <c r="S341" s="2740"/>
      <c r="T341" s="2740"/>
      <c r="U341" s="2740"/>
      <c r="V341" s="2741"/>
      <c r="W341" s="2733">
        <f>MORTGAGE!K332</f>
        <v>0</v>
      </c>
      <c r="X341" s="2734"/>
      <c r="Y341" s="2734"/>
      <c r="Z341" s="2734"/>
      <c r="AA341" s="2735"/>
      <c r="AB341" s="2727">
        <f>MORTGAGE!L332</f>
        <v>118970</v>
      </c>
      <c r="AC341" s="2728"/>
      <c r="AD341" s="2728"/>
      <c r="AE341" s="2728"/>
      <c r="AF341" s="2729"/>
      <c r="AG341" s="2719">
        <f>MORTGAGE!N332</f>
        <v>1.025603448275862</v>
      </c>
      <c r="AH341" s="2720"/>
      <c r="AI341" s="2720"/>
      <c r="AJ341" s="2720"/>
      <c r="AK341" s="2723"/>
      <c r="AL341" s="2719">
        <f>MORTGAGE!O332</f>
        <v>0</v>
      </c>
      <c r="AM341" s="2720"/>
      <c r="AN341" s="2720"/>
      <c r="AO341" s="2720"/>
      <c r="AP341" s="2720"/>
      <c r="AQ341" s="1239">
        <f t="shared" si="4"/>
        <v>1</v>
      </c>
    </row>
    <row r="342" spans="1:43" x14ac:dyDescent="0.25">
      <c r="A342" s="2"/>
      <c r="B342" s="2791"/>
      <c r="C342" s="2792"/>
      <c r="D342" s="2793"/>
      <c r="E342" s="2776" t="str">
        <f>IF(MORTGAGE!B333=0,"",MORTGAGE!B333)</f>
        <v/>
      </c>
      <c r="F342" s="2777"/>
      <c r="G342" s="2778"/>
      <c r="H342" s="2761">
        <f>MORTGAGE!H333</f>
        <v>0</v>
      </c>
      <c r="I342" s="2762"/>
      <c r="J342" s="2762"/>
      <c r="K342" s="2762"/>
      <c r="L342" s="2763"/>
      <c r="M342" s="2749">
        <f>MORTGAGE!J333</f>
        <v>0</v>
      </c>
      <c r="N342" s="2750"/>
      <c r="O342" s="2750"/>
      <c r="P342" s="2750"/>
      <c r="Q342" s="2751"/>
      <c r="R342" s="2739">
        <f>MORTGAGE!I333</f>
        <v>0</v>
      </c>
      <c r="S342" s="2740"/>
      <c r="T342" s="2740"/>
      <c r="U342" s="2740"/>
      <c r="V342" s="2741"/>
      <c r="W342" s="2733">
        <f>MORTGAGE!K333</f>
        <v>0</v>
      </c>
      <c r="X342" s="2734"/>
      <c r="Y342" s="2734"/>
      <c r="Z342" s="2734"/>
      <c r="AA342" s="2735"/>
      <c r="AB342" s="2727">
        <f>MORTGAGE!L333</f>
        <v>118970</v>
      </c>
      <c r="AC342" s="2728"/>
      <c r="AD342" s="2728"/>
      <c r="AE342" s="2728"/>
      <c r="AF342" s="2729"/>
      <c r="AG342" s="2719">
        <f>MORTGAGE!N333</f>
        <v>1.025603448275862</v>
      </c>
      <c r="AH342" s="2720"/>
      <c r="AI342" s="2720"/>
      <c r="AJ342" s="2720"/>
      <c r="AK342" s="2723"/>
      <c r="AL342" s="2719">
        <f>MORTGAGE!O333</f>
        <v>0</v>
      </c>
      <c r="AM342" s="2720"/>
      <c r="AN342" s="2720"/>
      <c r="AO342" s="2720"/>
      <c r="AP342" s="2720"/>
      <c r="AQ342" s="1239">
        <f t="shared" si="4"/>
        <v>1</v>
      </c>
    </row>
    <row r="343" spans="1:43" x14ac:dyDescent="0.25">
      <c r="A343" s="2"/>
      <c r="B343" s="2791"/>
      <c r="C343" s="2792"/>
      <c r="D343" s="2793"/>
      <c r="E343" s="2776" t="str">
        <f>IF(MORTGAGE!B334=0,"",MORTGAGE!B334)</f>
        <v/>
      </c>
      <c r="F343" s="2777"/>
      <c r="G343" s="2778"/>
      <c r="H343" s="2761">
        <f>MORTGAGE!H334</f>
        <v>0</v>
      </c>
      <c r="I343" s="2762"/>
      <c r="J343" s="2762"/>
      <c r="K343" s="2762"/>
      <c r="L343" s="2763"/>
      <c r="M343" s="2749">
        <f>MORTGAGE!J334</f>
        <v>0</v>
      </c>
      <c r="N343" s="2750"/>
      <c r="O343" s="2750"/>
      <c r="P343" s="2750"/>
      <c r="Q343" s="2751"/>
      <c r="R343" s="2739">
        <f>MORTGAGE!I334</f>
        <v>0</v>
      </c>
      <c r="S343" s="2740"/>
      <c r="T343" s="2740"/>
      <c r="U343" s="2740"/>
      <c r="V343" s="2741"/>
      <c r="W343" s="2733">
        <f>MORTGAGE!K334</f>
        <v>0</v>
      </c>
      <c r="X343" s="2734"/>
      <c r="Y343" s="2734"/>
      <c r="Z343" s="2734"/>
      <c r="AA343" s="2735"/>
      <c r="AB343" s="2727">
        <f>MORTGAGE!L334</f>
        <v>118970</v>
      </c>
      <c r="AC343" s="2728"/>
      <c r="AD343" s="2728"/>
      <c r="AE343" s="2728"/>
      <c r="AF343" s="2729"/>
      <c r="AG343" s="2719">
        <f>MORTGAGE!N334</f>
        <v>1.025603448275862</v>
      </c>
      <c r="AH343" s="2720"/>
      <c r="AI343" s="2720"/>
      <c r="AJ343" s="2720"/>
      <c r="AK343" s="2723"/>
      <c r="AL343" s="2719">
        <f>MORTGAGE!O334</f>
        <v>0</v>
      </c>
      <c r="AM343" s="2720"/>
      <c r="AN343" s="2720"/>
      <c r="AO343" s="2720"/>
      <c r="AP343" s="2720"/>
      <c r="AQ343" s="1239">
        <f t="shared" si="4"/>
        <v>1</v>
      </c>
    </row>
    <row r="344" spans="1:43" x14ac:dyDescent="0.25">
      <c r="A344" s="2"/>
      <c r="B344" s="2791"/>
      <c r="C344" s="2792"/>
      <c r="D344" s="2793"/>
      <c r="E344" s="2776" t="str">
        <f>IF(MORTGAGE!B335=0,"",MORTGAGE!B335)</f>
        <v/>
      </c>
      <c r="F344" s="2777"/>
      <c r="G344" s="2778"/>
      <c r="H344" s="2761">
        <f>MORTGAGE!H335</f>
        <v>0</v>
      </c>
      <c r="I344" s="2762"/>
      <c r="J344" s="2762"/>
      <c r="K344" s="2762"/>
      <c r="L344" s="2763"/>
      <c r="M344" s="2749">
        <f>MORTGAGE!J335</f>
        <v>0</v>
      </c>
      <c r="N344" s="2750"/>
      <c r="O344" s="2750"/>
      <c r="P344" s="2750"/>
      <c r="Q344" s="2751"/>
      <c r="R344" s="2739">
        <f>MORTGAGE!I335</f>
        <v>0</v>
      </c>
      <c r="S344" s="2740"/>
      <c r="T344" s="2740"/>
      <c r="U344" s="2740"/>
      <c r="V344" s="2741"/>
      <c r="W344" s="2733">
        <f>MORTGAGE!K335</f>
        <v>0</v>
      </c>
      <c r="X344" s="2734"/>
      <c r="Y344" s="2734"/>
      <c r="Z344" s="2734"/>
      <c r="AA344" s="2735"/>
      <c r="AB344" s="2727">
        <f>MORTGAGE!L335</f>
        <v>118970</v>
      </c>
      <c r="AC344" s="2728"/>
      <c r="AD344" s="2728"/>
      <c r="AE344" s="2728"/>
      <c r="AF344" s="2729"/>
      <c r="AG344" s="2719">
        <f>MORTGAGE!N335</f>
        <v>1.025603448275862</v>
      </c>
      <c r="AH344" s="2720"/>
      <c r="AI344" s="2720"/>
      <c r="AJ344" s="2720"/>
      <c r="AK344" s="2723"/>
      <c r="AL344" s="2719">
        <f>MORTGAGE!O335</f>
        <v>0</v>
      </c>
      <c r="AM344" s="2720"/>
      <c r="AN344" s="2720"/>
      <c r="AO344" s="2720"/>
      <c r="AP344" s="2720"/>
      <c r="AQ344" s="1239">
        <f t="shared" si="4"/>
        <v>1</v>
      </c>
    </row>
    <row r="345" spans="1:43" ht="14.4" thickBot="1" x14ac:dyDescent="0.3">
      <c r="A345" s="2"/>
      <c r="B345" s="2794"/>
      <c r="C345" s="2795"/>
      <c r="D345" s="2796"/>
      <c r="E345" s="2776" t="str">
        <f>IF(MORTGAGE!B336=0,"",MORTGAGE!B336)</f>
        <v/>
      </c>
      <c r="F345" s="2777"/>
      <c r="G345" s="2778"/>
      <c r="H345" s="2761">
        <f>MORTGAGE!H336</f>
        <v>0</v>
      </c>
      <c r="I345" s="2762"/>
      <c r="J345" s="2762"/>
      <c r="K345" s="2762"/>
      <c r="L345" s="2763"/>
      <c r="M345" s="2749">
        <f>MORTGAGE!J336</f>
        <v>0</v>
      </c>
      <c r="N345" s="2750"/>
      <c r="O345" s="2750"/>
      <c r="P345" s="2750"/>
      <c r="Q345" s="2751"/>
      <c r="R345" s="2739">
        <f>MORTGAGE!I336</f>
        <v>0</v>
      </c>
      <c r="S345" s="2740"/>
      <c r="T345" s="2740"/>
      <c r="U345" s="2740"/>
      <c r="V345" s="2741"/>
      <c r="W345" s="2733">
        <f>MORTGAGE!K336</f>
        <v>0</v>
      </c>
      <c r="X345" s="2734"/>
      <c r="Y345" s="2734"/>
      <c r="Z345" s="2734"/>
      <c r="AA345" s="2735"/>
      <c r="AB345" s="2727">
        <f>MORTGAGE!L336</f>
        <v>118970</v>
      </c>
      <c r="AC345" s="2728"/>
      <c r="AD345" s="2728"/>
      <c r="AE345" s="2728"/>
      <c r="AF345" s="2729"/>
      <c r="AG345" s="2719">
        <f>MORTGAGE!N336</f>
        <v>1.025603448275862</v>
      </c>
      <c r="AH345" s="2720"/>
      <c r="AI345" s="2720"/>
      <c r="AJ345" s="2720"/>
      <c r="AK345" s="2723"/>
      <c r="AL345" s="2719">
        <f>MORTGAGE!O336</f>
        <v>0</v>
      </c>
      <c r="AM345" s="2720"/>
      <c r="AN345" s="2720"/>
      <c r="AO345" s="2720"/>
      <c r="AP345" s="2720"/>
      <c r="AQ345" s="1239">
        <f t="shared" si="4"/>
        <v>1</v>
      </c>
    </row>
    <row r="346" spans="1:43" x14ac:dyDescent="0.25">
      <c r="A346" s="2"/>
      <c r="B346" s="2797" t="str">
        <f>IFERROR(ROUNDUP(E346/12,0),"")</f>
        <v/>
      </c>
      <c r="C346" s="2798"/>
      <c r="D346" s="2799"/>
      <c r="E346" s="2785" t="str">
        <f>IF(MORTGAGE!B337=0,"",MORTGAGE!B337)</f>
        <v/>
      </c>
      <c r="F346" s="2786"/>
      <c r="G346" s="2787"/>
      <c r="H346" s="2773">
        <f>MORTGAGE!H337</f>
        <v>0</v>
      </c>
      <c r="I346" s="2774"/>
      <c r="J346" s="2774"/>
      <c r="K346" s="2774"/>
      <c r="L346" s="2775"/>
      <c r="M346" s="2758">
        <f>MORTGAGE!J337</f>
        <v>0</v>
      </c>
      <c r="N346" s="2759"/>
      <c r="O346" s="2759"/>
      <c r="P346" s="2759"/>
      <c r="Q346" s="2760"/>
      <c r="R346" s="2746">
        <f>MORTGAGE!I337</f>
        <v>0</v>
      </c>
      <c r="S346" s="2747"/>
      <c r="T346" s="2747"/>
      <c r="U346" s="2747"/>
      <c r="V346" s="2748"/>
      <c r="W346" s="2736">
        <f>MORTGAGE!K337</f>
        <v>0</v>
      </c>
      <c r="X346" s="2737"/>
      <c r="Y346" s="2737"/>
      <c r="Z346" s="2737"/>
      <c r="AA346" s="2738"/>
      <c r="AB346" s="2730">
        <f>MORTGAGE!L337</f>
        <v>118970</v>
      </c>
      <c r="AC346" s="2731"/>
      <c r="AD346" s="2731"/>
      <c r="AE346" s="2731"/>
      <c r="AF346" s="2732"/>
      <c r="AG346" s="2724">
        <f>MORTGAGE!N337</f>
        <v>1.025603448275862</v>
      </c>
      <c r="AH346" s="2725"/>
      <c r="AI346" s="2725"/>
      <c r="AJ346" s="2725"/>
      <c r="AK346" s="2726"/>
      <c r="AL346" s="2721">
        <f>MORTGAGE!O337</f>
        <v>0</v>
      </c>
      <c r="AM346" s="2722"/>
      <c r="AN346" s="2722"/>
      <c r="AO346" s="2722"/>
      <c r="AP346" s="2722"/>
      <c r="AQ346" s="1239">
        <f t="shared" si="4"/>
        <v>1</v>
      </c>
    </row>
    <row r="347" spans="1:43" x14ac:dyDescent="0.25">
      <c r="A347" s="2"/>
      <c r="B347" s="2791"/>
      <c r="C347" s="2792"/>
      <c r="D347" s="2793"/>
      <c r="E347" s="2776" t="str">
        <f>IF(MORTGAGE!B338=0,"",MORTGAGE!B338)</f>
        <v/>
      </c>
      <c r="F347" s="2777"/>
      <c r="G347" s="2778"/>
      <c r="H347" s="2761">
        <f>MORTGAGE!H338</f>
        <v>0</v>
      </c>
      <c r="I347" s="2762"/>
      <c r="J347" s="2762"/>
      <c r="K347" s="2762"/>
      <c r="L347" s="2763"/>
      <c r="M347" s="2749">
        <f>MORTGAGE!J338</f>
        <v>0</v>
      </c>
      <c r="N347" s="2750"/>
      <c r="O347" s="2750"/>
      <c r="P347" s="2750"/>
      <c r="Q347" s="2751"/>
      <c r="R347" s="2739">
        <f>MORTGAGE!I338</f>
        <v>0</v>
      </c>
      <c r="S347" s="2740"/>
      <c r="T347" s="2740"/>
      <c r="U347" s="2740"/>
      <c r="V347" s="2741"/>
      <c r="W347" s="2733">
        <f>MORTGAGE!K338</f>
        <v>0</v>
      </c>
      <c r="X347" s="2734"/>
      <c r="Y347" s="2734"/>
      <c r="Z347" s="2734"/>
      <c r="AA347" s="2735"/>
      <c r="AB347" s="2727">
        <f>MORTGAGE!L338</f>
        <v>118970</v>
      </c>
      <c r="AC347" s="2728"/>
      <c r="AD347" s="2728"/>
      <c r="AE347" s="2728"/>
      <c r="AF347" s="2729"/>
      <c r="AG347" s="2719">
        <f>MORTGAGE!N338</f>
        <v>1.025603448275862</v>
      </c>
      <c r="AH347" s="2720"/>
      <c r="AI347" s="2720"/>
      <c r="AJ347" s="2720"/>
      <c r="AK347" s="2723"/>
      <c r="AL347" s="2719">
        <f>MORTGAGE!O338</f>
        <v>0</v>
      </c>
      <c r="AM347" s="2720"/>
      <c r="AN347" s="2720"/>
      <c r="AO347" s="2720"/>
      <c r="AP347" s="2720"/>
      <c r="AQ347" s="1239">
        <f t="shared" si="4"/>
        <v>1</v>
      </c>
    </row>
    <row r="348" spans="1:43" x14ac:dyDescent="0.25">
      <c r="A348" s="2"/>
      <c r="B348" s="2791"/>
      <c r="C348" s="2792"/>
      <c r="D348" s="2793"/>
      <c r="E348" s="2776" t="str">
        <f>IF(MORTGAGE!B339=0,"",MORTGAGE!B339)</f>
        <v/>
      </c>
      <c r="F348" s="2777"/>
      <c r="G348" s="2778"/>
      <c r="H348" s="2761">
        <f>MORTGAGE!H339</f>
        <v>0</v>
      </c>
      <c r="I348" s="2762"/>
      <c r="J348" s="2762"/>
      <c r="K348" s="2762"/>
      <c r="L348" s="2763"/>
      <c r="M348" s="2749">
        <f>MORTGAGE!J339</f>
        <v>0</v>
      </c>
      <c r="N348" s="2750"/>
      <c r="O348" s="2750"/>
      <c r="P348" s="2750"/>
      <c r="Q348" s="2751"/>
      <c r="R348" s="2739">
        <f>MORTGAGE!I339</f>
        <v>0</v>
      </c>
      <c r="S348" s="2740"/>
      <c r="T348" s="2740"/>
      <c r="U348" s="2740"/>
      <c r="V348" s="2741"/>
      <c r="W348" s="2733">
        <f>MORTGAGE!K339</f>
        <v>0</v>
      </c>
      <c r="X348" s="2734"/>
      <c r="Y348" s="2734"/>
      <c r="Z348" s="2734"/>
      <c r="AA348" s="2735"/>
      <c r="AB348" s="2727">
        <f>MORTGAGE!L339</f>
        <v>118970</v>
      </c>
      <c r="AC348" s="2728"/>
      <c r="AD348" s="2728"/>
      <c r="AE348" s="2728"/>
      <c r="AF348" s="2729"/>
      <c r="AG348" s="2719">
        <f>MORTGAGE!N339</f>
        <v>1.025603448275862</v>
      </c>
      <c r="AH348" s="2720"/>
      <c r="AI348" s="2720"/>
      <c r="AJ348" s="2720"/>
      <c r="AK348" s="2723"/>
      <c r="AL348" s="2719">
        <f>MORTGAGE!O339</f>
        <v>0</v>
      </c>
      <c r="AM348" s="2720"/>
      <c r="AN348" s="2720"/>
      <c r="AO348" s="2720"/>
      <c r="AP348" s="2720"/>
      <c r="AQ348" s="1239">
        <f t="shared" si="4"/>
        <v>1</v>
      </c>
    </row>
    <row r="349" spans="1:43" x14ac:dyDescent="0.25">
      <c r="A349" s="2"/>
      <c r="B349" s="2791"/>
      <c r="C349" s="2792"/>
      <c r="D349" s="2793"/>
      <c r="E349" s="2776" t="str">
        <f>IF(MORTGAGE!B340=0,"",MORTGAGE!B340)</f>
        <v/>
      </c>
      <c r="F349" s="2777"/>
      <c r="G349" s="2778"/>
      <c r="H349" s="2761">
        <f>MORTGAGE!H340</f>
        <v>0</v>
      </c>
      <c r="I349" s="2762"/>
      <c r="J349" s="2762"/>
      <c r="K349" s="2762"/>
      <c r="L349" s="2763"/>
      <c r="M349" s="2749">
        <f>MORTGAGE!J340</f>
        <v>0</v>
      </c>
      <c r="N349" s="2750"/>
      <c r="O349" s="2750"/>
      <c r="P349" s="2750"/>
      <c r="Q349" s="2751"/>
      <c r="R349" s="2739">
        <f>MORTGAGE!I340</f>
        <v>0</v>
      </c>
      <c r="S349" s="2740"/>
      <c r="T349" s="2740"/>
      <c r="U349" s="2740"/>
      <c r="V349" s="2741"/>
      <c r="W349" s="2733">
        <f>MORTGAGE!K340</f>
        <v>0</v>
      </c>
      <c r="X349" s="2734"/>
      <c r="Y349" s="2734"/>
      <c r="Z349" s="2734"/>
      <c r="AA349" s="2735"/>
      <c r="AB349" s="2727">
        <f>MORTGAGE!L340</f>
        <v>118970</v>
      </c>
      <c r="AC349" s="2728"/>
      <c r="AD349" s="2728"/>
      <c r="AE349" s="2728"/>
      <c r="AF349" s="2729"/>
      <c r="AG349" s="2719">
        <f>MORTGAGE!N340</f>
        <v>1.025603448275862</v>
      </c>
      <c r="AH349" s="2720"/>
      <c r="AI349" s="2720"/>
      <c r="AJ349" s="2720"/>
      <c r="AK349" s="2723"/>
      <c r="AL349" s="2719">
        <f>MORTGAGE!O340</f>
        <v>0</v>
      </c>
      <c r="AM349" s="2720"/>
      <c r="AN349" s="2720"/>
      <c r="AO349" s="2720"/>
      <c r="AP349" s="2720"/>
      <c r="AQ349" s="1239">
        <f t="shared" si="4"/>
        <v>1</v>
      </c>
    </row>
    <row r="350" spans="1:43" x14ac:dyDescent="0.25">
      <c r="A350" s="2"/>
      <c r="B350" s="2791"/>
      <c r="C350" s="2792"/>
      <c r="D350" s="2793"/>
      <c r="E350" s="2776" t="str">
        <f>IF(MORTGAGE!B341=0,"",MORTGAGE!B341)</f>
        <v/>
      </c>
      <c r="F350" s="2777"/>
      <c r="G350" s="2778"/>
      <c r="H350" s="2761">
        <f>MORTGAGE!H341</f>
        <v>0</v>
      </c>
      <c r="I350" s="2762"/>
      <c r="J350" s="2762"/>
      <c r="K350" s="2762"/>
      <c r="L350" s="2763"/>
      <c r="M350" s="2749">
        <f>MORTGAGE!J341</f>
        <v>0</v>
      </c>
      <c r="N350" s="2750"/>
      <c r="O350" s="2750"/>
      <c r="P350" s="2750"/>
      <c r="Q350" s="2751"/>
      <c r="R350" s="2739">
        <f>MORTGAGE!I341</f>
        <v>0</v>
      </c>
      <c r="S350" s="2740"/>
      <c r="T350" s="2740"/>
      <c r="U350" s="2740"/>
      <c r="V350" s="2741"/>
      <c r="W350" s="2733">
        <f>MORTGAGE!K341</f>
        <v>0</v>
      </c>
      <c r="X350" s="2734"/>
      <c r="Y350" s="2734"/>
      <c r="Z350" s="2734"/>
      <c r="AA350" s="2735"/>
      <c r="AB350" s="2727">
        <f>MORTGAGE!L341</f>
        <v>118970</v>
      </c>
      <c r="AC350" s="2728"/>
      <c r="AD350" s="2728"/>
      <c r="AE350" s="2728"/>
      <c r="AF350" s="2729"/>
      <c r="AG350" s="2719">
        <f>MORTGAGE!N341</f>
        <v>1.025603448275862</v>
      </c>
      <c r="AH350" s="2720"/>
      <c r="AI350" s="2720"/>
      <c r="AJ350" s="2720"/>
      <c r="AK350" s="2723"/>
      <c r="AL350" s="2719">
        <f>MORTGAGE!O341</f>
        <v>0</v>
      </c>
      <c r="AM350" s="2720"/>
      <c r="AN350" s="2720"/>
      <c r="AO350" s="2720"/>
      <c r="AP350" s="2720"/>
      <c r="AQ350" s="1239">
        <f t="shared" si="4"/>
        <v>1</v>
      </c>
    </row>
    <row r="351" spans="1:43" x14ac:dyDescent="0.25">
      <c r="A351" s="2"/>
      <c r="B351" s="2791"/>
      <c r="C351" s="2792"/>
      <c r="D351" s="2793"/>
      <c r="E351" s="2776" t="str">
        <f>IF(MORTGAGE!B342=0,"",MORTGAGE!B342)</f>
        <v/>
      </c>
      <c r="F351" s="2777"/>
      <c r="G351" s="2778"/>
      <c r="H351" s="2761">
        <f>MORTGAGE!H342</f>
        <v>0</v>
      </c>
      <c r="I351" s="2762"/>
      <c r="J351" s="2762"/>
      <c r="K351" s="2762"/>
      <c r="L351" s="2763"/>
      <c r="M351" s="2749">
        <f>MORTGAGE!J342</f>
        <v>0</v>
      </c>
      <c r="N351" s="2750"/>
      <c r="O351" s="2750"/>
      <c r="P351" s="2750"/>
      <c r="Q351" s="2751"/>
      <c r="R351" s="2739">
        <f>MORTGAGE!I342</f>
        <v>0</v>
      </c>
      <c r="S351" s="2740"/>
      <c r="T351" s="2740"/>
      <c r="U351" s="2740"/>
      <c r="V351" s="2741"/>
      <c r="W351" s="2733">
        <f>MORTGAGE!K342</f>
        <v>0</v>
      </c>
      <c r="X351" s="2734"/>
      <c r="Y351" s="2734"/>
      <c r="Z351" s="2734"/>
      <c r="AA351" s="2735"/>
      <c r="AB351" s="2727">
        <f>MORTGAGE!L342</f>
        <v>118970</v>
      </c>
      <c r="AC351" s="2728"/>
      <c r="AD351" s="2728"/>
      <c r="AE351" s="2728"/>
      <c r="AF351" s="2729"/>
      <c r="AG351" s="2719">
        <f>MORTGAGE!N342</f>
        <v>1.025603448275862</v>
      </c>
      <c r="AH351" s="2720"/>
      <c r="AI351" s="2720"/>
      <c r="AJ351" s="2720"/>
      <c r="AK351" s="2723"/>
      <c r="AL351" s="2719">
        <f>MORTGAGE!O342</f>
        <v>0</v>
      </c>
      <c r="AM351" s="2720"/>
      <c r="AN351" s="2720"/>
      <c r="AO351" s="2720"/>
      <c r="AP351" s="2720"/>
      <c r="AQ351" s="1239">
        <f t="shared" si="4"/>
        <v>1</v>
      </c>
    </row>
    <row r="352" spans="1:43" x14ac:dyDescent="0.25">
      <c r="A352" s="2"/>
      <c r="B352" s="2791"/>
      <c r="C352" s="2792"/>
      <c r="D352" s="2793"/>
      <c r="E352" s="2776" t="str">
        <f>IF(MORTGAGE!B343=0,"",MORTGAGE!B343)</f>
        <v/>
      </c>
      <c r="F352" s="2777"/>
      <c r="G352" s="2778"/>
      <c r="H352" s="2761">
        <f>MORTGAGE!H343</f>
        <v>0</v>
      </c>
      <c r="I352" s="2762"/>
      <c r="J352" s="2762"/>
      <c r="K352" s="2762"/>
      <c r="L352" s="2763"/>
      <c r="M352" s="2749">
        <f>MORTGAGE!J343</f>
        <v>0</v>
      </c>
      <c r="N352" s="2750"/>
      <c r="O352" s="2750"/>
      <c r="P352" s="2750"/>
      <c r="Q352" s="2751"/>
      <c r="R352" s="2739">
        <f>MORTGAGE!I343</f>
        <v>0</v>
      </c>
      <c r="S352" s="2740"/>
      <c r="T352" s="2740"/>
      <c r="U352" s="2740"/>
      <c r="V352" s="2741"/>
      <c r="W352" s="2733">
        <f>MORTGAGE!K343</f>
        <v>0</v>
      </c>
      <c r="X352" s="2734"/>
      <c r="Y352" s="2734"/>
      <c r="Z352" s="2734"/>
      <c r="AA352" s="2735"/>
      <c r="AB352" s="2727">
        <f>MORTGAGE!L343</f>
        <v>118970</v>
      </c>
      <c r="AC352" s="2728"/>
      <c r="AD352" s="2728"/>
      <c r="AE352" s="2728"/>
      <c r="AF352" s="2729"/>
      <c r="AG352" s="2719">
        <f>MORTGAGE!N343</f>
        <v>1.025603448275862</v>
      </c>
      <c r="AH352" s="2720"/>
      <c r="AI352" s="2720"/>
      <c r="AJ352" s="2720"/>
      <c r="AK352" s="2723"/>
      <c r="AL352" s="2719">
        <f>MORTGAGE!O343</f>
        <v>0</v>
      </c>
      <c r="AM352" s="2720"/>
      <c r="AN352" s="2720"/>
      <c r="AO352" s="2720"/>
      <c r="AP352" s="2720"/>
      <c r="AQ352" s="1239">
        <f t="shared" si="4"/>
        <v>1</v>
      </c>
    </row>
    <row r="353" spans="1:43" x14ac:dyDescent="0.25">
      <c r="A353" s="2"/>
      <c r="B353" s="2791"/>
      <c r="C353" s="2792"/>
      <c r="D353" s="2793"/>
      <c r="E353" s="2776" t="str">
        <f>IF(MORTGAGE!B344=0,"",MORTGAGE!B344)</f>
        <v/>
      </c>
      <c r="F353" s="2777"/>
      <c r="G353" s="2778"/>
      <c r="H353" s="2761">
        <f>MORTGAGE!H344</f>
        <v>0</v>
      </c>
      <c r="I353" s="2762"/>
      <c r="J353" s="2762"/>
      <c r="K353" s="2762"/>
      <c r="L353" s="2763"/>
      <c r="M353" s="2749">
        <f>MORTGAGE!J344</f>
        <v>0</v>
      </c>
      <c r="N353" s="2750"/>
      <c r="O353" s="2750"/>
      <c r="P353" s="2750"/>
      <c r="Q353" s="2751"/>
      <c r="R353" s="2739">
        <f>MORTGAGE!I344</f>
        <v>0</v>
      </c>
      <c r="S353" s="2740"/>
      <c r="T353" s="2740"/>
      <c r="U353" s="2740"/>
      <c r="V353" s="2741"/>
      <c r="W353" s="2733">
        <f>MORTGAGE!K344</f>
        <v>0</v>
      </c>
      <c r="X353" s="2734"/>
      <c r="Y353" s="2734"/>
      <c r="Z353" s="2734"/>
      <c r="AA353" s="2735"/>
      <c r="AB353" s="2727">
        <f>MORTGAGE!L344</f>
        <v>118970</v>
      </c>
      <c r="AC353" s="2728"/>
      <c r="AD353" s="2728"/>
      <c r="AE353" s="2728"/>
      <c r="AF353" s="2729"/>
      <c r="AG353" s="2719">
        <f>MORTGAGE!N344</f>
        <v>1.025603448275862</v>
      </c>
      <c r="AH353" s="2720"/>
      <c r="AI353" s="2720"/>
      <c r="AJ353" s="2720"/>
      <c r="AK353" s="2723"/>
      <c r="AL353" s="2719">
        <f>MORTGAGE!O344</f>
        <v>0</v>
      </c>
      <c r="AM353" s="2720"/>
      <c r="AN353" s="2720"/>
      <c r="AO353" s="2720"/>
      <c r="AP353" s="2720"/>
      <c r="AQ353" s="1239">
        <f t="shared" si="4"/>
        <v>1</v>
      </c>
    </row>
    <row r="354" spans="1:43" x14ac:dyDescent="0.25">
      <c r="A354" s="2"/>
      <c r="B354" s="2791"/>
      <c r="C354" s="2792"/>
      <c r="D354" s="2793"/>
      <c r="E354" s="2776" t="str">
        <f>IF(MORTGAGE!B345=0,"",MORTGAGE!B345)</f>
        <v/>
      </c>
      <c r="F354" s="2777"/>
      <c r="G354" s="2778"/>
      <c r="H354" s="2761">
        <f>MORTGAGE!H345</f>
        <v>0</v>
      </c>
      <c r="I354" s="2762"/>
      <c r="J354" s="2762"/>
      <c r="K354" s="2762"/>
      <c r="L354" s="2763"/>
      <c r="M354" s="2749">
        <f>MORTGAGE!J345</f>
        <v>0</v>
      </c>
      <c r="N354" s="2750"/>
      <c r="O354" s="2750"/>
      <c r="P354" s="2750"/>
      <c r="Q354" s="2751"/>
      <c r="R354" s="2739">
        <f>MORTGAGE!I345</f>
        <v>0</v>
      </c>
      <c r="S354" s="2740"/>
      <c r="T354" s="2740"/>
      <c r="U354" s="2740"/>
      <c r="V354" s="2741"/>
      <c r="W354" s="2733">
        <f>MORTGAGE!K345</f>
        <v>0</v>
      </c>
      <c r="X354" s="2734"/>
      <c r="Y354" s="2734"/>
      <c r="Z354" s="2734"/>
      <c r="AA354" s="2735"/>
      <c r="AB354" s="2727">
        <f>MORTGAGE!L345</f>
        <v>118970</v>
      </c>
      <c r="AC354" s="2728"/>
      <c r="AD354" s="2728"/>
      <c r="AE354" s="2728"/>
      <c r="AF354" s="2729"/>
      <c r="AG354" s="2719">
        <f>MORTGAGE!N345</f>
        <v>1.025603448275862</v>
      </c>
      <c r="AH354" s="2720"/>
      <c r="AI354" s="2720"/>
      <c r="AJ354" s="2720"/>
      <c r="AK354" s="2723"/>
      <c r="AL354" s="2719">
        <f>MORTGAGE!O345</f>
        <v>0</v>
      </c>
      <c r="AM354" s="2720"/>
      <c r="AN354" s="2720"/>
      <c r="AO354" s="2720"/>
      <c r="AP354" s="2720"/>
      <c r="AQ354" s="1239">
        <f t="shared" si="4"/>
        <v>1</v>
      </c>
    </row>
    <row r="355" spans="1:43" x14ac:dyDescent="0.25">
      <c r="A355" s="2"/>
      <c r="B355" s="2791"/>
      <c r="C355" s="2792"/>
      <c r="D355" s="2793"/>
      <c r="E355" s="2776" t="str">
        <f>IF(MORTGAGE!B346=0,"",MORTGAGE!B346)</f>
        <v/>
      </c>
      <c r="F355" s="2777"/>
      <c r="G355" s="2778"/>
      <c r="H355" s="2761">
        <f>MORTGAGE!H346</f>
        <v>0</v>
      </c>
      <c r="I355" s="2762"/>
      <c r="J355" s="2762"/>
      <c r="K355" s="2762"/>
      <c r="L355" s="2763"/>
      <c r="M355" s="2749">
        <f>MORTGAGE!J346</f>
        <v>0</v>
      </c>
      <c r="N355" s="2750"/>
      <c r="O355" s="2750"/>
      <c r="P355" s="2750"/>
      <c r="Q355" s="2751"/>
      <c r="R355" s="2739">
        <f>MORTGAGE!I346</f>
        <v>0</v>
      </c>
      <c r="S355" s="2740"/>
      <c r="T355" s="2740"/>
      <c r="U355" s="2740"/>
      <c r="V355" s="2741"/>
      <c r="W355" s="2733">
        <f>MORTGAGE!K346</f>
        <v>0</v>
      </c>
      <c r="X355" s="2734"/>
      <c r="Y355" s="2734"/>
      <c r="Z355" s="2734"/>
      <c r="AA355" s="2735"/>
      <c r="AB355" s="2727">
        <f>MORTGAGE!L346</f>
        <v>118970</v>
      </c>
      <c r="AC355" s="2728"/>
      <c r="AD355" s="2728"/>
      <c r="AE355" s="2728"/>
      <c r="AF355" s="2729"/>
      <c r="AG355" s="2719">
        <f>MORTGAGE!N346</f>
        <v>1.025603448275862</v>
      </c>
      <c r="AH355" s="2720"/>
      <c r="AI355" s="2720"/>
      <c r="AJ355" s="2720"/>
      <c r="AK355" s="2723"/>
      <c r="AL355" s="2719">
        <f>MORTGAGE!O346</f>
        <v>0</v>
      </c>
      <c r="AM355" s="2720"/>
      <c r="AN355" s="2720"/>
      <c r="AO355" s="2720"/>
      <c r="AP355" s="2720"/>
      <c r="AQ355" s="1239">
        <f t="shared" ref="AQ355:AQ393" si="5">IF(SUM(H355:AG355)=0,0,1)</f>
        <v>1</v>
      </c>
    </row>
    <row r="356" spans="1:43" x14ac:dyDescent="0.25">
      <c r="A356" s="2"/>
      <c r="B356" s="2791"/>
      <c r="C356" s="2792"/>
      <c r="D356" s="2793"/>
      <c r="E356" s="2776" t="str">
        <f>IF(MORTGAGE!B347=0,"",MORTGAGE!B347)</f>
        <v/>
      </c>
      <c r="F356" s="2777"/>
      <c r="G356" s="2778"/>
      <c r="H356" s="2761">
        <f>MORTGAGE!H347</f>
        <v>0</v>
      </c>
      <c r="I356" s="2762"/>
      <c r="J356" s="2762"/>
      <c r="K356" s="2762"/>
      <c r="L356" s="2763"/>
      <c r="M356" s="2749">
        <f>MORTGAGE!J347</f>
        <v>0</v>
      </c>
      <c r="N356" s="2750"/>
      <c r="O356" s="2750"/>
      <c r="P356" s="2750"/>
      <c r="Q356" s="2751"/>
      <c r="R356" s="2739">
        <f>MORTGAGE!I347</f>
        <v>0</v>
      </c>
      <c r="S356" s="2740"/>
      <c r="T356" s="2740"/>
      <c r="U356" s="2740"/>
      <c r="V356" s="2741"/>
      <c r="W356" s="2733">
        <f>MORTGAGE!K347</f>
        <v>0</v>
      </c>
      <c r="X356" s="2734"/>
      <c r="Y356" s="2734"/>
      <c r="Z356" s="2734"/>
      <c r="AA356" s="2735"/>
      <c r="AB356" s="2727">
        <f>MORTGAGE!L347</f>
        <v>118970</v>
      </c>
      <c r="AC356" s="2728"/>
      <c r="AD356" s="2728"/>
      <c r="AE356" s="2728"/>
      <c r="AF356" s="2729"/>
      <c r="AG356" s="2719">
        <f>MORTGAGE!N347</f>
        <v>1.025603448275862</v>
      </c>
      <c r="AH356" s="2720"/>
      <c r="AI356" s="2720"/>
      <c r="AJ356" s="2720"/>
      <c r="AK356" s="2723"/>
      <c r="AL356" s="2719">
        <f>MORTGAGE!O347</f>
        <v>0</v>
      </c>
      <c r="AM356" s="2720"/>
      <c r="AN356" s="2720"/>
      <c r="AO356" s="2720"/>
      <c r="AP356" s="2720"/>
      <c r="AQ356" s="1239">
        <f t="shared" si="5"/>
        <v>1</v>
      </c>
    </row>
    <row r="357" spans="1:43" ht="14.4" thickBot="1" x14ac:dyDescent="0.3">
      <c r="A357" s="2"/>
      <c r="B357" s="2794"/>
      <c r="C357" s="2795"/>
      <c r="D357" s="2796"/>
      <c r="E357" s="2776" t="str">
        <f>IF(MORTGAGE!B348=0,"",MORTGAGE!B348)</f>
        <v/>
      </c>
      <c r="F357" s="2777"/>
      <c r="G357" s="2778"/>
      <c r="H357" s="2761">
        <f>MORTGAGE!H348</f>
        <v>0</v>
      </c>
      <c r="I357" s="2762"/>
      <c r="J357" s="2762"/>
      <c r="K357" s="2762"/>
      <c r="L357" s="2763"/>
      <c r="M357" s="2749">
        <f>MORTGAGE!J348</f>
        <v>0</v>
      </c>
      <c r="N357" s="2750"/>
      <c r="O357" s="2750"/>
      <c r="P357" s="2750"/>
      <c r="Q357" s="2751"/>
      <c r="R357" s="2739">
        <f>MORTGAGE!I348</f>
        <v>0</v>
      </c>
      <c r="S357" s="2740"/>
      <c r="T357" s="2740"/>
      <c r="U357" s="2740"/>
      <c r="V357" s="2741"/>
      <c r="W357" s="2733">
        <f>MORTGAGE!K348</f>
        <v>0</v>
      </c>
      <c r="X357" s="2734"/>
      <c r="Y357" s="2734"/>
      <c r="Z357" s="2734"/>
      <c r="AA357" s="2735"/>
      <c r="AB357" s="2727">
        <f>MORTGAGE!L348</f>
        <v>118970</v>
      </c>
      <c r="AC357" s="2728"/>
      <c r="AD357" s="2728"/>
      <c r="AE357" s="2728"/>
      <c r="AF357" s="2729"/>
      <c r="AG357" s="2719">
        <f>MORTGAGE!N348</f>
        <v>1.025603448275862</v>
      </c>
      <c r="AH357" s="2720"/>
      <c r="AI357" s="2720"/>
      <c r="AJ357" s="2720"/>
      <c r="AK357" s="2723"/>
      <c r="AL357" s="2719">
        <f>MORTGAGE!O348</f>
        <v>0</v>
      </c>
      <c r="AM357" s="2720"/>
      <c r="AN357" s="2720"/>
      <c r="AO357" s="2720"/>
      <c r="AP357" s="2720"/>
      <c r="AQ357" s="1239">
        <f t="shared" si="5"/>
        <v>1</v>
      </c>
    </row>
    <row r="358" spans="1:43" x14ac:dyDescent="0.25">
      <c r="A358" s="2"/>
      <c r="B358" s="2797" t="str">
        <f>IFERROR(ROUNDUP(E358/12,0),"")</f>
        <v/>
      </c>
      <c r="C358" s="2798"/>
      <c r="D358" s="2799"/>
      <c r="E358" s="2785" t="str">
        <f>IF(MORTGAGE!B349=0,"",MORTGAGE!B349)</f>
        <v/>
      </c>
      <c r="F358" s="2786"/>
      <c r="G358" s="2787"/>
      <c r="H358" s="2773">
        <f>MORTGAGE!H349</f>
        <v>0</v>
      </c>
      <c r="I358" s="2774"/>
      <c r="J358" s="2774"/>
      <c r="K358" s="2774"/>
      <c r="L358" s="2775"/>
      <c r="M358" s="2758">
        <f>MORTGAGE!J349</f>
        <v>0</v>
      </c>
      <c r="N358" s="2759"/>
      <c r="O358" s="2759"/>
      <c r="P358" s="2759"/>
      <c r="Q358" s="2760"/>
      <c r="R358" s="2746">
        <f>MORTGAGE!I349</f>
        <v>0</v>
      </c>
      <c r="S358" s="2747"/>
      <c r="T358" s="2747"/>
      <c r="U358" s="2747"/>
      <c r="V358" s="2748"/>
      <c r="W358" s="2736">
        <f>MORTGAGE!K349</f>
        <v>0</v>
      </c>
      <c r="X358" s="2737"/>
      <c r="Y358" s="2737"/>
      <c r="Z358" s="2737"/>
      <c r="AA358" s="2738"/>
      <c r="AB358" s="2730">
        <f>MORTGAGE!L349</f>
        <v>118970</v>
      </c>
      <c r="AC358" s="2731"/>
      <c r="AD358" s="2731"/>
      <c r="AE358" s="2731"/>
      <c r="AF358" s="2732"/>
      <c r="AG358" s="2724">
        <f>MORTGAGE!N349</f>
        <v>1.025603448275862</v>
      </c>
      <c r="AH358" s="2725"/>
      <c r="AI358" s="2725"/>
      <c r="AJ358" s="2725"/>
      <c r="AK358" s="2726"/>
      <c r="AL358" s="2721">
        <f>MORTGAGE!O349</f>
        <v>0</v>
      </c>
      <c r="AM358" s="2722"/>
      <c r="AN358" s="2722"/>
      <c r="AO358" s="2722"/>
      <c r="AP358" s="2722"/>
      <c r="AQ358" s="1239">
        <f t="shared" si="5"/>
        <v>1</v>
      </c>
    </row>
    <row r="359" spans="1:43" x14ac:dyDescent="0.25">
      <c r="A359" s="2"/>
      <c r="B359" s="2791"/>
      <c r="C359" s="2792"/>
      <c r="D359" s="2793"/>
      <c r="E359" s="2776" t="str">
        <f>IF(MORTGAGE!B350=0,"",MORTGAGE!B350)</f>
        <v/>
      </c>
      <c r="F359" s="2777"/>
      <c r="G359" s="2778"/>
      <c r="H359" s="2761">
        <f>MORTGAGE!H350</f>
        <v>0</v>
      </c>
      <c r="I359" s="2762"/>
      <c r="J359" s="2762"/>
      <c r="K359" s="2762"/>
      <c r="L359" s="2763"/>
      <c r="M359" s="2749">
        <f>MORTGAGE!J350</f>
        <v>0</v>
      </c>
      <c r="N359" s="2750"/>
      <c r="O359" s="2750"/>
      <c r="P359" s="2750"/>
      <c r="Q359" s="2751"/>
      <c r="R359" s="2739">
        <f>MORTGAGE!I350</f>
        <v>0</v>
      </c>
      <c r="S359" s="2740"/>
      <c r="T359" s="2740"/>
      <c r="U359" s="2740"/>
      <c r="V359" s="2741"/>
      <c r="W359" s="2733">
        <f>MORTGAGE!K350</f>
        <v>0</v>
      </c>
      <c r="X359" s="2734"/>
      <c r="Y359" s="2734"/>
      <c r="Z359" s="2734"/>
      <c r="AA359" s="2735"/>
      <c r="AB359" s="2727">
        <f>MORTGAGE!L350</f>
        <v>118970</v>
      </c>
      <c r="AC359" s="2728"/>
      <c r="AD359" s="2728"/>
      <c r="AE359" s="2728"/>
      <c r="AF359" s="2729"/>
      <c r="AG359" s="2719">
        <f>MORTGAGE!N350</f>
        <v>1.025603448275862</v>
      </c>
      <c r="AH359" s="2720"/>
      <c r="AI359" s="2720"/>
      <c r="AJ359" s="2720"/>
      <c r="AK359" s="2723"/>
      <c r="AL359" s="2719">
        <f>MORTGAGE!O350</f>
        <v>0</v>
      </c>
      <c r="AM359" s="2720"/>
      <c r="AN359" s="2720"/>
      <c r="AO359" s="2720"/>
      <c r="AP359" s="2720"/>
      <c r="AQ359" s="1239">
        <f t="shared" si="5"/>
        <v>1</v>
      </c>
    </row>
    <row r="360" spans="1:43" x14ac:dyDescent="0.25">
      <c r="A360" s="2"/>
      <c r="B360" s="2791"/>
      <c r="C360" s="2792"/>
      <c r="D360" s="2793"/>
      <c r="E360" s="2776" t="str">
        <f>IF(MORTGAGE!B351=0,"",MORTGAGE!B351)</f>
        <v/>
      </c>
      <c r="F360" s="2777"/>
      <c r="G360" s="2778"/>
      <c r="H360" s="2761">
        <f>MORTGAGE!H351</f>
        <v>0</v>
      </c>
      <c r="I360" s="2762"/>
      <c r="J360" s="2762"/>
      <c r="K360" s="2762"/>
      <c r="L360" s="2763"/>
      <c r="M360" s="2749">
        <f>MORTGAGE!J351</f>
        <v>0</v>
      </c>
      <c r="N360" s="2750"/>
      <c r="O360" s="2750"/>
      <c r="P360" s="2750"/>
      <c r="Q360" s="2751"/>
      <c r="R360" s="2739">
        <f>MORTGAGE!I351</f>
        <v>0</v>
      </c>
      <c r="S360" s="2740"/>
      <c r="T360" s="2740"/>
      <c r="U360" s="2740"/>
      <c r="V360" s="2741"/>
      <c r="W360" s="2733">
        <f>MORTGAGE!K351</f>
        <v>0</v>
      </c>
      <c r="X360" s="2734"/>
      <c r="Y360" s="2734"/>
      <c r="Z360" s="2734"/>
      <c r="AA360" s="2735"/>
      <c r="AB360" s="2727">
        <f>MORTGAGE!L351</f>
        <v>118970</v>
      </c>
      <c r="AC360" s="2728"/>
      <c r="AD360" s="2728"/>
      <c r="AE360" s="2728"/>
      <c r="AF360" s="2729"/>
      <c r="AG360" s="2719">
        <f>MORTGAGE!N351</f>
        <v>1.025603448275862</v>
      </c>
      <c r="AH360" s="2720"/>
      <c r="AI360" s="2720"/>
      <c r="AJ360" s="2720"/>
      <c r="AK360" s="2723"/>
      <c r="AL360" s="2719">
        <f>MORTGAGE!O351</f>
        <v>0</v>
      </c>
      <c r="AM360" s="2720"/>
      <c r="AN360" s="2720"/>
      <c r="AO360" s="2720"/>
      <c r="AP360" s="2720"/>
      <c r="AQ360" s="1239">
        <f t="shared" si="5"/>
        <v>1</v>
      </c>
    </row>
    <row r="361" spans="1:43" x14ac:dyDescent="0.25">
      <c r="A361" s="2"/>
      <c r="B361" s="2791"/>
      <c r="C361" s="2792"/>
      <c r="D361" s="2793"/>
      <c r="E361" s="2776" t="str">
        <f>IF(MORTGAGE!B352=0,"",MORTGAGE!B352)</f>
        <v/>
      </c>
      <c r="F361" s="2777"/>
      <c r="G361" s="2778"/>
      <c r="H361" s="2761">
        <f>MORTGAGE!H352</f>
        <v>0</v>
      </c>
      <c r="I361" s="2762"/>
      <c r="J361" s="2762"/>
      <c r="K361" s="2762"/>
      <c r="L361" s="2763"/>
      <c r="M361" s="2749">
        <f>MORTGAGE!J352</f>
        <v>0</v>
      </c>
      <c r="N361" s="2750"/>
      <c r="O361" s="2750"/>
      <c r="P361" s="2750"/>
      <c r="Q361" s="2751"/>
      <c r="R361" s="2739">
        <f>MORTGAGE!I352</f>
        <v>0</v>
      </c>
      <c r="S361" s="2740"/>
      <c r="T361" s="2740"/>
      <c r="U361" s="2740"/>
      <c r="V361" s="2741"/>
      <c r="W361" s="2733">
        <f>MORTGAGE!K352</f>
        <v>0</v>
      </c>
      <c r="X361" s="2734"/>
      <c r="Y361" s="2734"/>
      <c r="Z361" s="2734"/>
      <c r="AA361" s="2735"/>
      <c r="AB361" s="2727">
        <f>MORTGAGE!L352</f>
        <v>118970</v>
      </c>
      <c r="AC361" s="2728"/>
      <c r="AD361" s="2728"/>
      <c r="AE361" s="2728"/>
      <c r="AF361" s="2729"/>
      <c r="AG361" s="2719">
        <f>MORTGAGE!N352</f>
        <v>1.025603448275862</v>
      </c>
      <c r="AH361" s="2720"/>
      <c r="AI361" s="2720"/>
      <c r="AJ361" s="2720"/>
      <c r="AK361" s="2723"/>
      <c r="AL361" s="2719">
        <f>MORTGAGE!O352</f>
        <v>0</v>
      </c>
      <c r="AM361" s="2720"/>
      <c r="AN361" s="2720"/>
      <c r="AO361" s="2720"/>
      <c r="AP361" s="2720"/>
      <c r="AQ361" s="1239">
        <f t="shared" si="5"/>
        <v>1</v>
      </c>
    </row>
    <row r="362" spans="1:43" x14ac:dyDescent="0.25">
      <c r="A362" s="2"/>
      <c r="B362" s="2791"/>
      <c r="C362" s="2792"/>
      <c r="D362" s="2793"/>
      <c r="E362" s="2776" t="str">
        <f>IF(MORTGAGE!B353=0,"",MORTGAGE!B353)</f>
        <v/>
      </c>
      <c r="F362" s="2777"/>
      <c r="G362" s="2778"/>
      <c r="H362" s="2761">
        <f>MORTGAGE!H353</f>
        <v>0</v>
      </c>
      <c r="I362" s="2762"/>
      <c r="J362" s="2762"/>
      <c r="K362" s="2762"/>
      <c r="L362" s="2763"/>
      <c r="M362" s="2749">
        <f>MORTGAGE!J353</f>
        <v>0</v>
      </c>
      <c r="N362" s="2750"/>
      <c r="O362" s="2750"/>
      <c r="P362" s="2750"/>
      <c r="Q362" s="2751"/>
      <c r="R362" s="2739">
        <f>MORTGAGE!I353</f>
        <v>0</v>
      </c>
      <c r="S362" s="2740"/>
      <c r="T362" s="2740"/>
      <c r="U362" s="2740"/>
      <c r="V362" s="2741"/>
      <c r="W362" s="2733">
        <f>MORTGAGE!K353</f>
        <v>0</v>
      </c>
      <c r="X362" s="2734"/>
      <c r="Y362" s="2734"/>
      <c r="Z362" s="2734"/>
      <c r="AA362" s="2735"/>
      <c r="AB362" s="2727">
        <f>MORTGAGE!L353</f>
        <v>118970</v>
      </c>
      <c r="AC362" s="2728"/>
      <c r="AD362" s="2728"/>
      <c r="AE362" s="2728"/>
      <c r="AF362" s="2729"/>
      <c r="AG362" s="2719">
        <f>MORTGAGE!N353</f>
        <v>1.025603448275862</v>
      </c>
      <c r="AH362" s="2720"/>
      <c r="AI362" s="2720"/>
      <c r="AJ362" s="2720"/>
      <c r="AK362" s="2723"/>
      <c r="AL362" s="2719">
        <f>MORTGAGE!O353</f>
        <v>0</v>
      </c>
      <c r="AM362" s="2720"/>
      <c r="AN362" s="2720"/>
      <c r="AO362" s="2720"/>
      <c r="AP362" s="2720"/>
      <c r="AQ362" s="1239">
        <f t="shared" si="5"/>
        <v>1</v>
      </c>
    </row>
    <row r="363" spans="1:43" x14ac:dyDescent="0.25">
      <c r="A363" s="2"/>
      <c r="B363" s="2791"/>
      <c r="C363" s="2792"/>
      <c r="D363" s="2793"/>
      <c r="E363" s="2776" t="str">
        <f>IF(MORTGAGE!B354=0,"",MORTGAGE!B354)</f>
        <v/>
      </c>
      <c r="F363" s="2777"/>
      <c r="G363" s="2778"/>
      <c r="H363" s="2761">
        <f>MORTGAGE!H354</f>
        <v>0</v>
      </c>
      <c r="I363" s="2762"/>
      <c r="J363" s="2762"/>
      <c r="K363" s="2762"/>
      <c r="L363" s="2763"/>
      <c r="M363" s="2749">
        <f>MORTGAGE!J354</f>
        <v>0</v>
      </c>
      <c r="N363" s="2750"/>
      <c r="O363" s="2750"/>
      <c r="P363" s="2750"/>
      <c r="Q363" s="2751"/>
      <c r="R363" s="2739">
        <f>MORTGAGE!I354</f>
        <v>0</v>
      </c>
      <c r="S363" s="2740"/>
      <c r="T363" s="2740"/>
      <c r="U363" s="2740"/>
      <c r="V363" s="2741"/>
      <c r="W363" s="2733">
        <f>MORTGAGE!K354</f>
        <v>0</v>
      </c>
      <c r="X363" s="2734"/>
      <c r="Y363" s="2734"/>
      <c r="Z363" s="2734"/>
      <c r="AA363" s="2735"/>
      <c r="AB363" s="2727">
        <f>MORTGAGE!L354</f>
        <v>118970</v>
      </c>
      <c r="AC363" s="2728"/>
      <c r="AD363" s="2728"/>
      <c r="AE363" s="2728"/>
      <c r="AF363" s="2729"/>
      <c r="AG363" s="2719">
        <f>MORTGAGE!N354</f>
        <v>1.025603448275862</v>
      </c>
      <c r="AH363" s="2720"/>
      <c r="AI363" s="2720"/>
      <c r="AJ363" s="2720"/>
      <c r="AK363" s="2723"/>
      <c r="AL363" s="2719">
        <f>MORTGAGE!O354</f>
        <v>0</v>
      </c>
      <c r="AM363" s="2720"/>
      <c r="AN363" s="2720"/>
      <c r="AO363" s="2720"/>
      <c r="AP363" s="2720"/>
      <c r="AQ363" s="1239">
        <f t="shared" si="5"/>
        <v>1</v>
      </c>
    </row>
    <row r="364" spans="1:43" x14ac:dyDescent="0.25">
      <c r="A364" s="2"/>
      <c r="B364" s="2791"/>
      <c r="C364" s="2792"/>
      <c r="D364" s="2793"/>
      <c r="E364" s="2776" t="str">
        <f>IF(MORTGAGE!B355=0,"",MORTGAGE!B355)</f>
        <v/>
      </c>
      <c r="F364" s="2777"/>
      <c r="G364" s="2778"/>
      <c r="H364" s="2761">
        <f>MORTGAGE!H355</f>
        <v>0</v>
      </c>
      <c r="I364" s="2762"/>
      <c r="J364" s="2762"/>
      <c r="K364" s="2762"/>
      <c r="L364" s="2763"/>
      <c r="M364" s="2749">
        <f>MORTGAGE!J355</f>
        <v>0</v>
      </c>
      <c r="N364" s="2750"/>
      <c r="O364" s="2750"/>
      <c r="P364" s="2750"/>
      <c r="Q364" s="2751"/>
      <c r="R364" s="2739">
        <f>MORTGAGE!I355</f>
        <v>0</v>
      </c>
      <c r="S364" s="2740"/>
      <c r="T364" s="2740"/>
      <c r="U364" s="2740"/>
      <c r="V364" s="2741"/>
      <c r="W364" s="2733">
        <f>MORTGAGE!K355</f>
        <v>0</v>
      </c>
      <c r="X364" s="2734"/>
      <c r="Y364" s="2734"/>
      <c r="Z364" s="2734"/>
      <c r="AA364" s="2735"/>
      <c r="AB364" s="2727">
        <f>MORTGAGE!L355</f>
        <v>118970</v>
      </c>
      <c r="AC364" s="2728"/>
      <c r="AD364" s="2728"/>
      <c r="AE364" s="2728"/>
      <c r="AF364" s="2729"/>
      <c r="AG364" s="2719">
        <f>MORTGAGE!N355</f>
        <v>1.025603448275862</v>
      </c>
      <c r="AH364" s="2720"/>
      <c r="AI364" s="2720"/>
      <c r="AJ364" s="2720"/>
      <c r="AK364" s="2723"/>
      <c r="AL364" s="2719">
        <f>MORTGAGE!O355</f>
        <v>0</v>
      </c>
      <c r="AM364" s="2720"/>
      <c r="AN364" s="2720"/>
      <c r="AO364" s="2720"/>
      <c r="AP364" s="2720"/>
      <c r="AQ364" s="1239">
        <f t="shared" si="5"/>
        <v>1</v>
      </c>
    </row>
    <row r="365" spans="1:43" x14ac:dyDescent="0.25">
      <c r="A365" s="2"/>
      <c r="B365" s="2791"/>
      <c r="C365" s="2792"/>
      <c r="D365" s="2793"/>
      <c r="E365" s="2776" t="str">
        <f>IF(MORTGAGE!B356=0,"",MORTGAGE!B356)</f>
        <v/>
      </c>
      <c r="F365" s="2777"/>
      <c r="G365" s="2778"/>
      <c r="H365" s="2761">
        <f>MORTGAGE!H356</f>
        <v>0</v>
      </c>
      <c r="I365" s="2762"/>
      <c r="J365" s="2762"/>
      <c r="K365" s="2762"/>
      <c r="L365" s="2763"/>
      <c r="M365" s="2749">
        <f>MORTGAGE!J356</f>
        <v>0</v>
      </c>
      <c r="N365" s="2750"/>
      <c r="O365" s="2750"/>
      <c r="P365" s="2750"/>
      <c r="Q365" s="2751"/>
      <c r="R365" s="2739">
        <f>MORTGAGE!I356</f>
        <v>0</v>
      </c>
      <c r="S365" s="2740"/>
      <c r="T365" s="2740"/>
      <c r="U365" s="2740"/>
      <c r="V365" s="2741"/>
      <c r="W365" s="2733">
        <f>MORTGAGE!K356</f>
        <v>0</v>
      </c>
      <c r="X365" s="2734"/>
      <c r="Y365" s="2734"/>
      <c r="Z365" s="2734"/>
      <c r="AA365" s="2735"/>
      <c r="AB365" s="2727">
        <f>MORTGAGE!L356</f>
        <v>118970</v>
      </c>
      <c r="AC365" s="2728"/>
      <c r="AD365" s="2728"/>
      <c r="AE365" s="2728"/>
      <c r="AF365" s="2729"/>
      <c r="AG365" s="2719">
        <f>MORTGAGE!N356</f>
        <v>1.025603448275862</v>
      </c>
      <c r="AH365" s="2720"/>
      <c r="AI365" s="2720"/>
      <c r="AJ365" s="2720"/>
      <c r="AK365" s="2723"/>
      <c r="AL365" s="2719">
        <f>MORTGAGE!O356</f>
        <v>0</v>
      </c>
      <c r="AM365" s="2720"/>
      <c r="AN365" s="2720"/>
      <c r="AO365" s="2720"/>
      <c r="AP365" s="2720"/>
      <c r="AQ365" s="1239">
        <f t="shared" si="5"/>
        <v>1</v>
      </c>
    </row>
    <row r="366" spans="1:43" x14ac:dyDescent="0.25">
      <c r="A366" s="2"/>
      <c r="B366" s="2791"/>
      <c r="C366" s="2792"/>
      <c r="D366" s="2793"/>
      <c r="E366" s="2776" t="str">
        <f>IF(MORTGAGE!B357=0,"",MORTGAGE!B357)</f>
        <v/>
      </c>
      <c r="F366" s="2777"/>
      <c r="G366" s="2778"/>
      <c r="H366" s="2761">
        <f>MORTGAGE!H357</f>
        <v>0</v>
      </c>
      <c r="I366" s="2762"/>
      <c r="J366" s="2762"/>
      <c r="K366" s="2762"/>
      <c r="L366" s="2763"/>
      <c r="M366" s="2749">
        <f>MORTGAGE!J357</f>
        <v>0</v>
      </c>
      <c r="N366" s="2750"/>
      <c r="O366" s="2750"/>
      <c r="P366" s="2750"/>
      <c r="Q366" s="2751"/>
      <c r="R366" s="2739">
        <f>MORTGAGE!I357</f>
        <v>0</v>
      </c>
      <c r="S366" s="2740"/>
      <c r="T366" s="2740"/>
      <c r="U366" s="2740"/>
      <c r="V366" s="2741"/>
      <c r="W366" s="2733">
        <f>MORTGAGE!K357</f>
        <v>0</v>
      </c>
      <c r="X366" s="2734"/>
      <c r="Y366" s="2734"/>
      <c r="Z366" s="2734"/>
      <c r="AA366" s="2735"/>
      <c r="AB366" s="2727">
        <f>MORTGAGE!L357</f>
        <v>118970</v>
      </c>
      <c r="AC366" s="2728"/>
      <c r="AD366" s="2728"/>
      <c r="AE366" s="2728"/>
      <c r="AF366" s="2729"/>
      <c r="AG366" s="2719">
        <f>MORTGAGE!N357</f>
        <v>1.025603448275862</v>
      </c>
      <c r="AH366" s="2720"/>
      <c r="AI366" s="2720"/>
      <c r="AJ366" s="2720"/>
      <c r="AK366" s="2723"/>
      <c r="AL366" s="2719">
        <f>MORTGAGE!O357</f>
        <v>0</v>
      </c>
      <c r="AM366" s="2720"/>
      <c r="AN366" s="2720"/>
      <c r="AO366" s="2720"/>
      <c r="AP366" s="2720"/>
      <c r="AQ366" s="1239">
        <f t="shared" si="5"/>
        <v>1</v>
      </c>
    </row>
    <row r="367" spans="1:43" x14ac:dyDescent="0.25">
      <c r="A367" s="2"/>
      <c r="B367" s="2791"/>
      <c r="C367" s="2792"/>
      <c r="D367" s="2793"/>
      <c r="E367" s="2776" t="str">
        <f>IF(MORTGAGE!B358=0,"",MORTGAGE!B358)</f>
        <v/>
      </c>
      <c r="F367" s="2777"/>
      <c r="G367" s="2778"/>
      <c r="H367" s="2761">
        <f>MORTGAGE!H358</f>
        <v>0</v>
      </c>
      <c r="I367" s="2762"/>
      <c r="J367" s="2762"/>
      <c r="K367" s="2762"/>
      <c r="L367" s="2763"/>
      <c r="M367" s="2749">
        <f>MORTGAGE!J358</f>
        <v>0</v>
      </c>
      <c r="N367" s="2750"/>
      <c r="O367" s="2750"/>
      <c r="P367" s="2750"/>
      <c r="Q367" s="2751"/>
      <c r="R367" s="2739">
        <f>MORTGAGE!I358</f>
        <v>0</v>
      </c>
      <c r="S367" s="2740"/>
      <c r="T367" s="2740"/>
      <c r="U367" s="2740"/>
      <c r="V367" s="2741"/>
      <c r="W367" s="2733">
        <f>MORTGAGE!K358</f>
        <v>0</v>
      </c>
      <c r="X367" s="2734"/>
      <c r="Y367" s="2734"/>
      <c r="Z367" s="2734"/>
      <c r="AA367" s="2735"/>
      <c r="AB367" s="2727">
        <f>MORTGAGE!L358</f>
        <v>118970</v>
      </c>
      <c r="AC367" s="2728"/>
      <c r="AD367" s="2728"/>
      <c r="AE367" s="2728"/>
      <c r="AF367" s="2729"/>
      <c r="AG367" s="2719">
        <f>MORTGAGE!N358</f>
        <v>1.025603448275862</v>
      </c>
      <c r="AH367" s="2720"/>
      <c r="AI367" s="2720"/>
      <c r="AJ367" s="2720"/>
      <c r="AK367" s="2723"/>
      <c r="AL367" s="2719">
        <f>MORTGAGE!O358</f>
        <v>0</v>
      </c>
      <c r="AM367" s="2720"/>
      <c r="AN367" s="2720"/>
      <c r="AO367" s="2720"/>
      <c r="AP367" s="2720"/>
      <c r="AQ367" s="1239">
        <f t="shared" si="5"/>
        <v>1</v>
      </c>
    </row>
    <row r="368" spans="1:43" x14ac:dyDescent="0.25">
      <c r="A368" s="2"/>
      <c r="B368" s="2791"/>
      <c r="C368" s="2792"/>
      <c r="D368" s="2793"/>
      <c r="E368" s="2776" t="str">
        <f>IF(MORTGAGE!B359=0,"",MORTGAGE!B359)</f>
        <v/>
      </c>
      <c r="F368" s="2777"/>
      <c r="G368" s="2778"/>
      <c r="H368" s="2761">
        <f>MORTGAGE!H359</f>
        <v>0</v>
      </c>
      <c r="I368" s="2762"/>
      <c r="J368" s="2762"/>
      <c r="K368" s="2762"/>
      <c r="L368" s="2763"/>
      <c r="M368" s="2749">
        <f>MORTGAGE!J359</f>
        <v>0</v>
      </c>
      <c r="N368" s="2750"/>
      <c r="O368" s="2750"/>
      <c r="P368" s="2750"/>
      <c r="Q368" s="2751"/>
      <c r="R368" s="2739">
        <f>MORTGAGE!I359</f>
        <v>0</v>
      </c>
      <c r="S368" s="2740"/>
      <c r="T368" s="2740"/>
      <c r="U368" s="2740"/>
      <c r="V368" s="2741"/>
      <c r="W368" s="2733">
        <f>MORTGAGE!K359</f>
        <v>0</v>
      </c>
      <c r="X368" s="2734"/>
      <c r="Y368" s="2734"/>
      <c r="Z368" s="2734"/>
      <c r="AA368" s="2735"/>
      <c r="AB368" s="2727">
        <f>MORTGAGE!L359</f>
        <v>118970</v>
      </c>
      <c r="AC368" s="2728"/>
      <c r="AD368" s="2728"/>
      <c r="AE368" s="2728"/>
      <c r="AF368" s="2729"/>
      <c r="AG368" s="2719">
        <f>MORTGAGE!N359</f>
        <v>1.025603448275862</v>
      </c>
      <c r="AH368" s="2720"/>
      <c r="AI368" s="2720"/>
      <c r="AJ368" s="2720"/>
      <c r="AK368" s="2723"/>
      <c r="AL368" s="2719">
        <f>MORTGAGE!O359</f>
        <v>0</v>
      </c>
      <c r="AM368" s="2720"/>
      <c r="AN368" s="2720"/>
      <c r="AO368" s="2720"/>
      <c r="AP368" s="2720"/>
      <c r="AQ368" s="1239">
        <f t="shared" si="5"/>
        <v>1</v>
      </c>
    </row>
    <row r="369" spans="1:43" ht="14.4" thickBot="1" x14ac:dyDescent="0.3">
      <c r="A369" s="2"/>
      <c r="B369" s="2794"/>
      <c r="C369" s="2795"/>
      <c r="D369" s="2796"/>
      <c r="E369" s="2776" t="str">
        <f>IF(MORTGAGE!B360=0,"",MORTGAGE!B360)</f>
        <v/>
      </c>
      <c r="F369" s="2777"/>
      <c r="G369" s="2778"/>
      <c r="H369" s="2761">
        <f>MORTGAGE!H360</f>
        <v>0</v>
      </c>
      <c r="I369" s="2762"/>
      <c r="J369" s="2762"/>
      <c r="K369" s="2762"/>
      <c r="L369" s="2763"/>
      <c r="M369" s="2749">
        <f>MORTGAGE!J360</f>
        <v>0</v>
      </c>
      <c r="N369" s="2750"/>
      <c r="O369" s="2750"/>
      <c r="P369" s="2750"/>
      <c r="Q369" s="2751"/>
      <c r="R369" s="2739">
        <f>MORTGAGE!I360</f>
        <v>0</v>
      </c>
      <c r="S369" s="2740"/>
      <c r="T369" s="2740"/>
      <c r="U369" s="2740"/>
      <c r="V369" s="2741"/>
      <c r="W369" s="2733">
        <f>MORTGAGE!K360</f>
        <v>0</v>
      </c>
      <c r="X369" s="2734"/>
      <c r="Y369" s="2734"/>
      <c r="Z369" s="2734"/>
      <c r="AA369" s="2735"/>
      <c r="AB369" s="2727">
        <f>MORTGAGE!L360</f>
        <v>118970</v>
      </c>
      <c r="AC369" s="2728"/>
      <c r="AD369" s="2728"/>
      <c r="AE369" s="2728"/>
      <c r="AF369" s="2729"/>
      <c r="AG369" s="2719">
        <f>MORTGAGE!N360</f>
        <v>1.025603448275862</v>
      </c>
      <c r="AH369" s="2720"/>
      <c r="AI369" s="2720"/>
      <c r="AJ369" s="2720"/>
      <c r="AK369" s="2723"/>
      <c r="AL369" s="2719">
        <f>MORTGAGE!O360</f>
        <v>0</v>
      </c>
      <c r="AM369" s="2720"/>
      <c r="AN369" s="2720"/>
      <c r="AO369" s="2720"/>
      <c r="AP369" s="2720"/>
      <c r="AQ369" s="1239">
        <f t="shared" si="5"/>
        <v>1</v>
      </c>
    </row>
    <row r="370" spans="1:43" x14ac:dyDescent="0.25">
      <c r="A370" s="2"/>
      <c r="B370" s="2797" t="str">
        <f>IFERROR(ROUNDUP(E370/12,0),"")</f>
        <v/>
      </c>
      <c r="C370" s="2798"/>
      <c r="D370" s="2799"/>
      <c r="E370" s="2785" t="str">
        <f>IF(MORTGAGE!B361=0,"",MORTGAGE!B361)</f>
        <v/>
      </c>
      <c r="F370" s="2786"/>
      <c r="G370" s="2787"/>
      <c r="H370" s="2773">
        <f>MORTGAGE!H361</f>
        <v>0</v>
      </c>
      <c r="I370" s="2774"/>
      <c r="J370" s="2774"/>
      <c r="K370" s="2774"/>
      <c r="L370" s="2775"/>
      <c r="M370" s="2758">
        <f>MORTGAGE!J361</f>
        <v>0</v>
      </c>
      <c r="N370" s="2759"/>
      <c r="O370" s="2759"/>
      <c r="P370" s="2759"/>
      <c r="Q370" s="2760"/>
      <c r="R370" s="2746">
        <f>MORTGAGE!I361</f>
        <v>0</v>
      </c>
      <c r="S370" s="2747"/>
      <c r="T370" s="2747"/>
      <c r="U370" s="2747"/>
      <c r="V370" s="2748"/>
      <c r="W370" s="2736">
        <f>MORTGAGE!K361</f>
        <v>0</v>
      </c>
      <c r="X370" s="2737"/>
      <c r="Y370" s="2737"/>
      <c r="Z370" s="2737"/>
      <c r="AA370" s="2738"/>
      <c r="AB370" s="2730">
        <f>MORTGAGE!L361</f>
        <v>118970</v>
      </c>
      <c r="AC370" s="2731"/>
      <c r="AD370" s="2731"/>
      <c r="AE370" s="2731"/>
      <c r="AF370" s="2732"/>
      <c r="AG370" s="2724">
        <f>MORTGAGE!N361</f>
        <v>1.025603448275862</v>
      </c>
      <c r="AH370" s="2725"/>
      <c r="AI370" s="2725"/>
      <c r="AJ370" s="2725"/>
      <c r="AK370" s="2726"/>
      <c r="AL370" s="2721">
        <f>MORTGAGE!O361</f>
        <v>0</v>
      </c>
      <c r="AM370" s="2722"/>
      <c r="AN370" s="2722"/>
      <c r="AO370" s="2722"/>
      <c r="AP370" s="2722"/>
      <c r="AQ370" s="1239">
        <f t="shared" si="5"/>
        <v>1</v>
      </c>
    </row>
    <row r="371" spans="1:43" x14ac:dyDescent="0.25">
      <c r="A371" s="2"/>
      <c r="B371" s="2791"/>
      <c r="C371" s="2792"/>
      <c r="D371" s="2793"/>
      <c r="E371" s="2776" t="str">
        <f>IF(MORTGAGE!B362=0,"",MORTGAGE!B362)</f>
        <v/>
      </c>
      <c r="F371" s="2777"/>
      <c r="G371" s="2778"/>
      <c r="H371" s="2761">
        <f>MORTGAGE!H362</f>
        <v>0</v>
      </c>
      <c r="I371" s="2762"/>
      <c r="J371" s="2762"/>
      <c r="K371" s="2762"/>
      <c r="L371" s="2763"/>
      <c r="M371" s="2749">
        <f>MORTGAGE!J362</f>
        <v>0</v>
      </c>
      <c r="N371" s="2750"/>
      <c r="O371" s="2750"/>
      <c r="P371" s="2750"/>
      <c r="Q371" s="2751"/>
      <c r="R371" s="2739">
        <f>MORTGAGE!I362</f>
        <v>0</v>
      </c>
      <c r="S371" s="2740"/>
      <c r="T371" s="2740"/>
      <c r="U371" s="2740"/>
      <c r="V371" s="2741"/>
      <c r="W371" s="2733">
        <f>MORTGAGE!K362</f>
        <v>0</v>
      </c>
      <c r="X371" s="2734"/>
      <c r="Y371" s="2734"/>
      <c r="Z371" s="2734"/>
      <c r="AA371" s="2735"/>
      <c r="AB371" s="2727">
        <f>MORTGAGE!L362</f>
        <v>118970</v>
      </c>
      <c r="AC371" s="2728"/>
      <c r="AD371" s="2728"/>
      <c r="AE371" s="2728"/>
      <c r="AF371" s="2729"/>
      <c r="AG371" s="2719">
        <f>MORTGAGE!N362</f>
        <v>1.025603448275862</v>
      </c>
      <c r="AH371" s="2720"/>
      <c r="AI371" s="2720"/>
      <c r="AJ371" s="2720"/>
      <c r="AK371" s="2723"/>
      <c r="AL371" s="2719">
        <f>MORTGAGE!O362</f>
        <v>0</v>
      </c>
      <c r="AM371" s="2720"/>
      <c r="AN371" s="2720"/>
      <c r="AO371" s="2720"/>
      <c r="AP371" s="2720"/>
      <c r="AQ371" s="1239">
        <f t="shared" si="5"/>
        <v>1</v>
      </c>
    </row>
    <row r="372" spans="1:43" x14ac:dyDescent="0.25">
      <c r="A372" s="2"/>
      <c r="B372" s="2791"/>
      <c r="C372" s="2792"/>
      <c r="D372" s="2793"/>
      <c r="E372" s="2776" t="str">
        <f>IF(MORTGAGE!B363=0,"",MORTGAGE!B363)</f>
        <v/>
      </c>
      <c r="F372" s="2777"/>
      <c r="G372" s="2778"/>
      <c r="H372" s="2761">
        <f>MORTGAGE!H363</f>
        <v>0</v>
      </c>
      <c r="I372" s="2762"/>
      <c r="J372" s="2762"/>
      <c r="K372" s="2762"/>
      <c r="L372" s="2763"/>
      <c r="M372" s="2749">
        <f>MORTGAGE!J363</f>
        <v>0</v>
      </c>
      <c r="N372" s="2750"/>
      <c r="O372" s="2750"/>
      <c r="P372" s="2750"/>
      <c r="Q372" s="2751"/>
      <c r="R372" s="2739">
        <f>MORTGAGE!I363</f>
        <v>0</v>
      </c>
      <c r="S372" s="2740"/>
      <c r="T372" s="2740"/>
      <c r="U372" s="2740"/>
      <c r="V372" s="2741"/>
      <c r="W372" s="2733">
        <f>MORTGAGE!K363</f>
        <v>0</v>
      </c>
      <c r="X372" s="2734"/>
      <c r="Y372" s="2734"/>
      <c r="Z372" s="2734"/>
      <c r="AA372" s="2735"/>
      <c r="AB372" s="2727">
        <f>MORTGAGE!L363</f>
        <v>118970</v>
      </c>
      <c r="AC372" s="2728"/>
      <c r="AD372" s="2728"/>
      <c r="AE372" s="2728"/>
      <c r="AF372" s="2729"/>
      <c r="AG372" s="2719">
        <f>MORTGAGE!N363</f>
        <v>1.025603448275862</v>
      </c>
      <c r="AH372" s="2720"/>
      <c r="AI372" s="2720"/>
      <c r="AJ372" s="2720"/>
      <c r="AK372" s="2723"/>
      <c r="AL372" s="2719">
        <f>MORTGAGE!O363</f>
        <v>0</v>
      </c>
      <c r="AM372" s="2720"/>
      <c r="AN372" s="2720"/>
      <c r="AO372" s="2720"/>
      <c r="AP372" s="2720"/>
      <c r="AQ372" s="1239">
        <f t="shared" si="5"/>
        <v>1</v>
      </c>
    </row>
    <row r="373" spans="1:43" x14ac:dyDescent="0.25">
      <c r="A373" s="2"/>
      <c r="B373" s="2791"/>
      <c r="C373" s="2792"/>
      <c r="D373" s="2793"/>
      <c r="E373" s="2776" t="str">
        <f>IF(MORTGAGE!B364=0,"",MORTGAGE!B364)</f>
        <v/>
      </c>
      <c r="F373" s="2777"/>
      <c r="G373" s="2778"/>
      <c r="H373" s="2761">
        <f>MORTGAGE!H364</f>
        <v>0</v>
      </c>
      <c r="I373" s="2762"/>
      <c r="J373" s="2762"/>
      <c r="K373" s="2762"/>
      <c r="L373" s="2763"/>
      <c r="M373" s="2749">
        <f>MORTGAGE!J364</f>
        <v>0</v>
      </c>
      <c r="N373" s="2750"/>
      <c r="O373" s="2750"/>
      <c r="P373" s="2750"/>
      <c r="Q373" s="2751"/>
      <c r="R373" s="2739">
        <f>MORTGAGE!I364</f>
        <v>0</v>
      </c>
      <c r="S373" s="2740"/>
      <c r="T373" s="2740"/>
      <c r="U373" s="2740"/>
      <c r="V373" s="2741"/>
      <c r="W373" s="2733">
        <f>MORTGAGE!K364</f>
        <v>0</v>
      </c>
      <c r="X373" s="2734"/>
      <c r="Y373" s="2734"/>
      <c r="Z373" s="2734"/>
      <c r="AA373" s="2735"/>
      <c r="AB373" s="2727">
        <f>MORTGAGE!L364</f>
        <v>118970</v>
      </c>
      <c r="AC373" s="2728"/>
      <c r="AD373" s="2728"/>
      <c r="AE373" s="2728"/>
      <c r="AF373" s="2729"/>
      <c r="AG373" s="2719">
        <f>MORTGAGE!N364</f>
        <v>1.025603448275862</v>
      </c>
      <c r="AH373" s="2720"/>
      <c r="AI373" s="2720"/>
      <c r="AJ373" s="2720"/>
      <c r="AK373" s="2723"/>
      <c r="AL373" s="2719">
        <f>MORTGAGE!O364</f>
        <v>0</v>
      </c>
      <c r="AM373" s="2720"/>
      <c r="AN373" s="2720"/>
      <c r="AO373" s="2720"/>
      <c r="AP373" s="2720"/>
      <c r="AQ373" s="1239">
        <f t="shared" si="5"/>
        <v>1</v>
      </c>
    </row>
    <row r="374" spans="1:43" x14ac:dyDescent="0.25">
      <c r="A374" s="2"/>
      <c r="B374" s="2791"/>
      <c r="C374" s="2792"/>
      <c r="D374" s="2793"/>
      <c r="E374" s="2776" t="str">
        <f>IF(MORTGAGE!B365=0,"",MORTGAGE!B365)</f>
        <v/>
      </c>
      <c r="F374" s="2777"/>
      <c r="G374" s="2778"/>
      <c r="H374" s="2761">
        <f>MORTGAGE!H365</f>
        <v>0</v>
      </c>
      <c r="I374" s="2762"/>
      <c r="J374" s="2762"/>
      <c r="K374" s="2762"/>
      <c r="L374" s="2763"/>
      <c r="M374" s="2749">
        <f>MORTGAGE!J365</f>
        <v>0</v>
      </c>
      <c r="N374" s="2750"/>
      <c r="O374" s="2750"/>
      <c r="P374" s="2750"/>
      <c r="Q374" s="2751"/>
      <c r="R374" s="2739">
        <f>MORTGAGE!I365</f>
        <v>0</v>
      </c>
      <c r="S374" s="2740"/>
      <c r="T374" s="2740"/>
      <c r="U374" s="2740"/>
      <c r="V374" s="2741"/>
      <c r="W374" s="2733">
        <f>MORTGAGE!K365</f>
        <v>0</v>
      </c>
      <c r="X374" s="2734"/>
      <c r="Y374" s="2734"/>
      <c r="Z374" s="2734"/>
      <c r="AA374" s="2735"/>
      <c r="AB374" s="2727">
        <f>MORTGAGE!L365</f>
        <v>118970</v>
      </c>
      <c r="AC374" s="2728"/>
      <c r="AD374" s="2728"/>
      <c r="AE374" s="2728"/>
      <c r="AF374" s="2729"/>
      <c r="AG374" s="2719">
        <f>MORTGAGE!N365</f>
        <v>1.025603448275862</v>
      </c>
      <c r="AH374" s="2720"/>
      <c r="AI374" s="2720"/>
      <c r="AJ374" s="2720"/>
      <c r="AK374" s="2723"/>
      <c r="AL374" s="2719">
        <f>MORTGAGE!O365</f>
        <v>0</v>
      </c>
      <c r="AM374" s="2720"/>
      <c r="AN374" s="2720"/>
      <c r="AO374" s="2720"/>
      <c r="AP374" s="2720"/>
      <c r="AQ374" s="1239">
        <f t="shared" si="5"/>
        <v>1</v>
      </c>
    </row>
    <row r="375" spans="1:43" x14ac:dyDescent="0.25">
      <c r="A375" s="2"/>
      <c r="B375" s="2791"/>
      <c r="C375" s="2792"/>
      <c r="D375" s="2793"/>
      <c r="E375" s="2776" t="str">
        <f>IF(MORTGAGE!B366=0,"",MORTGAGE!B366)</f>
        <v/>
      </c>
      <c r="F375" s="2777"/>
      <c r="G375" s="2778"/>
      <c r="H375" s="2761">
        <f>MORTGAGE!H366</f>
        <v>0</v>
      </c>
      <c r="I375" s="2762"/>
      <c r="J375" s="2762"/>
      <c r="K375" s="2762"/>
      <c r="L375" s="2763"/>
      <c r="M375" s="2749">
        <f>MORTGAGE!J366</f>
        <v>0</v>
      </c>
      <c r="N375" s="2750"/>
      <c r="O375" s="2750"/>
      <c r="P375" s="2750"/>
      <c r="Q375" s="2751"/>
      <c r="R375" s="2739">
        <f>MORTGAGE!I366</f>
        <v>0</v>
      </c>
      <c r="S375" s="2740"/>
      <c r="T375" s="2740"/>
      <c r="U375" s="2740"/>
      <c r="V375" s="2741"/>
      <c r="W375" s="2733">
        <f>MORTGAGE!K366</f>
        <v>0</v>
      </c>
      <c r="X375" s="2734"/>
      <c r="Y375" s="2734"/>
      <c r="Z375" s="2734"/>
      <c r="AA375" s="2735"/>
      <c r="AB375" s="2727">
        <f>MORTGAGE!L366</f>
        <v>118970</v>
      </c>
      <c r="AC375" s="2728"/>
      <c r="AD375" s="2728"/>
      <c r="AE375" s="2728"/>
      <c r="AF375" s="2729"/>
      <c r="AG375" s="2719">
        <f>MORTGAGE!N366</f>
        <v>1.025603448275862</v>
      </c>
      <c r="AH375" s="2720"/>
      <c r="AI375" s="2720"/>
      <c r="AJ375" s="2720"/>
      <c r="AK375" s="2723"/>
      <c r="AL375" s="2719">
        <f>MORTGAGE!O366</f>
        <v>0</v>
      </c>
      <c r="AM375" s="2720"/>
      <c r="AN375" s="2720"/>
      <c r="AO375" s="2720"/>
      <c r="AP375" s="2720"/>
      <c r="AQ375" s="1239">
        <f t="shared" si="5"/>
        <v>1</v>
      </c>
    </row>
    <row r="376" spans="1:43" x14ac:dyDescent="0.25">
      <c r="A376" s="2"/>
      <c r="B376" s="2791"/>
      <c r="C376" s="2792"/>
      <c r="D376" s="2793"/>
      <c r="E376" s="2776" t="str">
        <f>IF(MORTGAGE!B367=0,"",MORTGAGE!B367)</f>
        <v/>
      </c>
      <c r="F376" s="2777"/>
      <c r="G376" s="2778"/>
      <c r="H376" s="2761">
        <f>MORTGAGE!H367</f>
        <v>0</v>
      </c>
      <c r="I376" s="2762"/>
      <c r="J376" s="2762"/>
      <c r="K376" s="2762"/>
      <c r="L376" s="2763"/>
      <c r="M376" s="2749">
        <f>MORTGAGE!J367</f>
        <v>0</v>
      </c>
      <c r="N376" s="2750"/>
      <c r="O376" s="2750"/>
      <c r="P376" s="2750"/>
      <c r="Q376" s="2751"/>
      <c r="R376" s="2739">
        <f>MORTGAGE!I367</f>
        <v>0</v>
      </c>
      <c r="S376" s="2740"/>
      <c r="T376" s="2740"/>
      <c r="U376" s="2740"/>
      <c r="V376" s="2741"/>
      <c r="W376" s="2733">
        <f>MORTGAGE!K367</f>
        <v>0</v>
      </c>
      <c r="X376" s="2734"/>
      <c r="Y376" s="2734"/>
      <c r="Z376" s="2734"/>
      <c r="AA376" s="2735"/>
      <c r="AB376" s="2727">
        <f>MORTGAGE!L367</f>
        <v>118970</v>
      </c>
      <c r="AC376" s="2728"/>
      <c r="AD376" s="2728"/>
      <c r="AE376" s="2728"/>
      <c r="AF376" s="2729"/>
      <c r="AG376" s="2719">
        <f>MORTGAGE!N367</f>
        <v>1.025603448275862</v>
      </c>
      <c r="AH376" s="2720"/>
      <c r="AI376" s="2720"/>
      <c r="AJ376" s="2720"/>
      <c r="AK376" s="2723"/>
      <c r="AL376" s="2719">
        <f>MORTGAGE!O367</f>
        <v>0</v>
      </c>
      <c r="AM376" s="2720"/>
      <c r="AN376" s="2720"/>
      <c r="AO376" s="2720"/>
      <c r="AP376" s="2720"/>
      <c r="AQ376" s="1239">
        <f t="shared" si="5"/>
        <v>1</v>
      </c>
    </row>
    <row r="377" spans="1:43" x14ac:dyDescent="0.25">
      <c r="A377" s="2"/>
      <c r="B377" s="2791"/>
      <c r="C377" s="2792"/>
      <c r="D377" s="2793"/>
      <c r="E377" s="2776" t="str">
        <f>IF(MORTGAGE!B368=0,"",MORTGAGE!B368)</f>
        <v/>
      </c>
      <c r="F377" s="2777"/>
      <c r="G377" s="2778"/>
      <c r="H377" s="2761">
        <f>MORTGAGE!H368</f>
        <v>0</v>
      </c>
      <c r="I377" s="2762"/>
      <c r="J377" s="2762"/>
      <c r="K377" s="2762"/>
      <c r="L377" s="2763"/>
      <c r="M377" s="2749">
        <f>MORTGAGE!J368</f>
        <v>0</v>
      </c>
      <c r="N377" s="2750"/>
      <c r="O377" s="2750"/>
      <c r="P377" s="2750"/>
      <c r="Q377" s="2751"/>
      <c r="R377" s="2739">
        <f>MORTGAGE!I368</f>
        <v>0</v>
      </c>
      <c r="S377" s="2740"/>
      <c r="T377" s="2740"/>
      <c r="U377" s="2740"/>
      <c r="V377" s="2741"/>
      <c r="W377" s="2733">
        <f>MORTGAGE!K368</f>
        <v>0</v>
      </c>
      <c r="X377" s="2734"/>
      <c r="Y377" s="2734"/>
      <c r="Z377" s="2734"/>
      <c r="AA377" s="2735"/>
      <c r="AB377" s="2727">
        <f>MORTGAGE!L368</f>
        <v>118970</v>
      </c>
      <c r="AC377" s="2728"/>
      <c r="AD377" s="2728"/>
      <c r="AE377" s="2728"/>
      <c r="AF377" s="2729"/>
      <c r="AG377" s="2719">
        <f>MORTGAGE!N368</f>
        <v>1.025603448275862</v>
      </c>
      <c r="AH377" s="2720"/>
      <c r="AI377" s="2720"/>
      <c r="AJ377" s="2720"/>
      <c r="AK377" s="2723"/>
      <c r="AL377" s="2719">
        <f>MORTGAGE!O368</f>
        <v>0</v>
      </c>
      <c r="AM377" s="2720"/>
      <c r="AN377" s="2720"/>
      <c r="AO377" s="2720"/>
      <c r="AP377" s="2720"/>
      <c r="AQ377" s="1239">
        <f t="shared" si="5"/>
        <v>1</v>
      </c>
    </row>
    <row r="378" spans="1:43" x14ac:dyDescent="0.25">
      <c r="A378" s="2"/>
      <c r="B378" s="2791"/>
      <c r="C378" s="2792"/>
      <c r="D378" s="2793"/>
      <c r="E378" s="2776" t="str">
        <f>IF(MORTGAGE!B369=0,"",MORTGAGE!B369)</f>
        <v/>
      </c>
      <c r="F378" s="2777"/>
      <c r="G378" s="2778"/>
      <c r="H378" s="2761">
        <f>MORTGAGE!H369</f>
        <v>0</v>
      </c>
      <c r="I378" s="2762"/>
      <c r="J378" s="2762"/>
      <c r="K378" s="2762"/>
      <c r="L378" s="2763"/>
      <c r="M378" s="2749">
        <f>MORTGAGE!J369</f>
        <v>0</v>
      </c>
      <c r="N378" s="2750"/>
      <c r="O378" s="2750"/>
      <c r="P378" s="2750"/>
      <c r="Q378" s="2751"/>
      <c r="R378" s="2739">
        <f>MORTGAGE!I369</f>
        <v>0</v>
      </c>
      <c r="S378" s="2740"/>
      <c r="T378" s="2740"/>
      <c r="U378" s="2740"/>
      <c r="V378" s="2741"/>
      <c r="W378" s="2733">
        <f>MORTGAGE!K369</f>
        <v>0</v>
      </c>
      <c r="X378" s="2734"/>
      <c r="Y378" s="2734"/>
      <c r="Z378" s="2734"/>
      <c r="AA378" s="2735"/>
      <c r="AB378" s="2727">
        <f>MORTGAGE!L369</f>
        <v>118970</v>
      </c>
      <c r="AC378" s="2728"/>
      <c r="AD378" s="2728"/>
      <c r="AE378" s="2728"/>
      <c r="AF378" s="2729"/>
      <c r="AG378" s="2719">
        <f>MORTGAGE!N369</f>
        <v>1.025603448275862</v>
      </c>
      <c r="AH378" s="2720"/>
      <c r="AI378" s="2720"/>
      <c r="AJ378" s="2720"/>
      <c r="AK378" s="2723"/>
      <c r="AL378" s="2719">
        <f>MORTGAGE!O369</f>
        <v>0</v>
      </c>
      <c r="AM378" s="2720"/>
      <c r="AN378" s="2720"/>
      <c r="AO378" s="2720"/>
      <c r="AP378" s="2720"/>
      <c r="AQ378" s="1239">
        <f t="shared" si="5"/>
        <v>1</v>
      </c>
    </row>
    <row r="379" spans="1:43" x14ac:dyDescent="0.25">
      <c r="A379" s="2"/>
      <c r="B379" s="2791"/>
      <c r="C379" s="2792"/>
      <c r="D379" s="2793"/>
      <c r="E379" s="2776" t="str">
        <f>IF(MORTGAGE!B370=0,"",MORTGAGE!B370)</f>
        <v/>
      </c>
      <c r="F379" s="2777"/>
      <c r="G379" s="2778"/>
      <c r="H379" s="2761">
        <f>MORTGAGE!H370</f>
        <v>0</v>
      </c>
      <c r="I379" s="2762"/>
      <c r="J379" s="2762"/>
      <c r="K379" s="2762"/>
      <c r="L379" s="2763"/>
      <c r="M379" s="2749">
        <f>MORTGAGE!J370</f>
        <v>0</v>
      </c>
      <c r="N379" s="2750"/>
      <c r="O379" s="2750"/>
      <c r="P379" s="2750"/>
      <c r="Q379" s="2751"/>
      <c r="R379" s="2739">
        <f>MORTGAGE!I370</f>
        <v>0</v>
      </c>
      <c r="S379" s="2740"/>
      <c r="T379" s="2740"/>
      <c r="U379" s="2740"/>
      <c r="V379" s="2741"/>
      <c r="W379" s="2733">
        <f>MORTGAGE!K370</f>
        <v>0</v>
      </c>
      <c r="X379" s="2734"/>
      <c r="Y379" s="2734"/>
      <c r="Z379" s="2734"/>
      <c r="AA379" s="2735"/>
      <c r="AB379" s="2727">
        <f>MORTGAGE!L370</f>
        <v>118970</v>
      </c>
      <c r="AC379" s="2728"/>
      <c r="AD379" s="2728"/>
      <c r="AE379" s="2728"/>
      <c r="AF379" s="2729"/>
      <c r="AG379" s="2719">
        <f>MORTGAGE!N370</f>
        <v>1.025603448275862</v>
      </c>
      <c r="AH379" s="2720"/>
      <c r="AI379" s="2720"/>
      <c r="AJ379" s="2720"/>
      <c r="AK379" s="2723"/>
      <c r="AL379" s="2719">
        <f>MORTGAGE!O370</f>
        <v>0</v>
      </c>
      <c r="AM379" s="2720"/>
      <c r="AN379" s="2720"/>
      <c r="AO379" s="2720"/>
      <c r="AP379" s="2720"/>
      <c r="AQ379" s="1239">
        <f t="shared" si="5"/>
        <v>1</v>
      </c>
    </row>
    <row r="380" spans="1:43" x14ac:dyDescent="0.25">
      <c r="A380" s="2"/>
      <c r="B380" s="2791"/>
      <c r="C380" s="2792"/>
      <c r="D380" s="2793"/>
      <c r="E380" s="2776" t="str">
        <f>IF(MORTGAGE!B371=0,"",MORTGAGE!B371)</f>
        <v/>
      </c>
      <c r="F380" s="2777"/>
      <c r="G380" s="2778"/>
      <c r="H380" s="2761">
        <f>MORTGAGE!H371</f>
        <v>0</v>
      </c>
      <c r="I380" s="2762"/>
      <c r="J380" s="2762"/>
      <c r="K380" s="2762"/>
      <c r="L380" s="2763"/>
      <c r="M380" s="2749">
        <f>MORTGAGE!J371</f>
        <v>0</v>
      </c>
      <c r="N380" s="2750"/>
      <c r="O380" s="2750"/>
      <c r="P380" s="2750"/>
      <c r="Q380" s="2751"/>
      <c r="R380" s="2739">
        <f>MORTGAGE!I371</f>
        <v>0</v>
      </c>
      <c r="S380" s="2740"/>
      <c r="T380" s="2740"/>
      <c r="U380" s="2740"/>
      <c r="V380" s="2741"/>
      <c r="W380" s="2733">
        <f>MORTGAGE!K371</f>
        <v>0</v>
      </c>
      <c r="X380" s="2734"/>
      <c r="Y380" s="2734"/>
      <c r="Z380" s="2734"/>
      <c r="AA380" s="2735"/>
      <c r="AB380" s="2727">
        <f>MORTGAGE!L371</f>
        <v>118970</v>
      </c>
      <c r="AC380" s="2728"/>
      <c r="AD380" s="2728"/>
      <c r="AE380" s="2728"/>
      <c r="AF380" s="2729"/>
      <c r="AG380" s="2719">
        <f>MORTGAGE!N371</f>
        <v>1.025603448275862</v>
      </c>
      <c r="AH380" s="2720"/>
      <c r="AI380" s="2720"/>
      <c r="AJ380" s="2720"/>
      <c r="AK380" s="2723"/>
      <c r="AL380" s="2719">
        <f>MORTGAGE!O371</f>
        <v>0</v>
      </c>
      <c r="AM380" s="2720"/>
      <c r="AN380" s="2720"/>
      <c r="AO380" s="2720"/>
      <c r="AP380" s="2720"/>
      <c r="AQ380" s="1239">
        <f t="shared" si="5"/>
        <v>1</v>
      </c>
    </row>
    <row r="381" spans="1:43" ht="14.4" thickBot="1" x14ac:dyDescent="0.3">
      <c r="A381" s="2"/>
      <c r="B381" s="2794"/>
      <c r="C381" s="2795"/>
      <c r="D381" s="2796"/>
      <c r="E381" s="2776" t="str">
        <f>IF(MORTGAGE!B372=0,"",MORTGAGE!B372)</f>
        <v/>
      </c>
      <c r="F381" s="2777"/>
      <c r="G381" s="2778"/>
      <c r="H381" s="2761">
        <f>MORTGAGE!H372</f>
        <v>0</v>
      </c>
      <c r="I381" s="2762"/>
      <c r="J381" s="2762"/>
      <c r="K381" s="2762"/>
      <c r="L381" s="2763"/>
      <c r="M381" s="2749">
        <f>MORTGAGE!J372</f>
        <v>0</v>
      </c>
      <c r="N381" s="2750"/>
      <c r="O381" s="2750"/>
      <c r="P381" s="2750"/>
      <c r="Q381" s="2751"/>
      <c r="R381" s="2739">
        <f>MORTGAGE!I372</f>
        <v>0</v>
      </c>
      <c r="S381" s="2740"/>
      <c r="T381" s="2740"/>
      <c r="U381" s="2740"/>
      <c r="V381" s="2741"/>
      <c r="W381" s="2733">
        <f>MORTGAGE!K372</f>
        <v>0</v>
      </c>
      <c r="X381" s="2734"/>
      <c r="Y381" s="2734"/>
      <c r="Z381" s="2734"/>
      <c r="AA381" s="2735"/>
      <c r="AB381" s="2727">
        <f>MORTGAGE!L372</f>
        <v>118970</v>
      </c>
      <c r="AC381" s="2728"/>
      <c r="AD381" s="2728"/>
      <c r="AE381" s="2728"/>
      <c r="AF381" s="2729"/>
      <c r="AG381" s="2719">
        <f>MORTGAGE!N372</f>
        <v>1.025603448275862</v>
      </c>
      <c r="AH381" s="2720"/>
      <c r="AI381" s="2720"/>
      <c r="AJ381" s="2720"/>
      <c r="AK381" s="2723"/>
      <c r="AL381" s="2719">
        <f>MORTGAGE!O372</f>
        <v>0</v>
      </c>
      <c r="AM381" s="2720"/>
      <c r="AN381" s="2720"/>
      <c r="AO381" s="2720"/>
      <c r="AP381" s="2720"/>
      <c r="AQ381" s="1239">
        <f t="shared" si="5"/>
        <v>1</v>
      </c>
    </row>
    <row r="382" spans="1:43" x14ac:dyDescent="0.25">
      <c r="A382" s="2"/>
      <c r="B382" s="2797" t="str">
        <f>IFERROR(ROUNDUP(E382/12,0),"")</f>
        <v/>
      </c>
      <c r="C382" s="2798"/>
      <c r="D382" s="2799"/>
      <c r="E382" s="2785" t="str">
        <f>IF(MORTGAGE!B373=0,"",MORTGAGE!B373)</f>
        <v/>
      </c>
      <c r="F382" s="2786"/>
      <c r="G382" s="2787"/>
      <c r="H382" s="2773">
        <f>MORTGAGE!H373</f>
        <v>0</v>
      </c>
      <c r="I382" s="2774"/>
      <c r="J382" s="2774"/>
      <c r="K382" s="2774"/>
      <c r="L382" s="2775"/>
      <c r="M382" s="2758">
        <f>MORTGAGE!J373</f>
        <v>0</v>
      </c>
      <c r="N382" s="2759"/>
      <c r="O382" s="2759"/>
      <c r="P382" s="2759"/>
      <c r="Q382" s="2760"/>
      <c r="R382" s="2746">
        <f>MORTGAGE!I373</f>
        <v>0</v>
      </c>
      <c r="S382" s="2747"/>
      <c r="T382" s="2747"/>
      <c r="U382" s="2747"/>
      <c r="V382" s="2748"/>
      <c r="W382" s="2736">
        <f>MORTGAGE!K373</f>
        <v>0</v>
      </c>
      <c r="X382" s="2737"/>
      <c r="Y382" s="2737"/>
      <c r="Z382" s="2737"/>
      <c r="AA382" s="2738"/>
      <c r="AB382" s="2730">
        <f>MORTGAGE!L373</f>
        <v>118970</v>
      </c>
      <c r="AC382" s="2731"/>
      <c r="AD382" s="2731"/>
      <c r="AE382" s="2731"/>
      <c r="AF382" s="2732"/>
      <c r="AG382" s="2724">
        <f>MORTGAGE!N373</f>
        <v>1.025603448275862</v>
      </c>
      <c r="AH382" s="2725"/>
      <c r="AI382" s="2725"/>
      <c r="AJ382" s="2725"/>
      <c r="AK382" s="2726"/>
      <c r="AL382" s="2721">
        <f>MORTGAGE!O373</f>
        <v>0</v>
      </c>
      <c r="AM382" s="2722"/>
      <c r="AN382" s="2722"/>
      <c r="AO382" s="2722"/>
      <c r="AP382" s="2722"/>
      <c r="AQ382" s="1239">
        <f t="shared" si="5"/>
        <v>1</v>
      </c>
    </row>
    <row r="383" spans="1:43" x14ac:dyDescent="0.25">
      <c r="A383" s="2"/>
      <c r="B383" s="2791"/>
      <c r="C383" s="2792"/>
      <c r="D383" s="2793"/>
      <c r="E383" s="2776" t="str">
        <f>IF(MORTGAGE!B374=0,"",MORTGAGE!B374)</f>
        <v/>
      </c>
      <c r="F383" s="2777"/>
      <c r="G383" s="2778"/>
      <c r="H383" s="2761">
        <f>MORTGAGE!H374</f>
        <v>0</v>
      </c>
      <c r="I383" s="2762"/>
      <c r="J383" s="2762"/>
      <c r="K383" s="2762"/>
      <c r="L383" s="2763"/>
      <c r="M383" s="2749">
        <f>MORTGAGE!J374</f>
        <v>0</v>
      </c>
      <c r="N383" s="2750"/>
      <c r="O383" s="2750"/>
      <c r="P383" s="2750"/>
      <c r="Q383" s="2751"/>
      <c r="R383" s="2739">
        <f>MORTGAGE!I374</f>
        <v>0</v>
      </c>
      <c r="S383" s="2740"/>
      <c r="T383" s="2740"/>
      <c r="U383" s="2740"/>
      <c r="V383" s="2741"/>
      <c r="W383" s="2733">
        <f>MORTGAGE!K374</f>
        <v>0</v>
      </c>
      <c r="X383" s="2734"/>
      <c r="Y383" s="2734"/>
      <c r="Z383" s="2734"/>
      <c r="AA383" s="2735"/>
      <c r="AB383" s="2727">
        <f>MORTGAGE!L374</f>
        <v>118970</v>
      </c>
      <c r="AC383" s="2728"/>
      <c r="AD383" s="2728"/>
      <c r="AE383" s="2728"/>
      <c r="AF383" s="2729"/>
      <c r="AG383" s="2719">
        <f>MORTGAGE!N374</f>
        <v>1.025603448275862</v>
      </c>
      <c r="AH383" s="2720"/>
      <c r="AI383" s="2720"/>
      <c r="AJ383" s="2720"/>
      <c r="AK383" s="2723"/>
      <c r="AL383" s="2719">
        <f>MORTGAGE!O374</f>
        <v>0</v>
      </c>
      <c r="AM383" s="2720"/>
      <c r="AN383" s="2720"/>
      <c r="AO383" s="2720"/>
      <c r="AP383" s="2720"/>
      <c r="AQ383" s="1239">
        <f t="shared" si="5"/>
        <v>1</v>
      </c>
    </row>
    <row r="384" spans="1:43" x14ac:dyDescent="0.25">
      <c r="A384" s="2"/>
      <c r="B384" s="2791"/>
      <c r="C384" s="2792"/>
      <c r="D384" s="2793"/>
      <c r="E384" s="2776" t="str">
        <f>IF(MORTGAGE!B375=0,"",MORTGAGE!B375)</f>
        <v/>
      </c>
      <c r="F384" s="2777"/>
      <c r="G384" s="2778"/>
      <c r="H384" s="2761">
        <f>MORTGAGE!H375</f>
        <v>0</v>
      </c>
      <c r="I384" s="2762"/>
      <c r="J384" s="2762"/>
      <c r="K384" s="2762"/>
      <c r="L384" s="2763"/>
      <c r="M384" s="2749">
        <f>MORTGAGE!J375</f>
        <v>0</v>
      </c>
      <c r="N384" s="2750"/>
      <c r="O384" s="2750"/>
      <c r="P384" s="2750"/>
      <c r="Q384" s="2751"/>
      <c r="R384" s="2739">
        <f>MORTGAGE!I375</f>
        <v>0</v>
      </c>
      <c r="S384" s="2740"/>
      <c r="T384" s="2740"/>
      <c r="U384" s="2740"/>
      <c r="V384" s="2741"/>
      <c r="W384" s="2733">
        <f>MORTGAGE!K375</f>
        <v>0</v>
      </c>
      <c r="X384" s="2734"/>
      <c r="Y384" s="2734"/>
      <c r="Z384" s="2734"/>
      <c r="AA384" s="2735"/>
      <c r="AB384" s="2727">
        <f>MORTGAGE!L375</f>
        <v>118970</v>
      </c>
      <c r="AC384" s="2728"/>
      <c r="AD384" s="2728"/>
      <c r="AE384" s="2728"/>
      <c r="AF384" s="2729"/>
      <c r="AG384" s="2719">
        <f>MORTGAGE!N375</f>
        <v>1.025603448275862</v>
      </c>
      <c r="AH384" s="2720"/>
      <c r="AI384" s="2720"/>
      <c r="AJ384" s="2720"/>
      <c r="AK384" s="2723"/>
      <c r="AL384" s="2719">
        <f>MORTGAGE!O375</f>
        <v>0</v>
      </c>
      <c r="AM384" s="2720"/>
      <c r="AN384" s="2720"/>
      <c r="AO384" s="2720"/>
      <c r="AP384" s="2720"/>
      <c r="AQ384" s="1239">
        <f t="shared" si="5"/>
        <v>1</v>
      </c>
    </row>
    <row r="385" spans="1:43" x14ac:dyDescent="0.25">
      <c r="A385" s="2"/>
      <c r="B385" s="2791"/>
      <c r="C385" s="2792"/>
      <c r="D385" s="2793"/>
      <c r="E385" s="2776" t="str">
        <f>IF(MORTGAGE!B376=0,"",MORTGAGE!B376)</f>
        <v/>
      </c>
      <c r="F385" s="2777"/>
      <c r="G385" s="2778"/>
      <c r="H385" s="2761">
        <f>MORTGAGE!H376</f>
        <v>0</v>
      </c>
      <c r="I385" s="2762"/>
      <c r="J385" s="2762"/>
      <c r="K385" s="2762"/>
      <c r="L385" s="2763"/>
      <c r="M385" s="2749">
        <f>MORTGAGE!J376</f>
        <v>0</v>
      </c>
      <c r="N385" s="2750"/>
      <c r="O385" s="2750"/>
      <c r="P385" s="2750"/>
      <c r="Q385" s="2751"/>
      <c r="R385" s="2739">
        <f>MORTGAGE!I376</f>
        <v>0</v>
      </c>
      <c r="S385" s="2740"/>
      <c r="T385" s="2740"/>
      <c r="U385" s="2740"/>
      <c r="V385" s="2741"/>
      <c r="W385" s="2733">
        <f>MORTGAGE!K376</f>
        <v>0</v>
      </c>
      <c r="X385" s="2734"/>
      <c r="Y385" s="2734"/>
      <c r="Z385" s="2734"/>
      <c r="AA385" s="2735"/>
      <c r="AB385" s="2727">
        <f>MORTGAGE!L376</f>
        <v>118970</v>
      </c>
      <c r="AC385" s="2728"/>
      <c r="AD385" s="2728"/>
      <c r="AE385" s="2728"/>
      <c r="AF385" s="2729"/>
      <c r="AG385" s="2719">
        <f>MORTGAGE!N376</f>
        <v>1.025603448275862</v>
      </c>
      <c r="AH385" s="2720"/>
      <c r="AI385" s="2720"/>
      <c r="AJ385" s="2720"/>
      <c r="AK385" s="2723"/>
      <c r="AL385" s="2719">
        <f>MORTGAGE!O376</f>
        <v>0</v>
      </c>
      <c r="AM385" s="2720"/>
      <c r="AN385" s="2720"/>
      <c r="AO385" s="2720"/>
      <c r="AP385" s="2720"/>
      <c r="AQ385" s="1239">
        <f t="shared" si="5"/>
        <v>1</v>
      </c>
    </row>
    <row r="386" spans="1:43" x14ac:dyDescent="0.25">
      <c r="A386" s="2"/>
      <c r="B386" s="2791"/>
      <c r="C386" s="2792"/>
      <c r="D386" s="2793"/>
      <c r="E386" s="2776" t="str">
        <f>IF(MORTGAGE!B377=0,"",MORTGAGE!B377)</f>
        <v/>
      </c>
      <c r="F386" s="2777"/>
      <c r="G386" s="2778"/>
      <c r="H386" s="2761">
        <f>MORTGAGE!H377</f>
        <v>0</v>
      </c>
      <c r="I386" s="2762"/>
      <c r="J386" s="2762"/>
      <c r="K386" s="2762"/>
      <c r="L386" s="2763"/>
      <c r="M386" s="2749">
        <f>MORTGAGE!J377</f>
        <v>0</v>
      </c>
      <c r="N386" s="2750"/>
      <c r="O386" s="2750"/>
      <c r="P386" s="2750"/>
      <c r="Q386" s="2751"/>
      <c r="R386" s="2739">
        <f>MORTGAGE!I377</f>
        <v>0</v>
      </c>
      <c r="S386" s="2740"/>
      <c r="T386" s="2740"/>
      <c r="U386" s="2740"/>
      <c r="V386" s="2741"/>
      <c r="W386" s="2733">
        <f>MORTGAGE!K377</f>
        <v>0</v>
      </c>
      <c r="X386" s="2734"/>
      <c r="Y386" s="2734"/>
      <c r="Z386" s="2734"/>
      <c r="AA386" s="2735"/>
      <c r="AB386" s="2727">
        <f>MORTGAGE!L377</f>
        <v>118970</v>
      </c>
      <c r="AC386" s="2728"/>
      <c r="AD386" s="2728"/>
      <c r="AE386" s="2728"/>
      <c r="AF386" s="2729"/>
      <c r="AG386" s="2719">
        <f>MORTGAGE!N377</f>
        <v>1.025603448275862</v>
      </c>
      <c r="AH386" s="2720"/>
      <c r="AI386" s="2720"/>
      <c r="AJ386" s="2720"/>
      <c r="AK386" s="2723"/>
      <c r="AL386" s="2719">
        <f>MORTGAGE!O377</f>
        <v>0</v>
      </c>
      <c r="AM386" s="2720"/>
      <c r="AN386" s="2720"/>
      <c r="AO386" s="2720"/>
      <c r="AP386" s="2720"/>
      <c r="AQ386" s="1239">
        <f t="shared" si="5"/>
        <v>1</v>
      </c>
    </row>
    <row r="387" spans="1:43" x14ac:dyDescent="0.25">
      <c r="A387" s="2"/>
      <c r="B387" s="2791"/>
      <c r="C387" s="2792"/>
      <c r="D387" s="2793"/>
      <c r="E387" s="2776" t="str">
        <f>IF(MORTGAGE!B378=0,"",MORTGAGE!B378)</f>
        <v/>
      </c>
      <c r="F387" s="2777"/>
      <c r="G387" s="2778"/>
      <c r="H387" s="2761">
        <f>MORTGAGE!H378</f>
        <v>0</v>
      </c>
      <c r="I387" s="2762"/>
      <c r="J387" s="2762"/>
      <c r="K387" s="2762"/>
      <c r="L387" s="2763"/>
      <c r="M387" s="2749">
        <f>MORTGAGE!J378</f>
        <v>0</v>
      </c>
      <c r="N387" s="2750"/>
      <c r="O387" s="2750"/>
      <c r="P387" s="2750"/>
      <c r="Q387" s="2751"/>
      <c r="R387" s="2739">
        <f>MORTGAGE!I378</f>
        <v>0</v>
      </c>
      <c r="S387" s="2740"/>
      <c r="T387" s="2740"/>
      <c r="U387" s="2740"/>
      <c r="V387" s="2741"/>
      <c r="W387" s="2733">
        <f>MORTGAGE!K378</f>
        <v>0</v>
      </c>
      <c r="X387" s="2734"/>
      <c r="Y387" s="2734"/>
      <c r="Z387" s="2734"/>
      <c r="AA387" s="2735"/>
      <c r="AB387" s="2727">
        <f>MORTGAGE!L378</f>
        <v>118970</v>
      </c>
      <c r="AC387" s="2728"/>
      <c r="AD387" s="2728"/>
      <c r="AE387" s="2728"/>
      <c r="AF387" s="2729"/>
      <c r="AG387" s="2719">
        <f>MORTGAGE!N378</f>
        <v>1.025603448275862</v>
      </c>
      <c r="AH387" s="2720"/>
      <c r="AI387" s="2720"/>
      <c r="AJ387" s="2720"/>
      <c r="AK387" s="2723"/>
      <c r="AL387" s="2719">
        <f>MORTGAGE!O378</f>
        <v>0</v>
      </c>
      <c r="AM387" s="2720"/>
      <c r="AN387" s="2720"/>
      <c r="AO387" s="2720"/>
      <c r="AP387" s="2720"/>
      <c r="AQ387" s="1239">
        <f t="shared" si="5"/>
        <v>1</v>
      </c>
    </row>
    <row r="388" spans="1:43" x14ac:dyDescent="0.25">
      <c r="A388" s="2"/>
      <c r="B388" s="2791"/>
      <c r="C388" s="2792"/>
      <c r="D388" s="2793"/>
      <c r="E388" s="2776" t="str">
        <f>IF(MORTGAGE!B379=0,"",MORTGAGE!B379)</f>
        <v/>
      </c>
      <c r="F388" s="2777"/>
      <c r="G388" s="2778"/>
      <c r="H388" s="2761">
        <f>MORTGAGE!H379</f>
        <v>0</v>
      </c>
      <c r="I388" s="2762"/>
      <c r="J388" s="2762"/>
      <c r="K388" s="2762"/>
      <c r="L388" s="2763"/>
      <c r="M388" s="2749">
        <f>MORTGAGE!J379</f>
        <v>0</v>
      </c>
      <c r="N388" s="2750"/>
      <c r="O388" s="2750"/>
      <c r="P388" s="2750"/>
      <c r="Q388" s="2751"/>
      <c r="R388" s="2739">
        <f>MORTGAGE!I379</f>
        <v>0</v>
      </c>
      <c r="S388" s="2740"/>
      <c r="T388" s="2740"/>
      <c r="U388" s="2740"/>
      <c r="V388" s="2741"/>
      <c r="W388" s="2733">
        <f>MORTGAGE!K379</f>
        <v>0</v>
      </c>
      <c r="X388" s="2734"/>
      <c r="Y388" s="2734"/>
      <c r="Z388" s="2734"/>
      <c r="AA388" s="2735"/>
      <c r="AB388" s="2727">
        <f>MORTGAGE!L379</f>
        <v>118970</v>
      </c>
      <c r="AC388" s="2728"/>
      <c r="AD388" s="2728"/>
      <c r="AE388" s="2728"/>
      <c r="AF388" s="2729"/>
      <c r="AG388" s="2719">
        <f>MORTGAGE!N379</f>
        <v>1.025603448275862</v>
      </c>
      <c r="AH388" s="2720"/>
      <c r="AI388" s="2720"/>
      <c r="AJ388" s="2720"/>
      <c r="AK388" s="2723"/>
      <c r="AL388" s="2719">
        <f>MORTGAGE!O379</f>
        <v>0</v>
      </c>
      <c r="AM388" s="2720"/>
      <c r="AN388" s="2720"/>
      <c r="AO388" s="2720"/>
      <c r="AP388" s="2720"/>
      <c r="AQ388" s="1239">
        <f t="shared" si="5"/>
        <v>1</v>
      </c>
    </row>
    <row r="389" spans="1:43" x14ac:dyDescent="0.25">
      <c r="A389" s="2"/>
      <c r="B389" s="2791"/>
      <c r="C389" s="2792"/>
      <c r="D389" s="2793"/>
      <c r="E389" s="2776" t="str">
        <f>IF(MORTGAGE!B380=0,"",MORTGAGE!B380)</f>
        <v/>
      </c>
      <c r="F389" s="2777"/>
      <c r="G389" s="2778"/>
      <c r="H389" s="2761">
        <f>MORTGAGE!H380</f>
        <v>0</v>
      </c>
      <c r="I389" s="2762"/>
      <c r="J389" s="2762"/>
      <c r="K389" s="2762"/>
      <c r="L389" s="2763"/>
      <c r="M389" s="2749">
        <f>MORTGAGE!J380</f>
        <v>0</v>
      </c>
      <c r="N389" s="2750"/>
      <c r="O389" s="2750"/>
      <c r="P389" s="2750"/>
      <c r="Q389" s="2751"/>
      <c r="R389" s="2739">
        <f>MORTGAGE!I380</f>
        <v>0</v>
      </c>
      <c r="S389" s="2740"/>
      <c r="T389" s="2740"/>
      <c r="U389" s="2740"/>
      <c r="V389" s="2741"/>
      <c r="W389" s="2733">
        <f>MORTGAGE!K380</f>
        <v>0</v>
      </c>
      <c r="X389" s="2734"/>
      <c r="Y389" s="2734"/>
      <c r="Z389" s="2734"/>
      <c r="AA389" s="2735"/>
      <c r="AB389" s="2727">
        <f>MORTGAGE!L380</f>
        <v>118970</v>
      </c>
      <c r="AC389" s="2728"/>
      <c r="AD389" s="2728"/>
      <c r="AE389" s="2728"/>
      <c r="AF389" s="2729"/>
      <c r="AG389" s="2719">
        <f>MORTGAGE!N380</f>
        <v>1.025603448275862</v>
      </c>
      <c r="AH389" s="2720"/>
      <c r="AI389" s="2720"/>
      <c r="AJ389" s="2720"/>
      <c r="AK389" s="2723"/>
      <c r="AL389" s="2719">
        <f>MORTGAGE!O380</f>
        <v>0</v>
      </c>
      <c r="AM389" s="2720"/>
      <c r="AN389" s="2720"/>
      <c r="AO389" s="2720"/>
      <c r="AP389" s="2720"/>
      <c r="AQ389" s="1239">
        <f t="shared" si="5"/>
        <v>1</v>
      </c>
    </row>
    <row r="390" spans="1:43" x14ac:dyDescent="0.25">
      <c r="A390" s="2"/>
      <c r="B390" s="2791"/>
      <c r="C390" s="2792"/>
      <c r="D390" s="2793"/>
      <c r="E390" s="2776" t="str">
        <f>IF(MORTGAGE!B381=0,"",MORTGAGE!B381)</f>
        <v/>
      </c>
      <c r="F390" s="2777"/>
      <c r="G390" s="2778"/>
      <c r="H390" s="2761">
        <f>MORTGAGE!H381</f>
        <v>0</v>
      </c>
      <c r="I390" s="2762"/>
      <c r="J390" s="2762"/>
      <c r="K390" s="2762"/>
      <c r="L390" s="2763"/>
      <c r="M390" s="2749">
        <f>MORTGAGE!J381</f>
        <v>0</v>
      </c>
      <c r="N390" s="2750"/>
      <c r="O390" s="2750"/>
      <c r="P390" s="2750"/>
      <c r="Q390" s="2751"/>
      <c r="R390" s="2739">
        <f>MORTGAGE!I381</f>
        <v>0</v>
      </c>
      <c r="S390" s="2740"/>
      <c r="T390" s="2740"/>
      <c r="U390" s="2740"/>
      <c r="V390" s="2741"/>
      <c r="W390" s="2733">
        <f>MORTGAGE!K381</f>
        <v>0</v>
      </c>
      <c r="X390" s="2734"/>
      <c r="Y390" s="2734"/>
      <c r="Z390" s="2734"/>
      <c r="AA390" s="2735"/>
      <c r="AB390" s="2727">
        <f>MORTGAGE!L381</f>
        <v>118970</v>
      </c>
      <c r="AC390" s="2728"/>
      <c r="AD390" s="2728"/>
      <c r="AE390" s="2728"/>
      <c r="AF390" s="2729"/>
      <c r="AG390" s="2719">
        <f>MORTGAGE!N381</f>
        <v>1.025603448275862</v>
      </c>
      <c r="AH390" s="2720"/>
      <c r="AI390" s="2720"/>
      <c r="AJ390" s="2720"/>
      <c r="AK390" s="2723"/>
      <c r="AL390" s="2719">
        <f>MORTGAGE!O381</f>
        <v>0</v>
      </c>
      <c r="AM390" s="2720"/>
      <c r="AN390" s="2720"/>
      <c r="AO390" s="2720"/>
      <c r="AP390" s="2720"/>
      <c r="AQ390" s="1239">
        <f t="shared" si="5"/>
        <v>1</v>
      </c>
    </row>
    <row r="391" spans="1:43" x14ac:dyDescent="0.25">
      <c r="A391" s="2"/>
      <c r="B391" s="2791"/>
      <c r="C391" s="2792"/>
      <c r="D391" s="2793"/>
      <c r="E391" s="2776" t="str">
        <f>IF(MORTGAGE!B382=0,"",MORTGAGE!B382)</f>
        <v/>
      </c>
      <c r="F391" s="2777"/>
      <c r="G391" s="2778"/>
      <c r="H391" s="2761">
        <f>MORTGAGE!H382</f>
        <v>0</v>
      </c>
      <c r="I391" s="2762"/>
      <c r="J391" s="2762"/>
      <c r="K391" s="2762"/>
      <c r="L391" s="2763"/>
      <c r="M391" s="2749">
        <f>MORTGAGE!J382</f>
        <v>0</v>
      </c>
      <c r="N391" s="2750"/>
      <c r="O391" s="2750"/>
      <c r="P391" s="2750"/>
      <c r="Q391" s="2751"/>
      <c r="R391" s="2739">
        <f>MORTGAGE!I382</f>
        <v>0</v>
      </c>
      <c r="S391" s="2740"/>
      <c r="T391" s="2740"/>
      <c r="U391" s="2740"/>
      <c r="V391" s="2741"/>
      <c r="W391" s="2733">
        <f>MORTGAGE!K382</f>
        <v>0</v>
      </c>
      <c r="X391" s="2734"/>
      <c r="Y391" s="2734"/>
      <c r="Z391" s="2734"/>
      <c r="AA391" s="2735"/>
      <c r="AB391" s="2727">
        <f>MORTGAGE!L382</f>
        <v>118970</v>
      </c>
      <c r="AC391" s="2728"/>
      <c r="AD391" s="2728"/>
      <c r="AE391" s="2728"/>
      <c r="AF391" s="2729"/>
      <c r="AG391" s="2719">
        <f>MORTGAGE!N382</f>
        <v>1.025603448275862</v>
      </c>
      <c r="AH391" s="2720"/>
      <c r="AI391" s="2720"/>
      <c r="AJ391" s="2720"/>
      <c r="AK391" s="2723"/>
      <c r="AL391" s="2719">
        <f>MORTGAGE!O382</f>
        <v>0</v>
      </c>
      <c r="AM391" s="2720"/>
      <c r="AN391" s="2720"/>
      <c r="AO391" s="2720"/>
      <c r="AP391" s="2720"/>
      <c r="AQ391" s="1239">
        <f t="shared" si="5"/>
        <v>1</v>
      </c>
    </row>
    <row r="392" spans="1:43" x14ac:dyDescent="0.25">
      <c r="A392" s="2"/>
      <c r="B392" s="2791"/>
      <c r="C392" s="2792"/>
      <c r="D392" s="2793"/>
      <c r="E392" s="2776" t="str">
        <f>IF(MORTGAGE!B383=0,"",MORTGAGE!B383)</f>
        <v/>
      </c>
      <c r="F392" s="2777"/>
      <c r="G392" s="2778"/>
      <c r="H392" s="2761">
        <f>MORTGAGE!H383</f>
        <v>0</v>
      </c>
      <c r="I392" s="2762"/>
      <c r="J392" s="2762"/>
      <c r="K392" s="2762"/>
      <c r="L392" s="2763"/>
      <c r="M392" s="2749">
        <f>MORTGAGE!J383</f>
        <v>0</v>
      </c>
      <c r="N392" s="2750"/>
      <c r="O392" s="2750"/>
      <c r="P392" s="2750"/>
      <c r="Q392" s="2751"/>
      <c r="R392" s="2739">
        <f>MORTGAGE!I383</f>
        <v>0</v>
      </c>
      <c r="S392" s="2740"/>
      <c r="T392" s="2740"/>
      <c r="U392" s="2740"/>
      <c r="V392" s="2741"/>
      <c r="W392" s="2733">
        <f>MORTGAGE!K383</f>
        <v>0</v>
      </c>
      <c r="X392" s="2734"/>
      <c r="Y392" s="2734"/>
      <c r="Z392" s="2734"/>
      <c r="AA392" s="2735"/>
      <c r="AB392" s="2727">
        <f>MORTGAGE!L383</f>
        <v>118970</v>
      </c>
      <c r="AC392" s="2728"/>
      <c r="AD392" s="2728"/>
      <c r="AE392" s="2728"/>
      <c r="AF392" s="2729"/>
      <c r="AG392" s="2719">
        <f>MORTGAGE!N383</f>
        <v>1.025603448275862</v>
      </c>
      <c r="AH392" s="2720"/>
      <c r="AI392" s="2720"/>
      <c r="AJ392" s="2720"/>
      <c r="AK392" s="2723"/>
      <c r="AL392" s="2719">
        <f>MORTGAGE!O383</f>
        <v>0</v>
      </c>
      <c r="AM392" s="2720"/>
      <c r="AN392" s="2720"/>
      <c r="AO392" s="2720"/>
      <c r="AP392" s="2720"/>
      <c r="AQ392" s="1239">
        <f t="shared" si="5"/>
        <v>1</v>
      </c>
    </row>
    <row r="393" spans="1:43" x14ac:dyDescent="0.25">
      <c r="A393" s="2"/>
      <c r="B393" s="2794"/>
      <c r="C393" s="2795"/>
      <c r="D393" s="2796"/>
      <c r="E393" s="2776" t="str">
        <f>IF(MORTGAGE!B384=0,"",MORTGAGE!B384)</f>
        <v/>
      </c>
      <c r="F393" s="2777"/>
      <c r="G393" s="2778"/>
      <c r="H393" s="2761">
        <f>MORTGAGE!H384</f>
        <v>0</v>
      </c>
      <c r="I393" s="2762"/>
      <c r="J393" s="2762"/>
      <c r="K393" s="2762"/>
      <c r="L393" s="2763"/>
      <c r="M393" s="2749">
        <f>MORTGAGE!J384</f>
        <v>0</v>
      </c>
      <c r="N393" s="2750"/>
      <c r="O393" s="2750"/>
      <c r="P393" s="2750"/>
      <c r="Q393" s="2751"/>
      <c r="R393" s="2739">
        <f>MORTGAGE!I384</f>
        <v>0</v>
      </c>
      <c r="S393" s="2740"/>
      <c r="T393" s="2740"/>
      <c r="U393" s="2740"/>
      <c r="V393" s="2741"/>
      <c r="W393" s="2733">
        <f>MORTGAGE!K384</f>
        <v>0</v>
      </c>
      <c r="X393" s="2734"/>
      <c r="Y393" s="2734"/>
      <c r="Z393" s="2734"/>
      <c r="AA393" s="2735"/>
      <c r="AB393" s="2727">
        <f>MORTGAGE!L384</f>
        <v>118970</v>
      </c>
      <c r="AC393" s="2728"/>
      <c r="AD393" s="2728"/>
      <c r="AE393" s="2728"/>
      <c r="AF393" s="2729"/>
      <c r="AG393" s="2719">
        <f>MORTGAGE!N384</f>
        <v>1.025603448275862</v>
      </c>
      <c r="AH393" s="2720"/>
      <c r="AI393" s="2720"/>
      <c r="AJ393" s="2720"/>
      <c r="AK393" s="2723"/>
      <c r="AL393" s="2719">
        <f>MORTGAGE!O384</f>
        <v>0</v>
      </c>
      <c r="AM393" s="2720"/>
      <c r="AN393" s="2720"/>
      <c r="AO393" s="2720"/>
      <c r="AP393" s="2720"/>
      <c r="AQ393" s="1239">
        <f t="shared" si="5"/>
        <v>1</v>
      </c>
    </row>
    <row r="394" spans="1:43" x14ac:dyDescent="0.25">
      <c r="A394" s="2"/>
      <c r="B394" s="175"/>
      <c r="C394" s="175"/>
      <c r="D394" s="175"/>
      <c r="E394" s="175"/>
      <c r="F394" s="175"/>
      <c r="G394" s="175"/>
      <c r="H394" s="175"/>
      <c r="I394" s="175"/>
      <c r="J394" s="175"/>
      <c r="K394" s="175"/>
      <c r="L394" s="175"/>
      <c r="M394" s="175"/>
      <c r="N394" s="175"/>
      <c r="O394" s="175"/>
      <c r="P394" s="175"/>
      <c r="Q394" s="175"/>
      <c r="R394" s="175"/>
      <c r="S394" s="175"/>
      <c r="T394" s="175"/>
      <c r="U394" s="175"/>
      <c r="V394" s="175"/>
      <c r="W394" s="175"/>
      <c r="X394" s="175"/>
      <c r="Y394" s="175"/>
      <c r="Z394" s="175"/>
      <c r="AA394" s="175"/>
      <c r="AB394" s="175"/>
      <c r="AC394" s="175"/>
      <c r="AD394" s="175"/>
      <c r="AE394" s="175"/>
      <c r="AF394" s="175"/>
      <c r="AG394" s="175"/>
      <c r="AH394" s="175"/>
      <c r="AI394" s="175"/>
      <c r="AJ394" s="175"/>
      <c r="AK394" s="175"/>
      <c r="AL394" s="175"/>
      <c r="AM394" s="175"/>
      <c r="AN394" s="175"/>
      <c r="AO394" s="175"/>
      <c r="AP394" s="175"/>
      <c r="AQ394" s="1380"/>
    </row>
    <row r="395" spans="1:43" ht="15" customHeight="1" x14ac:dyDescent="0.25">
      <c r="A395" s="2"/>
      <c r="B395" s="175"/>
      <c r="C395" s="175"/>
      <c r="D395" s="175"/>
      <c r="E395" s="175"/>
      <c r="F395" s="175"/>
      <c r="G395" s="175"/>
      <c r="H395" s="175"/>
      <c r="I395" s="175"/>
      <c r="J395" s="175"/>
      <c r="K395" s="175"/>
      <c r="L395" s="175"/>
      <c r="M395" s="175"/>
      <c r="N395" s="175"/>
      <c r="O395" s="175"/>
      <c r="P395" s="175"/>
      <c r="Q395" s="175"/>
      <c r="R395" s="175"/>
      <c r="S395" s="175"/>
      <c r="T395" s="175"/>
      <c r="U395" s="175"/>
      <c r="V395" s="175"/>
      <c r="W395" s="175"/>
      <c r="X395" s="175"/>
      <c r="Y395" s="175"/>
      <c r="Z395" s="175"/>
      <c r="AA395" s="175"/>
      <c r="AB395" s="175"/>
      <c r="AC395" s="175"/>
      <c r="AD395" s="175"/>
      <c r="AE395" s="175"/>
      <c r="AF395" s="175"/>
      <c r="AG395" s="175"/>
      <c r="AH395" s="175"/>
      <c r="AI395" s="175"/>
      <c r="AJ395" s="175"/>
      <c r="AK395" s="175"/>
      <c r="AL395" s="175"/>
      <c r="AM395" s="175"/>
      <c r="AN395" s="175"/>
      <c r="AO395" s="175"/>
      <c r="AP395" s="175"/>
      <c r="AQ395" s="1380"/>
    </row>
    <row r="396" spans="1:43" s="353" customFormat="1" ht="15" customHeight="1" x14ac:dyDescent="0.2">
      <c r="A396" s="173" t="str">
        <f>DISCLAIMER!$A$35</f>
        <v>© 2025 by WinsWithMike.com or Michael Forsberg Nampa, Idaho. All rights reserved</v>
      </c>
      <c r="B396" s="173"/>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c r="AA396" s="173"/>
      <c r="AB396" s="173"/>
      <c r="AC396" s="173"/>
      <c r="AD396" s="173"/>
      <c r="AE396" s="173"/>
      <c r="AF396" s="173"/>
      <c r="AG396" s="173"/>
      <c r="AH396" s="173"/>
      <c r="AI396" s="173"/>
      <c r="AJ396" s="173"/>
      <c r="AK396" s="173"/>
      <c r="AL396" s="173"/>
      <c r="AM396" s="173"/>
      <c r="AN396" s="173"/>
      <c r="AO396" s="173"/>
      <c r="AP396" s="173"/>
      <c r="AQ396" s="1382"/>
    </row>
  </sheetData>
  <sheetProtection sheet="1" objects="1" scenarios="1" selectLockedCells="1"/>
  <autoFilter ref="B32:AQ393" xr:uid="{B27F1DE8-1E0F-4A8B-8744-DA73A87B0309}">
    <filterColumn colId="41">
      <customFilters>
        <customFilter operator="greaterThan" val="0"/>
      </customFilters>
    </filterColumn>
  </autoFilter>
  <mergeCells count="3282">
    <mergeCell ref="B390:D390"/>
    <mergeCell ref="B391:D391"/>
    <mergeCell ref="B392:D392"/>
    <mergeCell ref="B393:D393"/>
    <mergeCell ref="B384:D384"/>
    <mergeCell ref="B385:D385"/>
    <mergeCell ref="B386:D386"/>
    <mergeCell ref="B387:D387"/>
    <mergeCell ref="B388:D388"/>
    <mergeCell ref="B389:D389"/>
    <mergeCell ref="B371:D371"/>
    <mergeCell ref="B360:D360"/>
    <mergeCell ref="B361:D361"/>
    <mergeCell ref="B362:D362"/>
    <mergeCell ref="B363:D363"/>
    <mergeCell ref="B364:D364"/>
    <mergeCell ref="B365:D365"/>
    <mergeCell ref="B378:D378"/>
    <mergeCell ref="B379:D379"/>
    <mergeCell ref="B380:D380"/>
    <mergeCell ref="B381:D381"/>
    <mergeCell ref="B382:D382"/>
    <mergeCell ref="B383:D383"/>
    <mergeCell ref="B372:D372"/>
    <mergeCell ref="B373:D373"/>
    <mergeCell ref="B374:D374"/>
    <mergeCell ref="B375:D375"/>
    <mergeCell ref="B376:D376"/>
    <mergeCell ref="B377:D377"/>
    <mergeCell ref="B354:D354"/>
    <mergeCell ref="B355:D355"/>
    <mergeCell ref="B356:D356"/>
    <mergeCell ref="B357:D357"/>
    <mergeCell ref="B358:D358"/>
    <mergeCell ref="B359:D359"/>
    <mergeCell ref="B348:D348"/>
    <mergeCell ref="B349:D349"/>
    <mergeCell ref="B350:D350"/>
    <mergeCell ref="B351:D351"/>
    <mergeCell ref="B352:D352"/>
    <mergeCell ref="B353:D353"/>
    <mergeCell ref="B366:D366"/>
    <mergeCell ref="B367:D367"/>
    <mergeCell ref="B368:D368"/>
    <mergeCell ref="B369:D369"/>
    <mergeCell ref="B370:D370"/>
    <mergeCell ref="B335:D335"/>
    <mergeCell ref="B324:D324"/>
    <mergeCell ref="B325:D325"/>
    <mergeCell ref="B326:D326"/>
    <mergeCell ref="B327:D327"/>
    <mergeCell ref="B328:D328"/>
    <mergeCell ref="B329:D329"/>
    <mergeCell ref="B342:D342"/>
    <mergeCell ref="B343:D343"/>
    <mergeCell ref="B344:D344"/>
    <mergeCell ref="B345:D345"/>
    <mergeCell ref="B346:D346"/>
    <mergeCell ref="B347:D347"/>
    <mergeCell ref="B336:D336"/>
    <mergeCell ref="B337:D337"/>
    <mergeCell ref="B338:D338"/>
    <mergeCell ref="B339:D339"/>
    <mergeCell ref="B340:D340"/>
    <mergeCell ref="B341:D341"/>
    <mergeCell ref="B318:D318"/>
    <mergeCell ref="B319:D319"/>
    <mergeCell ref="B320:D320"/>
    <mergeCell ref="B321:D321"/>
    <mergeCell ref="B322:D322"/>
    <mergeCell ref="B323:D323"/>
    <mergeCell ref="B312:D312"/>
    <mergeCell ref="B313:D313"/>
    <mergeCell ref="B314:D314"/>
    <mergeCell ref="B315:D315"/>
    <mergeCell ref="B316:D316"/>
    <mergeCell ref="B317:D317"/>
    <mergeCell ref="B330:D330"/>
    <mergeCell ref="B331:D331"/>
    <mergeCell ref="B332:D332"/>
    <mergeCell ref="B333:D333"/>
    <mergeCell ref="B334:D334"/>
    <mergeCell ref="B299:D299"/>
    <mergeCell ref="B288:D288"/>
    <mergeCell ref="B289:D289"/>
    <mergeCell ref="B290:D290"/>
    <mergeCell ref="B291:D291"/>
    <mergeCell ref="B292:D292"/>
    <mergeCell ref="B293:D293"/>
    <mergeCell ref="B306:D306"/>
    <mergeCell ref="B307:D307"/>
    <mergeCell ref="B308:D308"/>
    <mergeCell ref="B309:D309"/>
    <mergeCell ref="B310:D310"/>
    <mergeCell ref="B311:D311"/>
    <mergeCell ref="B300:D300"/>
    <mergeCell ref="B301:D301"/>
    <mergeCell ref="B302:D302"/>
    <mergeCell ref="B303:D303"/>
    <mergeCell ref="B304:D304"/>
    <mergeCell ref="B305:D305"/>
    <mergeCell ref="B282:D282"/>
    <mergeCell ref="B283:D283"/>
    <mergeCell ref="B284:D284"/>
    <mergeCell ref="B285:D285"/>
    <mergeCell ref="B286:D286"/>
    <mergeCell ref="B287:D287"/>
    <mergeCell ref="B276:D276"/>
    <mergeCell ref="B277:D277"/>
    <mergeCell ref="B278:D278"/>
    <mergeCell ref="B279:D279"/>
    <mergeCell ref="B280:D280"/>
    <mergeCell ref="B281:D281"/>
    <mergeCell ref="B294:D294"/>
    <mergeCell ref="B295:D295"/>
    <mergeCell ref="B296:D296"/>
    <mergeCell ref="B297:D297"/>
    <mergeCell ref="B298:D298"/>
    <mergeCell ref="B263:D263"/>
    <mergeCell ref="B252:D252"/>
    <mergeCell ref="B253:D253"/>
    <mergeCell ref="B254:D254"/>
    <mergeCell ref="B255:D255"/>
    <mergeCell ref="B256:D256"/>
    <mergeCell ref="B257:D257"/>
    <mergeCell ref="B270:D270"/>
    <mergeCell ref="B271:D271"/>
    <mergeCell ref="B272:D272"/>
    <mergeCell ref="B273:D273"/>
    <mergeCell ref="B274:D274"/>
    <mergeCell ref="B275:D275"/>
    <mergeCell ref="B264:D264"/>
    <mergeCell ref="B265:D265"/>
    <mergeCell ref="B266:D266"/>
    <mergeCell ref="B267:D267"/>
    <mergeCell ref="B268:D268"/>
    <mergeCell ref="B269:D269"/>
    <mergeCell ref="B246:D246"/>
    <mergeCell ref="B247:D247"/>
    <mergeCell ref="B248:D248"/>
    <mergeCell ref="B249:D249"/>
    <mergeCell ref="B250:D250"/>
    <mergeCell ref="B251:D251"/>
    <mergeCell ref="B240:D240"/>
    <mergeCell ref="B241:D241"/>
    <mergeCell ref="B242:D242"/>
    <mergeCell ref="B243:D243"/>
    <mergeCell ref="B244:D244"/>
    <mergeCell ref="B245:D245"/>
    <mergeCell ref="B258:D258"/>
    <mergeCell ref="B259:D259"/>
    <mergeCell ref="B260:D260"/>
    <mergeCell ref="B261:D261"/>
    <mergeCell ref="B262:D262"/>
    <mergeCell ref="B227:D227"/>
    <mergeCell ref="B216:D216"/>
    <mergeCell ref="B217:D217"/>
    <mergeCell ref="B218:D218"/>
    <mergeCell ref="B219:D219"/>
    <mergeCell ref="B220:D220"/>
    <mergeCell ref="B221:D221"/>
    <mergeCell ref="B234:D234"/>
    <mergeCell ref="B235:D235"/>
    <mergeCell ref="B236:D236"/>
    <mergeCell ref="B237:D237"/>
    <mergeCell ref="B238:D238"/>
    <mergeCell ref="B239:D239"/>
    <mergeCell ref="B228:D228"/>
    <mergeCell ref="B229:D229"/>
    <mergeCell ref="B230:D230"/>
    <mergeCell ref="B231:D231"/>
    <mergeCell ref="B232:D232"/>
    <mergeCell ref="B233:D233"/>
    <mergeCell ref="B210:D210"/>
    <mergeCell ref="B211:D211"/>
    <mergeCell ref="B212:D212"/>
    <mergeCell ref="B213:D213"/>
    <mergeCell ref="B214:D214"/>
    <mergeCell ref="B215:D215"/>
    <mergeCell ref="B204:D204"/>
    <mergeCell ref="B205:D205"/>
    <mergeCell ref="B206:D206"/>
    <mergeCell ref="B207:D207"/>
    <mergeCell ref="B208:D208"/>
    <mergeCell ref="B209:D209"/>
    <mergeCell ref="B222:D222"/>
    <mergeCell ref="B223:D223"/>
    <mergeCell ref="B224:D224"/>
    <mergeCell ref="B225:D225"/>
    <mergeCell ref="B226:D226"/>
    <mergeCell ref="B191:D191"/>
    <mergeCell ref="B180:D180"/>
    <mergeCell ref="B181:D181"/>
    <mergeCell ref="B182:D182"/>
    <mergeCell ref="B183:D183"/>
    <mergeCell ref="B184:D184"/>
    <mergeCell ref="B185:D185"/>
    <mergeCell ref="B198:D198"/>
    <mergeCell ref="B199:D199"/>
    <mergeCell ref="B200:D200"/>
    <mergeCell ref="B201:D201"/>
    <mergeCell ref="B202:D202"/>
    <mergeCell ref="B203:D203"/>
    <mergeCell ref="B192:D192"/>
    <mergeCell ref="B193:D193"/>
    <mergeCell ref="B194:D194"/>
    <mergeCell ref="B195:D195"/>
    <mergeCell ref="B196:D196"/>
    <mergeCell ref="B197:D197"/>
    <mergeCell ref="B174:D174"/>
    <mergeCell ref="B175:D175"/>
    <mergeCell ref="B176:D176"/>
    <mergeCell ref="B177:D177"/>
    <mergeCell ref="B178:D178"/>
    <mergeCell ref="B179:D179"/>
    <mergeCell ref="B168:D168"/>
    <mergeCell ref="B169:D169"/>
    <mergeCell ref="B170:D170"/>
    <mergeCell ref="B171:D171"/>
    <mergeCell ref="B172:D172"/>
    <mergeCell ref="B173:D173"/>
    <mergeCell ref="B186:D186"/>
    <mergeCell ref="B187:D187"/>
    <mergeCell ref="B188:D188"/>
    <mergeCell ref="B189:D189"/>
    <mergeCell ref="B190:D190"/>
    <mergeCell ref="B155:D155"/>
    <mergeCell ref="B144:D144"/>
    <mergeCell ref="B145:D145"/>
    <mergeCell ref="B146:D146"/>
    <mergeCell ref="B147:D147"/>
    <mergeCell ref="B148:D148"/>
    <mergeCell ref="B149:D149"/>
    <mergeCell ref="B162:D162"/>
    <mergeCell ref="B163:D163"/>
    <mergeCell ref="B164:D164"/>
    <mergeCell ref="B165:D165"/>
    <mergeCell ref="B166:D166"/>
    <mergeCell ref="B167:D167"/>
    <mergeCell ref="B156:D156"/>
    <mergeCell ref="B157:D157"/>
    <mergeCell ref="B158:D158"/>
    <mergeCell ref="B159:D159"/>
    <mergeCell ref="B160:D160"/>
    <mergeCell ref="B161:D161"/>
    <mergeCell ref="B138:D138"/>
    <mergeCell ref="B139:D139"/>
    <mergeCell ref="B140:D140"/>
    <mergeCell ref="B141:D141"/>
    <mergeCell ref="B142:D142"/>
    <mergeCell ref="B143:D143"/>
    <mergeCell ref="B132:D132"/>
    <mergeCell ref="B133:D133"/>
    <mergeCell ref="B134:D134"/>
    <mergeCell ref="B135:D135"/>
    <mergeCell ref="B136:D136"/>
    <mergeCell ref="B137:D137"/>
    <mergeCell ref="B150:D150"/>
    <mergeCell ref="B151:D151"/>
    <mergeCell ref="B152:D152"/>
    <mergeCell ref="B153:D153"/>
    <mergeCell ref="B154:D154"/>
    <mergeCell ref="B119:D119"/>
    <mergeCell ref="B108:D108"/>
    <mergeCell ref="B109:D109"/>
    <mergeCell ref="B110:D110"/>
    <mergeCell ref="B111:D111"/>
    <mergeCell ref="B112:D112"/>
    <mergeCell ref="B113:D113"/>
    <mergeCell ref="B126:D126"/>
    <mergeCell ref="B127:D127"/>
    <mergeCell ref="B128:D128"/>
    <mergeCell ref="B129:D129"/>
    <mergeCell ref="B130:D130"/>
    <mergeCell ref="B131:D131"/>
    <mergeCell ref="B120:D120"/>
    <mergeCell ref="B121:D121"/>
    <mergeCell ref="B122:D122"/>
    <mergeCell ref="B123:D123"/>
    <mergeCell ref="B124:D124"/>
    <mergeCell ref="B125:D125"/>
    <mergeCell ref="B102:D102"/>
    <mergeCell ref="B103:D103"/>
    <mergeCell ref="B104:D104"/>
    <mergeCell ref="B105:D105"/>
    <mergeCell ref="B106:D106"/>
    <mergeCell ref="B107:D107"/>
    <mergeCell ref="B96:D96"/>
    <mergeCell ref="B97:D97"/>
    <mergeCell ref="B98:D98"/>
    <mergeCell ref="B99:D99"/>
    <mergeCell ref="B100:D100"/>
    <mergeCell ref="B101:D101"/>
    <mergeCell ref="B114:D114"/>
    <mergeCell ref="B115:D115"/>
    <mergeCell ref="B116:D116"/>
    <mergeCell ref="B117:D117"/>
    <mergeCell ref="B118:D118"/>
    <mergeCell ref="B83:D83"/>
    <mergeCell ref="B72:D72"/>
    <mergeCell ref="B73:D73"/>
    <mergeCell ref="B74:D74"/>
    <mergeCell ref="B75:D75"/>
    <mergeCell ref="B76:D76"/>
    <mergeCell ref="B77:D77"/>
    <mergeCell ref="B90:D90"/>
    <mergeCell ref="B91:D91"/>
    <mergeCell ref="B92:D92"/>
    <mergeCell ref="B93:D93"/>
    <mergeCell ref="B94:D94"/>
    <mergeCell ref="B95:D95"/>
    <mergeCell ref="B84:D84"/>
    <mergeCell ref="B85:D85"/>
    <mergeCell ref="B86:D86"/>
    <mergeCell ref="B87:D87"/>
    <mergeCell ref="B88:D88"/>
    <mergeCell ref="B89:D89"/>
    <mergeCell ref="B66:D66"/>
    <mergeCell ref="B67:D67"/>
    <mergeCell ref="B68:D68"/>
    <mergeCell ref="B69:D69"/>
    <mergeCell ref="B70:D70"/>
    <mergeCell ref="B71:D71"/>
    <mergeCell ref="B60:D60"/>
    <mergeCell ref="B61:D61"/>
    <mergeCell ref="B62:D62"/>
    <mergeCell ref="B63:D63"/>
    <mergeCell ref="B64:D64"/>
    <mergeCell ref="B65:D65"/>
    <mergeCell ref="B78:D78"/>
    <mergeCell ref="B79:D79"/>
    <mergeCell ref="B80:D80"/>
    <mergeCell ref="B81:D81"/>
    <mergeCell ref="B82:D82"/>
    <mergeCell ref="B46:D46"/>
    <mergeCell ref="B47:D47"/>
    <mergeCell ref="B33:D33"/>
    <mergeCell ref="B34:D34"/>
    <mergeCell ref="B35:D35"/>
    <mergeCell ref="B36:D36"/>
    <mergeCell ref="B37:D37"/>
    <mergeCell ref="B38:D38"/>
    <mergeCell ref="B39:D39"/>
    <mergeCell ref="B40:D40"/>
    <mergeCell ref="B41:D41"/>
    <mergeCell ref="B54:D54"/>
    <mergeCell ref="B55:D55"/>
    <mergeCell ref="B56:D56"/>
    <mergeCell ref="B57:D57"/>
    <mergeCell ref="B58:D58"/>
    <mergeCell ref="B59:D59"/>
    <mergeCell ref="B48:D48"/>
    <mergeCell ref="B49:D49"/>
    <mergeCell ref="B50:D50"/>
    <mergeCell ref="B51:D51"/>
    <mergeCell ref="B52:D52"/>
    <mergeCell ref="B53:D53"/>
    <mergeCell ref="E42:G42"/>
    <mergeCell ref="E43:G43"/>
    <mergeCell ref="E44:G44"/>
    <mergeCell ref="E45:G45"/>
    <mergeCell ref="E33:G33"/>
    <mergeCell ref="E34:G34"/>
    <mergeCell ref="E35:G35"/>
    <mergeCell ref="E36:G36"/>
    <mergeCell ref="E37:G37"/>
    <mergeCell ref="E38:G38"/>
    <mergeCell ref="E39:G39"/>
    <mergeCell ref="E40:G40"/>
    <mergeCell ref="E41:G41"/>
    <mergeCell ref="B42:D42"/>
    <mergeCell ref="B43:D43"/>
    <mergeCell ref="B44:D44"/>
    <mergeCell ref="B45:D45"/>
    <mergeCell ref="E46:G46"/>
    <mergeCell ref="E47:G47"/>
    <mergeCell ref="E48:G48"/>
    <mergeCell ref="E49:G49"/>
    <mergeCell ref="E50:G50"/>
    <mergeCell ref="E51:G51"/>
    <mergeCell ref="E52:G52"/>
    <mergeCell ref="E53:G53"/>
    <mergeCell ref="E54:G54"/>
    <mergeCell ref="E55:G55"/>
    <mergeCell ref="E56:G56"/>
    <mergeCell ref="E57:G57"/>
    <mergeCell ref="H52:L52"/>
    <mergeCell ref="H53:L53"/>
    <mergeCell ref="H54:L54"/>
    <mergeCell ref="H55:L55"/>
    <mergeCell ref="H56:L56"/>
    <mergeCell ref="E67:G67"/>
    <mergeCell ref="E68:G68"/>
    <mergeCell ref="E69:G69"/>
    <mergeCell ref="E70:G70"/>
    <mergeCell ref="E71:G71"/>
    <mergeCell ref="E72:G72"/>
    <mergeCell ref="E73:G73"/>
    <mergeCell ref="E74:G74"/>
    <mergeCell ref="E75:G75"/>
    <mergeCell ref="E58:G58"/>
    <mergeCell ref="E59:G59"/>
    <mergeCell ref="E60:G60"/>
    <mergeCell ref="E61:G61"/>
    <mergeCell ref="E62:G62"/>
    <mergeCell ref="E63:G63"/>
    <mergeCell ref="E64:G64"/>
    <mergeCell ref="E65:G65"/>
    <mergeCell ref="E66:G66"/>
    <mergeCell ref="E85:G85"/>
    <mergeCell ref="E86:G86"/>
    <mergeCell ref="E87:G87"/>
    <mergeCell ref="E88:G88"/>
    <mergeCell ref="E89:G89"/>
    <mergeCell ref="E90:G90"/>
    <mergeCell ref="E91:G91"/>
    <mergeCell ref="E92:G92"/>
    <mergeCell ref="E93:G93"/>
    <mergeCell ref="E76:G76"/>
    <mergeCell ref="E77:G77"/>
    <mergeCell ref="E78:G78"/>
    <mergeCell ref="E79:G79"/>
    <mergeCell ref="E80:G80"/>
    <mergeCell ref="E81:G81"/>
    <mergeCell ref="E82:G82"/>
    <mergeCell ref="E83:G83"/>
    <mergeCell ref="E84:G84"/>
    <mergeCell ref="E103:G103"/>
    <mergeCell ref="E104:G104"/>
    <mergeCell ref="E105:G105"/>
    <mergeCell ref="E106:G106"/>
    <mergeCell ref="E107:G107"/>
    <mergeCell ref="E108:G108"/>
    <mergeCell ref="E109:G109"/>
    <mergeCell ref="E110:G110"/>
    <mergeCell ref="E111:G111"/>
    <mergeCell ref="E94:G94"/>
    <mergeCell ref="E95:G95"/>
    <mergeCell ref="E96:G96"/>
    <mergeCell ref="E97:G97"/>
    <mergeCell ref="E98:G98"/>
    <mergeCell ref="E99:G99"/>
    <mergeCell ref="E100:G100"/>
    <mergeCell ref="E101:G101"/>
    <mergeCell ref="E102:G102"/>
    <mergeCell ref="E121:G121"/>
    <mergeCell ref="E122:G122"/>
    <mergeCell ref="E123:G123"/>
    <mergeCell ref="E124:G124"/>
    <mergeCell ref="E125:G125"/>
    <mergeCell ref="E126:G126"/>
    <mergeCell ref="E127:G127"/>
    <mergeCell ref="E128:G128"/>
    <mergeCell ref="E129:G129"/>
    <mergeCell ref="E112:G112"/>
    <mergeCell ref="E113:G113"/>
    <mergeCell ref="E114:G114"/>
    <mergeCell ref="E115:G115"/>
    <mergeCell ref="E116:G116"/>
    <mergeCell ref="E117:G117"/>
    <mergeCell ref="E118:G118"/>
    <mergeCell ref="E119:G119"/>
    <mergeCell ref="E120:G120"/>
    <mergeCell ref="E139:G139"/>
    <mergeCell ref="E140:G140"/>
    <mergeCell ref="E141:G141"/>
    <mergeCell ref="E142:G142"/>
    <mergeCell ref="E143:G143"/>
    <mergeCell ref="E144:G144"/>
    <mergeCell ref="E145:G145"/>
    <mergeCell ref="E146:G146"/>
    <mergeCell ref="E147:G147"/>
    <mergeCell ref="E130:G130"/>
    <mergeCell ref="E131:G131"/>
    <mergeCell ref="E132:G132"/>
    <mergeCell ref="E133:G133"/>
    <mergeCell ref="E134:G134"/>
    <mergeCell ref="E135:G135"/>
    <mergeCell ref="E136:G136"/>
    <mergeCell ref="E137:G137"/>
    <mergeCell ref="E138:G138"/>
    <mergeCell ref="E157:G157"/>
    <mergeCell ref="E158:G158"/>
    <mergeCell ref="E159:G159"/>
    <mergeCell ref="E160:G160"/>
    <mergeCell ref="E161:G161"/>
    <mergeCell ref="E162:G162"/>
    <mergeCell ref="E163:G163"/>
    <mergeCell ref="E164:G164"/>
    <mergeCell ref="E165:G165"/>
    <mergeCell ref="E148:G148"/>
    <mergeCell ref="E149:G149"/>
    <mergeCell ref="E150:G150"/>
    <mergeCell ref="E151:G151"/>
    <mergeCell ref="E152:G152"/>
    <mergeCell ref="E153:G153"/>
    <mergeCell ref="E154:G154"/>
    <mergeCell ref="E155:G155"/>
    <mergeCell ref="E156:G156"/>
    <mergeCell ref="E175:G175"/>
    <mergeCell ref="E176:G176"/>
    <mergeCell ref="E177:G177"/>
    <mergeCell ref="E178:G178"/>
    <mergeCell ref="E179:G179"/>
    <mergeCell ref="E180:G180"/>
    <mergeCell ref="E181:G181"/>
    <mergeCell ref="E182:G182"/>
    <mergeCell ref="E183:G183"/>
    <mergeCell ref="E166:G166"/>
    <mergeCell ref="E167:G167"/>
    <mergeCell ref="E168:G168"/>
    <mergeCell ref="E169:G169"/>
    <mergeCell ref="E170:G170"/>
    <mergeCell ref="E171:G171"/>
    <mergeCell ref="E172:G172"/>
    <mergeCell ref="E173:G173"/>
    <mergeCell ref="E174:G174"/>
    <mergeCell ref="E193:G193"/>
    <mergeCell ref="E194:G194"/>
    <mergeCell ref="E195:G195"/>
    <mergeCell ref="E196:G196"/>
    <mergeCell ref="E197:G197"/>
    <mergeCell ref="E198:G198"/>
    <mergeCell ref="E199:G199"/>
    <mergeCell ref="E200:G200"/>
    <mergeCell ref="E201:G201"/>
    <mergeCell ref="E184:G184"/>
    <mergeCell ref="E185:G185"/>
    <mergeCell ref="E186:G186"/>
    <mergeCell ref="E187:G187"/>
    <mergeCell ref="E188:G188"/>
    <mergeCell ref="E189:G189"/>
    <mergeCell ref="E190:G190"/>
    <mergeCell ref="E191:G191"/>
    <mergeCell ref="E192:G192"/>
    <mergeCell ref="E211:G211"/>
    <mergeCell ref="E212:G212"/>
    <mergeCell ref="E213:G213"/>
    <mergeCell ref="E214:G214"/>
    <mergeCell ref="E215:G215"/>
    <mergeCell ref="E216:G216"/>
    <mergeCell ref="E217:G217"/>
    <mergeCell ref="E218:G218"/>
    <mergeCell ref="E219:G219"/>
    <mergeCell ref="E202:G202"/>
    <mergeCell ref="E203:G203"/>
    <mergeCell ref="E204:G204"/>
    <mergeCell ref="E205:G205"/>
    <mergeCell ref="E206:G206"/>
    <mergeCell ref="E207:G207"/>
    <mergeCell ref="E208:G208"/>
    <mergeCell ref="E209:G209"/>
    <mergeCell ref="E210:G210"/>
    <mergeCell ref="E229:G229"/>
    <mergeCell ref="E230:G230"/>
    <mergeCell ref="E231:G231"/>
    <mergeCell ref="E232:G232"/>
    <mergeCell ref="E233:G233"/>
    <mergeCell ref="E234:G234"/>
    <mergeCell ref="E235:G235"/>
    <mergeCell ref="E236:G236"/>
    <mergeCell ref="E237:G237"/>
    <mergeCell ref="E220:G220"/>
    <mergeCell ref="E221:G221"/>
    <mergeCell ref="E222:G222"/>
    <mergeCell ref="E223:G223"/>
    <mergeCell ref="E224:G224"/>
    <mergeCell ref="E225:G225"/>
    <mergeCell ref="E226:G226"/>
    <mergeCell ref="E227:G227"/>
    <mergeCell ref="E228:G228"/>
    <mergeCell ref="E247:G247"/>
    <mergeCell ref="E248:G248"/>
    <mergeCell ref="E249:G249"/>
    <mergeCell ref="E250:G250"/>
    <mergeCell ref="E251:G251"/>
    <mergeCell ref="E252:G252"/>
    <mergeCell ref="E253:G253"/>
    <mergeCell ref="E254:G254"/>
    <mergeCell ref="E255:G255"/>
    <mergeCell ref="E238:G238"/>
    <mergeCell ref="E239:G239"/>
    <mergeCell ref="E240:G240"/>
    <mergeCell ref="E241:G241"/>
    <mergeCell ref="E242:G242"/>
    <mergeCell ref="E243:G243"/>
    <mergeCell ref="E244:G244"/>
    <mergeCell ref="E245:G245"/>
    <mergeCell ref="E246:G246"/>
    <mergeCell ref="E265:G265"/>
    <mergeCell ref="E266:G266"/>
    <mergeCell ref="E267:G267"/>
    <mergeCell ref="E268:G268"/>
    <mergeCell ref="E269:G269"/>
    <mergeCell ref="E270:G270"/>
    <mergeCell ref="E271:G271"/>
    <mergeCell ref="E272:G272"/>
    <mergeCell ref="E273:G273"/>
    <mergeCell ref="E256:G256"/>
    <mergeCell ref="E257:G257"/>
    <mergeCell ref="E258:G258"/>
    <mergeCell ref="E259:G259"/>
    <mergeCell ref="E260:G260"/>
    <mergeCell ref="E261:G261"/>
    <mergeCell ref="E262:G262"/>
    <mergeCell ref="E263:G263"/>
    <mergeCell ref="E264:G264"/>
    <mergeCell ref="E283:G283"/>
    <mergeCell ref="E284:G284"/>
    <mergeCell ref="E285:G285"/>
    <mergeCell ref="E286:G286"/>
    <mergeCell ref="E287:G287"/>
    <mergeCell ref="E288:G288"/>
    <mergeCell ref="E289:G289"/>
    <mergeCell ref="E290:G290"/>
    <mergeCell ref="E291:G291"/>
    <mergeCell ref="E274:G274"/>
    <mergeCell ref="E275:G275"/>
    <mergeCell ref="E276:G276"/>
    <mergeCell ref="E277:G277"/>
    <mergeCell ref="E278:G278"/>
    <mergeCell ref="E279:G279"/>
    <mergeCell ref="E280:G280"/>
    <mergeCell ref="E281:G281"/>
    <mergeCell ref="E282:G282"/>
    <mergeCell ref="E301:G301"/>
    <mergeCell ref="E302:G302"/>
    <mergeCell ref="E303:G303"/>
    <mergeCell ref="E304:G304"/>
    <mergeCell ref="E305:G305"/>
    <mergeCell ref="E306:G306"/>
    <mergeCell ref="E307:G307"/>
    <mergeCell ref="E308:G308"/>
    <mergeCell ref="E309:G309"/>
    <mergeCell ref="E292:G292"/>
    <mergeCell ref="E293:G293"/>
    <mergeCell ref="E294:G294"/>
    <mergeCell ref="E295:G295"/>
    <mergeCell ref="E296:G296"/>
    <mergeCell ref="E297:G297"/>
    <mergeCell ref="E298:G298"/>
    <mergeCell ref="E299:G299"/>
    <mergeCell ref="E300:G300"/>
    <mergeCell ref="E319:G319"/>
    <mergeCell ref="E320:G320"/>
    <mergeCell ref="E321:G321"/>
    <mergeCell ref="E322:G322"/>
    <mergeCell ref="E323:G323"/>
    <mergeCell ref="E324:G324"/>
    <mergeCell ref="E325:G325"/>
    <mergeCell ref="E326:G326"/>
    <mergeCell ref="E327:G327"/>
    <mergeCell ref="E310:G310"/>
    <mergeCell ref="E311:G311"/>
    <mergeCell ref="E312:G312"/>
    <mergeCell ref="E313:G313"/>
    <mergeCell ref="E314:G314"/>
    <mergeCell ref="E315:G315"/>
    <mergeCell ref="E316:G316"/>
    <mergeCell ref="E317:G317"/>
    <mergeCell ref="E318:G318"/>
    <mergeCell ref="E337:G337"/>
    <mergeCell ref="E338:G338"/>
    <mergeCell ref="E339:G339"/>
    <mergeCell ref="E340:G340"/>
    <mergeCell ref="E341:G341"/>
    <mergeCell ref="E342:G342"/>
    <mergeCell ref="E343:G343"/>
    <mergeCell ref="E344:G344"/>
    <mergeCell ref="E345:G345"/>
    <mergeCell ref="E328:G328"/>
    <mergeCell ref="E329:G329"/>
    <mergeCell ref="E330:G330"/>
    <mergeCell ref="E331:G331"/>
    <mergeCell ref="E332:G332"/>
    <mergeCell ref="E333:G333"/>
    <mergeCell ref="E334:G334"/>
    <mergeCell ref="E335:G335"/>
    <mergeCell ref="E336:G336"/>
    <mergeCell ref="E355:G355"/>
    <mergeCell ref="E356:G356"/>
    <mergeCell ref="E357:G357"/>
    <mergeCell ref="E358:G358"/>
    <mergeCell ref="E359:G359"/>
    <mergeCell ref="E360:G360"/>
    <mergeCell ref="E361:G361"/>
    <mergeCell ref="E362:G362"/>
    <mergeCell ref="E363:G363"/>
    <mergeCell ref="E346:G346"/>
    <mergeCell ref="E347:G347"/>
    <mergeCell ref="E348:G348"/>
    <mergeCell ref="E349:G349"/>
    <mergeCell ref="E350:G350"/>
    <mergeCell ref="E351:G351"/>
    <mergeCell ref="E352:G352"/>
    <mergeCell ref="E353:G353"/>
    <mergeCell ref="E354:G354"/>
    <mergeCell ref="E390:G390"/>
    <mergeCell ref="E373:G373"/>
    <mergeCell ref="E374:G374"/>
    <mergeCell ref="E375:G375"/>
    <mergeCell ref="E376:G376"/>
    <mergeCell ref="E377:G377"/>
    <mergeCell ref="E378:G378"/>
    <mergeCell ref="E379:G379"/>
    <mergeCell ref="E380:G380"/>
    <mergeCell ref="E381:G381"/>
    <mergeCell ref="E364:G364"/>
    <mergeCell ref="E365:G365"/>
    <mergeCell ref="E366:G366"/>
    <mergeCell ref="E367:G367"/>
    <mergeCell ref="E368:G368"/>
    <mergeCell ref="E369:G369"/>
    <mergeCell ref="E370:G370"/>
    <mergeCell ref="E371:G371"/>
    <mergeCell ref="E372:G372"/>
    <mergeCell ref="E391:G391"/>
    <mergeCell ref="E392:G392"/>
    <mergeCell ref="E393:G393"/>
    <mergeCell ref="H29:L29"/>
    <mergeCell ref="H30:L30"/>
    <mergeCell ref="H33:L33"/>
    <mergeCell ref="H34:L34"/>
    <mergeCell ref="H35:L35"/>
    <mergeCell ref="H36:L36"/>
    <mergeCell ref="H37:L37"/>
    <mergeCell ref="H38:L38"/>
    <mergeCell ref="H39:L39"/>
    <mergeCell ref="H40:L40"/>
    <mergeCell ref="H41:L41"/>
    <mergeCell ref="H42:L42"/>
    <mergeCell ref="H43:L43"/>
    <mergeCell ref="H44:L44"/>
    <mergeCell ref="H45:L45"/>
    <mergeCell ref="H46:L46"/>
    <mergeCell ref="H47:L47"/>
    <mergeCell ref="H48:L48"/>
    <mergeCell ref="H49:L49"/>
    <mergeCell ref="H50:L50"/>
    <mergeCell ref="H51:L51"/>
    <mergeCell ref="E382:G382"/>
    <mergeCell ref="E383:G383"/>
    <mergeCell ref="E384:G384"/>
    <mergeCell ref="E385:G385"/>
    <mergeCell ref="E386:G386"/>
    <mergeCell ref="E387:G387"/>
    <mergeCell ref="E388:G388"/>
    <mergeCell ref="E389:G389"/>
    <mergeCell ref="H66:L66"/>
    <mergeCell ref="H67:L67"/>
    <mergeCell ref="H68:L68"/>
    <mergeCell ref="H69:L69"/>
    <mergeCell ref="H70:L70"/>
    <mergeCell ref="H71:L71"/>
    <mergeCell ref="H72:L72"/>
    <mergeCell ref="H73:L73"/>
    <mergeCell ref="H74:L74"/>
    <mergeCell ref="H57:L57"/>
    <mergeCell ref="H58:L58"/>
    <mergeCell ref="H59:L59"/>
    <mergeCell ref="H60:L60"/>
    <mergeCell ref="H61:L61"/>
    <mergeCell ref="H62:L62"/>
    <mergeCell ref="H63:L63"/>
    <mergeCell ref="H64:L64"/>
    <mergeCell ref="H65:L65"/>
    <mergeCell ref="H84:L84"/>
    <mergeCell ref="H85:L85"/>
    <mergeCell ref="H86:L86"/>
    <mergeCell ref="H87:L87"/>
    <mergeCell ref="H88:L88"/>
    <mergeCell ref="H89:L89"/>
    <mergeCell ref="H90:L90"/>
    <mergeCell ref="H91:L91"/>
    <mergeCell ref="H92:L92"/>
    <mergeCell ref="H75:L75"/>
    <mergeCell ref="H76:L76"/>
    <mergeCell ref="H77:L77"/>
    <mergeCell ref="H78:L78"/>
    <mergeCell ref="H79:L79"/>
    <mergeCell ref="H80:L80"/>
    <mergeCell ref="H81:L81"/>
    <mergeCell ref="H82:L82"/>
    <mergeCell ref="H83:L83"/>
    <mergeCell ref="H102:L102"/>
    <mergeCell ref="H103:L103"/>
    <mergeCell ref="H104:L104"/>
    <mergeCell ref="H105:L105"/>
    <mergeCell ref="H106:L106"/>
    <mergeCell ref="H107:L107"/>
    <mergeCell ref="H108:L108"/>
    <mergeCell ref="H109:L109"/>
    <mergeCell ref="H110:L110"/>
    <mergeCell ref="H93:L93"/>
    <mergeCell ref="H94:L94"/>
    <mergeCell ref="H95:L95"/>
    <mergeCell ref="H96:L96"/>
    <mergeCell ref="H97:L97"/>
    <mergeCell ref="H98:L98"/>
    <mergeCell ref="H99:L99"/>
    <mergeCell ref="H100:L100"/>
    <mergeCell ref="H101:L101"/>
    <mergeCell ref="H120:L120"/>
    <mergeCell ref="H121:L121"/>
    <mergeCell ref="H122:L122"/>
    <mergeCell ref="H123:L123"/>
    <mergeCell ref="H124:L124"/>
    <mergeCell ref="H125:L125"/>
    <mergeCell ref="H126:L126"/>
    <mergeCell ref="H127:L127"/>
    <mergeCell ref="H128:L128"/>
    <mergeCell ref="H111:L111"/>
    <mergeCell ref="H112:L112"/>
    <mergeCell ref="H113:L113"/>
    <mergeCell ref="H114:L114"/>
    <mergeCell ref="H115:L115"/>
    <mergeCell ref="H116:L116"/>
    <mergeCell ref="H117:L117"/>
    <mergeCell ref="H118:L118"/>
    <mergeCell ref="H119:L119"/>
    <mergeCell ref="H138:L138"/>
    <mergeCell ref="H139:L139"/>
    <mergeCell ref="H140:L140"/>
    <mergeCell ref="H141:L141"/>
    <mergeCell ref="H142:L142"/>
    <mergeCell ref="H143:L143"/>
    <mergeCell ref="H144:L144"/>
    <mergeCell ref="H145:L145"/>
    <mergeCell ref="H146:L146"/>
    <mergeCell ref="H129:L129"/>
    <mergeCell ref="H130:L130"/>
    <mergeCell ref="H131:L131"/>
    <mergeCell ref="H132:L132"/>
    <mergeCell ref="H133:L133"/>
    <mergeCell ref="H134:L134"/>
    <mergeCell ref="H135:L135"/>
    <mergeCell ref="H136:L136"/>
    <mergeCell ref="H137:L137"/>
    <mergeCell ref="H156:L156"/>
    <mergeCell ref="H157:L157"/>
    <mergeCell ref="H158:L158"/>
    <mergeCell ref="H159:L159"/>
    <mergeCell ref="H160:L160"/>
    <mergeCell ref="H161:L161"/>
    <mergeCell ref="H162:L162"/>
    <mergeCell ref="H163:L163"/>
    <mergeCell ref="H164:L164"/>
    <mergeCell ref="H147:L147"/>
    <mergeCell ref="H148:L148"/>
    <mergeCell ref="H149:L149"/>
    <mergeCell ref="H150:L150"/>
    <mergeCell ref="H151:L151"/>
    <mergeCell ref="H152:L152"/>
    <mergeCell ref="H153:L153"/>
    <mergeCell ref="H154:L154"/>
    <mergeCell ref="H155:L155"/>
    <mergeCell ref="H174:L174"/>
    <mergeCell ref="H175:L175"/>
    <mergeCell ref="H176:L176"/>
    <mergeCell ref="H177:L177"/>
    <mergeCell ref="H178:L178"/>
    <mergeCell ref="H179:L179"/>
    <mergeCell ref="H180:L180"/>
    <mergeCell ref="H181:L181"/>
    <mergeCell ref="H182:L182"/>
    <mergeCell ref="H165:L165"/>
    <mergeCell ref="H166:L166"/>
    <mergeCell ref="H167:L167"/>
    <mergeCell ref="H168:L168"/>
    <mergeCell ref="H169:L169"/>
    <mergeCell ref="H170:L170"/>
    <mergeCell ref="H171:L171"/>
    <mergeCell ref="H172:L172"/>
    <mergeCell ref="H173:L173"/>
    <mergeCell ref="H192:L192"/>
    <mergeCell ref="H193:L193"/>
    <mergeCell ref="H194:L194"/>
    <mergeCell ref="H195:L195"/>
    <mergeCell ref="H196:L196"/>
    <mergeCell ref="H197:L197"/>
    <mergeCell ref="H198:L198"/>
    <mergeCell ref="H199:L199"/>
    <mergeCell ref="H200:L200"/>
    <mergeCell ref="H183:L183"/>
    <mergeCell ref="H184:L184"/>
    <mergeCell ref="H185:L185"/>
    <mergeCell ref="H186:L186"/>
    <mergeCell ref="H187:L187"/>
    <mergeCell ref="H188:L188"/>
    <mergeCell ref="H189:L189"/>
    <mergeCell ref="H190:L190"/>
    <mergeCell ref="H191:L191"/>
    <mergeCell ref="H210:L210"/>
    <mergeCell ref="H211:L211"/>
    <mergeCell ref="H212:L212"/>
    <mergeCell ref="H213:L213"/>
    <mergeCell ref="H214:L214"/>
    <mergeCell ref="H215:L215"/>
    <mergeCell ref="H216:L216"/>
    <mergeCell ref="H217:L217"/>
    <mergeCell ref="H218:L218"/>
    <mergeCell ref="H201:L201"/>
    <mergeCell ref="H202:L202"/>
    <mergeCell ref="H203:L203"/>
    <mergeCell ref="H204:L204"/>
    <mergeCell ref="H205:L205"/>
    <mergeCell ref="H206:L206"/>
    <mergeCell ref="H207:L207"/>
    <mergeCell ref="H208:L208"/>
    <mergeCell ref="H209:L209"/>
    <mergeCell ref="H228:L228"/>
    <mergeCell ref="H229:L229"/>
    <mergeCell ref="H230:L230"/>
    <mergeCell ref="H231:L231"/>
    <mergeCell ref="H232:L232"/>
    <mergeCell ref="H233:L233"/>
    <mergeCell ref="H234:L234"/>
    <mergeCell ref="H235:L235"/>
    <mergeCell ref="H236:L236"/>
    <mergeCell ref="H219:L219"/>
    <mergeCell ref="H220:L220"/>
    <mergeCell ref="H221:L221"/>
    <mergeCell ref="H222:L222"/>
    <mergeCell ref="H223:L223"/>
    <mergeCell ref="H224:L224"/>
    <mergeCell ref="H225:L225"/>
    <mergeCell ref="H226:L226"/>
    <mergeCell ref="H227:L227"/>
    <mergeCell ref="H246:L246"/>
    <mergeCell ref="H247:L247"/>
    <mergeCell ref="H248:L248"/>
    <mergeCell ref="H249:L249"/>
    <mergeCell ref="H250:L250"/>
    <mergeCell ref="H251:L251"/>
    <mergeCell ref="H252:L252"/>
    <mergeCell ref="H253:L253"/>
    <mergeCell ref="H254:L254"/>
    <mergeCell ref="H237:L237"/>
    <mergeCell ref="H238:L238"/>
    <mergeCell ref="H239:L239"/>
    <mergeCell ref="H240:L240"/>
    <mergeCell ref="H241:L241"/>
    <mergeCell ref="H242:L242"/>
    <mergeCell ref="H243:L243"/>
    <mergeCell ref="H244:L244"/>
    <mergeCell ref="H245:L245"/>
    <mergeCell ref="H264:L264"/>
    <mergeCell ref="H265:L265"/>
    <mergeCell ref="H266:L266"/>
    <mergeCell ref="H267:L267"/>
    <mergeCell ref="H268:L268"/>
    <mergeCell ref="H269:L269"/>
    <mergeCell ref="H270:L270"/>
    <mergeCell ref="H271:L271"/>
    <mergeCell ref="H272:L272"/>
    <mergeCell ref="H255:L255"/>
    <mergeCell ref="H256:L256"/>
    <mergeCell ref="H257:L257"/>
    <mergeCell ref="H258:L258"/>
    <mergeCell ref="H259:L259"/>
    <mergeCell ref="H260:L260"/>
    <mergeCell ref="H261:L261"/>
    <mergeCell ref="H262:L262"/>
    <mergeCell ref="H263:L263"/>
    <mergeCell ref="H282:L282"/>
    <mergeCell ref="H283:L283"/>
    <mergeCell ref="H284:L284"/>
    <mergeCell ref="H285:L285"/>
    <mergeCell ref="H286:L286"/>
    <mergeCell ref="H287:L287"/>
    <mergeCell ref="H288:L288"/>
    <mergeCell ref="H289:L289"/>
    <mergeCell ref="H290:L290"/>
    <mergeCell ref="H273:L273"/>
    <mergeCell ref="H274:L274"/>
    <mergeCell ref="H275:L275"/>
    <mergeCell ref="H276:L276"/>
    <mergeCell ref="H277:L277"/>
    <mergeCell ref="H278:L278"/>
    <mergeCell ref="H279:L279"/>
    <mergeCell ref="H280:L280"/>
    <mergeCell ref="H281:L281"/>
    <mergeCell ref="H300:L300"/>
    <mergeCell ref="H301:L301"/>
    <mergeCell ref="H302:L302"/>
    <mergeCell ref="H303:L303"/>
    <mergeCell ref="H304:L304"/>
    <mergeCell ref="H305:L305"/>
    <mergeCell ref="H306:L306"/>
    <mergeCell ref="H307:L307"/>
    <mergeCell ref="H308:L308"/>
    <mergeCell ref="H291:L291"/>
    <mergeCell ref="H292:L292"/>
    <mergeCell ref="H293:L293"/>
    <mergeCell ref="H294:L294"/>
    <mergeCell ref="H295:L295"/>
    <mergeCell ref="H296:L296"/>
    <mergeCell ref="H297:L297"/>
    <mergeCell ref="H298:L298"/>
    <mergeCell ref="H299:L299"/>
    <mergeCell ref="H318:L318"/>
    <mergeCell ref="H319:L319"/>
    <mergeCell ref="H320:L320"/>
    <mergeCell ref="H321:L321"/>
    <mergeCell ref="H322:L322"/>
    <mergeCell ref="H323:L323"/>
    <mergeCell ref="H324:L324"/>
    <mergeCell ref="H325:L325"/>
    <mergeCell ref="H326:L326"/>
    <mergeCell ref="H309:L309"/>
    <mergeCell ref="H310:L310"/>
    <mergeCell ref="H311:L311"/>
    <mergeCell ref="H312:L312"/>
    <mergeCell ref="H313:L313"/>
    <mergeCell ref="H314:L314"/>
    <mergeCell ref="H315:L315"/>
    <mergeCell ref="H316:L316"/>
    <mergeCell ref="H317:L317"/>
    <mergeCell ref="H336:L336"/>
    <mergeCell ref="H337:L337"/>
    <mergeCell ref="H338:L338"/>
    <mergeCell ref="H339:L339"/>
    <mergeCell ref="H340:L340"/>
    <mergeCell ref="H341:L341"/>
    <mergeCell ref="H342:L342"/>
    <mergeCell ref="H343:L343"/>
    <mergeCell ref="H344:L344"/>
    <mergeCell ref="H327:L327"/>
    <mergeCell ref="H328:L328"/>
    <mergeCell ref="H329:L329"/>
    <mergeCell ref="H330:L330"/>
    <mergeCell ref="H331:L331"/>
    <mergeCell ref="H332:L332"/>
    <mergeCell ref="H333:L333"/>
    <mergeCell ref="H334:L334"/>
    <mergeCell ref="H335:L335"/>
    <mergeCell ref="H354:L354"/>
    <mergeCell ref="H355:L355"/>
    <mergeCell ref="H356:L356"/>
    <mergeCell ref="H357:L357"/>
    <mergeCell ref="H358:L358"/>
    <mergeCell ref="H359:L359"/>
    <mergeCell ref="H360:L360"/>
    <mergeCell ref="H361:L361"/>
    <mergeCell ref="H362:L362"/>
    <mergeCell ref="H345:L345"/>
    <mergeCell ref="H346:L346"/>
    <mergeCell ref="H347:L347"/>
    <mergeCell ref="H348:L348"/>
    <mergeCell ref="H349:L349"/>
    <mergeCell ref="H350:L350"/>
    <mergeCell ref="H351:L351"/>
    <mergeCell ref="H352:L352"/>
    <mergeCell ref="H353:L353"/>
    <mergeCell ref="H389:L389"/>
    <mergeCell ref="H372:L372"/>
    <mergeCell ref="H373:L373"/>
    <mergeCell ref="H374:L374"/>
    <mergeCell ref="H375:L375"/>
    <mergeCell ref="H376:L376"/>
    <mergeCell ref="H377:L377"/>
    <mergeCell ref="H378:L378"/>
    <mergeCell ref="H379:L379"/>
    <mergeCell ref="H380:L380"/>
    <mergeCell ref="H363:L363"/>
    <mergeCell ref="H364:L364"/>
    <mergeCell ref="H365:L365"/>
    <mergeCell ref="H366:L366"/>
    <mergeCell ref="H367:L367"/>
    <mergeCell ref="H368:L368"/>
    <mergeCell ref="H369:L369"/>
    <mergeCell ref="H370:L370"/>
    <mergeCell ref="H371:L371"/>
    <mergeCell ref="H390:L390"/>
    <mergeCell ref="H391:L391"/>
    <mergeCell ref="H392:L392"/>
    <mergeCell ref="H393:L393"/>
    <mergeCell ref="M29:Q29"/>
    <mergeCell ref="M30:Q30"/>
    <mergeCell ref="M33:Q33"/>
    <mergeCell ref="M34:Q34"/>
    <mergeCell ref="M35:Q35"/>
    <mergeCell ref="M36:Q36"/>
    <mergeCell ref="M37:Q37"/>
    <mergeCell ref="M38:Q38"/>
    <mergeCell ref="M39:Q39"/>
    <mergeCell ref="M40:Q40"/>
    <mergeCell ref="M41:Q41"/>
    <mergeCell ref="M42:Q42"/>
    <mergeCell ref="M43:Q43"/>
    <mergeCell ref="M44:Q44"/>
    <mergeCell ref="M45:Q45"/>
    <mergeCell ref="M46:Q46"/>
    <mergeCell ref="M47:Q47"/>
    <mergeCell ref="M48:Q48"/>
    <mergeCell ref="M49:Q49"/>
    <mergeCell ref="M50:Q50"/>
    <mergeCell ref="H381:L381"/>
    <mergeCell ref="H382:L382"/>
    <mergeCell ref="H383:L383"/>
    <mergeCell ref="H384:L384"/>
    <mergeCell ref="H385:L385"/>
    <mergeCell ref="H386:L386"/>
    <mergeCell ref="H387:L387"/>
    <mergeCell ref="H388:L388"/>
    <mergeCell ref="M60:Q60"/>
    <mergeCell ref="M61:Q61"/>
    <mergeCell ref="M62:Q62"/>
    <mergeCell ref="M63:Q63"/>
    <mergeCell ref="M64:Q64"/>
    <mergeCell ref="M65:Q65"/>
    <mergeCell ref="M66:Q66"/>
    <mergeCell ref="M67:Q67"/>
    <mergeCell ref="M68:Q68"/>
    <mergeCell ref="M51:Q51"/>
    <mergeCell ref="M52:Q52"/>
    <mergeCell ref="M53:Q53"/>
    <mergeCell ref="M54:Q54"/>
    <mergeCell ref="M55:Q55"/>
    <mergeCell ref="M56:Q56"/>
    <mergeCell ref="M57:Q57"/>
    <mergeCell ref="M58:Q58"/>
    <mergeCell ref="M59:Q59"/>
    <mergeCell ref="M78:Q78"/>
    <mergeCell ref="M79:Q79"/>
    <mergeCell ref="M80:Q80"/>
    <mergeCell ref="M81:Q81"/>
    <mergeCell ref="M82:Q82"/>
    <mergeCell ref="M83:Q83"/>
    <mergeCell ref="M84:Q84"/>
    <mergeCell ref="M85:Q85"/>
    <mergeCell ref="M86:Q86"/>
    <mergeCell ref="M69:Q69"/>
    <mergeCell ref="M70:Q70"/>
    <mergeCell ref="M71:Q71"/>
    <mergeCell ref="M72:Q72"/>
    <mergeCell ref="M73:Q73"/>
    <mergeCell ref="M74:Q74"/>
    <mergeCell ref="M75:Q75"/>
    <mergeCell ref="M76:Q76"/>
    <mergeCell ref="M77:Q77"/>
    <mergeCell ref="M96:Q96"/>
    <mergeCell ref="M97:Q97"/>
    <mergeCell ref="M98:Q98"/>
    <mergeCell ref="M99:Q99"/>
    <mergeCell ref="M100:Q100"/>
    <mergeCell ref="M101:Q101"/>
    <mergeCell ref="M102:Q102"/>
    <mergeCell ref="M103:Q103"/>
    <mergeCell ref="M104:Q104"/>
    <mergeCell ref="M87:Q87"/>
    <mergeCell ref="M88:Q88"/>
    <mergeCell ref="M89:Q89"/>
    <mergeCell ref="M90:Q90"/>
    <mergeCell ref="M91:Q91"/>
    <mergeCell ref="M92:Q92"/>
    <mergeCell ref="M93:Q93"/>
    <mergeCell ref="M94:Q94"/>
    <mergeCell ref="M95:Q95"/>
    <mergeCell ref="M114:Q114"/>
    <mergeCell ref="M115:Q115"/>
    <mergeCell ref="M116:Q116"/>
    <mergeCell ref="M117:Q117"/>
    <mergeCell ref="M118:Q118"/>
    <mergeCell ref="M119:Q119"/>
    <mergeCell ref="M120:Q120"/>
    <mergeCell ref="M121:Q121"/>
    <mergeCell ref="M122:Q122"/>
    <mergeCell ref="M105:Q105"/>
    <mergeCell ref="M106:Q106"/>
    <mergeCell ref="M107:Q107"/>
    <mergeCell ref="M108:Q108"/>
    <mergeCell ref="M109:Q109"/>
    <mergeCell ref="M110:Q110"/>
    <mergeCell ref="M111:Q111"/>
    <mergeCell ref="M112:Q112"/>
    <mergeCell ref="M113:Q113"/>
    <mergeCell ref="M132:Q132"/>
    <mergeCell ref="M133:Q133"/>
    <mergeCell ref="M134:Q134"/>
    <mergeCell ref="M135:Q135"/>
    <mergeCell ref="M136:Q136"/>
    <mergeCell ref="M137:Q137"/>
    <mergeCell ref="M138:Q138"/>
    <mergeCell ref="M139:Q139"/>
    <mergeCell ref="M140:Q140"/>
    <mergeCell ref="M123:Q123"/>
    <mergeCell ref="M124:Q124"/>
    <mergeCell ref="M125:Q125"/>
    <mergeCell ref="M126:Q126"/>
    <mergeCell ref="M127:Q127"/>
    <mergeCell ref="M128:Q128"/>
    <mergeCell ref="M129:Q129"/>
    <mergeCell ref="M130:Q130"/>
    <mergeCell ref="M131:Q131"/>
    <mergeCell ref="M150:Q150"/>
    <mergeCell ref="M151:Q151"/>
    <mergeCell ref="M152:Q152"/>
    <mergeCell ref="M153:Q153"/>
    <mergeCell ref="M154:Q154"/>
    <mergeCell ref="M155:Q155"/>
    <mergeCell ref="M156:Q156"/>
    <mergeCell ref="M157:Q157"/>
    <mergeCell ref="M158:Q158"/>
    <mergeCell ref="M141:Q141"/>
    <mergeCell ref="M142:Q142"/>
    <mergeCell ref="M143:Q143"/>
    <mergeCell ref="M144:Q144"/>
    <mergeCell ref="M145:Q145"/>
    <mergeCell ref="M146:Q146"/>
    <mergeCell ref="M147:Q147"/>
    <mergeCell ref="M148:Q148"/>
    <mergeCell ref="M149:Q149"/>
    <mergeCell ref="M168:Q168"/>
    <mergeCell ref="M169:Q169"/>
    <mergeCell ref="M170:Q170"/>
    <mergeCell ref="M171:Q171"/>
    <mergeCell ref="M172:Q172"/>
    <mergeCell ref="M173:Q173"/>
    <mergeCell ref="M174:Q174"/>
    <mergeCell ref="M175:Q175"/>
    <mergeCell ref="M176:Q176"/>
    <mergeCell ref="M159:Q159"/>
    <mergeCell ref="M160:Q160"/>
    <mergeCell ref="M161:Q161"/>
    <mergeCell ref="M162:Q162"/>
    <mergeCell ref="M163:Q163"/>
    <mergeCell ref="M164:Q164"/>
    <mergeCell ref="M165:Q165"/>
    <mergeCell ref="M166:Q166"/>
    <mergeCell ref="M167:Q167"/>
    <mergeCell ref="M186:Q186"/>
    <mergeCell ref="M187:Q187"/>
    <mergeCell ref="M188:Q188"/>
    <mergeCell ref="M189:Q189"/>
    <mergeCell ref="M190:Q190"/>
    <mergeCell ref="M191:Q191"/>
    <mergeCell ref="M192:Q192"/>
    <mergeCell ref="M193:Q193"/>
    <mergeCell ref="M194:Q194"/>
    <mergeCell ref="M177:Q177"/>
    <mergeCell ref="M178:Q178"/>
    <mergeCell ref="M179:Q179"/>
    <mergeCell ref="M180:Q180"/>
    <mergeCell ref="M181:Q181"/>
    <mergeCell ref="M182:Q182"/>
    <mergeCell ref="M183:Q183"/>
    <mergeCell ref="M184:Q184"/>
    <mergeCell ref="M185:Q185"/>
    <mergeCell ref="M204:Q204"/>
    <mergeCell ref="M205:Q205"/>
    <mergeCell ref="M206:Q206"/>
    <mergeCell ref="M207:Q207"/>
    <mergeCell ref="M208:Q208"/>
    <mergeCell ref="M209:Q209"/>
    <mergeCell ref="M210:Q210"/>
    <mergeCell ref="M211:Q211"/>
    <mergeCell ref="M212:Q212"/>
    <mergeCell ref="M195:Q195"/>
    <mergeCell ref="M196:Q196"/>
    <mergeCell ref="M197:Q197"/>
    <mergeCell ref="M198:Q198"/>
    <mergeCell ref="M199:Q199"/>
    <mergeCell ref="M200:Q200"/>
    <mergeCell ref="M201:Q201"/>
    <mergeCell ref="M202:Q202"/>
    <mergeCell ref="M203:Q203"/>
    <mergeCell ref="M222:Q222"/>
    <mergeCell ref="M223:Q223"/>
    <mergeCell ref="M224:Q224"/>
    <mergeCell ref="M225:Q225"/>
    <mergeCell ref="M226:Q226"/>
    <mergeCell ref="M227:Q227"/>
    <mergeCell ref="M228:Q228"/>
    <mergeCell ref="M229:Q229"/>
    <mergeCell ref="M230:Q230"/>
    <mergeCell ref="M213:Q213"/>
    <mergeCell ref="M214:Q214"/>
    <mergeCell ref="M215:Q215"/>
    <mergeCell ref="M216:Q216"/>
    <mergeCell ref="M217:Q217"/>
    <mergeCell ref="M218:Q218"/>
    <mergeCell ref="M219:Q219"/>
    <mergeCell ref="M220:Q220"/>
    <mergeCell ref="M221:Q221"/>
    <mergeCell ref="M240:Q240"/>
    <mergeCell ref="M241:Q241"/>
    <mergeCell ref="M242:Q242"/>
    <mergeCell ref="M243:Q243"/>
    <mergeCell ref="M244:Q244"/>
    <mergeCell ref="M245:Q245"/>
    <mergeCell ref="M246:Q246"/>
    <mergeCell ref="M247:Q247"/>
    <mergeCell ref="M248:Q248"/>
    <mergeCell ref="M231:Q231"/>
    <mergeCell ref="M232:Q232"/>
    <mergeCell ref="M233:Q233"/>
    <mergeCell ref="M234:Q234"/>
    <mergeCell ref="M235:Q235"/>
    <mergeCell ref="M236:Q236"/>
    <mergeCell ref="M237:Q237"/>
    <mergeCell ref="M238:Q238"/>
    <mergeCell ref="M239:Q239"/>
    <mergeCell ref="M258:Q258"/>
    <mergeCell ref="M259:Q259"/>
    <mergeCell ref="M260:Q260"/>
    <mergeCell ref="M261:Q261"/>
    <mergeCell ref="M262:Q262"/>
    <mergeCell ref="M263:Q263"/>
    <mergeCell ref="M264:Q264"/>
    <mergeCell ref="M265:Q265"/>
    <mergeCell ref="M266:Q266"/>
    <mergeCell ref="M249:Q249"/>
    <mergeCell ref="M250:Q250"/>
    <mergeCell ref="M251:Q251"/>
    <mergeCell ref="M252:Q252"/>
    <mergeCell ref="M253:Q253"/>
    <mergeCell ref="M254:Q254"/>
    <mergeCell ref="M255:Q255"/>
    <mergeCell ref="M256:Q256"/>
    <mergeCell ref="M257:Q257"/>
    <mergeCell ref="M276:Q276"/>
    <mergeCell ref="M277:Q277"/>
    <mergeCell ref="M278:Q278"/>
    <mergeCell ref="M279:Q279"/>
    <mergeCell ref="M280:Q280"/>
    <mergeCell ref="M281:Q281"/>
    <mergeCell ref="M282:Q282"/>
    <mergeCell ref="M283:Q283"/>
    <mergeCell ref="M284:Q284"/>
    <mergeCell ref="M267:Q267"/>
    <mergeCell ref="M268:Q268"/>
    <mergeCell ref="M269:Q269"/>
    <mergeCell ref="M270:Q270"/>
    <mergeCell ref="M271:Q271"/>
    <mergeCell ref="M272:Q272"/>
    <mergeCell ref="M273:Q273"/>
    <mergeCell ref="M274:Q274"/>
    <mergeCell ref="M275:Q275"/>
    <mergeCell ref="M294:Q294"/>
    <mergeCell ref="M295:Q295"/>
    <mergeCell ref="M296:Q296"/>
    <mergeCell ref="M297:Q297"/>
    <mergeCell ref="M298:Q298"/>
    <mergeCell ref="M299:Q299"/>
    <mergeCell ref="M300:Q300"/>
    <mergeCell ref="M301:Q301"/>
    <mergeCell ref="M302:Q302"/>
    <mergeCell ref="M285:Q285"/>
    <mergeCell ref="M286:Q286"/>
    <mergeCell ref="M287:Q287"/>
    <mergeCell ref="M288:Q288"/>
    <mergeCell ref="M289:Q289"/>
    <mergeCell ref="M290:Q290"/>
    <mergeCell ref="M291:Q291"/>
    <mergeCell ref="M292:Q292"/>
    <mergeCell ref="M293:Q293"/>
    <mergeCell ref="M312:Q312"/>
    <mergeCell ref="M313:Q313"/>
    <mergeCell ref="M314:Q314"/>
    <mergeCell ref="M315:Q315"/>
    <mergeCell ref="M316:Q316"/>
    <mergeCell ref="M317:Q317"/>
    <mergeCell ref="M318:Q318"/>
    <mergeCell ref="M319:Q319"/>
    <mergeCell ref="M320:Q320"/>
    <mergeCell ref="M303:Q303"/>
    <mergeCell ref="M304:Q304"/>
    <mergeCell ref="M305:Q305"/>
    <mergeCell ref="M306:Q306"/>
    <mergeCell ref="M307:Q307"/>
    <mergeCell ref="M308:Q308"/>
    <mergeCell ref="M309:Q309"/>
    <mergeCell ref="M310:Q310"/>
    <mergeCell ref="M311:Q311"/>
    <mergeCell ref="M330:Q330"/>
    <mergeCell ref="M331:Q331"/>
    <mergeCell ref="M332:Q332"/>
    <mergeCell ref="M333:Q333"/>
    <mergeCell ref="M334:Q334"/>
    <mergeCell ref="M335:Q335"/>
    <mergeCell ref="M336:Q336"/>
    <mergeCell ref="M337:Q337"/>
    <mergeCell ref="M338:Q338"/>
    <mergeCell ref="M321:Q321"/>
    <mergeCell ref="M322:Q322"/>
    <mergeCell ref="M323:Q323"/>
    <mergeCell ref="M324:Q324"/>
    <mergeCell ref="M325:Q325"/>
    <mergeCell ref="M326:Q326"/>
    <mergeCell ref="M327:Q327"/>
    <mergeCell ref="M328:Q328"/>
    <mergeCell ref="M329:Q329"/>
    <mergeCell ref="M348:Q348"/>
    <mergeCell ref="M349:Q349"/>
    <mergeCell ref="M350:Q350"/>
    <mergeCell ref="M351:Q351"/>
    <mergeCell ref="M352:Q352"/>
    <mergeCell ref="M353:Q353"/>
    <mergeCell ref="M354:Q354"/>
    <mergeCell ref="M355:Q355"/>
    <mergeCell ref="M356:Q356"/>
    <mergeCell ref="M339:Q339"/>
    <mergeCell ref="M340:Q340"/>
    <mergeCell ref="M341:Q341"/>
    <mergeCell ref="M342:Q342"/>
    <mergeCell ref="M343:Q343"/>
    <mergeCell ref="M344:Q344"/>
    <mergeCell ref="M345:Q345"/>
    <mergeCell ref="M346:Q346"/>
    <mergeCell ref="M347:Q347"/>
    <mergeCell ref="M366:Q366"/>
    <mergeCell ref="M367:Q367"/>
    <mergeCell ref="M368:Q368"/>
    <mergeCell ref="M369:Q369"/>
    <mergeCell ref="M370:Q370"/>
    <mergeCell ref="M371:Q371"/>
    <mergeCell ref="M372:Q372"/>
    <mergeCell ref="M373:Q373"/>
    <mergeCell ref="M374:Q374"/>
    <mergeCell ref="M357:Q357"/>
    <mergeCell ref="M358:Q358"/>
    <mergeCell ref="M359:Q359"/>
    <mergeCell ref="M360:Q360"/>
    <mergeCell ref="M361:Q361"/>
    <mergeCell ref="M362:Q362"/>
    <mergeCell ref="M363:Q363"/>
    <mergeCell ref="M364:Q364"/>
    <mergeCell ref="M365:Q365"/>
    <mergeCell ref="M384:Q384"/>
    <mergeCell ref="M385:Q385"/>
    <mergeCell ref="M386:Q386"/>
    <mergeCell ref="M387:Q387"/>
    <mergeCell ref="M388:Q388"/>
    <mergeCell ref="M389:Q389"/>
    <mergeCell ref="M390:Q390"/>
    <mergeCell ref="M391:Q391"/>
    <mergeCell ref="M392:Q392"/>
    <mergeCell ref="M375:Q375"/>
    <mergeCell ref="M376:Q376"/>
    <mergeCell ref="M377:Q377"/>
    <mergeCell ref="M378:Q378"/>
    <mergeCell ref="M379:Q379"/>
    <mergeCell ref="M380:Q380"/>
    <mergeCell ref="M381:Q381"/>
    <mergeCell ref="M382:Q382"/>
    <mergeCell ref="M383:Q383"/>
    <mergeCell ref="R54:V54"/>
    <mergeCell ref="R55:V55"/>
    <mergeCell ref="R56:V56"/>
    <mergeCell ref="R57:V57"/>
    <mergeCell ref="R58:V58"/>
    <mergeCell ref="R59:V59"/>
    <mergeCell ref="R60:V60"/>
    <mergeCell ref="R61:V61"/>
    <mergeCell ref="R62:V62"/>
    <mergeCell ref="M393:Q393"/>
    <mergeCell ref="R29:V29"/>
    <mergeCell ref="R30:V30"/>
    <mergeCell ref="R34:V34"/>
    <mergeCell ref="R35:V35"/>
    <mergeCell ref="R36:V36"/>
    <mergeCell ref="R37:V37"/>
    <mergeCell ref="R38:V38"/>
    <mergeCell ref="R39:V39"/>
    <mergeCell ref="R40:V40"/>
    <mergeCell ref="R41:V41"/>
    <mergeCell ref="R42:V42"/>
    <mergeCell ref="R43:V43"/>
    <mergeCell ref="R44:V44"/>
    <mergeCell ref="R45:V45"/>
    <mergeCell ref="R46:V46"/>
    <mergeCell ref="R47:V47"/>
    <mergeCell ref="R48:V48"/>
    <mergeCell ref="R49:V49"/>
    <mergeCell ref="R50:V50"/>
    <mergeCell ref="R51:V51"/>
    <mergeCell ref="R52:V52"/>
    <mergeCell ref="R53:V53"/>
    <mergeCell ref="R72:V72"/>
    <mergeCell ref="R73:V73"/>
    <mergeCell ref="R74:V74"/>
    <mergeCell ref="R75:V75"/>
    <mergeCell ref="R76:V76"/>
    <mergeCell ref="R77:V77"/>
    <mergeCell ref="R78:V78"/>
    <mergeCell ref="R79:V79"/>
    <mergeCell ref="R80:V80"/>
    <mergeCell ref="R63:V63"/>
    <mergeCell ref="R64:V64"/>
    <mergeCell ref="R65:V65"/>
    <mergeCell ref="R66:V66"/>
    <mergeCell ref="R67:V67"/>
    <mergeCell ref="R68:V68"/>
    <mergeCell ref="R69:V69"/>
    <mergeCell ref="R70:V70"/>
    <mergeCell ref="R71:V71"/>
    <mergeCell ref="R90:V90"/>
    <mergeCell ref="R91:V91"/>
    <mergeCell ref="R92:V92"/>
    <mergeCell ref="R93:V93"/>
    <mergeCell ref="R94:V94"/>
    <mergeCell ref="R95:V95"/>
    <mergeCell ref="R96:V96"/>
    <mergeCell ref="R97:V97"/>
    <mergeCell ref="R98:V98"/>
    <mergeCell ref="R81:V81"/>
    <mergeCell ref="R82:V82"/>
    <mergeCell ref="R83:V83"/>
    <mergeCell ref="R84:V84"/>
    <mergeCell ref="R85:V85"/>
    <mergeCell ref="R86:V86"/>
    <mergeCell ref="R87:V87"/>
    <mergeCell ref="R88:V88"/>
    <mergeCell ref="R89:V89"/>
    <mergeCell ref="R108:V108"/>
    <mergeCell ref="R109:V109"/>
    <mergeCell ref="R110:V110"/>
    <mergeCell ref="R111:V111"/>
    <mergeCell ref="R112:V112"/>
    <mergeCell ref="R113:V113"/>
    <mergeCell ref="R114:V114"/>
    <mergeCell ref="R115:V115"/>
    <mergeCell ref="R116:V116"/>
    <mergeCell ref="R99:V99"/>
    <mergeCell ref="R100:V100"/>
    <mergeCell ref="R101:V101"/>
    <mergeCell ref="R102:V102"/>
    <mergeCell ref="R103:V103"/>
    <mergeCell ref="R104:V104"/>
    <mergeCell ref="R105:V105"/>
    <mergeCell ref="R106:V106"/>
    <mergeCell ref="R107:V107"/>
    <mergeCell ref="R126:V126"/>
    <mergeCell ref="R127:V127"/>
    <mergeCell ref="R128:V128"/>
    <mergeCell ref="R129:V129"/>
    <mergeCell ref="R130:V130"/>
    <mergeCell ref="R131:V131"/>
    <mergeCell ref="R132:V132"/>
    <mergeCell ref="R133:V133"/>
    <mergeCell ref="R134:V134"/>
    <mergeCell ref="R117:V117"/>
    <mergeCell ref="R118:V118"/>
    <mergeCell ref="R119:V119"/>
    <mergeCell ref="R120:V120"/>
    <mergeCell ref="R121:V121"/>
    <mergeCell ref="R122:V122"/>
    <mergeCell ref="R123:V123"/>
    <mergeCell ref="R124:V124"/>
    <mergeCell ref="R125:V125"/>
    <mergeCell ref="R144:V144"/>
    <mergeCell ref="R145:V145"/>
    <mergeCell ref="R146:V146"/>
    <mergeCell ref="R147:V147"/>
    <mergeCell ref="R148:V148"/>
    <mergeCell ref="R149:V149"/>
    <mergeCell ref="R150:V150"/>
    <mergeCell ref="R151:V151"/>
    <mergeCell ref="R152:V152"/>
    <mergeCell ref="R135:V135"/>
    <mergeCell ref="R136:V136"/>
    <mergeCell ref="R137:V137"/>
    <mergeCell ref="R138:V138"/>
    <mergeCell ref="R139:V139"/>
    <mergeCell ref="R140:V140"/>
    <mergeCell ref="R141:V141"/>
    <mergeCell ref="R142:V142"/>
    <mergeCell ref="R143:V143"/>
    <mergeCell ref="R162:V162"/>
    <mergeCell ref="R163:V163"/>
    <mergeCell ref="R164:V164"/>
    <mergeCell ref="R165:V165"/>
    <mergeCell ref="R166:V166"/>
    <mergeCell ref="R167:V167"/>
    <mergeCell ref="R168:V168"/>
    <mergeCell ref="R169:V169"/>
    <mergeCell ref="R170:V170"/>
    <mergeCell ref="R153:V153"/>
    <mergeCell ref="R154:V154"/>
    <mergeCell ref="R155:V155"/>
    <mergeCell ref="R156:V156"/>
    <mergeCell ref="R157:V157"/>
    <mergeCell ref="R158:V158"/>
    <mergeCell ref="R159:V159"/>
    <mergeCell ref="R160:V160"/>
    <mergeCell ref="R161:V161"/>
    <mergeCell ref="R180:V180"/>
    <mergeCell ref="R181:V181"/>
    <mergeCell ref="R182:V182"/>
    <mergeCell ref="R183:V183"/>
    <mergeCell ref="R184:V184"/>
    <mergeCell ref="R185:V185"/>
    <mergeCell ref="R186:V186"/>
    <mergeCell ref="R187:V187"/>
    <mergeCell ref="R188:V188"/>
    <mergeCell ref="R171:V171"/>
    <mergeCell ref="R172:V172"/>
    <mergeCell ref="R173:V173"/>
    <mergeCell ref="R174:V174"/>
    <mergeCell ref="R175:V175"/>
    <mergeCell ref="R176:V176"/>
    <mergeCell ref="R177:V177"/>
    <mergeCell ref="R178:V178"/>
    <mergeCell ref="R179:V179"/>
    <mergeCell ref="R198:V198"/>
    <mergeCell ref="R199:V199"/>
    <mergeCell ref="R200:V200"/>
    <mergeCell ref="R201:V201"/>
    <mergeCell ref="R202:V202"/>
    <mergeCell ref="R203:V203"/>
    <mergeCell ref="R204:V204"/>
    <mergeCell ref="R205:V205"/>
    <mergeCell ref="R206:V206"/>
    <mergeCell ref="R189:V189"/>
    <mergeCell ref="R190:V190"/>
    <mergeCell ref="R191:V191"/>
    <mergeCell ref="R192:V192"/>
    <mergeCell ref="R193:V193"/>
    <mergeCell ref="R194:V194"/>
    <mergeCell ref="R195:V195"/>
    <mergeCell ref="R196:V196"/>
    <mergeCell ref="R197:V197"/>
    <mergeCell ref="R216:V216"/>
    <mergeCell ref="R217:V217"/>
    <mergeCell ref="R218:V218"/>
    <mergeCell ref="R219:V219"/>
    <mergeCell ref="R220:V220"/>
    <mergeCell ref="R221:V221"/>
    <mergeCell ref="R222:V222"/>
    <mergeCell ref="R223:V223"/>
    <mergeCell ref="R224:V224"/>
    <mergeCell ref="R207:V207"/>
    <mergeCell ref="R208:V208"/>
    <mergeCell ref="R209:V209"/>
    <mergeCell ref="R210:V210"/>
    <mergeCell ref="R211:V211"/>
    <mergeCell ref="R212:V212"/>
    <mergeCell ref="R213:V213"/>
    <mergeCell ref="R214:V214"/>
    <mergeCell ref="R215:V215"/>
    <mergeCell ref="R234:V234"/>
    <mergeCell ref="R235:V235"/>
    <mergeCell ref="R236:V236"/>
    <mergeCell ref="R237:V237"/>
    <mergeCell ref="R238:V238"/>
    <mergeCell ref="R239:V239"/>
    <mergeCell ref="R240:V240"/>
    <mergeCell ref="R241:V241"/>
    <mergeCell ref="R242:V242"/>
    <mergeCell ref="R225:V225"/>
    <mergeCell ref="R226:V226"/>
    <mergeCell ref="R227:V227"/>
    <mergeCell ref="R228:V228"/>
    <mergeCell ref="R229:V229"/>
    <mergeCell ref="R230:V230"/>
    <mergeCell ref="R231:V231"/>
    <mergeCell ref="R232:V232"/>
    <mergeCell ref="R233:V233"/>
    <mergeCell ref="R252:V252"/>
    <mergeCell ref="R253:V253"/>
    <mergeCell ref="R254:V254"/>
    <mergeCell ref="R255:V255"/>
    <mergeCell ref="R256:V256"/>
    <mergeCell ref="R257:V257"/>
    <mergeCell ref="R258:V258"/>
    <mergeCell ref="R259:V259"/>
    <mergeCell ref="R260:V260"/>
    <mergeCell ref="R243:V243"/>
    <mergeCell ref="R244:V244"/>
    <mergeCell ref="R245:V245"/>
    <mergeCell ref="R246:V246"/>
    <mergeCell ref="R247:V247"/>
    <mergeCell ref="R248:V248"/>
    <mergeCell ref="R249:V249"/>
    <mergeCell ref="R250:V250"/>
    <mergeCell ref="R251:V251"/>
    <mergeCell ref="R270:V270"/>
    <mergeCell ref="R271:V271"/>
    <mergeCell ref="R272:V272"/>
    <mergeCell ref="R273:V273"/>
    <mergeCell ref="R274:V274"/>
    <mergeCell ref="R275:V275"/>
    <mergeCell ref="R276:V276"/>
    <mergeCell ref="R277:V277"/>
    <mergeCell ref="R278:V278"/>
    <mergeCell ref="R261:V261"/>
    <mergeCell ref="R262:V262"/>
    <mergeCell ref="R263:V263"/>
    <mergeCell ref="R264:V264"/>
    <mergeCell ref="R265:V265"/>
    <mergeCell ref="R266:V266"/>
    <mergeCell ref="R267:V267"/>
    <mergeCell ref="R268:V268"/>
    <mergeCell ref="R269:V269"/>
    <mergeCell ref="R288:V288"/>
    <mergeCell ref="R289:V289"/>
    <mergeCell ref="R290:V290"/>
    <mergeCell ref="R291:V291"/>
    <mergeCell ref="R292:V292"/>
    <mergeCell ref="R293:V293"/>
    <mergeCell ref="R294:V294"/>
    <mergeCell ref="R295:V295"/>
    <mergeCell ref="R296:V296"/>
    <mergeCell ref="R279:V279"/>
    <mergeCell ref="R280:V280"/>
    <mergeCell ref="R281:V281"/>
    <mergeCell ref="R282:V282"/>
    <mergeCell ref="R283:V283"/>
    <mergeCell ref="R284:V284"/>
    <mergeCell ref="R285:V285"/>
    <mergeCell ref="R286:V286"/>
    <mergeCell ref="R287:V287"/>
    <mergeCell ref="R306:V306"/>
    <mergeCell ref="R307:V307"/>
    <mergeCell ref="R308:V308"/>
    <mergeCell ref="R309:V309"/>
    <mergeCell ref="R310:V310"/>
    <mergeCell ref="R311:V311"/>
    <mergeCell ref="R312:V312"/>
    <mergeCell ref="R313:V313"/>
    <mergeCell ref="R314:V314"/>
    <mergeCell ref="R297:V297"/>
    <mergeCell ref="R298:V298"/>
    <mergeCell ref="R299:V299"/>
    <mergeCell ref="R300:V300"/>
    <mergeCell ref="R301:V301"/>
    <mergeCell ref="R302:V302"/>
    <mergeCell ref="R303:V303"/>
    <mergeCell ref="R304:V304"/>
    <mergeCell ref="R305:V305"/>
    <mergeCell ref="R324:V324"/>
    <mergeCell ref="R325:V325"/>
    <mergeCell ref="R326:V326"/>
    <mergeCell ref="R327:V327"/>
    <mergeCell ref="R328:V328"/>
    <mergeCell ref="R329:V329"/>
    <mergeCell ref="R330:V330"/>
    <mergeCell ref="R331:V331"/>
    <mergeCell ref="R332:V332"/>
    <mergeCell ref="R315:V315"/>
    <mergeCell ref="R316:V316"/>
    <mergeCell ref="R317:V317"/>
    <mergeCell ref="R318:V318"/>
    <mergeCell ref="R319:V319"/>
    <mergeCell ref="R320:V320"/>
    <mergeCell ref="R321:V321"/>
    <mergeCell ref="R322:V322"/>
    <mergeCell ref="R323:V323"/>
    <mergeCell ref="R355:V355"/>
    <mergeCell ref="R356:V356"/>
    <mergeCell ref="R357:V357"/>
    <mergeCell ref="R358:V358"/>
    <mergeCell ref="R359:V359"/>
    <mergeCell ref="R342:V342"/>
    <mergeCell ref="R343:V343"/>
    <mergeCell ref="R344:V344"/>
    <mergeCell ref="R345:V345"/>
    <mergeCell ref="R346:V346"/>
    <mergeCell ref="R347:V347"/>
    <mergeCell ref="R348:V348"/>
    <mergeCell ref="R349:V349"/>
    <mergeCell ref="R350:V350"/>
    <mergeCell ref="R333:V333"/>
    <mergeCell ref="R334:V334"/>
    <mergeCell ref="R335:V335"/>
    <mergeCell ref="R336:V336"/>
    <mergeCell ref="R337:V337"/>
    <mergeCell ref="R338:V338"/>
    <mergeCell ref="R339:V339"/>
    <mergeCell ref="R340:V340"/>
    <mergeCell ref="R341:V341"/>
    <mergeCell ref="W48:AA48"/>
    <mergeCell ref="R378:V378"/>
    <mergeCell ref="R379:V379"/>
    <mergeCell ref="R380:V380"/>
    <mergeCell ref="R381:V381"/>
    <mergeCell ref="R382:V382"/>
    <mergeCell ref="R383:V383"/>
    <mergeCell ref="R384:V384"/>
    <mergeCell ref="R385:V385"/>
    <mergeCell ref="R386:V386"/>
    <mergeCell ref="R369:V369"/>
    <mergeCell ref="R370:V370"/>
    <mergeCell ref="R371:V371"/>
    <mergeCell ref="R372:V372"/>
    <mergeCell ref="R373:V373"/>
    <mergeCell ref="R374:V374"/>
    <mergeCell ref="R375:V375"/>
    <mergeCell ref="R376:V376"/>
    <mergeCell ref="R377:V377"/>
    <mergeCell ref="R360:V360"/>
    <mergeCell ref="R361:V361"/>
    <mergeCell ref="R362:V362"/>
    <mergeCell ref="R363:V363"/>
    <mergeCell ref="R364:V364"/>
    <mergeCell ref="R365:V365"/>
    <mergeCell ref="R366:V366"/>
    <mergeCell ref="R367:V367"/>
    <mergeCell ref="R368:V368"/>
    <mergeCell ref="R351:V351"/>
    <mergeCell ref="R352:V352"/>
    <mergeCell ref="R353:V353"/>
    <mergeCell ref="R354:V354"/>
    <mergeCell ref="W49:AA49"/>
    <mergeCell ref="W50:AA50"/>
    <mergeCell ref="W51:AA51"/>
    <mergeCell ref="W52:AA52"/>
    <mergeCell ref="W53:AA53"/>
    <mergeCell ref="W54:AA54"/>
    <mergeCell ref="W55:AA55"/>
    <mergeCell ref="W56:AA56"/>
    <mergeCell ref="W57:AA57"/>
    <mergeCell ref="R387:V387"/>
    <mergeCell ref="R388:V388"/>
    <mergeCell ref="R389:V389"/>
    <mergeCell ref="R390:V390"/>
    <mergeCell ref="R391:V391"/>
    <mergeCell ref="R392:V392"/>
    <mergeCell ref="R393:V393"/>
    <mergeCell ref="W29:AA29"/>
    <mergeCell ref="W30:AA30"/>
    <mergeCell ref="W34:AA34"/>
    <mergeCell ref="W35:AA35"/>
    <mergeCell ref="W36:AA36"/>
    <mergeCell ref="W37:AA37"/>
    <mergeCell ref="W38:AA38"/>
    <mergeCell ref="W39:AA39"/>
    <mergeCell ref="W40:AA40"/>
    <mergeCell ref="W41:AA41"/>
    <mergeCell ref="W42:AA42"/>
    <mergeCell ref="W43:AA43"/>
    <mergeCell ref="W44:AA44"/>
    <mergeCell ref="W45:AA45"/>
    <mergeCell ref="W46:AA46"/>
    <mergeCell ref="W47:AA47"/>
    <mergeCell ref="W67:AA67"/>
    <mergeCell ref="W68:AA68"/>
    <mergeCell ref="W69:AA69"/>
    <mergeCell ref="W70:AA70"/>
    <mergeCell ref="W71:AA71"/>
    <mergeCell ref="W72:AA72"/>
    <mergeCell ref="W73:AA73"/>
    <mergeCell ref="W74:AA74"/>
    <mergeCell ref="W75:AA75"/>
    <mergeCell ref="W58:AA58"/>
    <mergeCell ref="W59:AA59"/>
    <mergeCell ref="W60:AA60"/>
    <mergeCell ref="W61:AA61"/>
    <mergeCell ref="W62:AA62"/>
    <mergeCell ref="W63:AA63"/>
    <mergeCell ref="W64:AA64"/>
    <mergeCell ref="W65:AA65"/>
    <mergeCell ref="W66:AA66"/>
    <mergeCell ref="W85:AA85"/>
    <mergeCell ref="W86:AA86"/>
    <mergeCell ref="W87:AA87"/>
    <mergeCell ref="W88:AA88"/>
    <mergeCell ref="W89:AA89"/>
    <mergeCell ref="W90:AA90"/>
    <mergeCell ref="W91:AA91"/>
    <mergeCell ref="W92:AA92"/>
    <mergeCell ref="W93:AA93"/>
    <mergeCell ref="W76:AA76"/>
    <mergeCell ref="W77:AA77"/>
    <mergeCell ref="W78:AA78"/>
    <mergeCell ref="W79:AA79"/>
    <mergeCell ref="W80:AA80"/>
    <mergeCell ref="W81:AA81"/>
    <mergeCell ref="W82:AA82"/>
    <mergeCell ref="W83:AA83"/>
    <mergeCell ref="W84:AA84"/>
    <mergeCell ref="W103:AA103"/>
    <mergeCell ref="W104:AA104"/>
    <mergeCell ref="W105:AA105"/>
    <mergeCell ref="W106:AA106"/>
    <mergeCell ref="W107:AA107"/>
    <mergeCell ref="W108:AA108"/>
    <mergeCell ref="W109:AA109"/>
    <mergeCell ref="W110:AA110"/>
    <mergeCell ref="W111:AA111"/>
    <mergeCell ref="W94:AA94"/>
    <mergeCell ref="W95:AA95"/>
    <mergeCell ref="W96:AA96"/>
    <mergeCell ref="W97:AA97"/>
    <mergeCell ref="W98:AA98"/>
    <mergeCell ref="W99:AA99"/>
    <mergeCell ref="W100:AA100"/>
    <mergeCell ref="W101:AA101"/>
    <mergeCell ref="W102:AA102"/>
    <mergeCell ref="W121:AA121"/>
    <mergeCell ref="W122:AA122"/>
    <mergeCell ref="W123:AA123"/>
    <mergeCell ref="W124:AA124"/>
    <mergeCell ref="W125:AA125"/>
    <mergeCell ref="W126:AA126"/>
    <mergeCell ref="W127:AA127"/>
    <mergeCell ref="W128:AA128"/>
    <mergeCell ref="W129:AA129"/>
    <mergeCell ref="W112:AA112"/>
    <mergeCell ref="W113:AA113"/>
    <mergeCell ref="W114:AA114"/>
    <mergeCell ref="W115:AA115"/>
    <mergeCell ref="W116:AA116"/>
    <mergeCell ref="W117:AA117"/>
    <mergeCell ref="W118:AA118"/>
    <mergeCell ref="W119:AA119"/>
    <mergeCell ref="W120:AA120"/>
    <mergeCell ref="W139:AA139"/>
    <mergeCell ref="W140:AA140"/>
    <mergeCell ref="W141:AA141"/>
    <mergeCell ref="W142:AA142"/>
    <mergeCell ref="W143:AA143"/>
    <mergeCell ref="W144:AA144"/>
    <mergeCell ref="W145:AA145"/>
    <mergeCell ref="W146:AA146"/>
    <mergeCell ref="W147:AA147"/>
    <mergeCell ref="W130:AA130"/>
    <mergeCell ref="W131:AA131"/>
    <mergeCell ref="W132:AA132"/>
    <mergeCell ref="W133:AA133"/>
    <mergeCell ref="W134:AA134"/>
    <mergeCell ref="W135:AA135"/>
    <mergeCell ref="W136:AA136"/>
    <mergeCell ref="W137:AA137"/>
    <mergeCell ref="W138:AA138"/>
    <mergeCell ref="W157:AA157"/>
    <mergeCell ref="W158:AA158"/>
    <mergeCell ref="W159:AA159"/>
    <mergeCell ref="W160:AA160"/>
    <mergeCell ref="W161:AA161"/>
    <mergeCell ref="W162:AA162"/>
    <mergeCell ref="W163:AA163"/>
    <mergeCell ref="W164:AA164"/>
    <mergeCell ref="W165:AA165"/>
    <mergeCell ref="W148:AA148"/>
    <mergeCell ref="W149:AA149"/>
    <mergeCell ref="W150:AA150"/>
    <mergeCell ref="W151:AA151"/>
    <mergeCell ref="W152:AA152"/>
    <mergeCell ref="W153:AA153"/>
    <mergeCell ref="W154:AA154"/>
    <mergeCell ref="W155:AA155"/>
    <mergeCell ref="W156:AA156"/>
    <mergeCell ref="W175:AA175"/>
    <mergeCell ref="W176:AA176"/>
    <mergeCell ref="W177:AA177"/>
    <mergeCell ref="W178:AA178"/>
    <mergeCell ref="W179:AA179"/>
    <mergeCell ref="W180:AA180"/>
    <mergeCell ref="W181:AA181"/>
    <mergeCell ref="W182:AA182"/>
    <mergeCell ref="W183:AA183"/>
    <mergeCell ref="W166:AA166"/>
    <mergeCell ref="W167:AA167"/>
    <mergeCell ref="W168:AA168"/>
    <mergeCell ref="W169:AA169"/>
    <mergeCell ref="W170:AA170"/>
    <mergeCell ref="W171:AA171"/>
    <mergeCell ref="W172:AA172"/>
    <mergeCell ref="W173:AA173"/>
    <mergeCell ref="W174:AA174"/>
    <mergeCell ref="W193:AA193"/>
    <mergeCell ref="W194:AA194"/>
    <mergeCell ref="W195:AA195"/>
    <mergeCell ref="W196:AA196"/>
    <mergeCell ref="W197:AA197"/>
    <mergeCell ref="W198:AA198"/>
    <mergeCell ref="W199:AA199"/>
    <mergeCell ref="W200:AA200"/>
    <mergeCell ref="W201:AA201"/>
    <mergeCell ref="W184:AA184"/>
    <mergeCell ref="W185:AA185"/>
    <mergeCell ref="W186:AA186"/>
    <mergeCell ref="W187:AA187"/>
    <mergeCell ref="W188:AA188"/>
    <mergeCell ref="W189:AA189"/>
    <mergeCell ref="W190:AA190"/>
    <mergeCell ref="W191:AA191"/>
    <mergeCell ref="W192:AA192"/>
    <mergeCell ref="W211:AA211"/>
    <mergeCell ref="W212:AA212"/>
    <mergeCell ref="W213:AA213"/>
    <mergeCell ref="W214:AA214"/>
    <mergeCell ref="W215:AA215"/>
    <mergeCell ref="W216:AA216"/>
    <mergeCell ref="W217:AA217"/>
    <mergeCell ref="W218:AA218"/>
    <mergeCell ref="W219:AA219"/>
    <mergeCell ref="W202:AA202"/>
    <mergeCell ref="W203:AA203"/>
    <mergeCell ref="W204:AA204"/>
    <mergeCell ref="W205:AA205"/>
    <mergeCell ref="W206:AA206"/>
    <mergeCell ref="W207:AA207"/>
    <mergeCell ref="W208:AA208"/>
    <mergeCell ref="W209:AA209"/>
    <mergeCell ref="W210:AA210"/>
    <mergeCell ref="W229:AA229"/>
    <mergeCell ref="W230:AA230"/>
    <mergeCell ref="W231:AA231"/>
    <mergeCell ref="W232:AA232"/>
    <mergeCell ref="W233:AA233"/>
    <mergeCell ref="W234:AA234"/>
    <mergeCell ref="W235:AA235"/>
    <mergeCell ref="W236:AA236"/>
    <mergeCell ref="W237:AA237"/>
    <mergeCell ref="W220:AA220"/>
    <mergeCell ref="W221:AA221"/>
    <mergeCell ref="W222:AA222"/>
    <mergeCell ref="W223:AA223"/>
    <mergeCell ref="W224:AA224"/>
    <mergeCell ref="W225:AA225"/>
    <mergeCell ref="W226:AA226"/>
    <mergeCell ref="W227:AA227"/>
    <mergeCell ref="W228:AA228"/>
    <mergeCell ref="W247:AA247"/>
    <mergeCell ref="W248:AA248"/>
    <mergeCell ref="W249:AA249"/>
    <mergeCell ref="W250:AA250"/>
    <mergeCell ref="W251:AA251"/>
    <mergeCell ref="W252:AA252"/>
    <mergeCell ref="W253:AA253"/>
    <mergeCell ref="W254:AA254"/>
    <mergeCell ref="W255:AA255"/>
    <mergeCell ref="W238:AA238"/>
    <mergeCell ref="W239:AA239"/>
    <mergeCell ref="W240:AA240"/>
    <mergeCell ref="W241:AA241"/>
    <mergeCell ref="W242:AA242"/>
    <mergeCell ref="W243:AA243"/>
    <mergeCell ref="W244:AA244"/>
    <mergeCell ref="W245:AA245"/>
    <mergeCell ref="W246:AA246"/>
    <mergeCell ref="W265:AA265"/>
    <mergeCell ref="W266:AA266"/>
    <mergeCell ref="W267:AA267"/>
    <mergeCell ref="W268:AA268"/>
    <mergeCell ref="W269:AA269"/>
    <mergeCell ref="W270:AA270"/>
    <mergeCell ref="W271:AA271"/>
    <mergeCell ref="W272:AA272"/>
    <mergeCell ref="W273:AA273"/>
    <mergeCell ref="W256:AA256"/>
    <mergeCell ref="W257:AA257"/>
    <mergeCell ref="W258:AA258"/>
    <mergeCell ref="W259:AA259"/>
    <mergeCell ref="W260:AA260"/>
    <mergeCell ref="W261:AA261"/>
    <mergeCell ref="W262:AA262"/>
    <mergeCell ref="W263:AA263"/>
    <mergeCell ref="W264:AA264"/>
    <mergeCell ref="W283:AA283"/>
    <mergeCell ref="W284:AA284"/>
    <mergeCell ref="W285:AA285"/>
    <mergeCell ref="W286:AA286"/>
    <mergeCell ref="W287:AA287"/>
    <mergeCell ref="W288:AA288"/>
    <mergeCell ref="W289:AA289"/>
    <mergeCell ref="W290:AA290"/>
    <mergeCell ref="W291:AA291"/>
    <mergeCell ref="W274:AA274"/>
    <mergeCell ref="W275:AA275"/>
    <mergeCell ref="W276:AA276"/>
    <mergeCell ref="W277:AA277"/>
    <mergeCell ref="W278:AA278"/>
    <mergeCell ref="W279:AA279"/>
    <mergeCell ref="W280:AA280"/>
    <mergeCell ref="W281:AA281"/>
    <mergeCell ref="W282:AA282"/>
    <mergeCell ref="W301:AA301"/>
    <mergeCell ref="W302:AA302"/>
    <mergeCell ref="W303:AA303"/>
    <mergeCell ref="W304:AA304"/>
    <mergeCell ref="W305:AA305"/>
    <mergeCell ref="W306:AA306"/>
    <mergeCell ref="W307:AA307"/>
    <mergeCell ref="W308:AA308"/>
    <mergeCell ref="W309:AA309"/>
    <mergeCell ref="W292:AA292"/>
    <mergeCell ref="W293:AA293"/>
    <mergeCell ref="W294:AA294"/>
    <mergeCell ref="W295:AA295"/>
    <mergeCell ref="W296:AA296"/>
    <mergeCell ref="W297:AA297"/>
    <mergeCell ref="W298:AA298"/>
    <mergeCell ref="W299:AA299"/>
    <mergeCell ref="W300:AA300"/>
    <mergeCell ref="W319:AA319"/>
    <mergeCell ref="W320:AA320"/>
    <mergeCell ref="W321:AA321"/>
    <mergeCell ref="W322:AA322"/>
    <mergeCell ref="W323:AA323"/>
    <mergeCell ref="W324:AA324"/>
    <mergeCell ref="W325:AA325"/>
    <mergeCell ref="W326:AA326"/>
    <mergeCell ref="W327:AA327"/>
    <mergeCell ref="W310:AA310"/>
    <mergeCell ref="W311:AA311"/>
    <mergeCell ref="W312:AA312"/>
    <mergeCell ref="W313:AA313"/>
    <mergeCell ref="W314:AA314"/>
    <mergeCell ref="W315:AA315"/>
    <mergeCell ref="W316:AA316"/>
    <mergeCell ref="W317:AA317"/>
    <mergeCell ref="W318:AA318"/>
    <mergeCell ref="W337:AA337"/>
    <mergeCell ref="W338:AA338"/>
    <mergeCell ref="W339:AA339"/>
    <mergeCell ref="W340:AA340"/>
    <mergeCell ref="W341:AA341"/>
    <mergeCell ref="W342:AA342"/>
    <mergeCell ref="W343:AA343"/>
    <mergeCell ref="W344:AA344"/>
    <mergeCell ref="W345:AA345"/>
    <mergeCell ref="W328:AA328"/>
    <mergeCell ref="W329:AA329"/>
    <mergeCell ref="W330:AA330"/>
    <mergeCell ref="W331:AA331"/>
    <mergeCell ref="W332:AA332"/>
    <mergeCell ref="W333:AA333"/>
    <mergeCell ref="W334:AA334"/>
    <mergeCell ref="W335:AA335"/>
    <mergeCell ref="W336:AA336"/>
    <mergeCell ref="W355:AA355"/>
    <mergeCell ref="W356:AA356"/>
    <mergeCell ref="W357:AA357"/>
    <mergeCell ref="W358:AA358"/>
    <mergeCell ref="W359:AA359"/>
    <mergeCell ref="W360:AA360"/>
    <mergeCell ref="W361:AA361"/>
    <mergeCell ref="W362:AA362"/>
    <mergeCell ref="W363:AA363"/>
    <mergeCell ref="W346:AA346"/>
    <mergeCell ref="W347:AA347"/>
    <mergeCell ref="W348:AA348"/>
    <mergeCell ref="W349:AA349"/>
    <mergeCell ref="W350:AA350"/>
    <mergeCell ref="W351:AA351"/>
    <mergeCell ref="W352:AA352"/>
    <mergeCell ref="W353:AA353"/>
    <mergeCell ref="W354:AA354"/>
    <mergeCell ref="W390:AA390"/>
    <mergeCell ref="W373:AA373"/>
    <mergeCell ref="W374:AA374"/>
    <mergeCell ref="W375:AA375"/>
    <mergeCell ref="W376:AA376"/>
    <mergeCell ref="W377:AA377"/>
    <mergeCell ref="W378:AA378"/>
    <mergeCell ref="W379:AA379"/>
    <mergeCell ref="W380:AA380"/>
    <mergeCell ref="W381:AA381"/>
    <mergeCell ref="W364:AA364"/>
    <mergeCell ref="W365:AA365"/>
    <mergeCell ref="W366:AA366"/>
    <mergeCell ref="W367:AA367"/>
    <mergeCell ref="W368:AA368"/>
    <mergeCell ref="W369:AA369"/>
    <mergeCell ref="W370:AA370"/>
    <mergeCell ref="W371:AA371"/>
    <mergeCell ref="W372:AA372"/>
    <mergeCell ref="W391:AA391"/>
    <mergeCell ref="W392:AA392"/>
    <mergeCell ref="W393:AA393"/>
    <mergeCell ref="AB34:AF34"/>
    <mergeCell ref="AB35:AF35"/>
    <mergeCell ref="AB36:AF36"/>
    <mergeCell ref="AB37:AF37"/>
    <mergeCell ref="AB38:AF38"/>
    <mergeCell ref="AB39:AF39"/>
    <mergeCell ref="AB40:AF40"/>
    <mergeCell ref="AB41:AF41"/>
    <mergeCell ref="AB42:AF42"/>
    <mergeCell ref="AB43:AF43"/>
    <mergeCell ref="AB44:AF44"/>
    <mergeCell ref="AB45:AF45"/>
    <mergeCell ref="AB46:AF46"/>
    <mergeCell ref="AB47:AF47"/>
    <mergeCell ref="AB48:AF48"/>
    <mergeCell ref="AB49:AF49"/>
    <mergeCell ref="AB50:AF50"/>
    <mergeCell ref="AB51:AF51"/>
    <mergeCell ref="AB52:AF52"/>
    <mergeCell ref="AB53:AF53"/>
    <mergeCell ref="AB54:AF54"/>
    <mergeCell ref="W382:AA382"/>
    <mergeCell ref="W383:AA383"/>
    <mergeCell ref="W384:AA384"/>
    <mergeCell ref="W385:AA385"/>
    <mergeCell ref="W386:AA386"/>
    <mergeCell ref="W387:AA387"/>
    <mergeCell ref="W388:AA388"/>
    <mergeCell ref="W389:AA389"/>
    <mergeCell ref="AB64:AF64"/>
    <mergeCell ref="AB65:AF65"/>
    <mergeCell ref="AB66:AF66"/>
    <mergeCell ref="AB67:AF67"/>
    <mergeCell ref="AB68:AF68"/>
    <mergeCell ref="AB69:AF69"/>
    <mergeCell ref="AB70:AF70"/>
    <mergeCell ref="AB71:AF71"/>
    <mergeCell ref="AB72:AF72"/>
    <mergeCell ref="AB55:AF55"/>
    <mergeCell ref="AB56:AF56"/>
    <mergeCell ref="AB57:AF57"/>
    <mergeCell ref="AB58:AF58"/>
    <mergeCell ref="AB59:AF59"/>
    <mergeCell ref="AB60:AF60"/>
    <mergeCell ref="AB61:AF61"/>
    <mergeCell ref="AB62:AF62"/>
    <mergeCell ref="AB63:AF63"/>
    <mergeCell ref="AB82:AF82"/>
    <mergeCell ref="AB83:AF83"/>
    <mergeCell ref="AB84:AF84"/>
    <mergeCell ref="AB85:AF85"/>
    <mergeCell ref="AB86:AF86"/>
    <mergeCell ref="AB87:AF87"/>
    <mergeCell ref="AB88:AF88"/>
    <mergeCell ref="AB89:AF89"/>
    <mergeCell ref="AB90:AF90"/>
    <mergeCell ref="AB73:AF73"/>
    <mergeCell ref="AB74:AF74"/>
    <mergeCell ref="AB75:AF75"/>
    <mergeCell ref="AB76:AF76"/>
    <mergeCell ref="AB77:AF77"/>
    <mergeCell ref="AB78:AF78"/>
    <mergeCell ref="AB79:AF79"/>
    <mergeCell ref="AB80:AF80"/>
    <mergeCell ref="AB81:AF81"/>
    <mergeCell ref="AB100:AF100"/>
    <mergeCell ref="AB101:AF101"/>
    <mergeCell ref="AB102:AF102"/>
    <mergeCell ref="AB103:AF103"/>
    <mergeCell ref="AB104:AF104"/>
    <mergeCell ref="AB105:AF105"/>
    <mergeCell ref="AB106:AF106"/>
    <mergeCell ref="AB107:AF107"/>
    <mergeCell ref="AB108:AF108"/>
    <mergeCell ref="AB91:AF91"/>
    <mergeCell ref="AB92:AF92"/>
    <mergeCell ref="AB93:AF93"/>
    <mergeCell ref="AB94:AF94"/>
    <mergeCell ref="AB95:AF95"/>
    <mergeCell ref="AB96:AF96"/>
    <mergeCell ref="AB97:AF97"/>
    <mergeCell ref="AB98:AF98"/>
    <mergeCell ref="AB99:AF99"/>
    <mergeCell ref="AB118:AF118"/>
    <mergeCell ref="AB119:AF119"/>
    <mergeCell ref="AB120:AF120"/>
    <mergeCell ref="AB121:AF121"/>
    <mergeCell ref="AB122:AF122"/>
    <mergeCell ref="AB123:AF123"/>
    <mergeCell ref="AB124:AF124"/>
    <mergeCell ref="AB125:AF125"/>
    <mergeCell ref="AB126:AF126"/>
    <mergeCell ref="AB109:AF109"/>
    <mergeCell ref="AB110:AF110"/>
    <mergeCell ref="AB111:AF111"/>
    <mergeCell ref="AB112:AF112"/>
    <mergeCell ref="AB113:AF113"/>
    <mergeCell ref="AB114:AF114"/>
    <mergeCell ref="AB115:AF115"/>
    <mergeCell ref="AB116:AF116"/>
    <mergeCell ref="AB117:AF117"/>
    <mergeCell ref="AB136:AF136"/>
    <mergeCell ref="AB137:AF137"/>
    <mergeCell ref="AB138:AF138"/>
    <mergeCell ref="AB139:AF139"/>
    <mergeCell ref="AB140:AF140"/>
    <mergeCell ref="AB141:AF141"/>
    <mergeCell ref="AB142:AF142"/>
    <mergeCell ref="AB143:AF143"/>
    <mergeCell ref="AB144:AF144"/>
    <mergeCell ref="AB127:AF127"/>
    <mergeCell ref="AB128:AF128"/>
    <mergeCell ref="AB129:AF129"/>
    <mergeCell ref="AB130:AF130"/>
    <mergeCell ref="AB131:AF131"/>
    <mergeCell ref="AB132:AF132"/>
    <mergeCell ref="AB133:AF133"/>
    <mergeCell ref="AB134:AF134"/>
    <mergeCell ref="AB135:AF135"/>
    <mergeCell ref="AB154:AF154"/>
    <mergeCell ref="AB155:AF155"/>
    <mergeCell ref="AB156:AF156"/>
    <mergeCell ref="AB157:AF157"/>
    <mergeCell ref="AB158:AF158"/>
    <mergeCell ref="AB159:AF159"/>
    <mergeCell ref="AB160:AF160"/>
    <mergeCell ref="AB161:AF161"/>
    <mergeCell ref="AB162:AF162"/>
    <mergeCell ref="AB145:AF145"/>
    <mergeCell ref="AB146:AF146"/>
    <mergeCell ref="AB147:AF147"/>
    <mergeCell ref="AB148:AF148"/>
    <mergeCell ref="AB149:AF149"/>
    <mergeCell ref="AB150:AF150"/>
    <mergeCell ref="AB151:AF151"/>
    <mergeCell ref="AB152:AF152"/>
    <mergeCell ref="AB153:AF153"/>
    <mergeCell ref="AB172:AF172"/>
    <mergeCell ref="AB173:AF173"/>
    <mergeCell ref="AB174:AF174"/>
    <mergeCell ref="AB175:AF175"/>
    <mergeCell ref="AB176:AF176"/>
    <mergeCell ref="AB177:AF177"/>
    <mergeCell ref="AB178:AF178"/>
    <mergeCell ref="AB179:AF179"/>
    <mergeCell ref="AB180:AF180"/>
    <mergeCell ref="AB163:AF163"/>
    <mergeCell ref="AB164:AF164"/>
    <mergeCell ref="AB165:AF165"/>
    <mergeCell ref="AB166:AF166"/>
    <mergeCell ref="AB167:AF167"/>
    <mergeCell ref="AB168:AF168"/>
    <mergeCell ref="AB169:AF169"/>
    <mergeCell ref="AB170:AF170"/>
    <mergeCell ref="AB171:AF171"/>
    <mergeCell ref="AB190:AF190"/>
    <mergeCell ref="AB191:AF191"/>
    <mergeCell ref="AB192:AF192"/>
    <mergeCell ref="AB193:AF193"/>
    <mergeCell ref="AB194:AF194"/>
    <mergeCell ref="AB195:AF195"/>
    <mergeCell ref="AB196:AF196"/>
    <mergeCell ref="AB197:AF197"/>
    <mergeCell ref="AB198:AF198"/>
    <mergeCell ref="AB181:AF181"/>
    <mergeCell ref="AB182:AF182"/>
    <mergeCell ref="AB183:AF183"/>
    <mergeCell ref="AB184:AF184"/>
    <mergeCell ref="AB185:AF185"/>
    <mergeCell ref="AB186:AF186"/>
    <mergeCell ref="AB187:AF187"/>
    <mergeCell ref="AB188:AF188"/>
    <mergeCell ref="AB189:AF189"/>
    <mergeCell ref="AB208:AF208"/>
    <mergeCell ref="AB209:AF209"/>
    <mergeCell ref="AB210:AF210"/>
    <mergeCell ref="AB211:AF211"/>
    <mergeCell ref="AB212:AF212"/>
    <mergeCell ref="AB213:AF213"/>
    <mergeCell ref="AB214:AF214"/>
    <mergeCell ref="AB215:AF215"/>
    <mergeCell ref="AB216:AF216"/>
    <mergeCell ref="AB199:AF199"/>
    <mergeCell ref="AB200:AF200"/>
    <mergeCell ref="AB201:AF201"/>
    <mergeCell ref="AB202:AF202"/>
    <mergeCell ref="AB203:AF203"/>
    <mergeCell ref="AB204:AF204"/>
    <mergeCell ref="AB205:AF205"/>
    <mergeCell ref="AB206:AF206"/>
    <mergeCell ref="AB207:AF207"/>
    <mergeCell ref="AB226:AF226"/>
    <mergeCell ref="AB227:AF227"/>
    <mergeCell ref="AB228:AF228"/>
    <mergeCell ref="AB229:AF229"/>
    <mergeCell ref="AB230:AF230"/>
    <mergeCell ref="AB231:AF231"/>
    <mergeCell ref="AB232:AF232"/>
    <mergeCell ref="AB233:AF233"/>
    <mergeCell ref="AB234:AF234"/>
    <mergeCell ref="AB217:AF217"/>
    <mergeCell ref="AB218:AF218"/>
    <mergeCell ref="AB219:AF219"/>
    <mergeCell ref="AB220:AF220"/>
    <mergeCell ref="AB221:AF221"/>
    <mergeCell ref="AB222:AF222"/>
    <mergeCell ref="AB223:AF223"/>
    <mergeCell ref="AB224:AF224"/>
    <mergeCell ref="AB225:AF225"/>
    <mergeCell ref="AB244:AF244"/>
    <mergeCell ref="AB245:AF245"/>
    <mergeCell ref="AB246:AF246"/>
    <mergeCell ref="AB247:AF247"/>
    <mergeCell ref="AB248:AF248"/>
    <mergeCell ref="AB249:AF249"/>
    <mergeCell ref="AB250:AF250"/>
    <mergeCell ref="AB251:AF251"/>
    <mergeCell ref="AB252:AF252"/>
    <mergeCell ref="AB235:AF235"/>
    <mergeCell ref="AB236:AF236"/>
    <mergeCell ref="AB237:AF237"/>
    <mergeCell ref="AB238:AF238"/>
    <mergeCell ref="AB239:AF239"/>
    <mergeCell ref="AB240:AF240"/>
    <mergeCell ref="AB241:AF241"/>
    <mergeCell ref="AB242:AF242"/>
    <mergeCell ref="AB243:AF243"/>
    <mergeCell ref="AB262:AF262"/>
    <mergeCell ref="AB263:AF263"/>
    <mergeCell ref="AB264:AF264"/>
    <mergeCell ref="AB265:AF265"/>
    <mergeCell ref="AB266:AF266"/>
    <mergeCell ref="AB267:AF267"/>
    <mergeCell ref="AB268:AF268"/>
    <mergeCell ref="AB269:AF269"/>
    <mergeCell ref="AB270:AF270"/>
    <mergeCell ref="AB253:AF253"/>
    <mergeCell ref="AB254:AF254"/>
    <mergeCell ref="AB255:AF255"/>
    <mergeCell ref="AB256:AF256"/>
    <mergeCell ref="AB257:AF257"/>
    <mergeCell ref="AB258:AF258"/>
    <mergeCell ref="AB259:AF259"/>
    <mergeCell ref="AB260:AF260"/>
    <mergeCell ref="AB261:AF261"/>
    <mergeCell ref="AB280:AF280"/>
    <mergeCell ref="AB281:AF281"/>
    <mergeCell ref="AB282:AF282"/>
    <mergeCell ref="AB283:AF283"/>
    <mergeCell ref="AB284:AF284"/>
    <mergeCell ref="AB285:AF285"/>
    <mergeCell ref="AB286:AF286"/>
    <mergeCell ref="AB287:AF287"/>
    <mergeCell ref="AB288:AF288"/>
    <mergeCell ref="AB271:AF271"/>
    <mergeCell ref="AB272:AF272"/>
    <mergeCell ref="AB273:AF273"/>
    <mergeCell ref="AB274:AF274"/>
    <mergeCell ref="AB275:AF275"/>
    <mergeCell ref="AB276:AF276"/>
    <mergeCell ref="AB277:AF277"/>
    <mergeCell ref="AB278:AF278"/>
    <mergeCell ref="AB279:AF279"/>
    <mergeCell ref="AB298:AF298"/>
    <mergeCell ref="AB299:AF299"/>
    <mergeCell ref="AB300:AF300"/>
    <mergeCell ref="AB301:AF301"/>
    <mergeCell ref="AB302:AF302"/>
    <mergeCell ref="AB303:AF303"/>
    <mergeCell ref="AB304:AF304"/>
    <mergeCell ref="AB305:AF305"/>
    <mergeCell ref="AB306:AF306"/>
    <mergeCell ref="AB289:AF289"/>
    <mergeCell ref="AB290:AF290"/>
    <mergeCell ref="AB291:AF291"/>
    <mergeCell ref="AB292:AF292"/>
    <mergeCell ref="AB293:AF293"/>
    <mergeCell ref="AB294:AF294"/>
    <mergeCell ref="AB295:AF295"/>
    <mergeCell ref="AB296:AF296"/>
    <mergeCell ref="AB297:AF297"/>
    <mergeCell ref="AB316:AF316"/>
    <mergeCell ref="AB317:AF317"/>
    <mergeCell ref="AB318:AF318"/>
    <mergeCell ref="AB319:AF319"/>
    <mergeCell ref="AB320:AF320"/>
    <mergeCell ref="AB321:AF321"/>
    <mergeCell ref="AB322:AF322"/>
    <mergeCell ref="AB323:AF323"/>
    <mergeCell ref="AB324:AF324"/>
    <mergeCell ref="AB307:AF307"/>
    <mergeCell ref="AB308:AF308"/>
    <mergeCell ref="AB309:AF309"/>
    <mergeCell ref="AB310:AF310"/>
    <mergeCell ref="AB311:AF311"/>
    <mergeCell ref="AB312:AF312"/>
    <mergeCell ref="AB313:AF313"/>
    <mergeCell ref="AB314:AF314"/>
    <mergeCell ref="AB315:AF315"/>
    <mergeCell ref="AB334:AF334"/>
    <mergeCell ref="AB335:AF335"/>
    <mergeCell ref="AB336:AF336"/>
    <mergeCell ref="AB337:AF337"/>
    <mergeCell ref="AB338:AF338"/>
    <mergeCell ref="AB339:AF339"/>
    <mergeCell ref="AB340:AF340"/>
    <mergeCell ref="AB341:AF341"/>
    <mergeCell ref="AB342:AF342"/>
    <mergeCell ref="AB325:AF325"/>
    <mergeCell ref="AB326:AF326"/>
    <mergeCell ref="AB327:AF327"/>
    <mergeCell ref="AB328:AF328"/>
    <mergeCell ref="AB329:AF329"/>
    <mergeCell ref="AB330:AF330"/>
    <mergeCell ref="AB331:AF331"/>
    <mergeCell ref="AB332:AF332"/>
    <mergeCell ref="AB333:AF333"/>
    <mergeCell ref="AB352:AF352"/>
    <mergeCell ref="AB353:AF353"/>
    <mergeCell ref="AB354:AF354"/>
    <mergeCell ref="AB355:AF355"/>
    <mergeCell ref="AB356:AF356"/>
    <mergeCell ref="AB357:AF357"/>
    <mergeCell ref="AB358:AF358"/>
    <mergeCell ref="AB359:AF359"/>
    <mergeCell ref="AB360:AF360"/>
    <mergeCell ref="AB343:AF343"/>
    <mergeCell ref="AB344:AF344"/>
    <mergeCell ref="AB345:AF345"/>
    <mergeCell ref="AB346:AF346"/>
    <mergeCell ref="AB347:AF347"/>
    <mergeCell ref="AB348:AF348"/>
    <mergeCell ref="AB349:AF349"/>
    <mergeCell ref="AB350:AF350"/>
    <mergeCell ref="AB351:AF351"/>
    <mergeCell ref="AB387:AF387"/>
    <mergeCell ref="AB370:AF370"/>
    <mergeCell ref="AB371:AF371"/>
    <mergeCell ref="AB372:AF372"/>
    <mergeCell ref="AB373:AF373"/>
    <mergeCell ref="AB374:AF374"/>
    <mergeCell ref="AB375:AF375"/>
    <mergeCell ref="AB376:AF376"/>
    <mergeCell ref="AB377:AF377"/>
    <mergeCell ref="AB378:AF378"/>
    <mergeCell ref="AB361:AF361"/>
    <mergeCell ref="AB362:AF362"/>
    <mergeCell ref="AB363:AF363"/>
    <mergeCell ref="AB364:AF364"/>
    <mergeCell ref="AB365:AF365"/>
    <mergeCell ref="AB366:AF366"/>
    <mergeCell ref="AB367:AF367"/>
    <mergeCell ref="AB368:AF368"/>
    <mergeCell ref="AB369:AF369"/>
    <mergeCell ref="AB388:AF388"/>
    <mergeCell ref="AB389:AF389"/>
    <mergeCell ref="AB390:AF390"/>
    <mergeCell ref="AB391:AF391"/>
    <mergeCell ref="AB392:AF392"/>
    <mergeCell ref="AB393:AF393"/>
    <mergeCell ref="AG34:AK34"/>
    <mergeCell ref="AG35:AK35"/>
    <mergeCell ref="AG36:AK36"/>
    <mergeCell ref="AG37:AK37"/>
    <mergeCell ref="AG38:AK38"/>
    <mergeCell ref="AG39:AK39"/>
    <mergeCell ref="AG40:AK40"/>
    <mergeCell ref="AG41:AK41"/>
    <mergeCell ref="AG42:AK42"/>
    <mergeCell ref="AG43:AK43"/>
    <mergeCell ref="AG44:AK44"/>
    <mergeCell ref="AG45:AK45"/>
    <mergeCell ref="AG46:AK46"/>
    <mergeCell ref="AG47:AK47"/>
    <mergeCell ref="AG48:AK48"/>
    <mergeCell ref="AG49:AK49"/>
    <mergeCell ref="AG50:AK50"/>
    <mergeCell ref="AG51:AK51"/>
    <mergeCell ref="AB379:AF379"/>
    <mergeCell ref="AB380:AF380"/>
    <mergeCell ref="AB381:AF381"/>
    <mergeCell ref="AB382:AF382"/>
    <mergeCell ref="AB383:AF383"/>
    <mergeCell ref="AB384:AF384"/>
    <mergeCell ref="AB385:AF385"/>
    <mergeCell ref="AB386:AF386"/>
    <mergeCell ref="AG61:AK61"/>
    <mergeCell ref="AG62:AK62"/>
    <mergeCell ref="AG63:AK63"/>
    <mergeCell ref="AG64:AK64"/>
    <mergeCell ref="AG65:AK65"/>
    <mergeCell ref="AG66:AK66"/>
    <mergeCell ref="AG67:AK67"/>
    <mergeCell ref="AG68:AK68"/>
    <mergeCell ref="AG69:AK69"/>
    <mergeCell ref="AG52:AK52"/>
    <mergeCell ref="AG53:AK53"/>
    <mergeCell ref="AG54:AK54"/>
    <mergeCell ref="AG55:AK55"/>
    <mergeCell ref="AG56:AK56"/>
    <mergeCell ref="AG57:AK57"/>
    <mergeCell ref="AG58:AK58"/>
    <mergeCell ref="AG59:AK59"/>
    <mergeCell ref="AG60:AK60"/>
    <mergeCell ref="AG79:AK79"/>
    <mergeCell ref="AG80:AK80"/>
    <mergeCell ref="AG81:AK81"/>
    <mergeCell ref="AG82:AK82"/>
    <mergeCell ref="AG83:AK83"/>
    <mergeCell ref="AG84:AK84"/>
    <mergeCell ref="AG85:AK85"/>
    <mergeCell ref="AG86:AK86"/>
    <mergeCell ref="AG87:AK87"/>
    <mergeCell ref="AG70:AK70"/>
    <mergeCell ref="AG71:AK71"/>
    <mergeCell ref="AG72:AK72"/>
    <mergeCell ref="AG73:AK73"/>
    <mergeCell ref="AG74:AK74"/>
    <mergeCell ref="AG75:AK75"/>
    <mergeCell ref="AG76:AK76"/>
    <mergeCell ref="AG77:AK77"/>
    <mergeCell ref="AG78:AK78"/>
    <mergeCell ref="AG97:AK97"/>
    <mergeCell ref="AG98:AK98"/>
    <mergeCell ref="AG99:AK99"/>
    <mergeCell ref="AG100:AK100"/>
    <mergeCell ref="AG101:AK101"/>
    <mergeCell ref="AG102:AK102"/>
    <mergeCell ref="AG103:AK103"/>
    <mergeCell ref="AG104:AK104"/>
    <mergeCell ref="AG105:AK105"/>
    <mergeCell ref="AG88:AK88"/>
    <mergeCell ref="AG89:AK89"/>
    <mergeCell ref="AG90:AK90"/>
    <mergeCell ref="AG91:AK91"/>
    <mergeCell ref="AG92:AK92"/>
    <mergeCell ref="AG93:AK93"/>
    <mergeCell ref="AG94:AK94"/>
    <mergeCell ref="AG95:AK95"/>
    <mergeCell ref="AG96:AK96"/>
    <mergeCell ref="AG115:AK115"/>
    <mergeCell ref="AG116:AK116"/>
    <mergeCell ref="AG117:AK117"/>
    <mergeCell ref="AG118:AK118"/>
    <mergeCell ref="AG119:AK119"/>
    <mergeCell ref="AG120:AK120"/>
    <mergeCell ref="AG121:AK121"/>
    <mergeCell ref="AG122:AK122"/>
    <mergeCell ref="AG123:AK123"/>
    <mergeCell ref="AG106:AK106"/>
    <mergeCell ref="AG107:AK107"/>
    <mergeCell ref="AG108:AK108"/>
    <mergeCell ref="AG109:AK109"/>
    <mergeCell ref="AG110:AK110"/>
    <mergeCell ref="AG111:AK111"/>
    <mergeCell ref="AG112:AK112"/>
    <mergeCell ref="AG113:AK113"/>
    <mergeCell ref="AG114:AK114"/>
    <mergeCell ref="AG133:AK133"/>
    <mergeCell ref="AG134:AK134"/>
    <mergeCell ref="AG135:AK135"/>
    <mergeCell ref="AG136:AK136"/>
    <mergeCell ref="AG137:AK137"/>
    <mergeCell ref="AG138:AK138"/>
    <mergeCell ref="AG139:AK139"/>
    <mergeCell ref="AG140:AK140"/>
    <mergeCell ref="AG141:AK141"/>
    <mergeCell ref="AG124:AK124"/>
    <mergeCell ref="AG125:AK125"/>
    <mergeCell ref="AG126:AK126"/>
    <mergeCell ref="AG127:AK127"/>
    <mergeCell ref="AG128:AK128"/>
    <mergeCell ref="AG129:AK129"/>
    <mergeCell ref="AG130:AK130"/>
    <mergeCell ref="AG131:AK131"/>
    <mergeCell ref="AG132:AK132"/>
    <mergeCell ref="AG151:AK151"/>
    <mergeCell ref="AG152:AK152"/>
    <mergeCell ref="AG153:AK153"/>
    <mergeCell ref="AG154:AK154"/>
    <mergeCell ref="AG155:AK155"/>
    <mergeCell ref="AG156:AK156"/>
    <mergeCell ref="AG157:AK157"/>
    <mergeCell ref="AG158:AK158"/>
    <mergeCell ref="AG159:AK159"/>
    <mergeCell ref="AG142:AK142"/>
    <mergeCell ref="AG143:AK143"/>
    <mergeCell ref="AG144:AK144"/>
    <mergeCell ref="AG145:AK145"/>
    <mergeCell ref="AG146:AK146"/>
    <mergeCell ref="AG147:AK147"/>
    <mergeCell ref="AG148:AK148"/>
    <mergeCell ref="AG149:AK149"/>
    <mergeCell ref="AG150:AK150"/>
    <mergeCell ref="AG169:AK169"/>
    <mergeCell ref="AG170:AK170"/>
    <mergeCell ref="AG171:AK171"/>
    <mergeCell ref="AG172:AK172"/>
    <mergeCell ref="AG173:AK173"/>
    <mergeCell ref="AG174:AK174"/>
    <mergeCell ref="AG175:AK175"/>
    <mergeCell ref="AG176:AK176"/>
    <mergeCell ref="AG177:AK177"/>
    <mergeCell ref="AG160:AK160"/>
    <mergeCell ref="AG161:AK161"/>
    <mergeCell ref="AG162:AK162"/>
    <mergeCell ref="AG163:AK163"/>
    <mergeCell ref="AG164:AK164"/>
    <mergeCell ref="AG165:AK165"/>
    <mergeCell ref="AG166:AK166"/>
    <mergeCell ref="AG167:AK167"/>
    <mergeCell ref="AG168:AK168"/>
    <mergeCell ref="AG187:AK187"/>
    <mergeCell ref="AG188:AK188"/>
    <mergeCell ref="AG189:AK189"/>
    <mergeCell ref="AG190:AK190"/>
    <mergeCell ref="AG191:AK191"/>
    <mergeCell ref="AG192:AK192"/>
    <mergeCell ref="AG193:AK193"/>
    <mergeCell ref="AG194:AK194"/>
    <mergeCell ref="AG195:AK195"/>
    <mergeCell ref="AG178:AK178"/>
    <mergeCell ref="AG179:AK179"/>
    <mergeCell ref="AG180:AK180"/>
    <mergeCell ref="AG181:AK181"/>
    <mergeCell ref="AG182:AK182"/>
    <mergeCell ref="AG183:AK183"/>
    <mergeCell ref="AG184:AK184"/>
    <mergeCell ref="AG185:AK185"/>
    <mergeCell ref="AG186:AK186"/>
    <mergeCell ref="AG205:AK205"/>
    <mergeCell ref="AG206:AK206"/>
    <mergeCell ref="AG207:AK207"/>
    <mergeCell ref="AG208:AK208"/>
    <mergeCell ref="AG209:AK209"/>
    <mergeCell ref="AG210:AK210"/>
    <mergeCell ref="AG211:AK211"/>
    <mergeCell ref="AG212:AK212"/>
    <mergeCell ref="AG213:AK213"/>
    <mergeCell ref="AG196:AK196"/>
    <mergeCell ref="AG197:AK197"/>
    <mergeCell ref="AG198:AK198"/>
    <mergeCell ref="AG199:AK199"/>
    <mergeCell ref="AG200:AK200"/>
    <mergeCell ref="AG201:AK201"/>
    <mergeCell ref="AG202:AK202"/>
    <mergeCell ref="AG203:AK203"/>
    <mergeCell ref="AG204:AK204"/>
    <mergeCell ref="AG223:AK223"/>
    <mergeCell ref="AG224:AK224"/>
    <mergeCell ref="AG225:AK225"/>
    <mergeCell ref="AG226:AK226"/>
    <mergeCell ref="AG227:AK227"/>
    <mergeCell ref="AG228:AK228"/>
    <mergeCell ref="AG229:AK229"/>
    <mergeCell ref="AG230:AK230"/>
    <mergeCell ref="AG231:AK231"/>
    <mergeCell ref="AG214:AK214"/>
    <mergeCell ref="AG215:AK215"/>
    <mergeCell ref="AG216:AK216"/>
    <mergeCell ref="AG217:AK217"/>
    <mergeCell ref="AG218:AK218"/>
    <mergeCell ref="AG219:AK219"/>
    <mergeCell ref="AG220:AK220"/>
    <mergeCell ref="AG221:AK221"/>
    <mergeCell ref="AG222:AK222"/>
    <mergeCell ref="AG241:AK241"/>
    <mergeCell ref="AG242:AK242"/>
    <mergeCell ref="AG243:AK243"/>
    <mergeCell ref="AG244:AK244"/>
    <mergeCell ref="AG245:AK245"/>
    <mergeCell ref="AG246:AK246"/>
    <mergeCell ref="AG247:AK247"/>
    <mergeCell ref="AG248:AK248"/>
    <mergeCell ref="AG249:AK249"/>
    <mergeCell ref="AG232:AK232"/>
    <mergeCell ref="AG233:AK233"/>
    <mergeCell ref="AG234:AK234"/>
    <mergeCell ref="AG235:AK235"/>
    <mergeCell ref="AG236:AK236"/>
    <mergeCell ref="AG237:AK237"/>
    <mergeCell ref="AG238:AK238"/>
    <mergeCell ref="AG239:AK239"/>
    <mergeCell ref="AG240:AK240"/>
    <mergeCell ref="AG259:AK259"/>
    <mergeCell ref="AG260:AK260"/>
    <mergeCell ref="AG261:AK261"/>
    <mergeCell ref="AG262:AK262"/>
    <mergeCell ref="AG263:AK263"/>
    <mergeCell ref="AG264:AK264"/>
    <mergeCell ref="AG265:AK265"/>
    <mergeCell ref="AG266:AK266"/>
    <mergeCell ref="AG267:AK267"/>
    <mergeCell ref="AG250:AK250"/>
    <mergeCell ref="AG251:AK251"/>
    <mergeCell ref="AG252:AK252"/>
    <mergeCell ref="AG253:AK253"/>
    <mergeCell ref="AG254:AK254"/>
    <mergeCell ref="AG255:AK255"/>
    <mergeCell ref="AG256:AK256"/>
    <mergeCell ref="AG257:AK257"/>
    <mergeCell ref="AG258:AK258"/>
    <mergeCell ref="AG277:AK277"/>
    <mergeCell ref="AG278:AK278"/>
    <mergeCell ref="AG279:AK279"/>
    <mergeCell ref="AG280:AK280"/>
    <mergeCell ref="AG281:AK281"/>
    <mergeCell ref="AG282:AK282"/>
    <mergeCell ref="AG283:AK283"/>
    <mergeCell ref="AG284:AK284"/>
    <mergeCell ref="AG285:AK285"/>
    <mergeCell ref="AG268:AK268"/>
    <mergeCell ref="AG269:AK269"/>
    <mergeCell ref="AG270:AK270"/>
    <mergeCell ref="AG271:AK271"/>
    <mergeCell ref="AG272:AK272"/>
    <mergeCell ref="AG273:AK273"/>
    <mergeCell ref="AG274:AK274"/>
    <mergeCell ref="AG275:AK275"/>
    <mergeCell ref="AG276:AK276"/>
    <mergeCell ref="AG295:AK295"/>
    <mergeCell ref="AG296:AK296"/>
    <mergeCell ref="AG297:AK297"/>
    <mergeCell ref="AG298:AK298"/>
    <mergeCell ref="AG299:AK299"/>
    <mergeCell ref="AG300:AK300"/>
    <mergeCell ref="AG301:AK301"/>
    <mergeCell ref="AG302:AK302"/>
    <mergeCell ref="AG303:AK303"/>
    <mergeCell ref="AG286:AK286"/>
    <mergeCell ref="AG287:AK287"/>
    <mergeCell ref="AG288:AK288"/>
    <mergeCell ref="AG289:AK289"/>
    <mergeCell ref="AG290:AK290"/>
    <mergeCell ref="AG291:AK291"/>
    <mergeCell ref="AG292:AK292"/>
    <mergeCell ref="AG293:AK293"/>
    <mergeCell ref="AG294:AK294"/>
    <mergeCell ref="AG313:AK313"/>
    <mergeCell ref="AG314:AK314"/>
    <mergeCell ref="AG315:AK315"/>
    <mergeCell ref="AG316:AK316"/>
    <mergeCell ref="AG317:AK317"/>
    <mergeCell ref="AG318:AK318"/>
    <mergeCell ref="AG319:AK319"/>
    <mergeCell ref="AG320:AK320"/>
    <mergeCell ref="AG321:AK321"/>
    <mergeCell ref="AG304:AK304"/>
    <mergeCell ref="AG305:AK305"/>
    <mergeCell ref="AG306:AK306"/>
    <mergeCell ref="AG307:AK307"/>
    <mergeCell ref="AG308:AK308"/>
    <mergeCell ref="AG309:AK309"/>
    <mergeCell ref="AG310:AK310"/>
    <mergeCell ref="AG311:AK311"/>
    <mergeCell ref="AG312:AK312"/>
    <mergeCell ref="AG331:AK331"/>
    <mergeCell ref="AG332:AK332"/>
    <mergeCell ref="AG333:AK333"/>
    <mergeCell ref="AG334:AK334"/>
    <mergeCell ref="AG335:AK335"/>
    <mergeCell ref="AG336:AK336"/>
    <mergeCell ref="AG337:AK337"/>
    <mergeCell ref="AG338:AK338"/>
    <mergeCell ref="AG339:AK339"/>
    <mergeCell ref="AG322:AK322"/>
    <mergeCell ref="AG323:AK323"/>
    <mergeCell ref="AG324:AK324"/>
    <mergeCell ref="AG325:AK325"/>
    <mergeCell ref="AG326:AK326"/>
    <mergeCell ref="AG327:AK327"/>
    <mergeCell ref="AG328:AK328"/>
    <mergeCell ref="AG329:AK329"/>
    <mergeCell ref="AG330:AK330"/>
    <mergeCell ref="AG349:AK349"/>
    <mergeCell ref="AG350:AK350"/>
    <mergeCell ref="AG351:AK351"/>
    <mergeCell ref="AG352:AK352"/>
    <mergeCell ref="AG353:AK353"/>
    <mergeCell ref="AG354:AK354"/>
    <mergeCell ref="AG355:AK355"/>
    <mergeCell ref="AG356:AK356"/>
    <mergeCell ref="AG357:AK357"/>
    <mergeCell ref="AG340:AK340"/>
    <mergeCell ref="AG341:AK341"/>
    <mergeCell ref="AG342:AK342"/>
    <mergeCell ref="AG343:AK343"/>
    <mergeCell ref="AG344:AK344"/>
    <mergeCell ref="AG345:AK345"/>
    <mergeCell ref="AG346:AK346"/>
    <mergeCell ref="AG347:AK347"/>
    <mergeCell ref="AG348:AK348"/>
    <mergeCell ref="AG367:AK367"/>
    <mergeCell ref="AG368:AK368"/>
    <mergeCell ref="AG369:AK369"/>
    <mergeCell ref="AG370:AK370"/>
    <mergeCell ref="AG371:AK371"/>
    <mergeCell ref="AG372:AK372"/>
    <mergeCell ref="AG373:AK373"/>
    <mergeCell ref="AG374:AK374"/>
    <mergeCell ref="AG375:AK375"/>
    <mergeCell ref="AG358:AK358"/>
    <mergeCell ref="AG359:AK359"/>
    <mergeCell ref="AG360:AK360"/>
    <mergeCell ref="AG361:AK361"/>
    <mergeCell ref="AG362:AK362"/>
    <mergeCell ref="AG363:AK363"/>
    <mergeCell ref="AG364:AK364"/>
    <mergeCell ref="AG365:AK365"/>
    <mergeCell ref="AG366:AK366"/>
    <mergeCell ref="AG385:AK385"/>
    <mergeCell ref="AG386:AK386"/>
    <mergeCell ref="AG387:AK387"/>
    <mergeCell ref="AG388:AK388"/>
    <mergeCell ref="AG389:AK389"/>
    <mergeCell ref="AG390:AK390"/>
    <mergeCell ref="AG391:AK391"/>
    <mergeCell ref="AG392:AK392"/>
    <mergeCell ref="AG393:AK393"/>
    <mergeCell ref="AG376:AK376"/>
    <mergeCell ref="AG377:AK377"/>
    <mergeCell ref="AG378:AK378"/>
    <mergeCell ref="AG379:AK379"/>
    <mergeCell ref="AG380:AK380"/>
    <mergeCell ref="AG381:AK381"/>
    <mergeCell ref="AG382:AK382"/>
    <mergeCell ref="AG383:AK383"/>
    <mergeCell ref="AG384:AK384"/>
    <mergeCell ref="AL43:AP43"/>
    <mergeCell ref="AL44:AP44"/>
    <mergeCell ref="AL45:AP45"/>
    <mergeCell ref="AL46:AP46"/>
    <mergeCell ref="AL47:AP47"/>
    <mergeCell ref="AL48:AP48"/>
    <mergeCell ref="AL49:AP49"/>
    <mergeCell ref="AL50:AP50"/>
    <mergeCell ref="AL51:AP51"/>
    <mergeCell ref="AL34:AP34"/>
    <mergeCell ref="AL35:AP35"/>
    <mergeCell ref="AL36:AP36"/>
    <mergeCell ref="AL37:AP37"/>
    <mergeCell ref="AL38:AP38"/>
    <mergeCell ref="AL39:AP39"/>
    <mergeCell ref="AL40:AP40"/>
    <mergeCell ref="AL41:AP41"/>
    <mergeCell ref="AL42:AP42"/>
    <mergeCell ref="AL61:AP61"/>
    <mergeCell ref="AL62:AP62"/>
    <mergeCell ref="AL63:AP63"/>
    <mergeCell ref="AL64:AP64"/>
    <mergeCell ref="AL65:AP65"/>
    <mergeCell ref="AL66:AP66"/>
    <mergeCell ref="AL67:AP67"/>
    <mergeCell ref="AL68:AP68"/>
    <mergeCell ref="AL69:AP69"/>
    <mergeCell ref="AL52:AP52"/>
    <mergeCell ref="AL53:AP53"/>
    <mergeCell ref="AL54:AP54"/>
    <mergeCell ref="AL55:AP55"/>
    <mergeCell ref="AL56:AP56"/>
    <mergeCell ref="AL57:AP57"/>
    <mergeCell ref="AL58:AP58"/>
    <mergeCell ref="AL59:AP59"/>
    <mergeCell ref="AL60:AP60"/>
    <mergeCell ref="AL79:AP79"/>
    <mergeCell ref="AL80:AP80"/>
    <mergeCell ref="AL81:AP81"/>
    <mergeCell ref="AL82:AP82"/>
    <mergeCell ref="AL83:AP83"/>
    <mergeCell ref="AL84:AP84"/>
    <mergeCell ref="AL85:AP85"/>
    <mergeCell ref="AL86:AP86"/>
    <mergeCell ref="AL87:AP87"/>
    <mergeCell ref="AL70:AP70"/>
    <mergeCell ref="AL71:AP71"/>
    <mergeCell ref="AL72:AP72"/>
    <mergeCell ref="AL73:AP73"/>
    <mergeCell ref="AL74:AP74"/>
    <mergeCell ref="AL75:AP75"/>
    <mergeCell ref="AL76:AP76"/>
    <mergeCell ref="AL77:AP77"/>
    <mergeCell ref="AL78:AP78"/>
    <mergeCell ref="AL97:AP97"/>
    <mergeCell ref="AL98:AP98"/>
    <mergeCell ref="AL99:AP99"/>
    <mergeCell ref="AL100:AP100"/>
    <mergeCell ref="AL101:AP101"/>
    <mergeCell ref="AL102:AP102"/>
    <mergeCell ref="AL103:AP103"/>
    <mergeCell ref="AL104:AP104"/>
    <mergeCell ref="AL105:AP105"/>
    <mergeCell ref="AL88:AP88"/>
    <mergeCell ref="AL89:AP89"/>
    <mergeCell ref="AL90:AP90"/>
    <mergeCell ref="AL91:AP91"/>
    <mergeCell ref="AL92:AP92"/>
    <mergeCell ref="AL93:AP93"/>
    <mergeCell ref="AL94:AP94"/>
    <mergeCell ref="AL95:AP95"/>
    <mergeCell ref="AL96:AP96"/>
    <mergeCell ref="AL115:AP115"/>
    <mergeCell ref="AL116:AP116"/>
    <mergeCell ref="AL117:AP117"/>
    <mergeCell ref="AL118:AP118"/>
    <mergeCell ref="AL119:AP119"/>
    <mergeCell ref="AL120:AP120"/>
    <mergeCell ref="AL121:AP121"/>
    <mergeCell ref="AL122:AP122"/>
    <mergeCell ref="AL123:AP123"/>
    <mergeCell ref="AL106:AP106"/>
    <mergeCell ref="AL107:AP107"/>
    <mergeCell ref="AL108:AP108"/>
    <mergeCell ref="AL109:AP109"/>
    <mergeCell ref="AL110:AP110"/>
    <mergeCell ref="AL111:AP111"/>
    <mergeCell ref="AL112:AP112"/>
    <mergeCell ref="AL113:AP113"/>
    <mergeCell ref="AL114:AP114"/>
    <mergeCell ref="AL133:AP133"/>
    <mergeCell ref="AL134:AP134"/>
    <mergeCell ref="AL135:AP135"/>
    <mergeCell ref="AL136:AP136"/>
    <mergeCell ref="AL137:AP137"/>
    <mergeCell ref="AL138:AP138"/>
    <mergeCell ref="AL139:AP139"/>
    <mergeCell ref="AL140:AP140"/>
    <mergeCell ref="AL141:AP141"/>
    <mergeCell ref="AL124:AP124"/>
    <mergeCell ref="AL125:AP125"/>
    <mergeCell ref="AL126:AP126"/>
    <mergeCell ref="AL127:AP127"/>
    <mergeCell ref="AL128:AP128"/>
    <mergeCell ref="AL129:AP129"/>
    <mergeCell ref="AL130:AP130"/>
    <mergeCell ref="AL131:AP131"/>
    <mergeCell ref="AL132:AP132"/>
    <mergeCell ref="AL151:AP151"/>
    <mergeCell ref="AL152:AP152"/>
    <mergeCell ref="AL153:AP153"/>
    <mergeCell ref="AL154:AP154"/>
    <mergeCell ref="AL155:AP155"/>
    <mergeCell ref="AL156:AP156"/>
    <mergeCell ref="AL157:AP157"/>
    <mergeCell ref="AL158:AP158"/>
    <mergeCell ref="AL159:AP159"/>
    <mergeCell ref="AL142:AP142"/>
    <mergeCell ref="AL143:AP143"/>
    <mergeCell ref="AL144:AP144"/>
    <mergeCell ref="AL145:AP145"/>
    <mergeCell ref="AL146:AP146"/>
    <mergeCell ref="AL147:AP147"/>
    <mergeCell ref="AL148:AP148"/>
    <mergeCell ref="AL149:AP149"/>
    <mergeCell ref="AL150:AP150"/>
    <mergeCell ref="AL169:AP169"/>
    <mergeCell ref="AL170:AP170"/>
    <mergeCell ref="AL171:AP171"/>
    <mergeCell ref="AL172:AP172"/>
    <mergeCell ref="AL173:AP173"/>
    <mergeCell ref="AL174:AP174"/>
    <mergeCell ref="AL175:AP175"/>
    <mergeCell ref="AL176:AP176"/>
    <mergeCell ref="AL177:AP177"/>
    <mergeCell ref="AL160:AP160"/>
    <mergeCell ref="AL161:AP161"/>
    <mergeCell ref="AL162:AP162"/>
    <mergeCell ref="AL163:AP163"/>
    <mergeCell ref="AL164:AP164"/>
    <mergeCell ref="AL165:AP165"/>
    <mergeCell ref="AL166:AP166"/>
    <mergeCell ref="AL167:AP167"/>
    <mergeCell ref="AL168:AP168"/>
    <mergeCell ref="AL187:AP187"/>
    <mergeCell ref="AL188:AP188"/>
    <mergeCell ref="AL189:AP189"/>
    <mergeCell ref="AL190:AP190"/>
    <mergeCell ref="AL191:AP191"/>
    <mergeCell ref="AL192:AP192"/>
    <mergeCell ref="AL193:AP193"/>
    <mergeCell ref="AL194:AP194"/>
    <mergeCell ref="AL195:AP195"/>
    <mergeCell ref="AL178:AP178"/>
    <mergeCell ref="AL179:AP179"/>
    <mergeCell ref="AL180:AP180"/>
    <mergeCell ref="AL181:AP181"/>
    <mergeCell ref="AL182:AP182"/>
    <mergeCell ref="AL183:AP183"/>
    <mergeCell ref="AL184:AP184"/>
    <mergeCell ref="AL185:AP185"/>
    <mergeCell ref="AL186:AP186"/>
    <mergeCell ref="AL205:AP205"/>
    <mergeCell ref="AL206:AP206"/>
    <mergeCell ref="AL207:AP207"/>
    <mergeCell ref="AL208:AP208"/>
    <mergeCell ref="AL209:AP209"/>
    <mergeCell ref="AL210:AP210"/>
    <mergeCell ref="AL211:AP211"/>
    <mergeCell ref="AL212:AP212"/>
    <mergeCell ref="AL213:AP213"/>
    <mergeCell ref="AL196:AP196"/>
    <mergeCell ref="AL197:AP197"/>
    <mergeCell ref="AL198:AP198"/>
    <mergeCell ref="AL199:AP199"/>
    <mergeCell ref="AL200:AP200"/>
    <mergeCell ref="AL201:AP201"/>
    <mergeCell ref="AL202:AP202"/>
    <mergeCell ref="AL203:AP203"/>
    <mergeCell ref="AL204:AP204"/>
    <mergeCell ref="AL223:AP223"/>
    <mergeCell ref="AL224:AP224"/>
    <mergeCell ref="AL225:AP225"/>
    <mergeCell ref="AL226:AP226"/>
    <mergeCell ref="AL227:AP227"/>
    <mergeCell ref="AL228:AP228"/>
    <mergeCell ref="AL229:AP229"/>
    <mergeCell ref="AL230:AP230"/>
    <mergeCell ref="AL231:AP231"/>
    <mergeCell ref="AL214:AP214"/>
    <mergeCell ref="AL215:AP215"/>
    <mergeCell ref="AL216:AP216"/>
    <mergeCell ref="AL217:AP217"/>
    <mergeCell ref="AL218:AP218"/>
    <mergeCell ref="AL219:AP219"/>
    <mergeCell ref="AL220:AP220"/>
    <mergeCell ref="AL221:AP221"/>
    <mergeCell ref="AL222:AP222"/>
    <mergeCell ref="AL241:AP241"/>
    <mergeCell ref="AL242:AP242"/>
    <mergeCell ref="AL243:AP243"/>
    <mergeCell ref="AL244:AP244"/>
    <mergeCell ref="AL245:AP245"/>
    <mergeCell ref="AL246:AP246"/>
    <mergeCell ref="AL247:AP247"/>
    <mergeCell ref="AL248:AP248"/>
    <mergeCell ref="AL249:AP249"/>
    <mergeCell ref="AL232:AP232"/>
    <mergeCell ref="AL233:AP233"/>
    <mergeCell ref="AL234:AP234"/>
    <mergeCell ref="AL235:AP235"/>
    <mergeCell ref="AL236:AP236"/>
    <mergeCell ref="AL237:AP237"/>
    <mergeCell ref="AL238:AP238"/>
    <mergeCell ref="AL239:AP239"/>
    <mergeCell ref="AL240:AP240"/>
    <mergeCell ref="AL259:AP259"/>
    <mergeCell ref="AL260:AP260"/>
    <mergeCell ref="AL261:AP261"/>
    <mergeCell ref="AL262:AP262"/>
    <mergeCell ref="AL263:AP263"/>
    <mergeCell ref="AL264:AP264"/>
    <mergeCell ref="AL265:AP265"/>
    <mergeCell ref="AL266:AP266"/>
    <mergeCell ref="AL267:AP267"/>
    <mergeCell ref="AL250:AP250"/>
    <mergeCell ref="AL251:AP251"/>
    <mergeCell ref="AL252:AP252"/>
    <mergeCell ref="AL253:AP253"/>
    <mergeCell ref="AL254:AP254"/>
    <mergeCell ref="AL255:AP255"/>
    <mergeCell ref="AL256:AP256"/>
    <mergeCell ref="AL257:AP257"/>
    <mergeCell ref="AL258:AP258"/>
    <mergeCell ref="AL277:AP277"/>
    <mergeCell ref="AL278:AP278"/>
    <mergeCell ref="AL279:AP279"/>
    <mergeCell ref="AL280:AP280"/>
    <mergeCell ref="AL281:AP281"/>
    <mergeCell ref="AL282:AP282"/>
    <mergeCell ref="AL283:AP283"/>
    <mergeCell ref="AL284:AP284"/>
    <mergeCell ref="AL285:AP285"/>
    <mergeCell ref="AL268:AP268"/>
    <mergeCell ref="AL269:AP269"/>
    <mergeCell ref="AL270:AP270"/>
    <mergeCell ref="AL271:AP271"/>
    <mergeCell ref="AL272:AP272"/>
    <mergeCell ref="AL273:AP273"/>
    <mergeCell ref="AL274:AP274"/>
    <mergeCell ref="AL275:AP275"/>
    <mergeCell ref="AL276:AP276"/>
    <mergeCell ref="AL295:AP295"/>
    <mergeCell ref="AL296:AP296"/>
    <mergeCell ref="AL297:AP297"/>
    <mergeCell ref="AL298:AP298"/>
    <mergeCell ref="AL299:AP299"/>
    <mergeCell ref="AL300:AP300"/>
    <mergeCell ref="AL301:AP301"/>
    <mergeCell ref="AL302:AP302"/>
    <mergeCell ref="AL303:AP303"/>
    <mergeCell ref="AL286:AP286"/>
    <mergeCell ref="AL287:AP287"/>
    <mergeCell ref="AL288:AP288"/>
    <mergeCell ref="AL289:AP289"/>
    <mergeCell ref="AL290:AP290"/>
    <mergeCell ref="AL291:AP291"/>
    <mergeCell ref="AL292:AP292"/>
    <mergeCell ref="AL293:AP293"/>
    <mergeCell ref="AL294:AP294"/>
    <mergeCell ref="AL313:AP313"/>
    <mergeCell ref="AL314:AP314"/>
    <mergeCell ref="AL315:AP315"/>
    <mergeCell ref="AL316:AP316"/>
    <mergeCell ref="AL317:AP317"/>
    <mergeCell ref="AL318:AP318"/>
    <mergeCell ref="AL319:AP319"/>
    <mergeCell ref="AL320:AP320"/>
    <mergeCell ref="AL321:AP321"/>
    <mergeCell ref="AL304:AP304"/>
    <mergeCell ref="AL305:AP305"/>
    <mergeCell ref="AL306:AP306"/>
    <mergeCell ref="AL307:AP307"/>
    <mergeCell ref="AL308:AP308"/>
    <mergeCell ref="AL309:AP309"/>
    <mergeCell ref="AL310:AP310"/>
    <mergeCell ref="AL311:AP311"/>
    <mergeCell ref="AL312:AP312"/>
    <mergeCell ref="AL331:AP331"/>
    <mergeCell ref="AL332:AP332"/>
    <mergeCell ref="AL333:AP333"/>
    <mergeCell ref="AL334:AP334"/>
    <mergeCell ref="AL335:AP335"/>
    <mergeCell ref="AL336:AP336"/>
    <mergeCell ref="AL337:AP337"/>
    <mergeCell ref="AL338:AP338"/>
    <mergeCell ref="AL339:AP339"/>
    <mergeCell ref="AL322:AP322"/>
    <mergeCell ref="AL323:AP323"/>
    <mergeCell ref="AL324:AP324"/>
    <mergeCell ref="AL325:AP325"/>
    <mergeCell ref="AL326:AP326"/>
    <mergeCell ref="AL327:AP327"/>
    <mergeCell ref="AL328:AP328"/>
    <mergeCell ref="AL329:AP329"/>
    <mergeCell ref="AL330:AP330"/>
    <mergeCell ref="AL349:AP349"/>
    <mergeCell ref="AL350:AP350"/>
    <mergeCell ref="AL351:AP351"/>
    <mergeCell ref="AL352:AP352"/>
    <mergeCell ref="AL353:AP353"/>
    <mergeCell ref="AL354:AP354"/>
    <mergeCell ref="AL355:AP355"/>
    <mergeCell ref="AL356:AP356"/>
    <mergeCell ref="AL357:AP357"/>
    <mergeCell ref="AL340:AP340"/>
    <mergeCell ref="AL341:AP341"/>
    <mergeCell ref="AL342:AP342"/>
    <mergeCell ref="AL343:AP343"/>
    <mergeCell ref="AL344:AP344"/>
    <mergeCell ref="AL345:AP345"/>
    <mergeCell ref="AL346:AP346"/>
    <mergeCell ref="AL347:AP347"/>
    <mergeCell ref="AL348:AP348"/>
    <mergeCell ref="AL367:AP367"/>
    <mergeCell ref="AL368:AP368"/>
    <mergeCell ref="AL369:AP369"/>
    <mergeCell ref="AL370:AP370"/>
    <mergeCell ref="AL371:AP371"/>
    <mergeCell ref="AL372:AP372"/>
    <mergeCell ref="AL373:AP373"/>
    <mergeCell ref="AL374:AP374"/>
    <mergeCell ref="AL375:AP375"/>
    <mergeCell ref="AL358:AP358"/>
    <mergeCell ref="AL359:AP359"/>
    <mergeCell ref="AL360:AP360"/>
    <mergeCell ref="AL361:AP361"/>
    <mergeCell ref="AL362:AP362"/>
    <mergeCell ref="AL363:AP363"/>
    <mergeCell ref="AL364:AP364"/>
    <mergeCell ref="AL365:AP365"/>
    <mergeCell ref="AL366:AP366"/>
    <mergeCell ref="AL385:AP385"/>
    <mergeCell ref="AL386:AP386"/>
    <mergeCell ref="AL387:AP387"/>
    <mergeCell ref="AL388:AP388"/>
    <mergeCell ref="AL389:AP389"/>
    <mergeCell ref="AL390:AP390"/>
    <mergeCell ref="AL391:AP391"/>
    <mergeCell ref="AL392:AP392"/>
    <mergeCell ref="AL393:AP393"/>
    <mergeCell ref="AL376:AP376"/>
    <mergeCell ref="AL377:AP377"/>
    <mergeCell ref="AL378:AP378"/>
    <mergeCell ref="AL379:AP379"/>
    <mergeCell ref="AL380:AP380"/>
    <mergeCell ref="AL381:AP381"/>
    <mergeCell ref="AL382:AP382"/>
    <mergeCell ref="AL383:AP383"/>
    <mergeCell ref="AL384:AP384"/>
    <mergeCell ref="AH3:AK3"/>
    <mergeCell ref="F3:I3"/>
    <mergeCell ref="J3:M3"/>
    <mergeCell ref="N3:Q3"/>
    <mergeCell ref="R3:U3"/>
    <mergeCell ref="V3:Y3"/>
    <mergeCell ref="Z3:AC3"/>
    <mergeCell ref="AD3:AG3"/>
    <mergeCell ref="AM8:AO8"/>
    <mergeCell ref="R33:V33"/>
    <mergeCell ref="W33:AA33"/>
    <mergeCell ref="AB33:AF33"/>
    <mergeCell ref="AG33:AK33"/>
    <mergeCell ref="AL33:AP33"/>
    <mergeCell ref="AL5:AP5"/>
    <mergeCell ref="H7:J7"/>
    <mergeCell ref="H8:J8"/>
    <mergeCell ref="R7:T7"/>
    <mergeCell ref="R8:T8"/>
    <mergeCell ref="AC7:AE7"/>
    <mergeCell ref="AC8:AE8"/>
    <mergeCell ref="AM7:AO7"/>
    <mergeCell ref="H10:J10"/>
    <mergeCell ref="R10:T10"/>
    <mergeCell ref="AC10:AE10"/>
    <mergeCell ref="AM10:AO10"/>
    <mergeCell ref="H11:J11"/>
    <mergeCell ref="R11:T11"/>
    <mergeCell ref="AC11:AE11"/>
    <mergeCell ref="AM11:AO11"/>
  </mergeCells>
  <hyperlinks>
    <hyperlink ref="F3:I3" location="'SUMMARY (R)'!A1" display="Summary" xr:uid="{CB7CF70B-8CB6-4633-91D0-FBF3E24D5193}"/>
    <hyperlink ref="J3:M3" location="'MONTHLY (R)'!A1" display="Monthly" xr:uid="{C3186AFB-47C3-4B7F-874E-193A61E18CD7}"/>
    <hyperlink ref="N3:Q3" location="'YTD (R)'!A1" display="Year To Date" xr:uid="{B287D210-5CBD-4194-87C5-89BEC8564085}"/>
    <hyperlink ref="R3:U3" location="'VERSUS (R)'!A1" display="Versus" xr:uid="{AE78A2B7-0B79-476D-A65F-307A2D23EC23}"/>
    <hyperlink ref="V3:Y3" location="'AMORTIZATION (R)'!A1" display="Amortization" xr:uid="{A0C29964-D501-4B3E-AB17-18C7042813AE}"/>
    <hyperlink ref="Z3:AC3" location="'FINANCING (R)'!A1" display="Financing" xr:uid="{68B78012-4F16-424F-AD56-F08B228749FE}"/>
    <hyperlink ref="AD3:AG3" location="'EXPENSES (R)'!A1" display="Expenses" xr:uid="{AE8C7773-3EA5-474D-98B4-4F7589F14CA2}"/>
    <hyperlink ref="AH3:AK3" location="'FORECASTS (R)'!A1" display="Forecasts" xr:uid="{B89912E4-6BFD-4B69-BC67-877F499C3AB7}"/>
  </hyperlinks>
  <pageMargins left="0.25" right="0.25" top="0.75" bottom="0.75" header="0.3" footer="0.3"/>
  <pageSetup scale="54" fitToHeight="0" orientation="portrait" r:id="rId1"/>
  <headerFooter>
    <oddFooter>&amp;F</oddFooter>
  </headerFooter>
  <rowBreaks count="5" manualBreakCount="5">
    <brk id="93" max="15" man="1"/>
    <brk id="153" max="15" man="1"/>
    <brk id="213" max="15" man="1"/>
    <brk id="273" max="15" man="1"/>
    <brk id="333" max="15"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CEC57-E463-4F14-AE4B-CB095B911B37}">
  <sheetPr codeName="Sheet12">
    <tabColor theme="7" tint="0.79998168889431442"/>
    <pageSetUpPr autoPageBreaks="0" fitToPage="1"/>
  </sheetPr>
  <dimension ref="A1:CQ110"/>
  <sheetViews>
    <sheetView showGridLines="0" showRowColHeaders="0" zoomScaleNormal="100" zoomScaleSheetLayoutView="100" workbookViewId="0">
      <pane ySplit="4" topLeftCell="A5" activePane="bottomLeft" state="frozen"/>
      <selection pane="bottomLeft" activeCell="A5" sqref="A5"/>
    </sheetView>
  </sheetViews>
  <sheetFormatPr defaultColWidth="9.109375" defaultRowHeight="15" customHeight="1" x14ac:dyDescent="0.25"/>
  <cols>
    <col min="1" max="47" width="2.88671875" style="331" customWidth="1"/>
    <col min="48" max="60" width="2.88671875" style="353" customWidth="1"/>
    <col min="61" max="64" width="9.109375" style="331" customWidth="1"/>
    <col min="65" max="65" width="15" style="331" customWidth="1"/>
    <col min="66" max="67" width="9.109375" style="331" customWidth="1"/>
    <col min="68" max="68" width="14" style="331" customWidth="1"/>
    <col min="69" max="16384" width="9.109375" style="331"/>
  </cols>
  <sheetData>
    <row r="1" spans="1:95" s="1244" customFormat="1" ht="30" customHeight="1" x14ac:dyDescent="0.25">
      <c r="A1" s="1685" t="s">
        <v>1067</v>
      </c>
      <c r="CE1" s="1378"/>
    </row>
    <row r="2" spans="1:95" s="673" customFormat="1" ht="18.75" customHeight="1" x14ac:dyDescent="0.25">
      <c r="A2" s="1685"/>
      <c r="B2" s="1244"/>
      <c r="C2" s="1244"/>
      <c r="D2" s="1244"/>
      <c r="E2" s="1244"/>
      <c r="F2" s="1244"/>
      <c r="G2" s="1244"/>
      <c r="H2" s="1244"/>
      <c r="I2" s="1244"/>
      <c r="J2" s="1244"/>
      <c r="K2" s="1244"/>
      <c r="L2" s="1244"/>
      <c r="M2" s="1244"/>
      <c r="N2" s="1244"/>
      <c r="O2" s="1244"/>
      <c r="P2" s="1244"/>
      <c r="Q2" s="1244"/>
      <c r="R2" s="1244"/>
      <c r="S2" s="1244"/>
      <c r="T2" s="1244"/>
      <c r="U2" s="1244"/>
      <c r="V2" s="1244"/>
      <c r="W2" s="1244"/>
      <c r="X2" s="1244"/>
      <c r="Y2" s="1244"/>
      <c r="Z2" s="1244"/>
      <c r="AA2" s="1244"/>
      <c r="AB2" s="1244"/>
      <c r="AC2" s="1244"/>
      <c r="AD2" s="1244"/>
      <c r="AE2" s="1244"/>
      <c r="AF2" s="1244"/>
      <c r="AG2" s="1244"/>
      <c r="AH2" s="1244"/>
      <c r="AI2" s="1244"/>
      <c r="AJ2" s="1244"/>
      <c r="AK2" s="1244"/>
      <c r="AL2" s="1244"/>
      <c r="AM2" s="1244"/>
      <c r="AN2" s="1244"/>
      <c r="AO2" s="1244"/>
      <c r="AP2" s="1244"/>
      <c r="AQ2" s="1244"/>
      <c r="AR2" s="1244"/>
      <c r="AS2" s="1244"/>
      <c r="AT2" s="1244"/>
      <c r="AU2" s="1244"/>
      <c r="AV2" s="1244"/>
      <c r="AW2" s="1244"/>
      <c r="AX2" s="1244"/>
      <c r="AY2" s="1244"/>
      <c r="AZ2" s="1244"/>
      <c r="BA2" s="1244"/>
      <c r="BB2" s="1244"/>
      <c r="BC2" s="1244"/>
      <c r="BD2" s="1244"/>
      <c r="BE2" s="1244"/>
      <c r="BF2" s="1244"/>
      <c r="BG2" s="1244"/>
      <c r="BH2" s="1244"/>
      <c r="BI2" s="1244"/>
      <c r="BJ2" s="1244"/>
      <c r="BK2" s="1244"/>
      <c r="BL2" s="1244"/>
      <c r="BM2" s="1244"/>
      <c r="BN2" s="1244"/>
      <c r="BO2" s="1244"/>
      <c r="BP2" s="1244"/>
      <c r="BQ2" s="1244"/>
      <c r="BR2" s="1244"/>
      <c r="BS2" s="1244"/>
      <c r="BT2" s="1244"/>
      <c r="BU2" s="1244"/>
      <c r="BV2" s="1244"/>
      <c r="BW2" s="1244"/>
      <c r="BX2" s="1244"/>
      <c r="BY2" s="1244"/>
      <c r="BZ2" s="1244"/>
      <c r="CA2" s="1244"/>
      <c r="CB2" s="1244"/>
      <c r="CC2" s="1244"/>
      <c r="CD2" s="1244"/>
      <c r="CE2" s="1378"/>
      <c r="CF2" s="1244"/>
      <c r="CG2" s="1244"/>
      <c r="CH2" s="1244"/>
      <c r="CI2" s="1244"/>
      <c r="CJ2" s="1244"/>
      <c r="CK2" s="1244"/>
      <c r="CL2" s="1244"/>
      <c r="CM2" s="1244"/>
      <c r="CN2" s="1244"/>
      <c r="CO2" s="1244"/>
      <c r="CP2" s="1244"/>
      <c r="CQ2" s="1244"/>
    </row>
    <row r="3" spans="1:95" ht="15.6" x14ac:dyDescent="0.25">
      <c r="A3" s="1685"/>
      <c r="B3" s="1244"/>
      <c r="C3" s="1244"/>
      <c r="D3" s="1244"/>
      <c r="E3" s="1244"/>
      <c r="F3" s="1244"/>
      <c r="G3" s="1244"/>
      <c r="H3" s="1244"/>
      <c r="I3" s="1244"/>
      <c r="J3" s="1244"/>
      <c r="K3" s="1244"/>
      <c r="L3" s="1244"/>
      <c r="M3" s="1244"/>
      <c r="N3" s="1244"/>
      <c r="O3" s="1244"/>
      <c r="P3" s="1244"/>
      <c r="Q3" s="1244"/>
      <c r="R3" s="1244"/>
      <c r="S3" s="1244"/>
      <c r="T3" s="1244"/>
      <c r="U3" s="1244"/>
      <c r="V3" s="1244"/>
      <c r="W3" s="1244"/>
      <c r="X3" s="1244"/>
      <c r="Y3" s="1244"/>
      <c r="Z3" s="1244"/>
      <c r="AA3" s="1244"/>
      <c r="AB3" s="1244"/>
      <c r="AC3" s="1244"/>
      <c r="AD3" s="1244"/>
      <c r="AE3" s="1244"/>
      <c r="AF3" s="1244"/>
      <c r="AG3" s="1244"/>
      <c r="AH3" s="1244"/>
      <c r="AI3" s="1244"/>
      <c r="AJ3" s="1244"/>
      <c r="AK3" s="1244"/>
      <c r="AL3" s="1244"/>
      <c r="AM3" s="1244"/>
      <c r="AN3" s="1244"/>
      <c r="AO3" s="1244"/>
      <c r="AP3" s="1244"/>
      <c r="AQ3" s="1244"/>
      <c r="AR3" s="1244"/>
      <c r="AS3" s="1244"/>
      <c r="AT3" s="1244"/>
      <c r="AU3" s="1244"/>
      <c r="AV3" s="1244"/>
      <c r="AW3" s="1244"/>
      <c r="AX3" s="1244"/>
      <c r="AY3" s="1244"/>
      <c r="AZ3" s="1244"/>
      <c r="BA3" s="1244"/>
      <c r="BB3" s="1244"/>
      <c r="BC3" s="1244"/>
      <c r="BD3" s="1244"/>
      <c r="BE3" s="1244"/>
      <c r="BF3" s="1244"/>
      <c r="BG3" s="1244"/>
      <c r="BH3" s="1244"/>
      <c r="BI3" s="1244"/>
      <c r="BJ3" s="1244"/>
      <c r="BK3" s="1244"/>
      <c r="BL3" s="1244"/>
      <c r="BM3" s="1244"/>
      <c r="BN3" s="1244"/>
      <c r="BO3" s="1244"/>
      <c r="BP3" s="1244"/>
      <c r="BQ3" s="1244"/>
      <c r="BR3" s="1244"/>
      <c r="BS3" s="1244"/>
      <c r="BT3" s="1244"/>
      <c r="BU3" s="1244"/>
      <c r="BV3" s="1244"/>
      <c r="BW3" s="1244"/>
      <c r="BX3" s="1244"/>
      <c r="BY3" s="1244"/>
      <c r="BZ3" s="1244"/>
      <c r="CA3" s="1244"/>
      <c r="CB3" s="1244"/>
      <c r="CC3" s="1244"/>
      <c r="CD3" s="1244"/>
      <c r="CE3" s="1378"/>
      <c r="CF3" s="1244"/>
      <c r="CG3" s="1244"/>
      <c r="CH3" s="1244"/>
      <c r="CI3" s="1244"/>
      <c r="CJ3" s="1244"/>
      <c r="CK3" s="1244"/>
      <c r="CL3" s="1244"/>
      <c r="CM3" s="1244"/>
      <c r="CN3" s="1244"/>
      <c r="CO3" s="1244"/>
      <c r="CP3" s="1244"/>
      <c r="CQ3" s="1244"/>
    </row>
    <row r="4" spans="1:95" ht="14.4" x14ac:dyDescent="0.3">
      <c r="A4" s="673"/>
      <c r="B4" s="1377" t="s">
        <v>1006</v>
      </c>
      <c r="C4" s="1357"/>
      <c r="D4" s="1357"/>
      <c r="E4" s="1357"/>
      <c r="F4" s="2602" t="s">
        <v>1007</v>
      </c>
      <c r="G4" s="2603"/>
      <c r="H4" s="2603"/>
      <c r="I4" s="2604"/>
      <c r="J4" s="2602" t="s">
        <v>10</v>
      </c>
      <c r="K4" s="2603"/>
      <c r="L4" s="2603"/>
      <c r="M4" s="2604"/>
      <c r="N4" s="2602" t="s">
        <v>1094</v>
      </c>
      <c r="O4" s="2603"/>
      <c r="P4" s="2603"/>
      <c r="Q4" s="2604"/>
      <c r="R4" s="2602" t="s">
        <v>1063</v>
      </c>
      <c r="S4" s="2603"/>
      <c r="T4" s="2603"/>
      <c r="U4" s="2604"/>
      <c r="V4" s="2602" t="s">
        <v>1008</v>
      </c>
      <c r="W4" s="2603"/>
      <c r="X4" s="2603"/>
      <c r="Y4" s="2604"/>
      <c r="Z4" s="2605" t="s">
        <v>172</v>
      </c>
      <c r="AA4" s="2606"/>
      <c r="AB4" s="2606"/>
      <c r="AC4" s="2607"/>
      <c r="AD4" s="2602" t="s">
        <v>1009</v>
      </c>
      <c r="AE4" s="2603"/>
      <c r="AF4" s="2603"/>
      <c r="AG4" s="2604"/>
      <c r="AH4" s="2602" t="s">
        <v>1005</v>
      </c>
      <c r="AI4" s="2603"/>
      <c r="AJ4" s="2603"/>
      <c r="AK4" s="2604"/>
      <c r="AL4" s="1876"/>
      <c r="AM4" s="1876"/>
      <c r="AN4" s="1876"/>
      <c r="AO4" s="1876"/>
      <c r="AP4" s="1876"/>
      <c r="AQ4" s="1876"/>
      <c r="AR4" s="1876"/>
      <c r="AS4" s="1876"/>
      <c r="AT4" s="1876"/>
      <c r="AU4" s="1876"/>
      <c r="AV4" s="1876"/>
      <c r="AW4" s="1876"/>
      <c r="AX4" s="1876"/>
      <c r="AY4" s="1876"/>
      <c r="AZ4" s="1876"/>
      <c r="BA4" s="1876"/>
      <c r="BB4" s="1876"/>
      <c r="BC4" s="1876"/>
      <c r="BD4" s="1876"/>
      <c r="BE4" s="1876"/>
      <c r="BF4" s="1876"/>
      <c r="BG4" s="1876"/>
      <c r="BH4" s="1876"/>
      <c r="BI4" s="1876"/>
      <c r="BJ4" s="1876"/>
      <c r="BK4" s="1876"/>
      <c r="BL4" s="1876"/>
      <c r="BM4" s="1876"/>
      <c r="BN4" s="1876"/>
      <c r="BO4" s="1876"/>
      <c r="BP4" s="1876"/>
      <c r="BQ4" s="1876"/>
      <c r="BR4" s="1876"/>
      <c r="BS4" s="1876"/>
      <c r="BT4" s="1876"/>
      <c r="BU4" s="1876"/>
      <c r="BV4" s="1876"/>
      <c r="BW4" s="1876"/>
      <c r="BX4" s="1876"/>
      <c r="BY4" s="1876"/>
      <c r="BZ4" s="1876"/>
      <c r="CA4" s="1876"/>
      <c r="CB4" s="1876"/>
      <c r="CC4" s="1876"/>
      <c r="CD4" s="1876"/>
      <c r="CE4" s="1876"/>
      <c r="CF4" s="1876"/>
      <c r="CG4" s="1876"/>
      <c r="CH4" s="1876"/>
      <c r="CI4" s="1876"/>
      <c r="CJ4" s="1876"/>
      <c r="CK4" s="1876"/>
      <c r="CL4" s="1876"/>
      <c r="CM4" s="1876"/>
      <c r="CN4" s="1876"/>
      <c r="CO4" s="1876"/>
      <c r="CP4" s="1876"/>
      <c r="CQ4" s="1876"/>
    </row>
    <row r="5" spans="1:95" ht="14.25" customHeight="1" x14ac:dyDescent="0.25">
      <c r="A5" s="1871"/>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377"/>
      <c r="AW5" s="377"/>
      <c r="AX5" s="377"/>
      <c r="AY5" s="377"/>
      <c r="AZ5" s="377"/>
      <c r="BA5" s="377"/>
      <c r="BB5" s="377"/>
      <c r="BC5" s="377"/>
      <c r="BD5" s="377"/>
      <c r="BE5" s="377"/>
      <c r="BF5" s="377"/>
      <c r="BG5" s="377"/>
      <c r="BH5" s="377"/>
    </row>
    <row r="6" spans="1:95" ht="16.5" customHeight="1" thickBot="1" x14ac:dyDescent="0.3">
      <c r="A6" s="9"/>
      <c r="B6" s="1237" t="s">
        <v>204</v>
      </c>
      <c r="C6" s="1358"/>
      <c r="D6" s="1358"/>
      <c r="E6" s="1358"/>
      <c r="F6" s="1358"/>
      <c r="G6" s="1358"/>
      <c r="H6" s="1358"/>
      <c r="I6" s="1358"/>
      <c r="J6" s="1359"/>
      <c r="K6" s="1359"/>
      <c r="L6" s="1359"/>
      <c r="M6" s="1359"/>
      <c r="N6" s="1359"/>
      <c r="O6" s="1358"/>
      <c r="P6" s="1358"/>
      <c r="Q6" s="1358"/>
      <c r="R6" s="1359"/>
      <c r="S6" s="1359"/>
      <c r="T6" s="1180"/>
      <c r="U6" s="1180"/>
      <c r="V6" s="1180"/>
      <c r="W6" s="1180"/>
      <c r="X6" s="1180"/>
      <c r="Y6" s="1180"/>
      <c r="Z6" s="1180"/>
      <c r="AA6" s="1180"/>
      <c r="AB6" s="1180"/>
      <c r="AC6" s="1180"/>
      <c r="AD6" s="1180"/>
      <c r="AE6" s="1180"/>
      <c r="AF6" s="1180"/>
      <c r="AG6" s="1180"/>
      <c r="AH6" s="1180"/>
      <c r="AI6" s="1180"/>
      <c r="AJ6" s="1180"/>
      <c r="AK6" s="1180"/>
      <c r="AL6" s="1180"/>
      <c r="AM6" s="1180"/>
      <c r="AN6" s="1180"/>
      <c r="AO6" s="1180"/>
      <c r="AP6" s="1180"/>
      <c r="AQ6" s="1180"/>
      <c r="AR6" s="1180"/>
      <c r="AS6" s="1180"/>
      <c r="AT6" s="1180"/>
      <c r="AU6" s="1180"/>
      <c r="AV6" s="1180"/>
      <c r="AW6" s="1180"/>
      <c r="AX6" s="1180"/>
      <c r="AY6" s="1180"/>
      <c r="AZ6" s="1180"/>
      <c r="BA6" s="1180" t="s">
        <v>96</v>
      </c>
      <c r="BB6" s="1180"/>
      <c r="BC6" s="1180"/>
      <c r="BD6" s="2830">
        <f ca="1">TODAY()</f>
        <v>45920</v>
      </c>
      <c r="BE6" s="2830"/>
      <c r="BF6" s="2830"/>
      <c r="BG6" s="2830"/>
      <c r="BH6" s="156"/>
    </row>
    <row r="7" spans="1:95" ht="16.5" customHeight="1" thickTop="1" x14ac:dyDescent="0.25">
      <c r="A7" s="9"/>
      <c r="B7" s="9"/>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377"/>
      <c r="AW7" s="377"/>
      <c r="AX7" s="377"/>
      <c r="AY7" s="377"/>
      <c r="AZ7" s="377"/>
      <c r="BA7" s="377"/>
      <c r="BB7" s="377"/>
      <c r="BC7" s="377"/>
      <c r="BD7" s="377"/>
      <c r="BE7" s="377"/>
      <c r="BF7" s="377"/>
      <c r="BG7" s="377"/>
      <c r="BH7" s="377"/>
    </row>
    <row r="8" spans="1:95" ht="14.25" customHeight="1" x14ac:dyDescent="0.25">
      <c r="A8" s="9"/>
      <c r="B8" s="2826" t="s">
        <v>185</v>
      </c>
      <c r="C8" s="2827"/>
      <c r="D8" s="2827"/>
      <c r="E8" s="2827"/>
      <c r="F8" s="2827"/>
      <c r="G8" s="2827"/>
      <c r="H8" s="2827"/>
      <c r="I8" s="157"/>
      <c r="J8" s="180" t="str">
        <f>DASHBOARD!C12</f>
        <v>Project Name :</v>
      </c>
      <c r="K8" s="180"/>
      <c r="L8" s="180"/>
      <c r="M8" s="180"/>
      <c r="N8" s="180"/>
      <c r="O8" s="1652"/>
      <c r="P8" s="1652"/>
      <c r="Q8" s="1652"/>
      <c r="R8" s="181" t="str">
        <f>DASHBOARD!K12</f>
        <v>WinsWithMike.com</v>
      </c>
      <c r="S8" s="181"/>
      <c r="T8" s="181"/>
      <c r="U8" s="1652"/>
      <c r="V8" s="1652"/>
      <c r="W8" s="1652"/>
      <c r="X8" s="180" t="s">
        <v>207</v>
      </c>
      <c r="Y8" s="180"/>
      <c r="Z8" s="180"/>
      <c r="AA8" s="1652"/>
      <c r="AB8" s="1652"/>
      <c r="AC8" s="1652"/>
      <c r="AD8" s="182" t="str">
        <f>DASHBOARD!K14</f>
        <v>Nampa</v>
      </c>
      <c r="AE8" s="182"/>
      <c r="AF8" s="182"/>
      <c r="AG8" s="1652"/>
      <c r="AH8" s="1652"/>
      <c r="AI8" s="1652"/>
      <c r="AJ8" s="180" t="str">
        <f>DASHBOARD!C19</f>
        <v>Property Type :</v>
      </c>
      <c r="AK8" s="180"/>
      <c r="AL8" s="180"/>
      <c r="AM8" s="1652"/>
      <c r="AN8" s="1652"/>
      <c r="AO8" s="2808" t="str">
        <f>DASHBOARD!K19</f>
        <v>Single Family</v>
      </c>
      <c r="AP8" s="2808"/>
      <c r="AQ8" s="2808"/>
      <c r="AR8" s="2808"/>
      <c r="AS8" s="1652"/>
      <c r="AT8" s="1652"/>
      <c r="AU8" s="1652"/>
      <c r="AV8" s="180" t="s">
        <v>187</v>
      </c>
      <c r="AW8" s="180"/>
      <c r="AX8" s="180"/>
      <c r="AY8" s="1652"/>
      <c r="AZ8" s="1652"/>
      <c r="BA8" s="2804" t="str">
        <f>DASHBOARD!K21&amp;" / "&amp;DASHBOARD!K22</f>
        <v>3 / 3</v>
      </c>
      <c r="BB8" s="2804"/>
      <c r="BC8" s="2804"/>
      <c r="BD8" s="2804"/>
      <c r="BE8" s="181"/>
      <c r="BF8" s="181"/>
      <c r="BG8" s="1653"/>
      <c r="BH8" s="377"/>
    </row>
    <row r="9" spans="1:95" ht="16.5" customHeight="1" x14ac:dyDescent="0.25">
      <c r="A9" s="9"/>
      <c r="B9" s="2828" t="s">
        <v>186</v>
      </c>
      <c r="C9" s="2829"/>
      <c r="D9" s="2829"/>
      <c r="E9" s="2829"/>
      <c r="F9" s="2829"/>
      <c r="G9" s="2829"/>
      <c r="H9" s="2829"/>
      <c r="I9" s="158"/>
      <c r="J9" s="183" t="s">
        <v>208</v>
      </c>
      <c r="K9" s="183"/>
      <c r="L9" s="183"/>
      <c r="M9" s="183"/>
      <c r="N9" s="183"/>
      <c r="O9" s="1654"/>
      <c r="P9" s="1654"/>
      <c r="Q9" s="1654"/>
      <c r="R9" s="184">
        <f>DASHBOARD!K13</f>
        <v>0</v>
      </c>
      <c r="S9" s="184"/>
      <c r="T9" s="184"/>
      <c r="U9" s="1654"/>
      <c r="V9" s="1654"/>
      <c r="W9" s="1654"/>
      <c r="X9" s="183" t="s">
        <v>206</v>
      </c>
      <c r="Y9" s="183"/>
      <c r="Z9" s="183"/>
      <c r="AA9" s="1654"/>
      <c r="AB9" s="1654"/>
      <c r="AC9" s="1654"/>
      <c r="AD9" s="185" t="str">
        <f>DASHBOARD!K15&amp;" - "&amp;DASHBOARD!K16</f>
        <v xml:space="preserve">Idaho - </v>
      </c>
      <c r="AE9" s="185"/>
      <c r="AF9" s="185"/>
      <c r="AG9" s="1654"/>
      <c r="AH9" s="1654"/>
      <c r="AI9" s="1654"/>
      <c r="AJ9" s="183" t="str">
        <f>DASHBOARD!C20</f>
        <v>Square Footage :</v>
      </c>
      <c r="AK9" s="183"/>
      <c r="AL9" s="183"/>
      <c r="AM9" s="1654"/>
      <c r="AN9" s="1654"/>
      <c r="AO9" s="2807">
        <f>DASHBOARD!K20</f>
        <v>1420</v>
      </c>
      <c r="AP9" s="2807"/>
      <c r="AQ9" s="2807"/>
      <c r="AR9" s="2807"/>
      <c r="AS9" s="1654"/>
      <c r="AT9" s="1654"/>
      <c r="AU9" s="1654"/>
      <c r="AV9" s="183" t="s">
        <v>188</v>
      </c>
      <c r="AW9" s="183"/>
      <c r="AX9" s="183"/>
      <c r="AY9" s="1654"/>
      <c r="AZ9" s="1654"/>
      <c r="BA9" s="2803" t="str">
        <f>DASHBOARD!K23&amp;" / "&amp;IF(DASHBOARD!K24="","",DASHBOARD!K24)</f>
        <v>2008 / 2018</v>
      </c>
      <c r="BB9" s="2803"/>
      <c r="BC9" s="2803"/>
      <c r="BD9" s="2803"/>
      <c r="BE9" s="186"/>
      <c r="BF9" s="186"/>
      <c r="BG9" s="1655"/>
      <c r="BH9" s="377"/>
    </row>
    <row r="10" spans="1:95" ht="16.5" customHeight="1" x14ac:dyDescent="0.25">
      <c r="A10" s="9"/>
      <c r="B10" s="1361"/>
      <c r="C10" s="1361"/>
      <c r="D10" s="1361"/>
      <c r="E10" s="1361"/>
      <c r="F10" s="1361"/>
      <c r="G10" s="1361"/>
      <c r="H10" s="1361"/>
      <c r="I10" s="1361"/>
      <c r="J10" s="1361"/>
      <c r="K10" s="1361"/>
      <c r="L10" s="1361"/>
      <c r="M10" s="1361"/>
      <c r="N10" s="1361"/>
      <c r="O10" s="1361"/>
      <c r="P10" s="1361"/>
      <c r="Q10" s="1361"/>
      <c r="R10" s="1361"/>
      <c r="S10" s="1361"/>
      <c r="T10" s="1361"/>
      <c r="U10" s="1361"/>
      <c r="V10" s="1361"/>
      <c r="W10" s="1361"/>
      <c r="X10" s="1361"/>
      <c r="Y10" s="1361"/>
      <c r="Z10" s="1361"/>
      <c r="AA10" s="1361"/>
      <c r="AB10" s="1361"/>
      <c r="AC10" s="1361"/>
      <c r="AD10" s="1361"/>
      <c r="AE10" s="1361"/>
      <c r="AF10" s="1361"/>
      <c r="AG10" s="1361"/>
      <c r="AH10" s="1361"/>
      <c r="AI10" s="1361"/>
      <c r="AJ10" s="1361"/>
      <c r="AK10" s="1361"/>
      <c r="AL10" s="1361"/>
      <c r="AM10" s="1361"/>
      <c r="AN10" s="1361"/>
      <c r="AO10" s="1361"/>
      <c r="AP10" s="1361"/>
      <c r="AQ10" s="1361"/>
      <c r="AR10" s="1361"/>
      <c r="AS10" s="1361"/>
      <c r="AT10" s="1361"/>
      <c r="AU10" s="1361"/>
      <c r="AV10" s="1361"/>
      <c r="AW10" s="1361"/>
      <c r="AX10" s="1361"/>
      <c r="AY10" s="1361"/>
      <c r="AZ10" s="1361"/>
      <c r="BA10" s="1361"/>
      <c r="BB10" s="1361"/>
      <c r="BC10" s="1361"/>
      <c r="BD10" s="1361"/>
      <c r="BE10" s="1361"/>
      <c r="BF10" s="1361"/>
      <c r="BG10" s="1361"/>
      <c r="BH10" s="377"/>
    </row>
    <row r="11" spans="1:95" ht="14.25" customHeight="1" x14ac:dyDescent="0.25">
      <c r="A11" s="9"/>
      <c r="B11" s="2821" t="s">
        <v>172</v>
      </c>
      <c r="C11" s="2822"/>
      <c r="D11" s="2822"/>
      <c r="E11" s="2822"/>
      <c r="F11" s="2822"/>
      <c r="G11" s="2822"/>
      <c r="H11" s="2822"/>
      <c r="I11" s="1501"/>
      <c r="J11" s="1154" t="s">
        <v>166</v>
      </c>
      <c r="K11" s="1154"/>
      <c r="L11" s="1154"/>
      <c r="M11" s="1154"/>
      <c r="N11" s="1154"/>
      <c r="O11" s="1164"/>
      <c r="P11" s="2713">
        <f>DASHBOARD!O80</f>
        <v>3480</v>
      </c>
      <c r="Q11" s="2713"/>
      <c r="R11" s="2713"/>
      <c r="S11" s="2713"/>
      <c r="T11" s="2713"/>
      <c r="U11" s="1164"/>
      <c r="V11" s="1164"/>
      <c r="W11" s="1164"/>
      <c r="X11" s="1154" t="s">
        <v>143</v>
      </c>
      <c r="Y11" s="1154"/>
      <c r="Z11" s="1154"/>
      <c r="AA11" s="1164"/>
      <c r="AB11" s="2714">
        <f>IF(P12=0,0,tenor)</f>
        <v>0</v>
      </c>
      <c r="AC11" s="2714"/>
      <c r="AD11" s="2714"/>
      <c r="AE11" s="2714"/>
      <c r="AF11" s="2714"/>
      <c r="AG11" s="1164"/>
      <c r="AH11" s="1164"/>
      <c r="AI11" s="1164"/>
      <c r="AJ11" s="1154" t="s">
        <v>168</v>
      </c>
      <c r="AK11" s="1154"/>
      <c r="AL11" s="1154"/>
      <c r="AM11" s="1164"/>
      <c r="AN11" s="1164"/>
      <c r="AO11" s="2716">
        <f>IFERROR(P12/DASHBOARD!D27,0)</f>
        <v>1.025603448275862</v>
      </c>
      <c r="AP11" s="2716"/>
      <c r="AQ11" s="2716"/>
      <c r="AR11" s="2716"/>
      <c r="AS11" s="1164"/>
      <c r="AT11" s="1164"/>
      <c r="AU11" s="1164"/>
      <c r="AV11" s="1154" t="s">
        <v>203</v>
      </c>
      <c r="AW11" s="1154"/>
      <c r="AX11" s="1154"/>
      <c r="AY11" s="1164"/>
      <c r="AZ11" s="1164"/>
      <c r="BA11" s="2713">
        <f>DASHBOARD!AH80</f>
        <v>3569.0958498885466</v>
      </c>
      <c r="BB11" s="2713"/>
      <c r="BC11" s="2713"/>
      <c r="BD11" s="2713"/>
      <c r="BE11" s="1181"/>
      <c r="BF11" s="1181"/>
      <c r="BG11" s="1656"/>
      <c r="BH11" s="377"/>
    </row>
    <row r="12" spans="1:95" ht="14.25" customHeight="1" x14ac:dyDescent="0.25">
      <c r="A12" s="9"/>
      <c r="B12" s="2823" t="s">
        <v>184</v>
      </c>
      <c r="C12" s="2824"/>
      <c r="D12" s="2824"/>
      <c r="E12" s="2824"/>
      <c r="F12" s="2824"/>
      <c r="G12" s="2824"/>
      <c r="H12" s="2824"/>
      <c r="I12" s="1502"/>
      <c r="J12" s="1151" t="s">
        <v>6</v>
      </c>
      <c r="K12" s="1151"/>
      <c r="L12" s="1151"/>
      <c r="M12" s="1151"/>
      <c r="N12" s="1151"/>
      <c r="O12" s="1373"/>
      <c r="P12" s="2697">
        <f>loan_amount</f>
        <v>118970</v>
      </c>
      <c r="Q12" s="2697"/>
      <c r="R12" s="2697"/>
      <c r="S12" s="2697"/>
      <c r="T12" s="2697"/>
      <c r="U12" s="1373"/>
      <c r="V12" s="1373"/>
      <c r="W12" s="1373"/>
      <c r="X12" s="1151" t="s">
        <v>109</v>
      </c>
      <c r="Y12" s="1151"/>
      <c r="Z12" s="1151"/>
      <c r="AA12" s="1373"/>
      <c r="AB12" s="2715">
        <f>IF(P12=0,0,interest_rate)</f>
        <v>0</v>
      </c>
      <c r="AC12" s="2715"/>
      <c r="AD12" s="2715"/>
      <c r="AE12" s="2715"/>
      <c r="AF12" s="2715"/>
      <c r="AG12" s="1373"/>
      <c r="AH12" s="1373"/>
      <c r="AI12" s="1373"/>
      <c r="AJ12" s="1151" t="s">
        <v>169</v>
      </c>
      <c r="AK12" s="1151"/>
      <c r="AL12" s="1151"/>
      <c r="AM12" s="1373"/>
      <c r="AN12" s="1373"/>
      <c r="AO12" s="2697">
        <f>DASHBOARD!AD89</f>
        <v>1090.7326605107758</v>
      </c>
      <c r="AP12" s="2697"/>
      <c r="AQ12" s="2697"/>
      <c r="AR12" s="2697"/>
      <c r="AS12" s="1373"/>
      <c r="AT12" s="1373"/>
      <c r="AU12" s="1373"/>
      <c r="AV12" s="1151" t="s">
        <v>167</v>
      </c>
      <c r="AW12" s="1151"/>
      <c r="AX12" s="1151"/>
      <c r="AY12" s="1373"/>
      <c r="AZ12" s="1373"/>
      <c r="BA12" s="2717">
        <f>DASHBOARD!AD81</f>
        <v>0</v>
      </c>
      <c r="BB12" s="2717"/>
      <c r="BC12" s="2717"/>
      <c r="BD12" s="2717"/>
      <c r="BE12" s="1186"/>
      <c r="BF12" s="1186"/>
      <c r="BG12" s="1657"/>
      <c r="BH12" s="377"/>
    </row>
    <row r="13" spans="1:95" ht="14.25" customHeight="1" x14ac:dyDescent="0.25">
      <c r="A13" s="9"/>
      <c r="B13" s="9"/>
      <c r="C13" s="9"/>
      <c r="D13" s="9"/>
      <c r="E13" s="9"/>
      <c r="F13" s="9"/>
      <c r="G13" s="9"/>
      <c r="H13" s="9"/>
      <c r="I13" s="9"/>
      <c r="J13" s="7"/>
      <c r="K13" s="7"/>
      <c r="L13" s="7"/>
      <c r="M13" s="7"/>
      <c r="N13" s="7"/>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377"/>
      <c r="AW13" s="377"/>
      <c r="AX13" s="377"/>
      <c r="AY13" s="377"/>
      <c r="AZ13" s="377"/>
      <c r="BA13" s="377"/>
      <c r="BB13" s="377"/>
      <c r="BC13" s="377"/>
      <c r="BD13" s="377"/>
      <c r="BE13" s="377"/>
      <c r="BF13" s="377"/>
      <c r="BG13" s="377"/>
      <c r="BH13" s="377"/>
    </row>
    <row r="14" spans="1:95" ht="14.25" customHeight="1" x14ac:dyDescent="0.25">
      <c r="A14" s="9"/>
      <c r="B14" s="2819" t="s">
        <v>182</v>
      </c>
      <c r="C14" s="2819"/>
      <c r="D14" s="2819"/>
      <c r="E14" s="2819"/>
      <c r="F14" s="2819"/>
      <c r="G14" s="2819"/>
      <c r="H14" s="2819"/>
      <c r="I14" s="163"/>
      <c r="J14" s="163"/>
      <c r="K14" s="163"/>
      <c r="L14" s="163"/>
      <c r="M14" s="163"/>
      <c r="N14" s="163"/>
      <c r="O14" s="2819">
        <v>1</v>
      </c>
      <c r="P14" s="2819"/>
      <c r="Q14" s="2819"/>
      <c r="R14" s="2819">
        <f>O14+1</f>
        <v>2</v>
      </c>
      <c r="S14" s="2819"/>
      <c r="T14" s="2819"/>
      <c r="U14" s="2819">
        <f>R14+1</f>
        <v>3</v>
      </c>
      <c r="V14" s="2819"/>
      <c r="W14" s="2819"/>
      <c r="X14" s="2819">
        <f>U14+1</f>
        <v>4</v>
      </c>
      <c r="Y14" s="2819"/>
      <c r="Z14" s="2819"/>
      <c r="AA14" s="2819">
        <f>X14+1</f>
        <v>5</v>
      </c>
      <c r="AB14" s="2819"/>
      <c r="AC14" s="2819"/>
      <c r="AD14" s="2819">
        <f>AA14+1</f>
        <v>6</v>
      </c>
      <c r="AE14" s="2819"/>
      <c r="AF14" s="2819"/>
      <c r="AG14" s="2819">
        <f>AD14+1</f>
        <v>7</v>
      </c>
      <c r="AH14" s="2819"/>
      <c r="AI14" s="2819"/>
      <c r="AJ14" s="2819">
        <f>AG14+1</f>
        <v>8</v>
      </c>
      <c r="AK14" s="2819"/>
      <c r="AL14" s="2819"/>
      <c r="AM14" s="2819">
        <f>AJ14+1</f>
        <v>9</v>
      </c>
      <c r="AN14" s="2819"/>
      <c r="AO14" s="2819"/>
      <c r="AP14" s="2819">
        <f>AM14+1</f>
        <v>10</v>
      </c>
      <c r="AQ14" s="2819"/>
      <c r="AR14" s="2819"/>
      <c r="AS14" s="2819">
        <f>AP14+1</f>
        <v>11</v>
      </c>
      <c r="AT14" s="2819"/>
      <c r="AU14" s="2819"/>
      <c r="AV14" s="2819">
        <f>AS14+1</f>
        <v>12</v>
      </c>
      <c r="AW14" s="2819"/>
      <c r="AX14" s="2819"/>
      <c r="AY14" s="2819">
        <f>AV14+1</f>
        <v>13</v>
      </c>
      <c r="AZ14" s="2819"/>
      <c r="BA14" s="2819"/>
      <c r="BB14" s="2819">
        <f>AY14+1</f>
        <v>14</v>
      </c>
      <c r="BC14" s="2819"/>
      <c r="BD14" s="2819"/>
      <c r="BE14" s="2819">
        <f>BB14+1</f>
        <v>15</v>
      </c>
      <c r="BF14" s="2819"/>
      <c r="BG14" s="2819"/>
      <c r="BH14" s="164"/>
    </row>
    <row r="15" spans="1:95" ht="14.25" customHeight="1" x14ac:dyDescent="0.25">
      <c r="A15" s="9"/>
      <c r="B15" s="9"/>
      <c r="C15" s="9"/>
      <c r="D15" s="9"/>
      <c r="E15" s="9"/>
      <c r="F15" s="9"/>
      <c r="G15" s="9"/>
      <c r="H15" s="9"/>
      <c r="I15" s="9"/>
      <c r="J15" s="7"/>
      <c r="K15" s="7"/>
      <c r="L15" s="7"/>
      <c r="M15" s="7"/>
      <c r="N15" s="7"/>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377"/>
      <c r="AW15" s="377"/>
      <c r="AX15" s="377"/>
      <c r="AY15" s="377"/>
      <c r="AZ15" s="377"/>
      <c r="BA15" s="377"/>
      <c r="BB15" s="377"/>
      <c r="BC15" s="377"/>
      <c r="BD15" s="377"/>
      <c r="BE15" s="377"/>
      <c r="BF15" s="377"/>
      <c r="BG15" s="377"/>
      <c r="BH15" s="377"/>
    </row>
    <row r="16" spans="1:95" ht="16.5" customHeight="1" x14ac:dyDescent="0.25">
      <c r="A16" s="9"/>
      <c r="B16" s="1557" t="s">
        <v>210</v>
      </c>
      <c r="C16" s="1557"/>
      <c r="D16" s="1557"/>
      <c r="E16" s="1557"/>
      <c r="F16" s="1557"/>
      <c r="G16" s="1557"/>
      <c r="H16" s="1557"/>
      <c r="I16" s="1557"/>
      <c r="J16" s="675"/>
      <c r="K16" s="675"/>
      <c r="L16" s="675"/>
      <c r="M16" s="675"/>
      <c r="N16" s="675"/>
      <c r="O16" s="675"/>
      <c r="P16" s="675"/>
      <c r="Q16" s="675"/>
      <c r="R16" s="675"/>
      <c r="S16" s="675"/>
      <c r="T16" s="675"/>
      <c r="U16" s="675"/>
      <c r="V16" s="675"/>
      <c r="W16" s="675"/>
      <c r="X16" s="675"/>
      <c r="Y16" s="675"/>
      <c r="Z16" s="675"/>
      <c r="AA16" s="675"/>
      <c r="AB16" s="675"/>
      <c r="AC16" s="675"/>
      <c r="AD16" s="675"/>
      <c r="AE16" s="675"/>
      <c r="AF16" s="675"/>
      <c r="AG16" s="675"/>
      <c r="AH16" s="675"/>
      <c r="AI16" s="675"/>
      <c r="AJ16" s="675"/>
      <c r="AK16" s="675"/>
      <c r="AL16" s="675"/>
      <c r="AM16" s="675"/>
      <c r="AN16" s="675"/>
      <c r="AO16" s="675"/>
      <c r="AP16" s="675"/>
      <c r="AQ16" s="675"/>
      <c r="AR16" s="675"/>
      <c r="AS16" s="675"/>
      <c r="AT16" s="675"/>
      <c r="AU16" s="675"/>
      <c r="AV16" s="675"/>
      <c r="AW16" s="675"/>
      <c r="AX16" s="675"/>
      <c r="AY16" s="675"/>
      <c r="AZ16" s="675"/>
      <c r="BA16" s="675"/>
      <c r="BB16" s="675"/>
      <c r="BC16" s="675"/>
      <c r="BD16" s="675"/>
      <c r="BE16" s="675"/>
      <c r="BF16" s="675"/>
      <c r="BG16" s="675"/>
      <c r="BH16" s="1562"/>
    </row>
    <row r="17" spans="1:68" ht="16.5" customHeight="1" x14ac:dyDescent="0.25">
      <c r="A17" s="9"/>
      <c r="B17" s="9"/>
      <c r="C17" s="9"/>
      <c r="D17" s="9"/>
      <c r="E17" s="9"/>
      <c r="F17" s="9"/>
      <c r="G17" s="9"/>
      <c r="H17" s="9"/>
      <c r="I17" s="9"/>
      <c r="J17" s="7"/>
      <c r="K17" s="7"/>
      <c r="L17" s="7"/>
      <c r="M17" s="7"/>
      <c r="N17" s="7"/>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377"/>
      <c r="AW17" s="377"/>
      <c r="AX17" s="377"/>
      <c r="AY17" s="377"/>
      <c r="AZ17" s="377"/>
      <c r="BA17" s="377"/>
      <c r="BB17" s="377"/>
      <c r="BC17" s="377"/>
      <c r="BD17" s="377"/>
      <c r="BE17" s="377"/>
      <c r="BF17" s="377"/>
      <c r="BG17" s="377"/>
      <c r="BH17" s="377"/>
      <c r="BL17" s="350"/>
      <c r="BM17" s="350"/>
      <c r="BN17" s="350"/>
    </row>
    <row r="18" spans="1:68" ht="16.5" customHeight="1" x14ac:dyDescent="0.25">
      <c r="A18" s="9"/>
      <c r="B18" s="2825" t="str">
        <f>FORECASTS!B26</f>
        <v>Net Rental Income</v>
      </c>
      <c r="C18" s="2825"/>
      <c r="D18" s="2825"/>
      <c r="E18" s="2825"/>
      <c r="F18" s="2825"/>
      <c r="G18" s="2825"/>
      <c r="H18" s="2825"/>
      <c r="I18" s="44"/>
      <c r="J18" s="20"/>
      <c r="K18" s="20"/>
      <c r="L18" s="20"/>
      <c r="M18" s="20"/>
      <c r="N18" s="20"/>
      <c r="O18" s="2809">
        <f>FORECASTS!E26</f>
        <v>0</v>
      </c>
      <c r="P18" s="2809"/>
      <c r="Q18" s="2809"/>
      <c r="R18" s="2809">
        <f>FORECASTS!F26</f>
        <v>0</v>
      </c>
      <c r="S18" s="2809"/>
      <c r="T18" s="2809"/>
      <c r="U18" s="2809">
        <f>FORECASTS!G26</f>
        <v>0</v>
      </c>
      <c r="V18" s="2809"/>
      <c r="W18" s="2809"/>
      <c r="X18" s="2809">
        <f>FORECASTS!H26</f>
        <v>0</v>
      </c>
      <c r="Y18" s="2809"/>
      <c r="Z18" s="2809"/>
      <c r="AA18" s="2809">
        <f>FORECASTS!I26</f>
        <v>0</v>
      </c>
      <c r="AB18" s="2809"/>
      <c r="AC18" s="2809"/>
      <c r="AD18" s="2809">
        <f>FORECASTS!J26</f>
        <v>0</v>
      </c>
      <c r="AE18" s="2809"/>
      <c r="AF18" s="2809"/>
      <c r="AG18" s="2809">
        <f>FORECASTS!K26</f>
        <v>0</v>
      </c>
      <c r="AH18" s="2809"/>
      <c r="AI18" s="2809"/>
      <c r="AJ18" s="2809">
        <f>FORECASTS!L26</f>
        <v>0</v>
      </c>
      <c r="AK18" s="2809"/>
      <c r="AL18" s="2809"/>
      <c r="AM18" s="2809">
        <f>FORECASTS!M26</f>
        <v>0</v>
      </c>
      <c r="AN18" s="2809"/>
      <c r="AO18" s="2809"/>
      <c r="AP18" s="2809">
        <f>FORECASTS!N26</f>
        <v>0</v>
      </c>
      <c r="AQ18" s="2809"/>
      <c r="AR18" s="2809"/>
      <c r="AS18" s="2809">
        <f>FORECASTS!O26</f>
        <v>0</v>
      </c>
      <c r="AT18" s="2809"/>
      <c r="AU18" s="2809"/>
      <c r="AV18" s="2809">
        <f>FORECASTS!P26</f>
        <v>0</v>
      </c>
      <c r="AW18" s="2809"/>
      <c r="AX18" s="2809"/>
      <c r="AY18" s="2809">
        <f>FORECASTS!Q26</f>
        <v>0</v>
      </c>
      <c r="AZ18" s="2809"/>
      <c r="BA18" s="2809"/>
      <c r="BB18" s="2809">
        <f>FORECASTS!R26</f>
        <v>0</v>
      </c>
      <c r="BC18" s="2809"/>
      <c r="BD18" s="2809"/>
      <c r="BE18" s="2809">
        <f>FORECASTS!S26</f>
        <v>0</v>
      </c>
      <c r="BF18" s="2809"/>
      <c r="BG18" s="2809"/>
      <c r="BH18" s="165"/>
      <c r="BL18" s="350"/>
      <c r="BM18" s="350"/>
      <c r="BN18" s="350"/>
    </row>
    <row r="19" spans="1:68" ht="16.5" customHeight="1" x14ac:dyDescent="0.25">
      <c r="A19" s="9"/>
      <c r="B19" s="2825" t="s">
        <v>170</v>
      </c>
      <c r="C19" s="2825"/>
      <c r="D19" s="2825"/>
      <c r="E19" s="2825"/>
      <c r="F19" s="2825"/>
      <c r="G19" s="2825"/>
      <c r="H19" s="2825"/>
      <c r="I19" s="44"/>
      <c r="J19" s="20"/>
      <c r="K19" s="20"/>
      <c r="L19" s="20"/>
      <c r="M19" s="20"/>
      <c r="N19" s="20"/>
      <c r="O19" s="2809">
        <f>FORECASTS!E68</f>
        <v>0</v>
      </c>
      <c r="P19" s="2809"/>
      <c r="Q19" s="2809"/>
      <c r="R19" s="2809">
        <f>FORECASTS!F68</f>
        <v>0</v>
      </c>
      <c r="S19" s="2809"/>
      <c r="T19" s="2809"/>
      <c r="U19" s="2809">
        <f>FORECASTS!G68</f>
        <v>0</v>
      </c>
      <c r="V19" s="2809"/>
      <c r="W19" s="2809"/>
      <c r="X19" s="2809">
        <f>FORECASTS!H68</f>
        <v>0</v>
      </c>
      <c r="Y19" s="2809"/>
      <c r="Z19" s="2809"/>
      <c r="AA19" s="2809">
        <f>FORECASTS!I68</f>
        <v>0</v>
      </c>
      <c r="AB19" s="2809"/>
      <c r="AC19" s="2809"/>
      <c r="AD19" s="2809">
        <f>FORECASTS!J68</f>
        <v>0</v>
      </c>
      <c r="AE19" s="2809"/>
      <c r="AF19" s="2809"/>
      <c r="AG19" s="2809">
        <f>FORECASTS!K68</f>
        <v>0</v>
      </c>
      <c r="AH19" s="2809"/>
      <c r="AI19" s="2809"/>
      <c r="AJ19" s="2809">
        <f>FORECASTS!L68</f>
        <v>0</v>
      </c>
      <c r="AK19" s="2809"/>
      <c r="AL19" s="2809"/>
      <c r="AM19" s="2809">
        <f>FORECASTS!M68</f>
        <v>0</v>
      </c>
      <c r="AN19" s="2809"/>
      <c r="AO19" s="2809"/>
      <c r="AP19" s="2809">
        <f>FORECASTS!N68</f>
        <v>0</v>
      </c>
      <c r="AQ19" s="2809"/>
      <c r="AR19" s="2809"/>
      <c r="AS19" s="2809">
        <f>FORECASTS!O68</f>
        <v>0</v>
      </c>
      <c r="AT19" s="2809"/>
      <c r="AU19" s="2809"/>
      <c r="AV19" s="2809">
        <f>FORECASTS!P68</f>
        <v>0</v>
      </c>
      <c r="AW19" s="2809"/>
      <c r="AX19" s="2809"/>
      <c r="AY19" s="2809">
        <f>FORECASTS!Q68</f>
        <v>0</v>
      </c>
      <c r="AZ19" s="2809"/>
      <c r="BA19" s="2809"/>
      <c r="BB19" s="2809">
        <f>FORECASTS!R68</f>
        <v>0</v>
      </c>
      <c r="BC19" s="2809"/>
      <c r="BD19" s="2809"/>
      <c r="BE19" s="2809">
        <f>FORECASTS!S68</f>
        <v>0</v>
      </c>
      <c r="BF19" s="2809"/>
      <c r="BG19" s="2809"/>
      <c r="BH19" s="160"/>
      <c r="BL19" s="350"/>
      <c r="BM19" s="350"/>
      <c r="BN19" s="350"/>
    </row>
    <row r="20" spans="1:68" ht="16.5" customHeight="1" x14ac:dyDescent="0.25">
      <c r="A20" s="9"/>
      <c r="B20" s="2831" t="s">
        <v>83</v>
      </c>
      <c r="C20" s="2831"/>
      <c r="D20" s="2831"/>
      <c r="E20" s="2831"/>
      <c r="F20" s="2831"/>
      <c r="G20" s="2831"/>
      <c r="H20" s="2831"/>
      <c r="I20" s="46"/>
      <c r="J20" s="46"/>
      <c r="K20" s="46"/>
      <c r="L20" s="46"/>
      <c r="M20" s="46"/>
      <c r="N20" s="46"/>
      <c r="O20" s="2817">
        <f>SUM(O18:O19)</f>
        <v>0</v>
      </c>
      <c r="P20" s="2817"/>
      <c r="Q20" s="2817"/>
      <c r="R20" s="2817">
        <f>SUM(R18:R19)</f>
        <v>0</v>
      </c>
      <c r="S20" s="2817"/>
      <c r="T20" s="2817"/>
      <c r="U20" s="2817">
        <f>SUM(U18:U19)</f>
        <v>0</v>
      </c>
      <c r="V20" s="2817"/>
      <c r="W20" s="2817"/>
      <c r="X20" s="2817">
        <f>SUM(X18:X19)</f>
        <v>0</v>
      </c>
      <c r="Y20" s="2817"/>
      <c r="Z20" s="2817"/>
      <c r="AA20" s="2817">
        <f>SUM(AA18:AA19)</f>
        <v>0</v>
      </c>
      <c r="AB20" s="2817"/>
      <c r="AC20" s="2817"/>
      <c r="AD20" s="2817">
        <f>SUM(AD18:AD19)</f>
        <v>0</v>
      </c>
      <c r="AE20" s="2817"/>
      <c r="AF20" s="2817"/>
      <c r="AG20" s="2817">
        <f>SUM(AG18:AG19)</f>
        <v>0</v>
      </c>
      <c r="AH20" s="2817"/>
      <c r="AI20" s="2817"/>
      <c r="AJ20" s="2817">
        <f>SUM(AJ18:AJ19)</f>
        <v>0</v>
      </c>
      <c r="AK20" s="2817"/>
      <c r="AL20" s="2817"/>
      <c r="AM20" s="2817">
        <f>SUM(AM18:AM19)</f>
        <v>0</v>
      </c>
      <c r="AN20" s="2817"/>
      <c r="AO20" s="2817"/>
      <c r="AP20" s="2817">
        <f>SUM(AP18:AP19)</f>
        <v>0</v>
      </c>
      <c r="AQ20" s="2817"/>
      <c r="AR20" s="2817"/>
      <c r="AS20" s="2817">
        <f>SUM(AS18:AS19)</f>
        <v>0</v>
      </c>
      <c r="AT20" s="2817"/>
      <c r="AU20" s="2817"/>
      <c r="AV20" s="2817">
        <f>SUM(AV18:AV19)</f>
        <v>0</v>
      </c>
      <c r="AW20" s="2817"/>
      <c r="AX20" s="2817"/>
      <c r="AY20" s="2817">
        <f>SUM(AY18:AY19)</f>
        <v>0</v>
      </c>
      <c r="AZ20" s="2817"/>
      <c r="BA20" s="2817"/>
      <c r="BB20" s="2817">
        <f>SUM(BB18:BB19)</f>
        <v>0</v>
      </c>
      <c r="BC20" s="2817"/>
      <c r="BD20" s="2817"/>
      <c r="BE20" s="2817">
        <f>SUM(BE18:BE19)</f>
        <v>0</v>
      </c>
      <c r="BF20" s="2817"/>
      <c r="BG20" s="2817"/>
      <c r="BH20" s="161"/>
      <c r="BL20" s="350"/>
      <c r="BM20" s="350"/>
      <c r="BN20" s="350"/>
    </row>
    <row r="21" spans="1:68" ht="14.25" customHeight="1" x14ac:dyDescent="0.25">
      <c r="A21" s="9"/>
      <c r="B21" s="2833" t="s">
        <v>409</v>
      </c>
      <c r="C21" s="2833"/>
      <c r="D21" s="2833"/>
      <c r="E21" s="2833"/>
      <c r="F21" s="2833"/>
      <c r="G21" s="2833"/>
      <c r="H21" s="2833"/>
      <c r="I21" s="2833"/>
      <c r="J21" s="44"/>
      <c r="K21" s="44"/>
      <c r="L21" s="44"/>
      <c r="M21" s="44"/>
      <c r="N21" s="44"/>
      <c r="O21" s="2809">
        <f>FORECASTS!E74+IF(O14&lt;=holding,FORECASTS!E76+FORECASTS!E77)</f>
        <v>0</v>
      </c>
      <c r="P21" s="2809"/>
      <c r="Q21" s="2809"/>
      <c r="R21" s="2809">
        <f>FORECASTS!F74+IF(R14&lt;=holding,FORECASTS!F76+FORECASTS!F77)</f>
        <v>0</v>
      </c>
      <c r="S21" s="2809"/>
      <c r="T21" s="2809"/>
      <c r="U21" s="2809">
        <f>FORECASTS!G74+IF(U14&lt;=holding,FORECASTS!G76+FORECASTS!G77)</f>
        <v>0</v>
      </c>
      <c r="V21" s="2809"/>
      <c r="W21" s="2809"/>
      <c r="X21" s="2809">
        <f>FORECASTS!H74+IF(X14&lt;=holding,FORECASTS!H76+FORECASTS!H77)</f>
        <v>0</v>
      </c>
      <c r="Y21" s="2809"/>
      <c r="Z21" s="2809"/>
      <c r="AA21" s="2809">
        <f>FORECASTS!I74+IF(AA14&lt;=holding,FORECASTS!I76+FORECASTS!I77)</f>
        <v>0</v>
      </c>
      <c r="AB21" s="2809"/>
      <c r="AC21" s="2809"/>
      <c r="AD21" s="2809">
        <f>FORECASTS!J74+IF(AD14&lt;=holding,FORECASTS!J76+FORECASTS!J77)</f>
        <v>0</v>
      </c>
      <c r="AE21" s="2809"/>
      <c r="AF21" s="2809"/>
      <c r="AG21" s="2809">
        <f>FORECASTS!K74+IF(AG14&lt;=holding,FORECASTS!K76+FORECASTS!K77)</f>
        <v>0</v>
      </c>
      <c r="AH21" s="2809"/>
      <c r="AI21" s="2809"/>
      <c r="AJ21" s="2809">
        <f>FORECASTS!L74+IF(AJ14&lt;=holding,FORECASTS!L76+FORECASTS!L77)</f>
        <v>0</v>
      </c>
      <c r="AK21" s="2809"/>
      <c r="AL21" s="2809"/>
      <c r="AM21" s="2809">
        <f>FORECASTS!M74+IF(AM14&lt;=holding,FORECASTS!M76+FORECASTS!M77)</f>
        <v>0</v>
      </c>
      <c r="AN21" s="2809"/>
      <c r="AO21" s="2809"/>
      <c r="AP21" s="2809">
        <f>FORECASTS!N74+IF(AP14&lt;=holding,FORECASTS!N76+FORECASTS!N77)</f>
        <v>0</v>
      </c>
      <c r="AQ21" s="2809"/>
      <c r="AR21" s="2809"/>
      <c r="AS21" s="2809">
        <f>FORECASTS!O74+IF(AS14&lt;=holding,FORECASTS!O76+FORECASTS!O77)</f>
        <v>0</v>
      </c>
      <c r="AT21" s="2809"/>
      <c r="AU21" s="2809"/>
      <c r="AV21" s="2809">
        <f>FORECASTS!P74+IF(AV14&lt;=holding,FORECASTS!P76+FORECASTS!P77)</f>
        <v>0</v>
      </c>
      <c r="AW21" s="2809"/>
      <c r="AX21" s="2809"/>
      <c r="AY21" s="2809">
        <f>FORECASTS!Q74+IF(AY14&lt;=holding,FORECASTS!Q76+FORECASTS!Q77)</f>
        <v>0</v>
      </c>
      <c r="AZ21" s="2809"/>
      <c r="BA21" s="2809"/>
      <c r="BB21" s="2809">
        <f>FORECASTS!R74+IF(BB14&lt;=holding,FORECASTS!R76+FORECASTS!R77)</f>
        <v>0</v>
      </c>
      <c r="BC21" s="2809"/>
      <c r="BD21" s="2809"/>
      <c r="BE21" s="2809">
        <f>FORECASTS!S74+IF(BE14&lt;=holding,FORECASTS!S76+FORECASTS!S77)</f>
        <v>0</v>
      </c>
      <c r="BF21" s="2809"/>
      <c r="BG21" s="2809"/>
      <c r="BH21" s="160"/>
      <c r="BL21" s="350"/>
      <c r="BM21" s="350"/>
      <c r="BN21" s="350"/>
    </row>
    <row r="22" spans="1:68" ht="14.25" customHeight="1" x14ac:dyDescent="0.25">
      <c r="A22" s="9"/>
      <c r="B22" s="2832" t="s">
        <v>171</v>
      </c>
      <c r="C22" s="2832"/>
      <c r="D22" s="2832"/>
      <c r="E22" s="2832"/>
      <c r="F22" s="2832"/>
      <c r="G22" s="2832"/>
      <c r="H22" s="2832"/>
      <c r="I22" s="46"/>
      <c r="J22" s="46"/>
      <c r="K22" s="46"/>
      <c r="L22" s="46"/>
      <c r="M22" s="46"/>
      <c r="N22" s="46"/>
      <c r="O22" s="2820">
        <f>O20+O21</f>
        <v>0</v>
      </c>
      <c r="P22" s="2820"/>
      <c r="Q22" s="2820"/>
      <c r="R22" s="2820">
        <f>R20+R21</f>
        <v>0</v>
      </c>
      <c r="S22" s="2820"/>
      <c r="T22" s="2820"/>
      <c r="U22" s="2820">
        <f>U20+U21</f>
        <v>0</v>
      </c>
      <c r="V22" s="2820"/>
      <c r="W22" s="2820"/>
      <c r="X22" s="2820">
        <f>X20+X21</f>
        <v>0</v>
      </c>
      <c r="Y22" s="2820"/>
      <c r="Z22" s="2820"/>
      <c r="AA22" s="2820">
        <f>AA20+AA21</f>
        <v>0</v>
      </c>
      <c r="AB22" s="2820"/>
      <c r="AC22" s="2820"/>
      <c r="AD22" s="2820">
        <f>AD20+AD21</f>
        <v>0</v>
      </c>
      <c r="AE22" s="2820"/>
      <c r="AF22" s="2820"/>
      <c r="AG22" s="2820">
        <f>AG20+AG21</f>
        <v>0</v>
      </c>
      <c r="AH22" s="2820"/>
      <c r="AI22" s="2820"/>
      <c r="AJ22" s="2820">
        <f>AJ20+AJ21</f>
        <v>0</v>
      </c>
      <c r="AK22" s="2820"/>
      <c r="AL22" s="2820"/>
      <c r="AM22" s="2820">
        <f>AM20+AM21</f>
        <v>0</v>
      </c>
      <c r="AN22" s="2820"/>
      <c r="AO22" s="2820"/>
      <c r="AP22" s="2820">
        <f>AP20+AP21</f>
        <v>0</v>
      </c>
      <c r="AQ22" s="2820"/>
      <c r="AR22" s="2820"/>
      <c r="AS22" s="2820">
        <f>AS20+AS21</f>
        <v>0</v>
      </c>
      <c r="AT22" s="2820"/>
      <c r="AU22" s="2820"/>
      <c r="AV22" s="2820">
        <f>AV20+AV21</f>
        <v>0</v>
      </c>
      <c r="AW22" s="2820"/>
      <c r="AX22" s="2820"/>
      <c r="AY22" s="2820">
        <f>AY20+AY21</f>
        <v>0</v>
      </c>
      <c r="AZ22" s="2820"/>
      <c r="BA22" s="2820"/>
      <c r="BB22" s="2820">
        <f>BB20+BB21</f>
        <v>0</v>
      </c>
      <c r="BC22" s="2820"/>
      <c r="BD22" s="2820"/>
      <c r="BE22" s="2820">
        <f>BE20+BE21</f>
        <v>0</v>
      </c>
      <c r="BF22" s="2820"/>
      <c r="BG22" s="2820"/>
      <c r="BH22" s="166"/>
      <c r="BL22" s="350"/>
      <c r="BM22" s="350"/>
      <c r="BN22" s="350"/>
    </row>
    <row r="23" spans="1:68" ht="15" customHeight="1" x14ac:dyDescent="0.25">
      <c r="A23" s="9"/>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L23" s="350"/>
      <c r="BM23" s="350"/>
      <c r="BN23" s="350"/>
    </row>
    <row r="24" spans="1:68" ht="16.5" customHeight="1" x14ac:dyDescent="0.25">
      <c r="A24" s="9"/>
      <c r="B24" s="1557" t="s">
        <v>172</v>
      </c>
      <c r="C24" s="1557"/>
      <c r="D24" s="1557"/>
      <c r="E24" s="1557"/>
      <c r="F24" s="1557"/>
      <c r="G24" s="1557"/>
      <c r="H24" s="1557"/>
      <c r="I24" s="1557"/>
      <c r="J24" s="675"/>
      <c r="K24" s="675"/>
      <c r="L24" s="675"/>
      <c r="M24" s="675"/>
      <c r="N24" s="675"/>
      <c r="O24" s="675"/>
      <c r="P24" s="675"/>
      <c r="Q24" s="675"/>
      <c r="R24" s="675"/>
      <c r="S24" s="675"/>
      <c r="T24" s="675"/>
      <c r="U24" s="675"/>
      <c r="V24" s="675"/>
      <c r="W24" s="675"/>
      <c r="X24" s="675"/>
      <c r="Y24" s="675"/>
      <c r="Z24" s="675"/>
      <c r="AA24" s="675"/>
      <c r="AB24" s="675"/>
      <c r="AC24" s="675"/>
      <c r="AD24" s="675"/>
      <c r="AE24" s="675"/>
      <c r="AF24" s="675"/>
      <c r="AG24" s="675"/>
      <c r="AH24" s="675"/>
      <c r="AI24" s="675"/>
      <c r="AJ24" s="675"/>
      <c r="AK24" s="675"/>
      <c r="AL24" s="675"/>
      <c r="AM24" s="675"/>
      <c r="AN24" s="675"/>
      <c r="AO24" s="675"/>
      <c r="AP24" s="675"/>
      <c r="AQ24" s="675"/>
      <c r="AR24" s="675"/>
      <c r="AS24" s="675"/>
      <c r="AT24" s="675"/>
      <c r="AU24" s="675"/>
      <c r="AV24" s="675"/>
      <c r="AW24" s="675"/>
      <c r="AX24" s="675"/>
      <c r="AY24" s="675"/>
      <c r="AZ24" s="675"/>
      <c r="BA24" s="675"/>
      <c r="BB24" s="675"/>
      <c r="BC24" s="675"/>
      <c r="BD24" s="675"/>
      <c r="BE24" s="675"/>
      <c r="BF24" s="675"/>
      <c r="BG24" s="675"/>
      <c r="BH24" s="1562"/>
      <c r="BL24" s="350"/>
      <c r="BM24" s="350"/>
      <c r="BN24" s="350"/>
    </row>
    <row r="25" spans="1:68" ht="3.75" customHeight="1" x14ac:dyDescent="0.25">
      <c r="A25" s="9"/>
      <c r="B25" s="44"/>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L25" s="350"/>
      <c r="BM25" s="1762"/>
      <c r="BN25" s="1763"/>
      <c r="BP25" s="359"/>
    </row>
    <row r="26" spans="1:68" ht="16.5" customHeight="1" x14ac:dyDescent="0.25">
      <c r="A26" s="9"/>
      <c r="B26" s="44" t="s">
        <v>173</v>
      </c>
      <c r="C26" s="44"/>
      <c r="D26" s="44"/>
      <c r="E26" s="44"/>
      <c r="F26" s="44"/>
      <c r="G26" s="44"/>
      <c r="H26" s="44"/>
      <c r="I26" s="44"/>
      <c r="J26" s="2805">
        <f>FORECASTS!D94</f>
        <v>118970</v>
      </c>
      <c r="K26" s="2805"/>
      <c r="L26" s="2805"/>
      <c r="M26" s="2805"/>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159"/>
      <c r="BD26" s="159"/>
      <c r="BE26" s="159"/>
      <c r="BF26" s="159"/>
      <c r="BG26" s="159"/>
      <c r="BH26" s="44"/>
      <c r="BL26" s="350"/>
      <c r="BM26" s="1762"/>
      <c r="BN26" s="1764"/>
    </row>
    <row r="27" spans="1:68" ht="16.5" customHeight="1" x14ac:dyDescent="0.25">
      <c r="A27" s="9"/>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L27" s="350"/>
      <c r="BM27" s="350"/>
      <c r="BN27" s="350"/>
    </row>
    <row r="28" spans="1:68" ht="16.5" customHeight="1" x14ac:dyDescent="0.25">
      <c r="A28" s="9"/>
      <c r="B28" s="44" t="s">
        <v>32</v>
      </c>
      <c r="C28" s="44"/>
      <c r="D28" s="44"/>
      <c r="E28" s="44"/>
      <c r="F28" s="44"/>
      <c r="G28" s="44"/>
      <c r="H28" s="44"/>
      <c r="I28" s="44"/>
      <c r="J28" s="44"/>
      <c r="K28" s="44"/>
      <c r="L28" s="44"/>
      <c r="M28" s="44"/>
      <c r="N28" s="44"/>
      <c r="O28" s="2809">
        <f>FORECASTS!E97</f>
        <v>0</v>
      </c>
      <c r="P28" s="2809"/>
      <c r="Q28" s="2809"/>
      <c r="R28" s="2809">
        <f>FORECASTS!F97</f>
        <v>0</v>
      </c>
      <c r="S28" s="2809"/>
      <c r="T28" s="2809"/>
      <c r="U28" s="2809">
        <f>FORECASTS!G97</f>
        <v>0</v>
      </c>
      <c r="V28" s="2809"/>
      <c r="W28" s="2809"/>
      <c r="X28" s="2809">
        <f>FORECASTS!H97</f>
        <v>0</v>
      </c>
      <c r="Y28" s="2809"/>
      <c r="Z28" s="2809"/>
      <c r="AA28" s="2809">
        <f>FORECASTS!I97</f>
        <v>0</v>
      </c>
      <c r="AB28" s="2809"/>
      <c r="AC28" s="2809"/>
      <c r="AD28" s="2809">
        <f>FORECASTS!J97</f>
        <v>0</v>
      </c>
      <c r="AE28" s="2809"/>
      <c r="AF28" s="2809"/>
      <c r="AG28" s="2809">
        <f>FORECASTS!K97</f>
        <v>0</v>
      </c>
      <c r="AH28" s="2809"/>
      <c r="AI28" s="2809"/>
      <c r="AJ28" s="2809">
        <f>FORECASTS!L97</f>
        <v>0</v>
      </c>
      <c r="AK28" s="2809"/>
      <c r="AL28" s="2809"/>
      <c r="AM28" s="2809">
        <f>FORECASTS!M97</f>
        <v>0</v>
      </c>
      <c r="AN28" s="2809"/>
      <c r="AO28" s="2809"/>
      <c r="AP28" s="2809">
        <f>FORECASTS!N97</f>
        <v>0</v>
      </c>
      <c r="AQ28" s="2809"/>
      <c r="AR28" s="2809"/>
      <c r="AS28" s="2809">
        <f>FORECASTS!O97</f>
        <v>0</v>
      </c>
      <c r="AT28" s="2809"/>
      <c r="AU28" s="2809"/>
      <c r="AV28" s="2809">
        <f>FORECASTS!P97</f>
        <v>0</v>
      </c>
      <c r="AW28" s="2809"/>
      <c r="AX28" s="2809"/>
      <c r="AY28" s="2809">
        <f>FORECASTS!Q97</f>
        <v>0</v>
      </c>
      <c r="AZ28" s="2809"/>
      <c r="BA28" s="2809"/>
      <c r="BB28" s="2809">
        <f>FORECASTS!R97</f>
        <v>0</v>
      </c>
      <c r="BC28" s="2809"/>
      <c r="BD28" s="2809"/>
      <c r="BE28" s="2809">
        <f>FORECASTS!S97</f>
        <v>0</v>
      </c>
      <c r="BF28" s="2809"/>
      <c r="BG28" s="2809"/>
      <c r="BH28" s="160"/>
      <c r="BL28" s="350"/>
      <c r="BM28" s="350"/>
      <c r="BN28" s="350"/>
    </row>
    <row r="29" spans="1:68" ht="16.5" customHeight="1" x14ac:dyDescent="0.25">
      <c r="A29" s="9"/>
      <c r="B29" s="44" t="s">
        <v>31</v>
      </c>
      <c r="C29" s="44"/>
      <c r="D29" s="44"/>
      <c r="E29" s="44"/>
      <c r="F29" s="44"/>
      <c r="G29" s="44"/>
      <c r="H29" s="44"/>
      <c r="I29" s="44"/>
      <c r="J29" s="44"/>
      <c r="K29" s="44"/>
      <c r="L29" s="44"/>
      <c r="M29" s="44"/>
      <c r="N29" s="44"/>
      <c r="O29" s="2809">
        <f>DEBT!D14</f>
        <v>0</v>
      </c>
      <c r="P29" s="2809"/>
      <c r="Q29" s="2809"/>
      <c r="R29" s="2809">
        <f>DEBT!E14</f>
        <v>0</v>
      </c>
      <c r="S29" s="2809"/>
      <c r="T29" s="2809"/>
      <c r="U29" s="2809">
        <f>DEBT!F14</f>
        <v>0</v>
      </c>
      <c r="V29" s="2809"/>
      <c r="W29" s="2809"/>
      <c r="X29" s="2809">
        <f>DEBT!G14</f>
        <v>0</v>
      </c>
      <c r="Y29" s="2809"/>
      <c r="Z29" s="2809"/>
      <c r="AA29" s="2809">
        <f>DEBT!H14</f>
        <v>0</v>
      </c>
      <c r="AB29" s="2809"/>
      <c r="AC29" s="2809"/>
      <c r="AD29" s="2809">
        <f>DEBT!I14</f>
        <v>0</v>
      </c>
      <c r="AE29" s="2809"/>
      <c r="AF29" s="2809"/>
      <c r="AG29" s="2809">
        <f>DEBT!J14</f>
        <v>0</v>
      </c>
      <c r="AH29" s="2809"/>
      <c r="AI29" s="2809"/>
      <c r="AJ29" s="2809">
        <f>DEBT!K14</f>
        <v>0</v>
      </c>
      <c r="AK29" s="2809"/>
      <c r="AL29" s="2809"/>
      <c r="AM29" s="2809">
        <f>DEBT!L14</f>
        <v>0</v>
      </c>
      <c r="AN29" s="2809"/>
      <c r="AO29" s="2809"/>
      <c r="AP29" s="2809">
        <f>DEBT!M14</f>
        <v>0</v>
      </c>
      <c r="AQ29" s="2809"/>
      <c r="AR29" s="2809"/>
      <c r="AS29" s="2809">
        <f>DEBT!N14</f>
        <v>0</v>
      </c>
      <c r="AT29" s="2809"/>
      <c r="AU29" s="2809"/>
      <c r="AV29" s="2809">
        <f>DEBT!O14</f>
        <v>0</v>
      </c>
      <c r="AW29" s="2809"/>
      <c r="AX29" s="2809"/>
      <c r="AY29" s="2809">
        <f>DEBT!P14</f>
        <v>0</v>
      </c>
      <c r="AZ29" s="2809"/>
      <c r="BA29" s="2809"/>
      <c r="BB29" s="2809">
        <f>DEBT!Q14</f>
        <v>0</v>
      </c>
      <c r="BC29" s="2809"/>
      <c r="BD29" s="2809"/>
      <c r="BE29" s="2809">
        <f>DEBT!R14</f>
        <v>0</v>
      </c>
      <c r="BF29" s="2809"/>
      <c r="BG29" s="2809"/>
      <c r="BH29" s="160"/>
      <c r="BL29" s="1658"/>
      <c r="BM29" s="1658"/>
      <c r="BN29" s="1658"/>
    </row>
    <row r="30" spans="1:68" ht="3.75" customHeight="1" x14ac:dyDescent="0.25">
      <c r="A30" s="9"/>
      <c r="B30" s="44" t="s">
        <v>29</v>
      </c>
      <c r="C30" s="44"/>
      <c r="D30" s="44"/>
      <c r="E30" s="44"/>
      <c r="F30" s="44"/>
      <c r="G30" s="44"/>
      <c r="H30" s="44"/>
      <c r="I30" s="44"/>
      <c r="J30" s="44"/>
      <c r="K30" s="44"/>
      <c r="L30" s="44"/>
      <c r="M30" s="44"/>
      <c r="N30" s="44"/>
      <c r="O30" s="2814">
        <f>FORECASTS!E98</f>
        <v>0</v>
      </c>
      <c r="P30" s="2814"/>
      <c r="Q30" s="2814"/>
      <c r="R30" s="2814">
        <f>FORECASTS!F98</f>
        <v>0</v>
      </c>
      <c r="S30" s="2814"/>
      <c r="T30" s="2814"/>
      <c r="U30" s="2814">
        <f>FORECASTS!G98</f>
        <v>0</v>
      </c>
      <c r="V30" s="2814"/>
      <c r="W30" s="2814"/>
      <c r="X30" s="2814">
        <f>FORECASTS!H98</f>
        <v>0</v>
      </c>
      <c r="Y30" s="2814"/>
      <c r="Z30" s="2814"/>
      <c r="AA30" s="2814">
        <f>FORECASTS!I98</f>
        <v>0</v>
      </c>
      <c r="AB30" s="2814"/>
      <c r="AC30" s="2814"/>
      <c r="AD30" s="2814">
        <f>FORECASTS!J98</f>
        <v>0</v>
      </c>
      <c r="AE30" s="2814"/>
      <c r="AF30" s="2814"/>
      <c r="AG30" s="2814">
        <f>FORECASTS!K98</f>
        <v>0</v>
      </c>
      <c r="AH30" s="2814"/>
      <c r="AI30" s="2814"/>
      <c r="AJ30" s="2814">
        <f>FORECASTS!L98</f>
        <v>0</v>
      </c>
      <c r="AK30" s="2814"/>
      <c r="AL30" s="2814"/>
      <c r="AM30" s="2814">
        <f>FORECASTS!M98</f>
        <v>0</v>
      </c>
      <c r="AN30" s="2814"/>
      <c r="AO30" s="2814"/>
      <c r="AP30" s="2814">
        <f>FORECASTS!N98</f>
        <v>0</v>
      </c>
      <c r="AQ30" s="2814"/>
      <c r="AR30" s="2814"/>
      <c r="AS30" s="2814">
        <f>FORECASTS!O98</f>
        <v>0</v>
      </c>
      <c r="AT30" s="2814"/>
      <c r="AU30" s="2814"/>
      <c r="AV30" s="2814">
        <f>FORECASTS!P98</f>
        <v>0</v>
      </c>
      <c r="AW30" s="2814"/>
      <c r="AX30" s="2814"/>
      <c r="AY30" s="2814">
        <f>FORECASTS!Q98</f>
        <v>0</v>
      </c>
      <c r="AZ30" s="2814"/>
      <c r="BA30" s="2814"/>
      <c r="BB30" s="2814">
        <f>FORECASTS!R98</f>
        <v>0</v>
      </c>
      <c r="BC30" s="2814"/>
      <c r="BD30" s="2814"/>
      <c r="BE30" s="2814">
        <f>FORECASTS!S98</f>
        <v>0</v>
      </c>
      <c r="BF30" s="2814"/>
      <c r="BG30" s="2814"/>
      <c r="BH30" s="160"/>
    </row>
    <row r="31" spans="1:68" ht="16.5" customHeight="1" x14ac:dyDescent="0.25">
      <c r="A31" s="9"/>
      <c r="B31" s="462" t="s">
        <v>33</v>
      </c>
      <c r="C31" s="462"/>
      <c r="D31" s="462"/>
      <c r="E31" s="462"/>
      <c r="F31" s="462"/>
      <c r="G31" s="462"/>
      <c r="H31" s="462"/>
      <c r="I31" s="462"/>
      <c r="J31" s="462"/>
      <c r="K31" s="462"/>
      <c r="L31" s="462"/>
      <c r="M31" s="462"/>
      <c r="N31" s="462"/>
      <c r="O31" s="2815">
        <f>SUM(O28:O30)</f>
        <v>0</v>
      </c>
      <c r="P31" s="2815"/>
      <c r="Q31" s="2815"/>
      <c r="R31" s="2815">
        <f>SUM(R28:R30)</f>
        <v>0</v>
      </c>
      <c r="S31" s="2815"/>
      <c r="T31" s="2815"/>
      <c r="U31" s="2815">
        <f>SUM(U28:U30)</f>
        <v>0</v>
      </c>
      <c r="V31" s="2815"/>
      <c r="W31" s="2815"/>
      <c r="X31" s="2815">
        <f>SUM(X28:X30)</f>
        <v>0</v>
      </c>
      <c r="Y31" s="2815"/>
      <c r="Z31" s="2815"/>
      <c r="AA31" s="2815">
        <f>SUM(AA28:AA30)</f>
        <v>0</v>
      </c>
      <c r="AB31" s="2815"/>
      <c r="AC31" s="2815"/>
      <c r="AD31" s="2815">
        <f>SUM(AD28:AD30)</f>
        <v>0</v>
      </c>
      <c r="AE31" s="2815"/>
      <c r="AF31" s="2815"/>
      <c r="AG31" s="2815">
        <f>SUM(AG28:AG30)</f>
        <v>0</v>
      </c>
      <c r="AH31" s="2815"/>
      <c r="AI31" s="2815"/>
      <c r="AJ31" s="2815">
        <f>SUM(AJ28:AJ30)</f>
        <v>0</v>
      </c>
      <c r="AK31" s="2815"/>
      <c r="AL31" s="2815"/>
      <c r="AM31" s="2815">
        <f>SUM(AM28:AM30)</f>
        <v>0</v>
      </c>
      <c r="AN31" s="2815"/>
      <c r="AO31" s="2815"/>
      <c r="AP31" s="2815">
        <f>SUM(AP28:AP30)</f>
        <v>0</v>
      </c>
      <c r="AQ31" s="2815"/>
      <c r="AR31" s="2815"/>
      <c r="AS31" s="2815">
        <f>SUM(AS28:AS30)</f>
        <v>0</v>
      </c>
      <c r="AT31" s="2815"/>
      <c r="AU31" s="2815"/>
      <c r="AV31" s="2815">
        <f>SUM(AV28:AV30)</f>
        <v>0</v>
      </c>
      <c r="AW31" s="2815"/>
      <c r="AX31" s="2815"/>
      <c r="AY31" s="2815">
        <f>SUM(AY28:AY30)</f>
        <v>0</v>
      </c>
      <c r="AZ31" s="2815"/>
      <c r="BA31" s="2815"/>
      <c r="BB31" s="2815">
        <f>SUM(BB28:BB30)</f>
        <v>0</v>
      </c>
      <c r="BC31" s="2815"/>
      <c r="BD31" s="2815"/>
      <c r="BE31" s="2815">
        <f>SUM(BE28:BE30)</f>
        <v>0</v>
      </c>
      <c r="BF31" s="2815"/>
      <c r="BG31" s="2815"/>
      <c r="BH31" s="160"/>
    </row>
    <row r="32" spans="1:68" ht="3.75" customHeight="1" x14ac:dyDescent="0.25">
      <c r="A32" s="9"/>
      <c r="B32" s="44"/>
      <c r="C32" s="44"/>
      <c r="D32" s="44"/>
      <c r="E32" s="44"/>
      <c r="F32" s="44"/>
      <c r="G32" s="44"/>
      <c r="H32" s="44"/>
      <c r="I32" s="44"/>
      <c r="J32" s="44"/>
      <c r="K32" s="44"/>
      <c r="L32" s="44"/>
      <c r="M32" s="44"/>
      <c r="N32" s="44"/>
      <c r="O32" s="1504"/>
      <c r="P32" s="1504"/>
      <c r="Q32" s="1504"/>
      <c r="R32" s="1504"/>
      <c r="S32" s="1504"/>
      <c r="T32" s="1504"/>
      <c r="U32" s="1504"/>
      <c r="V32" s="1504"/>
      <c r="W32" s="1504"/>
      <c r="X32" s="1504"/>
      <c r="Y32" s="1504"/>
      <c r="Z32" s="1504"/>
      <c r="AA32" s="1504"/>
      <c r="AB32" s="1504"/>
      <c r="AC32" s="1504"/>
      <c r="AD32" s="1504"/>
      <c r="AE32" s="1504"/>
      <c r="AF32" s="1504"/>
      <c r="AG32" s="1504"/>
      <c r="AH32" s="1504"/>
      <c r="AI32" s="1504"/>
      <c r="AJ32" s="1504"/>
      <c r="AK32" s="1504"/>
      <c r="AL32" s="1504"/>
      <c r="AM32" s="1504"/>
      <c r="AN32" s="1504"/>
      <c r="AO32" s="1504"/>
      <c r="AP32" s="1504"/>
      <c r="AQ32" s="1504"/>
      <c r="AR32" s="1504"/>
      <c r="AS32" s="1504"/>
      <c r="AT32" s="1504"/>
      <c r="AU32" s="1504"/>
      <c r="AV32" s="1504"/>
      <c r="AW32" s="1504"/>
      <c r="AX32" s="1504"/>
      <c r="AY32" s="1504"/>
      <c r="AZ32" s="1504"/>
      <c r="BA32" s="1504"/>
      <c r="BB32" s="1504"/>
      <c r="BC32" s="1504"/>
      <c r="BD32" s="1504"/>
      <c r="BE32" s="1504"/>
      <c r="BF32" s="1504"/>
      <c r="BG32" s="1504"/>
      <c r="BH32" s="44"/>
    </row>
    <row r="33" spans="1:60" ht="13.8" x14ac:dyDescent="0.25">
      <c r="A33" s="9"/>
      <c r="B33" s="168" t="s">
        <v>174</v>
      </c>
      <c r="C33" s="168"/>
      <c r="D33" s="168"/>
      <c r="E33" s="168"/>
      <c r="F33" s="168"/>
      <c r="G33" s="168"/>
      <c r="H33" s="168"/>
      <c r="I33" s="168"/>
      <c r="J33" s="168"/>
      <c r="K33" s="168"/>
      <c r="L33" s="168"/>
      <c r="M33" s="168"/>
      <c r="N33" s="168"/>
      <c r="O33" s="2809">
        <f>FORECASTS!E128</f>
        <v>0</v>
      </c>
      <c r="P33" s="2809"/>
      <c r="Q33" s="2809"/>
      <c r="R33" s="2809">
        <f>FORECASTS!F128</f>
        <v>0</v>
      </c>
      <c r="S33" s="2809"/>
      <c r="T33" s="2809"/>
      <c r="U33" s="2809">
        <f>FORECASTS!G128</f>
        <v>0</v>
      </c>
      <c r="V33" s="2809"/>
      <c r="W33" s="2809"/>
      <c r="X33" s="2809">
        <f>FORECASTS!H128</f>
        <v>0</v>
      </c>
      <c r="Y33" s="2809"/>
      <c r="Z33" s="2809"/>
      <c r="AA33" s="2809">
        <f>FORECASTS!I128</f>
        <v>0</v>
      </c>
      <c r="AB33" s="2809"/>
      <c r="AC33" s="2809"/>
      <c r="AD33" s="2809">
        <f>FORECASTS!J128</f>
        <v>0</v>
      </c>
      <c r="AE33" s="2809"/>
      <c r="AF33" s="2809"/>
      <c r="AG33" s="2809">
        <f>FORECASTS!K128</f>
        <v>0</v>
      </c>
      <c r="AH33" s="2809"/>
      <c r="AI33" s="2809"/>
      <c r="AJ33" s="2809">
        <f>FORECASTS!L128</f>
        <v>0</v>
      </c>
      <c r="AK33" s="2809"/>
      <c r="AL33" s="2809"/>
      <c r="AM33" s="2809">
        <f>FORECASTS!M128</f>
        <v>0</v>
      </c>
      <c r="AN33" s="2809"/>
      <c r="AO33" s="2809"/>
      <c r="AP33" s="2809">
        <f>FORECASTS!N128</f>
        <v>0</v>
      </c>
      <c r="AQ33" s="2809"/>
      <c r="AR33" s="2809"/>
      <c r="AS33" s="2809">
        <f>FORECASTS!O128</f>
        <v>0</v>
      </c>
      <c r="AT33" s="2809"/>
      <c r="AU33" s="2809"/>
      <c r="AV33" s="2809">
        <f>FORECASTS!P128</f>
        <v>0</v>
      </c>
      <c r="AW33" s="2809"/>
      <c r="AX33" s="2809"/>
      <c r="AY33" s="2809">
        <f>FORECASTS!Q128</f>
        <v>0</v>
      </c>
      <c r="AZ33" s="2809"/>
      <c r="BA33" s="2809"/>
      <c r="BB33" s="2809">
        <f>FORECASTS!R128</f>
        <v>0</v>
      </c>
      <c r="BC33" s="2809"/>
      <c r="BD33" s="2809"/>
      <c r="BE33" s="2809">
        <f>FORECASTS!S128</f>
        <v>0</v>
      </c>
      <c r="BF33" s="2809"/>
      <c r="BG33" s="2809"/>
      <c r="BH33" s="167"/>
    </row>
    <row r="34" spans="1:60" ht="13.8" x14ac:dyDescent="0.25">
      <c r="A34" s="9"/>
      <c r="B34" s="44"/>
      <c r="C34" s="44"/>
      <c r="D34" s="44"/>
      <c r="E34" s="44"/>
      <c r="F34" s="44"/>
      <c r="G34" s="44"/>
      <c r="H34" s="44"/>
      <c r="I34" s="44"/>
      <c r="J34" s="44"/>
      <c r="K34" s="44"/>
      <c r="L34" s="44"/>
      <c r="M34" s="44"/>
      <c r="N34" s="44"/>
      <c r="O34" s="1504"/>
      <c r="P34" s="1504"/>
      <c r="Q34" s="1504"/>
      <c r="R34" s="1504"/>
      <c r="S34" s="1504"/>
      <c r="T34" s="1504"/>
      <c r="U34" s="1504"/>
      <c r="V34" s="1504"/>
      <c r="W34" s="1504"/>
      <c r="X34" s="1504"/>
      <c r="Y34" s="1504"/>
      <c r="Z34" s="1504"/>
      <c r="AA34" s="1504"/>
      <c r="AB34" s="1504"/>
      <c r="AC34" s="1504"/>
      <c r="AD34" s="1504"/>
      <c r="AE34" s="1504"/>
      <c r="AF34" s="1504"/>
      <c r="AG34" s="1504"/>
      <c r="AH34" s="1504"/>
      <c r="AI34" s="1504"/>
      <c r="AJ34" s="1504"/>
      <c r="AK34" s="1504"/>
      <c r="AL34" s="1504"/>
      <c r="AM34" s="1504"/>
      <c r="AN34" s="1504"/>
      <c r="AO34" s="1504"/>
      <c r="AP34" s="1504"/>
      <c r="AQ34" s="1504"/>
      <c r="AR34" s="1504"/>
      <c r="AS34" s="1504"/>
      <c r="AT34" s="1504"/>
      <c r="AU34" s="1504"/>
      <c r="AV34" s="1504"/>
      <c r="AW34" s="1504"/>
      <c r="AX34" s="1504"/>
      <c r="AY34" s="1504"/>
      <c r="AZ34" s="1504"/>
      <c r="BA34" s="1504"/>
      <c r="BB34" s="1504"/>
      <c r="BC34" s="1504"/>
      <c r="BD34" s="1504"/>
      <c r="BE34" s="1504"/>
      <c r="BF34" s="1504"/>
      <c r="BG34" s="1504"/>
      <c r="BH34" s="44"/>
    </row>
    <row r="35" spans="1:60" ht="13.8" x14ac:dyDescent="0.25">
      <c r="A35" s="9"/>
      <c r="B35" s="46" t="s">
        <v>513</v>
      </c>
      <c r="C35" s="46"/>
      <c r="D35" s="46"/>
      <c r="E35" s="46"/>
      <c r="F35" s="46"/>
      <c r="G35" s="46"/>
      <c r="H35" s="46"/>
      <c r="I35" s="46"/>
      <c r="J35" s="46"/>
      <c r="K35" s="46"/>
      <c r="L35" s="46"/>
      <c r="M35" s="46"/>
      <c r="N35" s="46"/>
      <c r="O35" s="2816">
        <f>O22+O31</f>
        <v>0</v>
      </c>
      <c r="P35" s="2816"/>
      <c r="Q35" s="2816"/>
      <c r="R35" s="2816">
        <f>R22+R31</f>
        <v>0</v>
      </c>
      <c r="S35" s="2816"/>
      <c r="T35" s="2816"/>
      <c r="U35" s="2816">
        <f>U22+U31</f>
        <v>0</v>
      </c>
      <c r="V35" s="2816"/>
      <c r="W35" s="2816"/>
      <c r="X35" s="2816">
        <f>X22+X31</f>
        <v>0</v>
      </c>
      <c r="Y35" s="2816"/>
      <c r="Z35" s="2816"/>
      <c r="AA35" s="2816">
        <f>AA22+AA31</f>
        <v>0</v>
      </c>
      <c r="AB35" s="2816"/>
      <c r="AC35" s="2816"/>
      <c r="AD35" s="2816">
        <f>AD22+AD31</f>
        <v>0</v>
      </c>
      <c r="AE35" s="2816"/>
      <c r="AF35" s="2816"/>
      <c r="AG35" s="2816">
        <f>AG22+AG31</f>
        <v>0</v>
      </c>
      <c r="AH35" s="2816"/>
      <c r="AI35" s="2816"/>
      <c r="AJ35" s="2816">
        <f>AJ22+AJ31</f>
        <v>0</v>
      </c>
      <c r="AK35" s="2816"/>
      <c r="AL35" s="2816"/>
      <c r="AM35" s="2816">
        <f>AM22+AM31</f>
        <v>0</v>
      </c>
      <c r="AN35" s="2816"/>
      <c r="AO35" s="2816"/>
      <c r="AP35" s="2816">
        <f>AP22+AP31</f>
        <v>0</v>
      </c>
      <c r="AQ35" s="2816"/>
      <c r="AR35" s="2816"/>
      <c r="AS35" s="2816">
        <f>AS22+AS31</f>
        <v>0</v>
      </c>
      <c r="AT35" s="2816"/>
      <c r="AU35" s="2816"/>
      <c r="AV35" s="2816">
        <f>AV22+AV31</f>
        <v>0</v>
      </c>
      <c r="AW35" s="2816"/>
      <c r="AX35" s="2816"/>
      <c r="AY35" s="2816">
        <f>AY22+AY31</f>
        <v>0</v>
      </c>
      <c r="AZ35" s="2816"/>
      <c r="BA35" s="2816"/>
      <c r="BB35" s="2816">
        <f>BB22+BB31</f>
        <v>0</v>
      </c>
      <c r="BC35" s="2816"/>
      <c r="BD35" s="2816"/>
      <c r="BE35" s="2816">
        <f>BE22+BE31</f>
        <v>0</v>
      </c>
      <c r="BF35" s="2816"/>
      <c r="BG35" s="2816"/>
      <c r="BH35" s="166"/>
    </row>
    <row r="36" spans="1:60" ht="16.5" customHeight="1" x14ac:dyDescent="0.25">
      <c r="A36" s="9"/>
      <c r="B36" s="168"/>
      <c r="C36" s="168"/>
      <c r="D36" s="168"/>
      <c r="E36" s="168"/>
      <c r="F36" s="168"/>
      <c r="G36" s="168"/>
      <c r="H36" s="168"/>
      <c r="I36" s="168"/>
      <c r="J36" s="168"/>
      <c r="K36" s="168"/>
      <c r="L36" s="168"/>
      <c r="M36" s="168"/>
      <c r="N36" s="168"/>
      <c r="O36" s="1504"/>
      <c r="P36" s="1504"/>
      <c r="Q36" s="1504"/>
      <c r="R36" s="1504"/>
      <c r="S36" s="1504"/>
      <c r="T36" s="1504"/>
      <c r="U36" s="1504"/>
      <c r="V36" s="1504"/>
      <c r="W36" s="1504"/>
      <c r="X36" s="1504"/>
      <c r="Y36" s="1504"/>
      <c r="Z36" s="1504"/>
      <c r="AA36" s="1504"/>
      <c r="AB36" s="1504"/>
      <c r="AC36" s="1504"/>
      <c r="AD36" s="1504"/>
      <c r="AE36" s="1504"/>
      <c r="AF36" s="1504"/>
      <c r="AG36" s="1504"/>
      <c r="AH36" s="1504"/>
      <c r="AI36" s="1504"/>
      <c r="AJ36" s="1504"/>
      <c r="AK36" s="1504"/>
      <c r="AL36" s="1504"/>
      <c r="AM36" s="1504"/>
      <c r="AN36" s="1504"/>
      <c r="AO36" s="1504"/>
      <c r="AP36" s="1504"/>
      <c r="AQ36" s="1504"/>
      <c r="AR36" s="1504"/>
      <c r="AS36" s="1504"/>
      <c r="AT36" s="1504"/>
      <c r="AU36" s="1504"/>
      <c r="AV36" s="1504"/>
      <c r="AW36" s="1504"/>
      <c r="AX36" s="1504"/>
      <c r="AY36" s="1504"/>
      <c r="AZ36" s="1504"/>
      <c r="BA36" s="1504"/>
      <c r="BB36" s="1504"/>
      <c r="BC36" s="1504"/>
      <c r="BD36" s="1504"/>
      <c r="BE36" s="1504"/>
      <c r="BF36" s="1504"/>
      <c r="BG36" s="1504"/>
      <c r="BH36" s="168"/>
    </row>
    <row r="37" spans="1:60" ht="16.5" customHeight="1" x14ac:dyDescent="0.25">
      <c r="A37" s="9"/>
      <c r="B37" s="463" t="s">
        <v>177</v>
      </c>
      <c r="C37" s="463"/>
      <c r="D37" s="463"/>
      <c r="E37" s="463"/>
      <c r="F37" s="463"/>
      <c r="G37" s="463"/>
      <c r="H37" s="463"/>
      <c r="I37" s="463"/>
      <c r="J37" s="464"/>
      <c r="K37" s="464"/>
      <c r="L37" s="464"/>
      <c r="M37" s="464"/>
      <c r="N37" s="464"/>
      <c r="O37" s="1507"/>
      <c r="P37" s="1507"/>
      <c r="Q37" s="1507"/>
      <c r="R37" s="1507"/>
      <c r="S37" s="1507"/>
      <c r="T37" s="1507"/>
      <c r="U37" s="1507"/>
      <c r="V37" s="1507"/>
      <c r="W37" s="1507"/>
      <c r="X37" s="1507"/>
      <c r="Y37" s="1507"/>
      <c r="Z37" s="1507"/>
      <c r="AA37" s="1507"/>
      <c r="AB37" s="1507"/>
      <c r="AC37" s="1507"/>
      <c r="AD37" s="1507"/>
      <c r="AE37" s="1507"/>
      <c r="AF37" s="1507"/>
      <c r="AG37" s="1507"/>
      <c r="AH37" s="1507"/>
      <c r="AI37" s="1507"/>
      <c r="AJ37" s="1507"/>
      <c r="AK37" s="1507"/>
      <c r="AL37" s="1507"/>
      <c r="AM37" s="1507"/>
      <c r="AN37" s="1507"/>
      <c r="AO37" s="1507"/>
      <c r="AP37" s="1507"/>
      <c r="AQ37" s="1507"/>
      <c r="AR37" s="1507"/>
      <c r="AS37" s="1507"/>
      <c r="AT37" s="1507"/>
      <c r="AU37" s="1507"/>
      <c r="AV37" s="1507"/>
      <c r="AW37" s="1507"/>
      <c r="AX37" s="1507"/>
      <c r="AY37" s="1507"/>
      <c r="AZ37" s="1507"/>
      <c r="BA37" s="1507"/>
      <c r="BB37" s="1507"/>
      <c r="BC37" s="1507"/>
      <c r="BD37" s="1507"/>
      <c r="BE37" s="1507"/>
      <c r="BF37" s="1507"/>
      <c r="BG37" s="1507"/>
      <c r="BH37" s="168"/>
    </row>
    <row r="38" spans="1:60" ht="16.5" customHeight="1" x14ac:dyDescent="0.25">
      <c r="A38" s="9"/>
      <c r="B38" s="168" t="s">
        <v>83</v>
      </c>
      <c r="C38" s="168"/>
      <c r="D38" s="168"/>
      <c r="E38" s="168"/>
      <c r="F38" s="168"/>
      <c r="G38" s="168"/>
      <c r="H38" s="168"/>
      <c r="I38" s="168"/>
      <c r="J38" s="168"/>
      <c r="K38" s="168"/>
      <c r="L38" s="168"/>
      <c r="M38" s="168"/>
      <c r="N38" s="168"/>
      <c r="O38" s="2810">
        <f>O20</f>
        <v>0</v>
      </c>
      <c r="P38" s="2810"/>
      <c r="Q38" s="2810"/>
      <c r="R38" s="2810">
        <f>R20</f>
        <v>0</v>
      </c>
      <c r="S38" s="2810"/>
      <c r="T38" s="2810"/>
      <c r="U38" s="2810">
        <f>U20</f>
        <v>0</v>
      </c>
      <c r="V38" s="2810"/>
      <c r="W38" s="2810"/>
      <c r="X38" s="2810">
        <f>X20</f>
        <v>0</v>
      </c>
      <c r="Y38" s="2810"/>
      <c r="Z38" s="2810"/>
      <c r="AA38" s="2810">
        <f>AA20</f>
        <v>0</v>
      </c>
      <c r="AB38" s="2810"/>
      <c r="AC38" s="2810"/>
      <c r="AD38" s="2810">
        <f>AD20</f>
        <v>0</v>
      </c>
      <c r="AE38" s="2810"/>
      <c r="AF38" s="2810"/>
      <c r="AG38" s="2810">
        <f>AG20</f>
        <v>0</v>
      </c>
      <c r="AH38" s="2810"/>
      <c r="AI38" s="2810"/>
      <c r="AJ38" s="2810">
        <f>AJ20</f>
        <v>0</v>
      </c>
      <c r="AK38" s="2810"/>
      <c r="AL38" s="2810"/>
      <c r="AM38" s="2810">
        <f>AM20</f>
        <v>0</v>
      </c>
      <c r="AN38" s="2810"/>
      <c r="AO38" s="2810"/>
      <c r="AP38" s="2810">
        <f>AP20</f>
        <v>0</v>
      </c>
      <c r="AQ38" s="2810"/>
      <c r="AR38" s="2810"/>
      <c r="AS38" s="2810">
        <f>AS20</f>
        <v>0</v>
      </c>
      <c r="AT38" s="2810"/>
      <c r="AU38" s="2810"/>
      <c r="AV38" s="2810">
        <f>AV20</f>
        <v>0</v>
      </c>
      <c r="AW38" s="2810"/>
      <c r="AX38" s="2810"/>
      <c r="AY38" s="2810">
        <f>AY20</f>
        <v>0</v>
      </c>
      <c r="AZ38" s="2810"/>
      <c r="BA38" s="2810"/>
      <c r="BB38" s="2810">
        <f>BB20</f>
        <v>0</v>
      </c>
      <c r="BC38" s="2810"/>
      <c r="BD38" s="2810"/>
      <c r="BE38" s="2810">
        <f>BE20</f>
        <v>0</v>
      </c>
      <c r="BF38" s="2810"/>
      <c r="BG38" s="2810"/>
      <c r="BH38" s="160"/>
    </row>
    <row r="39" spans="1:60" ht="7.5" customHeight="1" x14ac:dyDescent="0.25">
      <c r="A39" s="9"/>
      <c r="B39" s="168" t="s">
        <v>175</v>
      </c>
      <c r="C39" s="168"/>
      <c r="D39" s="168"/>
      <c r="E39" s="168"/>
      <c r="F39" s="168"/>
      <c r="G39" s="168"/>
      <c r="H39" s="168"/>
      <c r="I39" s="168"/>
      <c r="J39" s="168"/>
      <c r="K39" s="168"/>
      <c r="L39" s="168"/>
      <c r="M39" s="168"/>
      <c r="N39" s="168"/>
      <c r="O39" s="2812">
        <f>-O31</f>
        <v>0</v>
      </c>
      <c r="P39" s="2812"/>
      <c r="Q39" s="2812"/>
      <c r="R39" s="2812">
        <f>-R31</f>
        <v>0</v>
      </c>
      <c r="S39" s="2812"/>
      <c r="T39" s="2812"/>
      <c r="U39" s="2812">
        <f>-U31</f>
        <v>0</v>
      </c>
      <c r="V39" s="2812"/>
      <c r="W39" s="2812"/>
      <c r="X39" s="2812">
        <f>-X31</f>
        <v>0</v>
      </c>
      <c r="Y39" s="2812"/>
      <c r="Z39" s="2812"/>
      <c r="AA39" s="2812">
        <f>-AA31</f>
        <v>0</v>
      </c>
      <c r="AB39" s="2812"/>
      <c r="AC39" s="2812"/>
      <c r="AD39" s="2812">
        <f>-AD31</f>
        <v>0</v>
      </c>
      <c r="AE39" s="2812"/>
      <c r="AF39" s="2812"/>
      <c r="AG39" s="2812">
        <f>-AG31</f>
        <v>0</v>
      </c>
      <c r="AH39" s="2812"/>
      <c r="AI39" s="2812"/>
      <c r="AJ39" s="2812">
        <f>-AJ31</f>
        <v>0</v>
      </c>
      <c r="AK39" s="2812"/>
      <c r="AL39" s="2812"/>
      <c r="AM39" s="2812">
        <f>-AM31</f>
        <v>0</v>
      </c>
      <c r="AN39" s="2812"/>
      <c r="AO39" s="2812"/>
      <c r="AP39" s="2812">
        <f>-AP31</f>
        <v>0</v>
      </c>
      <c r="AQ39" s="2812"/>
      <c r="AR39" s="2812"/>
      <c r="AS39" s="2812">
        <f>-AS31</f>
        <v>0</v>
      </c>
      <c r="AT39" s="2812"/>
      <c r="AU39" s="2812"/>
      <c r="AV39" s="2812">
        <f>-AV31</f>
        <v>0</v>
      </c>
      <c r="AW39" s="2812"/>
      <c r="AX39" s="2812"/>
      <c r="AY39" s="2812">
        <f>-AY31</f>
        <v>0</v>
      </c>
      <c r="AZ39" s="2812"/>
      <c r="BA39" s="2812"/>
      <c r="BB39" s="2812">
        <f>-BB31</f>
        <v>0</v>
      </c>
      <c r="BC39" s="2812"/>
      <c r="BD39" s="2812"/>
      <c r="BE39" s="2812">
        <f>-BE31</f>
        <v>0</v>
      </c>
      <c r="BF39" s="2812"/>
      <c r="BG39" s="2812"/>
      <c r="BH39" s="169"/>
    </row>
    <row r="40" spans="1:60" ht="16.5" customHeight="1" x14ac:dyDescent="0.25">
      <c r="A40" s="9"/>
      <c r="B40" s="46" t="s">
        <v>176</v>
      </c>
      <c r="C40" s="46"/>
      <c r="D40" s="46"/>
      <c r="E40" s="46"/>
      <c r="F40" s="46"/>
      <c r="G40" s="46"/>
      <c r="H40" s="46"/>
      <c r="I40" s="46"/>
      <c r="J40" s="46"/>
      <c r="K40" s="46"/>
      <c r="L40" s="46"/>
      <c r="M40" s="46"/>
      <c r="N40" s="46"/>
      <c r="O40" s="2811">
        <f>IFERROR(O38/O39,0)</f>
        <v>0</v>
      </c>
      <c r="P40" s="2811"/>
      <c r="Q40" s="2811"/>
      <c r="R40" s="2811">
        <f>IFERROR(R38/R39,0)</f>
        <v>0</v>
      </c>
      <c r="S40" s="2811"/>
      <c r="T40" s="2811"/>
      <c r="U40" s="2811">
        <f>IFERROR(U38/U39,0)</f>
        <v>0</v>
      </c>
      <c r="V40" s="2811"/>
      <c r="W40" s="2811"/>
      <c r="X40" s="2811">
        <f>IFERROR(X38/X39,0)</f>
        <v>0</v>
      </c>
      <c r="Y40" s="2811"/>
      <c r="Z40" s="2811"/>
      <c r="AA40" s="2811">
        <f>IFERROR(AA38/AA39,0)</f>
        <v>0</v>
      </c>
      <c r="AB40" s="2811"/>
      <c r="AC40" s="2811"/>
      <c r="AD40" s="2811">
        <f>IFERROR(AD38/AD39,0)</f>
        <v>0</v>
      </c>
      <c r="AE40" s="2811"/>
      <c r="AF40" s="2811"/>
      <c r="AG40" s="2811">
        <f>IFERROR(AG38/AG39,0)</f>
        <v>0</v>
      </c>
      <c r="AH40" s="2811"/>
      <c r="AI40" s="2811"/>
      <c r="AJ40" s="2811">
        <f>IFERROR(AJ38/AJ39,0)</f>
        <v>0</v>
      </c>
      <c r="AK40" s="2811"/>
      <c r="AL40" s="2811"/>
      <c r="AM40" s="2811">
        <f>IFERROR(AM38/AM39,0)</f>
        <v>0</v>
      </c>
      <c r="AN40" s="2811"/>
      <c r="AO40" s="2811"/>
      <c r="AP40" s="2811">
        <f>IFERROR(AP38/AP39,0)</f>
        <v>0</v>
      </c>
      <c r="AQ40" s="2811"/>
      <c r="AR40" s="2811"/>
      <c r="AS40" s="2811">
        <f>IFERROR(AS38/AS39,0)</f>
        <v>0</v>
      </c>
      <c r="AT40" s="2811"/>
      <c r="AU40" s="2811"/>
      <c r="AV40" s="2811">
        <f>IFERROR(AV38/AV39,0)</f>
        <v>0</v>
      </c>
      <c r="AW40" s="2811"/>
      <c r="AX40" s="2811"/>
      <c r="AY40" s="2811">
        <f>IFERROR(AY38/AY39,0)</f>
        <v>0</v>
      </c>
      <c r="AZ40" s="2811"/>
      <c r="BA40" s="2811"/>
      <c r="BB40" s="2811">
        <f>IFERROR(BB38/BB39,0)</f>
        <v>0</v>
      </c>
      <c r="BC40" s="2811"/>
      <c r="BD40" s="2811"/>
      <c r="BE40" s="2811">
        <f>IFERROR(BE38/BE39,0)</f>
        <v>0</v>
      </c>
      <c r="BF40" s="2811"/>
      <c r="BG40" s="2811"/>
      <c r="BH40" s="170"/>
    </row>
    <row r="41" spans="1:60" ht="16.5" customHeight="1" x14ac:dyDescent="0.25">
      <c r="A41" s="9"/>
      <c r="B41" s="121"/>
      <c r="C41" s="121"/>
      <c r="D41" s="121"/>
      <c r="E41" s="121"/>
      <c r="F41" s="121"/>
      <c r="G41" s="121"/>
      <c r="H41" s="121"/>
      <c r="I41" s="121"/>
      <c r="J41" s="121"/>
      <c r="K41" s="121"/>
      <c r="L41" s="121"/>
      <c r="M41" s="121"/>
      <c r="N41" s="121"/>
      <c r="O41" s="1506"/>
      <c r="P41" s="1506"/>
      <c r="Q41" s="1506"/>
      <c r="R41" s="1506"/>
      <c r="S41" s="1506"/>
      <c r="T41" s="1506"/>
      <c r="U41" s="1506"/>
      <c r="V41" s="1506"/>
      <c r="W41" s="1506"/>
      <c r="X41" s="1506"/>
      <c r="Y41" s="1506"/>
      <c r="Z41" s="1506"/>
      <c r="AA41" s="1506"/>
      <c r="AB41" s="1506"/>
      <c r="AC41" s="1506"/>
      <c r="AD41" s="1506"/>
      <c r="AE41" s="1506"/>
      <c r="AF41" s="1506"/>
      <c r="AG41" s="1506"/>
      <c r="AH41" s="1506"/>
      <c r="AI41" s="1506"/>
      <c r="AJ41" s="1506"/>
      <c r="AK41" s="1506"/>
      <c r="AL41" s="1506"/>
      <c r="AM41" s="1506"/>
      <c r="AN41" s="1506"/>
      <c r="AO41" s="1506"/>
      <c r="AP41" s="1506"/>
      <c r="AQ41" s="1506"/>
      <c r="AR41" s="1506"/>
      <c r="AS41" s="1506"/>
      <c r="AT41" s="1506"/>
      <c r="AU41" s="1506"/>
      <c r="AV41" s="1506"/>
      <c r="AW41" s="1506"/>
      <c r="AX41" s="1506"/>
      <c r="AY41" s="1506"/>
      <c r="AZ41" s="1506"/>
      <c r="BA41" s="1506"/>
      <c r="BB41" s="1506"/>
      <c r="BC41" s="1506"/>
      <c r="BD41" s="1506"/>
      <c r="BE41" s="1506"/>
      <c r="BF41" s="1506"/>
      <c r="BG41" s="1506"/>
      <c r="BH41" s="170"/>
    </row>
    <row r="42" spans="1:60" ht="16.5" customHeight="1" x14ac:dyDescent="0.25">
      <c r="A42" s="9"/>
      <c r="B42" s="168" t="str">
        <f>B22</f>
        <v>Cash Flow before Debt</v>
      </c>
      <c r="C42" s="168"/>
      <c r="D42" s="168"/>
      <c r="E42" s="168"/>
      <c r="F42" s="168"/>
      <c r="G42" s="168"/>
      <c r="H42" s="168"/>
      <c r="I42" s="168"/>
      <c r="J42" s="168"/>
      <c r="K42" s="168"/>
      <c r="L42" s="168"/>
      <c r="M42" s="168"/>
      <c r="N42" s="168"/>
      <c r="O42" s="2813">
        <f>O22</f>
        <v>0</v>
      </c>
      <c r="P42" s="2813"/>
      <c r="Q42" s="2813"/>
      <c r="R42" s="2813">
        <f>R22</f>
        <v>0</v>
      </c>
      <c r="S42" s="2813"/>
      <c r="T42" s="2813"/>
      <c r="U42" s="2813">
        <f>U22</f>
        <v>0</v>
      </c>
      <c r="V42" s="2813"/>
      <c r="W42" s="2813"/>
      <c r="X42" s="2813">
        <f>X22</f>
        <v>0</v>
      </c>
      <c r="Y42" s="2813"/>
      <c r="Z42" s="2813"/>
      <c r="AA42" s="2813">
        <f>AA22</f>
        <v>0</v>
      </c>
      <c r="AB42" s="2813"/>
      <c r="AC42" s="2813"/>
      <c r="AD42" s="2813">
        <f>AD22</f>
        <v>0</v>
      </c>
      <c r="AE42" s="2813"/>
      <c r="AF42" s="2813"/>
      <c r="AG42" s="2813">
        <f>AG22</f>
        <v>0</v>
      </c>
      <c r="AH42" s="2813"/>
      <c r="AI42" s="2813"/>
      <c r="AJ42" s="2813">
        <f>AJ22</f>
        <v>0</v>
      </c>
      <c r="AK42" s="2813"/>
      <c r="AL42" s="2813"/>
      <c r="AM42" s="2813">
        <f>AM22</f>
        <v>0</v>
      </c>
      <c r="AN42" s="2813"/>
      <c r="AO42" s="2813"/>
      <c r="AP42" s="2813">
        <f>AP22</f>
        <v>0</v>
      </c>
      <c r="AQ42" s="2813"/>
      <c r="AR42" s="2813"/>
      <c r="AS42" s="2813">
        <f>AS22</f>
        <v>0</v>
      </c>
      <c r="AT42" s="2813"/>
      <c r="AU42" s="2813"/>
      <c r="AV42" s="2813">
        <f>AV22</f>
        <v>0</v>
      </c>
      <c r="AW42" s="2813"/>
      <c r="AX42" s="2813"/>
      <c r="AY42" s="2813">
        <f>AY22</f>
        <v>0</v>
      </c>
      <c r="AZ42" s="2813"/>
      <c r="BA42" s="2813"/>
      <c r="BB42" s="2813">
        <f>BB22</f>
        <v>0</v>
      </c>
      <c r="BC42" s="2813"/>
      <c r="BD42" s="2813"/>
      <c r="BE42" s="2813">
        <f>BE22</f>
        <v>0</v>
      </c>
      <c r="BF42" s="2813"/>
      <c r="BG42" s="2813"/>
      <c r="BH42" s="160"/>
    </row>
    <row r="43" spans="1:60" ht="15" customHeight="1" x14ac:dyDescent="0.25">
      <c r="A43" s="9"/>
      <c r="B43" s="168" t="s">
        <v>175</v>
      </c>
      <c r="C43" s="168"/>
      <c r="D43" s="168"/>
      <c r="E43" s="168"/>
      <c r="F43" s="168"/>
      <c r="G43" s="168"/>
      <c r="H43" s="168"/>
      <c r="I43" s="168"/>
      <c r="J43" s="168"/>
      <c r="K43" s="168"/>
      <c r="L43" s="168"/>
      <c r="M43" s="168"/>
      <c r="N43" s="168"/>
      <c r="O43" s="2812">
        <f>O39</f>
        <v>0</v>
      </c>
      <c r="P43" s="2812"/>
      <c r="Q43" s="2812"/>
      <c r="R43" s="2812">
        <f>R39</f>
        <v>0</v>
      </c>
      <c r="S43" s="2812"/>
      <c r="T43" s="2812"/>
      <c r="U43" s="2812">
        <f>U39</f>
        <v>0</v>
      </c>
      <c r="V43" s="2812"/>
      <c r="W43" s="2812"/>
      <c r="X43" s="2812">
        <f>X39</f>
        <v>0</v>
      </c>
      <c r="Y43" s="2812"/>
      <c r="Z43" s="2812"/>
      <c r="AA43" s="2812">
        <f>AA39</f>
        <v>0</v>
      </c>
      <c r="AB43" s="2812"/>
      <c r="AC43" s="2812"/>
      <c r="AD43" s="2812">
        <f>AD39</f>
        <v>0</v>
      </c>
      <c r="AE43" s="2812"/>
      <c r="AF43" s="2812"/>
      <c r="AG43" s="2812">
        <f>AG39</f>
        <v>0</v>
      </c>
      <c r="AH43" s="2812"/>
      <c r="AI43" s="2812"/>
      <c r="AJ43" s="2812">
        <f>AJ39</f>
        <v>0</v>
      </c>
      <c r="AK43" s="2812"/>
      <c r="AL43" s="2812"/>
      <c r="AM43" s="2812">
        <f>AM39</f>
        <v>0</v>
      </c>
      <c r="AN43" s="2812"/>
      <c r="AO43" s="2812"/>
      <c r="AP43" s="2812">
        <f>AP39</f>
        <v>0</v>
      </c>
      <c r="AQ43" s="2812"/>
      <c r="AR43" s="2812"/>
      <c r="AS43" s="2812">
        <f>AS39</f>
        <v>0</v>
      </c>
      <c r="AT43" s="2812"/>
      <c r="AU43" s="2812"/>
      <c r="AV43" s="2812">
        <f>AV39</f>
        <v>0</v>
      </c>
      <c r="AW43" s="2812"/>
      <c r="AX43" s="2812"/>
      <c r="AY43" s="2812">
        <f>AY39</f>
        <v>0</v>
      </c>
      <c r="AZ43" s="2812"/>
      <c r="BA43" s="2812"/>
      <c r="BB43" s="2812">
        <f>BB39</f>
        <v>0</v>
      </c>
      <c r="BC43" s="2812"/>
      <c r="BD43" s="2812"/>
      <c r="BE43" s="2812">
        <f>BE39</f>
        <v>0</v>
      </c>
      <c r="BF43" s="2812"/>
      <c r="BG43" s="2812"/>
      <c r="BH43" s="169"/>
    </row>
    <row r="44" spans="1:60" ht="16.5" customHeight="1" x14ac:dyDescent="0.25">
      <c r="A44" s="9"/>
      <c r="B44" s="46" t="s">
        <v>211</v>
      </c>
      <c r="C44" s="46"/>
      <c r="D44" s="46"/>
      <c r="E44" s="46"/>
      <c r="F44" s="46"/>
      <c r="G44" s="46"/>
      <c r="H44" s="46"/>
      <c r="I44" s="46"/>
      <c r="J44" s="46"/>
      <c r="K44" s="46"/>
      <c r="L44" s="46"/>
      <c r="M44" s="46"/>
      <c r="N44" s="46"/>
      <c r="O44" s="2811">
        <f>IFERROR(O42/O43,0)</f>
        <v>0</v>
      </c>
      <c r="P44" s="2811"/>
      <c r="Q44" s="2811"/>
      <c r="R44" s="2811">
        <f>IFERROR(R42/R43,0)</f>
        <v>0</v>
      </c>
      <c r="S44" s="2811"/>
      <c r="T44" s="2811"/>
      <c r="U44" s="2811">
        <f>IFERROR(U42/U43,0)</f>
        <v>0</v>
      </c>
      <c r="V44" s="2811"/>
      <c r="W44" s="2811"/>
      <c r="X44" s="2811">
        <f>IFERROR(X42/X43,0)</f>
        <v>0</v>
      </c>
      <c r="Y44" s="2811"/>
      <c r="Z44" s="2811"/>
      <c r="AA44" s="2811">
        <f>IFERROR(AA42/AA43,0)</f>
        <v>0</v>
      </c>
      <c r="AB44" s="2811"/>
      <c r="AC44" s="2811"/>
      <c r="AD44" s="2811">
        <f>IFERROR(AD42/AD43,0)</f>
        <v>0</v>
      </c>
      <c r="AE44" s="2811"/>
      <c r="AF44" s="2811"/>
      <c r="AG44" s="2811">
        <f>IFERROR(AG42/AG43,0)</f>
        <v>0</v>
      </c>
      <c r="AH44" s="2811"/>
      <c r="AI44" s="2811"/>
      <c r="AJ44" s="2811">
        <f>IFERROR(AJ42/AJ43,0)</f>
        <v>0</v>
      </c>
      <c r="AK44" s="2811"/>
      <c r="AL44" s="2811"/>
      <c r="AM44" s="2811">
        <f>IFERROR(AM42/AM43,0)</f>
        <v>0</v>
      </c>
      <c r="AN44" s="2811"/>
      <c r="AO44" s="2811"/>
      <c r="AP44" s="2811">
        <f>IFERROR(AP42/AP43,0)</f>
        <v>0</v>
      </c>
      <c r="AQ44" s="2811"/>
      <c r="AR44" s="2811"/>
      <c r="AS44" s="2811">
        <f>IFERROR(AS42/AS43,0)</f>
        <v>0</v>
      </c>
      <c r="AT44" s="2811"/>
      <c r="AU44" s="2811"/>
      <c r="AV44" s="2811">
        <f>IFERROR(AV42/AV43,0)</f>
        <v>0</v>
      </c>
      <c r="AW44" s="2811"/>
      <c r="AX44" s="2811"/>
      <c r="AY44" s="2811">
        <f>IFERROR(AY42/AY43,0)</f>
        <v>0</v>
      </c>
      <c r="AZ44" s="2811"/>
      <c r="BA44" s="2811"/>
      <c r="BB44" s="2811">
        <f>IFERROR(BB42/BB43,0)</f>
        <v>0</v>
      </c>
      <c r="BC44" s="2811"/>
      <c r="BD44" s="2811"/>
      <c r="BE44" s="2811">
        <f>IFERROR(BE42/BE43,0)</f>
        <v>0</v>
      </c>
      <c r="BF44" s="2811"/>
      <c r="BG44" s="2811"/>
      <c r="BH44" s="170"/>
    </row>
    <row r="45" spans="1:60" ht="16.5" customHeight="1" x14ac:dyDescent="0.25">
      <c r="A45" s="9"/>
      <c r="B45" s="168"/>
      <c r="C45" s="168"/>
      <c r="D45" s="168"/>
      <c r="E45" s="168"/>
      <c r="F45" s="168"/>
      <c r="G45" s="168"/>
      <c r="H45" s="168"/>
      <c r="I45" s="168"/>
      <c r="J45" s="168"/>
      <c r="K45" s="168"/>
      <c r="L45" s="168"/>
      <c r="M45" s="168"/>
      <c r="N45" s="168"/>
      <c r="O45" s="1504"/>
      <c r="P45" s="1504"/>
      <c r="Q45" s="1504"/>
      <c r="R45" s="1504"/>
      <c r="S45" s="1504"/>
      <c r="T45" s="1504"/>
      <c r="U45" s="1504"/>
      <c r="V45" s="1504"/>
      <c r="W45" s="1504"/>
      <c r="X45" s="1504"/>
      <c r="Y45" s="1504"/>
      <c r="Z45" s="1504"/>
      <c r="AA45" s="1504"/>
      <c r="AB45" s="1504"/>
      <c r="AC45" s="1504"/>
      <c r="AD45" s="1504"/>
      <c r="AE45" s="1504"/>
      <c r="AF45" s="1504"/>
      <c r="AG45" s="1504"/>
      <c r="AH45" s="1504"/>
      <c r="AI45" s="1504"/>
      <c r="AJ45" s="1504"/>
      <c r="AK45" s="1504"/>
      <c r="AL45" s="1504"/>
      <c r="AM45" s="1504"/>
      <c r="AN45" s="1504"/>
      <c r="AO45" s="1504"/>
      <c r="AP45" s="1504"/>
      <c r="AQ45" s="1504"/>
      <c r="AR45" s="1504"/>
      <c r="AS45" s="1504"/>
      <c r="AT45" s="1504"/>
      <c r="AU45" s="1504"/>
      <c r="AV45" s="1504"/>
      <c r="AW45" s="1504"/>
      <c r="AX45" s="1504"/>
      <c r="AY45" s="1504"/>
      <c r="AZ45" s="1504"/>
      <c r="BA45" s="1504"/>
      <c r="BB45" s="1504"/>
      <c r="BC45" s="1504"/>
      <c r="BD45" s="1504"/>
      <c r="BE45" s="1504"/>
      <c r="BF45" s="1504"/>
      <c r="BG45" s="1504"/>
      <c r="BH45" s="168"/>
    </row>
    <row r="46" spans="1:60" ht="16.5" customHeight="1" x14ac:dyDescent="0.25">
      <c r="A46" s="9"/>
      <c r="B46" s="463" t="s">
        <v>178</v>
      </c>
      <c r="C46" s="463"/>
      <c r="D46" s="463"/>
      <c r="E46" s="463"/>
      <c r="F46" s="463"/>
      <c r="G46" s="463"/>
      <c r="H46" s="463"/>
      <c r="I46" s="463"/>
      <c r="J46" s="464"/>
      <c r="K46" s="464"/>
      <c r="L46" s="464"/>
      <c r="M46" s="464"/>
      <c r="N46" s="464"/>
      <c r="O46" s="1507"/>
      <c r="P46" s="1507"/>
      <c r="Q46" s="1507"/>
      <c r="R46" s="1507"/>
      <c r="S46" s="1507"/>
      <c r="T46" s="1507"/>
      <c r="U46" s="1507"/>
      <c r="V46" s="1507"/>
      <c r="W46" s="1507"/>
      <c r="X46" s="1507"/>
      <c r="Y46" s="1507"/>
      <c r="Z46" s="1507"/>
      <c r="AA46" s="1507"/>
      <c r="AB46" s="1507"/>
      <c r="AC46" s="1507"/>
      <c r="AD46" s="1507"/>
      <c r="AE46" s="1507"/>
      <c r="AF46" s="1507"/>
      <c r="AG46" s="1507"/>
      <c r="AH46" s="1507"/>
      <c r="AI46" s="1507"/>
      <c r="AJ46" s="1507"/>
      <c r="AK46" s="1507"/>
      <c r="AL46" s="1507"/>
      <c r="AM46" s="1507"/>
      <c r="AN46" s="1507"/>
      <c r="AO46" s="1507"/>
      <c r="AP46" s="1507"/>
      <c r="AQ46" s="1507"/>
      <c r="AR46" s="1507"/>
      <c r="AS46" s="1507"/>
      <c r="AT46" s="1507"/>
      <c r="AU46" s="1507"/>
      <c r="AV46" s="1507"/>
      <c r="AW46" s="1507"/>
      <c r="AX46" s="1507"/>
      <c r="AY46" s="1507"/>
      <c r="AZ46" s="1507"/>
      <c r="BA46" s="1507"/>
      <c r="BB46" s="1507"/>
      <c r="BC46" s="1507"/>
      <c r="BD46" s="1507"/>
      <c r="BE46" s="1507"/>
      <c r="BF46" s="1507"/>
      <c r="BG46" s="1507"/>
      <c r="BH46" s="168"/>
    </row>
    <row r="47" spans="1:60" ht="16.5" customHeight="1" x14ac:dyDescent="0.25">
      <c r="A47" s="9"/>
      <c r="B47" s="168" t="s">
        <v>45</v>
      </c>
      <c r="C47" s="168"/>
      <c r="D47" s="168"/>
      <c r="E47" s="168"/>
      <c r="F47" s="168"/>
      <c r="G47" s="168"/>
      <c r="H47" s="168"/>
      <c r="I47" s="168"/>
      <c r="J47" s="168"/>
      <c r="K47" s="168"/>
      <c r="L47" s="168"/>
      <c r="M47" s="168"/>
      <c r="N47" s="168"/>
      <c r="O47" s="2810">
        <f>FORECASTS!E122</f>
        <v>347250.41095890407</v>
      </c>
      <c r="P47" s="2810"/>
      <c r="Q47" s="2810"/>
      <c r="R47" s="2810">
        <f>FORECASTS!F122</f>
        <v>0</v>
      </c>
      <c r="S47" s="2810"/>
      <c r="T47" s="2810"/>
      <c r="U47" s="2810">
        <f>FORECASTS!G122</f>
        <v>0</v>
      </c>
      <c r="V47" s="2810"/>
      <c r="W47" s="2810"/>
      <c r="X47" s="2810">
        <f>FORECASTS!H122</f>
        <v>0</v>
      </c>
      <c r="Y47" s="2810"/>
      <c r="Z47" s="2810"/>
      <c r="AA47" s="2810">
        <f>FORECASTS!I122</f>
        <v>0</v>
      </c>
      <c r="AB47" s="2810"/>
      <c r="AC47" s="2810"/>
      <c r="AD47" s="2810">
        <f>FORECASTS!J122</f>
        <v>0</v>
      </c>
      <c r="AE47" s="2810"/>
      <c r="AF47" s="2810"/>
      <c r="AG47" s="2810">
        <f>FORECASTS!K122</f>
        <v>0</v>
      </c>
      <c r="AH47" s="2810"/>
      <c r="AI47" s="2810"/>
      <c r="AJ47" s="2810">
        <f>FORECASTS!L122</f>
        <v>0</v>
      </c>
      <c r="AK47" s="2810"/>
      <c r="AL47" s="2810"/>
      <c r="AM47" s="2810">
        <f>FORECASTS!M122</f>
        <v>0</v>
      </c>
      <c r="AN47" s="2810"/>
      <c r="AO47" s="2810"/>
      <c r="AP47" s="2810">
        <f>FORECASTS!N122</f>
        <v>0</v>
      </c>
      <c r="AQ47" s="2810"/>
      <c r="AR47" s="2810"/>
      <c r="AS47" s="2810">
        <f>FORECASTS!O122</f>
        <v>0</v>
      </c>
      <c r="AT47" s="2810"/>
      <c r="AU47" s="2810"/>
      <c r="AV47" s="2810">
        <f>FORECASTS!P122</f>
        <v>0</v>
      </c>
      <c r="AW47" s="2810"/>
      <c r="AX47" s="2810"/>
      <c r="AY47" s="2810">
        <f>FORECASTS!Q122</f>
        <v>0</v>
      </c>
      <c r="AZ47" s="2810"/>
      <c r="BA47" s="2810"/>
      <c r="BB47" s="2810">
        <f>FORECASTS!R122</f>
        <v>0</v>
      </c>
      <c r="BC47" s="2810"/>
      <c r="BD47" s="2810"/>
      <c r="BE47" s="2810">
        <f>FORECASTS!S122</f>
        <v>0</v>
      </c>
      <c r="BF47" s="2810"/>
      <c r="BG47" s="2810"/>
      <c r="BH47" s="167"/>
    </row>
    <row r="48" spans="1:60" ht="15" customHeight="1" x14ac:dyDescent="0.25">
      <c r="A48" s="9"/>
      <c r="B48" s="168" t="s">
        <v>1136</v>
      </c>
      <c r="C48" s="168"/>
      <c r="D48" s="168"/>
      <c r="E48" s="168"/>
      <c r="F48" s="168"/>
      <c r="G48" s="168"/>
      <c r="H48" s="168"/>
      <c r="I48" s="168"/>
      <c r="J48" s="168"/>
      <c r="K48" s="168"/>
      <c r="L48" s="168"/>
      <c r="M48" s="168"/>
      <c r="N48" s="168"/>
      <c r="O48" s="2809">
        <f>O33</f>
        <v>0</v>
      </c>
      <c r="P48" s="2809"/>
      <c r="Q48" s="2809"/>
      <c r="R48" s="2809">
        <f>R33</f>
        <v>0</v>
      </c>
      <c r="S48" s="2809"/>
      <c r="T48" s="2809"/>
      <c r="U48" s="2809">
        <f>U33</f>
        <v>0</v>
      </c>
      <c r="V48" s="2809"/>
      <c r="W48" s="2809"/>
      <c r="X48" s="2809">
        <f>X33</f>
        <v>0</v>
      </c>
      <c r="Y48" s="2809"/>
      <c r="Z48" s="2809"/>
      <c r="AA48" s="2809">
        <f>AA33</f>
        <v>0</v>
      </c>
      <c r="AB48" s="2809"/>
      <c r="AC48" s="2809"/>
      <c r="AD48" s="2809">
        <f>AD33</f>
        <v>0</v>
      </c>
      <c r="AE48" s="2809"/>
      <c r="AF48" s="2809"/>
      <c r="AG48" s="2809">
        <f>AG33</f>
        <v>0</v>
      </c>
      <c r="AH48" s="2809"/>
      <c r="AI48" s="2809"/>
      <c r="AJ48" s="2809">
        <f>AJ33</f>
        <v>0</v>
      </c>
      <c r="AK48" s="2809"/>
      <c r="AL48" s="2809"/>
      <c r="AM48" s="2809">
        <f>AM33</f>
        <v>0</v>
      </c>
      <c r="AN48" s="2809"/>
      <c r="AO48" s="2809"/>
      <c r="AP48" s="2809">
        <f>AP33</f>
        <v>0</v>
      </c>
      <c r="AQ48" s="2809"/>
      <c r="AR48" s="2809"/>
      <c r="AS48" s="2809">
        <f>AS33</f>
        <v>0</v>
      </c>
      <c r="AT48" s="2809"/>
      <c r="AU48" s="2809"/>
      <c r="AV48" s="2809">
        <f>AV33</f>
        <v>0</v>
      </c>
      <c r="AW48" s="2809"/>
      <c r="AX48" s="2809"/>
      <c r="AY48" s="2809">
        <f>AY33</f>
        <v>0</v>
      </c>
      <c r="AZ48" s="2809"/>
      <c r="BA48" s="2809"/>
      <c r="BB48" s="2809">
        <f>BB33</f>
        <v>0</v>
      </c>
      <c r="BC48" s="2809"/>
      <c r="BD48" s="2809"/>
      <c r="BE48" s="2809">
        <f>BE33</f>
        <v>0</v>
      </c>
      <c r="BF48" s="2809"/>
      <c r="BG48" s="2809"/>
      <c r="BH48" s="167"/>
    </row>
    <row r="49" spans="1:60" ht="16.5" customHeight="1" x14ac:dyDescent="0.25">
      <c r="A49" s="9"/>
      <c r="B49" s="46" t="s">
        <v>179</v>
      </c>
      <c r="C49" s="46"/>
      <c r="D49" s="46"/>
      <c r="E49" s="46"/>
      <c r="F49" s="46"/>
      <c r="G49" s="46"/>
      <c r="H49" s="46"/>
      <c r="I49" s="46"/>
      <c r="J49" s="46"/>
      <c r="K49" s="46"/>
      <c r="L49" s="46"/>
      <c r="M49" s="46"/>
      <c r="N49" s="46"/>
      <c r="O49" s="2806">
        <f>IFERROR(O48/O47,0)</f>
        <v>0</v>
      </c>
      <c r="P49" s="2806"/>
      <c r="Q49" s="2806"/>
      <c r="R49" s="2806">
        <f>IFERROR(R48/R47,0)</f>
        <v>0</v>
      </c>
      <c r="S49" s="2806"/>
      <c r="T49" s="2806"/>
      <c r="U49" s="2806">
        <f>IFERROR(U48/U47,0)</f>
        <v>0</v>
      </c>
      <c r="V49" s="2806"/>
      <c r="W49" s="2806"/>
      <c r="X49" s="2806">
        <f>IFERROR(X48/X47,0)</f>
        <v>0</v>
      </c>
      <c r="Y49" s="2806"/>
      <c r="Z49" s="2806"/>
      <c r="AA49" s="2806">
        <f>IFERROR(AA48/AA47,0)</f>
        <v>0</v>
      </c>
      <c r="AB49" s="2806"/>
      <c r="AC49" s="2806"/>
      <c r="AD49" s="2806">
        <f>IFERROR(AD48/AD47,0)</f>
        <v>0</v>
      </c>
      <c r="AE49" s="2806"/>
      <c r="AF49" s="2806"/>
      <c r="AG49" s="2806">
        <f>IFERROR(AG48/AG47,0)</f>
        <v>0</v>
      </c>
      <c r="AH49" s="2806"/>
      <c r="AI49" s="2806"/>
      <c r="AJ49" s="2806">
        <f>IFERROR(AJ48/AJ47,0)</f>
        <v>0</v>
      </c>
      <c r="AK49" s="2806"/>
      <c r="AL49" s="2806"/>
      <c r="AM49" s="2806">
        <f>IFERROR(AM48/AM47,0)</f>
        <v>0</v>
      </c>
      <c r="AN49" s="2806"/>
      <c r="AO49" s="2806"/>
      <c r="AP49" s="2806">
        <f>IFERROR(AP48/AP47,0)</f>
        <v>0</v>
      </c>
      <c r="AQ49" s="2806"/>
      <c r="AR49" s="2806"/>
      <c r="AS49" s="2806">
        <f>IFERROR(AS48/AS47,0)</f>
        <v>0</v>
      </c>
      <c r="AT49" s="2806"/>
      <c r="AU49" s="2806"/>
      <c r="AV49" s="2806">
        <f>IFERROR(AV48/AV47,0)</f>
        <v>0</v>
      </c>
      <c r="AW49" s="2806"/>
      <c r="AX49" s="2806"/>
      <c r="AY49" s="2806">
        <f>IFERROR(AY48/AY47,0)</f>
        <v>0</v>
      </c>
      <c r="AZ49" s="2806"/>
      <c r="BA49" s="2806"/>
      <c r="BB49" s="2806">
        <f>IFERROR(BB48/BB47,0)</f>
        <v>0</v>
      </c>
      <c r="BC49" s="2806"/>
      <c r="BD49" s="2806"/>
      <c r="BE49" s="2806">
        <f>IFERROR(BE48/BE47,0)</f>
        <v>0</v>
      </c>
      <c r="BF49" s="2806"/>
      <c r="BG49" s="2806"/>
      <c r="BH49" s="171"/>
    </row>
    <row r="50" spans="1:60" ht="13.8" x14ac:dyDescent="0.25">
      <c r="A50" s="9"/>
      <c r="B50" s="168"/>
      <c r="C50" s="168"/>
      <c r="D50" s="168"/>
      <c r="E50" s="168"/>
      <c r="F50" s="168"/>
      <c r="G50" s="168"/>
      <c r="H50" s="168"/>
      <c r="I50" s="168"/>
      <c r="J50" s="168"/>
      <c r="K50" s="168"/>
      <c r="L50" s="168"/>
      <c r="M50" s="168"/>
      <c r="N50" s="168"/>
      <c r="O50" s="1504"/>
      <c r="P50" s="1504"/>
      <c r="Q50" s="1504"/>
      <c r="R50" s="1504"/>
      <c r="S50" s="1504"/>
      <c r="T50" s="1504"/>
      <c r="U50" s="1504"/>
      <c r="V50" s="1504"/>
      <c r="W50" s="1504"/>
      <c r="X50" s="1504"/>
      <c r="Y50" s="1504"/>
      <c r="Z50" s="1504"/>
      <c r="AA50" s="1504"/>
      <c r="AB50" s="1504"/>
      <c r="AC50" s="1504"/>
      <c r="AD50" s="1504"/>
      <c r="AE50" s="1504"/>
      <c r="AF50" s="1504"/>
      <c r="AG50" s="1504"/>
      <c r="AH50" s="1504"/>
      <c r="AI50" s="1504"/>
      <c r="AJ50" s="1504"/>
      <c r="AK50" s="1504"/>
      <c r="AL50" s="1504"/>
      <c r="AM50" s="1504"/>
      <c r="AN50" s="1504"/>
      <c r="AO50" s="1504"/>
      <c r="AP50" s="1504"/>
      <c r="AQ50" s="1504"/>
      <c r="AR50" s="1504"/>
      <c r="AS50" s="1504"/>
      <c r="AT50" s="1504"/>
      <c r="AU50" s="1504"/>
      <c r="AV50" s="1504"/>
      <c r="AW50" s="1504"/>
      <c r="AX50" s="1504"/>
      <c r="AY50" s="1504"/>
      <c r="AZ50" s="1504"/>
      <c r="BA50" s="1504"/>
      <c r="BB50" s="1504"/>
      <c r="BC50" s="1504"/>
      <c r="BD50" s="1504"/>
      <c r="BE50" s="1504"/>
      <c r="BF50" s="1504"/>
      <c r="BG50" s="1504"/>
      <c r="BH50" s="168"/>
    </row>
    <row r="51" spans="1:60" ht="13.8" x14ac:dyDescent="0.25">
      <c r="A51" s="9"/>
      <c r="B51" s="463" t="s">
        <v>180</v>
      </c>
      <c r="C51" s="463"/>
      <c r="D51" s="463"/>
      <c r="E51" s="463"/>
      <c r="F51" s="463"/>
      <c r="G51" s="463"/>
      <c r="H51" s="463"/>
      <c r="I51" s="463"/>
      <c r="J51" s="464"/>
      <c r="K51" s="464"/>
      <c r="L51" s="464"/>
      <c r="M51" s="464"/>
      <c r="N51" s="464"/>
      <c r="O51" s="1507"/>
      <c r="P51" s="1507"/>
      <c r="Q51" s="1507"/>
      <c r="R51" s="1507"/>
      <c r="S51" s="1507"/>
      <c r="T51" s="1507"/>
      <c r="U51" s="1507"/>
      <c r="V51" s="1507"/>
      <c r="W51" s="1507"/>
      <c r="X51" s="1507"/>
      <c r="Y51" s="1507"/>
      <c r="Z51" s="1507"/>
      <c r="AA51" s="1507"/>
      <c r="AB51" s="1507"/>
      <c r="AC51" s="1507"/>
      <c r="AD51" s="1507"/>
      <c r="AE51" s="1507"/>
      <c r="AF51" s="1507"/>
      <c r="AG51" s="1507"/>
      <c r="AH51" s="1507"/>
      <c r="AI51" s="1507"/>
      <c r="AJ51" s="1507"/>
      <c r="AK51" s="1507"/>
      <c r="AL51" s="1507"/>
      <c r="AM51" s="1507"/>
      <c r="AN51" s="1507"/>
      <c r="AO51" s="1507"/>
      <c r="AP51" s="1507"/>
      <c r="AQ51" s="1507"/>
      <c r="AR51" s="1507"/>
      <c r="AS51" s="1507"/>
      <c r="AT51" s="1507"/>
      <c r="AU51" s="1507"/>
      <c r="AV51" s="1507"/>
      <c r="AW51" s="1507"/>
      <c r="AX51" s="1507"/>
      <c r="AY51" s="1507"/>
      <c r="AZ51" s="1507"/>
      <c r="BA51" s="1507"/>
      <c r="BB51" s="1507"/>
      <c r="BC51" s="1507"/>
      <c r="BD51" s="1507"/>
      <c r="BE51" s="1507"/>
      <c r="BF51" s="1507"/>
      <c r="BG51" s="1507"/>
      <c r="BH51" s="168"/>
    </row>
    <row r="52" spans="1:60" ht="13.8" x14ac:dyDescent="0.25">
      <c r="A52" s="9"/>
      <c r="B52" s="168" t="s">
        <v>83</v>
      </c>
      <c r="C52" s="168"/>
      <c r="D52" s="168"/>
      <c r="E52" s="168"/>
      <c r="F52" s="168"/>
      <c r="G52" s="168"/>
      <c r="H52" s="168"/>
      <c r="I52" s="168"/>
      <c r="J52" s="168"/>
      <c r="K52" s="168"/>
      <c r="L52" s="168"/>
      <c r="M52" s="168"/>
      <c r="N52" s="168"/>
      <c r="O52" s="2810">
        <f>O20</f>
        <v>0</v>
      </c>
      <c r="P52" s="2810"/>
      <c r="Q52" s="2810"/>
      <c r="R52" s="2810">
        <f>R20</f>
        <v>0</v>
      </c>
      <c r="S52" s="2810"/>
      <c r="T52" s="2810"/>
      <c r="U52" s="2810">
        <f>U20</f>
        <v>0</v>
      </c>
      <c r="V52" s="2810"/>
      <c r="W52" s="2810"/>
      <c r="X52" s="2810">
        <f>X20</f>
        <v>0</v>
      </c>
      <c r="Y52" s="2810"/>
      <c r="Z52" s="2810"/>
      <c r="AA52" s="2810">
        <f>AA20</f>
        <v>0</v>
      </c>
      <c r="AB52" s="2810"/>
      <c r="AC52" s="2810"/>
      <c r="AD52" s="2810">
        <f>AD20</f>
        <v>0</v>
      </c>
      <c r="AE52" s="2810"/>
      <c r="AF52" s="2810"/>
      <c r="AG52" s="2810">
        <f>AG20</f>
        <v>0</v>
      </c>
      <c r="AH52" s="2810"/>
      <c r="AI52" s="2810"/>
      <c r="AJ52" s="2810">
        <f>AJ20</f>
        <v>0</v>
      </c>
      <c r="AK52" s="2810"/>
      <c r="AL52" s="2810"/>
      <c r="AM52" s="2810">
        <f>AM20</f>
        <v>0</v>
      </c>
      <c r="AN52" s="2810"/>
      <c r="AO52" s="2810"/>
      <c r="AP52" s="2810">
        <f>AP20</f>
        <v>0</v>
      </c>
      <c r="AQ52" s="2810"/>
      <c r="AR52" s="2810"/>
      <c r="AS52" s="2810">
        <f>AS20</f>
        <v>0</v>
      </c>
      <c r="AT52" s="2810"/>
      <c r="AU52" s="2810"/>
      <c r="AV52" s="2810">
        <f>AV20</f>
        <v>0</v>
      </c>
      <c r="AW52" s="2810"/>
      <c r="AX52" s="2810"/>
      <c r="AY52" s="2810">
        <f>AY20</f>
        <v>0</v>
      </c>
      <c r="AZ52" s="2810"/>
      <c r="BA52" s="2810"/>
      <c r="BB52" s="2810">
        <f>BB20</f>
        <v>0</v>
      </c>
      <c r="BC52" s="2810"/>
      <c r="BD52" s="2810"/>
      <c r="BE52" s="2810">
        <f>BE20</f>
        <v>0</v>
      </c>
      <c r="BF52" s="2810"/>
      <c r="BG52" s="2810"/>
      <c r="BH52" s="167"/>
    </row>
    <row r="53" spans="1:60" ht="15" customHeight="1" x14ac:dyDescent="0.25">
      <c r="A53" s="9"/>
      <c r="B53" s="168" t="s">
        <v>1136</v>
      </c>
      <c r="C53" s="168"/>
      <c r="D53" s="168"/>
      <c r="E53" s="168"/>
      <c r="F53" s="168"/>
      <c r="G53" s="168"/>
      <c r="H53" s="168"/>
      <c r="I53" s="168"/>
      <c r="J53" s="168"/>
      <c r="K53" s="168"/>
      <c r="L53" s="168"/>
      <c r="M53" s="168"/>
      <c r="N53" s="168"/>
      <c r="O53" s="2809">
        <f>O48</f>
        <v>0</v>
      </c>
      <c r="P53" s="2809"/>
      <c r="Q53" s="2809"/>
      <c r="R53" s="2809">
        <f>R48</f>
        <v>0</v>
      </c>
      <c r="S53" s="2809"/>
      <c r="T53" s="2809"/>
      <c r="U53" s="2809">
        <f>U48</f>
        <v>0</v>
      </c>
      <c r="V53" s="2809"/>
      <c r="W53" s="2809"/>
      <c r="X53" s="2809">
        <f>X48</f>
        <v>0</v>
      </c>
      <c r="Y53" s="2809"/>
      <c r="Z53" s="2809"/>
      <c r="AA53" s="2809">
        <f>AA48</f>
        <v>0</v>
      </c>
      <c r="AB53" s="2809"/>
      <c r="AC53" s="2809"/>
      <c r="AD53" s="2809">
        <f>AD48</f>
        <v>0</v>
      </c>
      <c r="AE53" s="2809"/>
      <c r="AF53" s="2809"/>
      <c r="AG53" s="2809">
        <f>AG48</f>
        <v>0</v>
      </c>
      <c r="AH53" s="2809"/>
      <c r="AI53" s="2809"/>
      <c r="AJ53" s="2809">
        <f>AJ48</f>
        <v>0</v>
      </c>
      <c r="AK53" s="2809"/>
      <c r="AL53" s="2809"/>
      <c r="AM53" s="2809">
        <f>AM48</f>
        <v>0</v>
      </c>
      <c r="AN53" s="2809"/>
      <c r="AO53" s="2809"/>
      <c r="AP53" s="2809">
        <f>AP48</f>
        <v>0</v>
      </c>
      <c r="AQ53" s="2809"/>
      <c r="AR53" s="2809"/>
      <c r="AS53" s="2809">
        <f>AS48</f>
        <v>0</v>
      </c>
      <c r="AT53" s="2809"/>
      <c r="AU53" s="2809"/>
      <c r="AV53" s="2809">
        <f>AV48</f>
        <v>0</v>
      </c>
      <c r="AW53" s="2809"/>
      <c r="AX53" s="2809"/>
      <c r="AY53" s="2809">
        <f>AY48</f>
        <v>0</v>
      </c>
      <c r="AZ53" s="2809"/>
      <c r="BA53" s="2809"/>
      <c r="BB53" s="2809">
        <f>BB48</f>
        <v>0</v>
      </c>
      <c r="BC53" s="2809"/>
      <c r="BD53" s="2809"/>
      <c r="BE53" s="2809">
        <f>BE48</f>
        <v>0</v>
      </c>
      <c r="BF53" s="2809"/>
      <c r="BG53" s="2809"/>
      <c r="BH53" s="167"/>
    </row>
    <row r="54" spans="1:60" ht="16.5" customHeight="1" x14ac:dyDescent="0.25">
      <c r="A54" s="9"/>
      <c r="B54" s="46" t="s">
        <v>181</v>
      </c>
      <c r="C54" s="46"/>
      <c r="D54" s="46"/>
      <c r="E54" s="46"/>
      <c r="F54" s="46"/>
      <c r="G54" s="46"/>
      <c r="H54" s="46"/>
      <c r="I54" s="46"/>
      <c r="J54" s="46"/>
      <c r="K54" s="46"/>
      <c r="L54" s="46"/>
      <c r="M54" s="46"/>
      <c r="N54" s="46"/>
      <c r="O54" s="2806">
        <f>IFERROR(O52/O53,0)</f>
        <v>0</v>
      </c>
      <c r="P54" s="2806"/>
      <c r="Q54" s="2806"/>
      <c r="R54" s="2806">
        <f>IFERROR(R52/R53,0)</f>
        <v>0</v>
      </c>
      <c r="S54" s="2806"/>
      <c r="T54" s="2806"/>
      <c r="U54" s="2806">
        <f>IFERROR(U52/U53,0)</f>
        <v>0</v>
      </c>
      <c r="V54" s="2806"/>
      <c r="W54" s="2806"/>
      <c r="X54" s="2806">
        <f>IFERROR(X52/X53,0)</f>
        <v>0</v>
      </c>
      <c r="Y54" s="2806"/>
      <c r="Z54" s="2806"/>
      <c r="AA54" s="2806">
        <f>IFERROR(AA52/AA53,0)</f>
        <v>0</v>
      </c>
      <c r="AB54" s="2806"/>
      <c r="AC54" s="2806"/>
      <c r="AD54" s="2806">
        <f>IFERROR(AD52/AD53,0)</f>
        <v>0</v>
      </c>
      <c r="AE54" s="2806"/>
      <c r="AF54" s="2806"/>
      <c r="AG54" s="2806">
        <f>IFERROR(AG52/AG53,0)</f>
        <v>0</v>
      </c>
      <c r="AH54" s="2806"/>
      <c r="AI54" s="2806"/>
      <c r="AJ54" s="2806">
        <f>IFERROR(AJ52/AJ53,0)</f>
        <v>0</v>
      </c>
      <c r="AK54" s="2806"/>
      <c r="AL54" s="2806"/>
      <c r="AM54" s="2806">
        <f>IFERROR(AM52/AM53,0)</f>
        <v>0</v>
      </c>
      <c r="AN54" s="2806"/>
      <c r="AO54" s="2806"/>
      <c r="AP54" s="2806">
        <f>IFERROR(AP52/AP53,0)</f>
        <v>0</v>
      </c>
      <c r="AQ54" s="2806"/>
      <c r="AR54" s="2806"/>
      <c r="AS54" s="2806">
        <f>IFERROR(AS52/AS53,0)</f>
        <v>0</v>
      </c>
      <c r="AT54" s="2806"/>
      <c r="AU54" s="2806"/>
      <c r="AV54" s="2806">
        <f>IFERROR(AV52/AV53,0)</f>
        <v>0</v>
      </c>
      <c r="AW54" s="2806"/>
      <c r="AX54" s="2806"/>
      <c r="AY54" s="2806">
        <f>IFERROR(AY52/AY53,0)</f>
        <v>0</v>
      </c>
      <c r="AZ54" s="2806"/>
      <c r="BA54" s="2806"/>
      <c r="BB54" s="2806">
        <f>IFERROR(BB52/BB53,0)</f>
        <v>0</v>
      </c>
      <c r="BC54" s="2806"/>
      <c r="BD54" s="2806"/>
      <c r="BE54" s="2806">
        <f>IFERROR(BE52/BE53,0)</f>
        <v>0</v>
      </c>
      <c r="BF54" s="2806"/>
      <c r="BG54" s="2806"/>
      <c r="BH54" s="171"/>
    </row>
    <row r="55" spans="1:60" ht="13.8" x14ac:dyDescent="0.25">
      <c r="A55" s="9"/>
      <c r="B55" s="168"/>
      <c r="C55" s="168"/>
      <c r="D55" s="168"/>
      <c r="E55" s="168"/>
      <c r="F55" s="168"/>
      <c r="G55" s="168"/>
      <c r="H55" s="168"/>
      <c r="I55" s="168"/>
      <c r="J55" s="168"/>
      <c r="K55" s="168"/>
      <c r="L55" s="168"/>
      <c r="M55" s="168"/>
      <c r="N55" s="168"/>
      <c r="O55" s="1504"/>
      <c r="P55" s="1504"/>
      <c r="Q55" s="1504"/>
      <c r="R55" s="1504"/>
      <c r="S55" s="1504"/>
      <c r="T55" s="1504"/>
      <c r="U55" s="1504"/>
      <c r="V55" s="1504"/>
      <c r="W55" s="1504"/>
      <c r="X55" s="1504"/>
      <c r="Y55" s="1504"/>
      <c r="Z55" s="1504"/>
      <c r="AA55" s="1504"/>
      <c r="AB55" s="1504"/>
      <c r="AC55" s="1504"/>
      <c r="AD55" s="1504"/>
      <c r="AE55" s="1504"/>
      <c r="AF55" s="1504"/>
      <c r="AG55" s="1504"/>
      <c r="AH55" s="1504"/>
      <c r="AI55" s="1504"/>
      <c r="AJ55" s="1504"/>
      <c r="AK55" s="1504"/>
      <c r="AL55" s="1504"/>
      <c r="AM55" s="1504"/>
      <c r="AN55" s="1504"/>
      <c r="AO55" s="1504"/>
      <c r="AP55" s="1504"/>
      <c r="AQ55" s="1504"/>
      <c r="AR55" s="1504"/>
      <c r="AS55" s="1504"/>
      <c r="AT55" s="1504"/>
      <c r="AU55" s="1504"/>
      <c r="AV55" s="1504"/>
      <c r="AW55" s="1504"/>
      <c r="AX55" s="1504"/>
      <c r="AY55" s="1504"/>
      <c r="AZ55" s="1504"/>
      <c r="BA55" s="1504"/>
      <c r="BB55" s="1504"/>
      <c r="BC55" s="1504"/>
      <c r="BD55" s="1504"/>
      <c r="BE55" s="1504"/>
      <c r="BF55" s="1504"/>
      <c r="BG55" s="1504"/>
      <c r="BH55" s="168"/>
    </row>
    <row r="56" spans="1:60" ht="13.8" x14ac:dyDescent="0.25">
      <c r="A56" s="9"/>
      <c r="B56" s="463" t="s">
        <v>212</v>
      </c>
      <c r="C56" s="463"/>
      <c r="D56" s="463"/>
      <c r="E56" s="463"/>
      <c r="F56" s="463"/>
      <c r="G56" s="463"/>
      <c r="H56" s="463"/>
      <c r="I56" s="463"/>
      <c r="J56" s="464"/>
      <c r="K56" s="464"/>
      <c r="L56" s="464"/>
      <c r="M56" s="464"/>
      <c r="N56" s="464"/>
      <c r="O56" s="1507"/>
      <c r="P56" s="1507"/>
      <c r="Q56" s="1507"/>
      <c r="R56" s="1507"/>
      <c r="S56" s="1507"/>
      <c r="T56" s="1507"/>
      <c r="U56" s="1507"/>
      <c r="V56" s="1507"/>
      <c r="W56" s="1507"/>
      <c r="X56" s="1507"/>
      <c r="Y56" s="1507"/>
      <c r="Z56" s="1507"/>
      <c r="AA56" s="1507"/>
      <c r="AB56" s="1507"/>
      <c r="AC56" s="1507"/>
      <c r="AD56" s="1507"/>
      <c r="AE56" s="1507"/>
      <c r="AF56" s="1507"/>
      <c r="AG56" s="1507"/>
      <c r="AH56" s="1507"/>
      <c r="AI56" s="1507"/>
      <c r="AJ56" s="1507"/>
      <c r="AK56" s="1507"/>
      <c r="AL56" s="1507"/>
      <c r="AM56" s="1507"/>
      <c r="AN56" s="1507"/>
      <c r="AO56" s="1507"/>
      <c r="AP56" s="1507"/>
      <c r="AQ56" s="1507"/>
      <c r="AR56" s="1507"/>
      <c r="AS56" s="1507"/>
      <c r="AT56" s="1507"/>
      <c r="AU56" s="1507"/>
      <c r="AV56" s="1507"/>
      <c r="AW56" s="1507"/>
      <c r="AX56" s="1507"/>
      <c r="AY56" s="1507"/>
      <c r="AZ56" s="1507"/>
      <c r="BA56" s="1507"/>
      <c r="BB56" s="1507"/>
      <c r="BC56" s="1507"/>
      <c r="BD56" s="1507"/>
      <c r="BE56" s="1507"/>
      <c r="BF56" s="1507"/>
      <c r="BG56" s="1507"/>
      <c r="BH56" s="168"/>
    </row>
    <row r="57" spans="1:60" ht="13.8" x14ac:dyDescent="0.25">
      <c r="A57" s="9"/>
      <c r="B57" s="168" t="s">
        <v>1</v>
      </c>
      <c r="C57" s="168"/>
      <c r="D57" s="168"/>
      <c r="E57" s="168"/>
      <c r="F57" s="168"/>
      <c r="G57" s="168"/>
      <c r="H57" s="168"/>
      <c r="I57" s="168"/>
      <c r="J57" s="168"/>
      <c r="K57" s="168"/>
      <c r="L57" s="168"/>
      <c r="M57" s="168"/>
      <c r="N57" s="168"/>
      <c r="O57" s="2810">
        <f>-FORECASTS!E68</f>
        <v>0</v>
      </c>
      <c r="P57" s="2810"/>
      <c r="Q57" s="2810"/>
      <c r="R57" s="2810">
        <f>-FORECASTS!F68</f>
        <v>0</v>
      </c>
      <c r="S57" s="2810"/>
      <c r="T57" s="2810"/>
      <c r="U57" s="2810">
        <f>-FORECASTS!G68</f>
        <v>0</v>
      </c>
      <c r="V57" s="2810"/>
      <c r="W57" s="2810"/>
      <c r="X57" s="2810">
        <f>-FORECASTS!H68</f>
        <v>0</v>
      </c>
      <c r="Y57" s="2810"/>
      <c r="Z57" s="2810"/>
      <c r="AA57" s="2810">
        <f>-FORECASTS!I68</f>
        <v>0</v>
      </c>
      <c r="AB57" s="2810"/>
      <c r="AC57" s="2810"/>
      <c r="AD57" s="2810">
        <f>-FORECASTS!J68</f>
        <v>0</v>
      </c>
      <c r="AE57" s="2810"/>
      <c r="AF57" s="2810"/>
      <c r="AG57" s="2810">
        <f>-FORECASTS!K68</f>
        <v>0</v>
      </c>
      <c r="AH57" s="2810"/>
      <c r="AI57" s="2810"/>
      <c r="AJ57" s="2810">
        <f>-FORECASTS!L68</f>
        <v>0</v>
      </c>
      <c r="AK57" s="2810"/>
      <c r="AL57" s="2810"/>
      <c r="AM57" s="2810">
        <f>-FORECASTS!M68</f>
        <v>0</v>
      </c>
      <c r="AN57" s="2810"/>
      <c r="AO57" s="2810"/>
      <c r="AP57" s="2810">
        <f>-FORECASTS!N68</f>
        <v>0</v>
      </c>
      <c r="AQ57" s="2810"/>
      <c r="AR57" s="2810"/>
      <c r="AS57" s="2810">
        <f>-FORECASTS!O68</f>
        <v>0</v>
      </c>
      <c r="AT57" s="2810"/>
      <c r="AU57" s="2810"/>
      <c r="AV57" s="2810">
        <f>-FORECASTS!P68</f>
        <v>0</v>
      </c>
      <c r="AW57" s="2810"/>
      <c r="AX57" s="2810"/>
      <c r="AY57" s="2810">
        <f>-FORECASTS!Q68</f>
        <v>0</v>
      </c>
      <c r="AZ57" s="2810"/>
      <c r="BA57" s="2810"/>
      <c r="BB57" s="2810">
        <f>-FORECASTS!R68</f>
        <v>0</v>
      </c>
      <c r="BC57" s="2810"/>
      <c r="BD57" s="2810"/>
      <c r="BE57" s="2810">
        <f>-FORECASTS!S68</f>
        <v>0</v>
      </c>
      <c r="BF57" s="2810"/>
      <c r="BG57" s="2810"/>
      <c r="BH57" s="167"/>
    </row>
    <row r="58" spans="1:60" ht="13.8" x14ac:dyDescent="0.25">
      <c r="A58" s="9"/>
      <c r="B58" s="168" t="s">
        <v>175</v>
      </c>
      <c r="C58" s="168"/>
      <c r="D58" s="168"/>
      <c r="E58" s="168"/>
      <c r="F58" s="168"/>
      <c r="G58" s="168"/>
      <c r="H58" s="168"/>
      <c r="I58" s="168"/>
      <c r="J58" s="168"/>
      <c r="K58" s="168"/>
      <c r="L58" s="168"/>
      <c r="M58" s="168"/>
      <c r="N58" s="168"/>
      <c r="O58" s="2809">
        <f>-O31</f>
        <v>0</v>
      </c>
      <c r="P58" s="2809"/>
      <c r="Q58" s="2809"/>
      <c r="R58" s="2809">
        <f>-R31</f>
        <v>0</v>
      </c>
      <c r="S58" s="2809"/>
      <c r="T58" s="2809"/>
      <c r="U58" s="2809">
        <f>-U31</f>
        <v>0</v>
      </c>
      <c r="V58" s="2809"/>
      <c r="W58" s="2809"/>
      <c r="X58" s="2809">
        <f>-X31</f>
        <v>0</v>
      </c>
      <c r="Y58" s="2809"/>
      <c r="Z58" s="2809"/>
      <c r="AA58" s="2809">
        <f>-AA31</f>
        <v>0</v>
      </c>
      <c r="AB58" s="2809"/>
      <c r="AC58" s="2809"/>
      <c r="AD58" s="2809">
        <f>-AD31</f>
        <v>0</v>
      </c>
      <c r="AE58" s="2809"/>
      <c r="AF58" s="2809"/>
      <c r="AG58" s="2809">
        <f>-AG31</f>
        <v>0</v>
      </c>
      <c r="AH58" s="2809"/>
      <c r="AI58" s="2809"/>
      <c r="AJ58" s="2809">
        <f>-AJ31</f>
        <v>0</v>
      </c>
      <c r="AK58" s="2809"/>
      <c r="AL58" s="2809"/>
      <c r="AM58" s="2809">
        <f>-AM31</f>
        <v>0</v>
      </c>
      <c r="AN58" s="2809"/>
      <c r="AO58" s="2809"/>
      <c r="AP58" s="2809">
        <f>-AP31</f>
        <v>0</v>
      </c>
      <c r="AQ58" s="2809"/>
      <c r="AR58" s="2809"/>
      <c r="AS58" s="2809">
        <f>-AS31</f>
        <v>0</v>
      </c>
      <c r="AT58" s="2809"/>
      <c r="AU58" s="2809"/>
      <c r="AV58" s="2809">
        <f>-AV31</f>
        <v>0</v>
      </c>
      <c r="AW58" s="2809"/>
      <c r="AX58" s="2809"/>
      <c r="AY58" s="2809">
        <f>-AY31</f>
        <v>0</v>
      </c>
      <c r="AZ58" s="2809"/>
      <c r="BA58" s="2809"/>
      <c r="BB58" s="2809">
        <f>-BB31</f>
        <v>0</v>
      </c>
      <c r="BC58" s="2809"/>
      <c r="BD58" s="2809"/>
      <c r="BE58" s="2809">
        <f>-BE31</f>
        <v>0</v>
      </c>
      <c r="BF58" s="2809"/>
      <c r="BG58" s="2809"/>
      <c r="BH58" s="167"/>
    </row>
    <row r="59" spans="1:60" ht="15" customHeight="1" x14ac:dyDescent="0.25">
      <c r="A59" s="9"/>
      <c r="B59" s="168" t="str">
        <f>FORECASTS!B26</f>
        <v>Net Rental Income</v>
      </c>
      <c r="C59" s="168"/>
      <c r="D59" s="168"/>
      <c r="E59" s="168"/>
      <c r="F59" s="168"/>
      <c r="G59" s="168"/>
      <c r="H59" s="168"/>
      <c r="I59" s="168"/>
      <c r="J59" s="168"/>
      <c r="K59" s="168"/>
      <c r="L59" s="168"/>
      <c r="M59" s="168"/>
      <c r="N59" s="168"/>
      <c r="O59" s="2809">
        <f>FORECASTS!E26</f>
        <v>0</v>
      </c>
      <c r="P59" s="2809"/>
      <c r="Q59" s="2809"/>
      <c r="R59" s="2809">
        <f>FORECASTS!F26</f>
        <v>0</v>
      </c>
      <c r="S59" s="2809"/>
      <c r="T59" s="2809"/>
      <c r="U59" s="2809">
        <f>FORECASTS!G26</f>
        <v>0</v>
      </c>
      <c r="V59" s="2809"/>
      <c r="W59" s="2809"/>
      <c r="X59" s="2809">
        <f>FORECASTS!H26</f>
        <v>0</v>
      </c>
      <c r="Y59" s="2809"/>
      <c r="Z59" s="2809"/>
      <c r="AA59" s="2809">
        <f>FORECASTS!I26</f>
        <v>0</v>
      </c>
      <c r="AB59" s="2809"/>
      <c r="AC59" s="2809"/>
      <c r="AD59" s="2809">
        <f>FORECASTS!J26</f>
        <v>0</v>
      </c>
      <c r="AE59" s="2809"/>
      <c r="AF59" s="2809"/>
      <c r="AG59" s="2809">
        <f>FORECASTS!K26</f>
        <v>0</v>
      </c>
      <c r="AH59" s="2809"/>
      <c r="AI59" s="2809"/>
      <c r="AJ59" s="2809">
        <f>FORECASTS!L26</f>
        <v>0</v>
      </c>
      <c r="AK59" s="2809"/>
      <c r="AL59" s="2809"/>
      <c r="AM59" s="2809">
        <f>FORECASTS!M26</f>
        <v>0</v>
      </c>
      <c r="AN59" s="2809"/>
      <c r="AO59" s="2809"/>
      <c r="AP59" s="2809">
        <f>FORECASTS!N26</f>
        <v>0</v>
      </c>
      <c r="AQ59" s="2809"/>
      <c r="AR59" s="2809"/>
      <c r="AS59" s="2809">
        <f>FORECASTS!O26</f>
        <v>0</v>
      </c>
      <c r="AT59" s="2809"/>
      <c r="AU59" s="2809"/>
      <c r="AV59" s="2809">
        <f>FORECASTS!P26</f>
        <v>0</v>
      </c>
      <c r="AW59" s="2809"/>
      <c r="AX59" s="2809"/>
      <c r="AY59" s="2809">
        <f>FORECASTS!Q26</f>
        <v>0</v>
      </c>
      <c r="AZ59" s="2809"/>
      <c r="BA59" s="2809"/>
      <c r="BB59" s="2809">
        <f>FORECASTS!R26</f>
        <v>0</v>
      </c>
      <c r="BC59" s="2809"/>
      <c r="BD59" s="2809"/>
      <c r="BE59" s="2809">
        <f>FORECASTS!S26</f>
        <v>0</v>
      </c>
      <c r="BF59" s="2809"/>
      <c r="BG59" s="2809"/>
      <c r="BH59" s="167"/>
    </row>
    <row r="60" spans="1:60" ht="15" customHeight="1" x14ac:dyDescent="0.25">
      <c r="A60" s="9"/>
      <c r="B60" s="46" t="s">
        <v>199</v>
      </c>
      <c r="C60" s="46"/>
      <c r="D60" s="46"/>
      <c r="E60" s="46"/>
      <c r="F60" s="46"/>
      <c r="G60" s="46"/>
      <c r="H60" s="46"/>
      <c r="I60" s="46"/>
      <c r="J60" s="46"/>
      <c r="K60" s="46"/>
      <c r="L60" s="46"/>
      <c r="M60" s="46"/>
      <c r="N60" s="46"/>
      <c r="O60" s="2806">
        <f>IFERROR((O57+O58)/O59,0)</f>
        <v>0</v>
      </c>
      <c r="P60" s="2806"/>
      <c r="Q60" s="2806"/>
      <c r="R60" s="2806">
        <f>IFERROR((R57+R58)/R59,0)</f>
        <v>0</v>
      </c>
      <c r="S60" s="2806"/>
      <c r="T60" s="2806"/>
      <c r="U60" s="2806">
        <f>IFERROR((U57+U58)/U59,0)</f>
        <v>0</v>
      </c>
      <c r="V60" s="2806"/>
      <c r="W60" s="2806"/>
      <c r="X60" s="2806">
        <f>IFERROR((X57+X58)/X59,0)</f>
        <v>0</v>
      </c>
      <c r="Y60" s="2806"/>
      <c r="Z60" s="2806"/>
      <c r="AA60" s="2806">
        <f>IFERROR((AA57+AA58)/AA59,0)</f>
        <v>0</v>
      </c>
      <c r="AB60" s="2806"/>
      <c r="AC60" s="2806"/>
      <c r="AD60" s="2806">
        <f>IFERROR((AD57+AD58)/AD59,0)</f>
        <v>0</v>
      </c>
      <c r="AE60" s="2806"/>
      <c r="AF60" s="2806"/>
      <c r="AG60" s="2806">
        <f>IFERROR((AG57+AG58)/AG59,0)</f>
        <v>0</v>
      </c>
      <c r="AH60" s="2806"/>
      <c r="AI60" s="2806"/>
      <c r="AJ60" s="2806">
        <f>IFERROR((AJ57+AJ58)/AJ59,0)</f>
        <v>0</v>
      </c>
      <c r="AK60" s="2806"/>
      <c r="AL60" s="2806"/>
      <c r="AM60" s="2806">
        <f>IFERROR((AM57+AM58)/AM59,0)</f>
        <v>0</v>
      </c>
      <c r="AN60" s="2806"/>
      <c r="AO60" s="2806"/>
      <c r="AP60" s="2806">
        <f>IFERROR((AP57+AP58)/AP59,0)</f>
        <v>0</v>
      </c>
      <c r="AQ60" s="2806"/>
      <c r="AR60" s="2806"/>
      <c r="AS60" s="2806">
        <f>IFERROR((AS57+AS58)/AS59,0)</f>
        <v>0</v>
      </c>
      <c r="AT60" s="2806"/>
      <c r="AU60" s="2806"/>
      <c r="AV60" s="2806">
        <f>IFERROR((AV57+AV58)/AV59,0)</f>
        <v>0</v>
      </c>
      <c r="AW60" s="2806"/>
      <c r="AX60" s="2806"/>
      <c r="AY60" s="2806">
        <f>IFERROR((AY57+AY58)/AY59,0)</f>
        <v>0</v>
      </c>
      <c r="AZ60" s="2806"/>
      <c r="BA60" s="2806"/>
      <c r="BB60" s="2806">
        <f>IFERROR((BB57+BB58)/BB59,0)</f>
        <v>0</v>
      </c>
      <c r="BC60" s="2806"/>
      <c r="BD60" s="2806"/>
      <c r="BE60" s="2806">
        <f>IFERROR((BE57+BE58)/BE59,0)</f>
        <v>0</v>
      </c>
      <c r="BF60" s="2806"/>
      <c r="BG60" s="2806"/>
      <c r="BH60" s="171"/>
    </row>
    <row r="61" spans="1:60" ht="15" customHeight="1" x14ac:dyDescent="0.25">
      <c r="A61" s="9"/>
      <c r="B61" s="168"/>
      <c r="C61" s="168"/>
      <c r="D61" s="168"/>
      <c r="E61" s="168"/>
      <c r="F61" s="168"/>
      <c r="G61" s="168"/>
      <c r="H61" s="168"/>
      <c r="I61" s="168"/>
      <c r="J61" s="168"/>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68"/>
      <c r="BG61" s="168"/>
      <c r="BH61" s="168"/>
    </row>
    <row r="62" spans="1:60" ht="14.25" customHeight="1" x14ac:dyDescent="0.25">
      <c r="A62" s="9"/>
      <c r="B62" s="168"/>
      <c r="C62" s="168"/>
      <c r="D62" s="168"/>
      <c r="E62" s="168"/>
      <c r="F62" s="168"/>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row>
    <row r="63" spans="1:60" ht="14.25" customHeight="1" x14ac:dyDescent="0.25">
      <c r="A63" s="9"/>
      <c r="B63" s="168"/>
      <c r="C63" s="168"/>
      <c r="D63" s="168"/>
      <c r="E63" s="168"/>
      <c r="F63" s="168"/>
      <c r="G63" s="168"/>
      <c r="H63" s="168"/>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c r="BD63" s="168"/>
      <c r="BE63" s="168"/>
      <c r="BF63" s="168"/>
      <c r="BG63" s="168"/>
      <c r="BH63" s="168"/>
    </row>
    <row r="64" spans="1:60" ht="14.25" customHeight="1" x14ac:dyDescent="0.25">
      <c r="A64" s="9"/>
      <c r="B64" s="2819" t="s">
        <v>183</v>
      </c>
      <c r="C64" s="2819"/>
      <c r="D64" s="2819"/>
      <c r="E64" s="2819"/>
      <c r="F64" s="2819"/>
      <c r="G64" s="2819"/>
      <c r="H64" s="2819"/>
      <c r="I64" s="163"/>
      <c r="J64" s="163"/>
      <c r="K64" s="163"/>
      <c r="L64" s="163"/>
      <c r="M64" s="163"/>
      <c r="N64" s="163"/>
      <c r="O64" s="2819">
        <f>BE14+1</f>
        <v>16</v>
      </c>
      <c r="P64" s="2819"/>
      <c r="Q64" s="2819"/>
      <c r="R64" s="2819">
        <f>O64+1</f>
        <v>17</v>
      </c>
      <c r="S64" s="2819"/>
      <c r="T64" s="2819"/>
      <c r="U64" s="2819">
        <f>R64+1</f>
        <v>18</v>
      </c>
      <c r="V64" s="2819"/>
      <c r="W64" s="2819"/>
      <c r="X64" s="2819">
        <f>U64+1</f>
        <v>19</v>
      </c>
      <c r="Y64" s="2819"/>
      <c r="Z64" s="2819"/>
      <c r="AA64" s="2819">
        <f>X64+1</f>
        <v>20</v>
      </c>
      <c r="AB64" s="2819"/>
      <c r="AC64" s="2819"/>
      <c r="AD64" s="2819">
        <f>AA64+1</f>
        <v>21</v>
      </c>
      <c r="AE64" s="2819"/>
      <c r="AF64" s="2819"/>
      <c r="AG64" s="2819">
        <f>AD64+1</f>
        <v>22</v>
      </c>
      <c r="AH64" s="2819"/>
      <c r="AI64" s="2819"/>
      <c r="AJ64" s="2819">
        <f>AG64+1</f>
        <v>23</v>
      </c>
      <c r="AK64" s="2819"/>
      <c r="AL64" s="2819"/>
      <c r="AM64" s="2819">
        <f>AJ64+1</f>
        <v>24</v>
      </c>
      <c r="AN64" s="2819"/>
      <c r="AO64" s="2819"/>
      <c r="AP64" s="2819">
        <f>AM64+1</f>
        <v>25</v>
      </c>
      <c r="AQ64" s="2819"/>
      <c r="AR64" s="2819"/>
      <c r="AS64" s="2819">
        <f>AP64+1</f>
        <v>26</v>
      </c>
      <c r="AT64" s="2819"/>
      <c r="AU64" s="2819"/>
      <c r="AV64" s="2819">
        <f>AS64+1</f>
        <v>27</v>
      </c>
      <c r="AW64" s="2819"/>
      <c r="AX64" s="2819"/>
      <c r="AY64" s="2819">
        <f>AV64+1</f>
        <v>28</v>
      </c>
      <c r="AZ64" s="2819"/>
      <c r="BA64" s="2819"/>
      <c r="BB64" s="2819">
        <f>AY64+1</f>
        <v>29</v>
      </c>
      <c r="BC64" s="2819"/>
      <c r="BD64" s="2819"/>
      <c r="BE64" s="2819">
        <f>BB64+1</f>
        <v>30</v>
      </c>
      <c r="BF64" s="2819"/>
      <c r="BG64" s="2819"/>
      <c r="BH64" s="164"/>
    </row>
    <row r="65" spans="1:68" ht="14.25" customHeight="1" x14ac:dyDescent="0.25">
      <c r="A65" s="9"/>
      <c r="B65" s="9"/>
      <c r="C65" s="9"/>
      <c r="D65" s="9"/>
      <c r="E65" s="9"/>
      <c r="F65" s="9"/>
      <c r="G65" s="9"/>
      <c r="H65" s="9"/>
      <c r="I65" s="9"/>
      <c r="J65" s="7"/>
      <c r="K65" s="7"/>
      <c r="L65" s="7"/>
      <c r="M65" s="7"/>
      <c r="N65" s="7"/>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377"/>
    </row>
    <row r="66" spans="1:68" ht="16.5" customHeight="1" x14ac:dyDescent="0.25">
      <c r="A66" s="9"/>
      <c r="B66" s="1557" t="s">
        <v>210</v>
      </c>
      <c r="C66" s="1557"/>
      <c r="D66" s="1557"/>
      <c r="E66" s="1557"/>
      <c r="F66" s="1557"/>
      <c r="G66" s="1557"/>
      <c r="H66" s="1557"/>
      <c r="I66" s="1557"/>
      <c r="J66" s="675"/>
      <c r="K66" s="675"/>
      <c r="L66" s="675"/>
      <c r="M66" s="675"/>
      <c r="N66" s="675"/>
      <c r="O66" s="675"/>
      <c r="P66" s="675"/>
      <c r="Q66" s="675"/>
      <c r="R66" s="675"/>
      <c r="S66" s="675"/>
      <c r="T66" s="675"/>
      <c r="U66" s="675"/>
      <c r="V66" s="675"/>
      <c r="W66" s="675"/>
      <c r="X66" s="675"/>
      <c r="Y66" s="675"/>
      <c r="Z66" s="675"/>
      <c r="AA66" s="675"/>
      <c r="AB66" s="675"/>
      <c r="AC66" s="675"/>
      <c r="AD66" s="675"/>
      <c r="AE66" s="675"/>
      <c r="AF66" s="675"/>
      <c r="AG66" s="675"/>
      <c r="AH66" s="675"/>
      <c r="AI66" s="675"/>
      <c r="AJ66" s="675"/>
      <c r="AK66" s="675"/>
      <c r="AL66" s="675"/>
      <c r="AM66" s="675"/>
      <c r="AN66" s="675"/>
      <c r="AO66" s="675"/>
      <c r="AP66" s="675"/>
      <c r="AQ66" s="675"/>
      <c r="AR66" s="675"/>
      <c r="AS66" s="675"/>
      <c r="AT66" s="675"/>
      <c r="AU66" s="675"/>
      <c r="AV66" s="675"/>
      <c r="AW66" s="675"/>
      <c r="AX66" s="675"/>
      <c r="AY66" s="675"/>
      <c r="AZ66" s="675"/>
      <c r="BA66" s="675"/>
      <c r="BB66" s="675"/>
      <c r="BC66" s="675"/>
      <c r="BD66" s="675"/>
      <c r="BE66" s="675"/>
      <c r="BF66" s="675"/>
      <c r="BG66" s="675"/>
      <c r="BH66" s="1562"/>
    </row>
    <row r="67" spans="1:68" ht="16.5" customHeight="1" x14ac:dyDescent="0.25">
      <c r="A67" s="9"/>
      <c r="B67" s="9"/>
      <c r="C67" s="9"/>
      <c r="D67" s="9"/>
      <c r="E67" s="9"/>
      <c r="F67" s="9"/>
      <c r="G67" s="9"/>
      <c r="H67" s="9"/>
      <c r="I67" s="9"/>
      <c r="J67" s="7"/>
      <c r="K67" s="7"/>
      <c r="L67" s="7"/>
      <c r="M67" s="7"/>
      <c r="N67" s="7"/>
      <c r="O67" s="1351"/>
      <c r="P67" s="1351"/>
      <c r="Q67" s="1351"/>
      <c r="R67" s="1351"/>
      <c r="S67" s="1351"/>
      <c r="T67" s="1351"/>
      <c r="U67" s="1351"/>
      <c r="V67" s="1351"/>
      <c r="W67" s="1351"/>
      <c r="X67" s="1351"/>
      <c r="Y67" s="1351"/>
      <c r="Z67" s="1351"/>
      <c r="AA67" s="1351"/>
      <c r="AB67" s="1351"/>
      <c r="AC67" s="1351"/>
      <c r="AD67" s="1351"/>
      <c r="AE67" s="1351"/>
      <c r="AF67" s="1351"/>
      <c r="AG67" s="1351"/>
      <c r="AH67" s="1351"/>
      <c r="AI67" s="1351"/>
      <c r="AJ67" s="1351"/>
      <c r="AK67" s="1351"/>
      <c r="AL67" s="1351"/>
      <c r="AM67" s="1351"/>
      <c r="AN67" s="1351"/>
      <c r="AO67" s="1351"/>
      <c r="AP67" s="1351"/>
      <c r="AQ67" s="1351"/>
      <c r="AR67" s="1351"/>
      <c r="AS67" s="1351"/>
      <c r="AT67" s="1351"/>
      <c r="AU67" s="1351"/>
      <c r="AV67" s="1351"/>
      <c r="AW67" s="1351"/>
      <c r="AX67" s="1351"/>
      <c r="AY67" s="1351"/>
      <c r="AZ67" s="1351"/>
      <c r="BA67" s="1351"/>
      <c r="BB67" s="1351"/>
      <c r="BC67" s="1351"/>
      <c r="BD67" s="1351"/>
      <c r="BE67" s="1351"/>
      <c r="BF67" s="1351"/>
      <c r="BG67" s="1351"/>
      <c r="BH67" s="377"/>
    </row>
    <row r="68" spans="1:68" ht="16.5" customHeight="1" x14ac:dyDescent="0.25">
      <c r="A68" s="9"/>
      <c r="B68" s="44" t="str">
        <f>B18</f>
        <v>Net Rental Income</v>
      </c>
      <c r="C68" s="44"/>
      <c r="D68" s="44"/>
      <c r="E68" s="44"/>
      <c r="F68" s="44"/>
      <c r="G68" s="44"/>
      <c r="H68" s="44"/>
      <c r="I68" s="44"/>
      <c r="J68" s="20"/>
      <c r="K68" s="20"/>
      <c r="L68" s="20"/>
      <c r="M68" s="20"/>
      <c r="N68" s="20"/>
      <c r="O68" s="2809">
        <f>FORECASTS!T26</f>
        <v>0</v>
      </c>
      <c r="P68" s="2809"/>
      <c r="Q68" s="2809"/>
      <c r="R68" s="2809">
        <f>FORECASTS!U26</f>
        <v>0</v>
      </c>
      <c r="S68" s="2809"/>
      <c r="T68" s="2809"/>
      <c r="U68" s="2809">
        <f>FORECASTS!V26</f>
        <v>0</v>
      </c>
      <c r="V68" s="2809"/>
      <c r="W68" s="2809"/>
      <c r="X68" s="2809">
        <f>FORECASTS!W26</f>
        <v>0</v>
      </c>
      <c r="Y68" s="2809"/>
      <c r="Z68" s="2809"/>
      <c r="AA68" s="2809">
        <f>FORECASTS!X26</f>
        <v>0</v>
      </c>
      <c r="AB68" s="2809"/>
      <c r="AC68" s="2809"/>
      <c r="AD68" s="2809">
        <f>FORECASTS!Y26</f>
        <v>0</v>
      </c>
      <c r="AE68" s="2809"/>
      <c r="AF68" s="2809"/>
      <c r="AG68" s="2809">
        <f>FORECASTS!Z26</f>
        <v>0</v>
      </c>
      <c r="AH68" s="2809"/>
      <c r="AI68" s="2809"/>
      <c r="AJ68" s="2809">
        <f>FORECASTS!AA26</f>
        <v>0</v>
      </c>
      <c r="AK68" s="2809"/>
      <c r="AL68" s="2809"/>
      <c r="AM68" s="2809">
        <f>FORECASTS!AB26</f>
        <v>0</v>
      </c>
      <c r="AN68" s="2809"/>
      <c r="AO68" s="2809"/>
      <c r="AP68" s="2809">
        <f>FORECASTS!AC26</f>
        <v>0</v>
      </c>
      <c r="AQ68" s="2809"/>
      <c r="AR68" s="2809"/>
      <c r="AS68" s="2809">
        <f>FORECASTS!AD26</f>
        <v>0</v>
      </c>
      <c r="AT68" s="2809"/>
      <c r="AU68" s="2809"/>
      <c r="AV68" s="2809">
        <f>FORECASTS!AE26</f>
        <v>0</v>
      </c>
      <c r="AW68" s="2809"/>
      <c r="AX68" s="2809"/>
      <c r="AY68" s="2809">
        <f>FORECASTS!AF26</f>
        <v>0</v>
      </c>
      <c r="AZ68" s="2809"/>
      <c r="BA68" s="2809"/>
      <c r="BB68" s="2809">
        <f>FORECASTS!AG26</f>
        <v>0</v>
      </c>
      <c r="BC68" s="2809"/>
      <c r="BD68" s="2809"/>
      <c r="BE68" s="2809">
        <f>FORECASTS!AH26</f>
        <v>0</v>
      </c>
      <c r="BF68" s="2809"/>
      <c r="BG68" s="2809"/>
      <c r="BH68" s="165"/>
    </row>
    <row r="69" spans="1:68" ht="16.5" customHeight="1" x14ac:dyDescent="0.25">
      <c r="A69" s="9"/>
      <c r="B69" s="44" t="str">
        <f>B19</f>
        <v>(-) Operating Expenses</v>
      </c>
      <c r="C69" s="44"/>
      <c r="D69" s="44"/>
      <c r="E69" s="44"/>
      <c r="F69" s="44"/>
      <c r="G69" s="44"/>
      <c r="H69" s="44"/>
      <c r="I69" s="44"/>
      <c r="J69" s="20"/>
      <c r="K69" s="20"/>
      <c r="L69" s="20"/>
      <c r="M69" s="20"/>
      <c r="N69" s="20"/>
      <c r="O69" s="2809">
        <f>FORECASTS!T68</f>
        <v>0</v>
      </c>
      <c r="P69" s="2809"/>
      <c r="Q69" s="2809"/>
      <c r="R69" s="2809">
        <f>FORECASTS!U68</f>
        <v>0</v>
      </c>
      <c r="S69" s="2809"/>
      <c r="T69" s="2809"/>
      <c r="U69" s="2809">
        <f>FORECASTS!V68</f>
        <v>0</v>
      </c>
      <c r="V69" s="2809"/>
      <c r="W69" s="2809"/>
      <c r="X69" s="2809">
        <f>FORECASTS!W68</f>
        <v>0</v>
      </c>
      <c r="Y69" s="2809"/>
      <c r="Z69" s="2809"/>
      <c r="AA69" s="2809">
        <f>FORECASTS!X68</f>
        <v>0</v>
      </c>
      <c r="AB69" s="2809"/>
      <c r="AC69" s="2809"/>
      <c r="AD69" s="2809">
        <f>FORECASTS!Y68</f>
        <v>0</v>
      </c>
      <c r="AE69" s="2809"/>
      <c r="AF69" s="2809"/>
      <c r="AG69" s="2809">
        <f>FORECASTS!Z68</f>
        <v>0</v>
      </c>
      <c r="AH69" s="2809"/>
      <c r="AI69" s="2809"/>
      <c r="AJ69" s="2809">
        <f>FORECASTS!AA68</f>
        <v>0</v>
      </c>
      <c r="AK69" s="2809"/>
      <c r="AL69" s="2809"/>
      <c r="AM69" s="2809">
        <f>FORECASTS!AB68</f>
        <v>0</v>
      </c>
      <c r="AN69" s="2809"/>
      <c r="AO69" s="2809"/>
      <c r="AP69" s="2809">
        <f>FORECASTS!AC68</f>
        <v>0</v>
      </c>
      <c r="AQ69" s="2809"/>
      <c r="AR69" s="2809"/>
      <c r="AS69" s="2809">
        <f>FORECASTS!AD68</f>
        <v>0</v>
      </c>
      <c r="AT69" s="2809"/>
      <c r="AU69" s="2809"/>
      <c r="AV69" s="2809">
        <f>FORECASTS!AE68</f>
        <v>0</v>
      </c>
      <c r="AW69" s="2809"/>
      <c r="AX69" s="2809"/>
      <c r="AY69" s="2809">
        <f>FORECASTS!AF68</f>
        <v>0</v>
      </c>
      <c r="AZ69" s="2809"/>
      <c r="BA69" s="2809"/>
      <c r="BB69" s="2809">
        <f>FORECASTS!AG68</f>
        <v>0</v>
      </c>
      <c r="BC69" s="2809"/>
      <c r="BD69" s="2809"/>
      <c r="BE69" s="2809">
        <f>FORECASTS!AH68</f>
        <v>0</v>
      </c>
      <c r="BF69" s="2809"/>
      <c r="BG69" s="2809"/>
      <c r="BH69" s="160"/>
    </row>
    <row r="70" spans="1:68" ht="16.5" customHeight="1" x14ac:dyDescent="0.25">
      <c r="A70" s="9"/>
      <c r="B70" s="46" t="str">
        <f>B20</f>
        <v>Net Operating Income</v>
      </c>
      <c r="C70" s="46"/>
      <c r="D70" s="46"/>
      <c r="E70" s="46"/>
      <c r="F70" s="46"/>
      <c r="G70" s="46"/>
      <c r="H70" s="46"/>
      <c r="I70" s="46"/>
      <c r="J70" s="46"/>
      <c r="K70" s="46"/>
      <c r="L70" s="46"/>
      <c r="M70" s="46"/>
      <c r="N70" s="46"/>
      <c r="O70" s="2817">
        <f>SUM(O68:O69)</f>
        <v>0</v>
      </c>
      <c r="P70" s="2817"/>
      <c r="Q70" s="2817"/>
      <c r="R70" s="2817">
        <f>SUM(R68:R69)</f>
        <v>0</v>
      </c>
      <c r="S70" s="2817"/>
      <c r="T70" s="2817"/>
      <c r="U70" s="2817">
        <f>SUM(U68:U69)</f>
        <v>0</v>
      </c>
      <c r="V70" s="2817"/>
      <c r="W70" s="2817"/>
      <c r="X70" s="2817">
        <f>SUM(X68:X69)</f>
        <v>0</v>
      </c>
      <c r="Y70" s="2817"/>
      <c r="Z70" s="2817"/>
      <c r="AA70" s="2817">
        <f>SUM(AA68:AA69)</f>
        <v>0</v>
      </c>
      <c r="AB70" s="2817"/>
      <c r="AC70" s="2817"/>
      <c r="AD70" s="2817">
        <f>SUM(AD68:AD69)</f>
        <v>0</v>
      </c>
      <c r="AE70" s="2817"/>
      <c r="AF70" s="2817"/>
      <c r="AG70" s="2817">
        <f>SUM(AG68:AG69)</f>
        <v>0</v>
      </c>
      <c r="AH70" s="2817"/>
      <c r="AI70" s="2817"/>
      <c r="AJ70" s="2817">
        <f>SUM(AJ68:AJ69)</f>
        <v>0</v>
      </c>
      <c r="AK70" s="2817"/>
      <c r="AL70" s="2817"/>
      <c r="AM70" s="2817">
        <f>SUM(AM68:AM69)</f>
        <v>0</v>
      </c>
      <c r="AN70" s="2817"/>
      <c r="AO70" s="2817"/>
      <c r="AP70" s="2817">
        <f>SUM(AP68:AP69)</f>
        <v>0</v>
      </c>
      <c r="AQ70" s="2817"/>
      <c r="AR70" s="2817"/>
      <c r="AS70" s="2817">
        <f>SUM(AS68:AS69)</f>
        <v>0</v>
      </c>
      <c r="AT70" s="2817"/>
      <c r="AU70" s="2817"/>
      <c r="AV70" s="2817">
        <f>SUM(AV68:AV69)</f>
        <v>0</v>
      </c>
      <c r="AW70" s="2817"/>
      <c r="AX70" s="2817"/>
      <c r="AY70" s="2817">
        <f>SUM(AY68:AY69)</f>
        <v>0</v>
      </c>
      <c r="AZ70" s="2817"/>
      <c r="BA70" s="2817"/>
      <c r="BB70" s="2817">
        <f>SUM(BB68:BB69)</f>
        <v>0</v>
      </c>
      <c r="BC70" s="2817"/>
      <c r="BD70" s="2817"/>
      <c r="BE70" s="2817">
        <f>SUM(BE68:BE69)</f>
        <v>0</v>
      </c>
      <c r="BF70" s="2817"/>
      <c r="BG70" s="2817"/>
      <c r="BH70" s="161"/>
    </row>
    <row r="71" spans="1:68" ht="14.25" customHeight="1" x14ac:dyDescent="0.25">
      <c r="A71" s="9"/>
      <c r="B71" s="44" t="str">
        <f>B21</f>
        <v>(-) CAPEX &amp; Other Expenses</v>
      </c>
      <c r="C71" s="44"/>
      <c r="D71" s="44"/>
      <c r="E71" s="44"/>
      <c r="F71" s="44"/>
      <c r="G71" s="44"/>
      <c r="H71" s="44"/>
      <c r="I71" s="44"/>
      <c r="J71" s="44"/>
      <c r="K71" s="44"/>
      <c r="L71" s="44"/>
      <c r="M71" s="44"/>
      <c r="N71" s="44"/>
      <c r="O71" s="2809">
        <f>FORECASTS!T74+IF(O64&lt;=holding,FORECASTS!T76+FORECASTS!T77)</f>
        <v>0</v>
      </c>
      <c r="P71" s="2809"/>
      <c r="Q71" s="2809"/>
      <c r="R71" s="2809">
        <f>FORECASTS!U74+IF(R64&lt;=holding,FORECASTS!U76+FORECASTS!U77)</f>
        <v>0</v>
      </c>
      <c r="S71" s="2809"/>
      <c r="T71" s="2809"/>
      <c r="U71" s="2809">
        <f>FORECASTS!V74+IF(U64&lt;=holding,FORECASTS!V76+FORECASTS!V77)</f>
        <v>0</v>
      </c>
      <c r="V71" s="2809"/>
      <c r="W71" s="2809"/>
      <c r="X71" s="2809">
        <f>FORECASTS!W74+IF(X64&lt;=holding,FORECASTS!W76+FORECASTS!W77)</f>
        <v>0</v>
      </c>
      <c r="Y71" s="2809"/>
      <c r="Z71" s="2809"/>
      <c r="AA71" s="2809">
        <f>FORECASTS!X74+IF(AA64&lt;=holding,FORECASTS!X76+FORECASTS!X77)</f>
        <v>0</v>
      </c>
      <c r="AB71" s="2809"/>
      <c r="AC71" s="2809"/>
      <c r="AD71" s="2809">
        <f>FORECASTS!Y74+IF(AD64&lt;=holding,FORECASTS!Y76+FORECASTS!Y77)</f>
        <v>0</v>
      </c>
      <c r="AE71" s="2809"/>
      <c r="AF71" s="2809"/>
      <c r="AG71" s="2809">
        <f>FORECASTS!Z74+IF(AG64&lt;=holding,FORECASTS!Z76+FORECASTS!Z77)</f>
        <v>0</v>
      </c>
      <c r="AH71" s="2809"/>
      <c r="AI71" s="2809"/>
      <c r="AJ71" s="2809">
        <f>FORECASTS!AA74+IF(AJ64&lt;=holding,FORECASTS!AA76+FORECASTS!AA77)</f>
        <v>0</v>
      </c>
      <c r="AK71" s="2809"/>
      <c r="AL71" s="2809"/>
      <c r="AM71" s="2809">
        <f>FORECASTS!AB74+IF(AM64&lt;=holding,FORECASTS!AB76+FORECASTS!AB77)</f>
        <v>0</v>
      </c>
      <c r="AN71" s="2809"/>
      <c r="AO71" s="2809"/>
      <c r="AP71" s="2809">
        <f>FORECASTS!AC74+IF(AP64&lt;=holding,FORECASTS!AC76+FORECASTS!AC77)</f>
        <v>0</v>
      </c>
      <c r="AQ71" s="2809"/>
      <c r="AR71" s="2809"/>
      <c r="AS71" s="2809">
        <f>FORECASTS!AD74+IF(AS64&lt;=holding,FORECASTS!AD76+FORECASTS!AD77)</f>
        <v>0</v>
      </c>
      <c r="AT71" s="2809"/>
      <c r="AU71" s="2809"/>
      <c r="AV71" s="2809">
        <f>FORECASTS!AE74+IF(AV64&lt;=holding,FORECASTS!AE76+FORECASTS!AE77)</f>
        <v>0</v>
      </c>
      <c r="AW71" s="2809"/>
      <c r="AX71" s="2809"/>
      <c r="AY71" s="2809">
        <f>FORECASTS!AF74+IF(AY64&lt;=holding,FORECASTS!AF76+FORECASTS!AF77)</f>
        <v>0</v>
      </c>
      <c r="AZ71" s="2809"/>
      <c r="BA71" s="2809"/>
      <c r="BB71" s="2809">
        <f>FORECASTS!AG74+IF(BB64&lt;=holding,FORECASTS!AG76+FORECASTS!AG77)</f>
        <v>0</v>
      </c>
      <c r="BC71" s="2809"/>
      <c r="BD71" s="2809"/>
      <c r="BE71" s="2809">
        <f>FORECASTS!AH74+IF(BE64&lt;=holding,FORECASTS!AH76+FORECASTS!AH77)</f>
        <v>0</v>
      </c>
      <c r="BF71" s="2809"/>
      <c r="BG71" s="2809"/>
      <c r="BH71" s="160"/>
    </row>
    <row r="72" spans="1:68" ht="14.25" customHeight="1" x14ac:dyDescent="0.25">
      <c r="A72" s="9"/>
      <c r="B72" s="46" t="str">
        <f>B22</f>
        <v>Cash Flow before Debt</v>
      </c>
      <c r="C72" s="46"/>
      <c r="D72" s="46"/>
      <c r="E72" s="46"/>
      <c r="F72" s="46"/>
      <c r="G72" s="46"/>
      <c r="H72" s="46"/>
      <c r="I72" s="46"/>
      <c r="J72" s="46"/>
      <c r="K72" s="46"/>
      <c r="L72" s="46"/>
      <c r="M72" s="46"/>
      <c r="N72" s="46"/>
      <c r="O72" s="2818">
        <f>O70+O71</f>
        <v>0</v>
      </c>
      <c r="P72" s="2818"/>
      <c r="Q72" s="2818"/>
      <c r="R72" s="2818">
        <f>R70+R71</f>
        <v>0</v>
      </c>
      <c r="S72" s="2818"/>
      <c r="T72" s="2818"/>
      <c r="U72" s="2818">
        <f>U70+U71</f>
        <v>0</v>
      </c>
      <c r="V72" s="2818"/>
      <c r="W72" s="2818"/>
      <c r="X72" s="2818">
        <f>X70+X71</f>
        <v>0</v>
      </c>
      <c r="Y72" s="2818"/>
      <c r="Z72" s="2818"/>
      <c r="AA72" s="2818">
        <f>AA70+AA71</f>
        <v>0</v>
      </c>
      <c r="AB72" s="2818"/>
      <c r="AC72" s="2818"/>
      <c r="AD72" s="2818">
        <f>AD70+AD71</f>
        <v>0</v>
      </c>
      <c r="AE72" s="2818"/>
      <c r="AF72" s="2818"/>
      <c r="AG72" s="2818">
        <f>AG70+AG71</f>
        <v>0</v>
      </c>
      <c r="AH72" s="2818"/>
      <c r="AI72" s="2818"/>
      <c r="AJ72" s="2818">
        <f>AJ70+AJ71</f>
        <v>0</v>
      </c>
      <c r="AK72" s="2818"/>
      <c r="AL72" s="2818"/>
      <c r="AM72" s="2818">
        <f>AM70+AM71</f>
        <v>0</v>
      </c>
      <c r="AN72" s="2818"/>
      <c r="AO72" s="2818"/>
      <c r="AP72" s="2818">
        <f>AP70+AP71</f>
        <v>0</v>
      </c>
      <c r="AQ72" s="2818"/>
      <c r="AR72" s="2818"/>
      <c r="AS72" s="2818">
        <f>AS70+AS71</f>
        <v>0</v>
      </c>
      <c r="AT72" s="2818"/>
      <c r="AU72" s="2818"/>
      <c r="AV72" s="2818">
        <f>AV70+AV71</f>
        <v>0</v>
      </c>
      <c r="AW72" s="2818"/>
      <c r="AX72" s="2818"/>
      <c r="AY72" s="2818">
        <f>AY70+AY71</f>
        <v>0</v>
      </c>
      <c r="AZ72" s="2818"/>
      <c r="BA72" s="2818"/>
      <c r="BB72" s="2818">
        <f>BB70+BB71</f>
        <v>0</v>
      </c>
      <c r="BC72" s="2818"/>
      <c r="BD72" s="2818"/>
      <c r="BE72" s="2818">
        <f>BE70+BE71</f>
        <v>0</v>
      </c>
      <c r="BF72" s="2818"/>
      <c r="BG72" s="2818"/>
      <c r="BH72" s="166"/>
    </row>
    <row r="73" spans="1:68" ht="15" customHeight="1" x14ac:dyDescent="0.25">
      <c r="A73" s="9"/>
      <c r="B73" s="44"/>
      <c r="C73" s="44"/>
      <c r="D73" s="44"/>
      <c r="E73" s="44"/>
      <c r="F73" s="44"/>
      <c r="G73" s="44"/>
      <c r="H73" s="44"/>
      <c r="I73" s="44"/>
      <c r="J73" s="44"/>
      <c r="K73" s="44"/>
      <c r="L73" s="44"/>
      <c r="M73" s="44"/>
      <c r="N73" s="44"/>
      <c r="O73" s="1504"/>
      <c r="P73" s="1504"/>
      <c r="Q73" s="1504"/>
      <c r="R73" s="1504"/>
      <c r="S73" s="1504"/>
      <c r="T73" s="1504"/>
      <c r="U73" s="1504"/>
      <c r="V73" s="1504"/>
      <c r="W73" s="1504"/>
      <c r="X73" s="1504"/>
      <c r="Y73" s="1504"/>
      <c r="Z73" s="1504"/>
      <c r="AA73" s="1504"/>
      <c r="AB73" s="1504"/>
      <c r="AC73" s="1504"/>
      <c r="AD73" s="1504"/>
      <c r="AE73" s="1504"/>
      <c r="AF73" s="1504"/>
      <c r="AG73" s="1504"/>
      <c r="AH73" s="1504"/>
      <c r="AI73" s="1504"/>
      <c r="AJ73" s="1504"/>
      <c r="AK73" s="1504"/>
      <c r="AL73" s="1504"/>
      <c r="AM73" s="1504"/>
      <c r="AN73" s="1504"/>
      <c r="AO73" s="1504"/>
      <c r="AP73" s="1504"/>
      <c r="AQ73" s="1504"/>
      <c r="AR73" s="1504"/>
      <c r="AS73" s="1504"/>
      <c r="AT73" s="1504"/>
      <c r="AU73" s="1504"/>
      <c r="AV73" s="1504"/>
      <c r="AW73" s="1504"/>
      <c r="AX73" s="1504"/>
      <c r="AY73" s="1504"/>
      <c r="AZ73" s="1504"/>
      <c r="BA73" s="1504"/>
      <c r="BB73" s="1504"/>
      <c r="BC73" s="1504"/>
      <c r="BD73" s="1504"/>
      <c r="BE73" s="1504"/>
      <c r="BF73" s="1504"/>
      <c r="BG73" s="1504"/>
      <c r="BH73" s="44"/>
      <c r="BL73" s="1658"/>
      <c r="BM73" s="1658"/>
      <c r="BN73" s="1658"/>
    </row>
    <row r="74" spans="1:68" ht="16.5" customHeight="1" x14ac:dyDescent="0.25">
      <c r="A74" s="9"/>
      <c r="B74" s="1557" t="s">
        <v>172</v>
      </c>
      <c r="C74" s="1557"/>
      <c r="D74" s="1557"/>
      <c r="E74" s="1557"/>
      <c r="F74" s="1557"/>
      <c r="G74" s="1557"/>
      <c r="H74" s="1557"/>
      <c r="I74" s="1557"/>
      <c r="J74" s="675"/>
      <c r="K74" s="675"/>
      <c r="L74" s="675"/>
      <c r="M74" s="675"/>
      <c r="N74" s="675"/>
      <c r="O74" s="675"/>
      <c r="P74" s="675"/>
      <c r="Q74" s="675"/>
      <c r="R74" s="675"/>
      <c r="S74" s="675"/>
      <c r="T74" s="675"/>
      <c r="U74" s="675"/>
      <c r="V74" s="675"/>
      <c r="W74" s="675"/>
      <c r="X74" s="675"/>
      <c r="Y74" s="675"/>
      <c r="Z74" s="675"/>
      <c r="AA74" s="675"/>
      <c r="AB74" s="675"/>
      <c r="AC74" s="675"/>
      <c r="AD74" s="675"/>
      <c r="AE74" s="675"/>
      <c r="AF74" s="675"/>
      <c r="AG74" s="675"/>
      <c r="AH74" s="675"/>
      <c r="AI74" s="675"/>
      <c r="AJ74" s="675"/>
      <c r="AK74" s="675"/>
      <c r="AL74" s="675"/>
      <c r="AM74" s="675"/>
      <c r="AN74" s="675"/>
      <c r="AO74" s="675"/>
      <c r="AP74" s="675"/>
      <c r="AQ74" s="675"/>
      <c r="AR74" s="675"/>
      <c r="AS74" s="675"/>
      <c r="AT74" s="675"/>
      <c r="AU74" s="675"/>
      <c r="AV74" s="675"/>
      <c r="AW74" s="675"/>
      <c r="AX74" s="675"/>
      <c r="AY74" s="675"/>
      <c r="AZ74" s="675"/>
      <c r="BA74" s="675"/>
      <c r="BB74" s="675"/>
      <c r="BC74" s="675"/>
      <c r="BD74" s="675"/>
      <c r="BE74" s="675"/>
      <c r="BF74" s="675"/>
      <c r="BG74" s="675"/>
      <c r="BH74" s="1562"/>
      <c r="BL74" s="1658"/>
      <c r="BM74" s="1658"/>
      <c r="BN74" s="1658"/>
    </row>
    <row r="75" spans="1:68" ht="16.5" customHeight="1" x14ac:dyDescent="0.25">
      <c r="A75" s="9"/>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L75" s="1658"/>
      <c r="BM75" s="362"/>
      <c r="BN75" s="363"/>
      <c r="BP75" s="359"/>
    </row>
    <row r="76" spans="1:68" ht="16.5" customHeight="1" x14ac:dyDescent="0.25">
      <c r="A76" s="9"/>
      <c r="B76" s="44" t="str">
        <f>B28</f>
        <v>Interest Payment</v>
      </c>
      <c r="C76" s="44"/>
      <c r="D76" s="44"/>
      <c r="E76" s="44"/>
      <c r="F76" s="44"/>
      <c r="G76" s="44"/>
      <c r="H76" s="44"/>
      <c r="I76" s="44"/>
      <c r="J76" s="44"/>
      <c r="K76" s="44"/>
      <c r="L76" s="44"/>
      <c r="M76" s="44"/>
      <c r="N76" s="44"/>
      <c r="O76" s="2809">
        <f>FORECASTS!T97</f>
        <v>0</v>
      </c>
      <c r="P76" s="2809"/>
      <c r="Q76" s="2809"/>
      <c r="R76" s="2809">
        <f>FORECASTS!U97</f>
        <v>0</v>
      </c>
      <c r="S76" s="2809"/>
      <c r="T76" s="2809"/>
      <c r="U76" s="2809">
        <f>FORECASTS!V97</f>
        <v>0</v>
      </c>
      <c r="V76" s="2809"/>
      <c r="W76" s="2809"/>
      <c r="X76" s="2809">
        <f>FORECASTS!W97</f>
        <v>0</v>
      </c>
      <c r="Y76" s="2809"/>
      <c r="Z76" s="2809"/>
      <c r="AA76" s="2809">
        <f>FORECASTS!X97</f>
        <v>0</v>
      </c>
      <c r="AB76" s="2809"/>
      <c r="AC76" s="2809"/>
      <c r="AD76" s="2809">
        <f>FORECASTS!Y97</f>
        <v>0</v>
      </c>
      <c r="AE76" s="2809"/>
      <c r="AF76" s="2809"/>
      <c r="AG76" s="2809">
        <f>FORECASTS!Z97</f>
        <v>0</v>
      </c>
      <c r="AH76" s="2809"/>
      <c r="AI76" s="2809"/>
      <c r="AJ76" s="2809">
        <f>FORECASTS!AA97</f>
        <v>0</v>
      </c>
      <c r="AK76" s="2809"/>
      <c r="AL76" s="2809"/>
      <c r="AM76" s="2809">
        <f>FORECASTS!AB97</f>
        <v>0</v>
      </c>
      <c r="AN76" s="2809"/>
      <c r="AO76" s="2809"/>
      <c r="AP76" s="2809">
        <f>FORECASTS!AC97</f>
        <v>0</v>
      </c>
      <c r="AQ76" s="2809"/>
      <c r="AR76" s="2809"/>
      <c r="AS76" s="2809">
        <f>FORECASTS!AD97</f>
        <v>0</v>
      </c>
      <c r="AT76" s="2809"/>
      <c r="AU76" s="2809"/>
      <c r="AV76" s="2809">
        <f>FORECASTS!AE97</f>
        <v>0</v>
      </c>
      <c r="AW76" s="2809"/>
      <c r="AX76" s="2809"/>
      <c r="AY76" s="2809">
        <f>FORECASTS!AF97</f>
        <v>0</v>
      </c>
      <c r="AZ76" s="2809"/>
      <c r="BA76" s="2809"/>
      <c r="BB76" s="2809">
        <f>FORECASTS!AG97</f>
        <v>0</v>
      </c>
      <c r="BC76" s="2809"/>
      <c r="BD76" s="2809"/>
      <c r="BE76" s="2809">
        <f>FORECASTS!AH97</f>
        <v>0</v>
      </c>
      <c r="BF76" s="2809"/>
      <c r="BG76" s="2809"/>
      <c r="BH76" s="160"/>
      <c r="BL76" s="1658"/>
      <c r="BM76" s="1658"/>
      <c r="BN76" s="1658"/>
    </row>
    <row r="77" spans="1:68" ht="16.5" customHeight="1" x14ac:dyDescent="0.25">
      <c r="A77" s="9"/>
      <c r="B77" s="44" t="str">
        <f>B29</f>
        <v>Principal Repayment</v>
      </c>
      <c r="C77" s="44"/>
      <c r="D77" s="44"/>
      <c r="E77" s="44"/>
      <c r="F77" s="44"/>
      <c r="G77" s="44"/>
      <c r="H77" s="44"/>
      <c r="I77" s="44"/>
      <c r="J77" s="44"/>
      <c r="K77" s="44"/>
      <c r="L77" s="44"/>
      <c r="M77" s="44"/>
      <c r="N77" s="44"/>
      <c r="O77" s="2809">
        <f>DEBT!S14</f>
        <v>0</v>
      </c>
      <c r="P77" s="2809"/>
      <c r="Q77" s="2809"/>
      <c r="R77" s="2809">
        <f>DEBT!T14</f>
        <v>0</v>
      </c>
      <c r="S77" s="2809"/>
      <c r="T77" s="2809"/>
      <c r="U77" s="2809">
        <f>DEBT!U14</f>
        <v>0</v>
      </c>
      <c r="V77" s="2809"/>
      <c r="W77" s="2809"/>
      <c r="X77" s="2809">
        <f>DEBT!V14</f>
        <v>0</v>
      </c>
      <c r="Y77" s="2809"/>
      <c r="Z77" s="2809"/>
      <c r="AA77" s="2809">
        <f>DEBT!W14</f>
        <v>0</v>
      </c>
      <c r="AB77" s="2809"/>
      <c r="AC77" s="2809"/>
      <c r="AD77" s="2809">
        <f>DEBT!X14</f>
        <v>0</v>
      </c>
      <c r="AE77" s="2809"/>
      <c r="AF77" s="2809"/>
      <c r="AG77" s="2809">
        <f>DEBT!Y14</f>
        <v>0</v>
      </c>
      <c r="AH77" s="2809"/>
      <c r="AI77" s="2809"/>
      <c r="AJ77" s="2809">
        <f>DEBT!Z14</f>
        <v>0</v>
      </c>
      <c r="AK77" s="2809"/>
      <c r="AL77" s="2809"/>
      <c r="AM77" s="2809">
        <f>DEBT!AA14</f>
        <v>0</v>
      </c>
      <c r="AN77" s="2809"/>
      <c r="AO77" s="2809"/>
      <c r="AP77" s="2809">
        <f>DEBT!AB14</f>
        <v>0</v>
      </c>
      <c r="AQ77" s="2809"/>
      <c r="AR77" s="2809"/>
      <c r="AS77" s="2809">
        <f>DEBT!AC14</f>
        <v>0</v>
      </c>
      <c r="AT77" s="2809"/>
      <c r="AU77" s="2809"/>
      <c r="AV77" s="2809">
        <f>DEBT!AD14</f>
        <v>0</v>
      </c>
      <c r="AW77" s="2809"/>
      <c r="AX77" s="2809"/>
      <c r="AY77" s="2809">
        <f>DEBT!AE14</f>
        <v>0</v>
      </c>
      <c r="AZ77" s="2809"/>
      <c r="BA77" s="2809"/>
      <c r="BB77" s="2809">
        <f>DEBT!AF14</f>
        <v>0</v>
      </c>
      <c r="BC77" s="2809"/>
      <c r="BD77" s="2809"/>
      <c r="BE77" s="2809">
        <f>DEBT!AG14</f>
        <v>0</v>
      </c>
      <c r="BF77" s="2809"/>
      <c r="BG77" s="2809"/>
      <c r="BH77" s="160"/>
    </row>
    <row r="78" spans="1:68" ht="3.75" customHeight="1" x14ac:dyDescent="0.25">
      <c r="A78" s="9"/>
      <c r="B78" s="44" t="str">
        <f>B30</f>
        <v>Loan Insurance</v>
      </c>
      <c r="C78" s="44"/>
      <c r="D78" s="44"/>
      <c r="E78" s="44"/>
      <c r="F78" s="44"/>
      <c r="G78" s="44"/>
      <c r="H78" s="44"/>
      <c r="I78" s="44"/>
      <c r="J78" s="44"/>
      <c r="K78" s="44"/>
      <c r="L78" s="44"/>
      <c r="M78" s="44"/>
      <c r="N78" s="44"/>
      <c r="O78" s="2814">
        <f>FORECASTS!T98</f>
        <v>0</v>
      </c>
      <c r="P78" s="2814"/>
      <c r="Q78" s="2814"/>
      <c r="R78" s="2814">
        <f>FORECASTS!U98</f>
        <v>0</v>
      </c>
      <c r="S78" s="2814"/>
      <c r="T78" s="2814"/>
      <c r="U78" s="2814">
        <f>FORECASTS!V98</f>
        <v>0</v>
      </c>
      <c r="V78" s="2814"/>
      <c r="W78" s="2814"/>
      <c r="X78" s="2814">
        <f>FORECASTS!W98</f>
        <v>0</v>
      </c>
      <c r="Y78" s="2814"/>
      <c r="Z78" s="2814"/>
      <c r="AA78" s="2814">
        <f>FORECASTS!X98</f>
        <v>0</v>
      </c>
      <c r="AB78" s="2814"/>
      <c r="AC78" s="2814"/>
      <c r="AD78" s="2814">
        <f>FORECASTS!Y98</f>
        <v>0</v>
      </c>
      <c r="AE78" s="2814"/>
      <c r="AF78" s="2814"/>
      <c r="AG78" s="2814">
        <f>FORECASTS!Z98</f>
        <v>0</v>
      </c>
      <c r="AH78" s="2814"/>
      <c r="AI78" s="2814"/>
      <c r="AJ78" s="2814">
        <f>FORECASTS!AA98</f>
        <v>0</v>
      </c>
      <c r="AK78" s="2814"/>
      <c r="AL78" s="2814"/>
      <c r="AM78" s="2814">
        <f>FORECASTS!AB98</f>
        <v>0</v>
      </c>
      <c r="AN78" s="2814"/>
      <c r="AO78" s="2814"/>
      <c r="AP78" s="2814">
        <f>FORECASTS!AC98</f>
        <v>0</v>
      </c>
      <c r="AQ78" s="2814"/>
      <c r="AR78" s="2814"/>
      <c r="AS78" s="2814">
        <f>FORECASTS!AD98</f>
        <v>0</v>
      </c>
      <c r="AT78" s="2814"/>
      <c r="AU78" s="2814"/>
      <c r="AV78" s="2814">
        <f>FORECASTS!AE98</f>
        <v>0</v>
      </c>
      <c r="AW78" s="2814"/>
      <c r="AX78" s="2814"/>
      <c r="AY78" s="2814">
        <f>FORECASTS!AF98</f>
        <v>0</v>
      </c>
      <c r="AZ78" s="2814"/>
      <c r="BA78" s="2814"/>
      <c r="BB78" s="2814">
        <f>FORECASTS!AG98</f>
        <v>0</v>
      </c>
      <c r="BC78" s="2814"/>
      <c r="BD78" s="2814"/>
      <c r="BE78" s="2814">
        <f>FORECASTS!AH98</f>
        <v>0</v>
      </c>
      <c r="BF78" s="2814"/>
      <c r="BG78" s="2814"/>
      <c r="BH78" s="160"/>
    </row>
    <row r="79" spans="1:68" ht="16.5" customHeight="1" x14ac:dyDescent="0.25">
      <c r="A79" s="9"/>
      <c r="B79" s="462" t="str">
        <f>B31</f>
        <v>Total Debt Service</v>
      </c>
      <c r="C79" s="462"/>
      <c r="D79" s="462"/>
      <c r="E79" s="462"/>
      <c r="F79" s="462"/>
      <c r="G79" s="462"/>
      <c r="H79" s="462"/>
      <c r="I79" s="462"/>
      <c r="J79" s="462"/>
      <c r="K79" s="462"/>
      <c r="L79" s="462"/>
      <c r="M79" s="462"/>
      <c r="N79" s="462"/>
      <c r="O79" s="2815">
        <f>SUM(O76:O78)</f>
        <v>0</v>
      </c>
      <c r="P79" s="2815"/>
      <c r="Q79" s="2815"/>
      <c r="R79" s="2815">
        <f>SUM(R76:R78)</f>
        <v>0</v>
      </c>
      <c r="S79" s="2815"/>
      <c r="T79" s="2815"/>
      <c r="U79" s="2815">
        <f>SUM(U76:U78)</f>
        <v>0</v>
      </c>
      <c r="V79" s="2815"/>
      <c r="W79" s="2815"/>
      <c r="X79" s="2815">
        <f>SUM(X76:X78)</f>
        <v>0</v>
      </c>
      <c r="Y79" s="2815"/>
      <c r="Z79" s="2815"/>
      <c r="AA79" s="2815">
        <f>SUM(AA76:AA78)</f>
        <v>0</v>
      </c>
      <c r="AB79" s="2815"/>
      <c r="AC79" s="2815"/>
      <c r="AD79" s="2815">
        <f>SUM(AD76:AD78)</f>
        <v>0</v>
      </c>
      <c r="AE79" s="2815"/>
      <c r="AF79" s="2815"/>
      <c r="AG79" s="2815">
        <f>SUM(AG76:AG78)</f>
        <v>0</v>
      </c>
      <c r="AH79" s="2815"/>
      <c r="AI79" s="2815"/>
      <c r="AJ79" s="2815">
        <f>SUM(AJ76:AJ78)</f>
        <v>0</v>
      </c>
      <c r="AK79" s="2815"/>
      <c r="AL79" s="2815"/>
      <c r="AM79" s="2815">
        <f>SUM(AM76:AM78)</f>
        <v>0</v>
      </c>
      <c r="AN79" s="2815"/>
      <c r="AO79" s="2815"/>
      <c r="AP79" s="2815">
        <f>SUM(AP76:AP78)</f>
        <v>0</v>
      </c>
      <c r="AQ79" s="2815"/>
      <c r="AR79" s="2815"/>
      <c r="AS79" s="2815">
        <f>SUM(AS76:AS78)</f>
        <v>0</v>
      </c>
      <c r="AT79" s="2815"/>
      <c r="AU79" s="2815"/>
      <c r="AV79" s="2815">
        <f>SUM(AV76:AV78)</f>
        <v>0</v>
      </c>
      <c r="AW79" s="2815"/>
      <c r="AX79" s="2815"/>
      <c r="AY79" s="2815">
        <f>SUM(AY76:AY78)</f>
        <v>0</v>
      </c>
      <c r="AZ79" s="2815"/>
      <c r="BA79" s="2815"/>
      <c r="BB79" s="2815">
        <f>SUM(BB76:BB78)</f>
        <v>0</v>
      </c>
      <c r="BC79" s="2815"/>
      <c r="BD79" s="2815"/>
      <c r="BE79" s="2815">
        <f>SUM(BE76:BE78)</f>
        <v>0</v>
      </c>
      <c r="BF79" s="2815"/>
      <c r="BG79" s="2815"/>
      <c r="BH79" s="160"/>
    </row>
    <row r="80" spans="1:68" ht="3.75" customHeight="1" x14ac:dyDescent="0.25">
      <c r="A80" s="9"/>
      <c r="B80" s="44"/>
      <c r="C80" s="44"/>
      <c r="D80" s="44"/>
      <c r="E80" s="44"/>
      <c r="F80" s="44"/>
      <c r="G80" s="44"/>
      <c r="H80" s="44"/>
      <c r="I80" s="44"/>
      <c r="J80" s="44"/>
      <c r="K80" s="44"/>
      <c r="L80" s="44"/>
      <c r="M80" s="44"/>
      <c r="N80" s="44"/>
      <c r="O80" s="1504"/>
      <c r="P80" s="1504"/>
      <c r="Q80" s="1504"/>
      <c r="R80" s="1504"/>
      <c r="S80" s="1504"/>
      <c r="T80" s="1504"/>
      <c r="U80" s="1504"/>
      <c r="V80" s="1504"/>
      <c r="W80" s="1504"/>
      <c r="X80" s="1504"/>
      <c r="Y80" s="1504"/>
      <c r="Z80" s="1504"/>
      <c r="AA80" s="1504"/>
      <c r="AB80" s="1504"/>
      <c r="AC80" s="1504"/>
      <c r="AD80" s="1504"/>
      <c r="AE80" s="1504"/>
      <c r="AF80" s="1504"/>
      <c r="AG80" s="1504"/>
      <c r="AH80" s="1504"/>
      <c r="AI80" s="1504"/>
      <c r="AJ80" s="1504"/>
      <c r="AK80" s="1504"/>
      <c r="AL80" s="1504"/>
      <c r="AM80" s="1504"/>
      <c r="AN80" s="1504"/>
      <c r="AO80" s="1504"/>
      <c r="AP80" s="1504"/>
      <c r="AQ80" s="1504"/>
      <c r="AR80" s="1504"/>
      <c r="AS80" s="1504"/>
      <c r="AT80" s="1504"/>
      <c r="AU80" s="1504"/>
      <c r="AV80" s="1504"/>
      <c r="AW80" s="1504"/>
      <c r="AX80" s="1504"/>
      <c r="AY80" s="1504"/>
      <c r="AZ80" s="1504"/>
      <c r="BA80" s="1504"/>
      <c r="BB80" s="1504"/>
      <c r="BC80" s="1504"/>
      <c r="BD80" s="1504"/>
      <c r="BE80" s="1504"/>
      <c r="BF80" s="1504"/>
      <c r="BG80" s="1504"/>
      <c r="BH80" s="44"/>
    </row>
    <row r="81" spans="1:60" ht="13.8" x14ac:dyDescent="0.25">
      <c r="A81" s="9"/>
      <c r="B81" s="168" t="str">
        <f>B33</f>
        <v>Ending Balance</v>
      </c>
      <c r="C81" s="168"/>
      <c r="D81" s="168"/>
      <c r="E81" s="168"/>
      <c r="F81" s="168"/>
      <c r="G81" s="168"/>
      <c r="H81" s="168"/>
      <c r="I81" s="168"/>
      <c r="J81" s="168"/>
      <c r="K81" s="168"/>
      <c r="L81" s="168"/>
      <c r="M81" s="168"/>
      <c r="N81" s="168"/>
      <c r="O81" s="2809">
        <f>FORECASTS!T128</f>
        <v>0</v>
      </c>
      <c r="P81" s="2809"/>
      <c r="Q81" s="2809"/>
      <c r="R81" s="2809">
        <f>FORECASTS!U128</f>
        <v>0</v>
      </c>
      <c r="S81" s="2809"/>
      <c r="T81" s="2809"/>
      <c r="U81" s="2809">
        <f>FORECASTS!V128</f>
        <v>0</v>
      </c>
      <c r="V81" s="2809"/>
      <c r="W81" s="2809"/>
      <c r="X81" s="2809">
        <f>FORECASTS!W128</f>
        <v>0</v>
      </c>
      <c r="Y81" s="2809"/>
      <c r="Z81" s="2809"/>
      <c r="AA81" s="2809">
        <f>FORECASTS!X128</f>
        <v>0</v>
      </c>
      <c r="AB81" s="2809"/>
      <c r="AC81" s="2809"/>
      <c r="AD81" s="2809">
        <f>FORECASTS!Y128</f>
        <v>0</v>
      </c>
      <c r="AE81" s="2809"/>
      <c r="AF81" s="2809"/>
      <c r="AG81" s="2809">
        <f>FORECASTS!Z128</f>
        <v>0</v>
      </c>
      <c r="AH81" s="2809"/>
      <c r="AI81" s="2809"/>
      <c r="AJ81" s="2809">
        <f>FORECASTS!AA128</f>
        <v>0</v>
      </c>
      <c r="AK81" s="2809"/>
      <c r="AL81" s="2809"/>
      <c r="AM81" s="2809">
        <f>FORECASTS!AB128</f>
        <v>0</v>
      </c>
      <c r="AN81" s="2809"/>
      <c r="AO81" s="2809"/>
      <c r="AP81" s="2809">
        <f>FORECASTS!AC128</f>
        <v>0</v>
      </c>
      <c r="AQ81" s="2809"/>
      <c r="AR81" s="2809"/>
      <c r="AS81" s="2809">
        <f>FORECASTS!AD128</f>
        <v>0</v>
      </c>
      <c r="AT81" s="2809"/>
      <c r="AU81" s="2809"/>
      <c r="AV81" s="2809">
        <f>FORECASTS!AE128</f>
        <v>0</v>
      </c>
      <c r="AW81" s="2809"/>
      <c r="AX81" s="2809"/>
      <c r="AY81" s="2809">
        <f>FORECASTS!AF128</f>
        <v>0</v>
      </c>
      <c r="AZ81" s="2809"/>
      <c r="BA81" s="2809"/>
      <c r="BB81" s="2809">
        <f>FORECASTS!AG128</f>
        <v>0</v>
      </c>
      <c r="BC81" s="2809"/>
      <c r="BD81" s="2809"/>
      <c r="BE81" s="2809">
        <f>FORECASTS!AH128</f>
        <v>0</v>
      </c>
      <c r="BF81" s="2809"/>
      <c r="BG81" s="2809"/>
      <c r="BH81" s="160"/>
    </row>
    <row r="82" spans="1:60" ht="13.8" x14ac:dyDescent="0.25">
      <c r="A82" s="9"/>
      <c r="B82" s="44"/>
      <c r="C82" s="44"/>
      <c r="D82" s="44"/>
      <c r="E82" s="44"/>
      <c r="F82" s="44"/>
      <c r="G82" s="44"/>
      <c r="H82" s="44"/>
      <c r="I82" s="44"/>
      <c r="J82" s="44"/>
      <c r="K82" s="44"/>
      <c r="L82" s="44"/>
      <c r="M82" s="44"/>
      <c r="N82" s="44"/>
      <c r="O82" s="1504"/>
      <c r="P82" s="1504"/>
      <c r="Q82" s="1504"/>
      <c r="R82" s="1504"/>
      <c r="S82" s="1504"/>
      <c r="T82" s="1504"/>
      <c r="U82" s="1504"/>
      <c r="V82" s="1504"/>
      <c r="W82" s="1504"/>
      <c r="X82" s="1504"/>
      <c r="Y82" s="1504"/>
      <c r="Z82" s="1504"/>
      <c r="AA82" s="1504"/>
      <c r="AB82" s="1504"/>
      <c r="AC82" s="1504"/>
      <c r="AD82" s="1504"/>
      <c r="AE82" s="1504"/>
      <c r="AF82" s="1504"/>
      <c r="AG82" s="1504"/>
      <c r="AH82" s="1504"/>
      <c r="AI82" s="1504"/>
      <c r="AJ82" s="1504"/>
      <c r="AK82" s="1504"/>
      <c r="AL82" s="1504"/>
      <c r="AM82" s="1504"/>
      <c r="AN82" s="1504"/>
      <c r="AO82" s="1504"/>
      <c r="AP82" s="1504"/>
      <c r="AQ82" s="1504"/>
      <c r="AR82" s="1504"/>
      <c r="AS82" s="1504"/>
      <c r="AT82" s="1504"/>
      <c r="AU82" s="1504"/>
      <c r="AV82" s="1504"/>
      <c r="AW82" s="1504"/>
      <c r="AX82" s="1504"/>
      <c r="AY82" s="1504"/>
      <c r="AZ82" s="1504"/>
      <c r="BA82" s="1504"/>
      <c r="BB82" s="1504"/>
      <c r="BC82" s="1504"/>
      <c r="BD82" s="1504"/>
      <c r="BE82" s="1504"/>
      <c r="BF82" s="1504"/>
      <c r="BG82" s="1504"/>
      <c r="BH82" s="44"/>
    </row>
    <row r="83" spans="1:60" ht="13.8" x14ac:dyDescent="0.25">
      <c r="A83" s="9"/>
      <c r="B83" s="46" t="str">
        <f>B35</f>
        <v>Recurring Cash Flow After Debt</v>
      </c>
      <c r="C83" s="46"/>
      <c r="D83" s="46"/>
      <c r="E83" s="46"/>
      <c r="F83" s="46"/>
      <c r="G83" s="46"/>
      <c r="H83" s="46"/>
      <c r="I83" s="46"/>
      <c r="J83" s="46"/>
      <c r="K83" s="46"/>
      <c r="L83" s="46"/>
      <c r="M83" s="46"/>
      <c r="N83" s="46"/>
      <c r="O83" s="2816">
        <f>O72+O79</f>
        <v>0</v>
      </c>
      <c r="P83" s="2816"/>
      <c r="Q83" s="2816"/>
      <c r="R83" s="2816">
        <f>R72+R79</f>
        <v>0</v>
      </c>
      <c r="S83" s="2816"/>
      <c r="T83" s="2816"/>
      <c r="U83" s="2816">
        <f>U72+U79</f>
        <v>0</v>
      </c>
      <c r="V83" s="2816"/>
      <c r="W83" s="2816"/>
      <c r="X83" s="2816">
        <f>X72+X79</f>
        <v>0</v>
      </c>
      <c r="Y83" s="2816"/>
      <c r="Z83" s="2816"/>
      <c r="AA83" s="2816">
        <f>AA72+AA79</f>
        <v>0</v>
      </c>
      <c r="AB83" s="2816"/>
      <c r="AC83" s="2816"/>
      <c r="AD83" s="2816">
        <f>AD72+AD79</f>
        <v>0</v>
      </c>
      <c r="AE83" s="2816"/>
      <c r="AF83" s="2816"/>
      <c r="AG83" s="2816">
        <f>AG72+AG79</f>
        <v>0</v>
      </c>
      <c r="AH83" s="2816"/>
      <c r="AI83" s="2816"/>
      <c r="AJ83" s="2816">
        <f>AJ72+AJ79</f>
        <v>0</v>
      </c>
      <c r="AK83" s="2816"/>
      <c r="AL83" s="2816"/>
      <c r="AM83" s="2816">
        <f>AM72+AM79</f>
        <v>0</v>
      </c>
      <c r="AN83" s="2816"/>
      <c r="AO83" s="2816"/>
      <c r="AP83" s="2816">
        <f>AP72+AP79</f>
        <v>0</v>
      </c>
      <c r="AQ83" s="2816"/>
      <c r="AR83" s="2816"/>
      <c r="AS83" s="2816">
        <f>AS72+AS79</f>
        <v>0</v>
      </c>
      <c r="AT83" s="2816"/>
      <c r="AU83" s="2816"/>
      <c r="AV83" s="2816">
        <f>AV72+AV79</f>
        <v>0</v>
      </c>
      <c r="AW83" s="2816"/>
      <c r="AX83" s="2816"/>
      <c r="AY83" s="2816">
        <f>AY72+AY79</f>
        <v>0</v>
      </c>
      <c r="AZ83" s="2816"/>
      <c r="BA83" s="2816"/>
      <c r="BB83" s="2816">
        <f>BB72+BB79</f>
        <v>0</v>
      </c>
      <c r="BC83" s="2816"/>
      <c r="BD83" s="2816"/>
      <c r="BE83" s="2816">
        <f>BE72+BE79</f>
        <v>0</v>
      </c>
      <c r="BF83" s="2816"/>
      <c r="BG83" s="2816"/>
      <c r="BH83" s="166"/>
    </row>
    <row r="84" spans="1:60" ht="16.5" customHeight="1" x14ac:dyDescent="0.25">
      <c r="A84" s="9"/>
      <c r="B84" s="168"/>
      <c r="C84" s="168"/>
      <c r="D84" s="168"/>
      <c r="E84" s="168"/>
      <c r="F84" s="168"/>
      <c r="G84" s="168"/>
      <c r="H84" s="168"/>
      <c r="I84" s="168"/>
      <c r="J84" s="168"/>
      <c r="K84" s="168"/>
      <c r="L84" s="168"/>
      <c r="M84" s="168"/>
      <c r="N84" s="168"/>
      <c r="O84" s="1504"/>
      <c r="P84" s="1504"/>
      <c r="Q84" s="1504"/>
      <c r="R84" s="1504"/>
      <c r="S84" s="1504"/>
      <c r="T84" s="1504"/>
      <c r="U84" s="1504"/>
      <c r="V84" s="1504"/>
      <c r="W84" s="1504"/>
      <c r="X84" s="1504"/>
      <c r="Y84" s="1504"/>
      <c r="Z84" s="1504"/>
      <c r="AA84" s="1504"/>
      <c r="AB84" s="1504"/>
      <c r="AC84" s="1504"/>
      <c r="AD84" s="1504"/>
      <c r="AE84" s="1504"/>
      <c r="AF84" s="1504"/>
      <c r="AG84" s="1504"/>
      <c r="AH84" s="1504"/>
      <c r="AI84" s="1504"/>
      <c r="AJ84" s="1504"/>
      <c r="AK84" s="1504"/>
      <c r="AL84" s="1504"/>
      <c r="AM84" s="1504"/>
      <c r="AN84" s="1504"/>
      <c r="AO84" s="1504"/>
      <c r="AP84" s="1504"/>
      <c r="AQ84" s="1504"/>
      <c r="AR84" s="1504"/>
      <c r="AS84" s="1504"/>
      <c r="AT84" s="1504"/>
      <c r="AU84" s="1504"/>
      <c r="AV84" s="1504"/>
      <c r="AW84" s="1504"/>
      <c r="AX84" s="1504"/>
      <c r="AY84" s="1504"/>
      <c r="AZ84" s="1504"/>
      <c r="BA84" s="1504"/>
      <c r="BB84" s="1504"/>
      <c r="BC84" s="1504"/>
      <c r="BD84" s="1504"/>
      <c r="BE84" s="1504"/>
      <c r="BF84" s="1504"/>
      <c r="BG84" s="1504"/>
      <c r="BH84" s="168"/>
    </row>
    <row r="85" spans="1:60" ht="16.5" customHeight="1" x14ac:dyDescent="0.25">
      <c r="A85" s="9"/>
      <c r="B85" s="463" t="str">
        <f>B37</f>
        <v>Debt Coverage :</v>
      </c>
      <c r="C85" s="463"/>
      <c r="D85" s="463"/>
      <c r="E85" s="463"/>
      <c r="F85" s="463"/>
      <c r="G85" s="463"/>
      <c r="H85" s="463"/>
      <c r="I85" s="463"/>
      <c r="J85" s="464"/>
      <c r="K85" s="464"/>
      <c r="L85" s="464"/>
      <c r="M85" s="464"/>
      <c r="N85" s="464"/>
      <c r="O85" s="1507"/>
      <c r="P85" s="1507"/>
      <c r="Q85" s="1507"/>
      <c r="R85" s="1507"/>
      <c r="S85" s="1507"/>
      <c r="T85" s="1507"/>
      <c r="U85" s="1507"/>
      <c r="V85" s="1507"/>
      <c r="W85" s="1507"/>
      <c r="X85" s="1507"/>
      <c r="Y85" s="1507"/>
      <c r="Z85" s="1507"/>
      <c r="AA85" s="1507"/>
      <c r="AB85" s="1507"/>
      <c r="AC85" s="1507"/>
      <c r="AD85" s="1507"/>
      <c r="AE85" s="1507"/>
      <c r="AF85" s="1507"/>
      <c r="AG85" s="1507"/>
      <c r="AH85" s="1507"/>
      <c r="AI85" s="1507"/>
      <c r="AJ85" s="1507"/>
      <c r="AK85" s="1507"/>
      <c r="AL85" s="1507"/>
      <c r="AM85" s="1507"/>
      <c r="AN85" s="1507"/>
      <c r="AO85" s="1507"/>
      <c r="AP85" s="1507"/>
      <c r="AQ85" s="1507"/>
      <c r="AR85" s="1507"/>
      <c r="AS85" s="1507"/>
      <c r="AT85" s="1507"/>
      <c r="AU85" s="1507"/>
      <c r="AV85" s="1507"/>
      <c r="AW85" s="1507"/>
      <c r="AX85" s="1507"/>
      <c r="AY85" s="1507"/>
      <c r="AZ85" s="1507"/>
      <c r="BA85" s="1507"/>
      <c r="BB85" s="1507"/>
      <c r="BC85" s="1507"/>
      <c r="BD85" s="1507"/>
      <c r="BE85" s="1507"/>
      <c r="BF85" s="1507"/>
      <c r="BG85" s="1507"/>
      <c r="BH85" s="168"/>
    </row>
    <row r="86" spans="1:60" ht="16.5" customHeight="1" x14ac:dyDescent="0.25">
      <c r="A86" s="9"/>
      <c r="B86" s="168" t="str">
        <f>B38</f>
        <v>Net Operating Income</v>
      </c>
      <c r="C86" s="168"/>
      <c r="D86" s="168"/>
      <c r="E86" s="168"/>
      <c r="F86" s="168"/>
      <c r="G86" s="168"/>
      <c r="H86" s="168"/>
      <c r="I86" s="168"/>
      <c r="J86" s="168"/>
      <c r="K86" s="168"/>
      <c r="L86" s="168"/>
      <c r="M86" s="168"/>
      <c r="N86" s="168"/>
      <c r="O86" s="2810">
        <f>O70</f>
        <v>0</v>
      </c>
      <c r="P86" s="2810"/>
      <c r="Q86" s="2810"/>
      <c r="R86" s="2810">
        <f>R70</f>
        <v>0</v>
      </c>
      <c r="S86" s="2810"/>
      <c r="T86" s="2810"/>
      <c r="U86" s="2810">
        <f>U70</f>
        <v>0</v>
      </c>
      <c r="V86" s="2810"/>
      <c r="W86" s="2810"/>
      <c r="X86" s="2810">
        <f>X70</f>
        <v>0</v>
      </c>
      <c r="Y86" s="2810"/>
      <c r="Z86" s="2810"/>
      <c r="AA86" s="2810">
        <f>AA70</f>
        <v>0</v>
      </c>
      <c r="AB86" s="2810"/>
      <c r="AC86" s="2810"/>
      <c r="AD86" s="2810">
        <f>AD70</f>
        <v>0</v>
      </c>
      <c r="AE86" s="2810"/>
      <c r="AF86" s="2810"/>
      <c r="AG86" s="2810">
        <f>AG70</f>
        <v>0</v>
      </c>
      <c r="AH86" s="2810"/>
      <c r="AI86" s="2810"/>
      <c r="AJ86" s="2810">
        <f>AJ70</f>
        <v>0</v>
      </c>
      <c r="AK86" s="2810"/>
      <c r="AL86" s="2810"/>
      <c r="AM86" s="2810">
        <f>AM70</f>
        <v>0</v>
      </c>
      <c r="AN86" s="2810"/>
      <c r="AO86" s="2810"/>
      <c r="AP86" s="2810">
        <f>AP70</f>
        <v>0</v>
      </c>
      <c r="AQ86" s="2810"/>
      <c r="AR86" s="2810"/>
      <c r="AS86" s="2810">
        <f>AS70</f>
        <v>0</v>
      </c>
      <c r="AT86" s="2810"/>
      <c r="AU86" s="2810"/>
      <c r="AV86" s="2810">
        <f>AV70</f>
        <v>0</v>
      </c>
      <c r="AW86" s="2810"/>
      <c r="AX86" s="2810"/>
      <c r="AY86" s="2810">
        <f>AY70</f>
        <v>0</v>
      </c>
      <c r="AZ86" s="2810"/>
      <c r="BA86" s="2810"/>
      <c r="BB86" s="2810">
        <f>BB70</f>
        <v>0</v>
      </c>
      <c r="BC86" s="2810"/>
      <c r="BD86" s="2810"/>
      <c r="BE86" s="2810">
        <f>BE70</f>
        <v>0</v>
      </c>
      <c r="BF86" s="2810"/>
      <c r="BG86" s="2810"/>
      <c r="BH86" s="160"/>
    </row>
    <row r="87" spans="1:60" ht="7.5" customHeight="1" x14ac:dyDescent="0.25">
      <c r="A87" s="9"/>
      <c r="B87" s="168" t="str">
        <f>B39</f>
        <v>Debt Service</v>
      </c>
      <c r="C87" s="168"/>
      <c r="D87" s="168"/>
      <c r="E87" s="168"/>
      <c r="F87" s="168"/>
      <c r="G87" s="168"/>
      <c r="H87" s="168"/>
      <c r="I87" s="168"/>
      <c r="J87" s="168"/>
      <c r="K87" s="168"/>
      <c r="L87" s="168"/>
      <c r="M87" s="168"/>
      <c r="N87" s="168"/>
      <c r="O87" s="2812">
        <f>-O79</f>
        <v>0</v>
      </c>
      <c r="P87" s="2812"/>
      <c r="Q87" s="2812"/>
      <c r="R87" s="2812">
        <f>-R79</f>
        <v>0</v>
      </c>
      <c r="S87" s="2812"/>
      <c r="T87" s="2812"/>
      <c r="U87" s="2812">
        <f>-U79</f>
        <v>0</v>
      </c>
      <c r="V87" s="2812"/>
      <c r="W87" s="2812"/>
      <c r="X87" s="2812">
        <f>-X79</f>
        <v>0</v>
      </c>
      <c r="Y87" s="2812"/>
      <c r="Z87" s="2812"/>
      <c r="AA87" s="2812">
        <f>-AA79</f>
        <v>0</v>
      </c>
      <c r="AB87" s="2812"/>
      <c r="AC87" s="2812"/>
      <c r="AD87" s="2812">
        <f>-AD79</f>
        <v>0</v>
      </c>
      <c r="AE87" s="2812"/>
      <c r="AF87" s="2812"/>
      <c r="AG87" s="2812">
        <f>-AG79</f>
        <v>0</v>
      </c>
      <c r="AH87" s="2812"/>
      <c r="AI87" s="2812"/>
      <c r="AJ87" s="2812">
        <f>-AJ79</f>
        <v>0</v>
      </c>
      <c r="AK87" s="2812"/>
      <c r="AL87" s="2812"/>
      <c r="AM87" s="2812">
        <f>-AM79</f>
        <v>0</v>
      </c>
      <c r="AN87" s="2812"/>
      <c r="AO87" s="2812"/>
      <c r="AP87" s="2812">
        <f>-AP79</f>
        <v>0</v>
      </c>
      <c r="AQ87" s="2812"/>
      <c r="AR87" s="2812"/>
      <c r="AS87" s="2812">
        <f>-AS79</f>
        <v>0</v>
      </c>
      <c r="AT87" s="2812"/>
      <c r="AU87" s="2812"/>
      <c r="AV87" s="2812">
        <f>-AV79</f>
        <v>0</v>
      </c>
      <c r="AW87" s="2812"/>
      <c r="AX87" s="2812"/>
      <c r="AY87" s="2812">
        <f>-AY79</f>
        <v>0</v>
      </c>
      <c r="AZ87" s="2812"/>
      <c r="BA87" s="2812"/>
      <c r="BB87" s="2812">
        <f>-BB79</f>
        <v>0</v>
      </c>
      <c r="BC87" s="2812"/>
      <c r="BD87" s="2812"/>
      <c r="BE87" s="2812">
        <f>-BE79</f>
        <v>0</v>
      </c>
      <c r="BF87" s="2812"/>
      <c r="BG87" s="2812"/>
      <c r="BH87" s="169"/>
    </row>
    <row r="88" spans="1:60" ht="16.5" customHeight="1" x14ac:dyDescent="0.25">
      <c r="A88" s="9"/>
      <c r="B88" s="46" t="str">
        <f>B40</f>
        <v>DSCR (Debt Service Cover Ratio)</v>
      </c>
      <c r="C88" s="46"/>
      <c r="D88" s="46"/>
      <c r="E88" s="46"/>
      <c r="F88" s="46"/>
      <c r="G88" s="46"/>
      <c r="H88" s="46"/>
      <c r="I88" s="46"/>
      <c r="J88" s="46"/>
      <c r="K88" s="46"/>
      <c r="L88" s="46"/>
      <c r="M88" s="46"/>
      <c r="N88" s="46"/>
      <c r="O88" s="2811">
        <f>IFERROR(O86/O87,0)</f>
        <v>0</v>
      </c>
      <c r="P88" s="2811"/>
      <c r="Q88" s="2811"/>
      <c r="R88" s="2811">
        <f>IFERROR(R86/R87,0)</f>
        <v>0</v>
      </c>
      <c r="S88" s="2811"/>
      <c r="T88" s="2811"/>
      <c r="U88" s="2811">
        <f>IFERROR(U86/U87,0)</f>
        <v>0</v>
      </c>
      <c r="V88" s="2811"/>
      <c r="W88" s="2811"/>
      <c r="X88" s="2811">
        <f>IFERROR(X86/X87,0)</f>
        <v>0</v>
      </c>
      <c r="Y88" s="2811"/>
      <c r="Z88" s="2811"/>
      <c r="AA88" s="2811">
        <f>IFERROR(AA86/AA87,0)</f>
        <v>0</v>
      </c>
      <c r="AB88" s="2811"/>
      <c r="AC88" s="2811"/>
      <c r="AD88" s="2811">
        <f>IFERROR(AD86/AD87,0)</f>
        <v>0</v>
      </c>
      <c r="AE88" s="2811"/>
      <c r="AF88" s="2811"/>
      <c r="AG88" s="2811">
        <f>IFERROR(AG86/AG87,0)</f>
        <v>0</v>
      </c>
      <c r="AH88" s="2811"/>
      <c r="AI88" s="2811"/>
      <c r="AJ88" s="2811">
        <f>IFERROR(AJ86/AJ87,0)</f>
        <v>0</v>
      </c>
      <c r="AK88" s="2811"/>
      <c r="AL88" s="2811"/>
      <c r="AM88" s="2811">
        <f>IFERROR(AM86/AM87,0)</f>
        <v>0</v>
      </c>
      <c r="AN88" s="2811"/>
      <c r="AO88" s="2811"/>
      <c r="AP88" s="2811">
        <f>IFERROR(AP86/AP87,0)</f>
        <v>0</v>
      </c>
      <c r="AQ88" s="2811"/>
      <c r="AR88" s="2811"/>
      <c r="AS88" s="2811">
        <f>IFERROR(AS86/AS87,0)</f>
        <v>0</v>
      </c>
      <c r="AT88" s="2811"/>
      <c r="AU88" s="2811"/>
      <c r="AV88" s="2811">
        <f>IFERROR(AV86/AV87,0)</f>
        <v>0</v>
      </c>
      <c r="AW88" s="2811"/>
      <c r="AX88" s="2811"/>
      <c r="AY88" s="2811">
        <f>IFERROR(AY86/AY87,0)</f>
        <v>0</v>
      </c>
      <c r="AZ88" s="2811"/>
      <c r="BA88" s="2811"/>
      <c r="BB88" s="2811">
        <f>IFERROR(BB86/BB87,0)</f>
        <v>0</v>
      </c>
      <c r="BC88" s="2811"/>
      <c r="BD88" s="2811"/>
      <c r="BE88" s="2811">
        <f>IFERROR(BE86/BE87,0)</f>
        <v>0</v>
      </c>
      <c r="BF88" s="2811"/>
      <c r="BG88" s="2811"/>
      <c r="BH88" s="170"/>
    </row>
    <row r="89" spans="1:60" ht="16.5" customHeight="1" x14ac:dyDescent="0.25">
      <c r="A89" s="9"/>
      <c r="B89" s="121"/>
      <c r="C89" s="121"/>
      <c r="D89" s="121"/>
      <c r="E89" s="121"/>
      <c r="F89" s="121"/>
      <c r="G89" s="121"/>
      <c r="H89" s="121"/>
      <c r="I89" s="121"/>
      <c r="J89" s="121"/>
      <c r="K89" s="121"/>
      <c r="L89" s="121"/>
      <c r="M89" s="121"/>
      <c r="N89" s="121"/>
      <c r="O89" s="1506"/>
      <c r="P89" s="1506"/>
      <c r="Q89" s="1506"/>
      <c r="R89" s="1506"/>
      <c r="S89" s="1506"/>
      <c r="T89" s="1506"/>
      <c r="U89" s="1506"/>
      <c r="V89" s="1506"/>
      <c r="W89" s="1506"/>
      <c r="X89" s="1506"/>
      <c r="Y89" s="1506"/>
      <c r="Z89" s="1506"/>
      <c r="AA89" s="1506"/>
      <c r="AB89" s="1506"/>
      <c r="AC89" s="1506"/>
      <c r="AD89" s="1506"/>
      <c r="AE89" s="1506"/>
      <c r="AF89" s="1506"/>
      <c r="AG89" s="1506"/>
      <c r="AH89" s="1506"/>
      <c r="AI89" s="1506"/>
      <c r="AJ89" s="1506"/>
      <c r="AK89" s="1506"/>
      <c r="AL89" s="1506"/>
      <c r="AM89" s="1506"/>
      <c r="AN89" s="1506"/>
      <c r="AO89" s="1506"/>
      <c r="AP89" s="1506"/>
      <c r="AQ89" s="1506"/>
      <c r="AR89" s="1506"/>
      <c r="AS89" s="1506"/>
      <c r="AT89" s="1506"/>
      <c r="AU89" s="1506"/>
      <c r="AV89" s="1506"/>
      <c r="AW89" s="1506"/>
      <c r="AX89" s="1506"/>
      <c r="AY89" s="1506"/>
      <c r="AZ89" s="1506"/>
      <c r="BA89" s="1506"/>
      <c r="BB89" s="1506"/>
      <c r="BC89" s="1506"/>
      <c r="BD89" s="1506"/>
      <c r="BE89" s="1506"/>
      <c r="BF89" s="1506"/>
      <c r="BG89" s="1506"/>
      <c r="BH89" s="170"/>
    </row>
    <row r="90" spans="1:60" ht="16.5" customHeight="1" x14ac:dyDescent="0.25">
      <c r="A90" s="9"/>
      <c r="B90" s="168" t="str">
        <f>B72</f>
        <v>Cash Flow before Debt</v>
      </c>
      <c r="C90" s="168"/>
      <c r="D90" s="168"/>
      <c r="E90" s="168"/>
      <c r="F90" s="168"/>
      <c r="G90" s="168"/>
      <c r="H90" s="168"/>
      <c r="I90" s="168"/>
      <c r="J90" s="168"/>
      <c r="K90" s="168"/>
      <c r="L90" s="168"/>
      <c r="M90" s="168"/>
      <c r="N90" s="168"/>
      <c r="O90" s="2813">
        <f>O72</f>
        <v>0</v>
      </c>
      <c r="P90" s="2813"/>
      <c r="Q90" s="2813"/>
      <c r="R90" s="2813">
        <f>R72</f>
        <v>0</v>
      </c>
      <c r="S90" s="2813"/>
      <c r="T90" s="2813"/>
      <c r="U90" s="2813">
        <f>U72</f>
        <v>0</v>
      </c>
      <c r="V90" s="2813"/>
      <c r="W90" s="2813"/>
      <c r="X90" s="2813">
        <f>X72</f>
        <v>0</v>
      </c>
      <c r="Y90" s="2813"/>
      <c r="Z90" s="2813"/>
      <c r="AA90" s="2813">
        <f>AA72</f>
        <v>0</v>
      </c>
      <c r="AB90" s="2813"/>
      <c r="AC90" s="2813"/>
      <c r="AD90" s="2813">
        <f>AD72</f>
        <v>0</v>
      </c>
      <c r="AE90" s="2813"/>
      <c r="AF90" s="2813"/>
      <c r="AG90" s="2813">
        <f>AG72</f>
        <v>0</v>
      </c>
      <c r="AH90" s="2813"/>
      <c r="AI90" s="2813"/>
      <c r="AJ90" s="2813">
        <f>AJ72</f>
        <v>0</v>
      </c>
      <c r="AK90" s="2813"/>
      <c r="AL90" s="2813"/>
      <c r="AM90" s="2813">
        <f>AM72</f>
        <v>0</v>
      </c>
      <c r="AN90" s="2813"/>
      <c r="AO90" s="2813"/>
      <c r="AP90" s="2813">
        <f>AP72</f>
        <v>0</v>
      </c>
      <c r="AQ90" s="2813"/>
      <c r="AR90" s="2813"/>
      <c r="AS90" s="2813">
        <f>AS72</f>
        <v>0</v>
      </c>
      <c r="AT90" s="2813"/>
      <c r="AU90" s="2813"/>
      <c r="AV90" s="2813">
        <f>AV72</f>
        <v>0</v>
      </c>
      <c r="AW90" s="2813"/>
      <c r="AX90" s="2813"/>
      <c r="AY90" s="2813">
        <f>AY72</f>
        <v>0</v>
      </c>
      <c r="AZ90" s="2813"/>
      <c r="BA90" s="2813"/>
      <c r="BB90" s="2813">
        <f>BB72</f>
        <v>0</v>
      </c>
      <c r="BC90" s="2813"/>
      <c r="BD90" s="2813"/>
      <c r="BE90" s="2813">
        <f>BE72</f>
        <v>0</v>
      </c>
      <c r="BF90" s="2813"/>
      <c r="BG90" s="2813"/>
      <c r="BH90" s="160"/>
    </row>
    <row r="91" spans="1:60" ht="15" customHeight="1" x14ac:dyDescent="0.25">
      <c r="A91" s="9"/>
      <c r="B91" s="168" t="s">
        <v>175</v>
      </c>
      <c r="C91" s="168"/>
      <c r="D91" s="168"/>
      <c r="E91" s="168"/>
      <c r="F91" s="168"/>
      <c r="G91" s="168"/>
      <c r="H91" s="168"/>
      <c r="I91" s="168"/>
      <c r="J91" s="168"/>
      <c r="K91" s="168"/>
      <c r="L91" s="168"/>
      <c r="M91" s="168"/>
      <c r="N91" s="168"/>
      <c r="O91" s="2812">
        <f>O87</f>
        <v>0</v>
      </c>
      <c r="P91" s="2812"/>
      <c r="Q91" s="2812"/>
      <c r="R91" s="2812">
        <f>R87</f>
        <v>0</v>
      </c>
      <c r="S91" s="2812"/>
      <c r="T91" s="2812"/>
      <c r="U91" s="2812">
        <f>U87</f>
        <v>0</v>
      </c>
      <c r="V91" s="2812"/>
      <c r="W91" s="2812"/>
      <c r="X91" s="2812">
        <f>X87</f>
        <v>0</v>
      </c>
      <c r="Y91" s="2812"/>
      <c r="Z91" s="2812"/>
      <c r="AA91" s="2812">
        <f>AA87</f>
        <v>0</v>
      </c>
      <c r="AB91" s="2812"/>
      <c r="AC91" s="2812"/>
      <c r="AD91" s="2812">
        <f>AD87</f>
        <v>0</v>
      </c>
      <c r="AE91" s="2812"/>
      <c r="AF91" s="2812"/>
      <c r="AG91" s="2812">
        <f>AG87</f>
        <v>0</v>
      </c>
      <c r="AH91" s="2812"/>
      <c r="AI91" s="2812"/>
      <c r="AJ91" s="2812">
        <f>AJ87</f>
        <v>0</v>
      </c>
      <c r="AK91" s="2812"/>
      <c r="AL91" s="2812"/>
      <c r="AM91" s="2812">
        <f>AM87</f>
        <v>0</v>
      </c>
      <c r="AN91" s="2812"/>
      <c r="AO91" s="2812"/>
      <c r="AP91" s="2812">
        <f>AP87</f>
        <v>0</v>
      </c>
      <c r="AQ91" s="2812"/>
      <c r="AR91" s="2812"/>
      <c r="AS91" s="2812">
        <f>AS87</f>
        <v>0</v>
      </c>
      <c r="AT91" s="2812"/>
      <c r="AU91" s="2812"/>
      <c r="AV91" s="2812">
        <f>AV87</f>
        <v>0</v>
      </c>
      <c r="AW91" s="2812"/>
      <c r="AX91" s="2812"/>
      <c r="AY91" s="2812">
        <f>AY87</f>
        <v>0</v>
      </c>
      <c r="AZ91" s="2812"/>
      <c r="BA91" s="2812"/>
      <c r="BB91" s="2812">
        <f>BB87</f>
        <v>0</v>
      </c>
      <c r="BC91" s="2812"/>
      <c r="BD91" s="2812"/>
      <c r="BE91" s="2812">
        <f>BE87</f>
        <v>0</v>
      </c>
      <c r="BF91" s="2812"/>
      <c r="BG91" s="2812"/>
      <c r="BH91" s="169"/>
    </row>
    <row r="92" spans="1:60" ht="16.5" customHeight="1" x14ac:dyDescent="0.25">
      <c r="A92" s="9"/>
      <c r="B92" s="46" t="s">
        <v>211</v>
      </c>
      <c r="C92" s="46"/>
      <c r="D92" s="46"/>
      <c r="E92" s="46"/>
      <c r="F92" s="46"/>
      <c r="G92" s="46"/>
      <c r="H92" s="46"/>
      <c r="I92" s="46"/>
      <c r="J92" s="46"/>
      <c r="K92" s="46"/>
      <c r="L92" s="46"/>
      <c r="M92" s="46"/>
      <c r="N92" s="46"/>
      <c r="O92" s="2811">
        <f>IFERROR(O90/O91,0)</f>
        <v>0</v>
      </c>
      <c r="P92" s="2811"/>
      <c r="Q92" s="2811"/>
      <c r="R92" s="2811">
        <f>IFERROR(R90/R91,0)</f>
        <v>0</v>
      </c>
      <c r="S92" s="2811"/>
      <c r="T92" s="2811"/>
      <c r="U92" s="2811">
        <f>IFERROR(U90/U91,0)</f>
        <v>0</v>
      </c>
      <c r="V92" s="2811"/>
      <c r="W92" s="2811"/>
      <c r="X92" s="2811">
        <f>IFERROR(X90/X91,0)</f>
        <v>0</v>
      </c>
      <c r="Y92" s="2811"/>
      <c r="Z92" s="2811"/>
      <c r="AA92" s="2811">
        <f>IFERROR(AA90/AA91,0)</f>
        <v>0</v>
      </c>
      <c r="AB92" s="2811"/>
      <c r="AC92" s="2811"/>
      <c r="AD92" s="2811">
        <f>IFERROR(AD90/AD91,0)</f>
        <v>0</v>
      </c>
      <c r="AE92" s="2811"/>
      <c r="AF92" s="2811"/>
      <c r="AG92" s="2811">
        <f>IFERROR(AG90/AG91,0)</f>
        <v>0</v>
      </c>
      <c r="AH92" s="2811"/>
      <c r="AI92" s="2811"/>
      <c r="AJ92" s="2811">
        <f>IFERROR(AJ90/AJ91,0)</f>
        <v>0</v>
      </c>
      <c r="AK92" s="2811"/>
      <c r="AL92" s="2811"/>
      <c r="AM92" s="2811">
        <f>IFERROR(AM90/AM91,0)</f>
        <v>0</v>
      </c>
      <c r="AN92" s="2811"/>
      <c r="AO92" s="2811"/>
      <c r="AP92" s="2811">
        <f>IFERROR(AP90/AP91,0)</f>
        <v>0</v>
      </c>
      <c r="AQ92" s="2811"/>
      <c r="AR92" s="2811"/>
      <c r="AS92" s="2811">
        <f>IFERROR(AS90/AS91,0)</f>
        <v>0</v>
      </c>
      <c r="AT92" s="2811"/>
      <c r="AU92" s="2811"/>
      <c r="AV92" s="2811">
        <f>IFERROR(AV90/AV91,0)</f>
        <v>0</v>
      </c>
      <c r="AW92" s="2811"/>
      <c r="AX92" s="2811"/>
      <c r="AY92" s="2811">
        <f>IFERROR(AY90/AY91,0)</f>
        <v>0</v>
      </c>
      <c r="AZ92" s="2811"/>
      <c r="BA92" s="2811"/>
      <c r="BB92" s="2811">
        <f>IFERROR(BB90/BB91,0)</f>
        <v>0</v>
      </c>
      <c r="BC92" s="2811"/>
      <c r="BD92" s="2811"/>
      <c r="BE92" s="2811">
        <f>IFERROR(BE90/BE91,0)</f>
        <v>0</v>
      </c>
      <c r="BF92" s="2811"/>
      <c r="BG92" s="2811"/>
      <c r="BH92" s="170"/>
    </row>
    <row r="93" spans="1:60" ht="16.5" customHeight="1" x14ac:dyDescent="0.25">
      <c r="A93" s="9"/>
      <c r="B93" s="168"/>
      <c r="C93" s="168"/>
      <c r="D93" s="168"/>
      <c r="E93" s="168"/>
      <c r="F93" s="168"/>
      <c r="G93" s="168"/>
      <c r="H93" s="168"/>
      <c r="I93" s="168"/>
      <c r="J93" s="168"/>
      <c r="K93" s="168"/>
      <c r="L93" s="168"/>
      <c r="M93" s="168"/>
      <c r="N93" s="168"/>
      <c r="O93" s="1504"/>
      <c r="P93" s="1504"/>
      <c r="Q93" s="1504"/>
      <c r="R93" s="1504"/>
      <c r="S93" s="1504"/>
      <c r="T93" s="1504"/>
      <c r="U93" s="1504"/>
      <c r="V93" s="1504"/>
      <c r="W93" s="1504"/>
      <c r="X93" s="1504"/>
      <c r="Y93" s="1504"/>
      <c r="Z93" s="1504"/>
      <c r="AA93" s="1504"/>
      <c r="AB93" s="1504"/>
      <c r="AC93" s="1504"/>
      <c r="AD93" s="1504"/>
      <c r="AE93" s="1504"/>
      <c r="AF93" s="1504"/>
      <c r="AG93" s="1504"/>
      <c r="AH93" s="1504"/>
      <c r="AI93" s="1504"/>
      <c r="AJ93" s="1504"/>
      <c r="AK93" s="1504"/>
      <c r="AL93" s="1504"/>
      <c r="AM93" s="1504"/>
      <c r="AN93" s="1504"/>
      <c r="AO93" s="1504"/>
      <c r="AP93" s="1504"/>
      <c r="AQ93" s="1504"/>
      <c r="AR93" s="1504"/>
      <c r="AS93" s="1504"/>
      <c r="AT93" s="1504"/>
      <c r="AU93" s="1504"/>
      <c r="AV93" s="1504"/>
      <c r="AW93" s="1504"/>
      <c r="AX93" s="1504"/>
      <c r="AY93" s="1504"/>
      <c r="AZ93" s="1504"/>
      <c r="BA93" s="1504"/>
      <c r="BB93" s="1504"/>
      <c r="BC93" s="1504"/>
      <c r="BD93" s="1504"/>
      <c r="BE93" s="1504"/>
      <c r="BF93" s="1504"/>
      <c r="BG93" s="1504"/>
      <c r="BH93" s="168"/>
    </row>
    <row r="94" spans="1:60" ht="16.5" customHeight="1" x14ac:dyDescent="0.25">
      <c r="A94" s="9"/>
      <c r="B94" s="463" t="str">
        <f>B46</f>
        <v>Loan To Value :</v>
      </c>
      <c r="C94" s="463"/>
      <c r="D94" s="463"/>
      <c r="E94" s="463"/>
      <c r="F94" s="463"/>
      <c r="G94" s="463"/>
      <c r="H94" s="463"/>
      <c r="I94" s="463"/>
      <c r="J94" s="464"/>
      <c r="K94" s="464"/>
      <c r="L94" s="464"/>
      <c r="M94" s="464"/>
      <c r="N94" s="464"/>
      <c r="O94" s="1507"/>
      <c r="P94" s="1507"/>
      <c r="Q94" s="1507"/>
      <c r="R94" s="1507"/>
      <c r="S94" s="1507"/>
      <c r="T94" s="1507"/>
      <c r="U94" s="1507"/>
      <c r="V94" s="1507"/>
      <c r="W94" s="1507"/>
      <c r="X94" s="1507"/>
      <c r="Y94" s="1507"/>
      <c r="Z94" s="1507"/>
      <c r="AA94" s="1507"/>
      <c r="AB94" s="1507"/>
      <c r="AC94" s="1507"/>
      <c r="AD94" s="1507"/>
      <c r="AE94" s="1507"/>
      <c r="AF94" s="1507"/>
      <c r="AG94" s="1507"/>
      <c r="AH94" s="1507"/>
      <c r="AI94" s="1507"/>
      <c r="AJ94" s="1507"/>
      <c r="AK94" s="1507"/>
      <c r="AL94" s="1507"/>
      <c r="AM94" s="1507"/>
      <c r="AN94" s="1507"/>
      <c r="AO94" s="1507"/>
      <c r="AP94" s="1507"/>
      <c r="AQ94" s="1507"/>
      <c r="AR94" s="1507"/>
      <c r="AS94" s="1507"/>
      <c r="AT94" s="1507"/>
      <c r="AU94" s="1507"/>
      <c r="AV94" s="1507"/>
      <c r="AW94" s="1507"/>
      <c r="AX94" s="1507"/>
      <c r="AY94" s="1507"/>
      <c r="AZ94" s="1507"/>
      <c r="BA94" s="1507"/>
      <c r="BB94" s="1507"/>
      <c r="BC94" s="1507"/>
      <c r="BD94" s="1507"/>
      <c r="BE94" s="1507"/>
      <c r="BF94" s="1507"/>
      <c r="BG94" s="1507"/>
      <c r="BH94" s="168"/>
    </row>
    <row r="95" spans="1:60" ht="16.5" customHeight="1" x14ac:dyDescent="0.25">
      <c r="A95" s="9"/>
      <c r="B95" s="168" t="str">
        <f>B47</f>
        <v>Property Value</v>
      </c>
      <c r="C95" s="168"/>
      <c r="D95" s="168"/>
      <c r="E95" s="168"/>
      <c r="F95" s="168"/>
      <c r="G95" s="168"/>
      <c r="H95" s="168"/>
      <c r="I95" s="168"/>
      <c r="J95" s="168"/>
      <c r="K95" s="168"/>
      <c r="L95" s="168"/>
      <c r="M95" s="168"/>
      <c r="N95" s="168"/>
      <c r="O95" s="2810">
        <f>FORECASTS!T122</f>
        <v>0</v>
      </c>
      <c r="P95" s="2810"/>
      <c r="Q95" s="2810"/>
      <c r="R95" s="2810">
        <f>FORECASTS!U122</f>
        <v>0</v>
      </c>
      <c r="S95" s="2810"/>
      <c r="T95" s="2810"/>
      <c r="U95" s="2810">
        <f>FORECASTS!V122</f>
        <v>0</v>
      </c>
      <c r="V95" s="2810"/>
      <c r="W95" s="2810"/>
      <c r="X95" s="2810">
        <f>FORECASTS!W122</f>
        <v>0</v>
      </c>
      <c r="Y95" s="2810"/>
      <c r="Z95" s="2810"/>
      <c r="AA95" s="2810">
        <f>FORECASTS!X122</f>
        <v>0</v>
      </c>
      <c r="AB95" s="2810"/>
      <c r="AC95" s="2810"/>
      <c r="AD95" s="2810">
        <f>FORECASTS!Y122</f>
        <v>0</v>
      </c>
      <c r="AE95" s="2810"/>
      <c r="AF95" s="2810"/>
      <c r="AG95" s="2810">
        <f>FORECASTS!Z122</f>
        <v>0</v>
      </c>
      <c r="AH95" s="2810"/>
      <c r="AI95" s="2810"/>
      <c r="AJ95" s="2810">
        <f>FORECASTS!AA122</f>
        <v>0</v>
      </c>
      <c r="AK95" s="2810"/>
      <c r="AL95" s="2810"/>
      <c r="AM95" s="2810">
        <f>FORECASTS!AB122</f>
        <v>0</v>
      </c>
      <c r="AN95" s="2810"/>
      <c r="AO95" s="2810"/>
      <c r="AP95" s="2810">
        <f>FORECASTS!AC122</f>
        <v>0</v>
      </c>
      <c r="AQ95" s="2810"/>
      <c r="AR95" s="2810"/>
      <c r="AS95" s="2810">
        <f>FORECASTS!AD122</f>
        <v>0</v>
      </c>
      <c r="AT95" s="2810"/>
      <c r="AU95" s="2810"/>
      <c r="AV95" s="2810">
        <f>FORECASTS!AE122</f>
        <v>0</v>
      </c>
      <c r="AW95" s="2810"/>
      <c r="AX95" s="2810"/>
      <c r="AY95" s="2810">
        <f>FORECASTS!AF122</f>
        <v>0</v>
      </c>
      <c r="AZ95" s="2810"/>
      <c r="BA95" s="2810"/>
      <c r="BB95" s="2810">
        <f>FORECASTS!AG122</f>
        <v>0</v>
      </c>
      <c r="BC95" s="2810"/>
      <c r="BD95" s="2810"/>
      <c r="BE95" s="2810">
        <f>FORECASTS!AH122</f>
        <v>0</v>
      </c>
      <c r="BF95" s="2810"/>
      <c r="BG95" s="2810"/>
      <c r="BH95" s="160"/>
    </row>
    <row r="96" spans="1:60" ht="15" customHeight="1" x14ac:dyDescent="0.25">
      <c r="A96" s="9"/>
      <c r="B96" s="168" t="str">
        <f>B48</f>
        <v>Debt Outstanding</v>
      </c>
      <c r="C96" s="168"/>
      <c r="D96" s="168"/>
      <c r="E96" s="168"/>
      <c r="F96" s="168"/>
      <c r="G96" s="168"/>
      <c r="H96" s="168"/>
      <c r="I96" s="168"/>
      <c r="J96" s="168"/>
      <c r="K96" s="168"/>
      <c r="L96" s="168"/>
      <c r="M96" s="168"/>
      <c r="N96" s="168"/>
      <c r="O96" s="2809">
        <f>O81</f>
        <v>0</v>
      </c>
      <c r="P96" s="2809"/>
      <c r="Q96" s="2809"/>
      <c r="R96" s="2809">
        <f>R81</f>
        <v>0</v>
      </c>
      <c r="S96" s="2809"/>
      <c r="T96" s="2809"/>
      <c r="U96" s="2809">
        <f>U81</f>
        <v>0</v>
      </c>
      <c r="V96" s="2809"/>
      <c r="W96" s="2809"/>
      <c r="X96" s="2809">
        <f>X81</f>
        <v>0</v>
      </c>
      <c r="Y96" s="2809"/>
      <c r="Z96" s="2809"/>
      <c r="AA96" s="2809">
        <f>AA81</f>
        <v>0</v>
      </c>
      <c r="AB96" s="2809"/>
      <c r="AC96" s="2809"/>
      <c r="AD96" s="2809">
        <f>AD81</f>
        <v>0</v>
      </c>
      <c r="AE96" s="2809"/>
      <c r="AF96" s="2809"/>
      <c r="AG96" s="2809">
        <f>AG81</f>
        <v>0</v>
      </c>
      <c r="AH96" s="2809"/>
      <c r="AI96" s="2809"/>
      <c r="AJ96" s="2809">
        <f>AJ81</f>
        <v>0</v>
      </c>
      <c r="AK96" s="2809"/>
      <c r="AL96" s="2809"/>
      <c r="AM96" s="2809">
        <f>AM81</f>
        <v>0</v>
      </c>
      <c r="AN96" s="2809"/>
      <c r="AO96" s="2809"/>
      <c r="AP96" s="2809">
        <f>AP81</f>
        <v>0</v>
      </c>
      <c r="AQ96" s="2809"/>
      <c r="AR96" s="2809"/>
      <c r="AS96" s="2809">
        <f>AS81</f>
        <v>0</v>
      </c>
      <c r="AT96" s="2809"/>
      <c r="AU96" s="2809"/>
      <c r="AV96" s="2809">
        <f>AV81</f>
        <v>0</v>
      </c>
      <c r="AW96" s="2809"/>
      <c r="AX96" s="2809"/>
      <c r="AY96" s="2809">
        <f>AY81</f>
        <v>0</v>
      </c>
      <c r="AZ96" s="2809"/>
      <c r="BA96" s="2809"/>
      <c r="BB96" s="2809">
        <f>BB81</f>
        <v>0</v>
      </c>
      <c r="BC96" s="2809"/>
      <c r="BD96" s="2809"/>
      <c r="BE96" s="2809">
        <f>BE81</f>
        <v>0</v>
      </c>
      <c r="BF96" s="2809"/>
      <c r="BG96" s="2809"/>
      <c r="BH96" s="160"/>
    </row>
    <row r="97" spans="1:95" ht="16.5" customHeight="1" x14ac:dyDescent="0.25">
      <c r="A97" s="9"/>
      <c r="B97" s="46" t="str">
        <f>B49</f>
        <v>LTV (Loan To Value)</v>
      </c>
      <c r="C97" s="46"/>
      <c r="D97" s="46"/>
      <c r="E97" s="46"/>
      <c r="F97" s="46"/>
      <c r="G97" s="46"/>
      <c r="H97" s="46"/>
      <c r="I97" s="46"/>
      <c r="J97" s="46"/>
      <c r="K97" s="46"/>
      <c r="L97" s="46"/>
      <c r="M97" s="46"/>
      <c r="N97" s="46"/>
      <c r="O97" s="2806">
        <f>IFERROR(O96/O95,0)</f>
        <v>0</v>
      </c>
      <c r="P97" s="2806"/>
      <c r="Q97" s="2806"/>
      <c r="R97" s="2806">
        <f>IFERROR(R96/R95,0)</f>
        <v>0</v>
      </c>
      <c r="S97" s="2806"/>
      <c r="T97" s="2806"/>
      <c r="U97" s="2806">
        <f>IFERROR(U96/U95,0)</f>
        <v>0</v>
      </c>
      <c r="V97" s="2806"/>
      <c r="W97" s="2806"/>
      <c r="X97" s="2806">
        <f>IFERROR(X96/X95,0)</f>
        <v>0</v>
      </c>
      <c r="Y97" s="2806"/>
      <c r="Z97" s="2806"/>
      <c r="AA97" s="2806">
        <f>IFERROR(AA96/AA95,0)</f>
        <v>0</v>
      </c>
      <c r="AB97" s="2806"/>
      <c r="AC97" s="2806"/>
      <c r="AD97" s="2806">
        <f>IFERROR(AD96/AD95,0)</f>
        <v>0</v>
      </c>
      <c r="AE97" s="2806"/>
      <c r="AF97" s="2806"/>
      <c r="AG97" s="2806">
        <f>IFERROR(AG96/AG95,0)</f>
        <v>0</v>
      </c>
      <c r="AH97" s="2806"/>
      <c r="AI97" s="2806"/>
      <c r="AJ97" s="2806">
        <f>IFERROR(AJ96/AJ95,0)</f>
        <v>0</v>
      </c>
      <c r="AK97" s="2806"/>
      <c r="AL97" s="2806"/>
      <c r="AM97" s="2806">
        <f>IFERROR(AM96/AM95,0)</f>
        <v>0</v>
      </c>
      <c r="AN97" s="2806"/>
      <c r="AO97" s="2806"/>
      <c r="AP97" s="2806">
        <f>IFERROR(AP96/AP95,0)</f>
        <v>0</v>
      </c>
      <c r="AQ97" s="2806"/>
      <c r="AR97" s="2806"/>
      <c r="AS97" s="2806">
        <f>IFERROR(AS96/AS95,0)</f>
        <v>0</v>
      </c>
      <c r="AT97" s="2806"/>
      <c r="AU97" s="2806"/>
      <c r="AV97" s="2806">
        <f>IFERROR(AV96/AV95,0)</f>
        <v>0</v>
      </c>
      <c r="AW97" s="2806"/>
      <c r="AX97" s="2806"/>
      <c r="AY97" s="2806">
        <f>IFERROR(AY96/AY95,0)</f>
        <v>0</v>
      </c>
      <c r="AZ97" s="2806"/>
      <c r="BA97" s="2806"/>
      <c r="BB97" s="2806">
        <f>IFERROR(BB96/BB95,0)</f>
        <v>0</v>
      </c>
      <c r="BC97" s="2806"/>
      <c r="BD97" s="2806"/>
      <c r="BE97" s="2806">
        <f>IFERROR(BE96/BE95,0)</f>
        <v>0</v>
      </c>
      <c r="BF97" s="2806"/>
      <c r="BG97" s="2806"/>
      <c r="BH97" s="172"/>
    </row>
    <row r="98" spans="1:95" ht="13.8" x14ac:dyDescent="0.25">
      <c r="A98" s="9"/>
      <c r="B98" s="168"/>
      <c r="C98" s="168"/>
      <c r="D98" s="168"/>
      <c r="E98" s="168"/>
      <c r="F98" s="168"/>
      <c r="G98" s="168"/>
      <c r="H98" s="168"/>
      <c r="I98" s="168"/>
      <c r="J98" s="168"/>
      <c r="K98" s="168"/>
      <c r="L98" s="168"/>
      <c r="M98" s="168"/>
      <c r="N98" s="168"/>
      <c r="O98" s="1504"/>
      <c r="P98" s="1504"/>
      <c r="Q98" s="1504"/>
      <c r="R98" s="1504"/>
      <c r="S98" s="1504"/>
      <c r="T98" s="1504"/>
      <c r="U98" s="1504"/>
      <c r="V98" s="1504"/>
      <c r="W98" s="1504"/>
      <c r="X98" s="1504"/>
      <c r="Y98" s="1504"/>
      <c r="Z98" s="1504"/>
      <c r="AA98" s="1504"/>
      <c r="AB98" s="1504"/>
      <c r="AC98" s="1504"/>
      <c r="AD98" s="1504"/>
      <c r="AE98" s="1504"/>
      <c r="AF98" s="1504"/>
      <c r="AG98" s="1504"/>
      <c r="AH98" s="1504"/>
      <c r="AI98" s="1504"/>
      <c r="AJ98" s="1504"/>
      <c r="AK98" s="1504"/>
      <c r="AL98" s="1504"/>
      <c r="AM98" s="1504"/>
      <c r="AN98" s="1504"/>
      <c r="AO98" s="1504"/>
      <c r="AP98" s="1504"/>
      <c r="AQ98" s="1504"/>
      <c r="AR98" s="1504"/>
      <c r="AS98" s="1504"/>
      <c r="AT98" s="1504"/>
      <c r="AU98" s="1504"/>
      <c r="AV98" s="1504"/>
      <c r="AW98" s="1504"/>
      <c r="AX98" s="1504"/>
      <c r="AY98" s="1504"/>
      <c r="AZ98" s="1504"/>
      <c r="BA98" s="1504"/>
      <c r="BB98" s="1504"/>
      <c r="BC98" s="1504"/>
      <c r="BD98" s="1504"/>
      <c r="BE98" s="1504"/>
      <c r="BF98" s="1504"/>
      <c r="BG98" s="1504"/>
      <c r="BH98" s="168"/>
    </row>
    <row r="99" spans="1:95" ht="13.8" x14ac:dyDescent="0.25">
      <c r="A99" s="9"/>
      <c r="B99" s="463" t="str">
        <f>B51</f>
        <v>Debt Yield :</v>
      </c>
      <c r="C99" s="463"/>
      <c r="D99" s="463"/>
      <c r="E99" s="463"/>
      <c r="F99" s="463"/>
      <c r="G99" s="463"/>
      <c r="H99" s="463"/>
      <c r="I99" s="463"/>
      <c r="J99" s="464"/>
      <c r="K99" s="464"/>
      <c r="L99" s="464"/>
      <c r="M99" s="464"/>
      <c r="N99" s="464"/>
      <c r="O99" s="1507"/>
      <c r="P99" s="1507"/>
      <c r="Q99" s="1507"/>
      <c r="R99" s="1507"/>
      <c r="S99" s="1507"/>
      <c r="T99" s="1507"/>
      <c r="U99" s="1507"/>
      <c r="V99" s="1507"/>
      <c r="W99" s="1507"/>
      <c r="X99" s="1507"/>
      <c r="Y99" s="1507"/>
      <c r="Z99" s="1507"/>
      <c r="AA99" s="1507"/>
      <c r="AB99" s="1507"/>
      <c r="AC99" s="1507"/>
      <c r="AD99" s="1507"/>
      <c r="AE99" s="1507"/>
      <c r="AF99" s="1507"/>
      <c r="AG99" s="1507"/>
      <c r="AH99" s="1507"/>
      <c r="AI99" s="1507"/>
      <c r="AJ99" s="1507"/>
      <c r="AK99" s="1507"/>
      <c r="AL99" s="1507"/>
      <c r="AM99" s="1507"/>
      <c r="AN99" s="1507"/>
      <c r="AO99" s="1507"/>
      <c r="AP99" s="1507"/>
      <c r="AQ99" s="1507"/>
      <c r="AR99" s="1507"/>
      <c r="AS99" s="1507"/>
      <c r="AT99" s="1507"/>
      <c r="AU99" s="1507"/>
      <c r="AV99" s="1507"/>
      <c r="AW99" s="1507"/>
      <c r="AX99" s="1507"/>
      <c r="AY99" s="1507"/>
      <c r="AZ99" s="1507"/>
      <c r="BA99" s="1507"/>
      <c r="BB99" s="1507"/>
      <c r="BC99" s="1507"/>
      <c r="BD99" s="1507"/>
      <c r="BE99" s="1507"/>
      <c r="BF99" s="1507"/>
      <c r="BG99" s="1507"/>
      <c r="BH99" s="168"/>
    </row>
    <row r="100" spans="1:95" ht="13.8" x14ac:dyDescent="0.25">
      <c r="A100" s="9"/>
      <c r="B100" s="168" t="str">
        <f>B52</f>
        <v>Net Operating Income</v>
      </c>
      <c r="C100" s="168"/>
      <c r="D100" s="168"/>
      <c r="E100" s="168"/>
      <c r="F100" s="168"/>
      <c r="G100" s="168"/>
      <c r="H100" s="168"/>
      <c r="I100" s="168"/>
      <c r="J100" s="168"/>
      <c r="K100" s="168"/>
      <c r="L100" s="168"/>
      <c r="M100" s="168"/>
      <c r="N100" s="168"/>
      <c r="O100" s="2810">
        <f>O70</f>
        <v>0</v>
      </c>
      <c r="P100" s="2810"/>
      <c r="Q100" s="2810"/>
      <c r="R100" s="2810">
        <f>R70</f>
        <v>0</v>
      </c>
      <c r="S100" s="2810"/>
      <c r="T100" s="2810"/>
      <c r="U100" s="2810">
        <f>U70</f>
        <v>0</v>
      </c>
      <c r="V100" s="2810"/>
      <c r="W100" s="2810"/>
      <c r="X100" s="2810">
        <f>X70</f>
        <v>0</v>
      </c>
      <c r="Y100" s="2810"/>
      <c r="Z100" s="2810"/>
      <c r="AA100" s="2810">
        <f>AA70</f>
        <v>0</v>
      </c>
      <c r="AB100" s="2810"/>
      <c r="AC100" s="2810"/>
      <c r="AD100" s="2810">
        <f>AD70</f>
        <v>0</v>
      </c>
      <c r="AE100" s="2810"/>
      <c r="AF100" s="2810"/>
      <c r="AG100" s="2810">
        <f>AG70</f>
        <v>0</v>
      </c>
      <c r="AH100" s="2810"/>
      <c r="AI100" s="2810"/>
      <c r="AJ100" s="2810">
        <f>AJ70</f>
        <v>0</v>
      </c>
      <c r="AK100" s="2810"/>
      <c r="AL100" s="2810"/>
      <c r="AM100" s="2810">
        <f>AM70</f>
        <v>0</v>
      </c>
      <c r="AN100" s="2810"/>
      <c r="AO100" s="2810"/>
      <c r="AP100" s="2810">
        <f>AP70</f>
        <v>0</v>
      </c>
      <c r="AQ100" s="2810"/>
      <c r="AR100" s="2810"/>
      <c r="AS100" s="2810">
        <f>AS70</f>
        <v>0</v>
      </c>
      <c r="AT100" s="2810"/>
      <c r="AU100" s="2810"/>
      <c r="AV100" s="2810">
        <f>AV70</f>
        <v>0</v>
      </c>
      <c r="AW100" s="2810"/>
      <c r="AX100" s="2810"/>
      <c r="AY100" s="2810">
        <f>AY70</f>
        <v>0</v>
      </c>
      <c r="AZ100" s="2810"/>
      <c r="BA100" s="2810"/>
      <c r="BB100" s="2810">
        <f>BB70</f>
        <v>0</v>
      </c>
      <c r="BC100" s="2810"/>
      <c r="BD100" s="2810"/>
      <c r="BE100" s="2810">
        <f>BE70</f>
        <v>0</v>
      </c>
      <c r="BF100" s="2810"/>
      <c r="BG100" s="2810"/>
      <c r="BH100" s="160"/>
    </row>
    <row r="101" spans="1:95" ht="15" customHeight="1" x14ac:dyDescent="0.25">
      <c r="A101" s="9"/>
      <c r="B101" s="168" t="str">
        <f>B53</f>
        <v>Debt Outstanding</v>
      </c>
      <c r="C101" s="168"/>
      <c r="D101" s="168"/>
      <c r="E101" s="168"/>
      <c r="F101" s="168"/>
      <c r="G101" s="168"/>
      <c r="H101" s="168"/>
      <c r="I101" s="168"/>
      <c r="J101" s="168"/>
      <c r="K101" s="168"/>
      <c r="L101" s="168"/>
      <c r="M101" s="168"/>
      <c r="N101" s="168"/>
      <c r="O101" s="2809">
        <f>O96</f>
        <v>0</v>
      </c>
      <c r="P101" s="2809"/>
      <c r="Q101" s="2809"/>
      <c r="R101" s="2809">
        <f>R96</f>
        <v>0</v>
      </c>
      <c r="S101" s="2809"/>
      <c r="T101" s="2809"/>
      <c r="U101" s="2809">
        <f>U96</f>
        <v>0</v>
      </c>
      <c r="V101" s="2809"/>
      <c r="W101" s="2809"/>
      <c r="X101" s="2809">
        <f>X96</f>
        <v>0</v>
      </c>
      <c r="Y101" s="2809"/>
      <c r="Z101" s="2809"/>
      <c r="AA101" s="2809">
        <f>AA96</f>
        <v>0</v>
      </c>
      <c r="AB101" s="2809"/>
      <c r="AC101" s="2809"/>
      <c r="AD101" s="2809">
        <f>AD96</f>
        <v>0</v>
      </c>
      <c r="AE101" s="2809"/>
      <c r="AF101" s="2809"/>
      <c r="AG101" s="2809">
        <f>AG96</f>
        <v>0</v>
      </c>
      <c r="AH101" s="2809"/>
      <c r="AI101" s="2809"/>
      <c r="AJ101" s="2809">
        <f>AJ96</f>
        <v>0</v>
      </c>
      <c r="AK101" s="2809"/>
      <c r="AL101" s="2809"/>
      <c r="AM101" s="2809">
        <f>AM96</f>
        <v>0</v>
      </c>
      <c r="AN101" s="2809"/>
      <c r="AO101" s="2809"/>
      <c r="AP101" s="2809">
        <f>AP96</f>
        <v>0</v>
      </c>
      <c r="AQ101" s="2809"/>
      <c r="AR101" s="2809"/>
      <c r="AS101" s="2809">
        <f>AS96</f>
        <v>0</v>
      </c>
      <c r="AT101" s="2809"/>
      <c r="AU101" s="2809"/>
      <c r="AV101" s="2809">
        <f>AV96</f>
        <v>0</v>
      </c>
      <c r="AW101" s="2809"/>
      <c r="AX101" s="2809"/>
      <c r="AY101" s="2809">
        <f>AY96</f>
        <v>0</v>
      </c>
      <c r="AZ101" s="2809"/>
      <c r="BA101" s="2809"/>
      <c r="BB101" s="2809">
        <f>BB96</f>
        <v>0</v>
      </c>
      <c r="BC101" s="2809"/>
      <c r="BD101" s="2809"/>
      <c r="BE101" s="2809">
        <f>BE96</f>
        <v>0</v>
      </c>
      <c r="BF101" s="2809"/>
      <c r="BG101" s="2809"/>
      <c r="BH101" s="160"/>
    </row>
    <row r="102" spans="1:95" ht="16.5" customHeight="1" x14ac:dyDescent="0.25">
      <c r="A102" s="9"/>
      <c r="B102" s="46" t="str">
        <f>B54</f>
        <v>Debt Yield</v>
      </c>
      <c r="C102" s="46"/>
      <c r="D102" s="46"/>
      <c r="E102" s="46"/>
      <c r="F102" s="46"/>
      <c r="G102" s="46"/>
      <c r="H102" s="46"/>
      <c r="I102" s="46"/>
      <c r="J102" s="46"/>
      <c r="K102" s="46"/>
      <c r="L102" s="46"/>
      <c r="M102" s="46"/>
      <c r="N102" s="46"/>
      <c r="O102" s="2806">
        <f>IFERROR(O100/O101,0)</f>
        <v>0</v>
      </c>
      <c r="P102" s="2806"/>
      <c r="Q102" s="2806"/>
      <c r="R102" s="2806">
        <f>IFERROR(R100/R101,0)</f>
        <v>0</v>
      </c>
      <c r="S102" s="2806"/>
      <c r="T102" s="2806"/>
      <c r="U102" s="2806">
        <f>IFERROR(U100/U101,0)</f>
        <v>0</v>
      </c>
      <c r="V102" s="2806"/>
      <c r="W102" s="2806"/>
      <c r="X102" s="2806">
        <f>IFERROR(X100/X101,0)</f>
        <v>0</v>
      </c>
      <c r="Y102" s="2806"/>
      <c r="Z102" s="2806"/>
      <c r="AA102" s="2806">
        <f>IFERROR(AA100/AA101,0)</f>
        <v>0</v>
      </c>
      <c r="AB102" s="2806"/>
      <c r="AC102" s="2806"/>
      <c r="AD102" s="2806">
        <f>IFERROR(AD100/AD101,0)</f>
        <v>0</v>
      </c>
      <c r="AE102" s="2806"/>
      <c r="AF102" s="2806"/>
      <c r="AG102" s="2806">
        <f>IFERROR(AG100/AG101,0)</f>
        <v>0</v>
      </c>
      <c r="AH102" s="2806"/>
      <c r="AI102" s="2806"/>
      <c r="AJ102" s="2806">
        <f>IFERROR(AJ100/AJ101,0)</f>
        <v>0</v>
      </c>
      <c r="AK102" s="2806"/>
      <c r="AL102" s="2806"/>
      <c r="AM102" s="2806">
        <f>IFERROR(AM100/AM101,0)</f>
        <v>0</v>
      </c>
      <c r="AN102" s="2806"/>
      <c r="AO102" s="2806"/>
      <c r="AP102" s="2806">
        <f>IFERROR(AP100/AP101,0)</f>
        <v>0</v>
      </c>
      <c r="AQ102" s="2806"/>
      <c r="AR102" s="2806"/>
      <c r="AS102" s="2806">
        <f>IFERROR(AS100/AS101,0)</f>
        <v>0</v>
      </c>
      <c r="AT102" s="2806"/>
      <c r="AU102" s="2806"/>
      <c r="AV102" s="2806">
        <f>IFERROR(AV100/AV101,0)</f>
        <v>0</v>
      </c>
      <c r="AW102" s="2806"/>
      <c r="AX102" s="2806"/>
      <c r="AY102" s="2806">
        <f>IFERROR(AY100/AY101,0)</f>
        <v>0</v>
      </c>
      <c r="AZ102" s="2806"/>
      <c r="BA102" s="2806"/>
      <c r="BB102" s="2806">
        <f>IFERROR(BB100/BB101,0)</f>
        <v>0</v>
      </c>
      <c r="BC102" s="2806"/>
      <c r="BD102" s="2806"/>
      <c r="BE102" s="2806">
        <f>IFERROR(BE100/BE101,0)</f>
        <v>0</v>
      </c>
      <c r="BF102" s="2806"/>
      <c r="BG102" s="2806"/>
      <c r="BH102" s="172"/>
    </row>
    <row r="103" spans="1:95" ht="13.8" x14ac:dyDescent="0.25">
      <c r="A103" s="9"/>
      <c r="B103" s="168"/>
      <c r="C103" s="168"/>
      <c r="D103" s="168"/>
      <c r="E103" s="168"/>
      <c r="F103" s="168"/>
      <c r="G103" s="168"/>
      <c r="H103" s="168"/>
      <c r="I103" s="168"/>
      <c r="J103" s="168"/>
      <c r="K103" s="168"/>
      <c r="L103" s="168"/>
      <c r="M103" s="168"/>
      <c r="N103" s="168"/>
      <c r="O103" s="1504"/>
      <c r="P103" s="1504"/>
      <c r="Q103" s="1504"/>
      <c r="R103" s="1504"/>
      <c r="S103" s="1504"/>
      <c r="T103" s="1504"/>
      <c r="U103" s="1504"/>
      <c r="V103" s="1504"/>
      <c r="W103" s="1504"/>
      <c r="X103" s="1504"/>
      <c r="Y103" s="1504"/>
      <c r="Z103" s="1504"/>
      <c r="AA103" s="1504"/>
      <c r="AB103" s="1504"/>
      <c r="AC103" s="1504"/>
      <c r="AD103" s="1504"/>
      <c r="AE103" s="1504"/>
      <c r="AF103" s="1504"/>
      <c r="AG103" s="1504"/>
      <c r="AH103" s="1504"/>
      <c r="AI103" s="1504"/>
      <c r="AJ103" s="1504"/>
      <c r="AK103" s="1504"/>
      <c r="AL103" s="1504"/>
      <c r="AM103" s="1504"/>
      <c r="AN103" s="1504"/>
      <c r="AO103" s="1504"/>
      <c r="AP103" s="1504"/>
      <c r="AQ103" s="1504"/>
      <c r="AR103" s="1504"/>
      <c r="AS103" s="1504"/>
      <c r="AT103" s="1504"/>
      <c r="AU103" s="1504"/>
      <c r="AV103" s="1504"/>
      <c r="AW103" s="1504"/>
      <c r="AX103" s="1504"/>
      <c r="AY103" s="1504"/>
      <c r="AZ103" s="1504"/>
      <c r="BA103" s="1504"/>
      <c r="BB103" s="1504"/>
      <c r="BC103" s="1504"/>
      <c r="BD103" s="1504"/>
      <c r="BE103" s="1504"/>
      <c r="BF103" s="1504"/>
      <c r="BG103" s="1504"/>
      <c r="BH103" s="168"/>
    </row>
    <row r="104" spans="1:95" ht="13.8" x14ac:dyDescent="0.25">
      <c r="A104" s="9"/>
      <c r="B104" s="463" t="s">
        <v>212</v>
      </c>
      <c r="C104" s="463"/>
      <c r="D104" s="463"/>
      <c r="E104" s="463"/>
      <c r="F104" s="463"/>
      <c r="G104" s="463"/>
      <c r="H104" s="463"/>
      <c r="I104" s="463"/>
      <c r="J104" s="464"/>
      <c r="K104" s="464"/>
      <c r="L104" s="464"/>
      <c r="M104" s="464"/>
      <c r="N104" s="464"/>
      <c r="O104" s="1507"/>
      <c r="P104" s="1507"/>
      <c r="Q104" s="1507"/>
      <c r="R104" s="1507"/>
      <c r="S104" s="1507"/>
      <c r="T104" s="1507"/>
      <c r="U104" s="1507"/>
      <c r="V104" s="1507"/>
      <c r="W104" s="1507"/>
      <c r="X104" s="1507"/>
      <c r="Y104" s="1507"/>
      <c r="Z104" s="1507"/>
      <c r="AA104" s="1507"/>
      <c r="AB104" s="1507"/>
      <c r="AC104" s="1507"/>
      <c r="AD104" s="1507"/>
      <c r="AE104" s="1507"/>
      <c r="AF104" s="1507"/>
      <c r="AG104" s="1507"/>
      <c r="AH104" s="1507"/>
      <c r="AI104" s="1507"/>
      <c r="AJ104" s="1507"/>
      <c r="AK104" s="1507"/>
      <c r="AL104" s="1507"/>
      <c r="AM104" s="1507"/>
      <c r="AN104" s="1507"/>
      <c r="AO104" s="1507"/>
      <c r="AP104" s="1507"/>
      <c r="AQ104" s="1507"/>
      <c r="AR104" s="1507"/>
      <c r="AS104" s="1507"/>
      <c r="AT104" s="1507"/>
      <c r="AU104" s="1507"/>
      <c r="AV104" s="1507"/>
      <c r="AW104" s="1507"/>
      <c r="AX104" s="1507"/>
      <c r="AY104" s="1507"/>
      <c r="AZ104" s="1507"/>
      <c r="BA104" s="1507"/>
      <c r="BB104" s="1507"/>
      <c r="BC104" s="1507"/>
      <c r="BD104" s="1507"/>
      <c r="BE104" s="1507"/>
      <c r="BF104" s="1507"/>
      <c r="BG104" s="1507"/>
      <c r="BH104" s="168"/>
    </row>
    <row r="105" spans="1:95" ht="13.8" x14ac:dyDescent="0.25">
      <c r="A105" s="9"/>
      <c r="B105" s="168" t="s">
        <v>1</v>
      </c>
      <c r="C105" s="168"/>
      <c r="D105" s="168"/>
      <c r="E105" s="168"/>
      <c r="F105" s="168"/>
      <c r="G105" s="168"/>
      <c r="H105" s="168"/>
      <c r="I105" s="168"/>
      <c r="J105" s="465"/>
      <c r="K105" s="465"/>
      <c r="L105" s="465"/>
      <c r="M105" s="465"/>
      <c r="N105" s="465"/>
      <c r="O105" s="2810">
        <f>-FORECASTS!T68</f>
        <v>0</v>
      </c>
      <c r="P105" s="2810"/>
      <c r="Q105" s="2810"/>
      <c r="R105" s="2810">
        <f>-FORECASTS!U68</f>
        <v>0</v>
      </c>
      <c r="S105" s="2810"/>
      <c r="T105" s="2810"/>
      <c r="U105" s="2810">
        <f>-FORECASTS!V68</f>
        <v>0</v>
      </c>
      <c r="V105" s="2810"/>
      <c r="W105" s="2810"/>
      <c r="X105" s="2810">
        <f>-FORECASTS!W68</f>
        <v>0</v>
      </c>
      <c r="Y105" s="2810"/>
      <c r="Z105" s="2810"/>
      <c r="AA105" s="2810">
        <f>-FORECASTS!X68</f>
        <v>0</v>
      </c>
      <c r="AB105" s="2810"/>
      <c r="AC105" s="2810"/>
      <c r="AD105" s="2810">
        <f>-FORECASTS!Y68</f>
        <v>0</v>
      </c>
      <c r="AE105" s="2810"/>
      <c r="AF105" s="2810"/>
      <c r="AG105" s="2810">
        <f>-FORECASTS!Z68</f>
        <v>0</v>
      </c>
      <c r="AH105" s="2810"/>
      <c r="AI105" s="2810"/>
      <c r="AJ105" s="2810">
        <f>-FORECASTS!AA68</f>
        <v>0</v>
      </c>
      <c r="AK105" s="2810"/>
      <c r="AL105" s="2810"/>
      <c r="AM105" s="2810">
        <f>-FORECASTS!AB68</f>
        <v>0</v>
      </c>
      <c r="AN105" s="2810"/>
      <c r="AO105" s="2810"/>
      <c r="AP105" s="2810">
        <f>-FORECASTS!AC68</f>
        <v>0</v>
      </c>
      <c r="AQ105" s="2810"/>
      <c r="AR105" s="2810"/>
      <c r="AS105" s="2810">
        <f>-FORECASTS!AD68</f>
        <v>0</v>
      </c>
      <c r="AT105" s="2810"/>
      <c r="AU105" s="2810"/>
      <c r="AV105" s="2810">
        <f>-FORECASTS!AE68</f>
        <v>0</v>
      </c>
      <c r="AW105" s="2810"/>
      <c r="AX105" s="2810"/>
      <c r="AY105" s="2810">
        <f>-FORECASTS!AF68</f>
        <v>0</v>
      </c>
      <c r="AZ105" s="2810"/>
      <c r="BA105" s="2810"/>
      <c r="BB105" s="2810">
        <f>-FORECASTS!AG68</f>
        <v>0</v>
      </c>
      <c r="BC105" s="2810"/>
      <c r="BD105" s="2810"/>
      <c r="BE105" s="2810">
        <f>-FORECASTS!AH68</f>
        <v>0</v>
      </c>
      <c r="BF105" s="2810"/>
      <c r="BG105" s="2810"/>
      <c r="BH105" s="167"/>
    </row>
    <row r="106" spans="1:95" ht="13.8" x14ac:dyDescent="0.25">
      <c r="A106" s="9"/>
      <c r="B106" s="168" t="s">
        <v>175</v>
      </c>
      <c r="C106" s="168"/>
      <c r="D106" s="168"/>
      <c r="E106" s="168"/>
      <c r="F106" s="168"/>
      <c r="G106" s="168"/>
      <c r="H106" s="168"/>
      <c r="I106" s="168"/>
      <c r="J106" s="465"/>
      <c r="K106" s="465"/>
      <c r="L106" s="465"/>
      <c r="M106" s="465"/>
      <c r="N106" s="465"/>
      <c r="O106" s="2809">
        <f>-O79</f>
        <v>0</v>
      </c>
      <c r="P106" s="2809"/>
      <c r="Q106" s="2809"/>
      <c r="R106" s="2809">
        <f>-R79</f>
        <v>0</v>
      </c>
      <c r="S106" s="2809"/>
      <c r="T106" s="2809"/>
      <c r="U106" s="2809">
        <f>-U79</f>
        <v>0</v>
      </c>
      <c r="V106" s="2809"/>
      <c r="W106" s="2809"/>
      <c r="X106" s="2809">
        <f>-X79</f>
        <v>0</v>
      </c>
      <c r="Y106" s="2809"/>
      <c r="Z106" s="2809"/>
      <c r="AA106" s="2809">
        <f>-AA79</f>
        <v>0</v>
      </c>
      <c r="AB106" s="2809"/>
      <c r="AC106" s="2809"/>
      <c r="AD106" s="2809">
        <f>-AD79</f>
        <v>0</v>
      </c>
      <c r="AE106" s="2809"/>
      <c r="AF106" s="2809"/>
      <c r="AG106" s="2809">
        <f>-AG79</f>
        <v>0</v>
      </c>
      <c r="AH106" s="2809"/>
      <c r="AI106" s="2809"/>
      <c r="AJ106" s="2809">
        <f>-AJ79</f>
        <v>0</v>
      </c>
      <c r="AK106" s="2809"/>
      <c r="AL106" s="2809"/>
      <c r="AM106" s="2809">
        <f>-AM79</f>
        <v>0</v>
      </c>
      <c r="AN106" s="2809"/>
      <c r="AO106" s="2809"/>
      <c r="AP106" s="2809">
        <f>-AP79</f>
        <v>0</v>
      </c>
      <c r="AQ106" s="2809"/>
      <c r="AR106" s="2809"/>
      <c r="AS106" s="2809">
        <f>-AS79</f>
        <v>0</v>
      </c>
      <c r="AT106" s="2809"/>
      <c r="AU106" s="2809"/>
      <c r="AV106" s="2809">
        <f>-AV79</f>
        <v>0</v>
      </c>
      <c r="AW106" s="2809"/>
      <c r="AX106" s="2809"/>
      <c r="AY106" s="2809">
        <f>-AY79</f>
        <v>0</v>
      </c>
      <c r="AZ106" s="2809"/>
      <c r="BA106" s="2809"/>
      <c r="BB106" s="2809">
        <f>-BB79</f>
        <v>0</v>
      </c>
      <c r="BC106" s="2809"/>
      <c r="BD106" s="2809"/>
      <c r="BE106" s="2809">
        <f>-BE79</f>
        <v>0</v>
      </c>
      <c r="BF106" s="2809"/>
      <c r="BG106" s="2809"/>
      <c r="BH106" s="167"/>
    </row>
    <row r="107" spans="1:95" ht="15" customHeight="1" x14ac:dyDescent="0.25">
      <c r="A107" s="9"/>
      <c r="B107" s="168" t="str">
        <f>FORECASTS!B26</f>
        <v>Net Rental Income</v>
      </c>
      <c r="C107" s="168"/>
      <c r="D107" s="168"/>
      <c r="E107" s="168"/>
      <c r="F107" s="168"/>
      <c r="G107" s="168"/>
      <c r="H107" s="168"/>
      <c r="I107" s="168"/>
      <c r="J107" s="465"/>
      <c r="K107" s="465"/>
      <c r="L107" s="465"/>
      <c r="M107" s="465"/>
      <c r="N107" s="465"/>
      <c r="O107" s="2809">
        <f>FORECASTS!T26</f>
        <v>0</v>
      </c>
      <c r="P107" s="2809"/>
      <c r="Q107" s="2809"/>
      <c r="R107" s="2809">
        <f>FORECASTS!U26</f>
        <v>0</v>
      </c>
      <c r="S107" s="2809"/>
      <c r="T107" s="2809"/>
      <c r="U107" s="2809">
        <f>FORECASTS!V26</f>
        <v>0</v>
      </c>
      <c r="V107" s="2809"/>
      <c r="W107" s="2809"/>
      <c r="X107" s="2809">
        <f>FORECASTS!W26</f>
        <v>0</v>
      </c>
      <c r="Y107" s="2809"/>
      <c r="Z107" s="2809"/>
      <c r="AA107" s="2809">
        <f>FORECASTS!X26</f>
        <v>0</v>
      </c>
      <c r="AB107" s="2809"/>
      <c r="AC107" s="2809"/>
      <c r="AD107" s="2809">
        <f>FORECASTS!Y26</f>
        <v>0</v>
      </c>
      <c r="AE107" s="2809"/>
      <c r="AF107" s="2809"/>
      <c r="AG107" s="2809">
        <f>FORECASTS!Z26</f>
        <v>0</v>
      </c>
      <c r="AH107" s="2809"/>
      <c r="AI107" s="2809"/>
      <c r="AJ107" s="2809">
        <f>FORECASTS!AA26</f>
        <v>0</v>
      </c>
      <c r="AK107" s="2809"/>
      <c r="AL107" s="2809"/>
      <c r="AM107" s="2809">
        <f>FORECASTS!AB26</f>
        <v>0</v>
      </c>
      <c r="AN107" s="2809"/>
      <c r="AO107" s="2809"/>
      <c r="AP107" s="2809">
        <f>FORECASTS!AC26</f>
        <v>0</v>
      </c>
      <c r="AQ107" s="2809"/>
      <c r="AR107" s="2809"/>
      <c r="AS107" s="2809">
        <f>FORECASTS!AD26</f>
        <v>0</v>
      </c>
      <c r="AT107" s="2809"/>
      <c r="AU107" s="2809"/>
      <c r="AV107" s="2809">
        <f>FORECASTS!AE26</f>
        <v>0</v>
      </c>
      <c r="AW107" s="2809"/>
      <c r="AX107" s="2809"/>
      <c r="AY107" s="2809">
        <f>FORECASTS!AF26</f>
        <v>0</v>
      </c>
      <c r="AZ107" s="2809"/>
      <c r="BA107" s="2809"/>
      <c r="BB107" s="2809">
        <f>FORECASTS!AG26</f>
        <v>0</v>
      </c>
      <c r="BC107" s="2809"/>
      <c r="BD107" s="2809"/>
      <c r="BE107" s="2809">
        <f>FORECASTS!AH26</f>
        <v>0</v>
      </c>
      <c r="BF107" s="2809"/>
      <c r="BG107" s="2809"/>
      <c r="BH107" s="167"/>
    </row>
    <row r="108" spans="1:95" s="353" customFormat="1" ht="15" customHeight="1" x14ac:dyDescent="0.25">
      <c r="A108" s="9"/>
      <c r="B108" s="46" t="s">
        <v>199</v>
      </c>
      <c r="C108" s="46"/>
      <c r="D108" s="46"/>
      <c r="E108" s="46"/>
      <c r="F108" s="46"/>
      <c r="G108" s="46"/>
      <c r="H108" s="46"/>
      <c r="I108" s="46"/>
      <c r="J108" s="177"/>
      <c r="K108" s="177"/>
      <c r="L108" s="177"/>
      <c r="M108" s="177"/>
      <c r="N108" s="177"/>
      <c r="O108" s="2806">
        <f>IFERROR((O105+O106)/O107,0)</f>
        <v>0</v>
      </c>
      <c r="P108" s="2806"/>
      <c r="Q108" s="2806"/>
      <c r="R108" s="2806">
        <f>IFERROR((R105+R106)/R107,0)</f>
        <v>0</v>
      </c>
      <c r="S108" s="2806"/>
      <c r="T108" s="2806"/>
      <c r="U108" s="2806">
        <f>IFERROR((U105+U106)/U107,0)</f>
        <v>0</v>
      </c>
      <c r="V108" s="2806"/>
      <c r="W108" s="2806"/>
      <c r="X108" s="2806">
        <f>IFERROR((X105+X106)/X107,0)</f>
        <v>0</v>
      </c>
      <c r="Y108" s="2806"/>
      <c r="Z108" s="2806"/>
      <c r="AA108" s="2806">
        <f>IFERROR((AA105+AA106)/AA107,0)</f>
        <v>0</v>
      </c>
      <c r="AB108" s="2806"/>
      <c r="AC108" s="2806"/>
      <c r="AD108" s="2806">
        <f>IFERROR((AD105+AD106)/AD107,0)</f>
        <v>0</v>
      </c>
      <c r="AE108" s="2806"/>
      <c r="AF108" s="2806"/>
      <c r="AG108" s="2806">
        <f>IFERROR((AG105+AG106)/AG107,0)</f>
        <v>0</v>
      </c>
      <c r="AH108" s="2806"/>
      <c r="AI108" s="2806"/>
      <c r="AJ108" s="2806">
        <f>IFERROR((AJ105+AJ106)/AJ107,0)</f>
        <v>0</v>
      </c>
      <c r="AK108" s="2806"/>
      <c r="AL108" s="2806"/>
      <c r="AM108" s="2806">
        <f>IFERROR((AM105+AM106)/AM107,0)</f>
        <v>0</v>
      </c>
      <c r="AN108" s="2806"/>
      <c r="AO108" s="2806"/>
      <c r="AP108" s="2806">
        <f>IFERROR((AP105+AP106)/AP107,0)</f>
        <v>0</v>
      </c>
      <c r="AQ108" s="2806"/>
      <c r="AR108" s="2806"/>
      <c r="AS108" s="2806">
        <f>IFERROR((AS105+AS106)/AS107,0)</f>
        <v>0</v>
      </c>
      <c r="AT108" s="2806"/>
      <c r="AU108" s="2806"/>
      <c r="AV108" s="2806">
        <f>IFERROR((AV105+AV106)/AV107,0)</f>
        <v>0</v>
      </c>
      <c r="AW108" s="2806"/>
      <c r="AX108" s="2806"/>
      <c r="AY108" s="2806">
        <f>IFERROR((AY105+AY106)/AY107,0)</f>
        <v>0</v>
      </c>
      <c r="AZ108" s="2806"/>
      <c r="BA108" s="2806"/>
      <c r="BB108" s="2806">
        <f>IFERROR((BB105+BB106)/BB107,0)</f>
        <v>0</v>
      </c>
      <c r="BC108" s="2806"/>
      <c r="BD108" s="2806"/>
      <c r="BE108" s="2806">
        <f>IFERROR((BE105+BE106)/BE107,0)</f>
        <v>0</v>
      </c>
      <c r="BF108" s="2806"/>
      <c r="BG108" s="2806"/>
      <c r="BH108" s="171"/>
      <c r="BI108" s="331"/>
      <c r="BJ108" s="331"/>
      <c r="BK108" s="331"/>
      <c r="BL108" s="331"/>
      <c r="BM108" s="331"/>
      <c r="BN108" s="331"/>
      <c r="BO108" s="331"/>
      <c r="BP108" s="331"/>
      <c r="BQ108" s="331"/>
      <c r="BR108" s="331"/>
      <c r="BS108" s="331"/>
      <c r="BT108" s="331"/>
      <c r="BU108" s="331"/>
      <c r="BV108" s="331"/>
      <c r="BW108" s="331"/>
      <c r="BX108" s="331"/>
      <c r="BY108" s="331"/>
      <c r="BZ108" s="331"/>
      <c r="CA108" s="331"/>
      <c r="CB108" s="331"/>
      <c r="CC108" s="331"/>
      <c r="CD108" s="331"/>
      <c r="CE108" s="331"/>
      <c r="CF108" s="331"/>
      <c r="CG108" s="331"/>
      <c r="CH108" s="331"/>
      <c r="CI108" s="331"/>
      <c r="CJ108" s="331"/>
      <c r="CK108" s="331"/>
      <c r="CL108" s="331"/>
      <c r="CM108" s="331"/>
      <c r="CN108" s="331"/>
      <c r="CO108" s="331"/>
      <c r="CP108" s="331"/>
      <c r="CQ108" s="331"/>
    </row>
    <row r="109" spans="1:95" ht="15" customHeight="1" x14ac:dyDescent="0.25">
      <c r="A109" s="9"/>
      <c r="B109" s="168"/>
      <c r="C109" s="168"/>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c r="AQ109" s="168"/>
      <c r="AR109" s="168"/>
      <c r="AS109" s="168"/>
      <c r="AT109" s="168"/>
      <c r="AU109" s="168"/>
      <c r="AV109" s="168"/>
      <c r="AW109" s="168"/>
      <c r="AX109" s="168"/>
      <c r="AY109" s="168"/>
      <c r="AZ109" s="168"/>
      <c r="BA109" s="168"/>
      <c r="BB109" s="168"/>
      <c r="BC109" s="168"/>
      <c r="BD109" s="168"/>
      <c r="BE109" s="168"/>
      <c r="BF109" s="168"/>
      <c r="BG109" s="168"/>
      <c r="BH109" s="168"/>
    </row>
    <row r="110" spans="1:95" ht="15" customHeight="1" x14ac:dyDescent="0.25">
      <c r="A110" s="173" t="str">
        <f>DISCLAIMER!$A$35</f>
        <v>© 2025 by WinsWithMike.com or Michael Forsberg Nampa, Idaho. All rights reserved</v>
      </c>
      <c r="B110" s="173"/>
      <c r="C110" s="173"/>
      <c r="D110" s="173"/>
      <c r="E110" s="173"/>
      <c r="F110" s="173"/>
      <c r="G110" s="173"/>
      <c r="H110" s="173"/>
      <c r="I110" s="173"/>
      <c r="J110" s="174"/>
      <c r="K110" s="174"/>
      <c r="L110" s="174"/>
      <c r="M110" s="174"/>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4"/>
      <c r="AI110" s="174"/>
      <c r="AJ110" s="174"/>
      <c r="AK110" s="174"/>
      <c r="AL110" s="174"/>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174"/>
      <c r="BI110" s="361"/>
      <c r="BJ110" s="353"/>
      <c r="BK110" s="353"/>
      <c r="BL110" s="353"/>
      <c r="BM110" s="353"/>
      <c r="BN110" s="353"/>
      <c r="BO110" s="353"/>
      <c r="BP110" s="353"/>
      <c r="BQ110" s="353"/>
      <c r="BR110" s="353"/>
      <c r="BS110" s="353"/>
      <c r="BT110" s="353"/>
      <c r="BU110" s="353"/>
      <c r="BV110" s="353"/>
      <c r="BW110" s="353"/>
      <c r="BX110" s="353"/>
      <c r="BY110" s="353"/>
      <c r="BZ110" s="353"/>
      <c r="CA110" s="353"/>
      <c r="CB110" s="353"/>
      <c r="CC110" s="353"/>
      <c r="CD110" s="353"/>
      <c r="CE110" s="353"/>
      <c r="CF110" s="353"/>
      <c r="CG110" s="353"/>
      <c r="CH110" s="353"/>
      <c r="CI110" s="353"/>
      <c r="CJ110" s="353"/>
      <c r="CK110" s="353"/>
      <c r="CL110" s="353"/>
      <c r="CM110" s="353"/>
      <c r="CN110" s="353"/>
      <c r="CO110" s="353"/>
      <c r="CP110" s="353"/>
      <c r="CQ110" s="353"/>
    </row>
  </sheetData>
  <sheetProtection sheet="1" objects="1" scenarios="1" selectLockedCells="1"/>
  <mergeCells count="873">
    <mergeCell ref="B64:H64"/>
    <mergeCell ref="B11:H11"/>
    <mergeCell ref="B12:H12"/>
    <mergeCell ref="B14:H14"/>
    <mergeCell ref="B18:H18"/>
    <mergeCell ref="B19:H19"/>
    <mergeCell ref="B8:H8"/>
    <mergeCell ref="B9:H9"/>
    <mergeCell ref="BD6:BG6"/>
    <mergeCell ref="O14:Q14"/>
    <mergeCell ref="O18:Q18"/>
    <mergeCell ref="O19:Q19"/>
    <mergeCell ref="O20:Q20"/>
    <mergeCell ref="O21:Q21"/>
    <mergeCell ref="O22:Q22"/>
    <mergeCell ref="B20:H20"/>
    <mergeCell ref="B22:H22"/>
    <mergeCell ref="B21:I21"/>
    <mergeCell ref="O35:Q35"/>
    <mergeCell ref="O38:Q38"/>
    <mergeCell ref="O39:Q39"/>
    <mergeCell ref="O40:Q40"/>
    <mergeCell ref="O42:Q42"/>
    <mergeCell ref="O28:Q28"/>
    <mergeCell ref="O29:Q29"/>
    <mergeCell ref="O30:Q30"/>
    <mergeCell ref="O31:Q31"/>
    <mergeCell ref="O33:Q33"/>
    <mergeCell ref="O52:Q52"/>
    <mergeCell ref="O53:Q53"/>
    <mergeCell ref="O54:Q54"/>
    <mergeCell ref="O57:Q57"/>
    <mergeCell ref="O58:Q58"/>
    <mergeCell ref="O43:Q43"/>
    <mergeCell ref="O44:Q44"/>
    <mergeCell ref="O47:Q47"/>
    <mergeCell ref="O48:Q48"/>
    <mergeCell ref="O49:Q49"/>
    <mergeCell ref="O108:Q108"/>
    <mergeCell ref="O95:Q95"/>
    <mergeCell ref="O96:Q96"/>
    <mergeCell ref="O97:Q97"/>
    <mergeCell ref="O100:Q100"/>
    <mergeCell ref="O101:Q101"/>
    <mergeCell ref="O87:Q87"/>
    <mergeCell ref="O88:Q88"/>
    <mergeCell ref="O90:Q90"/>
    <mergeCell ref="O91:Q91"/>
    <mergeCell ref="O92:Q92"/>
    <mergeCell ref="R14:T14"/>
    <mergeCell ref="R18:T18"/>
    <mergeCell ref="R19:T19"/>
    <mergeCell ref="R20:T20"/>
    <mergeCell ref="R21:T21"/>
    <mergeCell ref="O102:Q102"/>
    <mergeCell ref="O105:Q105"/>
    <mergeCell ref="O106:Q106"/>
    <mergeCell ref="O107:Q107"/>
    <mergeCell ref="O78:Q78"/>
    <mergeCell ref="O79:Q79"/>
    <mergeCell ref="O81:Q81"/>
    <mergeCell ref="O83:Q83"/>
    <mergeCell ref="O86:Q86"/>
    <mergeCell ref="O70:Q70"/>
    <mergeCell ref="O71:Q71"/>
    <mergeCell ref="O72:Q72"/>
    <mergeCell ref="O76:Q76"/>
    <mergeCell ref="O77:Q77"/>
    <mergeCell ref="O59:Q59"/>
    <mergeCell ref="O60:Q60"/>
    <mergeCell ref="O64:Q64"/>
    <mergeCell ref="O68:Q68"/>
    <mergeCell ref="O69:Q69"/>
    <mergeCell ref="R33:T33"/>
    <mergeCell ref="R35:T35"/>
    <mergeCell ref="R38:T38"/>
    <mergeCell ref="R39:T39"/>
    <mergeCell ref="R40:T40"/>
    <mergeCell ref="R22:T22"/>
    <mergeCell ref="R28:T28"/>
    <mergeCell ref="R29:T29"/>
    <mergeCell ref="R30:T30"/>
    <mergeCell ref="R31:T31"/>
    <mergeCell ref="R49:T49"/>
    <mergeCell ref="R52:T52"/>
    <mergeCell ref="R53:T53"/>
    <mergeCell ref="R54:T54"/>
    <mergeCell ref="R57:T57"/>
    <mergeCell ref="R42:T42"/>
    <mergeCell ref="R43:T43"/>
    <mergeCell ref="R44:T44"/>
    <mergeCell ref="R47:T47"/>
    <mergeCell ref="R48:T48"/>
    <mergeCell ref="R69:T69"/>
    <mergeCell ref="R70:T70"/>
    <mergeCell ref="R71:T71"/>
    <mergeCell ref="R72:T72"/>
    <mergeCell ref="R76:T76"/>
    <mergeCell ref="R58:T58"/>
    <mergeCell ref="R59:T59"/>
    <mergeCell ref="R60:T60"/>
    <mergeCell ref="R64:T64"/>
    <mergeCell ref="R68:T68"/>
    <mergeCell ref="R97:T97"/>
    <mergeCell ref="R100:T100"/>
    <mergeCell ref="R86:T86"/>
    <mergeCell ref="R87:T87"/>
    <mergeCell ref="R88:T88"/>
    <mergeCell ref="R90:T90"/>
    <mergeCell ref="R91:T91"/>
    <mergeCell ref="R77:T77"/>
    <mergeCell ref="R78:T78"/>
    <mergeCell ref="R79:T79"/>
    <mergeCell ref="R81:T81"/>
    <mergeCell ref="R83:T83"/>
    <mergeCell ref="R108:T108"/>
    <mergeCell ref="U14:W14"/>
    <mergeCell ref="X14:Z14"/>
    <mergeCell ref="AA14:AC14"/>
    <mergeCell ref="AD14:AF14"/>
    <mergeCell ref="U19:W19"/>
    <mergeCell ref="U20:W20"/>
    <mergeCell ref="U21:W21"/>
    <mergeCell ref="U22:W22"/>
    <mergeCell ref="U28:W28"/>
    <mergeCell ref="U29:W29"/>
    <mergeCell ref="U30:W30"/>
    <mergeCell ref="U31:W31"/>
    <mergeCell ref="U33:W33"/>
    <mergeCell ref="U35:W35"/>
    <mergeCell ref="U38:W38"/>
    <mergeCell ref="R101:T101"/>
    <mergeCell ref="R102:T102"/>
    <mergeCell ref="R105:T105"/>
    <mergeCell ref="R106:T106"/>
    <mergeCell ref="R107:T107"/>
    <mergeCell ref="R92:T92"/>
    <mergeCell ref="R95:T95"/>
    <mergeCell ref="R96:T96"/>
    <mergeCell ref="AV14:AX14"/>
    <mergeCell ref="AY14:BA14"/>
    <mergeCell ref="BB14:BD14"/>
    <mergeCell ref="BE14:BG14"/>
    <mergeCell ref="U18:W18"/>
    <mergeCell ref="AG18:AI18"/>
    <mergeCell ref="AV18:AX18"/>
    <mergeCell ref="AG14:AI14"/>
    <mergeCell ref="AJ14:AL14"/>
    <mergeCell ref="AM14:AO14"/>
    <mergeCell ref="AP14:AR14"/>
    <mergeCell ref="AS14:AU14"/>
    <mergeCell ref="AY18:BA18"/>
    <mergeCell ref="U47:W47"/>
    <mergeCell ref="U48:W48"/>
    <mergeCell ref="U49:W49"/>
    <mergeCell ref="U52:W52"/>
    <mergeCell ref="U53:W53"/>
    <mergeCell ref="U39:W39"/>
    <mergeCell ref="U40:W40"/>
    <mergeCell ref="U42:W42"/>
    <mergeCell ref="U43:W43"/>
    <mergeCell ref="U44:W44"/>
    <mergeCell ref="U64:W64"/>
    <mergeCell ref="U68:W68"/>
    <mergeCell ref="U69:W69"/>
    <mergeCell ref="U70:W70"/>
    <mergeCell ref="U71:W71"/>
    <mergeCell ref="U54:W54"/>
    <mergeCell ref="U57:W57"/>
    <mergeCell ref="U58:W58"/>
    <mergeCell ref="U59:W59"/>
    <mergeCell ref="U60:W60"/>
    <mergeCell ref="U95:W95"/>
    <mergeCell ref="U96:W96"/>
    <mergeCell ref="U81:W81"/>
    <mergeCell ref="U83:W83"/>
    <mergeCell ref="U86:W86"/>
    <mergeCell ref="U87:W87"/>
    <mergeCell ref="U88:W88"/>
    <mergeCell ref="U72:W72"/>
    <mergeCell ref="U76:W76"/>
    <mergeCell ref="U77:W77"/>
    <mergeCell ref="U78:W78"/>
    <mergeCell ref="U79:W79"/>
    <mergeCell ref="U106:W106"/>
    <mergeCell ref="U107:W107"/>
    <mergeCell ref="U108:W108"/>
    <mergeCell ref="X18:Z18"/>
    <mergeCell ref="X19:Z19"/>
    <mergeCell ref="X20:Z20"/>
    <mergeCell ref="X21:Z21"/>
    <mergeCell ref="X22:Z22"/>
    <mergeCell ref="X28:Z28"/>
    <mergeCell ref="X29:Z29"/>
    <mergeCell ref="X30:Z30"/>
    <mergeCell ref="X31:Z31"/>
    <mergeCell ref="X33:Z33"/>
    <mergeCell ref="X35:Z35"/>
    <mergeCell ref="X38:Z38"/>
    <mergeCell ref="X39:Z39"/>
    <mergeCell ref="U97:W97"/>
    <mergeCell ref="U100:W100"/>
    <mergeCell ref="U101:W101"/>
    <mergeCell ref="U102:W102"/>
    <mergeCell ref="U105:W105"/>
    <mergeCell ref="U90:W90"/>
    <mergeCell ref="U91:W91"/>
    <mergeCell ref="U92:W92"/>
    <mergeCell ref="X48:Z48"/>
    <mergeCell ref="X49:Z49"/>
    <mergeCell ref="X52:Z52"/>
    <mergeCell ref="X53:Z53"/>
    <mergeCell ref="X54:Z54"/>
    <mergeCell ref="X40:Z40"/>
    <mergeCell ref="X42:Z42"/>
    <mergeCell ref="X43:Z43"/>
    <mergeCell ref="X44:Z44"/>
    <mergeCell ref="X47:Z47"/>
    <mergeCell ref="X68:Z68"/>
    <mergeCell ref="X69:Z69"/>
    <mergeCell ref="X70:Z70"/>
    <mergeCell ref="X71:Z71"/>
    <mergeCell ref="X72:Z72"/>
    <mergeCell ref="X57:Z57"/>
    <mergeCell ref="X58:Z58"/>
    <mergeCell ref="X59:Z59"/>
    <mergeCell ref="X60:Z60"/>
    <mergeCell ref="X64:Z64"/>
    <mergeCell ref="X96:Z96"/>
    <mergeCell ref="X97:Z97"/>
    <mergeCell ref="X83:Z83"/>
    <mergeCell ref="X86:Z86"/>
    <mergeCell ref="X87:Z87"/>
    <mergeCell ref="X88:Z88"/>
    <mergeCell ref="X90:Z90"/>
    <mergeCell ref="X76:Z76"/>
    <mergeCell ref="X77:Z77"/>
    <mergeCell ref="X78:Z78"/>
    <mergeCell ref="X79:Z79"/>
    <mergeCell ref="X81:Z81"/>
    <mergeCell ref="X107:Z107"/>
    <mergeCell ref="X108:Z108"/>
    <mergeCell ref="AA18:AC18"/>
    <mergeCell ref="AA19:AC19"/>
    <mergeCell ref="AA20:AC20"/>
    <mergeCell ref="AA21:AC21"/>
    <mergeCell ref="AA22:AC22"/>
    <mergeCell ref="AA28:AC28"/>
    <mergeCell ref="AA29:AC29"/>
    <mergeCell ref="AA30:AC30"/>
    <mergeCell ref="AA31:AC31"/>
    <mergeCell ref="AA33:AC33"/>
    <mergeCell ref="AA35:AC35"/>
    <mergeCell ref="AA38:AC38"/>
    <mergeCell ref="AA39:AC39"/>
    <mergeCell ref="AA40:AC40"/>
    <mergeCell ref="X100:Z100"/>
    <mergeCell ref="X101:Z101"/>
    <mergeCell ref="X102:Z102"/>
    <mergeCell ref="X105:Z105"/>
    <mergeCell ref="X106:Z106"/>
    <mergeCell ref="X91:Z91"/>
    <mergeCell ref="X92:Z92"/>
    <mergeCell ref="X95:Z95"/>
    <mergeCell ref="AA49:AC49"/>
    <mergeCell ref="AA52:AC52"/>
    <mergeCell ref="AA53:AC53"/>
    <mergeCell ref="AA54:AC54"/>
    <mergeCell ref="AA57:AC57"/>
    <mergeCell ref="AA42:AC42"/>
    <mergeCell ref="AA43:AC43"/>
    <mergeCell ref="AA44:AC44"/>
    <mergeCell ref="AA47:AC47"/>
    <mergeCell ref="AA48:AC48"/>
    <mergeCell ref="AA69:AC69"/>
    <mergeCell ref="AA70:AC70"/>
    <mergeCell ref="AA71:AC71"/>
    <mergeCell ref="AA72:AC72"/>
    <mergeCell ref="AA76:AC76"/>
    <mergeCell ref="AA58:AC58"/>
    <mergeCell ref="AA59:AC59"/>
    <mergeCell ref="AA60:AC60"/>
    <mergeCell ref="AA64:AC64"/>
    <mergeCell ref="AA68:AC68"/>
    <mergeCell ref="AA97:AC97"/>
    <mergeCell ref="AA100:AC100"/>
    <mergeCell ref="AA86:AC86"/>
    <mergeCell ref="AA87:AC87"/>
    <mergeCell ref="AA88:AC88"/>
    <mergeCell ref="AA90:AC90"/>
    <mergeCell ref="AA91:AC91"/>
    <mergeCell ref="AA77:AC77"/>
    <mergeCell ref="AA78:AC78"/>
    <mergeCell ref="AA79:AC79"/>
    <mergeCell ref="AA81:AC81"/>
    <mergeCell ref="AA83:AC83"/>
    <mergeCell ref="AA108:AC108"/>
    <mergeCell ref="AD18:AF18"/>
    <mergeCell ref="AD19:AF19"/>
    <mergeCell ref="AD20:AF20"/>
    <mergeCell ref="AD21:AF21"/>
    <mergeCell ref="AD22:AF22"/>
    <mergeCell ref="AD28:AF28"/>
    <mergeCell ref="AD29:AF29"/>
    <mergeCell ref="AD30:AF30"/>
    <mergeCell ref="AD31:AF31"/>
    <mergeCell ref="AD33:AF33"/>
    <mergeCell ref="AD35:AF35"/>
    <mergeCell ref="AD38:AF38"/>
    <mergeCell ref="AD39:AF39"/>
    <mergeCell ref="AD40:AF40"/>
    <mergeCell ref="AD42:AF42"/>
    <mergeCell ref="AA101:AC101"/>
    <mergeCell ref="AA102:AC102"/>
    <mergeCell ref="AA105:AC105"/>
    <mergeCell ref="AA106:AC106"/>
    <mergeCell ref="AA107:AC107"/>
    <mergeCell ref="AA92:AC92"/>
    <mergeCell ref="AA95:AC95"/>
    <mergeCell ref="AA96:AC96"/>
    <mergeCell ref="AD52:AF52"/>
    <mergeCell ref="AD53:AF53"/>
    <mergeCell ref="AD54:AF54"/>
    <mergeCell ref="AD57:AF57"/>
    <mergeCell ref="AD58:AF58"/>
    <mergeCell ref="AD43:AF43"/>
    <mergeCell ref="AD44:AF44"/>
    <mergeCell ref="AD47:AF47"/>
    <mergeCell ref="AD48:AF48"/>
    <mergeCell ref="AD49:AF49"/>
    <mergeCell ref="AD70:AF70"/>
    <mergeCell ref="AD71:AF71"/>
    <mergeCell ref="AD72:AF72"/>
    <mergeCell ref="AD76:AF76"/>
    <mergeCell ref="AD77:AF77"/>
    <mergeCell ref="AD59:AF59"/>
    <mergeCell ref="AD60:AF60"/>
    <mergeCell ref="AD64:AF64"/>
    <mergeCell ref="AD68:AF68"/>
    <mergeCell ref="AD69:AF69"/>
    <mergeCell ref="AD87:AF87"/>
    <mergeCell ref="AD88:AF88"/>
    <mergeCell ref="AD90:AF90"/>
    <mergeCell ref="AD91:AF91"/>
    <mergeCell ref="AD92:AF92"/>
    <mergeCell ref="AD78:AF78"/>
    <mergeCell ref="AD79:AF79"/>
    <mergeCell ref="AD81:AF81"/>
    <mergeCell ref="AD83:AF83"/>
    <mergeCell ref="AD86:AF86"/>
    <mergeCell ref="AD102:AF102"/>
    <mergeCell ref="AD105:AF105"/>
    <mergeCell ref="AD106:AF106"/>
    <mergeCell ref="AD107:AF107"/>
    <mergeCell ref="AD108:AF108"/>
    <mergeCell ref="AD95:AF95"/>
    <mergeCell ref="AD96:AF96"/>
    <mergeCell ref="AD97:AF97"/>
    <mergeCell ref="AD100:AF100"/>
    <mergeCell ref="AD101:AF101"/>
    <mergeCell ref="AG29:AI29"/>
    <mergeCell ref="AG30:AI30"/>
    <mergeCell ref="AG31:AI31"/>
    <mergeCell ref="AG33:AI33"/>
    <mergeCell ref="AG35:AI35"/>
    <mergeCell ref="AG19:AI19"/>
    <mergeCell ref="AG20:AI20"/>
    <mergeCell ref="AG21:AI21"/>
    <mergeCell ref="AG22:AI22"/>
    <mergeCell ref="AG28:AI28"/>
    <mergeCell ref="AG44:AI44"/>
    <mergeCell ref="AG47:AI47"/>
    <mergeCell ref="AG48:AI48"/>
    <mergeCell ref="AG49:AI49"/>
    <mergeCell ref="AG52:AI52"/>
    <mergeCell ref="AG38:AI38"/>
    <mergeCell ref="AG39:AI39"/>
    <mergeCell ref="AG40:AI40"/>
    <mergeCell ref="AG42:AI42"/>
    <mergeCell ref="AG43:AI43"/>
    <mergeCell ref="AG60:AI60"/>
    <mergeCell ref="AG64:AI64"/>
    <mergeCell ref="AG68:AI68"/>
    <mergeCell ref="AG69:AI69"/>
    <mergeCell ref="AG70:AI70"/>
    <mergeCell ref="AG53:AI53"/>
    <mergeCell ref="AG54:AI54"/>
    <mergeCell ref="AG57:AI57"/>
    <mergeCell ref="AG58:AI58"/>
    <mergeCell ref="AG59:AI59"/>
    <mergeCell ref="AG92:AI92"/>
    <mergeCell ref="AG95:AI95"/>
    <mergeCell ref="AG79:AI79"/>
    <mergeCell ref="AG81:AI81"/>
    <mergeCell ref="AG83:AI83"/>
    <mergeCell ref="AG86:AI86"/>
    <mergeCell ref="AG87:AI87"/>
    <mergeCell ref="AG71:AI71"/>
    <mergeCell ref="AG72:AI72"/>
    <mergeCell ref="AG76:AI76"/>
    <mergeCell ref="AG77:AI77"/>
    <mergeCell ref="AG78:AI78"/>
    <mergeCell ref="AG105:AI105"/>
    <mergeCell ref="AG106:AI106"/>
    <mergeCell ref="AG107:AI107"/>
    <mergeCell ref="AG108:AI108"/>
    <mergeCell ref="AJ18:AL18"/>
    <mergeCell ref="AJ19:AL19"/>
    <mergeCell ref="AJ20:AL20"/>
    <mergeCell ref="AJ21:AL21"/>
    <mergeCell ref="AJ22:AL22"/>
    <mergeCell ref="AJ28:AL28"/>
    <mergeCell ref="AJ29:AL29"/>
    <mergeCell ref="AJ30:AL30"/>
    <mergeCell ref="AJ31:AL31"/>
    <mergeCell ref="AJ33:AL33"/>
    <mergeCell ref="AJ35:AL35"/>
    <mergeCell ref="AJ38:AL38"/>
    <mergeCell ref="AG96:AI96"/>
    <mergeCell ref="AG97:AI97"/>
    <mergeCell ref="AG100:AI100"/>
    <mergeCell ref="AG101:AI101"/>
    <mergeCell ref="AG102:AI102"/>
    <mergeCell ref="AG88:AI88"/>
    <mergeCell ref="AG90:AI90"/>
    <mergeCell ref="AG91:AI91"/>
    <mergeCell ref="AJ47:AL47"/>
    <mergeCell ref="AJ48:AL48"/>
    <mergeCell ref="AJ49:AL49"/>
    <mergeCell ref="AJ52:AL52"/>
    <mergeCell ref="AJ53:AL53"/>
    <mergeCell ref="AJ39:AL39"/>
    <mergeCell ref="AJ40:AL40"/>
    <mergeCell ref="AJ42:AL42"/>
    <mergeCell ref="AJ43:AL43"/>
    <mergeCell ref="AJ44:AL44"/>
    <mergeCell ref="AJ64:AL64"/>
    <mergeCell ref="AJ68:AL68"/>
    <mergeCell ref="AJ69:AL69"/>
    <mergeCell ref="AJ70:AL70"/>
    <mergeCell ref="AJ71:AL71"/>
    <mergeCell ref="AJ54:AL54"/>
    <mergeCell ref="AJ57:AL57"/>
    <mergeCell ref="AJ58:AL58"/>
    <mergeCell ref="AJ59:AL59"/>
    <mergeCell ref="AJ60:AL60"/>
    <mergeCell ref="AJ95:AL95"/>
    <mergeCell ref="AJ96:AL96"/>
    <mergeCell ref="AJ81:AL81"/>
    <mergeCell ref="AJ83:AL83"/>
    <mergeCell ref="AJ86:AL86"/>
    <mergeCell ref="AJ87:AL87"/>
    <mergeCell ref="AJ88:AL88"/>
    <mergeCell ref="AJ72:AL72"/>
    <mergeCell ref="AJ76:AL76"/>
    <mergeCell ref="AJ77:AL77"/>
    <mergeCell ref="AJ78:AL78"/>
    <mergeCell ref="AJ79:AL79"/>
    <mergeCell ref="AJ106:AL106"/>
    <mergeCell ref="AJ107:AL107"/>
    <mergeCell ref="AJ108:AL108"/>
    <mergeCell ref="AM18:AO18"/>
    <mergeCell ref="AM19:AO19"/>
    <mergeCell ref="AM20:AO20"/>
    <mergeCell ref="AM21:AO21"/>
    <mergeCell ref="AM22:AO22"/>
    <mergeCell ref="AM28:AO28"/>
    <mergeCell ref="AM29:AO29"/>
    <mergeCell ref="AM30:AO30"/>
    <mergeCell ref="AM31:AO31"/>
    <mergeCell ref="AM33:AO33"/>
    <mergeCell ref="AM35:AO35"/>
    <mergeCell ref="AM38:AO38"/>
    <mergeCell ref="AM39:AO39"/>
    <mergeCell ref="AJ97:AL97"/>
    <mergeCell ref="AJ100:AL100"/>
    <mergeCell ref="AJ101:AL101"/>
    <mergeCell ref="AJ102:AL102"/>
    <mergeCell ref="AJ105:AL105"/>
    <mergeCell ref="AJ90:AL90"/>
    <mergeCell ref="AJ91:AL91"/>
    <mergeCell ref="AJ92:AL92"/>
    <mergeCell ref="AM48:AO48"/>
    <mergeCell ref="AM49:AO49"/>
    <mergeCell ref="AM52:AO52"/>
    <mergeCell ref="AM53:AO53"/>
    <mergeCell ref="AM54:AO54"/>
    <mergeCell ref="AM40:AO40"/>
    <mergeCell ref="AM42:AO42"/>
    <mergeCell ref="AM43:AO43"/>
    <mergeCell ref="AM44:AO44"/>
    <mergeCell ref="AM47:AO47"/>
    <mergeCell ref="AM68:AO68"/>
    <mergeCell ref="AM69:AO69"/>
    <mergeCell ref="AM70:AO70"/>
    <mergeCell ref="AM71:AO71"/>
    <mergeCell ref="AM72:AO72"/>
    <mergeCell ref="AM57:AO57"/>
    <mergeCell ref="AM58:AO58"/>
    <mergeCell ref="AM59:AO59"/>
    <mergeCell ref="AM60:AO60"/>
    <mergeCell ref="AM64:AO64"/>
    <mergeCell ref="AM96:AO96"/>
    <mergeCell ref="AM97:AO97"/>
    <mergeCell ref="AM83:AO83"/>
    <mergeCell ref="AM86:AO86"/>
    <mergeCell ref="AM87:AO87"/>
    <mergeCell ref="AM88:AO88"/>
    <mergeCell ref="AM90:AO90"/>
    <mergeCell ref="AM76:AO76"/>
    <mergeCell ref="AM77:AO77"/>
    <mergeCell ref="AM78:AO78"/>
    <mergeCell ref="AM79:AO79"/>
    <mergeCell ref="AM81:AO81"/>
    <mergeCell ref="AM107:AO107"/>
    <mergeCell ref="AM108:AO108"/>
    <mergeCell ref="AP18:AR18"/>
    <mergeCell ref="AP19:AR19"/>
    <mergeCell ref="AP20:AR20"/>
    <mergeCell ref="AP21:AR21"/>
    <mergeCell ref="AP22:AR22"/>
    <mergeCell ref="AP28:AR28"/>
    <mergeCell ref="AP29:AR29"/>
    <mergeCell ref="AP30:AR30"/>
    <mergeCell ref="AP31:AR31"/>
    <mergeCell ref="AP33:AR33"/>
    <mergeCell ref="AP35:AR35"/>
    <mergeCell ref="AP38:AR38"/>
    <mergeCell ref="AP39:AR39"/>
    <mergeCell ref="AP40:AR40"/>
    <mergeCell ref="AM100:AO100"/>
    <mergeCell ref="AM101:AO101"/>
    <mergeCell ref="AM102:AO102"/>
    <mergeCell ref="AM105:AO105"/>
    <mergeCell ref="AM106:AO106"/>
    <mergeCell ref="AM91:AO91"/>
    <mergeCell ref="AM92:AO92"/>
    <mergeCell ref="AM95:AO95"/>
    <mergeCell ref="AP49:AR49"/>
    <mergeCell ref="AP52:AR52"/>
    <mergeCell ref="AP53:AR53"/>
    <mergeCell ref="AP54:AR54"/>
    <mergeCell ref="AP57:AR57"/>
    <mergeCell ref="AP42:AR42"/>
    <mergeCell ref="AP43:AR43"/>
    <mergeCell ref="AP44:AR44"/>
    <mergeCell ref="AP47:AR47"/>
    <mergeCell ref="AP48:AR48"/>
    <mergeCell ref="AP69:AR69"/>
    <mergeCell ref="AP70:AR70"/>
    <mergeCell ref="AP71:AR71"/>
    <mergeCell ref="AP72:AR72"/>
    <mergeCell ref="AP76:AR76"/>
    <mergeCell ref="AP58:AR58"/>
    <mergeCell ref="AP59:AR59"/>
    <mergeCell ref="AP60:AR60"/>
    <mergeCell ref="AP64:AR64"/>
    <mergeCell ref="AP68:AR68"/>
    <mergeCell ref="AP97:AR97"/>
    <mergeCell ref="AP100:AR100"/>
    <mergeCell ref="AP86:AR86"/>
    <mergeCell ref="AP87:AR87"/>
    <mergeCell ref="AP88:AR88"/>
    <mergeCell ref="AP90:AR90"/>
    <mergeCell ref="AP91:AR91"/>
    <mergeCell ref="AP77:AR77"/>
    <mergeCell ref="AP78:AR78"/>
    <mergeCell ref="AP79:AR79"/>
    <mergeCell ref="AP81:AR81"/>
    <mergeCell ref="AP83:AR83"/>
    <mergeCell ref="AP108:AR108"/>
    <mergeCell ref="AS18:AU18"/>
    <mergeCell ref="AS19:AU19"/>
    <mergeCell ref="AS20:AU20"/>
    <mergeCell ref="AS21:AU21"/>
    <mergeCell ref="AS22:AU22"/>
    <mergeCell ref="AS28:AU28"/>
    <mergeCell ref="AS29:AU29"/>
    <mergeCell ref="AS30:AU30"/>
    <mergeCell ref="AS31:AU31"/>
    <mergeCell ref="AS33:AU33"/>
    <mergeCell ref="AS35:AU35"/>
    <mergeCell ref="AS38:AU38"/>
    <mergeCell ref="AS39:AU39"/>
    <mergeCell ref="AS40:AU40"/>
    <mergeCell ref="AS42:AU42"/>
    <mergeCell ref="AP101:AR101"/>
    <mergeCell ref="AP102:AR102"/>
    <mergeCell ref="AP105:AR105"/>
    <mergeCell ref="AP106:AR106"/>
    <mergeCell ref="AP107:AR107"/>
    <mergeCell ref="AP92:AR92"/>
    <mergeCell ref="AP95:AR95"/>
    <mergeCell ref="AP96:AR96"/>
    <mergeCell ref="AS52:AU52"/>
    <mergeCell ref="AS53:AU53"/>
    <mergeCell ref="AS54:AU54"/>
    <mergeCell ref="AS57:AU57"/>
    <mergeCell ref="AS58:AU58"/>
    <mergeCell ref="AS43:AU43"/>
    <mergeCell ref="AS44:AU44"/>
    <mergeCell ref="AS47:AU47"/>
    <mergeCell ref="AS48:AU48"/>
    <mergeCell ref="AS49:AU49"/>
    <mergeCell ref="AS108:AU108"/>
    <mergeCell ref="AS95:AU95"/>
    <mergeCell ref="AS96:AU96"/>
    <mergeCell ref="AS97:AU97"/>
    <mergeCell ref="AS100:AU100"/>
    <mergeCell ref="AS101:AU101"/>
    <mergeCell ref="AS87:AU87"/>
    <mergeCell ref="AS88:AU88"/>
    <mergeCell ref="AS90:AU90"/>
    <mergeCell ref="AS91:AU91"/>
    <mergeCell ref="AS92:AU92"/>
    <mergeCell ref="AV19:AX19"/>
    <mergeCell ref="AV20:AX20"/>
    <mergeCell ref="AV21:AX21"/>
    <mergeCell ref="AV22:AX22"/>
    <mergeCell ref="AV28:AX28"/>
    <mergeCell ref="AS102:AU102"/>
    <mergeCell ref="AS105:AU105"/>
    <mergeCell ref="AS106:AU106"/>
    <mergeCell ref="AS107:AU107"/>
    <mergeCell ref="AS78:AU78"/>
    <mergeCell ref="AS79:AU79"/>
    <mergeCell ref="AS81:AU81"/>
    <mergeCell ref="AS83:AU83"/>
    <mergeCell ref="AS86:AU86"/>
    <mergeCell ref="AS70:AU70"/>
    <mergeCell ref="AS71:AU71"/>
    <mergeCell ref="AS72:AU72"/>
    <mergeCell ref="AS76:AU76"/>
    <mergeCell ref="AS77:AU77"/>
    <mergeCell ref="AS59:AU59"/>
    <mergeCell ref="AS60:AU60"/>
    <mergeCell ref="AS64:AU64"/>
    <mergeCell ref="AS68:AU68"/>
    <mergeCell ref="AS69:AU69"/>
    <mergeCell ref="AV60:AX60"/>
    <mergeCell ref="AV38:AX38"/>
    <mergeCell ref="AV39:AX39"/>
    <mergeCell ref="AV40:AX40"/>
    <mergeCell ref="AV42:AX42"/>
    <mergeCell ref="AV43:AX43"/>
    <mergeCell ref="AV29:AX29"/>
    <mergeCell ref="AV30:AX30"/>
    <mergeCell ref="AV31:AX31"/>
    <mergeCell ref="AV33:AX33"/>
    <mergeCell ref="AV35:AX35"/>
    <mergeCell ref="AV79:AX79"/>
    <mergeCell ref="AV81:AX81"/>
    <mergeCell ref="AV83:AX83"/>
    <mergeCell ref="AV86:AX86"/>
    <mergeCell ref="AV87:AX87"/>
    <mergeCell ref="AV71:AX71"/>
    <mergeCell ref="AV72:AX72"/>
    <mergeCell ref="AV76:AX76"/>
    <mergeCell ref="AV77:AX77"/>
    <mergeCell ref="AV78:AX78"/>
    <mergeCell ref="AV96:AX96"/>
    <mergeCell ref="AV97:AX97"/>
    <mergeCell ref="AV100:AX100"/>
    <mergeCell ref="AV101:AX101"/>
    <mergeCell ref="AV102:AX102"/>
    <mergeCell ref="AV88:AX88"/>
    <mergeCell ref="AV90:AX90"/>
    <mergeCell ref="AV91:AX91"/>
    <mergeCell ref="AV92:AX92"/>
    <mergeCell ref="AV95:AX95"/>
    <mergeCell ref="AY19:BA19"/>
    <mergeCell ref="AY20:BA20"/>
    <mergeCell ref="AY21:BA21"/>
    <mergeCell ref="AY22:BA22"/>
    <mergeCell ref="AY28:BA28"/>
    <mergeCell ref="AY29:BA29"/>
    <mergeCell ref="AY30:BA30"/>
    <mergeCell ref="AY31:BA31"/>
    <mergeCell ref="AY39:BA39"/>
    <mergeCell ref="AY33:BA33"/>
    <mergeCell ref="AY35:BA35"/>
    <mergeCell ref="AY38:BA38"/>
    <mergeCell ref="AY40:BA40"/>
    <mergeCell ref="AY42:BA42"/>
    <mergeCell ref="AY43:BA43"/>
    <mergeCell ref="AY44:BA44"/>
    <mergeCell ref="AV105:AX105"/>
    <mergeCell ref="AV106:AX106"/>
    <mergeCell ref="AV107:AX107"/>
    <mergeCell ref="AV108:AX108"/>
    <mergeCell ref="AV64:AX64"/>
    <mergeCell ref="AV68:AX68"/>
    <mergeCell ref="AV69:AX69"/>
    <mergeCell ref="AV70:AX70"/>
    <mergeCell ref="AV53:AX53"/>
    <mergeCell ref="AV54:AX54"/>
    <mergeCell ref="AV57:AX57"/>
    <mergeCell ref="AV58:AX58"/>
    <mergeCell ref="AV59:AX59"/>
    <mergeCell ref="AV44:AX44"/>
    <mergeCell ref="AV47:AX47"/>
    <mergeCell ref="AV48:AX48"/>
    <mergeCell ref="AV49:AX49"/>
    <mergeCell ref="AV52:AX52"/>
    <mergeCell ref="AY54:BA54"/>
    <mergeCell ref="AY57:BA57"/>
    <mergeCell ref="AY58:BA58"/>
    <mergeCell ref="AY59:BA59"/>
    <mergeCell ref="AY60:BA60"/>
    <mergeCell ref="AY47:BA47"/>
    <mergeCell ref="AY48:BA48"/>
    <mergeCell ref="AY49:BA49"/>
    <mergeCell ref="AY52:BA52"/>
    <mergeCell ref="AY53:BA53"/>
    <mergeCell ref="AY72:BA72"/>
    <mergeCell ref="AY76:BA76"/>
    <mergeCell ref="AY77:BA77"/>
    <mergeCell ref="AY78:BA78"/>
    <mergeCell ref="AY79:BA79"/>
    <mergeCell ref="AY64:BA64"/>
    <mergeCell ref="AY68:BA68"/>
    <mergeCell ref="AY69:BA69"/>
    <mergeCell ref="AY70:BA70"/>
    <mergeCell ref="AY71:BA71"/>
    <mergeCell ref="AY102:BA102"/>
    <mergeCell ref="AY105:BA105"/>
    <mergeCell ref="AY90:BA90"/>
    <mergeCell ref="AY91:BA91"/>
    <mergeCell ref="AY92:BA92"/>
    <mergeCell ref="AY95:BA95"/>
    <mergeCell ref="AY96:BA96"/>
    <mergeCell ref="AY81:BA81"/>
    <mergeCell ref="AY83:BA83"/>
    <mergeCell ref="AY86:BA86"/>
    <mergeCell ref="AY87:BA87"/>
    <mergeCell ref="AY88:BA88"/>
    <mergeCell ref="BB40:BD40"/>
    <mergeCell ref="BB42:BD42"/>
    <mergeCell ref="BB43:BD43"/>
    <mergeCell ref="BB44:BD44"/>
    <mergeCell ref="BB47:BD47"/>
    <mergeCell ref="AY106:BA106"/>
    <mergeCell ref="AY107:BA107"/>
    <mergeCell ref="AY108:BA108"/>
    <mergeCell ref="BB18:BD18"/>
    <mergeCell ref="BB19:BD19"/>
    <mergeCell ref="BB20:BD20"/>
    <mergeCell ref="BB21:BD21"/>
    <mergeCell ref="BB22:BD22"/>
    <mergeCell ref="BB28:BD28"/>
    <mergeCell ref="BB29:BD29"/>
    <mergeCell ref="BB30:BD30"/>
    <mergeCell ref="BB31:BD31"/>
    <mergeCell ref="BB33:BD33"/>
    <mergeCell ref="BB35:BD35"/>
    <mergeCell ref="BB38:BD38"/>
    <mergeCell ref="BB39:BD39"/>
    <mergeCell ref="AY97:BA97"/>
    <mergeCell ref="AY100:BA100"/>
    <mergeCell ref="AY101:BA101"/>
    <mergeCell ref="BB57:BD57"/>
    <mergeCell ref="BB58:BD58"/>
    <mergeCell ref="BB59:BD59"/>
    <mergeCell ref="BB60:BD60"/>
    <mergeCell ref="BB64:BD64"/>
    <mergeCell ref="BB48:BD48"/>
    <mergeCell ref="BB49:BD49"/>
    <mergeCell ref="BB52:BD52"/>
    <mergeCell ref="BB53:BD53"/>
    <mergeCell ref="BB54:BD54"/>
    <mergeCell ref="BB76:BD76"/>
    <mergeCell ref="BB77:BD77"/>
    <mergeCell ref="BB78:BD78"/>
    <mergeCell ref="BB79:BD79"/>
    <mergeCell ref="BB81:BD81"/>
    <mergeCell ref="BB68:BD68"/>
    <mergeCell ref="BB69:BD69"/>
    <mergeCell ref="BB70:BD70"/>
    <mergeCell ref="BB71:BD71"/>
    <mergeCell ref="BB72:BD72"/>
    <mergeCell ref="BB105:BD105"/>
    <mergeCell ref="BB106:BD106"/>
    <mergeCell ref="BB91:BD91"/>
    <mergeCell ref="BB92:BD92"/>
    <mergeCell ref="BB95:BD95"/>
    <mergeCell ref="BB96:BD96"/>
    <mergeCell ref="BB97:BD97"/>
    <mergeCell ref="BB83:BD83"/>
    <mergeCell ref="BB86:BD86"/>
    <mergeCell ref="BB87:BD87"/>
    <mergeCell ref="BB88:BD88"/>
    <mergeCell ref="BB90:BD90"/>
    <mergeCell ref="BE42:BG42"/>
    <mergeCell ref="BE43:BG43"/>
    <mergeCell ref="BE44:BG44"/>
    <mergeCell ref="BE47:BG47"/>
    <mergeCell ref="BE48:BG48"/>
    <mergeCell ref="BB107:BD107"/>
    <mergeCell ref="BB108:BD108"/>
    <mergeCell ref="BE18:BG18"/>
    <mergeCell ref="BE19:BG19"/>
    <mergeCell ref="BE20:BG20"/>
    <mergeCell ref="BE21:BG21"/>
    <mergeCell ref="BE22:BG22"/>
    <mergeCell ref="BE28:BG28"/>
    <mergeCell ref="BE29:BG29"/>
    <mergeCell ref="BE30:BG30"/>
    <mergeCell ref="BE31:BG31"/>
    <mergeCell ref="BE33:BG33"/>
    <mergeCell ref="BE35:BG35"/>
    <mergeCell ref="BE38:BG38"/>
    <mergeCell ref="BE39:BG39"/>
    <mergeCell ref="BE40:BG40"/>
    <mergeCell ref="BB100:BD100"/>
    <mergeCell ref="BB101:BD101"/>
    <mergeCell ref="BB102:BD102"/>
    <mergeCell ref="BE58:BG58"/>
    <mergeCell ref="BE59:BG59"/>
    <mergeCell ref="BE60:BG60"/>
    <mergeCell ref="BE64:BG64"/>
    <mergeCell ref="BE68:BG68"/>
    <mergeCell ref="BE49:BG49"/>
    <mergeCell ref="BE52:BG52"/>
    <mergeCell ref="BE53:BG53"/>
    <mergeCell ref="BE54:BG54"/>
    <mergeCell ref="BE57:BG57"/>
    <mergeCell ref="BE77:BG77"/>
    <mergeCell ref="BE78:BG78"/>
    <mergeCell ref="BE79:BG79"/>
    <mergeCell ref="BE81:BG81"/>
    <mergeCell ref="BE83:BG83"/>
    <mergeCell ref="BE69:BG69"/>
    <mergeCell ref="BE70:BG70"/>
    <mergeCell ref="BE71:BG71"/>
    <mergeCell ref="BE72:BG72"/>
    <mergeCell ref="BE76:BG76"/>
    <mergeCell ref="BE105:BG105"/>
    <mergeCell ref="BE106:BG106"/>
    <mergeCell ref="BE107:BG107"/>
    <mergeCell ref="BE92:BG92"/>
    <mergeCell ref="BE95:BG95"/>
    <mergeCell ref="BE96:BG96"/>
    <mergeCell ref="BE97:BG97"/>
    <mergeCell ref="BE100:BG100"/>
    <mergeCell ref="BE86:BG86"/>
    <mergeCell ref="BE87:BG87"/>
    <mergeCell ref="BE88:BG88"/>
    <mergeCell ref="BE90:BG90"/>
    <mergeCell ref="BE91:BG91"/>
    <mergeCell ref="AH4:AK4"/>
    <mergeCell ref="BA11:BD11"/>
    <mergeCell ref="BA12:BD12"/>
    <mergeCell ref="BA9:BD9"/>
    <mergeCell ref="BA8:BD8"/>
    <mergeCell ref="J26:M26"/>
    <mergeCell ref="BE108:BG108"/>
    <mergeCell ref="F4:I4"/>
    <mergeCell ref="J4:M4"/>
    <mergeCell ref="N4:Q4"/>
    <mergeCell ref="R4:U4"/>
    <mergeCell ref="V4:Y4"/>
    <mergeCell ref="Z4:AC4"/>
    <mergeCell ref="AD4:AG4"/>
    <mergeCell ref="P11:T11"/>
    <mergeCell ref="P12:T12"/>
    <mergeCell ref="AB11:AF11"/>
    <mergeCell ref="AB12:AF12"/>
    <mergeCell ref="AO9:AR9"/>
    <mergeCell ref="AO8:AR8"/>
    <mergeCell ref="AO11:AR11"/>
    <mergeCell ref="AO12:AR12"/>
    <mergeCell ref="BE101:BG101"/>
    <mergeCell ref="BE102:BG102"/>
  </mergeCells>
  <hyperlinks>
    <hyperlink ref="F4:I4" location="'SUMMARY (R)'!A1" display="Summary" xr:uid="{AB96ED8E-A5CB-4D3A-ACEC-92AD9C003DAC}"/>
    <hyperlink ref="J4:M4" location="'MONTHLY (R)'!A1" display="Monthly" xr:uid="{9AA7866E-E39E-48D6-A0F9-3B5FD832EF9B}"/>
    <hyperlink ref="N4:Q4" location="'YTD (R)'!A1" display="Year To Date" xr:uid="{345FF9BF-871D-4BBA-BE7F-C6B36CE61A1A}"/>
    <hyperlink ref="R4:U4" location="'VERSUS (R)'!A1" display="Versus" xr:uid="{CE1588F8-CE25-42FA-82FC-1D880AD1ECDB}"/>
    <hyperlink ref="V4:Y4" location="'AMORTIZATION (R)'!A1" display="Amortization" xr:uid="{76028263-D1F8-48B4-80FC-3D8DE18EFC39}"/>
    <hyperlink ref="Z4:AC4" location="'FINANCING (R)'!A1" display="Financing" xr:uid="{0D71E31A-B60C-43E8-8AC7-E80A8E908EF2}"/>
    <hyperlink ref="AD4:AG4" location="'EXPENSES (R)'!A1" display="Expenses" xr:uid="{DA0FE4A3-AAAA-47AB-B84E-4452ED01DB02}"/>
    <hyperlink ref="AH4:AK4" location="'FORECASTS (R)'!A1" display="Forecasts" xr:uid="{359CDEA4-8002-4816-A49F-8A32E338F84D}"/>
  </hyperlinks>
  <pageMargins left="0.25" right="0.25" top="0.75" bottom="0.75" header="0.3" footer="0.3"/>
  <pageSetup scale="59" fitToHeight="0" orientation="portrait" r:id="rId1"/>
  <rowBreaks count="1" manualBreakCount="1">
    <brk id="73" max="59"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0B1D7-D3AC-4254-A6EC-55D92DBFC5D4}">
  <sheetPr codeName="Sheet13" filterMode="1">
    <tabColor theme="7" tint="0.79998168889431442"/>
    <pageSetUpPr autoPageBreaks="0" fitToPage="1"/>
  </sheetPr>
  <dimension ref="A1:GK119"/>
  <sheetViews>
    <sheetView showGridLines="0" showRowColHeaders="0" zoomScaleNormal="100" zoomScaleSheetLayoutView="100" workbookViewId="0">
      <pane ySplit="3" topLeftCell="A4" activePane="bottomLeft" state="frozen"/>
      <selection pane="bottomLeft" activeCell="A4" sqref="A4"/>
    </sheetView>
  </sheetViews>
  <sheetFormatPr defaultColWidth="9.109375" defaultRowHeight="15" customHeight="1" x14ac:dyDescent="0.25"/>
  <cols>
    <col min="1" max="1" width="2.88671875" style="353" customWidth="1"/>
    <col min="2" max="44" width="2.88671875" style="331" customWidth="1"/>
    <col min="45" max="56" width="2.88671875" style="353" customWidth="1"/>
    <col min="57" max="57" width="2.88671875" style="1660" customWidth="1"/>
    <col min="58" max="61" width="9.109375" style="331" customWidth="1"/>
    <col min="62" max="62" width="15" style="331" customWidth="1"/>
    <col min="63" max="64" width="9.109375" style="331" customWidth="1"/>
    <col min="65" max="65" width="14" style="331" customWidth="1"/>
    <col min="66" max="16384" width="9.109375" style="331"/>
  </cols>
  <sheetData>
    <row r="1" spans="1:193" s="1244" customFormat="1" ht="30" customHeight="1" x14ac:dyDescent="0.25">
      <c r="A1" s="1685" t="s">
        <v>1068</v>
      </c>
      <c r="BE1" s="1378"/>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row>
    <row r="2" spans="1:193" s="1244" customFormat="1" ht="30" customHeight="1" x14ac:dyDescent="0.25">
      <c r="A2" s="1685"/>
      <c r="BE2" s="1378"/>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row>
    <row r="3" spans="1:193" s="673" customFormat="1" ht="18.75" customHeight="1" x14ac:dyDescent="0.3">
      <c r="B3" s="1377" t="s">
        <v>1006</v>
      </c>
      <c r="C3" s="1357"/>
      <c r="D3" s="1357"/>
      <c r="E3" s="1357"/>
      <c r="F3" s="2602" t="s">
        <v>1007</v>
      </c>
      <c r="G3" s="2603"/>
      <c r="H3" s="2603"/>
      <c r="I3" s="2604"/>
      <c r="J3" s="2839" t="s">
        <v>10</v>
      </c>
      <c r="K3" s="2603"/>
      <c r="L3" s="2603"/>
      <c r="M3" s="2604"/>
      <c r="N3" s="2839" t="s">
        <v>1094</v>
      </c>
      <c r="O3" s="2603"/>
      <c r="P3" s="2603"/>
      <c r="Q3" s="2604"/>
      <c r="R3" s="2839" t="s">
        <v>1063</v>
      </c>
      <c r="S3" s="2603"/>
      <c r="T3" s="2603"/>
      <c r="U3" s="2604"/>
      <c r="V3" s="2839" t="s">
        <v>1008</v>
      </c>
      <c r="W3" s="2603"/>
      <c r="X3" s="2603"/>
      <c r="Y3" s="2604"/>
      <c r="Z3" s="2839" t="s">
        <v>172</v>
      </c>
      <c r="AA3" s="2603"/>
      <c r="AB3" s="2603"/>
      <c r="AC3" s="2604"/>
      <c r="AD3" s="2840" t="s">
        <v>1009</v>
      </c>
      <c r="AE3" s="2606"/>
      <c r="AF3" s="2606"/>
      <c r="AG3" s="2607"/>
      <c r="AH3" s="2839" t="s">
        <v>1005</v>
      </c>
      <c r="AI3" s="2603"/>
      <c r="AJ3" s="2603"/>
      <c r="AK3" s="2604"/>
      <c r="AL3" s="1357"/>
      <c r="AM3" s="1357"/>
      <c r="AN3" s="1357"/>
      <c r="AO3" s="1357"/>
      <c r="AP3" s="1357"/>
      <c r="AQ3" s="1357"/>
      <c r="AR3" s="1357"/>
      <c r="AS3" s="1357"/>
      <c r="AT3" s="1357"/>
      <c r="AU3" s="1357"/>
      <c r="AV3" s="1357"/>
      <c r="AW3" s="1357"/>
      <c r="AX3" s="1357"/>
      <c r="AY3" s="1357"/>
      <c r="AZ3" s="1876"/>
      <c r="BA3" s="1876"/>
      <c r="BB3" s="1876"/>
      <c r="BC3" s="1876"/>
      <c r="BD3" s="1876"/>
      <c r="BE3" s="1876"/>
      <c r="BF3" s="1876"/>
      <c r="BG3" s="1876"/>
      <c r="BH3" s="1876"/>
      <c r="BI3" s="1876"/>
      <c r="BJ3" s="1876"/>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c r="GJ3" s="331"/>
      <c r="GK3" s="331"/>
    </row>
    <row r="4" spans="1:193" ht="13.8" x14ac:dyDescent="0.25">
      <c r="A4" s="1867"/>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377"/>
      <c r="AT4" s="377"/>
      <c r="AU4" s="377"/>
      <c r="AV4" s="377"/>
      <c r="AW4" s="377"/>
      <c r="AX4" s="377"/>
      <c r="AY4" s="377"/>
      <c r="AZ4" s="377"/>
      <c r="BA4" s="377"/>
      <c r="BB4" s="377"/>
      <c r="BC4" s="377"/>
      <c r="BD4" s="377"/>
      <c r="BE4" s="1659"/>
    </row>
    <row r="5" spans="1:193" ht="14.4" thickBot="1" x14ac:dyDescent="0.3">
      <c r="A5" s="156"/>
      <c r="B5" s="1237" t="s">
        <v>378</v>
      </c>
      <c r="C5" s="1358"/>
      <c r="D5" s="1358"/>
      <c r="E5" s="1358"/>
      <c r="F5" s="1358"/>
      <c r="G5" s="1358"/>
      <c r="H5" s="1358"/>
      <c r="I5" s="1359"/>
      <c r="J5" s="1359"/>
      <c r="K5" s="1359"/>
      <c r="L5" s="1358"/>
      <c r="M5" s="1358"/>
      <c r="N5" s="1358"/>
      <c r="O5" s="1359"/>
      <c r="P5" s="1359"/>
      <c r="Q5" s="1359"/>
      <c r="R5" s="1180"/>
      <c r="S5" s="1180"/>
      <c r="T5" s="1180"/>
      <c r="U5" s="1180"/>
      <c r="V5" s="1180"/>
      <c r="W5" s="1180"/>
      <c r="X5" s="1180"/>
      <c r="Y5" s="1180"/>
      <c r="Z5" s="1180"/>
      <c r="AA5" s="1180"/>
      <c r="AB5" s="1180"/>
      <c r="AC5" s="1180"/>
      <c r="AD5" s="1180"/>
      <c r="AE5" s="1180"/>
      <c r="AF5" s="1180"/>
      <c r="AG5" s="1180"/>
      <c r="AH5" s="1180"/>
      <c r="AI5" s="1180"/>
      <c r="AJ5" s="1180"/>
      <c r="AK5" s="1180"/>
      <c r="AL5" s="1180"/>
      <c r="AM5" s="1180"/>
      <c r="AN5" s="1180"/>
      <c r="AO5" s="1180"/>
      <c r="AP5" s="1180"/>
      <c r="AQ5" s="1180"/>
      <c r="AR5" s="1180"/>
      <c r="AS5" s="1180"/>
      <c r="AT5" s="1180"/>
      <c r="AU5" s="1180"/>
      <c r="AV5" s="1180"/>
      <c r="AW5" s="1180"/>
      <c r="AX5" s="1180"/>
      <c r="AY5" s="1180" t="s">
        <v>96</v>
      </c>
      <c r="AZ5" s="1180"/>
      <c r="BA5" s="2650">
        <f ca="1">TODAY()</f>
        <v>45920</v>
      </c>
      <c r="BB5" s="2650"/>
      <c r="BC5" s="2650"/>
      <c r="BD5" s="2650"/>
      <c r="BE5" s="1188"/>
    </row>
    <row r="6" spans="1:193" ht="14.25" customHeight="1" thickTop="1" x14ac:dyDescent="0.25">
      <c r="A6" s="377"/>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377"/>
      <c r="AT6" s="377"/>
      <c r="AU6" s="377"/>
      <c r="AV6" s="377"/>
      <c r="AW6" s="377"/>
      <c r="AX6" s="377"/>
      <c r="AY6" s="377"/>
      <c r="AZ6" s="377"/>
      <c r="BA6" s="377"/>
      <c r="BB6" s="377"/>
      <c r="BC6" s="377"/>
      <c r="BD6" s="377"/>
      <c r="BE6" s="1659"/>
    </row>
    <row r="7" spans="1:193" ht="16.5" customHeight="1" x14ac:dyDescent="0.25">
      <c r="A7" s="377"/>
      <c r="B7" s="2826" t="s">
        <v>185</v>
      </c>
      <c r="C7" s="2827"/>
      <c r="D7" s="2827"/>
      <c r="E7" s="2827"/>
      <c r="F7" s="2827"/>
      <c r="G7" s="157"/>
      <c r="H7" s="157"/>
      <c r="I7" s="180" t="str">
        <f>DASHBOARD!C12</f>
        <v>Project Name :</v>
      </c>
      <c r="J7" s="180"/>
      <c r="K7" s="180"/>
      <c r="L7" s="1652"/>
      <c r="M7" s="1652"/>
      <c r="N7" s="2804" t="str">
        <f>DASHBOARD!K12</f>
        <v>WinsWithMike.com</v>
      </c>
      <c r="O7" s="2804"/>
      <c r="P7" s="2804"/>
      <c r="Q7" s="2804"/>
      <c r="R7" s="2804"/>
      <c r="S7" s="2804"/>
      <c r="T7" s="1652"/>
      <c r="U7" s="180" t="s">
        <v>207</v>
      </c>
      <c r="V7" s="180"/>
      <c r="W7" s="180"/>
      <c r="X7" s="1652"/>
      <c r="Y7" s="2837" t="str">
        <f>DASHBOARD!K14</f>
        <v>Nampa</v>
      </c>
      <c r="Z7" s="2837"/>
      <c r="AA7" s="2837"/>
      <c r="AB7" s="2837"/>
      <c r="AC7" s="2837"/>
      <c r="AD7" s="2837"/>
      <c r="AE7" s="1652"/>
      <c r="AF7" s="1652"/>
      <c r="AG7" s="180" t="str">
        <f>DASHBOARD!C19</f>
        <v>Property Type :</v>
      </c>
      <c r="AH7" s="180"/>
      <c r="AI7" s="180"/>
      <c r="AJ7" s="1652"/>
      <c r="AK7" s="1652"/>
      <c r="AL7" s="2808" t="str">
        <f>DASHBOARD!K19</f>
        <v>Single Family</v>
      </c>
      <c r="AM7" s="2808"/>
      <c r="AN7" s="2808"/>
      <c r="AO7" s="2808"/>
      <c r="AP7" s="2808"/>
      <c r="AQ7" s="1652"/>
      <c r="AR7" s="1652"/>
      <c r="AS7" s="180" t="s">
        <v>187</v>
      </c>
      <c r="AT7" s="180"/>
      <c r="AU7" s="180"/>
      <c r="AV7" s="1652"/>
      <c r="AW7" s="1652"/>
      <c r="AX7" s="2804" t="str">
        <f>DASHBOARD!K21&amp;" / "&amp;DASHBOARD!K22</f>
        <v>3 / 3</v>
      </c>
      <c r="AY7" s="2804"/>
      <c r="AZ7" s="2804"/>
      <c r="BA7" s="2804"/>
      <c r="BB7" s="2804"/>
      <c r="BC7" s="1652"/>
      <c r="BD7" s="1653"/>
      <c r="BE7" s="1659"/>
    </row>
    <row r="8" spans="1:193" ht="16.5" customHeight="1" x14ac:dyDescent="0.25">
      <c r="A8" s="377"/>
      <c r="B8" s="2828" t="s">
        <v>186</v>
      </c>
      <c r="C8" s="2829"/>
      <c r="D8" s="2829"/>
      <c r="E8" s="2829"/>
      <c r="F8" s="2829"/>
      <c r="G8" s="158"/>
      <c r="H8" s="158"/>
      <c r="I8" s="183" t="s">
        <v>208</v>
      </c>
      <c r="J8" s="183"/>
      <c r="K8" s="183"/>
      <c r="L8" s="1654"/>
      <c r="M8" s="1654"/>
      <c r="N8" s="2835">
        <f>DASHBOARD!K13</f>
        <v>0</v>
      </c>
      <c r="O8" s="2835"/>
      <c r="P8" s="2835"/>
      <c r="Q8" s="2835"/>
      <c r="R8" s="2835"/>
      <c r="S8" s="2835"/>
      <c r="T8" s="1654"/>
      <c r="U8" s="183" t="s">
        <v>206</v>
      </c>
      <c r="V8" s="183"/>
      <c r="W8" s="183"/>
      <c r="X8" s="1654"/>
      <c r="Y8" s="2836" t="str">
        <f>DASHBOARD!K15&amp;" - "&amp;DASHBOARD!K16</f>
        <v xml:space="preserve">Idaho - </v>
      </c>
      <c r="Z8" s="2836"/>
      <c r="AA8" s="2836"/>
      <c r="AB8" s="2836"/>
      <c r="AC8" s="2836"/>
      <c r="AD8" s="2836"/>
      <c r="AE8" s="1654"/>
      <c r="AF8" s="1654"/>
      <c r="AG8" s="183" t="str">
        <f>DASHBOARD!C20</f>
        <v>Square Footage :</v>
      </c>
      <c r="AH8" s="183"/>
      <c r="AI8" s="183"/>
      <c r="AJ8" s="1654"/>
      <c r="AK8" s="1654"/>
      <c r="AL8" s="2807">
        <f>DASHBOARD!K20</f>
        <v>1420</v>
      </c>
      <c r="AM8" s="2807"/>
      <c r="AN8" s="2807"/>
      <c r="AO8" s="2807"/>
      <c r="AP8" s="2807"/>
      <c r="AQ8" s="1654"/>
      <c r="AR8" s="1654"/>
      <c r="AS8" s="183" t="s">
        <v>188</v>
      </c>
      <c r="AT8" s="183"/>
      <c r="AU8" s="183"/>
      <c r="AV8" s="1654"/>
      <c r="AW8" s="1654"/>
      <c r="AX8" s="2803" t="str">
        <f>DASHBOARD!K23&amp;" / "&amp;IF(DASHBOARD!K24="","",DASHBOARD!K24)</f>
        <v>2008 / 2018</v>
      </c>
      <c r="AY8" s="2803"/>
      <c r="AZ8" s="2803"/>
      <c r="BA8" s="2803"/>
      <c r="BB8" s="2803"/>
      <c r="BC8" s="1654"/>
      <c r="BD8" s="1655"/>
      <c r="BE8" s="1659"/>
    </row>
    <row r="9" spans="1:193" ht="14.25" customHeight="1" x14ac:dyDescent="0.25">
      <c r="A9" s="1867"/>
      <c r="B9" s="1361"/>
      <c r="C9" s="1361"/>
      <c r="D9" s="1361"/>
      <c r="E9" s="1361"/>
      <c r="F9" s="1361"/>
      <c r="G9" s="1361"/>
      <c r="H9" s="1361"/>
      <c r="I9" s="1361"/>
      <c r="J9" s="1361"/>
      <c r="K9" s="1361"/>
      <c r="L9" s="1361"/>
      <c r="M9" s="1361"/>
      <c r="N9" s="1361"/>
      <c r="O9" s="1361"/>
      <c r="P9" s="1361"/>
      <c r="Q9" s="1361"/>
      <c r="R9" s="1361"/>
      <c r="S9" s="1361"/>
      <c r="T9" s="1361"/>
      <c r="U9" s="1361"/>
      <c r="V9" s="1361"/>
      <c r="W9" s="1361"/>
      <c r="X9" s="1361"/>
      <c r="Y9" s="1361"/>
      <c r="Z9" s="1361"/>
      <c r="AA9" s="1361"/>
      <c r="AB9" s="1361"/>
      <c r="AC9" s="1361"/>
      <c r="AD9" s="1361"/>
      <c r="AE9" s="1361"/>
      <c r="AF9" s="1361"/>
      <c r="AG9" s="1361"/>
      <c r="AH9" s="1361"/>
      <c r="AI9" s="1361"/>
      <c r="AJ9" s="1361"/>
      <c r="AK9" s="1361"/>
      <c r="AL9" s="1361"/>
      <c r="AM9" s="1361"/>
      <c r="AN9" s="1361"/>
      <c r="AO9" s="1361"/>
      <c r="AP9" s="1361"/>
      <c r="AQ9" s="1361"/>
      <c r="AR9" s="1361"/>
      <c r="AS9" s="1361"/>
      <c r="AT9" s="1361"/>
      <c r="AU9" s="1361"/>
      <c r="AV9" s="1361"/>
      <c r="AW9" s="1361"/>
      <c r="AX9" s="1361"/>
      <c r="AY9" s="1361"/>
      <c r="AZ9" s="1361"/>
      <c r="BA9" s="1361"/>
      <c r="BB9" s="1361"/>
      <c r="BC9" s="1361"/>
      <c r="BD9" s="1361"/>
      <c r="BE9" s="1659"/>
    </row>
    <row r="10" spans="1:193" ht="14.25" customHeight="1" x14ac:dyDescent="0.25">
      <c r="A10" s="377"/>
      <c r="B10" s="675" t="s">
        <v>753</v>
      </c>
      <c r="C10" s="675"/>
      <c r="D10" s="675"/>
      <c r="E10" s="675"/>
      <c r="F10" s="675"/>
      <c r="G10" s="1557"/>
      <c r="H10" s="1557"/>
      <c r="I10" s="675"/>
      <c r="J10" s="675"/>
      <c r="K10" s="675"/>
      <c r="L10" s="675"/>
      <c r="M10" s="675"/>
      <c r="N10" s="675"/>
      <c r="O10" s="675"/>
      <c r="P10" s="675"/>
      <c r="Q10" s="675"/>
      <c r="R10" s="675"/>
      <c r="S10" s="675"/>
      <c r="T10" s="675"/>
      <c r="U10" s="675"/>
      <c r="V10" s="675"/>
      <c r="W10" s="675"/>
      <c r="X10" s="675"/>
      <c r="Y10" s="675"/>
      <c r="Z10" s="675"/>
      <c r="AA10" s="675"/>
      <c r="AB10" s="675"/>
      <c r="AC10" s="675"/>
      <c r="AD10" s="675"/>
      <c r="AE10" s="675"/>
      <c r="AF10" s="675"/>
      <c r="AG10" s="675"/>
      <c r="AH10" s="675"/>
      <c r="AI10" s="675"/>
      <c r="AJ10" s="675"/>
      <c r="AK10" s="675"/>
      <c r="AL10" s="675"/>
      <c r="AM10" s="675"/>
      <c r="AN10" s="675"/>
      <c r="AO10" s="675"/>
      <c r="AP10" s="675"/>
      <c r="AQ10" s="675"/>
      <c r="AR10" s="675"/>
      <c r="AS10" s="675"/>
      <c r="AT10" s="675"/>
      <c r="AU10" s="675"/>
      <c r="AV10" s="675"/>
      <c r="AW10" s="675"/>
      <c r="AX10" s="675"/>
      <c r="AY10" s="675"/>
      <c r="AZ10" s="675"/>
      <c r="BA10" s="675"/>
      <c r="BB10" s="675"/>
      <c r="BC10" s="675"/>
      <c r="BD10" s="675"/>
      <c r="BE10" s="1659"/>
    </row>
    <row r="11" spans="1:193" ht="14.25" customHeight="1" thickBot="1" x14ac:dyDescent="0.3">
      <c r="A11" s="377"/>
      <c r="B11" s="1361"/>
      <c r="C11" s="1361"/>
      <c r="D11" s="1361"/>
      <c r="E11" s="1361"/>
      <c r="F11" s="1361"/>
      <c r="G11" s="1361"/>
      <c r="H11" s="1361"/>
      <c r="I11" s="1361"/>
      <c r="J11" s="1361"/>
      <c r="K11" s="1361"/>
      <c r="L11" s="1361"/>
      <c r="M11" s="1361"/>
      <c r="N11" s="1361"/>
      <c r="O11" s="1361"/>
      <c r="P11" s="1361"/>
      <c r="Q11" s="1361"/>
      <c r="R11" s="1361"/>
      <c r="S11" s="1361"/>
      <c r="T11" s="1361"/>
      <c r="U11" s="1361"/>
      <c r="V11" s="1361"/>
      <c r="W11" s="1361"/>
      <c r="X11" s="1361"/>
      <c r="Y11" s="1361"/>
      <c r="Z11" s="1361"/>
      <c r="AA11" s="1361"/>
      <c r="AB11" s="1361"/>
      <c r="AC11" s="1361"/>
      <c r="AD11" s="1361"/>
      <c r="AE11" s="1361"/>
      <c r="AF11" s="1361"/>
      <c r="AG11" s="1361"/>
      <c r="AH11" s="1361"/>
      <c r="AI11" s="1361"/>
      <c r="AJ11" s="1361"/>
      <c r="AK11" s="1361"/>
      <c r="AL11" s="1361"/>
      <c r="AM11" s="1361"/>
      <c r="AN11" s="1361"/>
      <c r="AO11" s="1361"/>
      <c r="AP11" s="1361"/>
      <c r="AQ11" s="1361"/>
      <c r="AR11" s="1361"/>
      <c r="AS11" s="1361"/>
      <c r="AT11" s="1361"/>
      <c r="AU11" s="1361"/>
      <c r="AV11" s="1361"/>
      <c r="AW11" s="1361"/>
      <c r="AX11" s="1361"/>
      <c r="AY11" s="1361"/>
      <c r="AZ11" s="1361"/>
      <c r="BA11" s="1361"/>
      <c r="BB11" s="1361"/>
      <c r="BC11" s="1361"/>
      <c r="BD11" s="1361"/>
      <c r="BE11" s="1659"/>
    </row>
    <row r="12" spans="1:193" ht="14.25" customHeight="1" thickBot="1" x14ac:dyDescent="0.3">
      <c r="A12" s="377"/>
      <c r="B12" s="2844" t="s">
        <v>190</v>
      </c>
      <c r="C12" s="2845"/>
      <c r="D12" s="2845"/>
      <c r="E12" s="2845"/>
      <c r="F12" s="2845"/>
      <c r="G12" s="2845"/>
      <c r="H12" s="2846"/>
      <c r="I12" s="2844" t="s">
        <v>1015</v>
      </c>
      <c r="J12" s="2845"/>
      <c r="K12" s="2845"/>
      <c r="L12" s="2845"/>
      <c r="M12" s="2845"/>
      <c r="N12" s="2846"/>
      <c r="O12" s="2844" t="s">
        <v>11</v>
      </c>
      <c r="P12" s="2845"/>
      <c r="Q12" s="2845"/>
      <c r="R12" s="2845"/>
      <c r="S12" s="2845"/>
      <c r="T12" s="2846"/>
      <c r="U12" s="2844" t="s">
        <v>17</v>
      </c>
      <c r="V12" s="2845"/>
      <c r="W12" s="2845"/>
      <c r="X12" s="2845"/>
      <c r="Y12" s="2845"/>
      <c r="Z12" s="2846"/>
      <c r="AA12" s="1361"/>
      <c r="AB12" s="1361"/>
      <c r="AC12" s="1361"/>
      <c r="AD12" s="1361"/>
      <c r="AE12" s="1361"/>
      <c r="AF12" s="1361"/>
      <c r="AG12" s="1361"/>
      <c r="AH12" s="1361"/>
      <c r="AI12" s="1361"/>
      <c r="AJ12" s="1361"/>
      <c r="AK12" s="1361"/>
      <c r="AL12" s="1361"/>
      <c r="AM12" s="1361"/>
      <c r="AN12" s="1361"/>
      <c r="AO12" s="1361"/>
      <c r="AP12" s="1361"/>
      <c r="AQ12" s="1361"/>
      <c r="AR12" s="1361"/>
      <c r="AS12" s="1361"/>
      <c r="AT12" s="1361"/>
      <c r="AU12" s="1361"/>
      <c r="AV12" s="1361"/>
      <c r="AW12" s="1361"/>
      <c r="AX12" s="1361"/>
      <c r="AY12" s="1361"/>
      <c r="AZ12" s="1361"/>
      <c r="BA12" s="1361"/>
      <c r="BB12" s="1361"/>
      <c r="BC12" s="1361"/>
      <c r="BD12" s="1361"/>
      <c r="BE12" s="1659"/>
    </row>
    <row r="13" spans="1:193" ht="16.5" customHeight="1" thickBot="1" x14ac:dyDescent="0.3">
      <c r="A13" s="377"/>
      <c r="B13" s="2851" t="str">
        <f>DASHBOARD!W119</f>
        <v>Electrical Utilities</v>
      </c>
      <c r="C13" s="2851"/>
      <c r="D13" s="2851"/>
      <c r="E13" s="2851"/>
      <c r="F13" s="2851"/>
      <c r="G13" s="2851"/>
      <c r="H13" s="679"/>
      <c r="I13" s="2850">
        <f>DASHBOARD!AE119</f>
        <v>0</v>
      </c>
      <c r="J13" s="2850"/>
      <c r="K13" s="2850"/>
      <c r="L13" s="2850"/>
      <c r="M13" s="2850"/>
      <c r="N13" s="2850"/>
      <c r="O13" s="2849">
        <f t="shared" ref="O13:O35" si="0">I13*12</f>
        <v>0</v>
      </c>
      <c r="P13" s="2849"/>
      <c r="Q13" s="2849"/>
      <c r="R13" s="2849"/>
      <c r="S13" s="2849"/>
      <c r="T13" s="2849"/>
      <c r="U13" s="2847">
        <f>IFERROR(I13/DASHBOARD!$BM$192,0)</f>
        <v>0</v>
      </c>
      <c r="V13" s="2847"/>
      <c r="W13" s="2847"/>
      <c r="X13" s="2847"/>
      <c r="Y13" s="2847"/>
      <c r="Z13" s="2847"/>
      <c r="AA13" s="1361"/>
      <c r="AB13" s="1361"/>
      <c r="AC13" s="1361"/>
      <c r="AD13" s="1361"/>
      <c r="AE13" s="1361"/>
      <c r="AF13" s="1361"/>
      <c r="AG13" s="1361"/>
      <c r="AH13" s="1361"/>
      <c r="AI13" s="1361"/>
      <c r="AJ13" s="1361"/>
      <c r="AK13" s="1361"/>
      <c r="AL13" s="1361"/>
      <c r="AM13" s="1361"/>
      <c r="AN13" s="1361"/>
      <c r="AO13" s="1361"/>
      <c r="AP13" s="1361"/>
      <c r="AQ13" s="1361"/>
      <c r="AR13" s="1361"/>
      <c r="AS13" s="1361"/>
      <c r="AT13" s="1361"/>
      <c r="AU13" s="1361"/>
      <c r="AV13" s="1361"/>
      <c r="AW13" s="1361"/>
      <c r="AX13" s="1361"/>
      <c r="AY13" s="1361"/>
      <c r="AZ13" s="1361"/>
      <c r="BA13" s="1361"/>
      <c r="BB13" s="1361"/>
      <c r="BC13" s="1361"/>
      <c r="BD13" s="1361"/>
      <c r="BE13" s="1659"/>
    </row>
    <row r="14" spans="1:193" ht="16.5" customHeight="1" thickBot="1" x14ac:dyDescent="0.3">
      <c r="A14" s="377"/>
      <c r="B14" s="2825" t="str">
        <f>DASHBOARD!W120</f>
        <v>Gas Utilities</v>
      </c>
      <c r="C14" s="2825"/>
      <c r="D14" s="2825"/>
      <c r="E14" s="2825"/>
      <c r="F14" s="2825"/>
      <c r="G14" s="2825"/>
      <c r="H14" s="679"/>
      <c r="I14" s="2852">
        <f>DASHBOARD!AE120</f>
        <v>0</v>
      </c>
      <c r="J14" s="2852"/>
      <c r="K14" s="2852"/>
      <c r="L14" s="2852"/>
      <c r="M14" s="2852"/>
      <c r="N14" s="2852"/>
      <c r="O14" s="2849">
        <f t="shared" si="0"/>
        <v>0</v>
      </c>
      <c r="P14" s="2849"/>
      <c r="Q14" s="2849"/>
      <c r="R14" s="2849"/>
      <c r="S14" s="2849"/>
      <c r="T14" s="2849"/>
      <c r="U14" s="2843">
        <f>IFERROR(I14/DASHBOARD!$BM$192,0)</f>
        <v>0</v>
      </c>
      <c r="V14" s="2843"/>
      <c r="W14" s="2843"/>
      <c r="X14" s="2843"/>
      <c r="Y14" s="2843"/>
      <c r="Z14" s="2843"/>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60"/>
      <c r="BD14" s="160"/>
      <c r="BE14" s="1659"/>
    </row>
    <row r="15" spans="1:193" ht="16.5" customHeight="1" thickBot="1" x14ac:dyDescent="0.3">
      <c r="A15" s="377"/>
      <c r="B15" s="2825" t="str">
        <f>DASHBOARD!W121</f>
        <v>Water Utilities</v>
      </c>
      <c r="C15" s="2825"/>
      <c r="D15" s="2825"/>
      <c r="E15" s="2825"/>
      <c r="F15" s="2825"/>
      <c r="G15" s="2825"/>
      <c r="H15" s="679"/>
      <c r="I15" s="2852">
        <f>DASHBOARD!AE121</f>
        <v>0</v>
      </c>
      <c r="J15" s="2852"/>
      <c r="K15" s="2852"/>
      <c r="L15" s="2852"/>
      <c r="M15" s="2852"/>
      <c r="N15" s="2852"/>
      <c r="O15" s="2849">
        <f t="shared" si="0"/>
        <v>0</v>
      </c>
      <c r="P15" s="2849"/>
      <c r="Q15" s="2849"/>
      <c r="R15" s="2849"/>
      <c r="S15" s="2849"/>
      <c r="T15" s="2849"/>
      <c r="U15" s="2843">
        <f>IFERROR(I15/DASHBOARD!$BM$192,0)</f>
        <v>0</v>
      </c>
      <c r="V15" s="2843"/>
      <c r="W15" s="2843"/>
      <c r="X15" s="2843"/>
      <c r="Y15" s="2843"/>
      <c r="Z15" s="2843"/>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60"/>
      <c r="BD15" s="160"/>
      <c r="BE15" s="1659"/>
    </row>
    <row r="16" spans="1:193" ht="16.5" customHeight="1" thickBot="1" x14ac:dyDescent="0.3">
      <c r="A16" s="377"/>
      <c r="B16" s="2825" t="str">
        <f>DASHBOARD!W122</f>
        <v>Phone</v>
      </c>
      <c r="C16" s="2825"/>
      <c r="D16" s="2825"/>
      <c r="E16" s="2825"/>
      <c r="F16" s="2825"/>
      <c r="G16" s="2825"/>
      <c r="H16" s="679"/>
      <c r="I16" s="2852">
        <f>DASHBOARD!AE122</f>
        <v>0</v>
      </c>
      <c r="J16" s="2852"/>
      <c r="K16" s="2852"/>
      <c r="L16" s="2852"/>
      <c r="M16" s="2852"/>
      <c r="N16" s="2852"/>
      <c r="O16" s="2849">
        <f t="shared" si="0"/>
        <v>0</v>
      </c>
      <c r="P16" s="2849"/>
      <c r="Q16" s="2849"/>
      <c r="R16" s="2849"/>
      <c r="S16" s="2849"/>
      <c r="T16" s="2849"/>
      <c r="U16" s="2843">
        <f>IFERROR(I16/DASHBOARD!$BM$192,0)</f>
        <v>0</v>
      </c>
      <c r="V16" s="2843"/>
      <c r="W16" s="2843"/>
      <c r="X16" s="2843"/>
      <c r="Y16" s="2843"/>
      <c r="Z16" s="2843"/>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60"/>
      <c r="BD16" s="160"/>
      <c r="BE16" s="1659"/>
    </row>
    <row r="17" spans="1:57" ht="16.5" customHeight="1" thickBot="1" x14ac:dyDescent="0.3">
      <c r="A17" s="377"/>
      <c r="B17" s="2825" t="str">
        <f>DASHBOARD!W123</f>
        <v>Internet</v>
      </c>
      <c r="C17" s="2825"/>
      <c r="D17" s="2825"/>
      <c r="E17" s="2825"/>
      <c r="F17" s="2825"/>
      <c r="G17" s="2825"/>
      <c r="H17" s="679"/>
      <c r="I17" s="2852">
        <f>DASHBOARD!AE123</f>
        <v>0</v>
      </c>
      <c r="J17" s="2852"/>
      <c r="K17" s="2852"/>
      <c r="L17" s="2852"/>
      <c r="M17" s="2852"/>
      <c r="N17" s="2852"/>
      <c r="O17" s="2849">
        <f t="shared" si="0"/>
        <v>0</v>
      </c>
      <c r="P17" s="2849"/>
      <c r="Q17" s="2849"/>
      <c r="R17" s="2849"/>
      <c r="S17" s="2849"/>
      <c r="T17" s="2849"/>
      <c r="U17" s="2843">
        <f>IFERROR(I17/DASHBOARD!$BM$192,0)</f>
        <v>0</v>
      </c>
      <c r="V17" s="2843"/>
      <c r="W17" s="2843"/>
      <c r="X17" s="2843"/>
      <c r="Y17" s="2843"/>
      <c r="Z17" s="2843"/>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60"/>
      <c r="BD17" s="160"/>
      <c r="BE17" s="1659"/>
    </row>
    <row r="18" spans="1:57" ht="16.5" customHeight="1" thickBot="1" x14ac:dyDescent="0.3">
      <c r="A18" s="377"/>
      <c r="B18" s="2825" t="str">
        <f>DASHBOARD!W124</f>
        <v>Property Insurance + Tax</v>
      </c>
      <c r="C18" s="2825"/>
      <c r="D18" s="2825"/>
      <c r="E18" s="2825"/>
      <c r="F18" s="2825"/>
      <c r="G18" s="2825"/>
      <c r="H18" s="679"/>
      <c r="I18" s="2852">
        <f>DASHBOARD!AE124</f>
        <v>0</v>
      </c>
      <c r="J18" s="2852"/>
      <c r="K18" s="2852"/>
      <c r="L18" s="2852"/>
      <c r="M18" s="2852"/>
      <c r="N18" s="2852"/>
      <c r="O18" s="2849">
        <f t="shared" si="0"/>
        <v>0</v>
      </c>
      <c r="P18" s="2849"/>
      <c r="Q18" s="2849"/>
      <c r="R18" s="2849"/>
      <c r="S18" s="2849"/>
      <c r="T18" s="2849"/>
      <c r="U18" s="2843">
        <f>IFERROR(I18/DASHBOARD!$BM$192,0)</f>
        <v>0</v>
      </c>
      <c r="V18" s="2843"/>
      <c r="W18" s="2843"/>
      <c r="X18" s="2843"/>
      <c r="Y18" s="2843"/>
      <c r="Z18" s="2843"/>
      <c r="AA18" s="159"/>
      <c r="AB18" s="159"/>
      <c r="AC18" s="159"/>
      <c r="AD18" s="159"/>
      <c r="AE18" s="159"/>
      <c r="AF18" s="159"/>
      <c r="AG18" s="159"/>
      <c r="AH18" s="159"/>
      <c r="AI18" s="159"/>
      <c r="AJ18" s="159"/>
      <c r="AK18" s="159"/>
      <c r="AL18" s="159"/>
      <c r="AM18" s="159"/>
      <c r="AN18" s="159"/>
      <c r="AO18" s="159"/>
      <c r="AP18" s="159"/>
      <c r="AQ18" s="159"/>
      <c r="AR18" s="159"/>
      <c r="AS18" s="159"/>
      <c r="AT18" s="159"/>
      <c r="AU18" s="159"/>
      <c r="AV18" s="159"/>
      <c r="AW18" s="159"/>
      <c r="AX18" s="159"/>
      <c r="AY18" s="159"/>
      <c r="AZ18" s="159"/>
      <c r="BA18" s="159"/>
      <c r="BB18" s="159"/>
      <c r="BC18" s="160"/>
      <c r="BD18" s="160"/>
      <c r="BE18" s="1659"/>
    </row>
    <row r="19" spans="1:57" ht="16.5" customHeight="1" thickBot="1" x14ac:dyDescent="0.3">
      <c r="A19" s="377"/>
      <c r="B19" s="2825" t="str">
        <f>DASHBOARD!W125</f>
        <v>Irrigation</v>
      </c>
      <c r="C19" s="2825"/>
      <c r="D19" s="2825"/>
      <c r="E19" s="2825"/>
      <c r="F19" s="2825"/>
      <c r="G19" s="2825"/>
      <c r="H19" s="679"/>
      <c r="I19" s="2852">
        <f>DASHBOARD!AE125</f>
        <v>0</v>
      </c>
      <c r="J19" s="2852"/>
      <c r="K19" s="2852"/>
      <c r="L19" s="2852"/>
      <c r="M19" s="2852"/>
      <c r="N19" s="2852"/>
      <c r="O19" s="2849">
        <f t="shared" si="0"/>
        <v>0</v>
      </c>
      <c r="P19" s="2849"/>
      <c r="Q19" s="2849"/>
      <c r="R19" s="2849"/>
      <c r="S19" s="2849"/>
      <c r="T19" s="2849"/>
      <c r="U19" s="2843">
        <f>IFERROR(I19/DASHBOARD!$BM$192,0)</f>
        <v>0</v>
      </c>
      <c r="V19" s="2843"/>
      <c r="W19" s="2843"/>
      <c r="X19" s="2843"/>
      <c r="Y19" s="2843"/>
      <c r="Z19" s="2843"/>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60"/>
      <c r="BD19" s="160"/>
      <c r="BE19" s="1659"/>
    </row>
    <row r="20" spans="1:57" ht="16.5" customHeight="1" thickBot="1" x14ac:dyDescent="0.3">
      <c r="A20" s="377"/>
      <c r="B20" s="2825" t="str">
        <f>DASHBOARD!W126</f>
        <v>Security</v>
      </c>
      <c r="C20" s="2825"/>
      <c r="D20" s="2825"/>
      <c r="E20" s="2825"/>
      <c r="F20" s="2825"/>
      <c r="G20" s="2825"/>
      <c r="H20" s="679"/>
      <c r="I20" s="2852">
        <f>DASHBOARD!AE126</f>
        <v>0</v>
      </c>
      <c r="J20" s="2852"/>
      <c r="K20" s="2852"/>
      <c r="L20" s="2852"/>
      <c r="M20" s="2852"/>
      <c r="N20" s="2852"/>
      <c r="O20" s="2849">
        <f t="shared" si="0"/>
        <v>0</v>
      </c>
      <c r="P20" s="2849"/>
      <c r="Q20" s="2849"/>
      <c r="R20" s="2849"/>
      <c r="S20" s="2849"/>
      <c r="T20" s="2849"/>
      <c r="U20" s="2843">
        <f>IFERROR(I20/DASHBOARD!$BM$192,0)</f>
        <v>0</v>
      </c>
      <c r="V20" s="2843"/>
      <c r="W20" s="2843"/>
      <c r="X20" s="2843"/>
      <c r="Y20" s="2843"/>
      <c r="Z20" s="2843"/>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c r="BB20" s="159"/>
      <c r="BC20" s="160"/>
      <c r="BD20" s="160"/>
      <c r="BE20" s="1659"/>
    </row>
    <row r="21" spans="1:57" ht="16.5" customHeight="1" thickBot="1" x14ac:dyDescent="0.3">
      <c r="A21" s="377"/>
      <c r="B21" s="2825" t="str">
        <f>DASHBOARD!W127</f>
        <v>Accounting</v>
      </c>
      <c r="C21" s="2825"/>
      <c r="D21" s="2825"/>
      <c r="E21" s="2825"/>
      <c r="F21" s="2825"/>
      <c r="G21" s="2825"/>
      <c r="H21" s="679"/>
      <c r="I21" s="2852">
        <f>DASHBOARD!AE127</f>
        <v>0</v>
      </c>
      <c r="J21" s="2852"/>
      <c r="K21" s="2852"/>
      <c r="L21" s="2852"/>
      <c r="M21" s="2852"/>
      <c r="N21" s="2852"/>
      <c r="O21" s="2849">
        <f t="shared" si="0"/>
        <v>0</v>
      </c>
      <c r="P21" s="2849"/>
      <c r="Q21" s="2849"/>
      <c r="R21" s="2849"/>
      <c r="S21" s="2849"/>
      <c r="T21" s="2849"/>
      <c r="U21" s="2843">
        <f>IFERROR(I21/DASHBOARD!$BM$192,0)</f>
        <v>0</v>
      </c>
      <c r="V21" s="2843"/>
      <c r="W21" s="2843"/>
      <c r="X21" s="2843"/>
      <c r="Y21" s="2843"/>
      <c r="Z21" s="2843"/>
      <c r="AA21" s="159"/>
      <c r="AB21" s="159"/>
      <c r="AC21" s="159"/>
      <c r="AD21" s="159"/>
      <c r="AE21" s="159"/>
      <c r="AF21" s="159"/>
      <c r="AG21" s="159"/>
      <c r="AH21" s="159"/>
      <c r="AI21" s="159"/>
      <c r="AJ21" s="159"/>
      <c r="AK21" s="159"/>
      <c r="AL21" s="159"/>
      <c r="AM21" s="159"/>
      <c r="AN21" s="159"/>
      <c r="AO21" s="159"/>
      <c r="AP21" s="159"/>
      <c r="AQ21" s="159"/>
      <c r="AR21" s="159"/>
      <c r="AS21" s="159"/>
      <c r="AT21" s="159"/>
      <c r="AU21" s="159"/>
      <c r="AV21" s="159"/>
      <c r="AW21" s="159"/>
      <c r="AX21" s="159"/>
      <c r="AY21" s="159"/>
      <c r="AZ21" s="159"/>
      <c r="BA21" s="159"/>
      <c r="BB21" s="159"/>
      <c r="BC21" s="160"/>
      <c r="BD21" s="160"/>
      <c r="BE21" s="1659"/>
    </row>
    <row r="22" spans="1:57" ht="16.5" customHeight="1" thickBot="1" x14ac:dyDescent="0.3">
      <c r="A22" s="377"/>
      <c r="B22" s="2825" t="str">
        <f>DASHBOARD!AQ119</f>
        <v>Repairs &amp; Maintenance</v>
      </c>
      <c r="C22" s="2825"/>
      <c r="D22" s="2825"/>
      <c r="E22" s="2825"/>
      <c r="F22" s="2825"/>
      <c r="G22" s="2825"/>
      <c r="H22" s="679"/>
      <c r="I22" s="2852">
        <f>DASHBOARD!AX119</f>
        <v>0</v>
      </c>
      <c r="J22" s="2852"/>
      <c r="K22" s="2852"/>
      <c r="L22" s="2852"/>
      <c r="M22" s="2852"/>
      <c r="N22" s="2852"/>
      <c r="O22" s="2849">
        <f t="shared" si="0"/>
        <v>0</v>
      </c>
      <c r="P22" s="2849"/>
      <c r="Q22" s="2849"/>
      <c r="R22" s="2849"/>
      <c r="S22" s="2849"/>
      <c r="T22" s="2849"/>
      <c r="U22" s="2843">
        <f>IFERROR(I22/DASHBOARD!$BM$192,0)</f>
        <v>0</v>
      </c>
      <c r="V22" s="2843"/>
      <c r="W22" s="2843"/>
      <c r="X22" s="2843"/>
      <c r="Y22" s="2843"/>
      <c r="Z22" s="2843"/>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60"/>
      <c r="BD22" s="160"/>
      <c r="BE22" s="1659"/>
    </row>
    <row r="23" spans="1:57" ht="16.5" customHeight="1" thickBot="1" x14ac:dyDescent="0.3">
      <c r="A23" s="377"/>
      <c r="B23" s="2825" t="str">
        <f>DASHBOARD!AQ120</f>
        <v xml:space="preserve">Property Management </v>
      </c>
      <c r="C23" s="2825"/>
      <c r="D23" s="2825"/>
      <c r="E23" s="2825"/>
      <c r="F23" s="2825"/>
      <c r="G23" s="2825"/>
      <c r="H23" s="679"/>
      <c r="I23" s="2852">
        <f>DASHBOARD!AX120</f>
        <v>0</v>
      </c>
      <c r="J23" s="2852"/>
      <c r="K23" s="2852"/>
      <c r="L23" s="2852"/>
      <c r="M23" s="2852"/>
      <c r="N23" s="2852"/>
      <c r="O23" s="2849">
        <f t="shared" si="0"/>
        <v>0</v>
      </c>
      <c r="P23" s="2849"/>
      <c r="Q23" s="2849"/>
      <c r="R23" s="2849"/>
      <c r="S23" s="2849"/>
      <c r="T23" s="2849"/>
      <c r="U23" s="2843">
        <f>IFERROR(I23/DASHBOARD!$BM$192,0)</f>
        <v>0</v>
      </c>
      <c r="V23" s="2843"/>
      <c r="W23" s="2843"/>
      <c r="X23" s="2843"/>
      <c r="Y23" s="2843"/>
      <c r="Z23" s="2843"/>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60"/>
      <c r="BD23" s="160"/>
      <c r="BE23" s="1659"/>
    </row>
    <row r="24" spans="1:57" ht="16.5" customHeight="1" thickBot="1" x14ac:dyDescent="0.3">
      <c r="A24" s="377"/>
      <c r="B24" s="2825" t="str">
        <f>DASHBOARD!AQ121</f>
        <v>Vacancy Insurance</v>
      </c>
      <c r="C24" s="2825"/>
      <c r="D24" s="2825"/>
      <c r="E24" s="2825"/>
      <c r="F24" s="2825"/>
      <c r="G24" s="2825"/>
      <c r="H24" s="679"/>
      <c r="I24" s="2852">
        <f>DASHBOARD!AX121</f>
        <v>0</v>
      </c>
      <c r="J24" s="2852"/>
      <c r="K24" s="2852"/>
      <c r="L24" s="2852"/>
      <c r="M24" s="2852"/>
      <c r="N24" s="2852"/>
      <c r="O24" s="2849">
        <f t="shared" si="0"/>
        <v>0</v>
      </c>
      <c r="P24" s="2849"/>
      <c r="Q24" s="2849"/>
      <c r="R24" s="2849"/>
      <c r="S24" s="2849"/>
      <c r="T24" s="2849"/>
      <c r="U24" s="2843">
        <f>IFERROR(I24/DASHBOARD!$BM$192,0)</f>
        <v>0</v>
      </c>
      <c r="V24" s="2843"/>
      <c r="W24" s="2843"/>
      <c r="X24" s="2843"/>
      <c r="Y24" s="2843"/>
      <c r="Z24" s="2843"/>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60"/>
      <c r="BD24" s="160"/>
      <c r="BE24" s="1659"/>
    </row>
    <row r="25" spans="1:57" ht="16.5" customHeight="1" thickBot="1" x14ac:dyDescent="0.3">
      <c r="A25" s="377"/>
      <c r="B25" s="2825" t="str">
        <f>DASHBOARD!AQ122</f>
        <v>Rent Insurance</v>
      </c>
      <c r="C25" s="2825"/>
      <c r="D25" s="2825"/>
      <c r="E25" s="2825"/>
      <c r="F25" s="2825"/>
      <c r="G25" s="2825"/>
      <c r="H25" s="679"/>
      <c r="I25" s="2852">
        <f>DASHBOARD!AX122</f>
        <v>0</v>
      </c>
      <c r="J25" s="2852"/>
      <c r="K25" s="2852"/>
      <c r="L25" s="2852"/>
      <c r="M25" s="2852"/>
      <c r="N25" s="2852"/>
      <c r="O25" s="2849">
        <f t="shared" si="0"/>
        <v>0</v>
      </c>
      <c r="P25" s="2849"/>
      <c r="Q25" s="2849"/>
      <c r="R25" s="2849"/>
      <c r="S25" s="2849"/>
      <c r="T25" s="2849"/>
      <c r="U25" s="2843">
        <f>IFERROR(I25/DASHBOARD!$BM$192,0)</f>
        <v>0</v>
      </c>
      <c r="V25" s="2843"/>
      <c r="W25" s="2843"/>
      <c r="X25" s="2843"/>
      <c r="Y25" s="2843"/>
      <c r="Z25" s="2843"/>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60"/>
      <c r="BD25" s="160"/>
      <c r="BE25" s="1659"/>
    </row>
    <row r="26" spans="1:57" ht="16.5" customHeight="1" thickBot="1" x14ac:dyDescent="0.3">
      <c r="A26" s="377"/>
      <c r="B26" s="2825" t="str">
        <f>DASHBOARD!AQ123</f>
        <v>Legal</v>
      </c>
      <c r="C26" s="2825"/>
      <c r="D26" s="2825"/>
      <c r="E26" s="2825"/>
      <c r="F26" s="2825"/>
      <c r="G26" s="2825"/>
      <c r="H26" s="679"/>
      <c r="I26" s="2852">
        <f>DASHBOARD!AX123</f>
        <v>0</v>
      </c>
      <c r="J26" s="2852"/>
      <c r="K26" s="2852"/>
      <c r="L26" s="2852"/>
      <c r="M26" s="2852"/>
      <c r="N26" s="2852"/>
      <c r="O26" s="2849">
        <f t="shared" si="0"/>
        <v>0</v>
      </c>
      <c r="P26" s="2849"/>
      <c r="Q26" s="2849"/>
      <c r="R26" s="2849"/>
      <c r="S26" s="2849"/>
      <c r="T26" s="2849"/>
      <c r="U26" s="2843">
        <f>IFERROR(I26/DASHBOARD!$BM$192,0)</f>
        <v>0</v>
      </c>
      <c r="V26" s="2843"/>
      <c r="W26" s="2843"/>
      <c r="X26" s="2843"/>
      <c r="Y26" s="2843"/>
      <c r="Z26" s="2843"/>
      <c r="AA26" s="159"/>
      <c r="AB26" s="159"/>
      <c r="AC26" s="159"/>
      <c r="AD26" s="159"/>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160"/>
      <c r="BD26" s="160"/>
      <c r="BE26" s="1659"/>
    </row>
    <row r="27" spans="1:57" ht="16.5" customHeight="1" thickBot="1" x14ac:dyDescent="0.3">
      <c r="A27" s="377"/>
      <c r="B27" s="2825" t="str">
        <f>DASHBOARD!AQ124</f>
        <v>Advertising</v>
      </c>
      <c r="C27" s="2825"/>
      <c r="D27" s="2825"/>
      <c r="E27" s="2825"/>
      <c r="F27" s="2825"/>
      <c r="G27" s="2825"/>
      <c r="H27" s="679"/>
      <c r="I27" s="2852">
        <f>DASHBOARD!AX124</f>
        <v>0</v>
      </c>
      <c r="J27" s="2852"/>
      <c r="K27" s="2852"/>
      <c r="L27" s="2852"/>
      <c r="M27" s="2852"/>
      <c r="N27" s="2852"/>
      <c r="O27" s="2849">
        <f t="shared" si="0"/>
        <v>0</v>
      </c>
      <c r="P27" s="2849"/>
      <c r="Q27" s="2849"/>
      <c r="R27" s="2849"/>
      <c r="S27" s="2849"/>
      <c r="T27" s="2849"/>
      <c r="U27" s="2843">
        <f>IFERROR(I27/DASHBOARD!$BM$192,0)</f>
        <v>0</v>
      </c>
      <c r="V27" s="2843"/>
      <c r="W27" s="2843"/>
      <c r="X27" s="2843"/>
      <c r="Y27" s="2843"/>
      <c r="Z27" s="2843"/>
      <c r="AA27" s="159"/>
      <c r="AB27" s="159"/>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60"/>
      <c r="BD27" s="160"/>
      <c r="BE27" s="1659"/>
    </row>
    <row r="28" spans="1:57" ht="16.5" customHeight="1" thickBot="1" x14ac:dyDescent="0.3">
      <c r="A28" s="377"/>
      <c r="B28" s="2825" t="str">
        <f>DASHBOARD!AQ125</f>
        <v>Other Cost 1</v>
      </c>
      <c r="C28" s="2825"/>
      <c r="D28" s="2825"/>
      <c r="E28" s="2825"/>
      <c r="F28" s="2825"/>
      <c r="G28" s="2825"/>
      <c r="H28" s="679"/>
      <c r="I28" s="2852">
        <f>DASHBOARD!AX125</f>
        <v>0</v>
      </c>
      <c r="J28" s="2852"/>
      <c r="K28" s="2852"/>
      <c r="L28" s="2852"/>
      <c r="M28" s="2852"/>
      <c r="N28" s="2852"/>
      <c r="O28" s="2849">
        <f t="shared" si="0"/>
        <v>0</v>
      </c>
      <c r="P28" s="2849"/>
      <c r="Q28" s="2849"/>
      <c r="R28" s="2849"/>
      <c r="S28" s="2849"/>
      <c r="T28" s="2849"/>
      <c r="U28" s="2843">
        <f>IFERROR(I28/DASHBOARD!$BM$192,0)</f>
        <v>0</v>
      </c>
      <c r="V28" s="2843"/>
      <c r="W28" s="2843"/>
      <c r="X28" s="2843"/>
      <c r="Y28" s="2843"/>
      <c r="Z28" s="2843"/>
      <c r="AA28" s="160"/>
      <c r="AB28" s="160"/>
      <c r="AC28" s="160"/>
      <c r="AD28" s="160"/>
      <c r="AE28" s="160"/>
      <c r="AF28" s="160"/>
      <c r="AG28" s="160"/>
      <c r="AH28" s="160"/>
      <c r="AI28" s="160"/>
      <c r="AJ28" s="160"/>
      <c r="AK28" s="160"/>
      <c r="AL28" s="160"/>
      <c r="AM28" s="160"/>
      <c r="AN28" s="160"/>
      <c r="AO28" s="160"/>
      <c r="AP28" s="160"/>
      <c r="AQ28" s="160"/>
      <c r="AR28" s="160"/>
      <c r="AS28" s="160"/>
      <c r="AT28" s="160"/>
      <c r="AU28" s="160"/>
      <c r="AV28" s="160"/>
      <c r="AW28" s="160"/>
      <c r="AX28" s="160"/>
      <c r="AY28" s="160"/>
      <c r="AZ28" s="160"/>
      <c r="BA28" s="160"/>
      <c r="BB28" s="160"/>
      <c r="BC28" s="160"/>
      <c r="BD28" s="160"/>
      <c r="BE28" s="1659"/>
    </row>
    <row r="29" spans="1:57" ht="16.5" customHeight="1" thickBot="1" x14ac:dyDescent="0.3">
      <c r="A29" s="377"/>
      <c r="B29" s="2825" t="str">
        <f>DASHBOARD!AQ126</f>
        <v>Other Cost 2</v>
      </c>
      <c r="C29" s="2825"/>
      <c r="D29" s="2825"/>
      <c r="E29" s="2825"/>
      <c r="F29" s="2825"/>
      <c r="G29" s="2825"/>
      <c r="H29" s="679"/>
      <c r="I29" s="2852">
        <f>DASHBOARD!AX126</f>
        <v>0</v>
      </c>
      <c r="J29" s="2852"/>
      <c r="K29" s="2852"/>
      <c r="L29" s="2852"/>
      <c r="M29" s="2852"/>
      <c r="N29" s="2852"/>
      <c r="O29" s="2849">
        <f t="shared" si="0"/>
        <v>0</v>
      </c>
      <c r="P29" s="2849"/>
      <c r="Q29" s="2849"/>
      <c r="R29" s="2849"/>
      <c r="S29" s="2849"/>
      <c r="T29" s="2849"/>
      <c r="U29" s="2843">
        <f>IFERROR(I29/DASHBOARD!$BM$192,0)</f>
        <v>0</v>
      </c>
      <c r="V29" s="2843"/>
      <c r="W29" s="2843"/>
      <c r="X29" s="2843"/>
      <c r="Y29" s="2843"/>
      <c r="Z29" s="2843"/>
      <c r="AA29" s="160"/>
      <c r="AB29" s="160"/>
      <c r="AC29" s="160"/>
      <c r="AD29" s="160"/>
      <c r="AE29" s="160"/>
      <c r="AF29" s="160"/>
      <c r="AG29" s="160"/>
      <c r="AH29" s="160"/>
      <c r="AI29" s="160"/>
      <c r="AJ29" s="160"/>
      <c r="AK29" s="160"/>
      <c r="AL29" s="160"/>
      <c r="AM29" s="160"/>
      <c r="AN29" s="160"/>
      <c r="AO29" s="160"/>
      <c r="AP29" s="160"/>
      <c r="AQ29" s="160"/>
      <c r="AR29" s="160"/>
      <c r="AS29" s="160"/>
      <c r="AT29" s="160"/>
      <c r="AU29" s="160"/>
      <c r="AV29" s="160"/>
      <c r="AW29" s="160"/>
      <c r="AX29" s="160"/>
      <c r="AY29" s="160"/>
      <c r="AZ29" s="160"/>
      <c r="BA29" s="160"/>
      <c r="BB29" s="160"/>
      <c r="BC29" s="160"/>
      <c r="BD29" s="160"/>
      <c r="BE29" s="1659"/>
    </row>
    <row r="30" spans="1:57" ht="16.5" customHeight="1" thickBot="1" x14ac:dyDescent="0.3">
      <c r="A30" s="377"/>
      <c r="B30" s="2825" t="str">
        <f>DASHBOARD!AQ127</f>
        <v>Miscellaneous (Variable)</v>
      </c>
      <c r="C30" s="2825"/>
      <c r="D30" s="2825"/>
      <c r="E30" s="2825"/>
      <c r="F30" s="2825"/>
      <c r="G30" s="2825"/>
      <c r="H30" s="679"/>
      <c r="I30" s="2852">
        <f>DASHBOARD!AX127</f>
        <v>0</v>
      </c>
      <c r="J30" s="2852"/>
      <c r="K30" s="2852"/>
      <c r="L30" s="2852"/>
      <c r="M30" s="2852"/>
      <c r="N30" s="2852"/>
      <c r="O30" s="2849">
        <f t="shared" si="0"/>
        <v>0</v>
      </c>
      <c r="P30" s="2849"/>
      <c r="Q30" s="2849"/>
      <c r="R30" s="2849"/>
      <c r="S30" s="2849"/>
      <c r="T30" s="2849"/>
      <c r="U30" s="2843">
        <f>IFERROR(I30/DASHBOARD!$BM$192,0)</f>
        <v>0</v>
      </c>
      <c r="V30" s="2843"/>
      <c r="W30" s="2843"/>
      <c r="X30" s="2843"/>
      <c r="Y30" s="2843"/>
      <c r="Z30" s="2843"/>
      <c r="AA30" s="160"/>
      <c r="AB30" s="160"/>
      <c r="AC30" s="160"/>
      <c r="AD30" s="160"/>
      <c r="AE30" s="160"/>
      <c r="AF30" s="160"/>
      <c r="AG30" s="160"/>
      <c r="AH30" s="160"/>
      <c r="AI30" s="160"/>
      <c r="AJ30" s="160"/>
      <c r="AK30" s="160"/>
      <c r="AL30" s="160"/>
      <c r="AM30" s="160"/>
      <c r="AN30" s="160"/>
      <c r="AO30" s="160"/>
      <c r="AP30" s="160"/>
      <c r="AQ30" s="160"/>
      <c r="AR30" s="160"/>
      <c r="AS30" s="160"/>
      <c r="AT30" s="160"/>
      <c r="AU30" s="160"/>
      <c r="AV30" s="160"/>
      <c r="AW30" s="160"/>
      <c r="AX30" s="160"/>
      <c r="AY30" s="160"/>
      <c r="AZ30" s="160"/>
      <c r="BA30" s="160"/>
      <c r="BB30" s="160"/>
      <c r="BC30" s="160"/>
      <c r="BD30" s="160"/>
      <c r="BE30" s="1659"/>
    </row>
    <row r="31" spans="1:57" ht="16.5" customHeight="1" thickBot="1" x14ac:dyDescent="0.3">
      <c r="A31" s="377"/>
      <c r="B31" s="2825" t="str">
        <f>DASHBOARD!AR130</f>
        <v>Capital Expenditures</v>
      </c>
      <c r="C31" s="2825"/>
      <c r="D31" s="2825"/>
      <c r="E31" s="2825"/>
      <c r="F31" s="2825"/>
      <c r="G31" s="2825"/>
      <c r="H31" s="679"/>
      <c r="I31" s="2852">
        <f>DASHBOARD!AX130</f>
        <v>0</v>
      </c>
      <c r="J31" s="2852"/>
      <c r="K31" s="2852"/>
      <c r="L31" s="2852"/>
      <c r="M31" s="2852"/>
      <c r="N31" s="2852"/>
      <c r="O31" s="2849">
        <f t="shared" si="0"/>
        <v>0</v>
      </c>
      <c r="P31" s="2849"/>
      <c r="Q31" s="2849"/>
      <c r="R31" s="2849"/>
      <c r="S31" s="2849"/>
      <c r="T31" s="2849"/>
      <c r="U31" s="2843">
        <f>IFERROR(I31/DASHBOARD!$BM$192,0)</f>
        <v>0</v>
      </c>
      <c r="V31" s="2843"/>
      <c r="W31" s="2843"/>
      <c r="X31" s="2843"/>
      <c r="Y31" s="2843"/>
      <c r="Z31" s="2843"/>
      <c r="AA31" s="160"/>
      <c r="AB31" s="160"/>
      <c r="AC31" s="160"/>
      <c r="AD31" s="160"/>
      <c r="AE31" s="160"/>
      <c r="AF31" s="160"/>
      <c r="AG31" s="160"/>
      <c r="AH31" s="160"/>
      <c r="AI31" s="160"/>
      <c r="AJ31" s="160"/>
      <c r="AK31" s="160"/>
      <c r="AL31" s="160"/>
      <c r="AM31" s="160"/>
      <c r="AN31" s="160"/>
      <c r="AO31" s="160"/>
      <c r="AP31" s="160"/>
      <c r="AQ31" s="160"/>
      <c r="AR31" s="160"/>
      <c r="AS31" s="160"/>
      <c r="AT31" s="160"/>
      <c r="AU31" s="160"/>
      <c r="AV31" s="160"/>
      <c r="AW31" s="160"/>
      <c r="AX31" s="160"/>
      <c r="AY31" s="160"/>
      <c r="AZ31" s="160"/>
      <c r="BA31" s="160"/>
      <c r="BB31" s="160"/>
      <c r="BC31" s="160"/>
      <c r="BD31" s="160"/>
      <c r="BE31" s="1659"/>
    </row>
    <row r="32" spans="1:57" ht="16.5" customHeight="1" thickBot="1" x14ac:dyDescent="0.3">
      <c r="A32" s="377"/>
      <c r="B32" s="679" t="str">
        <f>FORECASTS!B66</f>
        <v>Custom Op. Expense 1</v>
      </c>
      <c r="C32" s="679"/>
      <c r="D32" s="679"/>
      <c r="E32" s="679"/>
      <c r="F32" s="679"/>
      <c r="G32" s="679"/>
      <c r="H32" s="679"/>
      <c r="I32" s="2852">
        <f>FORECASTS!E66/FORECASTS!$E$9</f>
        <v>0</v>
      </c>
      <c r="J32" s="2852"/>
      <c r="K32" s="2852"/>
      <c r="L32" s="2852"/>
      <c r="M32" s="2852"/>
      <c r="N32" s="2852"/>
      <c r="O32" s="2849">
        <f t="shared" si="0"/>
        <v>0</v>
      </c>
      <c r="P32" s="2849"/>
      <c r="Q32" s="2849"/>
      <c r="R32" s="2849"/>
      <c r="S32" s="2849"/>
      <c r="T32" s="2849"/>
      <c r="U32" s="2843">
        <f>IFERROR(I32/DASHBOARD!$BM$192,0)</f>
        <v>0</v>
      </c>
      <c r="V32" s="2843"/>
      <c r="W32" s="2843"/>
      <c r="X32" s="2843"/>
      <c r="Y32" s="2843"/>
      <c r="Z32" s="2843"/>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0"/>
      <c r="BC32" s="160"/>
      <c r="BD32" s="160"/>
      <c r="BE32" s="1659"/>
    </row>
    <row r="33" spans="1:193" ht="16.5" customHeight="1" thickBot="1" x14ac:dyDescent="0.3">
      <c r="A33" s="377"/>
      <c r="B33" s="679" t="str">
        <f>FORECASTS!B67</f>
        <v>Custom Op. Expense 2</v>
      </c>
      <c r="C33" s="679"/>
      <c r="D33" s="679"/>
      <c r="E33" s="679"/>
      <c r="F33" s="679"/>
      <c r="G33" s="679"/>
      <c r="H33" s="679"/>
      <c r="I33" s="2852">
        <f>FORECASTS!E67/FORECASTS!$E$9</f>
        <v>0</v>
      </c>
      <c r="J33" s="2852"/>
      <c r="K33" s="2852"/>
      <c r="L33" s="2852"/>
      <c r="M33" s="2852"/>
      <c r="N33" s="2852"/>
      <c r="O33" s="2849">
        <f t="shared" si="0"/>
        <v>0</v>
      </c>
      <c r="P33" s="2849"/>
      <c r="Q33" s="2849"/>
      <c r="R33" s="2849"/>
      <c r="S33" s="2849"/>
      <c r="T33" s="2849"/>
      <c r="U33" s="2843">
        <f>IFERROR(I33/DASHBOARD!$BM$192,0)</f>
        <v>0</v>
      </c>
      <c r="V33" s="2843"/>
      <c r="W33" s="2843"/>
      <c r="X33" s="2843"/>
      <c r="Y33" s="2843"/>
      <c r="Z33" s="2843"/>
      <c r="AA33" s="160"/>
      <c r="AB33" s="160"/>
      <c r="AC33" s="160"/>
      <c r="AD33" s="160"/>
      <c r="AE33" s="160"/>
      <c r="AF33" s="160"/>
      <c r="AG33" s="160"/>
      <c r="AH33" s="160"/>
      <c r="AI33" s="160"/>
      <c r="AJ33" s="160"/>
      <c r="AK33" s="160"/>
      <c r="AL33" s="160"/>
      <c r="AM33" s="160"/>
      <c r="AN33" s="160"/>
      <c r="AO33" s="160"/>
      <c r="AP33" s="160"/>
      <c r="AQ33" s="160"/>
      <c r="AR33" s="160"/>
      <c r="AS33" s="160"/>
      <c r="AT33" s="160"/>
      <c r="AU33" s="160"/>
      <c r="AV33" s="160"/>
      <c r="AW33" s="160"/>
      <c r="AX33" s="160"/>
      <c r="AY33" s="160"/>
      <c r="AZ33" s="160"/>
      <c r="BA33" s="160"/>
      <c r="BB33" s="160"/>
      <c r="BC33" s="160"/>
      <c r="BD33" s="160"/>
      <c r="BE33" s="1659"/>
    </row>
    <row r="34" spans="1:193" ht="16.5" customHeight="1" thickBot="1" x14ac:dyDescent="0.3">
      <c r="A34" s="377"/>
      <c r="B34" s="2825" t="str">
        <f>FORECASTS!B76</f>
        <v>Non Op. Expense 1</v>
      </c>
      <c r="C34" s="2825"/>
      <c r="D34" s="2825"/>
      <c r="E34" s="2825"/>
      <c r="F34" s="2825"/>
      <c r="G34" s="2825"/>
      <c r="H34" s="679"/>
      <c r="I34" s="2852">
        <f>FORECASTS!E76/FORECASTS!$E$9</f>
        <v>0</v>
      </c>
      <c r="J34" s="2852"/>
      <c r="K34" s="2852"/>
      <c r="L34" s="2852"/>
      <c r="M34" s="2852"/>
      <c r="N34" s="2852"/>
      <c r="O34" s="2849">
        <f t="shared" si="0"/>
        <v>0</v>
      </c>
      <c r="P34" s="2849"/>
      <c r="Q34" s="2849"/>
      <c r="R34" s="2849"/>
      <c r="S34" s="2849"/>
      <c r="T34" s="2849"/>
      <c r="U34" s="2843">
        <f>IFERROR(I34/DASHBOARD!$BM$192,0)</f>
        <v>0</v>
      </c>
      <c r="V34" s="2843"/>
      <c r="W34" s="2843"/>
      <c r="X34" s="2843"/>
      <c r="Y34" s="2843"/>
      <c r="Z34" s="2843"/>
      <c r="AA34" s="160"/>
      <c r="AB34" s="160"/>
      <c r="AC34" s="160"/>
      <c r="AD34" s="160"/>
      <c r="AE34" s="160"/>
      <c r="AF34" s="160"/>
      <c r="AG34" s="160"/>
      <c r="AH34" s="160"/>
      <c r="AI34" s="160"/>
      <c r="AJ34" s="160"/>
      <c r="AK34" s="160"/>
      <c r="AL34" s="160"/>
      <c r="AM34" s="160"/>
      <c r="AN34" s="160"/>
      <c r="AO34" s="160"/>
      <c r="AP34" s="160"/>
      <c r="AQ34" s="160"/>
      <c r="AR34" s="160"/>
      <c r="AS34" s="160"/>
      <c r="AT34" s="160"/>
      <c r="AU34" s="160"/>
      <c r="AV34" s="160"/>
      <c r="AW34" s="160"/>
      <c r="AX34" s="160"/>
      <c r="AY34" s="160"/>
      <c r="AZ34" s="160"/>
      <c r="BA34" s="160"/>
      <c r="BB34" s="160"/>
      <c r="BC34" s="160"/>
      <c r="BD34" s="160"/>
      <c r="BE34" s="1659"/>
    </row>
    <row r="35" spans="1:193" ht="16.5" customHeight="1" x14ac:dyDescent="0.25">
      <c r="A35" s="377"/>
      <c r="B35" s="2825" t="str">
        <f>FORECASTS!B77</f>
        <v>Non Op. Expense 2</v>
      </c>
      <c r="C35" s="2825"/>
      <c r="D35" s="2825"/>
      <c r="E35" s="2825"/>
      <c r="F35" s="2825"/>
      <c r="G35" s="2825"/>
      <c r="H35" s="679"/>
      <c r="I35" s="2852">
        <f>FORECASTS!E77/FORECASTS!$E$9</f>
        <v>0</v>
      </c>
      <c r="J35" s="2852"/>
      <c r="K35" s="2852"/>
      <c r="L35" s="2852"/>
      <c r="M35" s="2852"/>
      <c r="N35" s="2852"/>
      <c r="O35" s="2850">
        <f t="shared" si="0"/>
        <v>0</v>
      </c>
      <c r="P35" s="2850"/>
      <c r="Q35" s="2850"/>
      <c r="R35" s="2850"/>
      <c r="S35" s="2850"/>
      <c r="T35" s="2850"/>
      <c r="U35" s="2843">
        <f>IFERROR(I35/DASHBOARD!$BM$192,0)</f>
        <v>0</v>
      </c>
      <c r="V35" s="2843"/>
      <c r="W35" s="2843"/>
      <c r="X35" s="2843"/>
      <c r="Y35" s="2843"/>
      <c r="Z35" s="2843"/>
      <c r="AA35" s="160"/>
      <c r="AB35" s="160"/>
      <c r="AC35" s="160"/>
      <c r="AD35" s="160"/>
      <c r="AE35" s="160"/>
      <c r="AF35" s="160"/>
      <c r="AG35" s="160"/>
      <c r="AH35" s="160"/>
      <c r="AI35" s="160"/>
      <c r="AJ35" s="160"/>
      <c r="AK35" s="160"/>
      <c r="AL35" s="160"/>
      <c r="AM35" s="160"/>
      <c r="AN35" s="160"/>
      <c r="AO35" s="160"/>
      <c r="AP35" s="160"/>
      <c r="AQ35" s="160"/>
      <c r="AR35" s="160"/>
      <c r="AS35" s="160"/>
      <c r="AT35" s="160"/>
      <c r="AU35" s="160"/>
      <c r="AV35" s="160"/>
      <c r="AW35" s="160"/>
      <c r="AX35" s="160"/>
      <c r="AY35" s="160"/>
      <c r="AZ35" s="160"/>
      <c r="BA35" s="160"/>
      <c r="BB35" s="160"/>
      <c r="BC35" s="160"/>
      <c r="BD35" s="160"/>
      <c r="BE35" s="1659"/>
    </row>
    <row r="36" spans="1:193" ht="16.5" customHeight="1" x14ac:dyDescent="0.25">
      <c r="A36" s="161"/>
      <c r="B36" s="46" t="s">
        <v>189</v>
      </c>
      <c r="C36" s="46"/>
      <c r="D36" s="46"/>
      <c r="E36" s="46"/>
      <c r="F36" s="46"/>
      <c r="G36" s="46"/>
      <c r="H36" s="46"/>
      <c r="I36" s="2848">
        <f>IF(thumb&lt;&gt;0,DASHBOARD!BD135+IFERROR(-FORECASTS!E76/12,0)+IFERROR(-FORECASTS!E77/12,0),SUM(I13:L35))</f>
        <v>0</v>
      </c>
      <c r="J36" s="2848"/>
      <c r="K36" s="2848"/>
      <c r="L36" s="2848"/>
      <c r="M36" s="2848"/>
      <c r="N36" s="2848"/>
      <c r="O36" s="2848">
        <f>IF(thumb&lt;&gt;0,I36*12,SUM(O13:R35))</f>
        <v>0</v>
      </c>
      <c r="P36" s="2848"/>
      <c r="Q36" s="2848"/>
      <c r="R36" s="2848"/>
      <c r="S36" s="2848"/>
      <c r="T36" s="2848"/>
      <c r="U36" s="2853" t="e">
        <f>IF(thumb&lt;&gt;0,O36/DASHBOARD!BH192,SUM(U13:X35))</f>
        <v>#DIV/0!</v>
      </c>
      <c r="V36" s="2853"/>
      <c r="W36" s="2853"/>
      <c r="X36" s="2853"/>
      <c r="Y36" s="2853"/>
      <c r="Z36" s="2853"/>
      <c r="AA36" s="160"/>
      <c r="AB36" s="160"/>
      <c r="AC36" s="160"/>
      <c r="AD36" s="160"/>
      <c r="AE36" s="160"/>
      <c r="AF36" s="160"/>
      <c r="AG36" s="160"/>
      <c r="AH36" s="160"/>
      <c r="AI36" s="160"/>
      <c r="AJ36" s="160"/>
      <c r="AK36" s="160"/>
      <c r="AL36" s="160"/>
      <c r="AM36" s="160"/>
      <c r="AN36" s="160"/>
      <c r="AO36" s="160"/>
      <c r="AP36" s="160"/>
      <c r="AQ36" s="160"/>
      <c r="AR36" s="160"/>
      <c r="AS36" s="160"/>
      <c r="AT36" s="160"/>
      <c r="AU36" s="160"/>
      <c r="AV36" s="160"/>
      <c r="AW36" s="160"/>
      <c r="AX36" s="160"/>
      <c r="AY36" s="160"/>
      <c r="AZ36" s="160"/>
      <c r="BA36" s="160"/>
      <c r="BB36" s="160"/>
      <c r="BC36" s="160"/>
      <c r="BD36" s="160"/>
      <c r="BE36" s="1189"/>
    </row>
    <row r="37" spans="1:193" ht="14.25" customHeight="1" x14ac:dyDescent="0.25">
      <c r="A37" s="377"/>
      <c r="B37" s="9"/>
      <c r="C37" s="9"/>
      <c r="D37" s="9"/>
      <c r="E37" s="9"/>
      <c r="F37" s="9"/>
      <c r="G37" s="9"/>
      <c r="H37" s="9"/>
      <c r="I37" s="7"/>
      <c r="J37" s="7"/>
      <c r="K37" s="7"/>
      <c r="L37" s="1362"/>
      <c r="M37" s="1362"/>
      <c r="N37" s="1362"/>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377"/>
      <c r="AT37" s="377"/>
      <c r="AU37" s="377"/>
      <c r="AV37" s="377"/>
      <c r="AW37" s="377"/>
      <c r="AX37" s="377"/>
      <c r="AY37" s="377"/>
      <c r="AZ37" s="377"/>
      <c r="BA37" s="377"/>
      <c r="BB37" s="377"/>
      <c r="BC37" s="377"/>
      <c r="BD37" s="377"/>
      <c r="BE37" s="1659"/>
    </row>
    <row r="38" spans="1:193" ht="14.25" customHeight="1" x14ac:dyDescent="0.25">
      <c r="A38" s="1562"/>
      <c r="B38" s="675" t="s">
        <v>209</v>
      </c>
      <c r="C38" s="675"/>
      <c r="D38" s="675"/>
      <c r="E38" s="675"/>
      <c r="F38" s="675"/>
      <c r="G38" s="1557"/>
      <c r="H38" s="1557"/>
      <c r="I38" s="675"/>
      <c r="J38" s="675"/>
      <c r="K38" s="675"/>
      <c r="L38" s="675"/>
      <c r="M38" s="675"/>
      <c r="N38" s="675"/>
      <c r="O38" s="675"/>
      <c r="P38" s="675"/>
      <c r="Q38" s="675"/>
      <c r="R38" s="675"/>
      <c r="S38" s="675"/>
      <c r="T38" s="675"/>
      <c r="U38" s="675"/>
      <c r="V38" s="675"/>
      <c r="W38" s="675"/>
      <c r="X38" s="675"/>
      <c r="Y38" s="675"/>
      <c r="Z38" s="675"/>
      <c r="AA38" s="675"/>
      <c r="AB38" s="675"/>
      <c r="AC38" s="675"/>
      <c r="AD38" s="675"/>
      <c r="AE38" s="675"/>
      <c r="AF38" s="675"/>
      <c r="AG38" s="675"/>
      <c r="AH38" s="675"/>
      <c r="AI38" s="675"/>
      <c r="AJ38" s="675"/>
      <c r="AK38" s="675"/>
      <c r="AL38" s="675"/>
      <c r="AM38" s="675"/>
      <c r="AN38" s="675"/>
      <c r="AO38" s="675"/>
      <c r="AP38" s="675"/>
      <c r="AQ38" s="675"/>
      <c r="AR38" s="675"/>
      <c r="AS38" s="675"/>
      <c r="AT38" s="675"/>
      <c r="AU38" s="675"/>
      <c r="AV38" s="675"/>
      <c r="AW38" s="675"/>
      <c r="AX38" s="675"/>
      <c r="AY38" s="675"/>
      <c r="AZ38" s="675"/>
      <c r="BA38" s="675"/>
      <c r="BB38" s="675"/>
      <c r="BC38" s="675"/>
      <c r="BD38" s="675"/>
      <c r="BE38" s="1562"/>
    </row>
    <row r="39" spans="1:193" ht="14.25" customHeight="1" x14ac:dyDescent="0.25">
      <c r="A39" s="377"/>
      <c r="B39" s="9"/>
      <c r="C39" s="9"/>
      <c r="D39" s="9"/>
      <c r="E39" s="9"/>
      <c r="F39" s="9"/>
      <c r="G39" s="9"/>
      <c r="H39" s="9"/>
      <c r="I39" s="7"/>
      <c r="J39" s="7"/>
      <c r="K39" s="7"/>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377"/>
      <c r="AT39" s="377"/>
      <c r="AU39" s="377"/>
      <c r="AV39" s="377"/>
      <c r="AW39" s="377"/>
      <c r="AX39" s="377"/>
      <c r="AY39" s="377"/>
      <c r="AZ39" s="377"/>
      <c r="BA39" s="377"/>
      <c r="BB39" s="377"/>
      <c r="BC39" s="377"/>
      <c r="BD39" s="377"/>
      <c r="BE39" s="1659"/>
    </row>
    <row r="40" spans="1:193" ht="14.25" customHeight="1" x14ac:dyDescent="0.25">
      <c r="A40" s="164"/>
      <c r="B40" s="2819" t="s">
        <v>182</v>
      </c>
      <c r="C40" s="2819"/>
      <c r="D40" s="2819"/>
      <c r="E40" s="2819"/>
      <c r="F40" s="2819"/>
      <c r="G40" s="163"/>
      <c r="H40" s="163"/>
      <c r="I40" s="163"/>
      <c r="J40" s="163"/>
      <c r="K40" s="163"/>
      <c r="L40" s="2841">
        <v>1</v>
      </c>
      <c r="M40" s="2841"/>
      <c r="N40" s="2841"/>
      <c r="O40" s="2841">
        <f>L40+1</f>
        <v>2</v>
      </c>
      <c r="P40" s="2841"/>
      <c r="Q40" s="2841"/>
      <c r="R40" s="2841">
        <f>O40+1</f>
        <v>3</v>
      </c>
      <c r="S40" s="2841"/>
      <c r="T40" s="2841"/>
      <c r="U40" s="2841">
        <f>R40+1</f>
        <v>4</v>
      </c>
      <c r="V40" s="2841"/>
      <c r="W40" s="2841"/>
      <c r="X40" s="2841">
        <f>U40+1</f>
        <v>5</v>
      </c>
      <c r="Y40" s="2841"/>
      <c r="Z40" s="2841"/>
      <c r="AA40" s="2841">
        <f>X40+1</f>
        <v>6</v>
      </c>
      <c r="AB40" s="2841"/>
      <c r="AC40" s="2841"/>
      <c r="AD40" s="2841">
        <f>AA40+1</f>
        <v>7</v>
      </c>
      <c r="AE40" s="2841"/>
      <c r="AF40" s="2841"/>
      <c r="AG40" s="2841">
        <f>AD40+1</f>
        <v>8</v>
      </c>
      <c r="AH40" s="2841"/>
      <c r="AI40" s="2841"/>
      <c r="AJ40" s="2841">
        <f>AG40+1</f>
        <v>9</v>
      </c>
      <c r="AK40" s="2841"/>
      <c r="AL40" s="2841"/>
      <c r="AM40" s="2841">
        <f>AJ40+1</f>
        <v>10</v>
      </c>
      <c r="AN40" s="2841"/>
      <c r="AO40" s="2841"/>
      <c r="AP40" s="2841">
        <f>AM40+1</f>
        <v>11</v>
      </c>
      <c r="AQ40" s="2841"/>
      <c r="AR40" s="2841"/>
      <c r="AS40" s="2841">
        <f>AP40+1</f>
        <v>12</v>
      </c>
      <c r="AT40" s="2841"/>
      <c r="AU40" s="2841"/>
      <c r="AV40" s="2841">
        <f>AS40+1</f>
        <v>13</v>
      </c>
      <c r="AW40" s="2841"/>
      <c r="AX40" s="2841"/>
      <c r="AY40" s="2841">
        <f>AV40+1</f>
        <v>14</v>
      </c>
      <c r="AZ40" s="2841"/>
      <c r="BA40" s="2841"/>
      <c r="BB40" s="2841">
        <f>AY40+1</f>
        <v>15</v>
      </c>
      <c r="BC40" s="2841"/>
      <c r="BD40" s="2841"/>
      <c r="BE40" s="1190">
        <f>SUMPRODUCT(BE43:BE118,ROW(BE43:BE118))</f>
        <v>274</v>
      </c>
    </row>
    <row r="41" spans="1:193" ht="13.8" x14ac:dyDescent="0.25">
      <c r="A41" s="377"/>
      <c r="B41" s="9"/>
      <c r="C41" s="9"/>
      <c r="D41" s="9"/>
      <c r="E41" s="9"/>
      <c r="F41" s="9"/>
      <c r="G41" s="9"/>
      <c r="H41" s="9"/>
      <c r="I41" s="7"/>
      <c r="J41" s="7"/>
      <c r="K41" s="7"/>
      <c r="L41" s="1281"/>
      <c r="M41" s="1281"/>
      <c r="N41" s="1281"/>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1659"/>
    </row>
    <row r="42" spans="1:193" s="272" customFormat="1" ht="14.4" hidden="1" x14ac:dyDescent="0.3">
      <c r="A42" s="155"/>
      <c r="B42" s="154"/>
      <c r="C42" s="154"/>
      <c r="D42" s="154"/>
      <c r="E42" s="154"/>
      <c r="F42" s="154"/>
      <c r="G42" s="154"/>
      <c r="H42" s="154"/>
      <c r="I42" s="91"/>
      <c r="J42" s="91"/>
      <c r="K42" s="91"/>
      <c r="L42" s="154"/>
      <c r="M42" s="154"/>
      <c r="N42" s="154"/>
      <c r="O42" s="154"/>
      <c r="P42" s="154"/>
      <c r="Q42" s="154"/>
      <c r="R42" s="154"/>
      <c r="S42" s="154"/>
      <c r="T42" s="154"/>
      <c r="U42" s="154"/>
      <c r="V42" s="154"/>
      <c r="W42" s="154"/>
      <c r="X42" s="154"/>
      <c r="Y42" s="154"/>
      <c r="Z42" s="154"/>
      <c r="AA42" s="154"/>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187"/>
    </row>
    <row r="43" spans="1:193" s="272" customFormat="1" ht="14.4" x14ac:dyDescent="0.3">
      <c r="A43" s="165"/>
      <c r="B43" s="44" t="str">
        <f>FORECASTS!B19</f>
        <v>Gross Rental Income</v>
      </c>
      <c r="C43" s="44"/>
      <c r="D43" s="44"/>
      <c r="E43" s="44"/>
      <c r="F43" s="44"/>
      <c r="G43" s="44"/>
      <c r="H43" s="44"/>
      <c r="I43" s="20"/>
      <c r="J43" s="20"/>
      <c r="K43" s="20"/>
      <c r="L43" s="2809">
        <f>FORECASTS!E19</f>
        <v>0</v>
      </c>
      <c r="M43" s="2809"/>
      <c r="N43" s="2809"/>
      <c r="O43" s="2809">
        <f>FORECASTS!F19</f>
        <v>0</v>
      </c>
      <c r="P43" s="2809"/>
      <c r="Q43" s="2809"/>
      <c r="R43" s="2809">
        <f>FORECASTS!G19</f>
        <v>0</v>
      </c>
      <c r="S43" s="2809"/>
      <c r="T43" s="2809"/>
      <c r="U43" s="2809">
        <f>FORECASTS!H19</f>
        <v>0</v>
      </c>
      <c r="V43" s="2809"/>
      <c r="W43" s="2809"/>
      <c r="X43" s="2809">
        <f>FORECASTS!I19</f>
        <v>0</v>
      </c>
      <c r="Y43" s="2809"/>
      <c r="Z43" s="2809"/>
      <c r="AA43" s="2809">
        <f>FORECASTS!J19</f>
        <v>0</v>
      </c>
      <c r="AB43" s="2809"/>
      <c r="AC43" s="2809"/>
      <c r="AD43" s="2809">
        <f>FORECASTS!K19</f>
        <v>0</v>
      </c>
      <c r="AE43" s="2809"/>
      <c r="AF43" s="2809"/>
      <c r="AG43" s="2809">
        <f>FORECASTS!L19</f>
        <v>0</v>
      </c>
      <c r="AH43" s="2809"/>
      <c r="AI43" s="2809"/>
      <c r="AJ43" s="2809">
        <f>FORECASTS!M19</f>
        <v>0</v>
      </c>
      <c r="AK43" s="2809"/>
      <c r="AL43" s="2809"/>
      <c r="AM43" s="2809">
        <f>FORECASTS!N19</f>
        <v>0</v>
      </c>
      <c r="AN43" s="2809"/>
      <c r="AO43" s="2809"/>
      <c r="AP43" s="2809">
        <f>FORECASTS!O19</f>
        <v>0</v>
      </c>
      <c r="AQ43" s="2809"/>
      <c r="AR43" s="2809"/>
      <c r="AS43" s="2809">
        <f>FORECASTS!P19</f>
        <v>0</v>
      </c>
      <c r="AT43" s="2809"/>
      <c r="AU43" s="2809"/>
      <c r="AV43" s="2809">
        <f>FORECASTS!Q19</f>
        <v>0</v>
      </c>
      <c r="AW43" s="2809"/>
      <c r="AX43" s="2809"/>
      <c r="AY43" s="2809">
        <f>FORECASTS!R19</f>
        <v>0</v>
      </c>
      <c r="AZ43" s="2809"/>
      <c r="BA43" s="2809"/>
      <c r="BB43" s="2809">
        <f>FORECASTS!S19</f>
        <v>0</v>
      </c>
      <c r="BC43" s="2809"/>
      <c r="BD43" s="2809"/>
      <c r="BE43" s="341">
        <f>IF(SUM(L43:BB43)=0,0,1)</f>
        <v>0</v>
      </c>
      <c r="BK43" s="331"/>
      <c r="BL43" s="331"/>
      <c r="BM43" s="331"/>
      <c r="BN43" s="331"/>
      <c r="BO43" s="331"/>
      <c r="BP43" s="331"/>
      <c r="BQ43" s="331"/>
      <c r="BR43" s="331"/>
      <c r="BS43" s="331"/>
      <c r="BT43" s="331"/>
      <c r="BU43" s="331"/>
      <c r="BV43" s="331"/>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c r="FR43" s="331"/>
      <c r="FS43" s="331"/>
      <c r="FT43" s="331"/>
      <c r="FU43" s="331"/>
      <c r="FV43" s="331"/>
      <c r="FW43" s="331"/>
      <c r="FX43" s="331"/>
      <c r="FY43" s="331"/>
      <c r="FZ43" s="331"/>
      <c r="GA43" s="331"/>
      <c r="GB43" s="331"/>
      <c r="GC43" s="331"/>
      <c r="GD43" s="331"/>
      <c r="GE43" s="331"/>
      <c r="GF43" s="331"/>
      <c r="GG43" s="331"/>
      <c r="GH43" s="331"/>
      <c r="GI43" s="331"/>
      <c r="GJ43" s="331"/>
      <c r="GK43" s="331"/>
    </row>
    <row r="44" spans="1:193" s="272" customFormat="1" ht="14.4" hidden="1" x14ac:dyDescent="0.3">
      <c r="A44" s="160"/>
      <c r="B44" s="44"/>
      <c r="C44" s="44"/>
      <c r="D44" s="44"/>
      <c r="E44" s="44"/>
      <c r="F44" s="44"/>
      <c r="G44" s="44"/>
      <c r="H44" s="44"/>
      <c r="I44" s="20"/>
      <c r="J44" s="20"/>
      <c r="K44" s="20"/>
      <c r="L44" s="159"/>
      <c r="M44" s="159"/>
      <c r="N44" s="159"/>
      <c r="O44" s="159"/>
      <c r="P44" s="159"/>
      <c r="Q44" s="159"/>
      <c r="R44" s="159"/>
      <c r="S44" s="159"/>
      <c r="T44" s="159"/>
      <c r="U44" s="159"/>
      <c r="V44" s="159"/>
      <c r="W44" s="159"/>
      <c r="X44" s="159"/>
      <c r="Y44" s="159"/>
      <c r="Z44" s="159"/>
      <c r="AA44" s="159"/>
      <c r="AB44" s="159"/>
      <c r="AC44" s="159"/>
      <c r="AD44" s="159"/>
      <c r="AE44" s="159"/>
      <c r="AF44" s="159"/>
      <c r="AG44" s="159"/>
      <c r="AH44" s="159"/>
      <c r="AI44" s="159"/>
      <c r="AJ44" s="159"/>
      <c r="AK44" s="159"/>
      <c r="AL44" s="159"/>
      <c r="AM44" s="159"/>
      <c r="AN44" s="159"/>
      <c r="AO44" s="159"/>
      <c r="AP44" s="159"/>
      <c r="AQ44" s="159"/>
      <c r="AR44" s="159"/>
      <c r="AS44" s="159"/>
      <c r="AT44" s="159"/>
      <c r="AU44" s="159"/>
      <c r="AV44" s="159"/>
      <c r="AW44" s="159"/>
      <c r="AX44" s="159"/>
      <c r="AY44" s="159"/>
      <c r="AZ44" s="159"/>
      <c r="BA44" s="159"/>
      <c r="BB44" s="159"/>
      <c r="BC44" s="159"/>
      <c r="BD44" s="159"/>
      <c r="BE44" s="794"/>
    </row>
    <row r="45" spans="1:193" s="272" customFormat="1" ht="14.4" x14ac:dyDescent="0.3">
      <c r="A45" s="160"/>
      <c r="B45" s="44" t="s">
        <v>192</v>
      </c>
      <c r="C45" s="44"/>
      <c r="D45" s="44"/>
      <c r="E45" s="44"/>
      <c r="F45" s="44"/>
      <c r="G45" s="44"/>
      <c r="H45" s="44"/>
      <c r="I45" s="20"/>
      <c r="J45" s="20"/>
      <c r="K45" s="20"/>
      <c r="L45" s="2809">
        <f>FORECASTS!E21</f>
        <v>0</v>
      </c>
      <c r="M45" s="2809"/>
      <c r="N45" s="2809"/>
      <c r="O45" s="2809">
        <f>FORECASTS!F21</f>
        <v>0</v>
      </c>
      <c r="P45" s="2809"/>
      <c r="Q45" s="2809"/>
      <c r="R45" s="2809">
        <f>FORECASTS!G21</f>
        <v>0</v>
      </c>
      <c r="S45" s="2809"/>
      <c r="T45" s="2809"/>
      <c r="U45" s="2809">
        <f>FORECASTS!H21</f>
        <v>0</v>
      </c>
      <c r="V45" s="2809"/>
      <c r="W45" s="2809"/>
      <c r="X45" s="2809">
        <f>FORECASTS!I21</f>
        <v>0</v>
      </c>
      <c r="Y45" s="2809"/>
      <c r="Z45" s="2809"/>
      <c r="AA45" s="2809">
        <f>FORECASTS!J21</f>
        <v>0</v>
      </c>
      <c r="AB45" s="2809"/>
      <c r="AC45" s="2809"/>
      <c r="AD45" s="2809">
        <f>FORECASTS!K21</f>
        <v>0</v>
      </c>
      <c r="AE45" s="2809"/>
      <c r="AF45" s="2809"/>
      <c r="AG45" s="2809">
        <f>FORECASTS!L21</f>
        <v>0</v>
      </c>
      <c r="AH45" s="2809"/>
      <c r="AI45" s="2809"/>
      <c r="AJ45" s="2809">
        <f>FORECASTS!M21</f>
        <v>0</v>
      </c>
      <c r="AK45" s="2809"/>
      <c r="AL45" s="2809"/>
      <c r="AM45" s="2809">
        <f>FORECASTS!N21</f>
        <v>0</v>
      </c>
      <c r="AN45" s="2809"/>
      <c r="AO45" s="2809"/>
      <c r="AP45" s="2809">
        <f>FORECASTS!O21</f>
        <v>0</v>
      </c>
      <c r="AQ45" s="2809"/>
      <c r="AR45" s="2809"/>
      <c r="AS45" s="2809">
        <f>FORECASTS!P21</f>
        <v>0</v>
      </c>
      <c r="AT45" s="2809"/>
      <c r="AU45" s="2809"/>
      <c r="AV45" s="2809">
        <f>FORECASTS!Q21</f>
        <v>0</v>
      </c>
      <c r="AW45" s="2809"/>
      <c r="AX45" s="2809"/>
      <c r="AY45" s="2809">
        <f>FORECASTS!R21</f>
        <v>0</v>
      </c>
      <c r="AZ45" s="2809"/>
      <c r="BA45" s="2809"/>
      <c r="BB45" s="2809">
        <f>FORECASTS!S21</f>
        <v>0</v>
      </c>
      <c r="BC45" s="2809"/>
      <c r="BD45" s="2809"/>
      <c r="BE45" s="341">
        <f>IF(SUM(L45:BB45)=0,0,1)</f>
        <v>0</v>
      </c>
      <c r="BK45" s="331"/>
      <c r="BL45" s="331"/>
      <c r="BM45" s="331"/>
      <c r="BN45" s="331"/>
      <c r="BO45" s="331"/>
      <c r="BP45" s="331"/>
      <c r="BQ45" s="331"/>
      <c r="BR45" s="331"/>
      <c r="BS45" s="331"/>
      <c r="BT45" s="331"/>
      <c r="BU45" s="331"/>
      <c r="BV45" s="331"/>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c r="FR45" s="331"/>
      <c r="FS45" s="331"/>
      <c r="FT45" s="331"/>
      <c r="FU45" s="331"/>
      <c r="FV45" s="331"/>
      <c r="FW45" s="331"/>
      <c r="FX45" s="331"/>
      <c r="FY45" s="331"/>
      <c r="FZ45" s="331"/>
      <c r="GA45" s="331"/>
      <c r="GB45" s="331"/>
      <c r="GC45" s="331"/>
      <c r="GD45" s="331"/>
      <c r="GE45" s="331"/>
      <c r="GF45" s="331"/>
      <c r="GG45" s="331"/>
      <c r="GH45" s="331"/>
      <c r="GI45" s="331"/>
      <c r="GJ45" s="331"/>
      <c r="GK45" s="331"/>
    </row>
    <row r="46" spans="1:193" s="272" customFormat="1" ht="14.4" hidden="1" x14ac:dyDescent="0.3">
      <c r="A46" s="160"/>
      <c r="B46" s="44" t="s">
        <v>1003</v>
      </c>
      <c r="C46" s="44"/>
      <c r="D46" s="44"/>
      <c r="E46" s="44"/>
      <c r="F46" s="44"/>
      <c r="G46" s="44"/>
      <c r="H46" s="44"/>
      <c r="I46" s="20"/>
      <c r="J46" s="20"/>
      <c r="K46" s="20"/>
      <c r="L46" s="2809">
        <f>FORECASTS!E23</f>
        <v>0</v>
      </c>
      <c r="M46" s="2809"/>
      <c r="N46" s="2809"/>
      <c r="O46" s="2809">
        <f>FORECASTS!F23</f>
        <v>0</v>
      </c>
      <c r="P46" s="2809"/>
      <c r="Q46" s="2809"/>
      <c r="R46" s="2809">
        <f>FORECASTS!G23</f>
        <v>0</v>
      </c>
      <c r="S46" s="2809"/>
      <c r="T46" s="2809"/>
      <c r="U46" s="2809">
        <f>FORECASTS!H23</f>
        <v>0</v>
      </c>
      <c r="V46" s="2809"/>
      <c r="W46" s="2809"/>
      <c r="X46" s="2809">
        <f>FORECASTS!I23</f>
        <v>0</v>
      </c>
      <c r="Y46" s="2809"/>
      <c r="Z46" s="2809"/>
      <c r="AA46" s="2809">
        <f>FORECASTS!J23</f>
        <v>0</v>
      </c>
      <c r="AB46" s="2809"/>
      <c r="AC46" s="2809"/>
      <c r="AD46" s="2809">
        <f>FORECASTS!K23</f>
        <v>0</v>
      </c>
      <c r="AE46" s="2809"/>
      <c r="AF46" s="2809"/>
      <c r="AG46" s="2809">
        <f>FORECASTS!L23</f>
        <v>0</v>
      </c>
      <c r="AH46" s="2809"/>
      <c r="AI46" s="2809"/>
      <c r="AJ46" s="2809">
        <f>FORECASTS!M23</f>
        <v>0</v>
      </c>
      <c r="AK46" s="2809"/>
      <c r="AL46" s="2809"/>
      <c r="AM46" s="2809">
        <f>FORECASTS!N23</f>
        <v>0</v>
      </c>
      <c r="AN46" s="2809"/>
      <c r="AO46" s="2809"/>
      <c r="AP46" s="2809">
        <f>FORECASTS!O23</f>
        <v>0</v>
      </c>
      <c r="AQ46" s="2809"/>
      <c r="AR46" s="2809"/>
      <c r="AS46" s="2809">
        <f>FORECASTS!P23</f>
        <v>0</v>
      </c>
      <c r="AT46" s="2809"/>
      <c r="AU46" s="2809"/>
      <c r="AV46" s="2809">
        <f>FORECASTS!Q23</f>
        <v>0</v>
      </c>
      <c r="AW46" s="2809"/>
      <c r="AX46" s="2809"/>
      <c r="AY46" s="2809">
        <f>FORECASTS!R23</f>
        <v>0</v>
      </c>
      <c r="AZ46" s="2809"/>
      <c r="BA46" s="2809"/>
      <c r="BB46" s="2809">
        <f>FORECASTS!S23</f>
        <v>0</v>
      </c>
      <c r="BC46" s="2809"/>
      <c r="BD46" s="2809"/>
      <c r="BE46" s="341">
        <f>IF(SUM(L46:BB46)=0,0,1)</f>
        <v>0</v>
      </c>
    </row>
    <row r="47" spans="1:193" s="272" customFormat="1" ht="14.4" x14ac:dyDescent="0.3">
      <c r="A47" s="160"/>
      <c r="B47" s="44" t="s">
        <v>1004</v>
      </c>
      <c r="C47" s="44"/>
      <c r="D47" s="44"/>
      <c r="E47" s="44"/>
      <c r="F47" s="44"/>
      <c r="G47" s="44"/>
      <c r="H47" s="44"/>
      <c r="I47" s="20"/>
      <c r="J47" s="20"/>
      <c r="K47" s="20"/>
      <c r="L47" s="2809">
        <f>FORECASTS!E25</f>
        <v>0</v>
      </c>
      <c r="M47" s="2809"/>
      <c r="N47" s="2809"/>
      <c r="O47" s="2809">
        <f>FORECASTS!F25</f>
        <v>0</v>
      </c>
      <c r="P47" s="2809"/>
      <c r="Q47" s="2809"/>
      <c r="R47" s="2809">
        <f>FORECASTS!G25</f>
        <v>0</v>
      </c>
      <c r="S47" s="2809"/>
      <c r="T47" s="2809"/>
      <c r="U47" s="2809">
        <f>FORECASTS!H25</f>
        <v>0</v>
      </c>
      <c r="V47" s="2809"/>
      <c r="W47" s="2809"/>
      <c r="X47" s="2809">
        <f>FORECASTS!I25</f>
        <v>0</v>
      </c>
      <c r="Y47" s="2809"/>
      <c r="Z47" s="2809"/>
      <c r="AA47" s="2809">
        <f>FORECASTS!J25</f>
        <v>0</v>
      </c>
      <c r="AB47" s="2809"/>
      <c r="AC47" s="2809"/>
      <c r="AD47" s="2809">
        <f>FORECASTS!K25</f>
        <v>0</v>
      </c>
      <c r="AE47" s="2809"/>
      <c r="AF47" s="2809"/>
      <c r="AG47" s="2809">
        <f>FORECASTS!L25</f>
        <v>0</v>
      </c>
      <c r="AH47" s="2809"/>
      <c r="AI47" s="2809"/>
      <c r="AJ47" s="2809">
        <f>FORECASTS!M25</f>
        <v>0</v>
      </c>
      <c r="AK47" s="2809"/>
      <c r="AL47" s="2809"/>
      <c r="AM47" s="2809">
        <f>FORECASTS!N25</f>
        <v>0</v>
      </c>
      <c r="AN47" s="2809"/>
      <c r="AO47" s="2809"/>
      <c r="AP47" s="2809">
        <f>FORECASTS!O25</f>
        <v>0</v>
      </c>
      <c r="AQ47" s="2809"/>
      <c r="AR47" s="2809"/>
      <c r="AS47" s="2809">
        <f>FORECASTS!P25</f>
        <v>0</v>
      </c>
      <c r="AT47" s="2809"/>
      <c r="AU47" s="2809"/>
      <c r="AV47" s="2809">
        <f>FORECASTS!Q25</f>
        <v>0</v>
      </c>
      <c r="AW47" s="2809"/>
      <c r="AX47" s="2809"/>
      <c r="AY47" s="2809">
        <f>FORECASTS!R25</f>
        <v>0</v>
      </c>
      <c r="AZ47" s="2809"/>
      <c r="BA47" s="2809"/>
      <c r="BB47" s="2809">
        <f>FORECASTS!S25</f>
        <v>0</v>
      </c>
      <c r="BC47" s="2809"/>
      <c r="BD47" s="2809"/>
      <c r="BE47" s="341">
        <f>IF(SUM(L47:BB47)=0,0,1)</f>
        <v>0</v>
      </c>
      <c r="BK47" s="331"/>
      <c r="BL47" s="331"/>
      <c r="BM47" s="331"/>
      <c r="BN47" s="331"/>
      <c r="BO47" s="331"/>
      <c r="BP47" s="331"/>
      <c r="BQ47" s="331"/>
      <c r="BR47" s="331"/>
      <c r="BS47" s="331"/>
      <c r="BT47" s="331"/>
      <c r="BU47" s="331"/>
      <c r="BV47" s="331"/>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row>
    <row r="48" spans="1:193" s="272" customFormat="1" ht="14.4" x14ac:dyDescent="0.3">
      <c r="A48" s="161"/>
      <c r="B48" s="46" t="str">
        <f>FORECASTS!B26</f>
        <v>Net Rental Income</v>
      </c>
      <c r="C48" s="46"/>
      <c r="D48" s="46"/>
      <c r="E48" s="46"/>
      <c r="F48" s="46"/>
      <c r="G48" s="46"/>
      <c r="H48" s="46"/>
      <c r="I48" s="46"/>
      <c r="J48" s="46"/>
      <c r="K48" s="46"/>
      <c r="L48" s="2820">
        <f>SUM(L43:L47)</f>
        <v>0</v>
      </c>
      <c r="M48" s="2820"/>
      <c r="N48" s="2820"/>
      <c r="O48" s="2820">
        <f>SUM(O43:O47)</f>
        <v>0</v>
      </c>
      <c r="P48" s="2820"/>
      <c r="Q48" s="2820"/>
      <c r="R48" s="2820">
        <f>SUM(R43:R47)</f>
        <v>0</v>
      </c>
      <c r="S48" s="2820"/>
      <c r="T48" s="2820"/>
      <c r="U48" s="2820">
        <f>SUM(U43:U47)</f>
        <v>0</v>
      </c>
      <c r="V48" s="2820"/>
      <c r="W48" s="2820"/>
      <c r="X48" s="2820">
        <f>SUM(X43:X47)</f>
        <v>0</v>
      </c>
      <c r="Y48" s="2820"/>
      <c r="Z48" s="2820"/>
      <c r="AA48" s="2820">
        <f>SUM(AA43:AA47)</f>
        <v>0</v>
      </c>
      <c r="AB48" s="2820"/>
      <c r="AC48" s="2820"/>
      <c r="AD48" s="2820">
        <f>SUM(AD43:AD47)</f>
        <v>0</v>
      </c>
      <c r="AE48" s="2820"/>
      <c r="AF48" s="2820"/>
      <c r="AG48" s="2820">
        <f>SUM(AG43:AG47)</f>
        <v>0</v>
      </c>
      <c r="AH48" s="2820"/>
      <c r="AI48" s="2820"/>
      <c r="AJ48" s="2820">
        <f>SUM(AJ43:AJ47)</f>
        <v>0</v>
      </c>
      <c r="AK48" s="2820"/>
      <c r="AL48" s="2820"/>
      <c r="AM48" s="2820">
        <f>SUM(AM43:AM47)</f>
        <v>0</v>
      </c>
      <c r="AN48" s="2820"/>
      <c r="AO48" s="2820"/>
      <c r="AP48" s="2820">
        <f>SUM(AP43:AP47)</f>
        <v>0</v>
      </c>
      <c r="AQ48" s="2820"/>
      <c r="AR48" s="2820"/>
      <c r="AS48" s="2820">
        <f>SUM(AS43:AS47)</f>
        <v>0</v>
      </c>
      <c r="AT48" s="2820"/>
      <c r="AU48" s="2820"/>
      <c r="AV48" s="2820">
        <f>SUM(AV43:AV47)</f>
        <v>0</v>
      </c>
      <c r="AW48" s="2820"/>
      <c r="AX48" s="2820"/>
      <c r="AY48" s="2820">
        <f>SUM(AY43:AY47)</f>
        <v>0</v>
      </c>
      <c r="AZ48" s="2820"/>
      <c r="BA48" s="2820"/>
      <c r="BB48" s="2820">
        <f>SUM(BB43:BB47)</f>
        <v>0</v>
      </c>
      <c r="BC48" s="2820"/>
      <c r="BD48" s="2820"/>
      <c r="BE48" s="341">
        <f>IF(SUM(L48:BB48)=0,0,1)</f>
        <v>0</v>
      </c>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row>
    <row r="49" spans="1:193" s="272" customFormat="1" ht="16.8" x14ac:dyDescent="0.4">
      <c r="A49" s="44"/>
      <c r="B49" s="271"/>
      <c r="C49" s="271"/>
      <c r="D49" s="271"/>
      <c r="E49" s="271"/>
      <c r="F49" s="271"/>
      <c r="G49" s="271"/>
      <c r="H49" s="271"/>
      <c r="I49" s="271"/>
      <c r="J49" s="271"/>
      <c r="K49" s="271"/>
      <c r="L49" s="1503"/>
      <c r="M49" s="1503"/>
      <c r="N49" s="1503"/>
      <c r="O49" s="1503"/>
      <c r="P49" s="1503"/>
      <c r="Q49" s="1503"/>
      <c r="R49" s="1503"/>
      <c r="S49" s="1503"/>
      <c r="T49" s="1503"/>
      <c r="U49" s="1503"/>
      <c r="V49" s="1503"/>
      <c r="W49" s="1503"/>
      <c r="X49" s="1503"/>
      <c r="Y49" s="1503"/>
      <c r="Z49" s="1503"/>
      <c r="AA49" s="1503"/>
      <c r="AB49" s="1503"/>
      <c r="AC49" s="1503"/>
      <c r="AD49" s="1503"/>
      <c r="AE49" s="1503"/>
      <c r="AF49" s="1503"/>
      <c r="AG49" s="1503"/>
      <c r="AH49" s="1503"/>
      <c r="AI49" s="1503"/>
      <c r="AJ49" s="1503"/>
      <c r="AK49" s="1503"/>
      <c r="AL49" s="1503"/>
      <c r="AM49" s="1503"/>
      <c r="AN49" s="1503"/>
      <c r="AO49" s="1503"/>
      <c r="AP49" s="1503"/>
      <c r="AQ49" s="1503"/>
      <c r="AR49" s="1503"/>
      <c r="AS49" s="1503"/>
      <c r="AT49" s="1503"/>
      <c r="AU49" s="1503"/>
      <c r="AV49" s="1503"/>
      <c r="AW49" s="1503"/>
      <c r="AX49" s="1503"/>
      <c r="AY49" s="1503"/>
      <c r="AZ49" s="1503"/>
      <c r="BA49" s="1503"/>
      <c r="BB49" s="1503"/>
      <c r="BC49" s="1503"/>
      <c r="BD49" s="1503"/>
      <c r="BE49" s="341">
        <v>1</v>
      </c>
      <c r="BI49" s="358"/>
      <c r="BJ49" s="358"/>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row>
    <row r="50" spans="1:193" s="272" customFormat="1" ht="16.8" x14ac:dyDescent="0.4">
      <c r="A50" s="160"/>
      <c r="B50" s="44" t="str">
        <f>FORECASTS!B40</f>
        <v>Property Insurance + Tax</v>
      </c>
      <c r="C50" s="44"/>
      <c r="D50" s="44"/>
      <c r="E50" s="44"/>
      <c r="F50" s="44"/>
      <c r="G50" s="44"/>
      <c r="H50" s="44"/>
      <c r="I50" s="44"/>
      <c r="J50" s="44"/>
      <c r="K50" s="44"/>
      <c r="L50" s="2809">
        <f>-FORECASTS!E40</f>
        <v>0</v>
      </c>
      <c r="M50" s="2809"/>
      <c r="N50" s="2809"/>
      <c r="O50" s="2809">
        <f>-FORECASTS!F40</f>
        <v>0</v>
      </c>
      <c r="P50" s="2809"/>
      <c r="Q50" s="2809"/>
      <c r="R50" s="2809">
        <f>-FORECASTS!G40</f>
        <v>0</v>
      </c>
      <c r="S50" s="2809"/>
      <c r="T50" s="2809"/>
      <c r="U50" s="2809">
        <f>-FORECASTS!H40</f>
        <v>0</v>
      </c>
      <c r="V50" s="2809"/>
      <c r="W50" s="2809"/>
      <c r="X50" s="2809">
        <f>-FORECASTS!I40</f>
        <v>0</v>
      </c>
      <c r="Y50" s="2809"/>
      <c r="Z50" s="2809"/>
      <c r="AA50" s="2809">
        <f>-FORECASTS!J40</f>
        <v>0</v>
      </c>
      <c r="AB50" s="2809"/>
      <c r="AC50" s="2809"/>
      <c r="AD50" s="2809">
        <f>-FORECASTS!K40</f>
        <v>0</v>
      </c>
      <c r="AE50" s="2809"/>
      <c r="AF50" s="2809"/>
      <c r="AG50" s="2809">
        <f>-FORECASTS!L40</f>
        <v>0</v>
      </c>
      <c r="AH50" s="2809"/>
      <c r="AI50" s="2809"/>
      <c r="AJ50" s="2809">
        <f>-FORECASTS!M40</f>
        <v>0</v>
      </c>
      <c r="AK50" s="2809"/>
      <c r="AL50" s="2809"/>
      <c r="AM50" s="2809">
        <f>-FORECASTS!N40</f>
        <v>0</v>
      </c>
      <c r="AN50" s="2809"/>
      <c r="AO50" s="2809"/>
      <c r="AP50" s="2809">
        <f>-FORECASTS!O40</f>
        <v>0</v>
      </c>
      <c r="AQ50" s="2809"/>
      <c r="AR50" s="2809"/>
      <c r="AS50" s="2809">
        <f>-FORECASTS!P40</f>
        <v>0</v>
      </c>
      <c r="AT50" s="2809"/>
      <c r="AU50" s="2809"/>
      <c r="AV50" s="2809">
        <f>-FORECASTS!Q40</f>
        <v>0</v>
      </c>
      <c r="AW50" s="2809"/>
      <c r="AX50" s="2809"/>
      <c r="AY50" s="2809">
        <f>-FORECASTS!R40</f>
        <v>0</v>
      </c>
      <c r="AZ50" s="2809"/>
      <c r="BA50" s="2809"/>
      <c r="BB50" s="2809">
        <f>-FORECASTS!S40</f>
        <v>0</v>
      </c>
      <c r="BC50" s="2809"/>
      <c r="BD50" s="2809"/>
      <c r="BE50" s="341">
        <f t="shared" ref="BE50:BE70" si="1">IF(SUM(L50:BB50)=0,0,1)</f>
        <v>0</v>
      </c>
      <c r="BI50" s="358"/>
      <c r="BK50" s="331"/>
      <c r="BL50" s="331"/>
      <c r="BM50" s="331"/>
      <c r="BN50" s="331"/>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row>
    <row r="51" spans="1:193" s="272" customFormat="1" ht="16.8" x14ac:dyDescent="0.4">
      <c r="A51" s="160"/>
      <c r="B51" s="44" t="str">
        <f>FORECASTS!B42</f>
        <v>Irrigation</v>
      </c>
      <c r="C51" s="44"/>
      <c r="D51" s="44"/>
      <c r="E51" s="44"/>
      <c r="F51" s="44"/>
      <c r="G51" s="44"/>
      <c r="H51" s="44"/>
      <c r="I51" s="44"/>
      <c r="J51" s="44"/>
      <c r="K51" s="44"/>
      <c r="L51" s="2809">
        <f>-FORECASTS!E42</f>
        <v>0</v>
      </c>
      <c r="M51" s="2809"/>
      <c r="N51" s="2809"/>
      <c r="O51" s="2809">
        <f>-FORECASTS!F42</f>
        <v>0</v>
      </c>
      <c r="P51" s="2809"/>
      <c r="Q51" s="2809"/>
      <c r="R51" s="2809">
        <f>-FORECASTS!G42</f>
        <v>0</v>
      </c>
      <c r="S51" s="2809"/>
      <c r="T51" s="2809"/>
      <c r="U51" s="2809">
        <f>-FORECASTS!H42</f>
        <v>0</v>
      </c>
      <c r="V51" s="2809"/>
      <c r="W51" s="2809"/>
      <c r="X51" s="2809">
        <f>-FORECASTS!I42</f>
        <v>0</v>
      </c>
      <c r="Y51" s="2809"/>
      <c r="Z51" s="2809"/>
      <c r="AA51" s="2809">
        <f>-FORECASTS!J42</f>
        <v>0</v>
      </c>
      <c r="AB51" s="2809"/>
      <c r="AC51" s="2809"/>
      <c r="AD51" s="2809">
        <f>-FORECASTS!K42</f>
        <v>0</v>
      </c>
      <c r="AE51" s="2809"/>
      <c r="AF51" s="2809"/>
      <c r="AG51" s="2809">
        <f>-FORECASTS!L42</f>
        <v>0</v>
      </c>
      <c r="AH51" s="2809"/>
      <c r="AI51" s="2809"/>
      <c r="AJ51" s="2809">
        <f>-FORECASTS!M42</f>
        <v>0</v>
      </c>
      <c r="AK51" s="2809"/>
      <c r="AL51" s="2809"/>
      <c r="AM51" s="2809">
        <f>-FORECASTS!N42</f>
        <v>0</v>
      </c>
      <c r="AN51" s="2809"/>
      <c r="AO51" s="2809"/>
      <c r="AP51" s="2809">
        <f>-FORECASTS!O42</f>
        <v>0</v>
      </c>
      <c r="AQ51" s="2809"/>
      <c r="AR51" s="2809"/>
      <c r="AS51" s="2809">
        <f>-FORECASTS!P42</f>
        <v>0</v>
      </c>
      <c r="AT51" s="2809"/>
      <c r="AU51" s="2809"/>
      <c r="AV51" s="2809">
        <f>-FORECASTS!Q42</f>
        <v>0</v>
      </c>
      <c r="AW51" s="2809"/>
      <c r="AX51" s="2809"/>
      <c r="AY51" s="2809">
        <f>-FORECASTS!R42</f>
        <v>0</v>
      </c>
      <c r="AZ51" s="2809"/>
      <c r="BA51" s="2809"/>
      <c r="BB51" s="2809">
        <f>-FORECASTS!S42</f>
        <v>0</v>
      </c>
      <c r="BC51" s="2809"/>
      <c r="BD51" s="2809"/>
      <c r="BE51" s="341">
        <f t="shared" si="1"/>
        <v>0</v>
      </c>
      <c r="BI51" s="358"/>
      <c r="BK51" s="331"/>
      <c r="BL51" s="331"/>
      <c r="BM51" s="331"/>
      <c r="BN51" s="331"/>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row>
    <row r="52" spans="1:193" s="272" customFormat="1" ht="16.8" x14ac:dyDescent="0.4">
      <c r="A52" s="160"/>
      <c r="B52" s="44" t="str">
        <f>FORECASTS!B38</f>
        <v>Internet</v>
      </c>
      <c r="C52" s="44"/>
      <c r="D52" s="44"/>
      <c r="E52" s="44"/>
      <c r="F52" s="44"/>
      <c r="G52" s="44"/>
      <c r="H52" s="44"/>
      <c r="I52" s="44"/>
      <c r="J52" s="44"/>
      <c r="K52" s="44"/>
      <c r="L52" s="2809">
        <f>-FORECASTS!E38</f>
        <v>0</v>
      </c>
      <c r="M52" s="2809"/>
      <c r="N52" s="2809"/>
      <c r="O52" s="2809">
        <f>-FORECASTS!F38</f>
        <v>0</v>
      </c>
      <c r="P52" s="2809"/>
      <c r="Q52" s="2809"/>
      <c r="R52" s="2809">
        <f>-FORECASTS!G38</f>
        <v>0</v>
      </c>
      <c r="S52" s="2809"/>
      <c r="T52" s="2809"/>
      <c r="U52" s="2809">
        <f>-FORECASTS!H38</f>
        <v>0</v>
      </c>
      <c r="V52" s="2809"/>
      <c r="W52" s="2809"/>
      <c r="X52" s="2809">
        <f>-FORECASTS!I38</f>
        <v>0</v>
      </c>
      <c r="Y52" s="2809"/>
      <c r="Z52" s="2809"/>
      <c r="AA52" s="2809">
        <f>-FORECASTS!J38</f>
        <v>0</v>
      </c>
      <c r="AB52" s="2809"/>
      <c r="AC52" s="2809"/>
      <c r="AD52" s="2809">
        <f>-FORECASTS!K38</f>
        <v>0</v>
      </c>
      <c r="AE52" s="2809"/>
      <c r="AF52" s="2809"/>
      <c r="AG52" s="2809">
        <f>-FORECASTS!L38</f>
        <v>0</v>
      </c>
      <c r="AH52" s="2809"/>
      <c r="AI52" s="2809"/>
      <c r="AJ52" s="2809">
        <f>-FORECASTS!M38</f>
        <v>0</v>
      </c>
      <c r="AK52" s="2809"/>
      <c r="AL52" s="2809"/>
      <c r="AM52" s="2809">
        <f>-FORECASTS!N38</f>
        <v>0</v>
      </c>
      <c r="AN52" s="2809"/>
      <c r="AO52" s="2809"/>
      <c r="AP52" s="2809">
        <f>-FORECASTS!O38</f>
        <v>0</v>
      </c>
      <c r="AQ52" s="2809"/>
      <c r="AR52" s="2809"/>
      <c r="AS52" s="2809">
        <f>-FORECASTS!P38</f>
        <v>0</v>
      </c>
      <c r="AT52" s="2809"/>
      <c r="AU52" s="2809"/>
      <c r="AV52" s="2809">
        <f>-FORECASTS!Q38</f>
        <v>0</v>
      </c>
      <c r="AW52" s="2809"/>
      <c r="AX52" s="2809"/>
      <c r="AY52" s="2809">
        <f>-FORECASTS!R38</f>
        <v>0</v>
      </c>
      <c r="AZ52" s="2809"/>
      <c r="BA52" s="2809"/>
      <c r="BB52" s="2809">
        <f>-FORECASTS!S38</f>
        <v>0</v>
      </c>
      <c r="BC52" s="2809"/>
      <c r="BD52" s="2809"/>
      <c r="BE52" s="341">
        <f t="shared" si="1"/>
        <v>0</v>
      </c>
      <c r="BI52" s="358"/>
      <c r="BK52" s="331"/>
      <c r="BL52" s="331"/>
      <c r="BM52" s="331"/>
      <c r="BN52" s="331"/>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row>
    <row r="53" spans="1:193" s="272" customFormat="1" ht="16.8" hidden="1" x14ac:dyDescent="0.4">
      <c r="A53" s="160"/>
      <c r="B53" s="44" t="str">
        <f>FORECASTS!B50</f>
        <v xml:space="preserve">Property Management </v>
      </c>
      <c r="C53" s="44"/>
      <c r="D53" s="44"/>
      <c r="E53" s="44"/>
      <c r="F53" s="44"/>
      <c r="G53" s="44"/>
      <c r="H53" s="44"/>
      <c r="I53" s="44"/>
      <c r="J53" s="44"/>
      <c r="K53" s="44"/>
      <c r="L53" s="2809">
        <f>-FORECASTS!E50</f>
        <v>0</v>
      </c>
      <c r="M53" s="2809"/>
      <c r="N53" s="2809"/>
      <c r="O53" s="2809">
        <f>-FORECASTS!F50</f>
        <v>0</v>
      </c>
      <c r="P53" s="2809"/>
      <c r="Q53" s="2809"/>
      <c r="R53" s="2809">
        <f>-FORECASTS!G50</f>
        <v>0</v>
      </c>
      <c r="S53" s="2809"/>
      <c r="T53" s="2809"/>
      <c r="U53" s="2809">
        <f>-FORECASTS!H50</f>
        <v>0</v>
      </c>
      <c r="V53" s="2809"/>
      <c r="W53" s="2809"/>
      <c r="X53" s="2809">
        <f>-FORECASTS!I50</f>
        <v>0</v>
      </c>
      <c r="Y53" s="2809"/>
      <c r="Z53" s="2809"/>
      <c r="AA53" s="2809">
        <f>-FORECASTS!J50</f>
        <v>0</v>
      </c>
      <c r="AB53" s="2809"/>
      <c r="AC53" s="2809"/>
      <c r="AD53" s="2809">
        <f>-FORECASTS!K50</f>
        <v>0</v>
      </c>
      <c r="AE53" s="2809"/>
      <c r="AF53" s="2809"/>
      <c r="AG53" s="2809">
        <f>-FORECASTS!L50</f>
        <v>0</v>
      </c>
      <c r="AH53" s="2809"/>
      <c r="AI53" s="2809"/>
      <c r="AJ53" s="2809">
        <f>-FORECASTS!M50</f>
        <v>0</v>
      </c>
      <c r="AK53" s="2809"/>
      <c r="AL53" s="2809"/>
      <c r="AM53" s="2809">
        <f>-FORECASTS!N50</f>
        <v>0</v>
      </c>
      <c r="AN53" s="2809"/>
      <c r="AO53" s="2809"/>
      <c r="AP53" s="2809">
        <f>-FORECASTS!O50</f>
        <v>0</v>
      </c>
      <c r="AQ53" s="2809"/>
      <c r="AR53" s="2809"/>
      <c r="AS53" s="2809">
        <f>-FORECASTS!P50</f>
        <v>0</v>
      </c>
      <c r="AT53" s="2809"/>
      <c r="AU53" s="2809"/>
      <c r="AV53" s="2809">
        <f>-FORECASTS!Q50</f>
        <v>0</v>
      </c>
      <c r="AW53" s="2809"/>
      <c r="AX53" s="2809"/>
      <c r="AY53" s="2809">
        <f>-FORECASTS!R50</f>
        <v>0</v>
      </c>
      <c r="AZ53" s="2809"/>
      <c r="BA53" s="2809"/>
      <c r="BB53" s="2809">
        <f>-FORECASTS!S50</f>
        <v>0</v>
      </c>
      <c r="BC53" s="2809"/>
      <c r="BD53" s="2809"/>
      <c r="BE53" s="794">
        <f t="shared" si="1"/>
        <v>0</v>
      </c>
      <c r="BI53" s="358"/>
    </row>
    <row r="54" spans="1:193" s="272" customFormat="1" ht="16.8" x14ac:dyDescent="0.4">
      <c r="A54" s="160"/>
      <c r="B54" s="44" t="str">
        <f>FORECASTS!B48</f>
        <v>Repairs &amp; Maintenance</v>
      </c>
      <c r="C54" s="44"/>
      <c r="D54" s="44"/>
      <c r="E54" s="44"/>
      <c r="F54" s="44"/>
      <c r="G54" s="44"/>
      <c r="H54" s="44"/>
      <c r="I54" s="44"/>
      <c r="J54" s="44"/>
      <c r="K54" s="44"/>
      <c r="L54" s="2809">
        <f>-FORECASTS!E48</f>
        <v>0</v>
      </c>
      <c r="M54" s="2809"/>
      <c r="N54" s="2809"/>
      <c r="O54" s="2809">
        <f>-FORECASTS!F48</f>
        <v>0</v>
      </c>
      <c r="P54" s="2809"/>
      <c r="Q54" s="2809"/>
      <c r="R54" s="2809">
        <f>-FORECASTS!G48</f>
        <v>0</v>
      </c>
      <c r="S54" s="2809"/>
      <c r="T54" s="2809"/>
      <c r="U54" s="2809">
        <f>-FORECASTS!H48</f>
        <v>0</v>
      </c>
      <c r="V54" s="2809"/>
      <c r="W54" s="2809"/>
      <c r="X54" s="2809">
        <f>-FORECASTS!I48</f>
        <v>0</v>
      </c>
      <c r="Y54" s="2809"/>
      <c r="Z54" s="2809"/>
      <c r="AA54" s="2809">
        <f>-FORECASTS!J48</f>
        <v>0</v>
      </c>
      <c r="AB54" s="2809"/>
      <c r="AC54" s="2809"/>
      <c r="AD54" s="2809">
        <f>-FORECASTS!K48</f>
        <v>0</v>
      </c>
      <c r="AE54" s="2809"/>
      <c r="AF54" s="2809"/>
      <c r="AG54" s="2809">
        <f>-FORECASTS!L48</f>
        <v>0</v>
      </c>
      <c r="AH54" s="2809"/>
      <c r="AI54" s="2809"/>
      <c r="AJ54" s="2809">
        <f>-FORECASTS!M48</f>
        <v>0</v>
      </c>
      <c r="AK54" s="2809"/>
      <c r="AL54" s="2809"/>
      <c r="AM54" s="2809">
        <f>-FORECASTS!N48</f>
        <v>0</v>
      </c>
      <c r="AN54" s="2809"/>
      <c r="AO54" s="2809"/>
      <c r="AP54" s="2809">
        <f>-FORECASTS!O48</f>
        <v>0</v>
      </c>
      <c r="AQ54" s="2809"/>
      <c r="AR54" s="2809"/>
      <c r="AS54" s="2809">
        <f>-FORECASTS!P48</f>
        <v>0</v>
      </c>
      <c r="AT54" s="2809"/>
      <c r="AU54" s="2809"/>
      <c r="AV54" s="2809">
        <f>-FORECASTS!Q48</f>
        <v>0</v>
      </c>
      <c r="AW54" s="2809"/>
      <c r="AX54" s="2809"/>
      <c r="AY54" s="2809">
        <f>-FORECASTS!R48</f>
        <v>0</v>
      </c>
      <c r="AZ54" s="2809"/>
      <c r="BA54" s="2809"/>
      <c r="BB54" s="2809">
        <f>-FORECASTS!S48</f>
        <v>0</v>
      </c>
      <c r="BC54" s="2809"/>
      <c r="BD54" s="2809"/>
      <c r="BE54" s="341">
        <f t="shared" si="1"/>
        <v>0</v>
      </c>
      <c r="BI54" s="358"/>
      <c r="BK54" s="331"/>
      <c r="BL54" s="331"/>
      <c r="BM54" s="331"/>
      <c r="BN54" s="331"/>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row>
    <row r="55" spans="1:193" s="272" customFormat="1" ht="16.8" x14ac:dyDescent="0.4">
      <c r="A55" s="160"/>
      <c r="B55" s="44" t="str">
        <f>FORECASTS!B52</f>
        <v>Vacancy Insurance</v>
      </c>
      <c r="C55" s="44"/>
      <c r="D55" s="44"/>
      <c r="E55" s="44"/>
      <c r="F55" s="44"/>
      <c r="G55" s="44"/>
      <c r="H55" s="44"/>
      <c r="I55" s="44"/>
      <c r="J55" s="44"/>
      <c r="K55" s="44"/>
      <c r="L55" s="2809">
        <f>-FORECASTS!E52</f>
        <v>0</v>
      </c>
      <c r="M55" s="2809"/>
      <c r="N55" s="2809"/>
      <c r="O55" s="2809">
        <f>-FORECASTS!F52</f>
        <v>0</v>
      </c>
      <c r="P55" s="2809"/>
      <c r="Q55" s="2809"/>
      <c r="R55" s="2809">
        <f>-FORECASTS!G52</f>
        <v>0</v>
      </c>
      <c r="S55" s="2809"/>
      <c r="T55" s="2809"/>
      <c r="U55" s="2809">
        <f>-FORECASTS!H52</f>
        <v>0</v>
      </c>
      <c r="V55" s="2809"/>
      <c r="W55" s="2809"/>
      <c r="X55" s="2809">
        <f>-FORECASTS!I52</f>
        <v>0</v>
      </c>
      <c r="Y55" s="2809"/>
      <c r="Z55" s="2809"/>
      <c r="AA55" s="2809">
        <f>-FORECASTS!J52</f>
        <v>0</v>
      </c>
      <c r="AB55" s="2809"/>
      <c r="AC55" s="2809"/>
      <c r="AD55" s="2809">
        <f>-FORECASTS!K52</f>
        <v>0</v>
      </c>
      <c r="AE55" s="2809"/>
      <c r="AF55" s="2809"/>
      <c r="AG55" s="2809">
        <f>-FORECASTS!L52</f>
        <v>0</v>
      </c>
      <c r="AH55" s="2809"/>
      <c r="AI55" s="2809"/>
      <c r="AJ55" s="2809">
        <f>-FORECASTS!M52</f>
        <v>0</v>
      </c>
      <c r="AK55" s="2809"/>
      <c r="AL55" s="2809"/>
      <c r="AM55" s="2809">
        <f>-FORECASTS!N52</f>
        <v>0</v>
      </c>
      <c r="AN55" s="2809"/>
      <c r="AO55" s="2809"/>
      <c r="AP55" s="2809">
        <f>-FORECASTS!O52</f>
        <v>0</v>
      </c>
      <c r="AQ55" s="2809"/>
      <c r="AR55" s="2809"/>
      <c r="AS55" s="2809">
        <f>-FORECASTS!P52</f>
        <v>0</v>
      </c>
      <c r="AT55" s="2809"/>
      <c r="AU55" s="2809"/>
      <c r="AV55" s="2809">
        <f>-FORECASTS!Q52</f>
        <v>0</v>
      </c>
      <c r="AW55" s="2809"/>
      <c r="AX55" s="2809"/>
      <c r="AY55" s="2809">
        <f>-FORECASTS!R52</f>
        <v>0</v>
      </c>
      <c r="AZ55" s="2809"/>
      <c r="BA55" s="2809"/>
      <c r="BB55" s="2809">
        <f>-FORECASTS!S52</f>
        <v>0</v>
      </c>
      <c r="BC55" s="2809"/>
      <c r="BD55" s="2809"/>
      <c r="BE55" s="341">
        <f t="shared" si="1"/>
        <v>0</v>
      </c>
      <c r="BI55" s="358"/>
      <c r="BK55" s="331"/>
      <c r="BL55" s="331"/>
      <c r="BM55" s="331"/>
      <c r="BN55" s="331"/>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row>
    <row r="56" spans="1:193" s="272" customFormat="1" ht="16.8" x14ac:dyDescent="0.4">
      <c r="A56" s="160"/>
      <c r="B56" s="44" t="str">
        <f>FORECASTS!B30</f>
        <v>Electrical Utilities</v>
      </c>
      <c r="C56" s="44"/>
      <c r="D56" s="44"/>
      <c r="E56" s="44"/>
      <c r="F56" s="44"/>
      <c r="G56" s="44"/>
      <c r="H56" s="44"/>
      <c r="I56" s="44"/>
      <c r="J56" s="44"/>
      <c r="K56" s="44"/>
      <c r="L56" s="2809">
        <f>-FORECASTS!E30</f>
        <v>0</v>
      </c>
      <c r="M56" s="2809"/>
      <c r="N56" s="2809"/>
      <c r="O56" s="2809">
        <f>-FORECASTS!F30</f>
        <v>0</v>
      </c>
      <c r="P56" s="2809"/>
      <c r="Q56" s="2809"/>
      <c r="R56" s="2809">
        <f>-FORECASTS!G30</f>
        <v>0</v>
      </c>
      <c r="S56" s="2809"/>
      <c r="T56" s="2809"/>
      <c r="U56" s="2809">
        <f>-FORECASTS!H30</f>
        <v>0</v>
      </c>
      <c r="V56" s="2809"/>
      <c r="W56" s="2809"/>
      <c r="X56" s="2809">
        <f>-FORECASTS!I30</f>
        <v>0</v>
      </c>
      <c r="Y56" s="2809"/>
      <c r="Z56" s="2809"/>
      <c r="AA56" s="2809">
        <f>-FORECASTS!J30</f>
        <v>0</v>
      </c>
      <c r="AB56" s="2809"/>
      <c r="AC56" s="2809"/>
      <c r="AD56" s="2809">
        <f>-FORECASTS!K30</f>
        <v>0</v>
      </c>
      <c r="AE56" s="2809"/>
      <c r="AF56" s="2809"/>
      <c r="AG56" s="2809">
        <f>-FORECASTS!L30</f>
        <v>0</v>
      </c>
      <c r="AH56" s="2809"/>
      <c r="AI56" s="2809"/>
      <c r="AJ56" s="2809">
        <f>-FORECASTS!M30</f>
        <v>0</v>
      </c>
      <c r="AK56" s="2809"/>
      <c r="AL56" s="2809"/>
      <c r="AM56" s="2809">
        <f>-FORECASTS!N30</f>
        <v>0</v>
      </c>
      <c r="AN56" s="2809"/>
      <c r="AO56" s="2809"/>
      <c r="AP56" s="2809">
        <f>-FORECASTS!O30</f>
        <v>0</v>
      </c>
      <c r="AQ56" s="2809"/>
      <c r="AR56" s="2809"/>
      <c r="AS56" s="2809">
        <f>-FORECASTS!P30</f>
        <v>0</v>
      </c>
      <c r="AT56" s="2809"/>
      <c r="AU56" s="2809"/>
      <c r="AV56" s="2809">
        <f>-FORECASTS!Q30</f>
        <v>0</v>
      </c>
      <c r="AW56" s="2809"/>
      <c r="AX56" s="2809"/>
      <c r="AY56" s="2809">
        <f>-FORECASTS!R30</f>
        <v>0</v>
      </c>
      <c r="AZ56" s="2809"/>
      <c r="BA56" s="2809"/>
      <c r="BB56" s="2809">
        <f>-FORECASTS!S30</f>
        <v>0</v>
      </c>
      <c r="BC56" s="2809"/>
      <c r="BD56" s="2809"/>
      <c r="BE56" s="341">
        <f t="shared" si="1"/>
        <v>0</v>
      </c>
      <c r="BI56" s="358"/>
      <c r="BK56" s="331"/>
      <c r="BL56" s="331"/>
      <c r="BM56" s="331"/>
      <c r="BN56" s="331"/>
      <c r="BO56" s="331"/>
      <c r="BP56" s="331"/>
      <c r="BQ56" s="331"/>
      <c r="BR56" s="331"/>
      <c r="BS56" s="331"/>
      <c r="BT56" s="331"/>
      <c r="BU56" s="331"/>
      <c r="BV56" s="331"/>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c r="FR56" s="331"/>
      <c r="FS56" s="331"/>
      <c r="FT56" s="331"/>
      <c r="FU56" s="331"/>
      <c r="FV56" s="331"/>
      <c r="FW56" s="331"/>
      <c r="FX56" s="331"/>
      <c r="FY56" s="331"/>
      <c r="FZ56" s="331"/>
      <c r="GA56" s="331"/>
      <c r="GB56" s="331"/>
      <c r="GC56" s="331"/>
      <c r="GD56" s="331"/>
      <c r="GE56" s="331"/>
      <c r="GF56" s="331"/>
      <c r="GG56" s="331"/>
      <c r="GH56" s="331"/>
      <c r="GI56" s="331"/>
      <c r="GJ56" s="331"/>
      <c r="GK56" s="331"/>
    </row>
    <row r="57" spans="1:193" s="272" customFormat="1" ht="16.8" hidden="1" x14ac:dyDescent="0.4">
      <c r="A57" s="160"/>
      <c r="B57" s="44" t="str">
        <f>FORECASTS!B32</f>
        <v>Gas Utilities</v>
      </c>
      <c r="C57" s="44"/>
      <c r="D57" s="44"/>
      <c r="E57" s="44"/>
      <c r="F57" s="44"/>
      <c r="G57" s="44"/>
      <c r="H57" s="44"/>
      <c r="I57" s="44"/>
      <c r="J57" s="44"/>
      <c r="K57" s="44"/>
      <c r="L57" s="2809">
        <f>-FORECASTS!E32</f>
        <v>0</v>
      </c>
      <c r="M57" s="2809"/>
      <c r="N57" s="2809"/>
      <c r="O57" s="2809">
        <f>-FORECASTS!F32</f>
        <v>0</v>
      </c>
      <c r="P57" s="2809"/>
      <c r="Q57" s="2809"/>
      <c r="R57" s="2809">
        <f>-FORECASTS!G32</f>
        <v>0</v>
      </c>
      <c r="S57" s="2809"/>
      <c r="T57" s="2809"/>
      <c r="U57" s="2809">
        <f>-FORECASTS!H32</f>
        <v>0</v>
      </c>
      <c r="V57" s="2809"/>
      <c r="W57" s="2809"/>
      <c r="X57" s="2809">
        <f>-FORECASTS!I32</f>
        <v>0</v>
      </c>
      <c r="Y57" s="2809"/>
      <c r="Z57" s="2809"/>
      <c r="AA57" s="2809">
        <f>-FORECASTS!J32</f>
        <v>0</v>
      </c>
      <c r="AB57" s="2809"/>
      <c r="AC57" s="2809"/>
      <c r="AD57" s="2809">
        <f>-FORECASTS!K32</f>
        <v>0</v>
      </c>
      <c r="AE57" s="2809"/>
      <c r="AF57" s="2809"/>
      <c r="AG57" s="2809">
        <f>-FORECASTS!L32</f>
        <v>0</v>
      </c>
      <c r="AH57" s="2809"/>
      <c r="AI57" s="2809"/>
      <c r="AJ57" s="2809">
        <f>-FORECASTS!M32</f>
        <v>0</v>
      </c>
      <c r="AK57" s="2809"/>
      <c r="AL57" s="2809"/>
      <c r="AM57" s="2809">
        <f>-FORECASTS!N32</f>
        <v>0</v>
      </c>
      <c r="AN57" s="2809"/>
      <c r="AO57" s="2809"/>
      <c r="AP57" s="2809">
        <f>-FORECASTS!O32</f>
        <v>0</v>
      </c>
      <c r="AQ57" s="2809"/>
      <c r="AR57" s="2809"/>
      <c r="AS57" s="2809">
        <f>-FORECASTS!P32</f>
        <v>0</v>
      </c>
      <c r="AT57" s="2809"/>
      <c r="AU57" s="2809"/>
      <c r="AV57" s="2809">
        <f>-FORECASTS!Q32</f>
        <v>0</v>
      </c>
      <c r="AW57" s="2809"/>
      <c r="AX57" s="2809"/>
      <c r="AY57" s="2809">
        <f>-FORECASTS!R32</f>
        <v>0</v>
      </c>
      <c r="AZ57" s="2809"/>
      <c r="BA57" s="2809"/>
      <c r="BB57" s="2809">
        <f>-FORECASTS!S32</f>
        <v>0</v>
      </c>
      <c r="BC57" s="2809"/>
      <c r="BD57" s="2809"/>
      <c r="BE57" s="341">
        <f t="shared" si="1"/>
        <v>0</v>
      </c>
      <c r="BI57" s="358"/>
    </row>
    <row r="58" spans="1:193" s="272" customFormat="1" ht="16.8" x14ac:dyDescent="0.4">
      <c r="A58" s="160"/>
      <c r="B58" s="44" t="str">
        <f>FORECASTS!B34</f>
        <v>Water Utilities</v>
      </c>
      <c r="C58" s="44"/>
      <c r="D58" s="44"/>
      <c r="E58" s="44"/>
      <c r="F58" s="44"/>
      <c r="G58" s="44"/>
      <c r="H58" s="44"/>
      <c r="I58" s="44"/>
      <c r="J58" s="44"/>
      <c r="K58" s="44"/>
      <c r="L58" s="2809">
        <f>-FORECASTS!E34</f>
        <v>0</v>
      </c>
      <c r="M58" s="2809"/>
      <c r="N58" s="2809"/>
      <c r="O58" s="2809">
        <f>-FORECASTS!F34</f>
        <v>0</v>
      </c>
      <c r="P58" s="2809"/>
      <c r="Q58" s="2809"/>
      <c r="R58" s="2809">
        <f>-FORECASTS!G34</f>
        <v>0</v>
      </c>
      <c r="S58" s="2809"/>
      <c r="T58" s="2809"/>
      <c r="U58" s="2809">
        <f>-FORECASTS!H34</f>
        <v>0</v>
      </c>
      <c r="V58" s="2809"/>
      <c r="W58" s="2809"/>
      <c r="X58" s="2809">
        <f>-FORECASTS!I34</f>
        <v>0</v>
      </c>
      <c r="Y58" s="2809"/>
      <c r="Z58" s="2809"/>
      <c r="AA58" s="2809">
        <f>-FORECASTS!J34</f>
        <v>0</v>
      </c>
      <c r="AB58" s="2809"/>
      <c r="AC58" s="2809"/>
      <c r="AD58" s="2809">
        <f>-FORECASTS!K34</f>
        <v>0</v>
      </c>
      <c r="AE58" s="2809"/>
      <c r="AF58" s="2809"/>
      <c r="AG58" s="2809">
        <f>-FORECASTS!L34</f>
        <v>0</v>
      </c>
      <c r="AH58" s="2809"/>
      <c r="AI58" s="2809"/>
      <c r="AJ58" s="2809">
        <f>-FORECASTS!M34</f>
        <v>0</v>
      </c>
      <c r="AK58" s="2809"/>
      <c r="AL58" s="2809"/>
      <c r="AM58" s="2809">
        <f>-FORECASTS!N34</f>
        <v>0</v>
      </c>
      <c r="AN58" s="2809"/>
      <c r="AO58" s="2809"/>
      <c r="AP58" s="2809">
        <f>-FORECASTS!O34</f>
        <v>0</v>
      </c>
      <c r="AQ58" s="2809"/>
      <c r="AR58" s="2809"/>
      <c r="AS58" s="2809">
        <f>-FORECASTS!P34</f>
        <v>0</v>
      </c>
      <c r="AT58" s="2809"/>
      <c r="AU58" s="2809"/>
      <c r="AV58" s="2809">
        <f>-FORECASTS!Q34</f>
        <v>0</v>
      </c>
      <c r="AW58" s="2809"/>
      <c r="AX58" s="2809"/>
      <c r="AY58" s="2809">
        <f>-FORECASTS!R34</f>
        <v>0</v>
      </c>
      <c r="AZ58" s="2809"/>
      <c r="BA58" s="2809"/>
      <c r="BB58" s="2809">
        <f>-FORECASTS!S34</f>
        <v>0</v>
      </c>
      <c r="BC58" s="2809"/>
      <c r="BD58" s="2809"/>
      <c r="BE58" s="341">
        <f t="shared" si="1"/>
        <v>0</v>
      </c>
      <c r="BI58" s="358"/>
      <c r="BK58" s="331"/>
      <c r="BL58" s="331"/>
      <c r="BM58" s="331"/>
      <c r="BN58" s="331"/>
      <c r="BO58" s="331"/>
      <c r="BP58" s="331"/>
      <c r="BQ58" s="331"/>
      <c r="BR58" s="331"/>
      <c r="BS58" s="331"/>
      <c r="BT58" s="331"/>
      <c r="BU58" s="331"/>
      <c r="BV58" s="331"/>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row>
    <row r="59" spans="1:193" s="272" customFormat="1" ht="16.8" x14ac:dyDescent="0.4">
      <c r="A59" s="160"/>
      <c r="B59" s="44" t="str">
        <f>FORECASTS!B36</f>
        <v>Phone</v>
      </c>
      <c r="C59" s="44"/>
      <c r="D59" s="44"/>
      <c r="E59" s="44"/>
      <c r="F59" s="44"/>
      <c r="G59" s="44"/>
      <c r="H59" s="44"/>
      <c r="I59" s="44"/>
      <c r="J59" s="44"/>
      <c r="K59" s="44"/>
      <c r="L59" s="2809">
        <f>-FORECASTS!E36</f>
        <v>0</v>
      </c>
      <c r="M59" s="2809"/>
      <c r="N59" s="2809"/>
      <c r="O59" s="2809">
        <f>-FORECASTS!F36</f>
        <v>0</v>
      </c>
      <c r="P59" s="2809"/>
      <c r="Q59" s="2809"/>
      <c r="R59" s="2809">
        <f>-FORECASTS!G36</f>
        <v>0</v>
      </c>
      <c r="S59" s="2809"/>
      <c r="T59" s="2809"/>
      <c r="U59" s="2809">
        <f>-FORECASTS!H36</f>
        <v>0</v>
      </c>
      <c r="V59" s="2809"/>
      <c r="W59" s="2809"/>
      <c r="X59" s="2809">
        <f>-FORECASTS!I36</f>
        <v>0</v>
      </c>
      <c r="Y59" s="2809"/>
      <c r="Z59" s="2809"/>
      <c r="AA59" s="2809">
        <f>-FORECASTS!J36</f>
        <v>0</v>
      </c>
      <c r="AB59" s="2809"/>
      <c r="AC59" s="2809"/>
      <c r="AD59" s="2809">
        <f>-FORECASTS!K36</f>
        <v>0</v>
      </c>
      <c r="AE59" s="2809"/>
      <c r="AF59" s="2809"/>
      <c r="AG59" s="2809">
        <f>-FORECASTS!L36</f>
        <v>0</v>
      </c>
      <c r="AH59" s="2809"/>
      <c r="AI59" s="2809"/>
      <c r="AJ59" s="2809">
        <f>-FORECASTS!M36</f>
        <v>0</v>
      </c>
      <c r="AK59" s="2809"/>
      <c r="AL59" s="2809"/>
      <c r="AM59" s="2809">
        <f>-FORECASTS!N36</f>
        <v>0</v>
      </c>
      <c r="AN59" s="2809"/>
      <c r="AO59" s="2809"/>
      <c r="AP59" s="2809">
        <f>-FORECASTS!O36</f>
        <v>0</v>
      </c>
      <c r="AQ59" s="2809"/>
      <c r="AR59" s="2809"/>
      <c r="AS59" s="2809">
        <f>-FORECASTS!P36</f>
        <v>0</v>
      </c>
      <c r="AT59" s="2809"/>
      <c r="AU59" s="2809"/>
      <c r="AV59" s="2809">
        <f>-FORECASTS!Q36</f>
        <v>0</v>
      </c>
      <c r="AW59" s="2809"/>
      <c r="AX59" s="2809"/>
      <c r="AY59" s="2809">
        <f>-FORECASTS!R36</f>
        <v>0</v>
      </c>
      <c r="AZ59" s="2809"/>
      <c r="BA59" s="2809"/>
      <c r="BB59" s="2809">
        <f>-FORECASTS!S36</f>
        <v>0</v>
      </c>
      <c r="BC59" s="2809"/>
      <c r="BD59" s="2809"/>
      <c r="BE59" s="341">
        <f t="shared" si="1"/>
        <v>0</v>
      </c>
      <c r="BI59" s="358"/>
      <c r="BK59" s="331"/>
      <c r="BL59" s="331"/>
      <c r="BM59" s="331"/>
      <c r="BN59" s="331"/>
      <c r="BO59" s="331"/>
      <c r="BP59" s="331"/>
      <c r="BQ59" s="331"/>
      <c r="BR59" s="331"/>
      <c r="BS59" s="331"/>
      <c r="BT59" s="331"/>
      <c r="BU59" s="331"/>
      <c r="BV59" s="331"/>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row>
    <row r="60" spans="1:193" s="272" customFormat="1" ht="16.8" hidden="1" x14ac:dyDescent="0.4">
      <c r="A60" s="160"/>
      <c r="B60" s="44" t="str">
        <f>FORECASTS!B54</f>
        <v>Rent Insurance</v>
      </c>
      <c r="C60" s="44"/>
      <c r="D60" s="44"/>
      <c r="E60" s="44"/>
      <c r="F60" s="44"/>
      <c r="G60" s="44"/>
      <c r="H60" s="44"/>
      <c r="I60" s="44"/>
      <c r="J60" s="44"/>
      <c r="K60" s="44"/>
      <c r="L60" s="2809">
        <f>-FORECASTS!E54</f>
        <v>0</v>
      </c>
      <c r="M60" s="2809"/>
      <c r="N60" s="2809"/>
      <c r="O60" s="2809">
        <f>-FORECASTS!F54</f>
        <v>0</v>
      </c>
      <c r="P60" s="2809"/>
      <c r="Q60" s="2809"/>
      <c r="R60" s="2809">
        <f>-FORECASTS!G54</f>
        <v>0</v>
      </c>
      <c r="S60" s="2809"/>
      <c r="T60" s="2809"/>
      <c r="U60" s="2809">
        <f>-FORECASTS!H54</f>
        <v>0</v>
      </c>
      <c r="V60" s="2809"/>
      <c r="W60" s="2809"/>
      <c r="X60" s="2809">
        <f>-FORECASTS!I54</f>
        <v>0</v>
      </c>
      <c r="Y60" s="2809"/>
      <c r="Z60" s="2809"/>
      <c r="AA60" s="2809">
        <f>-FORECASTS!J54</f>
        <v>0</v>
      </c>
      <c r="AB60" s="2809"/>
      <c r="AC60" s="2809"/>
      <c r="AD60" s="2809">
        <f>-FORECASTS!K54</f>
        <v>0</v>
      </c>
      <c r="AE60" s="2809"/>
      <c r="AF60" s="2809"/>
      <c r="AG60" s="2809">
        <f>-FORECASTS!L54</f>
        <v>0</v>
      </c>
      <c r="AH60" s="2809"/>
      <c r="AI60" s="2809"/>
      <c r="AJ60" s="2809">
        <f>-FORECASTS!M54</f>
        <v>0</v>
      </c>
      <c r="AK60" s="2809"/>
      <c r="AL60" s="2809"/>
      <c r="AM60" s="2809">
        <f>-FORECASTS!N54</f>
        <v>0</v>
      </c>
      <c r="AN60" s="2809"/>
      <c r="AO60" s="2809"/>
      <c r="AP60" s="2809">
        <f>-FORECASTS!O54</f>
        <v>0</v>
      </c>
      <c r="AQ60" s="2809"/>
      <c r="AR60" s="2809"/>
      <c r="AS60" s="2809">
        <f>-FORECASTS!P54</f>
        <v>0</v>
      </c>
      <c r="AT60" s="2809"/>
      <c r="AU60" s="2809"/>
      <c r="AV60" s="2809">
        <f>-FORECASTS!Q54</f>
        <v>0</v>
      </c>
      <c r="AW60" s="2809"/>
      <c r="AX60" s="2809"/>
      <c r="AY60" s="2809">
        <f>-FORECASTS!R54</f>
        <v>0</v>
      </c>
      <c r="AZ60" s="2809"/>
      <c r="BA60" s="2809"/>
      <c r="BB60" s="2809">
        <f>-FORECASTS!S54</f>
        <v>0</v>
      </c>
      <c r="BC60" s="2809"/>
      <c r="BD60" s="2809"/>
      <c r="BE60" s="794">
        <f t="shared" si="1"/>
        <v>0</v>
      </c>
      <c r="BI60" s="358"/>
    </row>
    <row r="61" spans="1:193" s="272" customFormat="1" ht="16.8" x14ac:dyDescent="0.4">
      <c r="A61" s="160"/>
      <c r="B61" s="44" t="str">
        <f>FORECASTS!B56</f>
        <v>Legal</v>
      </c>
      <c r="C61" s="44"/>
      <c r="D61" s="44"/>
      <c r="E61" s="44"/>
      <c r="F61" s="44"/>
      <c r="G61" s="44"/>
      <c r="H61" s="44"/>
      <c r="I61" s="44"/>
      <c r="J61" s="44"/>
      <c r="K61" s="44"/>
      <c r="L61" s="2809">
        <f>-FORECASTS!E56</f>
        <v>0</v>
      </c>
      <c r="M61" s="2809"/>
      <c r="N61" s="2809"/>
      <c r="O61" s="2809">
        <f>-FORECASTS!F56</f>
        <v>0</v>
      </c>
      <c r="P61" s="2809"/>
      <c r="Q61" s="2809"/>
      <c r="R61" s="2809">
        <f>-FORECASTS!G56</f>
        <v>0</v>
      </c>
      <c r="S61" s="2809"/>
      <c r="T61" s="2809"/>
      <c r="U61" s="2809">
        <f>-FORECASTS!H56</f>
        <v>0</v>
      </c>
      <c r="V61" s="2809"/>
      <c r="W61" s="2809"/>
      <c r="X61" s="2809">
        <f>-FORECASTS!I56</f>
        <v>0</v>
      </c>
      <c r="Y61" s="2809"/>
      <c r="Z61" s="2809"/>
      <c r="AA61" s="2809">
        <f>-FORECASTS!J56</f>
        <v>0</v>
      </c>
      <c r="AB61" s="2809"/>
      <c r="AC61" s="2809"/>
      <c r="AD61" s="2809">
        <f>-FORECASTS!K56</f>
        <v>0</v>
      </c>
      <c r="AE61" s="2809"/>
      <c r="AF61" s="2809"/>
      <c r="AG61" s="2809">
        <f>-FORECASTS!L56</f>
        <v>0</v>
      </c>
      <c r="AH61" s="2809"/>
      <c r="AI61" s="2809"/>
      <c r="AJ61" s="2809">
        <f>-FORECASTS!M56</f>
        <v>0</v>
      </c>
      <c r="AK61" s="2809"/>
      <c r="AL61" s="2809"/>
      <c r="AM61" s="2809">
        <f>-FORECASTS!N56</f>
        <v>0</v>
      </c>
      <c r="AN61" s="2809"/>
      <c r="AO61" s="2809"/>
      <c r="AP61" s="2809">
        <f>-FORECASTS!O56</f>
        <v>0</v>
      </c>
      <c r="AQ61" s="2809"/>
      <c r="AR61" s="2809"/>
      <c r="AS61" s="2809">
        <f>-FORECASTS!P56</f>
        <v>0</v>
      </c>
      <c r="AT61" s="2809"/>
      <c r="AU61" s="2809"/>
      <c r="AV61" s="2809">
        <f>-FORECASTS!Q56</f>
        <v>0</v>
      </c>
      <c r="AW61" s="2809"/>
      <c r="AX61" s="2809"/>
      <c r="AY61" s="2809">
        <f>-FORECASTS!R56</f>
        <v>0</v>
      </c>
      <c r="AZ61" s="2809"/>
      <c r="BA61" s="2809"/>
      <c r="BB61" s="2809">
        <f>-FORECASTS!S56</f>
        <v>0</v>
      </c>
      <c r="BC61" s="2809"/>
      <c r="BD61" s="2809"/>
      <c r="BE61" s="341">
        <f t="shared" si="1"/>
        <v>0</v>
      </c>
      <c r="BI61" s="358"/>
      <c r="BK61" s="331"/>
      <c r="BL61" s="331"/>
      <c r="BM61" s="331"/>
      <c r="BN61" s="331"/>
      <c r="BO61" s="331"/>
      <c r="BP61" s="331"/>
      <c r="BQ61" s="331"/>
      <c r="BR61" s="331"/>
      <c r="BS61" s="331"/>
      <c r="BT61" s="331"/>
      <c r="BU61" s="331"/>
      <c r="BV61" s="331"/>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row>
    <row r="62" spans="1:193" s="272" customFormat="1" ht="16.8" hidden="1" x14ac:dyDescent="0.4">
      <c r="A62" s="160"/>
      <c r="B62" s="44" t="str">
        <f>FORECASTS!B44</f>
        <v>Security</v>
      </c>
      <c r="C62" s="44"/>
      <c r="D62" s="44"/>
      <c r="E62" s="44"/>
      <c r="F62" s="44"/>
      <c r="G62" s="44"/>
      <c r="H62" s="44"/>
      <c r="I62" s="44"/>
      <c r="J62" s="44"/>
      <c r="K62" s="44"/>
      <c r="L62" s="2809">
        <f>-FORECASTS!E44</f>
        <v>0</v>
      </c>
      <c r="M62" s="2809"/>
      <c r="N62" s="2809"/>
      <c r="O62" s="2809">
        <f>-FORECASTS!F44</f>
        <v>0</v>
      </c>
      <c r="P62" s="2809"/>
      <c r="Q62" s="2809"/>
      <c r="R62" s="2809">
        <f>-FORECASTS!G44</f>
        <v>0</v>
      </c>
      <c r="S62" s="2809"/>
      <c r="T62" s="2809"/>
      <c r="U62" s="2809">
        <f>-FORECASTS!H44</f>
        <v>0</v>
      </c>
      <c r="V62" s="2809"/>
      <c r="W62" s="2809"/>
      <c r="X62" s="2809">
        <f>-FORECASTS!I44</f>
        <v>0</v>
      </c>
      <c r="Y62" s="2809"/>
      <c r="Z62" s="2809"/>
      <c r="AA62" s="2809">
        <f>-FORECASTS!J44</f>
        <v>0</v>
      </c>
      <c r="AB62" s="2809"/>
      <c r="AC62" s="2809"/>
      <c r="AD62" s="2809">
        <f>-FORECASTS!K44</f>
        <v>0</v>
      </c>
      <c r="AE62" s="2809"/>
      <c r="AF62" s="2809"/>
      <c r="AG62" s="2809">
        <f>-FORECASTS!L44</f>
        <v>0</v>
      </c>
      <c r="AH62" s="2809"/>
      <c r="AI62" s="2809"/>
      <c r="AJ62" s="2809">
        <f>-FORECASTS!M44</f>
        <v>0</v>
      </c>
      <c r="AK62" s="2809"/>
      <c r="AL62" s="2809"/>
      <c r="AM62" s="2809">
        <f>-FORECASTS!N44</f>
        <v>0</v>
      </c>
      <c r="AN62" s="2809"/>
      <c r="AO62" s="2809"/>
      <c r="AP62" s="2809">
        <f>-FORECASTS!O44</f>
        <v>0</v>
      </c>
      <c r="AQ62" s="2809"/>
      <c r="AR62" s="2809"/>
      <c r="AS62" s="2809">
        <f>-FORECASTS!P44</f>
        <v>0</v>
      </c>
      <c r="AT62" s="2809"/>
      <c r="AU62" s="2809"/>
      <c r="AV62" s="2809">
        <f>-FORECASTS!Q44</f>
        <v>0</v>
      </c>
      <c r="AW62" s="2809"/>
      <c r="AX62" s="2809"/>
      <c r="AY62" s="2809">
        <f>-FORECASTS!R44</f>
        <v>0</v>
      </c>
      <c r="AZ62" s="2809"/>
      <c r="BA62" s="2809"/>
      <c r="BB62" s="2809">
        <f>-FORECASTS!S44</f>
        <v>0</v>
      </c>
      <c r="BC62" s="2809"/>
      <c r="BD62" s="2809"/>
      <c r="BE62" s="341">
        <f t="shared" si="1"/>
        <v>0</v>
      </c>
      <c r="BI62" s="358"/>
    </row>
    <row r="63" spans="1:193" s="272" customFormat="1" ht="16.8" x14ac:dyDescent="0.4">
      <c r="A63" s="160"/>
      <c r="B63" s="44" t="str">
        <f>FORECASTS!B58</f>
        <v>Advertising</v>
      </c>
      <c r="C63" s="44"/>
      <c r="D63" s="44"/>
      <c r="E63" s="44"/>
      <c r="F63" s="44"/>
      <c r="G63" s="44"/>
      <c r="H63" s="44"/>
      <c r="I63" s="44"/>
      <c r="J63" s="44"/>
      <c r="K63" s="44"/>
      <c r="L63" s="2809">
        <f>-FORECASTS!E58</f>
        <v>0</v>
      </c>
      <c r="M63" s="2809"/>
      <c r="N63" s="2809"/>
      <c r="O63" s="2809">
        <f>-FORECASTS!F58</f>
        <v>0</v>
      </c>
      <c r="P63" s="2809"/>
      <c r="Q63" s="2809"/>
      <c r="R63" s="2809">
        <f>-FORECASTS!G58</f>
        <v>0</v>
      </c>
      <c r="S63" s="2809"/>
      <c r="T63" s="2809"/>
      <c r="U63" s="2809">
        <f>-FORECASTS!H58</f>
        <v>0</v>
      </c>
      <c r="V63" s="2809"/>
      <c r="W63" s="2809"/>
      <c r="X63" s="2809">
        <f>-FORECASTS!I58</f>
        <v>0</v>
      </c>
      <c r="Y63" s="2809"/>
      <c r="Z63" s="2809"/>
      <c r="AA63" s="2809">
        <f>-FORECASTS!J58</f>
        <v>0</v>
      </c>
      <c r="AB63" s="2809"/>
      <c r="AC63" s="2809"/>
      <c r="AD63" s="2809">
        <f>-FORECASTS!K58</f>
        <v>0</v>
      </c>
      <c r="AE63" s="2809"/>
      <c r="AF63" s="2809"/>
      <c r="AG63" s="2809">
        <f>-FORECASTS!L58</f>
        <v>0</v>
      </c>
      <c r="AH63" s="2809"/>
      <c r="AI63" s="2809"/>
      <c r="AJ63" s="2809">
        <f>-FORECASTS!M58</f>
        <v>0</v>
      </c>
      <c r="AK63" s="2809"/>
      <c r="AL63" s="2809"/>
      <c r="AM63" s="2809">
        <f>-FORECASTS!N58</f>
        <v>0</v>
      </c>
      <c r="AN63" s="2809"/>
      <c r="AO63" s="2809"/>
      <c r="AP63" s="2809">
        <f>-FORECASTS!O58</f>
        <v>0</v>
      </c>
      <c r="AQ63" s="2809"/>
      <c r="AR63" s="2809"/>
      <c r="AS63" s="2809">
        <f>-FORECASTS!P58</f>
        <v>0</v>
      </c>
      <c r="AT63" s="2809"/>
      <c r="AU63" s="2809"/>
      <c r="AV63" s="2809">
        <f>-FORECASTS!Q58</f>
        <v>0</v>
      </c>
      <c r="AW63" s="2809"/>
      <c r="AX63" s="2809"/>
      <c r="AY63" s="2809">
        <f>-FORECASTS!R58</f>
        <v>0</v>
      </c>
      <c r="AZ63" s="2809"/>
      <c r="BA63" s="2809"/>
      <c r="BB63" s="2809">
        <f>-FORECASTS!S58</f>
        <v>0</v>
      </c>
      <c r="BC63" s="2809"/>
      <c r="BD63" s="2809"/>
      <c r="BE63" s="341">
        <f t="shared" si="1"/>
        <v>0</v>
      </c>
      <c r="BI63" s="358"/>
      <c r="BK63" s="331"/>
      <c r="BL63" s="331"/>
      <c r="BM63" s="331"/>
      <c r="BN63" s="331"/>
      <c r="BO63" s="331"/>
      <c r="BP63" s="331"/>
      <c r="BQ63" s="331"/>
      <c r="BR63" s="331"/>
      <c r="BS63" s="331"/>
      <c r="BT63" s="331"/>
      <c r="BU63" s="331"/>
      <c r="BV63" s="331"/>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c r="FR63" s="331"/>
      <c r="FS63" s="331"/>
      <c r="FT63" s="331"/>
      <c r="FU63" s="331"/>
      <c r="FV63" s="331"/>
      <c r="FW63" s="331"/>
      <c r="FX63" s="331"/>
      <c r="FY63" s="331"/>
      <c r="FZ63" s="331"/>
      <c r="GA63" s="331"/>
      <c r="GB63" s="331"/>
      <c r="GC63" s="331"/>
      <c r="GD63" s="331"/>
      <c r="GE63" s="331"/>
      <c r="GF63" s="331"/>
      <c r="GG63" s="331"/>
      <c r="GH63" s="331"/>
      <c r="GI63" s="331"/>
      <c r="GJ63" s="331"/>
      <c r="GK63" s="331"/>
    </row>
    <row r="64" spans="1:193" s="272" customFormat="1" ht="16.8" hidden="1" x14ac:dyDescent="0.4">
      <c r="A64" s="160"/>
      <c r="B64" s="44" t="str">
        <f>FORECASTS!B60</f>
        <v>Other Cost 1</v>
      </c>
      <c r="C64" s="44"/>
      <c r="D64" s="44"/>
      <c r="E64" s="44"/>
      <c r="F64" s="44"/>
      <c r="G64" s="44"/>
      <c r="H64" s="44"/>
      <c r="I64" s="44"/>
      <c r="J64" s="44"/>
      <c r="K64" s="44"/>
      <c r="L64" s="2809">
        <f>-FORECASTS!E60</f>
        <v>0</v>
      </c>
      <c r="M64" s="2809"/>
      <c r="N64" s="2809"/>
      <c r="O64" s="2809">
        <f>-FORECASTS!F60</f>
        <v>0</v>
      </c>
      <c r="P64" s="2809"/>
      <c r="Q64" s="2809"/>
      <c r="R64" s="2809">
        <f>-FORECASTS!G60</f>
        <v>0</v>
      </c>
      <c r="S64" s="2809"/>
      <c r="T64" s="2809"/>
      <c r="U64" s="2809">
        <f>-FORECASTS!H60</f>
        <v>0</v>
      </c>
      <c r="V64" s="2809"/>
      <c r="W64" s="2809"/>
      <c r="X64" s="2809">
        <f>-FORECASTS!I60</f>
        <v>0</v>
      </c>
      <c r="Y64" s="2809"/>
      <c r="Z64" s="2809"/>
      <c r="AA64" s="2809">
        <f>-FORECASTS!J60</f>
        <v>0</v>
      </c>
      <c r="AB64" s="2809"/>
      <c r="AC64" s="2809"/>
      <c r="AD64" s="2809">
        <f>-FORECASTS!K60</f>
        <v>0</v>
      </c>
      <c r="AE64" s="2809"/>
      <c r="AF64" s="2809"/>
      <c r="AG64" s="2809">
        <f>-FORECASTS!L60</f>
        <v>0</v>
      </c>
      <c r="AH64" s="2809"/>
      <c r="AI64" s="2809"/>
      <c r="AJ64" s="2809">
        <f>-FORECASTS!M60</f>
        <v>0</v>
      </c>
      <c r="AK64" s="2809"/>
      <c r="AL64" s="2809"/>
      <c r="AM64" s="2809">
        <f>-FORECASTS!N60</f>
        <v>0</v>
      </c>
      <c r="AN64" s="2809"/>
      <c r="AO64" s="2809"/>
      <c r="AP64" s="2809">
        <f>-FORECASTS!O60</f>
        <v>0</v>
      </c>
      <c r="AQ64" s="2809"/>
      <c r="AR64" s="2809"/>
      <c r="AS64" s="2809">
        <f>-FORECASTS!P60</f>
        <v>0</v>
      </c>
      <c r="AT64" s="2809"/>
      <c r="AU64" s="2809"/>
      <c r="AV64" s="2809">
        <f>-FORECASTS!Q60</f>
        <v>0</v>
      </c>
      <c r="AW64" s="2809"/>
      <c r="AX64" s="2809"/>
      <c r="AY64" s="2809">
        <f>-FORECASTS!R60</f>
        <v>0</v>
      </c>
      <c r="AZ64" s="2809"/>
      <c r="BA64" s="2809"/>
      <c r="BB64" s="2809">
        <f>-FORECASTS!S60</f>
        <v>0</v>
      </c>
      <c r="BC64" s="2809"/>
      <c r="BD64" s="2809"/>
      <c r="BE64" s="794">
        <f t="shared" si="1"/>
        <v>0</v>
      </c>
      <c r="BI64" s="358"/>
    </row>
    <row r="65" spans="1:193" s="272" customFormat="1" ht="16.8" hidden="1" x14ac:dyDescent="0.4">
      <c r="A65" s="160"/>
      <c r="B65" s="44" t="str">
        <f>FORECASTS!B62</f>
        <v>Other Cost 2</v>
      </c>
      <c r="C65" s="44"/>
      <c r="D65" s="44"/>
      <c r="E65" s="44"/>
      <c r="F65" s="44"/>
      <c r="G65" s="44"/>
      <c r="H65" s="44"/>
      <c r="I65" s="44"/>
      <c r="J65" s="44"/>
      <c r="K65" s="44"/>
      <c r="L65" s="2809">
        <f>-FORECASTS!E62</f>
        <v>0</v>
      </c>
      <c r="M65" s="2809"/>
      <c r="N65" s="2809"/>
      <c r="O65" s="2809">
        <f>-FORECASTS!F62</f>
        <v>0</v>
      </c>
      <c r="P65" s="2809"/>
      <c r="Q65" s="2809"/>
      <c r="R65" s="2809">
        <f>-FORECASTS!G62</f>
        <v>0</v>
      </c>
      <c r="S65" s="2809"/>
      <c r="T65" s="2809"/>
      <c r="U65" s="2809">
        <f>-FORECASTS!H62</f>
        <v>0</v>
      </c>
      <c r="V65" s="2809"/>
      <c r="W65" s="2809"/>
      <c r="X65" s="2809">
        <f>-FORECASTS!I62</f>
        <v>0</v>
      </c>
      <c r="Y65" s="2809"/>
      <c r="Z65" s="2809"/>
      <c r="AA65" s="2809">
        <f>-FORECASTS!J62</f>
        <v>0</v>
      </c>
      <c r="AB65" s="2809"/>
      <c r="AC65" s="2809"/>
      <c r="AD65" s="2809">
        <f>-FORECASTS!K62</f>
        <v>0</v>
      </c>
      <c r="AE65" s="2809"/>
      <c r="AF65" s="2809"/>
      <c r="AG65" s="2809">
        <f>-FORECASTS!L62</f>
        <v>0</v>
      </c>
      <c r="AH65" s="2809"/>
      <c r="AI65" s="2809"/>
      <c r="AJ65" s="2809">
        <f>-FORECASTS!M62</f>
        <v>0</v>
      </c>
      <c r="AK65" s="2809"/>
      <c r="AL65" s="2809"/>
      <c r="AM65" s="2809">
        <f>-FORECASTS!N62</f>
        <v>0</v>
      </c>
      <c r="AN65" s="2809"/>
      <c r="AO65" s="2809"/>
      <c r="AP65" s="2809">
        <f>-FORECASTS!O62</f>
        <v>0</v>
      </c>
      <c r="AQ65" s="2809"/>
      <c r="AR65" s="2809"/>
      <c r="AS65" s="2809">
        <f>-FORECASTS!P62</f>
        <v>0</v>
      </c>
      <c r="AT65" s="2809"/>
      <c r="AU65" s="2809"/>
      <c r="AV65" s="2809">
        <f>-FORECASTS!Q62</f>
        <v>0</v>
      </c>
      <c r="AW65" s="2809"/>
      <c r="AX65" s="2809"/>
      <c r="AY65" s="2809">
        <f>-FORECASTS!R62</f>
        <v>0</v>
      </c>
      <c r="AZ65" s="2809"/>
      <c r="BA65" s="2809"/>
      <c r="BB65" s="2809">
        <f>-FORECASTS!S62</f>
        <v>0</v>
      </c>
      <c r="BC65" s="2809"/>
      <c r="BD65" s="2809"/>
      <c r="BE65" s="794">
        <f t="shared" si="1"/>
        <v>0</v>
      </c>
      <c r="BI65" s="358"/>
    </row>
    <row r="66" spans="1:193" s="272" customFormat="1" ht="16.8" x14ac:dyDescent="0.4">
      <c r="A66" s="160"/>
      <c r="B66" s="44" t="str">
        <f>FORECASTS!B64</f>
        <v>Miscellaneous (Variable)</v>
      </c>
      <c r="C66" s="44"/>
      <c r="D66" s="44"/>
      <c r="E66" s="44"/>
      <c r="F66" s="44"/>
      <c r="G66" s="44"/>
      <c r="H66" s="44"/>
      <c r="I66" s="44"/>
      <c r="J66" s="44"/>
      <c r="K66" s="44"/>
      <c r="L66" s="2809">
        <f>-FORECASTS!E64</f>
        <v>0</v>
      </c>
      <c r="M66" s="2809"/>
      <c r="N66" s="2809"/>
      <c r="O66" s="2809">
        <f>-FORECASTS!F64</f>
        <v>0</v>
      </c>
      <c r="P66" s="2809"/>
      <c r="Q66" s="2809"/>
      <c r="R66" s="2809">
        <f>-FORECASTS!G64</f>
        <v>0</v>
      </c>
      <c r="S66" s="2809"/>
      <c r="T66" s="2809"/>
      <c r="U66" s="2809">
        <f>-FORECASTS!H64</f>
        <v>0</v>
      </c>
      <c r="V66" s="2809"/>
      <c r="W66" s="2809"/>
      <c r="X66" s="2809">
        <f>-FORECASTS!I64</f>
        <v>0</v>
      </c>
      <c r="Y66" s="2809"/>
      <c r="Z66" s="2809"/>
      <c r="AA66" s="2809">
        <f>-FORECASTS!J64</f>
        <v>0</v>
      </c>
      <c r="AB66" s="2809"/>
      <c r="AC66" s="2809"/>
      <c r="AD66" s="2809">
        <f>-FORECASTS!K64</f>
        <v>0</v>
      </c>
      <c r="AE66" s="2809"/>
      <c r="AF66" s="2809"/>
      <c r="AG66" s="2809">
        <f>-FORECASTS!L64</f>
        <v>0</v>
      </c>
      <c r="AH66" s="2809"/>
      <c r="AI66" s="2809"/>
      <c r="AJ66" s="2809">
        <f>-FORECASTS!M64</f>
        <v>0</v>
      </c>
      <c r="AK66" s="2809"/>
      <c r="AL66" s="2809"/>
      <c r="AM66" s="2809">
        <f>-FORECASTS!N64</f>
        <v>0</v>
      </c>
      <c r="AN66" s="2809"/>
      <c r="AO66" s="2809"/>
      <c r="AP66" s="2809">
        <f>-FORECASTS!O64</f>
        <v>0</v>
      </c>
      <c r="AQ66" s="2809"/>
      <c r="AR66" s="2809"/>
      <c r="AS66" s="2809">
        <f>-FORECASTS!P64</f>
        <v>0</v>
      </c>
      <c r="AT66" s="2809"/>
      <c r="AU66" s="2809"/>
      <c r="AV66" s="2809">
        <f>-FORECASTS!Q64</f>
        <v>0</v>
      </c>
      <c r="AW66" s="2809"/>
      <c r="AX66" s="2809"/>
      <c r="AY66" s="2809">
        <f>-FORECASTS!R64</f>
        <v>0</v>
      </c>
      <c r="AZ66" s="2809"/>
      <c r="BA66" s="2809"/>
      <c r="BB66" s="2809">
        <f>-FORECASTS!S64</f>
        <v>0</v>
      </c>
      <c r="BC66" s="2809"/>
      <c r="BD66" s="2809"/>
      <c r="BE66" s="341">
        <f t="shared" si="1"/>
        <v>0</v>
      </c>
      <c r="BI66" s="358"/>
      <c r="BK66" s="331"/>
      <c r="BL66" s="331"/>
      <c r="BM66" s="331"/>
      <c r="BN66" s="331"/>
      <c r="BO66" s="331"/>
      <c r="BP66" s="331"/>
      <c r="BQ66" s="331"/>
      <c r="BR66" s="331"/>
      <c r="BS66" s="331"/>
      <c r="BT66" s="331"/>
      <c r="BU66" s="331"/>
      <c r="BV66" s="331"/>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row>
    <row r="67" spans="1:193" s="272" customFormat="1" ht="16.8" hidden="1" x14ac:dyDescent="0.4">
      <c r="A67" s="160"/>
      <c r="B67" s="44" t="str">
        <f>FORECASTS!B46</f>
        <v>Accounting</v>
      </c>
      <c r="C67" s="44"/>
      <c r="D67" s="44"/>
      <c r="E67" s="44"/>
      <c r="F67" s="44"/>
      <c r="G67" s="44"/>
      <c r="H67" s="44"/>
      <c r="I67" s="44"/>
      <c r="J67" s="44"/>
      <c r="K67" s="44"/>
      <c r="L67" s="2809">
        <f>-FORECASTS!E46</f>
        <v>0</v>
      </c>
      <c r="M67" s="2809"/>
      <c r="N67" s="2809"/>
      <c r="O67" s="2809">
        <f>-FORECASTS!F46</f>
        <v>0</v>
      </c>
      <c r="P67" s="2809"/>
      <c r="Q67" s="2809"/>
      <c r="R67" s="2809">
        <f>-FORECASTS!G46</f>
        <v>0</v>
      </c>
      <c r="S67" s="2809"/>
      <c r="T67" s="2809"/>
      <c r="U67" s="2809">
        <f>-FORECASTS!H46</f>
        <v>0</v>
      </c>
      <c r="V67" s="2809"/>
      <c r="W67" s="2809"/>
      <c r="X67" s="2809">
        <f>-FORECASTS!I46</f>
        <v>0</v>
      </c>
      <c r="Y67" s="2809"/>
      <c r="Z67" s="2809"/>
      <c r="AA67" s="2809">
        <f>-FORECASTS!J46</f>
        <v>0</v>
      </c>
      <c r="AB67" s="2809"/>
      <c r="AC67" s="2809"/>
      <c r="AD67" s="2809">
        <f>-FORECASTS!K46</f>
        <v>0</v>
      </c>
      <c r="AE67" s="2809"/>
      <c r="AF67" s="2809"/>
      <c r="AG67" s="2809">
        <f>-FORECASTS!L46</f>
        <v>0</v>
      </c>
      <c r="AH67" s="2809"/>
      <c r="AI67" s="2809"/>
      <c r="AJ67" s="2809">
        <f>-FORECASTS!M46</f>
        <v>0</v>
      </c>
      <c r="AK67" s="2809"/>
      <c r="AL67" s="2809"/>
      <c r="AM67" s="2809">
        <f>-FORECASTS!N46</f>
        <v>0</v>
      </c>
      <c r="AN67" s="2809"/>
      <c r="AO67" s="2809"/>
      <c r="AP67" s="2809">
        <f>-FORECASTS!O46</f>
        <v>0</v>
      </c>
      <c r="AQ67" s="2809"/>
      <c r="AR67" s="2809"/>
      <c r="AS67" s="2809">
        <f>-FORECASTS!P46</f>
        <v>0</v>
      </c>
      <c r="AT67" s="2809"/>
      <c r="AU67" s="2809"/>
      <c r="AV67" s="2809">
        <f>-FORECASTS!Q46</f>
        <v>0</v>
      </c>
      <c r="AW67" s="2809"/>
      <c r="AX67" s="2809"/>
      <c r="AY67" s="2809">
        <f>-FORECASTS!R46</f>
        <v>0</v>
      </c>
      <c r="AZ67" s="2809"/>
      <c r="BA67" s="2809"/>
      <c r="BB67" s="2809">
        <f>-FORECASTS!S46</f>
        <v>0</v>
      </c>
      <c r="BC67" s="2809"/>
      <c r="BD67" s="2809"/>
      <c r="BE67" s="341">
        <f t="shared" si="1"/>
        <v>0</v>
      </c>
      <c r="BI67" s="358"/>
    </row>
    <row r="68" spans="1:193" s="272" customFormat="1" ht="16.8" hidden="1" x14ac:dyDescent="0.4">
      <c r="A68" s="160"/>
      <c r="B68" s="54" t="str">
        <f>FORECASTS!B66</f>
        <v>Custom Op. Expense 1</v>
      </c>
      <c r="C68" s="54"/>
      <c r="D68" s="54"/>
      <c r="E68" s="54"/>
      <c r="F68" s="54"/>
      <c r="G68" s="54"/>
      <c r="H68" s="54"/>
      <c r="I68" s="54"/>
      <c r="J68" s="54"/>
      <c r="K68" s="54"/>
      <c r="L68" s="2809">
        <f>IF(AND(thumb=0,L40&lt;=holding),-FORECASTS!E66,0)</f>
        <v>0</v>
      </c>
      <c r="M68" s="2809"/>
      <c r="N68" s="2809"/>
      <c r="O68" s="2809">
        <f>IF(AND(thumb=0,O40&lt;=holding),-FORECASTS!F66,0)</f>
        <v>0</v>
      </c>
      <c r="P68" s="2809"/>
      <c r="Q68" s="2809"/>
      <c r="R68" s="2809">
        <f>IF(AND(thumb=0,R40&lt;=holding),-FORECASTS!G66,0)</f>
        <v>0</v>
      </c>
      <c r="S68" s="2809"/>
      <c r="T68" s="2809"/>
      <c r="U68" s="2809">
        <f>IF(AND(thumb=0,U40&lt;=holding),-FORECASTS!H66,0)</f>
        <v>0</v>
      </c>
      <c r="V68" s="2809"/>
      <c r="W68" s="2809"/>
      <c r="X68" s="2809">
        <f>IF(AND(thumb=0,X40&lt;=holding),-FORECASTS!I66,0)</f>
        <v>0</v>
      </c>
      <c r="Y68" s="2809"/>
      <c r="Z68" s="2809"/>
      <c r="AA68" s="2809">
        <f>IF(AND(thumb=0,AA40&lt;=holding),-FORECASTS!J66,0)</f>
        <v>0</v>
      </c>
      <c r="AB68" s="2809"/>
      <c r="AC68" s="2809"/>
      <c r="AD68" s="2809">
        <f>IF(AND(thumb=0,AD40&lt;=holding),-FORECASTS!K66,0)</f>
        <v>0</v>
      </c>
      <c r="AE68" s="2809"/>
      <c r="AF68" s="2809"/>
      <c r="AG68" s="2809">
        <f>IF(AND(thumb=0,AG40&lt;=holding),-FORECASTS!L66,0)</f>
        <v>0</v>
      </c>
      <c r="AH68" s="2809"/>
      <c r="AI68" s="2809"/>
      <c r="AJ68" s="2809">
        <f>IF(AND(thumb=0,AJ40&lt;=holding),-FORECASTS!M66,0)</f>
        <v>0</v>
      </c>
      <c r="AK68" s="2809"/>
      <c r="AL68" s="2809"/>
      <c r="AM68" s="2809">
        <f>IF(AND(thumb=0,AM40&lt;=holding),-FORECASTS!N66,0)</f>
        <v>0</v>
      </c>
      <c r="AN68" s="2809"/>
      <c r="AO68" s="2809"/>
      <c r="AP68" s="2809">
        <f>IF(AND(thumb=0,AP40&lt;=holding),-FORECASTS!O66,0)</f>
        <v>0</v>
      </c>
      <c r="AQ68" s="2809"/>
      <c r="AR68" s="2809"/>
      <c r="AS68" s="2809">
        <f>IF(AND(thumb=0,AS40&lt;=holding),-FORECASTS!P66,0)</f>
        <v>0</v>
      </c>
      <c r="AT68" s="2809"/>
      <c r="AU68" s="2809"/>
      <c r="AV68" s="2809">
        <f>IF(AND(thumb=0,AV40&lt;=holding),-FORECASTS!Q66,0)</f>
        <v>0</v>
      </c>
      <c r="AW68" s="2809"/>
      <c r="AX68" s="2809"/>
      <c r="AY68" s="2809">
        <f>IF(AND(thumb=0,AY40&lt;=holding),-FORECASTS!R66,0)</f>
        <v>0</v>
      </c>
      <c r="AZ68" s="2809"/>
      <c r="BA68" s="2809"/>
      <c r="BB68" s="2809">
        <f>IF(AND(thumb=0,BB40&lt;=holding),-FORECASTS!S66,0)</f>
        <v>0</v>
      </c>
      <c r="BC68" s="2809"/>
      <c r="BD68" s="2809"/>
      <c r="BE68" s="794">
        <f t="shared" si="1"/>
        <v>0</v>
      </c>
      <c r="BI68" s="358"/>
    </row>
    <row r="69" spans="1:193" s="272" customFormat="1" ht="16.8" hidden="1" x14ac:dyDescent="0.4">
      <c r="A69" s="160"/>
      <c r="B69" s="54" t="str">
        <f>FORECASTS!B67</f>
        <v>Custom Op. Expense 2</v>
      </c>
      <c r="C69" s="54"/>
      <c r="D69" s="54"/>
      <c r="E69" s="54"/>
      <c r="F69" s="54"/>
      <c r="G69" s="54"/>
      <c r="H69" s="54"/>
      <c r="I69" s="54"/>
      <c r="J69" s="54"/>
      <c r="K69" s="54"/>
      <c r="L69" s="2809">
        <f>IF(AND(thumb=0,L40&lt;=holding),-FORECASTS!E67,0)</f>
        <v>0</v>
      </c>
      <c r="M69" s="2809"/>
      <c r="N69" s="2809"/>
      <c r="O69" s="2809">
        <f>IF(AND(thumb=0,O40&lt;=holding),-FORECASTS!F67,0)</f>
        <v>0</v>
      </c>
      <c r="P69" s="2809"/>
      <c r="Q69" s="2809"/>
      <c r="R69" s="2809">
        <f>IF(AND(thumb=0,R40&lt;=holding),-FORECASTS!G67,0)</f>
        <v>0</v>
      </c>
      <c r="S69" s="2809"/>
      <c r="T69" s="2809"/>
      <c r="U69" s="2809">
        <f>IF(AND(thumb=0,U40&lt;=holding),-FORECASTS!H67,0)</f>
        <v>0</v>
      </c>
      <c r="V69" s="2809"/>
      <c r="W69" s="2809"/>
      <c r="X69" s="2809">
        <f>IF(AND(thumb=0,X40&lt;=holding),-FORECASTS!I67,0)</f>
        <v>0</v>
      </c>
      <c r="Y69" s="2809"/>
      <c r="Z69" s="2809"/>
      <c r="AA69" s="2809">
        <f>IF(AND(thumb=0,AA40&lt;=holding),-FORECASTS!J67,0)</f>
        <v>0</v>
      </c>
      <c r="AB69" s="2809"/>
      <c r="AC69" s="2809"/>
      <c r="AD69" s="2809">
        <f>IF(AND(thumb=0,AD40&lt;=holding),-FORECASTS!K67,0)</f>
        <v>0</v>
      </c>
      <c r="AE69" s="2809"/>
      <c r="AF69" s="2809"/>
      <c r="AG69" s="2809">
        <f>IF(AND(thumb=0,AG40&lt;=holding),-FORECASTS!L67,0)</f>
        <v>0</v>
      </c>
      <c r="AH69" s="2809"/>
      <c r="AI69" s="2809"/>
      <c r="AJ69" s="2809">
        <f>IF(AND(thumb=0,AJ40&lt;=holding),-FORECASTS!M67,0)</f>
        <v>0</v>
      </c>
      <c r="AK69" s="2809"/>
      <c r="AL69" s="2809"/>
      <c r="AM69" s="2809">
        <f>IF(AND(thumb=0,AM40&lt;=holding),-FORECASTS!N67,0)</f>
        <v>0</v>
      </c>
      <c r="AN69" s="2809"/>
      <c r="AO69" s="2809"/>
      <c r="AP69" s="2809">
        <f>IF(AND(thumb=0,AP40&lt;=holding),-FORECASTS!O67,0)</f>
        <v>0</v>
      </c>
      <c r="AQ69" s="2809"/>
      <c r="AR69" s="2809"/>
      <c r="AS69" s="2809">
        <f>IF(AND(thumb=0,AS40&lt;=holding),-FORECASTS!P67,0)</f>
        <v>0</v>
      </c>
      <c r="AT69" s="2809"/>
      <c r="AU69" s="2809"/>
      <c r="AV69" s="2809">
        <f>IF(AND(thumb=0,AV40&lt;=holding),-FORECASTS!Q67,0)</f>
        <v>0</v>
      </c>
      <c r="AW69" s="2809"/>
      <c r="AX69" s="2809"/>
      <c r="AY69" s="2809">
        <f>IF(AND(thumb=0,AY40&lt;=holding),-FORECASTS!R67,0)</f>
        <v>0</v>
      </c>
      <c r="AZ69" s="2809"/>
      <c r="BA69" s="2809"/>
      <c r="BB69" s="2809">
        <f>IF(AND(thumb=0,BB40&lt;=holding),-FORECASTS!S67,0)</f>
        <v>0</v>
      </c>
      <c r="BC69" s="2809"/>
      <c r="BD69" s="2809"/>
      <c r="BE69" s="794">
        <f t="shared" si="1"/>
        <v>0</v>
      </c>
      <c r="BI69" s="358"/>
    </row>
    <row r="70" spans="1:193" s="272" customFormat="1" ht="14.4" x14ac:dyDescent="0.3">
      <c r="A70" s="166"/>
      <c r="B70" s="176" t="s">
        <v>1</v>
      </c>
      <c r="C70" s="176"/>
      <c r="D70" s="176"/>
      <c r="E70" s="176"/>
      <c r="F70" s="176"/>
      <c r="G70" s="176"/>
      <c r="H70" s="176"/>
      <c r="I70" s="176"/>
      <c r="J70" s="176"/>
      <c r="K70" s="176"/>
      <c r="L70" s="2838">
        <f>IF(thumb&lt;&gt;0,-FORECASTS!E68,SUM(L50:L69))</f>
        <v>0</v>
      </c>
      <c r="M70" s="2838"/>
      <c r="N70" s="2838"/>
      <c r="O70" s="2838">
        <f>IF(thumb&lt;&gt;0,-FORECASTS!F68,SUM(O50:O69))</f>
        <v>0</v>
      </c>
      <c r="P70" s="2838"/>
      <c r="Q70" s="2838"/>
      <c r="R70" s="2838">
        <f>IF(thumb&lt;&gt;0,-FORECASTS!G68,SUM(R50:R69))</f>
        <v>0</v>
      </c>
      <c r="S70" s="2838"/>
      <c r="T70" s="2838"/>
      <c r="U70" s="2838">
        <f>IF(thumb&lt;&gt;0,-FORECASTS!H68,SUM(U50:U69))</f>
        <v>0</v>
      </c>
      <c r="V70" s="2838"/>
      <c r="W70" s="2838"/>
      <c r="X70" s="2838">
        <f>IF(thumb&lt;&gt;0,-FORECASTS!I68,SUM(X50:X69))</f>
        <v>0</v>
      </c>
      <c r="Y70" s="2838"/>
      <c r="Z70" s="2838"/>
      <c r="AA70" s="2838">
        <f>IF(thumb&lt;&gt;0,-FORECASTS!J68,SUM(AA50:AA69))</f>
        <v>0</v>
      </c>
      <c r="AB70" s="2838"/>
      <c r="AC70" s="2838"/>
      <c r="AD70" s="2838">
        <f>IF(thumb&lt;&gt;0,-FORECASTS!K68,SUM(AD50:AD69))</f>
        <v>0</v>
      </c>
      <c r="AE70" s="2838"/>
      <c r="AF70" s="2838"/>
      <c r="AG70" s="2838">
        <f>IF(thumb&lt;&gt;0,-FORECASTS!L68,SUM(AG50:AG69))</f>
        <v>0</v>
      </c>
      <c r="AH70" s="2838"/>
      <c r="AI70" s="2838"/>
      <c r="AJ70" s="2838">
        <f>IF(thumb&lt;&gt;0,-FORECASTS!M68,SUM(AJ50:AJ69))</f>
        <v>0</v>
      </c>
      <c r="AK70" s="2838"/>
      <c r="AL70" s="2838"/>
      <c r="AM70" s="2838">
        <f>IF(thumb&lt;&gt;0,-FORECASTS!N68,SUM(AM50:AM69))</f>
        <v>0</v>
      </c>
      <c r="AN70" s="2838"/>
      <c r="AO70" s="2838"/>
      <c r="AP70" s="2838">
        <f>IF(thumb&lt;&gt;0,-FORECASTS!O68,SUM(AP50:AP69))</f>
        <v>0</v>
      </c>
      <c r="AQ70" s="2838"/>
      <c r="AR70" s="2838"/>
      <c r="AS70" s="2838">
        <f>IF(thumb&lt;&gt;0,-FORECASTS!P68,SUM(AS50:AS69))</f>
        <v>0</v>
      </c>
      <c r="AT70" s="2838"/>
      <c r="AU70" s="2838"/>
      <c r="AV70" s="2838">
        <f>IF(thumb&lt;&gt;0,-FORECASTS!Q68,SUM(AV50:AV69))</f>
        <v>0</v>
      </c>
      <c r="AW70" s="2838"/>
      <c r="AX70" s="2838"/>
      <c r="AY70" s="2838">
        <f>IF(thumb&lt;&gt;0,-FORECASTS!R68,SUM(AY50:AY69))</f>
        <v>0</v>
      </c>
      <c r="AZ70" s="2838"/>
      <c r="BA70" s="2838"/>
      <c r="BB70" s="2838">
        <f>IF(thumb&lt;&gt;0,-FORECASTS!S68,SUM(BB50:BB69))</f>
        <v>0</v>
      </c>
      <c r="BC70" s="2838"/>
      <c r="BD70" s="2838"/>
      <c r="BE70" s="341">
        <f t="shared" si="1"/>
        <v>0</v>
      </c>
      <c r="BK70" s="331"/>
      <c r="BL70" s="331"/>
      <c r="BM70" s="331"/>
      <c r="BN70" s="331"/>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row>
    <row r="71" spans="1:193" s="272" customFormat="1" ht="16.8" x14ac:dyDescent="0.4">
      <c r="A71" s="44"/>
      <c r="B71" s="271"/>
      <c r="C71" s="271"/>
      <c r="D71" s="271"/>
      <c r="E71" s="271"/>
      <c r="F71" s="271"/>
      <c r="G71" s="271"/>
      <c r="H71" s="271"/>
      <c r="I71" s="271"/>
      <c r="J71" s="271"/>
      <c r="K71" s="271"/>
      <c r="L71" s="1503"/>
      <c r="M71" s="1503"/>
      <c r="N71" s="1503"/>
      <c r="O71" s="1503"/>
      <c r="P71" s="1503"/>
      <c r="Q71" s="1503"/>
      <c r="R71" s="1503"/>
      <c r="S71" s="1503"/>
      <c r="T71" s="1503"/>
      <c r="U71" s="1503"/>
      <c r="V71" s="1503"/>
      <c r="W71" s="1503"/>
      <c r="X71" s="1503"/>
      <c r="Y71" s="1503"/>
      <c r="Z71" s="1503"/>
      <c r="AA71" s="1503"/>
      <c r="AB71" s="1503"/>
      <c r="AC71" s="1503"/>
      <c r="AD71" s="1503"/>
      <c r="AE71" s="1503"/>
      <c r="AF71" s="1503"/>
      <c r="AG71" s="1503"/>
      <c r="AH71" s="1503"/>
      <c r="AI71" s="1503"/>
      <c r="AJ71" s="1503"/>
      <c r="AK71" s="1503"/>
      <c r="AL71" s="1503"/>
      <c r="AM71" s="1503"/>
      <c r="AN71" s="1503"/>
      <c r="AO71" s="1503"/>
      <c r="AP71" s="1503"/>
      <c r="AQ71" s="1503"/>
      <c r="AR71" s="1503"/>
      <c r="AS71" s="1503"/>
      <c r="AT71" s="1503"/>
      <c r="AU71" s="1503"/>
      <c r="AV71" s="1503"/>
      <c r="AW71" s="1503"/>
      <c r="AX71" s="1503"/>
      <c r="AY71" s="1503"/>
      <c r="AZ71" s="1503"/>
      <c r="BA71" s="1503"/>
      <c r="BB71" s="1503"/>
      <c r="BC71" s="1503"/>
      <c r="BD71" s="1503"/>
      <c r="BE71" s="341">
        <v>1</v>
      </c>
      <c r="BI71" s="358"/>
      <c r="BJ71" s="358"/>
      <c r="BK71" s="331"/>
      <c r="BL71" s="331"/>
      <c r="BM71" s="331"/>
      <c r="BN71" s="331"/>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row>
    <row r="72" spans="1:193" s="272" customFormat="1" ht="16.8" x14ac:dyDescent="0.4">
      <c r="A72" s="160"/>
      <c r="B72" s="44" t="str">
        <f>FORECASTS!B74</f>
        <v>Capital Expenditures</v>
      </c>
      <c r="C72" s="44"/>
      <c r="D72" s="44"/>
      <c r="E72" s="44"/>
      <c r="F72" s="44"/>
      <c r="G72" s="44"/>
      <c r="H72" s="44"/>
      <c r="I72" s="44"/>
      <c r="J72" s="44"/>
      <c r="K72" s="44"/>
      <c r="L72" s="2809">
        <f>-FORECASTS!E74</f>
        <v>0</v>
      </c>
      <c r="M72" s="2809"/>
      <c r="N72" s="2809"/>
      <c r="O72" s="2809">
        <f>-FORECASTS!F74</f>
        <v>0</v>
      </c>
      <c r="P72" s="2809"/>
      <c r="Q72" s="2809"/>
      <c r="R72" s="2809">
        <f>-FORECASTS!G74</f>
        <v>0</v>
      </c>
      <c r="S72" s="2809"/>
      <c r="T72" s="2809"/>
      <c r="U72" s="2809">
        <f>-FORECASTS!H74</f>
        <v>0</v>
      </c>
      <c r="V72" s="2809"/>
      <c r="W72" s="2809"/>
      <c r="X72" s="2809">
        <f>-FORECASTS!I74</f>
        <v>0</v>
      </c>
      <c r="Y72" s="2809"/>
      <c r="Z72" s="2809"/>
      <c r="AA72" s="2809">
        <f>-FORECASTS!J74</f>
        <v>0</v>
      </c>
      <c r="AB72" s="2809"/>
      <c r="AC72" s="2809"/>
      <c r="AD72" s="2809">
        <f>-FORECASTS!K74</f>
        <v>0</v>
      </c>
      <c r="AE72" s="2809"/>
      <c r="AF72" s="2809"/>
      <c r="AG72" s="2809">
        <f>-FORECASTS!L74</f>
        <v>0</v>
      </c>
      <c r="AH72" s="2809"/>
      <c r="AI72" s="2809"/>
      <c r="AJ72" s="2809">
        <f>-FORECASTS!M74</f>
        <v>0</v>
      </c>
      <c r="AK72" s="2809"/>
      <c r="AL72" s="2809"/>
      <c r="AM72" s="2809">
        <f>-FORECASTS!N74</f>
        <v>0</v>
      </c>
      <c r="AN72" s="2809"/>
      <c r="AO72" s="2809"/>
      <c r="AP72" s="2809">
        <f>-FORECASTS!O74</f>
        <v>0</v>
      </c>
      <c r="AQ72" s="2809"/>
      <c r="AR72" s="2809"/>
      <c r="AS72" s="2809">
        <f>-FORECASTS!P74</f>
        <v>0</v>
      </c>
      <c r="AT72" s="2809"/>
      <c r="AU72" s="2809"/>
      <c r="AV72" s="2809">
        <f>-FORECASTS!Q74</f>
        <v>0</v>
      </c>
      <c r="AW72" s="2809"/>
      <c r="AX72" s="2809"/>
      <c r="AY72" s="2809">
        <f>-FORECASTS!R74</f>
        <v>0</v>
      </c>
      <c r="AZ72" s="2809"/>
      <c r="BA72" s="2809"/>
      <c r="BB72" s="2809">
        <f>-FORECASTS!S74</f>
        <v>0</v>
      </c>
      <c r="BC72" s="2809"/>
      <c r="BD72" s="2809"/>
      <c r="BE72" s="341">
        <f>IF(SUM(L72:BB72)=0,0,1)</f>
        <v>0</v>
      </c>
      <c r="BI72" s="358"/>
      <c r="BK72" s="331"/>
      <c r="BL72" s="331"/>
      <c r="BM72" s="331"/>
      <c r="BN72" s="331"/>
      <c r="BO72" s="331"/>
      <c r="BP72" s="331"/>
      <c r="BQ72" s="331"/>
      <c r="BR72" s="331"/>
      <c r="BS72" s="331"/>
      <c r="BT72" s="331"/>
      <c r="BU72" s="331"/>
      <c r="BV72" s="331"/>
      <c r="BW72" s="331"/>
      <c r="BX72" s="331"/>
      <c r="BY72" s="331"/>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row>
    <row r="73" spans="1:193" s="272" customFormat="1" ht="16.8" hidden="1" x14ac:dyDescent="0.4">
      <c r="A73" s="160"/>
      <c r="B73" s="54" t="str">
        <f>FORECASTS!B76</f>
        <v>Non Op. Expense 1</v>
      </c>
      <c r="C73" s="54"/>
      <c r="D73" s="54"/>
      <c r="E73" s="54"/>
      <c r="F73" s="54"/>
      <c r="G73" s="54"/>
      <c r="H73" s="54"/>
      <c r="I73" s="54"/>
      <c r="J73" s="54"/>
      <c r="K73" s="54"/>
      <c r="L73" s="2809">
        <f>IF(L$40&lt;=holding,-FORECASTS!E76,0)</f>
        <v>0</v>
      </c>
      <c r="M73" s="2809"/>
      <c r="N73" s="2809"/>
      <c r="O73" s="2809">
        <f>IF(O$40&lt;=holding,-FORECASTS!F76,0)</f>
        <v>0</v>
      </c>
      <c r="P73" s="2809"/>
      <c r="Q73" s="2809"/>
      <c r="R73" s="2809">
        <f>IF(R$40&lt;=holding,-FORECASTS!G76,0)</f>
        <v>0</v>
      </c>
      <c r="S73" s="2809"/>
      <c r="T73" s="2809"/>
      <c r="U73" s="2809">
        <f>IF(U$40&lt;=holding,-FORECASTS!H76,0)</f>
        <v>0</v>
      </c>
      <c r="V73" s="2809"/>
      <c r="W73" s="2809"/>
      <c r="X73" s="2809">
        <f>IF(X$40&lt;=holding,-FORECASTS!I76,0)</f>
        <v>0</v>
      </c>
      <c r="Y73" s="2809"/>
      <c r="Z73" s="2809"/>
      <c r="AA73" s="2809">
        <f>IF(AA$40&lt;=holding,-FORECASTS!J76,0)</f>
        <v>0</v>
      </c>
      <c r="AB73" s="2809"/>
      <c r="AC73" s="2809"/>
      <c r="AD73" s="2809">
        <f>IF(AD$40&lt;=holding,-FORECASTS!K76,0)</f>
        <v>0</v>
      </c>
      <c r="AE73" s="2809"/>
      <c r="AF73" s="2809"/>
      <c r="AG73" s="2809">
        <f>IF(AG$40&lt;=holding,-FORECASTS!L76,0)</f>
        <v>0</v>
      </c>
      <c r="AH73" s="2809"/>
      <c r="AI73" s="2809"/>
      <c r="AJ73" s="2809">
        <f>IF(AJ$40&lt;=holding,-FORECASTS!M76,0)</f>
        <v>0</v>
      </c>
      <c r="AK73" s="2809"/>
      <c r="AL73" s="2809"/>
      <c r="AM73" s="2809">
        <f>IF(AM$40&lt;=holding,-FORECASTS!N76,0)</f>
        <v>0</v>
      </c>
      <c r="AN73" s="2809"/>
      <c r="AO73" s="2809"/>
      <c r="AP73" s="2809">
        <f>IF(AP$40&lt;=holding,-FORECASTS!O76,0)</f>
        <v>0</v>
      </c>
      <c r="AQ73" s="2809"/>
      <c r="AR73" s="2809"/>
      <c r="AS73" s="2809">
        <f>IF(AS$40&lt;=holding,-FORECASTS!P76,0)</f>
        <v>0</v>
      </c>
      <c r="AT73" s="2809"/>
      <c r="AU73" s="2809"/>
      <c r="AV73" s="2809">
        <f>IF(AV$40&lt;=holding,-FORECASTS!Q76,0)</f>
        <v>0</v>
      </c>
      <c r="AW73" s="2809"/>
      <c r="AX73" s="2809"/>
      <c r="AY73" s="2809">
        <f>IF(AY$40&lt;=holding,-FORECASTS!R76,0)</f>
        <v>0</v>
      </c>
      <c r="AZ73" s="2809"/>
      <c r="BA73" s="2809"/>
      <c r="BB73" s="2809">
        <f>IF(BB$40&lt;=holding,-FORECASTS!S76,0)</f>
        <v>0</v>
      </c>
      <c r="BC73" s="2809"/>
      <c r="BD73" s="2809"/>
      <c r="BE73" s="794">
        <f>IF(SUM(L73:BB73)=0,0,1)</f>
        <v>0</v>
      </c>
      <c r="BI73" s="358"/>
    </row>
    <row r="74" spans="1:193" s="272" customFormat="1" ht="16.8" hidden="1" x14ac:dyDescent="0.4">
      <c r="A74" s="160"/>
      <c r="B74" s="54" t="str">
        <f>FORECASTS!B77</f>
        <v>Non Op. Expense 2</v>
      </c>
      <c r="C74" s="54"/>
      <c r="D74" s="54"/>
      <c r="E74" s="54"/>
      <c r="F74" s="54"/>
      <c r="G74" s="54"/>
      <c r="H74" s="54"/>
      <c r="I74" s="54"/>
      <c r="J74" s="54"/>
      <c r="K74" s="54"/>
      <c r="L74" s="2809">
        <f>IF(L$40&lt;=holding,-FORECASTS!E77,0)</f>
        <v>0</v>
      </c>
      <c r="M74" s="2809"/>
      <c r="N74" s="2809"/>
      <c r="O74" s="2809">
        <f>IF(O$40&lt;=holding,-FORECASTS!F77,0)</f>
        <v>0</v>
      </c>
      <c r="P74" s="2809"/>
      <c r="Q74" s="2809"/>
      <c r="R74" s="2809">
        <f>IF(R$40&lt;=holding,-FORECASTS!G77,0)</f>
        <v>0</v>
      </c>
      <c r="S74" s="2809"/>
      <c r="T74" s="2809"/>
      <c r="U74" s="2809">
        <f>IF(U$40&lt;=holding,-FORECASTS!H77,0)</f>
        <v>0</v>
      </c>
      <c r="V74" s="2809"/>
      <c r="W74" s="2809"/>
      <c r="X74" s="2809">
        <f>IF(X$40&lt;=holding,-FORECASTS!I77,0)</f>
        <v>0</v>
      </c>
      <c r="Y74" s="2809"/>
      <c r="Z74" s="2809"/>
      <c r="AA74" s="2809">
        <f>IF(AA$40&lt;=holding,-FORECASTS!J77,0)</f>
        <v>0</v>
      </c>
      <c r="AB74" s="2809"/>
      <c r="AC74" s="2809"/>
      <c r="AD74" s="2809">
        <f>IF(AD$40&lt;=holding,-FORECASTS!K77,0)</f>
        <v>0</v>
      </c>
      <c r="AE74" s="2809"/>
      <c r="AF74" s="2809"/>
      <c r="AG74" s="2809">
        <f>IF(AG$40&lt;=holding,-FORECASTS!L77,0)</f>
        <v>0</v>
      </c>
      <c r="AH74" s="2809"/>
      <c r="AI74" s="2809"/>
      <c r="AJ74" s="2809">
        <f>IF(AJ$40&lt;=holding,-FORECASTS!M77,0)</f>
        <v>0</v>
      </c>
      <c r="AK74" s="2809"/>
      <c r="AL74" s="2809"/>
      <c r="AM74" s="2809">
        <f>IF(AM$40&lt;=holding,-FORECASTS!N77,0)</f>
        <v>0</v>
      </c>
      <c r="AN74" s="2809"/>
      <c r="AO74" s="2809"/>
      <c r="AP74" s="2809">
        <f>IF(AP$40&lt;=holding,-FORECASTS!O77,0)</f>
        <v>0</v>
      </c>
      <c r="AQ74" s="2809"/>
      <c r="AR74" s="2809"/>
      <c r="AS74" s="2809">
        <f>IF(AS$40&lt;=holding,-FORECASTS!P77,0)</f>
        <v>0</v>
      </c>
      <c r="AT74" s="2809"/>
      <c r="AU74" s="2809"/>
      <c r="AV74" s="2809">
        <f>IF(AV$40&lt;=holding,-FORECASTS!Q77,0)</f>
        <v>0</v>
      </c>
      <c r="AW74" s="2809"/>
      <c r="AX74" s="2809"/>
      <c r="AY74" s="2809">
        <f>IF(AY$40&lt;=holding,-FORECASTS!R77,0)</f>
        <v>0</v>
      </c>
      <c r="AZ74" s="2809"/>
      <c r="BA74" s="2809"/>
      <c r="BB74" s="2809">
        <f>IF(BB$40&lt;=holding,-FORECASTS!S77,0)</f>
        <v>0</v>
      </c>
      <c r="BC74" s="2809"/>
      <c r="BD74" s="2809"/>
      <c r="BE74" s="794">
        <f>IF(SUM(L74:BB74)=0,0,1)</f>
        <v>0</v>
      </c>
      <c r="BI74" s="358"/>
    </row>
    <row r="75" spans="1:193" s="272" customFormat="1" ht="16.8" x14ac:dyDescent="0.4">
      <c r="A75" s="44"/>
      <c r="B75" s="271"/>
      <c r="C75" s="271"/>
      <c r="D75" s="271"/>
      <c r="E75" s="271"/>
      <c r="F75" s="271"/>
      <c r="G75" s="271"/>
      <c r="H75" s="271"/>
      <c r="I75" s="271"/>
      <c r="J75" s="271"/>
      <c r="K75" s="271"/>
      <c r="L75" s="1503"/>
      <c r="M75" s="1503"/>
      <c r="N75" s="1503"/>
      <c r="O75" s="1503"/>
      <c r="P75" s="1503"/>
      <c r="Q75" s="1503"/>
      <c r="R75" s="1503"/>
      <c r="S75" s="1503"/>
      <c r="T75" s="1503"/>
      <c r="U75" s="1503"/>
      <c r="V75" s="1503"/>
      <c r="W75" s="1503"/>
      <c r="X75" s="1503"/>
      <c r="Y75" s="1503"/>
      <c r="Z75" s="1503"/>
      <c r="AA75" s="1503"/>
      <c r="AB75" s="1503"/>
      <c r="AC75" s="1503"/>
      <c r="AD75" s="1503"/>
      <c r="AE75" s="1503"/>
      <c r="AF75" s="1503"/>
      <c r="AG75" s="1503"/>
      <c r="AH75" s="1503"/>
      <c r="AI75" s="1503"/>
      <c r="AJ75" s="1503"/>
      <c r="AK75" s="1503"/>
      <c r="AL75" s="1503"/>
      <c r="AM75" s="1503"/>
      <c r="AN75" s="1503"/>
      <c r="AO75" s="1503"/>
      <c r="AP75" s="1503"/>
      <c r="AQ75" s="1503"/>
      <c r="AR75" s="1503"/>
      <c r="AS75" s="1503"/>
      <c r="AT75" s="1503"/>
      <c r="AU75" s="1503"/>
      <c r="AV75" s="1503"/>
      <c r="AW75" s="1503"/>
      <c r="AX75" s="1503"/>
      <c r="AY75" s="1503"/>
      <c r="AZ75" s="1503"/>
      <c r="BA75" s="1503"/>
      <c r="BB75" s="1503"/>
      <c r="BC75" s="1503"/>
      <c r="BD75" s="1503"/>
      <c r="BE75" s="341">
        <v>1</v>
      </c>
      <c r="BI75" s="358"/>
      <c r="BJ75" s="358"/>
      <c r="BK75" s="331"/>
      <c r="BL75" s="331"/>
      <c r="BM75" s="331"/>
      <c r="BN75" s="331"/>
      <c r="BO75" s="331"/>
      <c r="BP75" s="331"/>
      <c r="BQ75" s="331"/>
      <c r="BR75" s="331"/>
      <c r="BS75" s="331"/>
      <c r="BT75" s="331"/>
      <c r="BU75" s="331"/>
      <c r="BV75" s="331"/>
      <c r="BW75" s="331"/>
      <c r="BX75" s="331"/>
      <c r="BY75" s="331"/>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c r="FR75" s="331"/>
      <c r="FS75" s="331"/>
      <c r="FT75" s="331"/>
      <c r="FU75" s="331"/>
      <c r="FV75" s="331"/>
      <c r="FW75" s="331"/>
      <c r="FX75" s="331"/>
      <c r="FY75" s="331"/>
      <c r="FZ75" s="331"/>
      <c r="GA75" s="331"/>
      <c r="GB75" s="331"/>
      <c r="GC75" s="331"/>
      <c r="GD75" s="331"/>
      <c r="GE75" s="331"/>
      <c r="GF75" s="331"/>
      <c r="GG75" s="331"/>
      <c r="GH75" s="331"/>
      <c r="GI75" s="331"/>
      <c r="GJ75" s="331"/>
      <c r="GK75" s="331"/>
    </row>
    <row r="76" spans="1:193" s="272" customFormat="1" ht="14.4" x14ac:dyDescent="0.3">
      <c r="A76" s="166"/>
      <c r="B76" s="46" t="s">
        <v>189</v>
      </c>
      <c r="C76" s="46"/>
      <c r="D76" s="46"/>
      <c r="E76" s="46"/>
      <c r="F76" s="46"/>
      <c r="G76" s="46"/>
      <c r="H76" s="46"/>
      <c r="I76" s="46"/>
      <c r="J76" s="46"/>
      <c r="K76" s="46"/>
      <c r="L76" s="2816">
        <f>L70+L72+L73+L74</f>
        <v>0</v>
      </c>
      <c r="M76" s="2816"/>
      <c r="N76" s="2816"/>
      <c r="O76" s="2816">
        <f>O70+O72+O73+O74</f>
        <v>0</v>
      </c>
      <c r="P76" s="2816"/>
      <c r="Q76" s="2816"/>
      <c r="R76" s="2816">
        <f>R70+R72+R73+R74</f>
        <v>0</v>
      </c>
      <c r="S76" s="2816"/>
      <c r="T76" s="2816"/>
      <c r="U76" s="2816">
        <f>U70+U72+U73+U74</f>
        <v>0</v>
      </c>
      <c r="V76" s="2816"/>
      <c r="W76" s="2816"/>
      <c r="X76" s="2816">
        <f>X70+X72+X73+X74</f>
        <v>0</v>
      </c>
      <c r="Y76" s="2816"/>
      <c r="Z76" s="2816"/>
      <c r="AA76" s="2816">
        <f>AA70+AA72+AA73+AA74</f>
        <v>0</v>
      </c>
      <c r="AB76" s="2816"/>
      <c r="AC76" s="2816"/>
      <c r="AD76" s="2816">
        <f>AD70+AD72+AD73+AD74</f>
        <v>0</v>
      </c>
      <c r="AE76" s="2816"/>
      <c r="AF76" s="2816"/>
      <c r="AG76" s="2816">
        <f>AG70+AG72+AG73+AG74</f>
        <v>0</v>
      </c>
      <c r="AH76" s="2816"/>
      <c r="AI76" s="2816"/>
      <c r="AJ76" s="2816">
        <f>AJ70+AJ72+AJ73+AJ74</f>
        <v>0</v>
      </c>
      <c r="AK76" s="2816"/>
      <c r="AL76" s="2816"/>
      <c r="AM76" s="2816">
        <f>AM70+AM72+AM73+AM74</f>
        <v>0</v>
      </c>
      <c r="AN76" s="2816"/>
      <c r="AO76" s="2816"/>
      <c r="AP76" s="2816">
        <f>AP70+AP72+AP73+AP74</f>
        <v>0</v>
      </c>
      <c r="AQ76" s="2816"/>
      <c r="AR76" s="2816"/>
      <c r="AS76" s="2816">
        <f>AS70+AS72+AS73+AS74</f>
        <v>0</v>
      </c>
      <c r="AT76" s="2816"/>
      <c r="AU76" s="2816"/>
      <c r="AV76" s="2816">
        <f>AV70+AV72+AV73+AV74</f>
        <v>0</v>
      </c>
      <c r="AW76" s="2816"/>
      <c r="AX76" s="2816"/>
      <c r="AY76" s="2816">
        <f>AY70+AY72+AY73+AY74</f>
        <v>0</v>
      </c>
      <c r="AZ76" s="2816"/>
      <c r="BA76" s="2816"/>
      <c r="BB76" s="2816">
        <f>BB70+BB72+BB73+BB74</f>
        <v>0</v>
      </c>
      <c r="BC76" s="2816"/>
      <c r="BD76" s="2816"/>
      <c r="BE76" s="341">
        <f>IF(SUM(L76:BB76)=0,0,1)</f>
        <v>0</v>
      </c>
      <c r="BK76" s="331"/>
      <c r="BL76" s="331"/>
      <c r="BM76" s="331"/>
      <c r="BN76" s="331"/>
      <c r="BO76" s="331"/>
      <c r="BP76" s="331"/>
      <c r="BQ76" s="331"/>
      <c r="BR76" s="331"/>
      <c r="BS76" s="331"/>
      <c r="BT76" s="331"/>
      <c r="BU76" s="331"/>
      <c r="BV76" s="331"/>
      <c r="BW76" s="331"/>
      <c r="BX76" s="331"/>
      <c r="BY76" s="331"/>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c r="FR76" s="331"/>
      <c r="FS76" s="331"/>
      <c r="FT76" s="331"/>
      <c r="FU76" s="331"/>
      <c r="FV76" s="331"/>
      <c r="FW76" s="331"/>
      <c r="FX76" s="331"/>
      <c r="FY76" s="331"/>
      <c r="FZ76" s="331"/>
      <c r="GA76" s="331"/>
      <c r="GB76" s="331"/>
      <c r="GC76" s="331"/>
      <c r="GD76" s="331"/>
      <c r="GE76" s="331"/>
      <c r="GF76" s="331"/>
      <c r="GG76" s="331"/>
      <c r="GH76" s="331"/>
      <c r="GI76" s="331"/>
      <c r="GJ76" s="331"/>
      <c r="GK76" s="331"/>
    </row>
    <row r="77" spans="1:193" s="272" customFormat="1" ht="14.4" x14ac:dyDescent="0.3">
      <c r="A77" s="168"/>
      <c r="B77" s="460" t="str">
        <f>"% of "&amp;B43</f>
        <v>% of Gross Rental Income</v>
      </c>
      <c r="C77" s="460"/>
      <c r="D77" s="460"/>
      <c r="E77" s="460"/>
      <c r="F77" s="460"/>
      <c r="G77" s="460"/>
      <c r="H77" s="460"/>
      <c r="I77" s="460"/>
      <c r="J77" s="460"/>
      <c r="K77" s="460"/>
      <c r="L77" s="2834">
        <f>IFERROR(L76/L43,0)</f>
        <v>0</v>
      </c>
      <c r="M77" s="2834"/>
      <c r="N77" s="2834"/>
      <c r="O77" s="2834">
        <f>IFERROR(O76/O43,0)</f>
        <v>0</v>
      </c>
      <c r="P77" s="2834"/>
      <c r="Q77" s="2834"/>
      <c r="R77" s="2834">
        <f>IFERROR(R76/R43,0)</f>
        <v>0</v>
      </c>
      <c r="S77" s="2834"/>
      <c r="T77" s="2834"/>
      <c r="U77" s="2834">
        <f>IFERROR(U76/U43,0)</f>
        <v>0</v>
      </c>
      <c r="V77" s="2834"/>
      <c r="W77" s="2834"/>
      <c r="X77" s="2834">
        <f>IFERROR(X76/X43,0)</f>
        <v>0</v>
      </c>
      <c r="Y77" s="2834"/>
      <c r="Z77" s="2834"/>
      <c r="AA77" s="2834">
        <f>IFERROR(AA76/AA43,0)</f>
        <v>0</v>
      </c>
      <c r="AB77" s="2834"/>
      <c r="AC77" s="2834"/>
      <c r="AD77" s="2834">
        <f>IFERROR(AD76/AD43,0)</f>
        <v>0</v>
      </c>
      <c r="AE77" s="2834"/>
      <c r="AF77" s="2834"/>
      <c r="AG77" s="2834">
        <f>IFERROR(AG76/AG43,0)</f>
        <v>0</v>
      </c>
      <c r="AH77" s="2834"/>
      <c r="AI77" s="2834"/>
      <c r="AJ77" s="2834">
        <f>IFERROR(AJ76/AJ43,0)</f>
        <v>0</v>
      </c>
      <c r="AK77" s="2834"/>
      <c r="AL77" s="2834"/>
      <c r="AM77" s="2834">
        <f>IFERROR(AM76/AM43,0)</f>
        <v>0</v>
      </c>
      <c r="AN77" s="2834"/>
      <c r="AO77" s="2834"/>
      <c r="AP77" s="2834">
        <f>IFERROR(AP76/AP43,0)</f>
        <v>0</v>
      </c>
      <c r="AQ77" s="2834"/>
      <c r="AR77" s="2834"/>
      <c r="AS77" s="2834">
        <f>IFERROR(AS76/AS43,0)</f>
        <v>0</v>
      </c>
      <c r="AT77" s="2834"/>
      <c r="AU77" s="2834"/>
      <c r="AV77" s="2834">
        <f>IFERROR(AV76/AV43,0)</f>
        <v>0</v>
      </c>
      <c r="AW77" s="2834"/>
      <c r="AX77" s="2834"/>
      <c r="AY77" s="2834">
        <f>IFERROR(AY76/AY43,0)</f>
        <v>0</v>
      </c>
      <c r="AZ77" s="2834"/>
      <c r="BA77" s="2834"/>
      <c r="BB77" s="2834">
        <f>IFERROR(BB76/BB43,0)</f>
        <v>0</v>
      </c>
      <c r="BC77" s="2834"/>
      <c r="BD77" s="2834"/>
      <c r="BE77" s="341">
        <f>IF(SUM(L77:BB77)=0,0,1)</f>
        <v>0</v>
      </c>
      <c r="BK77" s="331"/>
      <c r="BL77" s="331"/>
      <c r="BM77" s="331"/>
      <c r="BN77" s="331"/>
      <c r="BO77" s="331"/>
      <c r="BP77" s="331"/>
      <c r="BQ77" s="331"/>
      <c r="BR77" s="331"/>
      <c r="BS77" s="331"/>
      <c r="BT77" s="331"/>
      <c r="BU77" s="331"/>
      <c r="BV77" s="331"/>
      <c r="BW77" s="331"/>
      <c r="BX77" s="331"/>
      <c r="BY77" s="331"/>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row>
    <row r="78" spans="1:193" s="272" customFormat="1" ht="14.4" x14ac:dyDescent="0.3">
      <c r="A78" s="168"/>
      <c r="B78" s="460" t="str">
        <f>"% of "&amp;B48</f>
        <v>% of Net Rental Income</v>
      </c>
      <c r="C78" s="460"/>
      <c r="D78" s="460"/>
      <c r="E78" s="460"/>
      <c r="F78" s="460"/>
      <c r="G78" s="460"/>
      <c r="H78" s="460"/>
      <c r="I78" s="460"/>
      <c r="J78" s="460"/>
      <c r="K78" s="460"/>
      <c r="L78" s="2834">
        <f>IFERROR(L76/L48,0)</f>
        <v>0</v>
      </c>
      <c r="M78" s="2834"/>
      <c r="N78" s="2834"/>
      <c r="O78" s="2834">
        <f>IFERROR(O76/O48,0)</f>
        <v>0</v>
      </c>
      <c r="P78" s="2834"/>
      <c r="Q78" s="2834"/>
      <c r="R78" s="2834">
        <f>IFERROR(R76/R48,0)</f>
        <v>0</v>
      </c>
      <c r="S78" s="2834"/>
      <c r="T78" s="2834"/>
      <c r="U78" s="2834">
        <f>IFERROR(U76/U48,0)</f>
        <v>0</v>
      </c>
      <c r="V78" s="2834"/>
      <c r="W78" s="2834"/>
      <c r="X78" s="2834">
        <f>IFERROR(X76/X48,0)</f>
        <v>0</v>
      </c>
      <c r="Y78" s="2834"/>
      <c r="Z78" s="2834"/>
      <c r="AA78" s="2834">
        <f>IFERROR(AA76/AA48,0)</f>
        <v>0</v>
      </c>
      <c r="AB78" s="2834"/>
      <c r="AC78" s="2834"/>
      <c r="AD78" s="2834">
        <f>IFERROR(AD76/AD48,0)</f>
        <v>0</v>
      </c>
      <c r="AE78" s="2834"/>
      <c r="AF78" s="2834"/>
      <c r="AG78" s="2834">
        <f>IFERROR(AG76/AG48,0)</f>
        <v>0</v>
      </c>
      <c r="AH78" s="2834"/>
      <c r="AI78" s="2834"/>
      <c r="AJ78" s="2834">
        <f>IFERROR(AJ76/AJ48,0)</f>
        <v>0</v>
      </c>
      <c r="AK78" s="2834"/>
      <c r="AL78" s="2834"/>
      <c r="AM78" s="2834">
        <f>IFERROR(AM76/AM48,0)</f>
        <v>0</v>
      </c>
      <c r="AN78" s="2834"/>
      <c r="AO78" s="2834"/>
      <c r="AP78" s="2834">
        <f>IFERROR(AP76/AP48,0)</f>
        <v>0</v>
      </c>
      <c r="AQ78" s="2834"/>
      <c r="AR78" s="2834"/>
      <c r="AS78" s="2834">
        <f>IFERROR(AS76/AS48,0)</f>
        <v>0</v>
      </c>
      <c r="AT78" s="2834"/>
      <c r="AU78" s="2834"/>
      <c r="AV78" s="2834">
        <f>IFERROR(AV76/AV48,0)</f>
        <v>0</v>
      </c>
      <c r="AW78" s="2834"/>
      <c r="AX78" s="2834"/>
      <c r="AY78" s="2834">
        <f>IFERROR(AY76/AY48,0)</f>
        <v>0</v>
      </c>
      <c r="AZ78" s="2834"/>
      <c r="BA78" s="2834"/>
      <c r="BB78" s="2834">
        <f>IFERROR(BB76/BB48,0)</f>
        <v>0</v>
      </c>
      <c r="BC78" s="2834"/>
      <c r="BD78" s="2834"/>
      <c r="BE78" s="341">
        <f>IF(SUM(L78:BB78)=0,0,1)</f>
        <v>0</v>
      </c>
      <c r="BK78" s="331"/>
      <c r="BL78" s="331"/>
      <c r="BM78" s="331"/>
      <c r="BN78" s="331"/>
      <c r="BO78" s="331"/>
      <c r="BP78" s="331"/>
      <c r="BQ78" s="331"/>
      <c r="BR78" s="331"/>
      <c r="BS78" s="331"/>
      <c r="BT78" s="331"/>
      <c r="BU78" s="331"/>
      <c r="BV78" s="331"/>
      <c r="BW78" s="331"/>
      <c r="BX78" s="331"/>
      <c r="BY78" s="331"/>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c r="FR78" s="331"/>
      <c r="FS78" s="331"/>
      <c r="FT78" s="331"/>
      <c r="FU78" s="331"/>
      <c r="FV78" s="331"/>
      <c r="FW78" s="331"/>
      <c r="FX78" s="331"/>
      <c r="FY78" s="331"/>
      <c r="FZ78" s="331"/>
      <c r="GA78" s="331"/>
      <c r="GB78" s="331"/>
      <c r="GC78" s="331"/>
      <c r="GD78" s="331"/>
      <c r="GE78" s="331"/>
      <c r="GF78" s="331"/>
      <c r="GG78" s="331"/>
      <c r="GH78" s="331"/>
      <c r="GI78" s="331"/>
      <c r="GJ78" s="331"/>
      <c r="GK78" s="331"/>
    </row>
    <row r="79" spans="1:193" s="272" customFormat="1" ht="14.4" x14ac:dyDescent="0.3">
      <c r="A79" s="168"/>
      <c r="B79" s="168"/>
      <c r="C79" s="168"/>
      <c r="D79" s="168"/>
      <c r="E79" s="168"/>
      <c r="F79" s="168"/>
      <c r="G79" s="168"/>
      <c r="H79" s="168"/>
      <c r="I79" s="168"/>
      <c r="J79" s="168"/>
      <c r="K79" s="168"/>
      <c r="L79" s="1508"/>
      <c r="M79" s="1508"/>
      <c r="N79" s="1508"/>
      <c r="O79" s="1508"/>
      <c r="P79" s="1508"/>
      <c r="Q79" s="1508"/>
      <c r="R79" s="1508"/>
      <c r="S79" s="1508"/>
      <c r="T79" s="1508"/>
      <c r="U79" s="1508"/>
      <c r="V79" s="1508"/>
      <c r="W79" s="1508"/>
      <c r="X79" s="1508"/>
      <c r="Y79" s="1508"/>
      <c r="Z79" s="1508"/>
      <c r="AA79" s="1508"/>
      <c r="AB79" s="1508"/>
      <c r="AC79" s="1508"/>
      <c r="AD79" s="1508"/>
      <c r="AE79" s="1508"/>
      <c r="AF79" s="1508"/>
      <c r="AG79" s="1508"/>
      <c r="AH79" s="1508"/>
      <c r="AI79" s="1508"/>
      <c r="AJ79" s="1508"/>
      <c r="AK79" s="1508"/>
      <c r="AL79" s="1508"/>
      <c r="AM79" s="1508"/>
      <c r="AN79" s="1508"/>
      <c r="AO79" s="1508"/>
      <c r="AP79" s="1508"/>
      <c r="AQ79" s="1508"/>
      <c r="AR79" s="1508"/>
      <c r="AS79" s="1508"/>
      <c r="AT79" s="1508"/>
      <c r="AU79" s="1508"/>
      <c r="AV79" s="1508"/>
      <c r="AW79" s="1508"/>
      <c r="AX79" s="1508"/>
      <c r="AY79" s="1508"/>
      <c r="AZ79" s="1508"/>
      <c r="BA79" s="1508"/>
      <c r="BB79" s="1508"/>
      <c r="BC79" s="1508"/>
      <c r="BD79" s="1508"/>
      <c r="BE79" s="341">
        <v>1</v>
      </c>
      <c r="BK79" s="331"/>
      <c r="BL79" s="331"/>
      <c r="BM79" s="331"/>
      <c r="BN79" s="331"/>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row>
    <row r="80" spans="1:193" s="272" customFormat="1" ht="14.4" x14ac:dyDescent="0.3">
      <c r="A80" s="168"/>
      <c r="B80" s="168"/>
      <c r="C80" s="168"/>
      <c r="D80" s="168"/>
      <c r="E80" s="168"/>
      <c r="F80" s="168"/>
      <c r="G80" s="168"/>
      <c r="H80" s="168"/>
      <c r="I80" s="168"/>
      <c r="J80" s="168"/>
      <c r="K80" s="168"/>
      <c r="L80" s="1505"/>
      <c r="M80" s="1505"/>
      <c r="N80" s="1505"/>
      <c r="O80" s="1505"/>
      <c r="P80" s="1505"/>
      <c r="Q80" s="1505"/>
      <c r="R80" s="1505"/>
      <c r="S80" s="1505"/>
      <c r="T80" s="1505"/>
      <c r="U80" s="1505"/>
      <c r="V80" s="1505"/>
      <c r="W80" s="1505"/>
      <c r="X80" s="1505"/>
      <c r="Y80" s="1505"/>
      <c r="Z80" s="1505"/>
      <c r="AA80" s="1505"/>
      <c r="AB80" s="1505"/>
      <c r="AC80" s="1505"/>
      <c r="AD80" s="1505"/>
      <c r="AE80" s="1505"/>
      <c r="AF80" s="1505"/>
      <c r="AG80" s="1505"/>
      <c r="AH80" s="1505"/>
      <c r="AI80" s="1505"/>
      <c r="AJ80" s="1505"/>
      <c r="AK80" s="1505"/>
      <c r="AL80" s="1505"/>
      <c r="AM80" s="1505"/>
      <c r="AN80" s="1505"/>
      <c r="AO80" s="1505"/>
      <c r="AP80" s="1505"/>
      <c r="AQ80" s="1505"/>
      <c r="AR80" s="1505"/>
      <c r="AS80" s="1505"/>
      <c r="AT80" s="1505"/>
      <c r="AU80" s="1505"/>
      <c r="AV80" s="1505"/>
      <c r="AW80" s="1505"/>
      <c r="AX80" s="1505"/>
      <c r="AY80" s="1505"/>
      <c r="AZ80" s="1505"/>
      <c r="BA80" s="1505"/>
      <c r="BB80" s="1505"/>
      <c r="BC80" s="1505"/>
      <c r="BD80" s="1505"/>
      <c r="BE80" s="341">
        <f>IF(holding&gt;15,1,0)</f>
        <v>0</v>
      </c>
      <c r="BK80" s="331"/>
      <c r="BL80" s="331"/>
      <c r="BM80" s="331"/>
      <c r="BN80" s="331"/>
      <c r="BO80" s="331"/>
      <c r="BP80" s="331"/>
      <c r="BQ80" s="331"/>
      <c r="BR80" s="331"/>
      <c r="BS80" s="331"/>
      <c r="BT80" s="331"/>
      <c r="BU80" s="331"/>
      <c r="BV80" s="331"/>
      <c r="BW80" s="331"/>
      <c r="BX80" s="331"/>
      <c r="BY80" s="331"/>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row>
    <row r="81" spans="1:193" s="272" customFormat="1" ht="14.4" x14ac:dyDescent="0.3">
      <c r="A81" s="164"/>
      <c r="B81" s="2819" t="s">
        <v>183</v>
      </c>
      <c r="C81" s="2819"/>
      <c r="D81" s="2819"/>
      <c r="E81" s="2819"/>
      <c r="F81" s="2819"/>
      <c r="G81" s="163"/>
      <c r="H81" s="163"/>
      <c r="I81" s="163"/>
      <c r="J81" s="163"/>
      <c r="K81" s="163"/>
      <c r="L81" s="2841">
        <f>BB40+1</f>
        <v>16</v>
      </c>
      <c r="M81" s="2841"/>
      <c r="N81" s="2841"/>
      <c r="O81" s="2841">
        <f>L81+1</f>
        <v>17</v>
      </c>
      <c r="P81" s="2841"/>
      <c r="Q81" s="2841"/>
      <c r="R81" s="2841">
        <f>O81+1</f>
        <v>18</v>
      </c>
      <c r="S81" s="2841"/>
      <c r="T81" s="2841"/>
      <c r="U81" s="2841">
        <f>R81+1</f>
        <v>19</v>
      </c>
      <c r="V81" s="2841"/>
      <c r="W81" s="2841"/>
      <c r="X81" s="2841">
        <f>U81+1</f>
        <v>20</v>
      </c>
      <c r="Y81" s="2841"/>
      <c r="Z81" s="2841"/>
      <c r="AA81" s="2841">
        <f>X81+1</f>
        <v>21</v>
      </c>
      <c r="AB81" s="2841"/>
      <c r="AC81" s="2841"/>
      <c r="AD81" s="2841">
        <f>AA81+1</f>
        <v>22</v>
      </c>
      <c r="AE81" s="2841"/>
      <c r="AF81" s="2841"/>
      <c r="AG81" s="2841">
        <f>AD81+1</f>
        <v>23</v>
      </c>
      <c r="AH81" s="2841"/>
      <c r="AI81" s="2841"/>
      <c r="AJ81" s="2841">
        <f>AG81+1</f>
        <v>24</v>
      </c>
      <c r="AK81" s="2841"/>
      <c r="AL81" s="2841"/>
      <c r="AM81" s="2841">
        <f>AJ81+1</f>
        <v>25</v>
      </c>
      <c r="AN81" s="2841"/>
      <c r="AO81" s="2841"/>
      <c r="AP81" s="2841">
        <f>AM81+1</f>
        <v>26</v>
      </c>
      <c r="AQ81" s="2841"/>
      <c r="AR81" s="2841"/>
      <c r="AS81" s="2841">
        <f>AP81+1</f>
        <v>27</v>
      </c>
      <c r="AT81" s="2841"/>
      <c r="AU81" s="2841"/>
      <c r="AV81" s="2841">
        <f>AS81+1</f>
        <v>28</v>
      </c>
      <c r="AW81" s="2841"/>
      <c r="AX81" s="2841"/>
      <c r="AY81" s="2841">
        <f>AV81+1</f>
        <v>29</v>
      </c>
      <c r="AZ81" s="2841"/>
      <c r="BA81" s="2841"/>
      <c r="BB81" s="2841">
        <f>AY81+1</f>
        <v>30</v>
      </c>
      <c r="BC81" s="2841"/>
      <c r="BD81" s="2841"/>
      <c r="BE81" s="341">
        <f>IF(holding&gt;15,1,0)</f>
        <v>0</v>
      </c>
      <c r="BK81" s="331"/>
      <c r="BL81" s="331"/>
      <c r="BM81" s="331"/>
      <c r="BN81" s="331"/>
      <c r="BO81" s="331"/>
      <c r="BP81" s="331"/>
      <c r="BQ81" s="331"/>
      <c r="BR81" s="331"/>
      <c r="BS81" s="331"/>
      <c r="BT81" s="331"/>
      <c r="BU81" s="331"/>
      <c r="BV81" s="331"/>
      <c r="BW81" s="331"/>
      <c r="BX81" s="331"/>
      <c r="BY81" s="331"/>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row>
    <row r="82" spans="1:193" s="272" customFormat="1" ht="14.4" x14ac:dyDescent="0.3">
      <c r="A82" s="164"/>
      <c r="B82" s="461"/>
      <c r="C82" s="461"/>
      <c r="D82" s="461"/>
      <c r="E82" s="461"/>
      <c r="F82" s="461"/>
      <c r="G82" s="461"/>
      <c r="H82" s="461"/>
      <c r="I82" s="461"/>
      <c r="J82" s="461"/>
      <c r="K82" s="461"/>
      <c r="L82" s="1509"/>
      <c r="M82" s="1509"/>
      <c r="N82" s="1509"/>
      <c r="O82" s="1509"/>
      <c r="P82" s="1509"/>
      <c r="Q82" s="1509"/>
      <c r="R82" s="1509"/>
      <c r="S82" s="1509"/>
      <c r="T82" s="1509"/>
      <c r="U82" s="1509"/>
      <c r="V82" s="1509"/>
      <c r="W82" s="1509"/>
      <c r="X82" s="1509"/>
      <c r="Y82" s="1509"/>
      <c r="Z82" s="1509"/>
      <c r="AA82" s="1509"/>
      <c r="AB82" s="1509"/>
      <c r="AC82" s="1509"/>
      <c r="AD82" s="1509"/>
      <c r="AE82" s="1509"/>
      <c r="AF82" s="1509"/>
      <c r="AG82" s="1509"/>
      <c r="AH82" s="1509"/>
      <c r="AI82" s="1509"/>
      <c r="AJ82" s="1509"/>
      <c r="AK82" s="1509"/>
      <c r="AL82" s="1509"/>
      <c r="AM82" s="1509"/>
      <c r="AN82" s="1509"/>
      <c r="AO82" s="1509"/>
      <c r="AP82" s="1509"/>
      <c r="AQ82" s="1509"/>
      <c r="AR82" s="1509"/>
      <c r="AS82" s="1509"/>
      <c r="AT82" s="1509"/>
      <c r="AU82" s="1509"/>
      <c r="AV82" s="1509"/>
      <c r="AW82" s="1509"/>
      <c r="AX82" s="1509"/>
      <c r="AY82" s="1509"/>
      <c r="AZ82" s="1509"/>
      <c r="BA82" s="1509"/>
      <c r="BB82" s="1509"/>
      <c r="BC82" s="1509"/>
      <c r="BD82" s="1509"/>
      <c r="BE82" s="341">
        <f>IF(holding&gt;15,1,0)</f>
        <v>0</v>
      </c>
      <c r="BK82" s="331"/>
      <c r="BL82" s="331"/>
      <c r="BM82" s="331"/>
      <c r="BN82" s="331"/>
      <c r="BO82" s="331"/>
      <c r="BP82" s="331"/>
      <c r="BQ82" s="331"/>
      <c r="BR82" s="331"/>
      <c r="BS82" s="331"/>
      <c r="BT82" s="331"/>
      <c r="BU82" s="331"/>
      <c r="BV82" s="331"/>
      <c r="BW82" s="331"/>
      <c r="BX82" s="331"/>
      <c r="BY82" s="331"/>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31"/>
      <c r="EG82" s="331"/>
      <c r="EH82" s="331"/>
      <c r="EI82" s="331"/>
      <c r="EJ82" s="331"/>
      <c r="EK82" s="331"/>
      <c r="EL82" s="331"/>
      <c r="EM82" s="331"/>
      <c r="EN82" s="331"/>
      <c r="EO82" s="331"/>
      <c r="EP82" s="331"/>
      <c r="EQ82" s="331"/>
      <c r="ER82" s="331"/>
      <c r="ES82" s="331"/>
      <c r="ET82" s="331"/>
      <c r="EU82" s="331"/>
      <c r="EV82" s="331"/>
      <c r="EW82" s="331"/>
      <c r="EX82" s="331"/>
      <c r="EY82" s="331"/>
      <c r="EZ82" s="331"/>
      <c r="FA82" s="331"/>
      <c r="FB82" s="331"/>
      <c r="FC82" s="331"/>
      <c r="FD82" s="331"/>
      <c r="FE82" s="331"/>
      <c r="FF82" s="331"/>
      <c r="FG82" s="331"/>
      <c r="FH82" s="331"/>
      <c r="FI82" s="331"/>
      <c r="FJ82" s="331"/>
      <c r="FK82" s="331"/>
      <c r="FL82" s="331"/>
      <c r="FM82" s="331"/>
      <c r="FN82" s="331"/>
      <c r="FO82" s="331"/>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row>
    <row r="83" spans="1:193" s="272" customFormat="1" ht="14.4" x14ac:dyDescent="0.3">
      <c r="A83" s="165"/>
      <c r="B83" s="44" t="str">
        <f>B43</f>
        <v>Gross Rental Income</v>
      </c>
      <c r="C83" s="44"/>
      <c r="D83" s="44"/>
      <c r="E83" s="44"/>
      <c r="F83" s="44"/>
      <c r="G83" s="44"/>
      <c r="H83" s="44"/>
      <c r="I83" s="20"/>
      <c r="J83" s="20"/>
      <c r="K83" s="20"/>
      <c r="L83" s="2809">
        <f>FORECASTS!T19</f>
        <v>0</v>
      </c>
      <c r="M83" s="2809"/>
      <c r="N83" s="2809"/>
      <c r="O83" s="2809">
        <f>FORECASTS!U19</f>
        <v>0</v>
      </c>
      <c r="P83" s="2809"/>
      <c r="Q83" s="2809"/>
      <c r="R83" s="2809">
        <f>FORECASTS!V19</f>
        <v>0</v>
      </c>
      <c r="S83" s="2809"/>
      <c r="T83" s="2809"/>
      <c r="U83" s="2809">
        <f>FORECASTS!W19</f>
        <v>0</v>
      </c>
      <c r="V83" s="2809"/>
      <c r="W83" s="2809"/>
      <c r="X83" s="2809">
        <f>FORECASTS!X19</f>
        <v>0</v>
      </c>
      <c r="Y83" s="2809"/>
      <c r="Z83" s="2809"/>
      <c r="AA83" s="2809">
        <f>FORECASTS!Y19</f>
        <v>0</v>
      </c>
      <c r="AB83" s="2809"/>
      <c r="AC83" s="2809"/>
      <c r="AD83" s="2809">
        <f>FORECASTS!Z19</f>
        <v>0</v>
      </c>
      <c r="AE83" s="2809"/>
      <c r="AF83" s="2809"/>
      <c r="AG83" s="2809">
        <f>FORECASTS!AA19</f>
        <v>0</v>
      </c>
      <c r="AH83" s="2809"/>
      <c r="AI83" s="2809"/>
      <c r="AJ83" s="2809">
        <f>FORECASTS!AB19</f>
        <v>0</v>
      </c>
      <c r="AK83" s="2809"/>
      <c r="AL83" s="2809"/>
      <c r="AM83" s="2809">
        <f>FORECASTS!AC19</f>
        <v>0</v>
      </c>
      <c r="AN83" s="2809"/>
      <c r="AO83" s="2809"/>
      <c r="AP83" s="2809">
        <f>FORECASTS!AD19</f>
        <v>0</v>
      </c>
      <c r="AQ83" s="2809"/>
      <c r="AR83" s="2809"/>
      <c r="AS83" s="2809">
        <f>FORECASTS!AE19</f>
        <v>0</v>
      </c>
      <c r="AT83" s="2809"/>
      <c r="AU83" s="2809"/>
      <c r="AV83" s="2809">
        <f>FORECASTS!AF19</f>
        <v>0</v>
      </c>
      <c r="AW83" s="2809"/>
      <c r="AX83" s="2809"/>
      <c r="AY83" s="2809">
        <f>FORECASTS!AG19</f>
        <v>0</v>
      </c>
      <c r="AZ83" s="2809"/>
      <c r="BA83" s="2809"/>
      <c r="BB83" s="2809">
        <f>FORECASTS!AH19</f>
        <v>0</v>
      </c>
      <c r="BC83" s="2809"/>
      <c r="BD83" s="2809"/>
      <c r="BE83" s="341">
        <f>IF(SUM(L83:BB83)=0,0,1)</f>
        <v>0</v>
      </c>
      <c r="BK83" s="331"/>
      <c r="BL83" s="331"/>
      <c r="BM83" s="331"/>
      <c r="BN83" s="331"/>
      <c r="BO83" s="331"/>
      <c r="BP83" s="331"/>
      <c r="BQ83" s="331"/>
      <c r="BR83" s="331"/>
      <c r="BS83" s="331"/>
      <c r="BT83" s="331"/>
      <c r="BU83" s="331"/>
      <c r="BV83" s="331"/>
      <c r="BW83" s="331"/>
      <c r="BX83" s="331"/>
      <c r="BY83" s="331"/>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row>
    <row r="84" spans="1:193" s="272" customFormat="1" ht="14.4" x14ac:dyDescent="0.3">
      <c r="A84" s="160"/>
      <c r="B84" s="44" t="str">
        <f>B45</f>
        <v>(+) Other Income</v>
      </c>
      <c r="C84" s="44"/>
      <c r="D84" s="44"/>
      <c r="E84" s="44"/>
      <c r="F84" s="44"/>
      <c r="G84" s="44"/>
      <c r="H84" s="44"/>
      <c r="I84" s="20"/>
      <c r="J84" s="20"/>
      <c r="K84" s="20"/>
      <c r="L84" s="2809">
        <f>FORECASTS!T21</f>
        <v>0</v>
      </c>
      <c r="M84" s="2809"/>
      <c r="N84" s="2809"/>
      <c r="O84" s="2809">
        <f>FORECASTS!U21</f>
        <v>0</v>
      </c>
      <c r="P84" s="2809"/>
      <c r="Q84" s="2809"/>
      <c r="R84" s="2809">
        <f>FORECASTS!V21</f>
        <v>0</v>
      </c>
      <c r="S84" s="2809"/>
      <c r="T84" s="2809"/>
      <c r="U84" s="2809">
        <f>FORECASTS!W21</f>
        <v>0</v>
      </c>
      <c r="V84" s="2809"/>
      <c r="W84" s="2809"/>
      <c r="X84" s="2809">
        <f>FORECASTS!X21</f>
        <v>0</v>
      </c>
      <c r="Y84" s="2809"/>
      <c r="Z84" s="2809"/>
      <c r="AA84" s="2809">
        <f>FORECASTS!Y21</f>
        <v>0</v>
      </c>
      <c r="AB84" s="2809"/>
      <c r="AC84" s="2809"/>
      <c r="AD84" s="2809">
        <f>FORECASTS!Z21</f>
        <v>0</v>
      </c>
      <c r="AE84" s="2809"/>
      <c r="AF84" s="2809"/>
      <c r="AG84" s="2809">
        <f>FORECASTS!AA21</f>
        <v>0</v>
      </c>
      <c r="AH84" s="2809"/>
      <c r="AI84" s="2809"/>
      <c r="AJ84" s="2809">
        <f>FORECASTS!AB21</f>
        <v>0</v>
      </c>
      <c r="AK84" s="2809"/>
      <c r="AL84" s="2809"/>
      <c r="AM84" s="2809">
        <f>FORECASTS!AC21</f>
        <v>0</v>
      </c>
      <c r="AN84" s="2809"/>
      <c r="AO84" s="2809"/>
      <c r="AP84" s="2809">
        <f>FORECASTS!AD21</f>
        <v>0</v>
      </c>
      <c r="AQ84" s="2809"/>
      <c r="AR84" s="2809"/>
      <c r="AS84" s="2809">
        <f>FORECASTS!AE21</f>
        <v>0</v>
      </c>
      <c r="AT84" s="2809"/>
      <c r="AU84" s="2809"/>
      <c r="AV84" s="2809">
        <f>FORECASTS!AF21</f>
        <v>0</v>
      </c>
      <c r="AW84" s="2809"/>
      <c r="AX84" s="2809"/>
      <c r="AY84" s="2809">
        <f>FORECASTS!AG21</f>
        <v>0</v>
      </c>
      <c r="AZ84" s="2809"/>
      <c r="BA84" s="2809"/>
      <c r="BB84" s="2809">
        <f>FORECASTS!AH21</f>
        <v>0</v>
      </c>
      <c r="BC84" s="2809"/>
      <c r="BD84" s="2809"/>
      <c r="BE84" s="341">
        <f>IF(SUM(L84:BB84)=0,0,1)</f>
        <v>0</v>
      </c>
      <c r="BK84" s="331"/>
      <c r="BL84" s="331"/>
      <c r="BM84" s="331"/>
      <c r="BN84" s="331"/>
      <c r="BO84" s="331"/>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row>
    <row r="85" spans="1:193" s="272" customFormat="1" ht="14.4" hidden="1" x14ac:dyDescent="0.3">
      <c r="A85" s="160"/>
      <c r="B85" s="44" t="s">
        <v>1003</v>
      </c>
      <c r="C85" s="44"/>
      <c r="D85" s="44"/>
      <c r="E85" s="44"/>
      <c r="F85" s="44"/>
      <c r="G85" s="44"/>
      <c r="H85" s="44"/>
      <c r="I85" s="20"/>
      <c r="J85" s="20"/>
      <c r="K85" s="20"/>
      <c r="L85" s="2812">
        <f>FORECASTS!T23</f>
        <v>0</v>
      </c>
      <c r="M85" s="2812"/>
      <c r="N85" s="2812"/>
      <c r="O85" s="2812">
        <f>FORECASTS!U23</f>
        <v>0</v>
      </c>
      <c r="P85" s="2812"/>
      <c r="Q85" s="2812"/>
      <c r="R85" s="2812">
        <f>FORECASTS!V23</f>
        <v>0</v>
      </c>
      <c r="S85" s="2812"/>
      <c r="T85" s="2812"/>
      <c r="U85" s="2812">
        <f>FORECASTS!W23</f>
        <v>0</v>
      </c>
      <c r="V85" s="2812"/>
      <c r="W85" s="2812"/>
      <c r="X85" s="2812">
        <f>FORECASTS!X23</f>
        <v>0</v>
      </c>
      <c r="Y85" s="2812"/>
      <c r="Z85" s="2812"/>
      <c r="AA85" s="2812">
        <f>FORECASTS!Y23</f>
        <v>0</v>
      </c>
      <c r="AB85" s="2812"/>
      <c r="AC85" s="2812"/>
      <c r="AD85" s="2812">
        <f>FORECASTS!Z23</f>
        <v>0</v>
      </c>
      <c r="AE85" s="2812"/>
      <c r="AF85" s="2812"/>
      <c r="AG85" s="2812">
        <f>FORECASTS!AA23</f>
        <v>0</v>
      </c>
      <c r="AH85" s="2812"/>
      <c r="AI85" s="2812"/>
      <c r="AJ85" s="2812">
        <f>FORECASTS!AB23</f>
        <v>0</v>
      </c>
      <c r="AK85" s="2812"/>
      <c r="AL85" s="2812"/>
      <c r="AM85" s="2812">
        <f>FORECASTS!AC23</f>
        <v>0</v>
      </c>
      <c r="AN85" s="2812"/>
      <c r="AO85" s="2812"/>
      <c r="AP85" s="2812">
        <f>FORECASTS!AD23</f>
        <v>0</v>
      </c>
      <c r="AQ85" s="2812"/>
      <c r="AR85" s="2812"/>
      <c r="AS85" s="2812">
        <f>FORECASTS!AE23</f>
        <v>0</v>
      </c>
      <c r="AT85" s="2812"/>
      <c r="AU85" s="2812"/>
      <c r="AV85" s="2812">
        <f>FORECASTS!AF23</f>
        <v>0</v>
      </c>
      <c r="AW85" s="2812"/>
      <c r="AX85" s="2812"/>
      <c r="AY85" s="2812">
        <f>FORECASTS!AG23</f>
        <v>0</v>
      </c>
      <c r="AZ85" s="2812"/>
      <c r="BA85" s="2812"/>
      <c r="BB85" s="2812">
        <f>FORECASTS!AH23</f>
        <v>0</v>
      </c>
      <c r="BC85" s="2812"/>
      <c r="BD85" s="2812"/>
      <c r="BE85" s="341">
        <f>IF(SUM(L85:BB85)=0,0,1)</f>
        <v>0</v>
      </c>
    </row>
    <row r="86" spans="1:193" s="272" customFormat="1" ht="14.4" x14ac:dyDescent="0.3">
      <c r="A86" s="160"/>
      <c r="B86" s="44" t="s">
        <v>1004</v>
      </c>
      <c r="C86" s="44"/>
      <c r="D86" s="44"/>
      <c r="E86" s="44"/>
      <c r="F86" s="44"/>
      <c r="G86" s="44"/>
      <c r="H86" s="44"/>
      <c r="I86" s="20"/>
      <c r="J86" s="20"/>
      <c r="K86" s="20"/>
      <c r="L86" s="2842">
        <f>FORECASTS!T25</f>
        <v>0</v>
      </c>
      <c r="M86" s="2842"/>
      <c r="N86" s="2842"/>
      <c r="O86" s="2842">
        <f>FORECASTS!U25</f>
        <v>0</v>
      </c>
      <c r="P86" s="2842"/>
      <c r="Q86" s="2842"/>
      <c r="R86" s="2842">
        <f>FORECASTS!V25</f>
        <v>0</v>
      </c>
      <c r="S86" s="2842"/>
      <c r="T86" s="2842"/>
      <c r="U86" s="2842">
        <f>FORECASTS!W25</f>
        <v>0</v>
      </c>
      <c r="V86" s="2842"/>
      <c r="W86" s="2842"/>
      <c r="X86" s="2842">
        <f>FORECASTS!X25</f>
        <v>0</v>
      </c>
      <c r="Y86" s="2842"/>
      <c r="Z86" s="2842"/>
      <c r="AA86" s="2842">
        <f>FORECASTS!Y25</f>
        <v>0</v>
      </c>
      <c r="AB86" s="2842"/>
      <c r="AC86" s="2842"/>
      <c r="AD86" s="2842">
        <f>FORECASTS!Z25</f>
        <v>0</v>
      </c>
      <c r="AE86" s="2842"/>
      <c r="AF86" s="2842"/>
      <c r="AG86" s="2842">
        <f>FORECASTS!AA25</f>
        <v>0</v>
      </c>
      <c r="AH86" s="2842"/>
      <c r="AI86" s="2842"/>
      <c r="AJ86" s="2842">
        <f>FORECASTS!AB25</f>
        <v>0</v>
      </c>
      <c r="AK86" s="2842"/>
      <c r="AL86" s="2842"/>
      <c r="AM86" s="2842">
        <f>FORECASTS!AC25</f>
        <v>0</v>
      </c>
      <c r="AN86" s="2842"/>
      <c r="AO86" s="2842"/>
      <c r="AP86" s="2842">
        <f>FORECASTS!AD25</f>
        <v>0</v>
      </c>
      <c r="AQ86" s="2842"/>
      <c r="AR86" s="2842"/>
      <c r="AS86" s="2842">
        <f>FORECASTS!AE25</f>
        <v>0</v>
      </c>
      <c r="AT86" s="2842"/>
      <c r="AU86" s="2842"/>
      <c r="AV86" s="2842">
        <f>FORECASTS!AF25</f>
        <v>0</v>
      </c>
      <c r="AW86" s="2842"/>
      <c r="AX86" s="2842"/>
      <c r="AY86" s="2842">
        <f>FORECASTS!AG25</f>
        <v>0</v>
      </c>
      <c r="AZ86" s="2842"/>
      <c r="BA86" s="2842"/>
      <c r="BB86" s="2842">
        <f>FORECASTS!AH25</f>
        <v>0</v>
      </c>
      <c r="BC86" s="2842"/>
      <c r="BD86" s="2842"/>
      <c r="BE86" s="341">
        <f>IF(SUM(L86:BB86)=0,0,1)</f>
        <v>0</v>
      </c>
      <c r="BK86" s="331"/>
      <c r="BL86" s="331"/>
      <c r="BM86" s="331"/>
      <c r="BN86" s="331"/>
      <c r="BO86" s="331"/>
      <c r="BP86" s="331"/>
      <c r="BQ86" s="331"/>
      <c r="BR86" s="331"/>
      <c r="BS86" s="331"/>
      <c r="BT86" s="331"/>
      <c r="BU86" s="331"/>
      <c r="BV86" s="331"/>
      <c r="BW86" s="331"/>
      <c r="BX86" s="331"/>
      <c r="BY86" s="331"/>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31"/>
      <c r="DB86" s="331"/>
      <c r="DC86" s="331"/>
      <c r="DD86" s="331"/>
      <c r="DE86" s="331"/>
      <c r="DF86" s="331"/>
      <c r="DG86" s="331"/>
      <c r="DH86" s="331"/>
      <c r="DI86" s="331"/>
      <c r="DJ86" s="331"/>
      <c r="DK86" s="331"/>
      <c r="DL86" s="331"/>
      <c r="DM86" s="331"/>
      <c r="DN86" s="331"/>
      <c r="DO86" s="331"/>
      <c r="DP86" s="331"/>
      <c r="DQ86" s="331"/>
      <c r="DR86" s="331"/>
      <c r="DS86" s="331"/>
      <c r="DT86" s="331"/>
      <c r="DU86" s="331"/>
      <c r="DV86" s="331"/>
      <c r="DW86" s="331"/>
      <c r="DX86" s="331"/>
      <c r="DY86" s="331"/>
      <c r="DZ86" s="331"/>
      <c r="EA86" s="331"/>
      <c r="EB86" s="331"/>
      <c r="EC86" s="331"/>
      <c r="ED86" s="331"/>
      <c r="EE86" s="331"/>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row>
    <row r="87" spans="1:193" s="272" customFormat="1" ht="14.4" x14ac:dyDescent="0.3">
      <c r="A87" s="161"/>
      <c r="B87" s="46" t="str">
        <f>B48</f>
        <v>Net Rental Income</v>
      </c>
      <c r="C87" s="46"/>
      <c r="D87" s="46"/>
      <c r="E87" s="46"/>
      <c r="F87" s="46"/>
      <c r="G87" s="46"/>
      <c r="H87" s="46"/>
      <c r="I87" s="46"/>
      <c r="J87" s="46"/>
      <c r="K87" s="46"/>
      <c r="L87" s="2816">
        <f>SUM(L83:L86)</f>
        <v>0</v>
      </c>
      <c r="M87" s="2816"/>
      <c r="N87" s="2816"/>
      <c r="O87" s="2816">
        <f>SUM(O83:O86)</f>
        <v>0</v>
      </c>
      <c r="P87" s="2816"/>
      <c r="Q87" s="2816"/>
      <c r="R87" s="2816">
        <f>SUM(R83:R86)</f>
        <v>0</v>
      </c>
      <c r="S87" s="2816"/>
      <c r="T87" s="2816"/>
      <c r="U87" s="2816">
        <f>SUM(U83:U86)</f>
        <v>0</v>
      </c>
      <c r="V87" s="2816"/>
      <c r="W87" s="2816"/>
      <c r="X87" s="2816">
        <f>SUM(X83:X86)</f>
        <v>0</v>
      </c>
      <c r="Y87" s="2816"/>
      <c r="Z87" s="2816"/>
      <c r="AA87" s="2816">
        <f>SUM(AA83:AA86)</f>
        <v>0</v>
      </c>
      <c r="AB87" s="2816"/>
      <c r="AC87" s="2816"/>
      <c r="AD87" s="2816">
        <f>SUM(AD83:AD86)</f>
        <v>0</v>
      </c>
      <c r="AE87" s="2816"/>
      <c r="AF87" s="2816"/>
      <c r="AG87" s="2816">
        <f>SUM(AG83:AG86)</f>
        <v>0</v>
      </c>
      <c r="AH87" s="2816"/>
      <c r="AI87" s="2816"/>
      <c r="AJ87" s="2816">
        <f>SUM(AJ83:AJ86)</f>
        <v>0</v>
      </c>
      <c r="AK87" s="2816"/>
      <c r="AL87" s="2816"/>
      <c r="AM87" s="2816">
        <f>SUM(AM83:AM86)</f>
        <v>0</v>
      </c>
      <c r="AN87" s="2816"/>
      <c r="AO87" s="2816"/>
      <c r="AP87" s="2816">
        <f>SUM(AP83:AP86)</f>
        <v>0</v>
      </c>
      <c r="AQ87" s="2816"/>
      <c r="AR87" s="2816"/>
      <c r="AS87" s="2816">
        <f>SUM(AS83:AS86)</f>
        <v>0</v>
      </c>
      <c r="AT87" s="2816"/>
      <c r="AU87" s="2816"/>
      <c r="AV87" s="2816">
        <f>SUM(AV83:AV86)</f>
        <v>0</v>
      </c>
      <c r="AW87" s="2816"/>
      <c r="AX87" s="2816"/>
      <c r="AY87" s="2816">
        <f>SUM(AY83:AY86)</f>
        <v>0</v>
      </c>
      <c r="AZ87" s="2816"/>
      <c r="BA87" s="2816"/>
      <c r="BB87" s="2816">
        <f>SUM(BB83:BB86)</f>
        <v>0</v>
      </c>
      <c r="BC87" s="2816"/>
      <c r="BD87" s="2816"/>
      <c r="BE87" s="341">
        <f>IF(SUM(L87:BB87)=0,0,1)</f>
        <v>0</v>
      </c>
      <c r="BK87" s="331"/>
      <c r="BL87" s="331"/>
      <c r="BM87" s="331"/>
      <c r="BN87" s="331"/>
      <c r="BO87" s="331"/>
      <c r="BP87" s="331"/>
      <c r="BQ87" s="331"/>
      <c r="BR87" s="331"/>
      <c r="BS87" s="331"/>
      <c r="BT87" s="331"/>
      <c r="BU87" s="331"/>
      <c r="BV87" s="331"/>
      <c r="BW87" s="331"/>
      <c r="BX87" s="331"/>
      <c r="BY87" s="331"/>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31"/>
      <c r="EG87" s="331"/>
      <c r="EH87" s="331"/>
      <c r="EI87" s="331"/>
      <c r="EJ87" s="331"/>
      <c r="EK87" s="331"/>
      <c r="EL87" s="331"/>
      <c r="EM87" s="331"/>
      <c r="EN87" s="331"/>
      <c r="EO87" s="331"/>
      <c r="EP87" s="331"/>
      <c r="EQ87" s="331"/>
      <c r="ER87" s="331"/>
      <c r="ES87" s="331"/>
      <c r="ET87" s="331"/>
      <c r="EU87" s="331"/>
      <c r="EV87" s="331"/>
      <c r="EW87" s="331"/>
      <c r="EX87" s="331"/>
      <c r="EY87" s="331"/>
      <c r="EZ87" s="331"/>
      <c r="FA87" s="331"/>
      <c r="FB87" s="331"/>
      <c r="FC87" s="331"/>
      <c r="FD87" s="331"/>
      <c r="FE87" s="331"/>
      <c r="FF87" s="331"/>
      <c r="FG87" s="331"/>
      <c r="FH87" s="331"/>
      <c r="FI87" s="331"/>
      <c r="FJ87" s="331"/>
      <c r="FK87" s="331"/>
      <c r="FL87" s="331"/>
      <c r="FM87" s="331"/>
      <c r="FN87" s="331"/>
      <c r="FO87" s="331"/>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row>
    <row r="88" spans="1:193" s="272" customFormat="1" ht="14.4" x14ac:dyDescent="0.3">
      <c r="A88" s="155"/>
      <c r="B88" s="271"/>
      <c r="C88" s="271"/>
      <c r="D88" s="271"/>
      <c r="E88" s="271"/>
      <c r="F88" s="271"/>
      <c r="G88" s="271"/>
      <c r="H88" s="271"/>
      <c r="I88" s="7"/>
      <c r="J88" s="7"/>
      <c r="K88" s="7"/>
      <c r="L88" s="1503"/>
      <c r="M88" s="1503"/>
      <c r="N88" s="1503"/>
      <c r="O88" s="1503"/>
      <c r="P88" s="1503"/>
      <c r="Q88" s="1503"/>
      <c r="R88" s="1503"/>
      <c r="S88" s="1503"/>
      <c r="T88" s="1503"/>
      <c r="U88" s="1503"/>
      <c r="V88" s="1503"/>
      <c r="W88" s="1503"/>
      <c r="X88" s="1503"/>
      <c r="Y88" s="1503"/>
      <c r="Z88" s="1503"/>
      <c r="AA88" s="1503"/>
      <c r="AB88" s="1503"/>
      <c r="AC88" s="1503"/>
      <c r="AD88" s="1503"/>
      <c r="AE88" s="1503"/>
      <c r="AF88" s="1503"/>
      <c r="AG88" s="1503"/>
      <c r="AH88" s="1503"/>
      <c r="AI88" s="1503"/>
      <c r="AJ88" s="1503"/>
      <c r="AK88" s="1503"/>
      <c r="AL88" s="1503"/>
      <c r="AM88" s="1503"/>
      <c r="AN88" s="1503"/>
      <c r="AO88" s="1503"/>
      <c r="AP88" s="1503"/>
      <c r="AQ88" s="1503"/>
      <c r="AR88" s="1503"/>
      <c r="AS88" s="1503"/>
      <c r="AT88" s="1503"/>
      <c r="AU88" s="1503"/>
      <c r="AV88" s="1503"/>
      <c r="AW88" s="1503"/>
      <c r="AX88" s="1503"/>
      <c r="AY88" s="1503"/>
      <c r="AZ88" s="1503"/>
      <c r="BA88" s="1503"/>
      <c r="BB88" s="1503"/>
      <c r="BC88" s="1503"/>
      <c r="BD88" s="1503"/>
      <c r="BE88" s="341">
        <f>IF(holding&gt;15,1,0)</f>
        <v>0</v>
      </c>
      <c r="BK88" s="331"/>
      <c r="BL88" s="331"/>
      <c r="BM88" s="331"/>
      <c r="BN88" s="331"/>
      <c r="BO88" s="331"/>
      <c r="BP88" s="331"/>
      <c r="BQ88" s="331"/>
      <c r="BR88" s="331"/>
      <c r="BS88" s="331"/>
      <c r="BT88" s="331"/>
      <c r="BU88" s="331"/>
      <c r="BV88" s="331"/>
      <c r="BW88" s="331"/>
      <c r="BX88" s="331"/>
      <c r="BY88" s="331"/>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31"/>
      <c r="FQ88" s="331"/>
      <c r="FR88" s="331"/>
      <c r="FS88" s="331"/>
      <c r="FT88" s="331"/>
      <c r="FU88" s="331"/>
      <c r="FV88" s="331"/>
      <c r="FW88" s="331"/>
      <c r="FX88" s="331"/>
      <c r="FY88" s="331"/>
      <c r="FZ88" s="331"/>
      <c r="GA88" s="331"/>
      <c r="GB88" s="331"/>
      <c r="GC88" s="331"/>
      <c r="GD88" s="331"/>
      <c r="GE88" s="331"/>
      <c r="GF88" s="331"/>
      <c r="GG88" s="331"/>
      <c r="GH88" s="331"/>
      <c r="GI88" s="331"/>
      <c r="GJ88" s="331"/>
      <c r="GK88" s="331"/>
    </row>
    <row r="89" spans="1:193" s="272" customFormat="1" ht="16.8" x14ac:dyDescent="0.4">
      <c r="A89" s="160"/>
      <c r="B89" s="44" t="str">
        <f t="shared" ref="B89:B105" si="2">B50</f>
        <v>Property Insurance + Tax</v>
      </c>
      <c r="C89" s="44"/>
      <c r="D89" s="44"/>
      <c r="E89" s="44"/>
      <c r="F89" s="44"/>
      <c r="G89" s="44"/>
      <c r="H89" s="44"/>
      <c r="I89" s="44"/>
      <c r="J89" s="44"/>
      <c r="K89" s="44"/>
      <c r="L89" s="2809">
        <f>-FORECASTS!T40</f>
        <v>0</v>
      </c>
      <c r="M89" s="2809"/>
      <c r="N89" s="2809"/>
      <c r="O89" s="2809">
        <f>-FORECASTS!U40</f>
        <v>0</v>
      </c>
      <c r="P89" s="2809"/>
      <c r="Q89" s="2809"/>
      <c r="R89" s="2809">
        <f>-FORECASTS!V40</f>
        <v>0</v>
      </c>
      <c r="S89" s="2809"/>
      <c r="T89" s="2809"/>
      <c r="U89" s="2809">
        <f>-FORECASTS!W40</f>
        <v>0</v>
      </c>
      <c r="V89" s="2809"/>
      <c r="W89" s="2809"/>
      <c r="X89" s="2809">
        <f>-FORECASTS!X40</f>
        <v>0</v>
      </c>
      <c r="Y89" s="2809"/>
      <c r="Z89" s="2809"/>
      <c r="AA89" s="2809">
        <f>-FORECASTS!Y40</f>
        <v>0</v>
      </c>
      <c r="AB89" s="2809"/>
      <c r="AC89" s="2809"/>
      <c r="AD89" s="2809">
        <f>-FORECASTS!Z40</f>
        <v>0</v>
      </c>
      <c r="AE89" s="2809"/>
      <c r="AF89" s="2809"/>
      <c r="AG89" s="2809">
        <f>-FORECASTS!AA40</f>
        <v>0</v>
      </c>
      <c r="AH89" s="2809"/>
      <c r="AI89" s="2809"/>
      <c r="AJ89" s="2809">
        <f>-FORECASTS!AB40</f>
        <v>0</v>
      </c>
      <c r="AK89" s="2809"/>
      <c r="AL89" s="2809"/>
      <c r="AM89" s="2809">
        <f>-FORECASTS!AC40</f>
        <v>0</v>
      </c>
      <c r="AN89" s="2809"/>
      <c r="AO89" s="2809"/>
      <c r="AP89" s="2809">
        <f>-FORECASTS!AD40</f>
        <v>0</v>
      </c>
      <c r="AQ89" s="2809"/>
      <c r="AR89" s="2809"/>
      <c r="AS89" s="2809">
        <f>-FORECASTS!AE40</f>
        <v>0</v>
      </c>
      <c r="AT89" s="2809"/>
      <c r="AU89" s="2809"/>
      <c r="AV89" s="2809">
        <f>-FORECASTS!AF40</f>
        <v>0</v>
      </c>
      <c r="AW89" s="2809"/>
      <c r="AX89" s="2809"/>
      <c r="AY89" s="2809">
        <f>-FORECASTS!AG40</f>
        <v>0</v>
      </c>
      <c r="AZ89" s="2809"/>
      <c r="BA89" s="2809"/>
      <c r="BB89" s="2809">
        <f>-FORECASTS!AH40</f>
        <v>0</v>
      </c>
      <c r="BC89" s="2809"/>
      <c r="BD89" s="2809"/>
      <c r="BE89" s="341">
        <f t="shared" ref="BE89:BE109" si="3">IF(SUM(L89:BB89)=0,0,1)</f>
        <v>0</v>
      </c>
      <c r="BI89" s="358"/>
      <c r="BK89" s="331"/>
      <c r="BL89" s="331"/>
      <c r="BM89" s="331"/>
      <c r="BN89" s="331"/>
      <c r="BO89" s="331"/>
      <c r="BP89" s="331"/>
      <c r="BQ89" s="331"/>
      <c r="BR89" s="331"/>
      <c r="BS89" s="331"/>
      <c r="BT89" s="331"/>
      <c r="BU89" s="331"/>
      <c r="BV89" s="331"/>
      <c r="BW89" s="331"/>
      <c r="BX89" s="331"/>
      <c r="BY89" s="331"/>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row>
    <row r="90" spans="1:193" s="272" customFormat="1" ht="16.8" x14ac:dyDescent="0.4">
      <c r="A90" s="160"/>
      <c r="B90" s="44" t="str">
        <f t="shared" si="2"/>
        <v>Irrigation</v>
      </c>
      <c r="C90" s="44"/>
      <c r="D90" s="44"/>
      <c r="E90" s="44"/>
      <c r="F90" s="44"/>
      <c r="G90" s="44"/>
      <c r="H90" s="44"/>
      <c r="I90" s="44"/>
      <c r="J90" s="44"/>
      <c r="K90" s="44"/>
      <c r="L90" s="2809">
        <f>-FORECASTS!T42</f>
        <v>0</v>
      </c>
      <c r="M90" s="2809"/>
      <c r="N90" s="2809"/>
      <c r="O90" s="2809">
        <f>-FORECASTS!U42</f>
        <v>0</v>
      </c>
      <c r="P90" s="2809"/>
      <c r="Q90" s="2809"/>
      <c r="R90" s="2809">
        <f>-FORECASTS!V42</f>
        <v>0</v>
      </c>
      <c r="S90" s="2809"/>
      <c r="T90" s="2809"/>
      <c r="U90" s="2809">
        <f>-FORECASTS!W42</f>
        <v>0</v>
      </c>
      <c r="V90" s="2809"/>
      <c r="W90" s="2809"/>
      <c r="X90" s="2809">
        <f>-FORECASTS!X42</f>
        <v>0</v>
      </c>
      <c r="Y90" s="2809"/>
      <c r="Z90" s="2809"/>
      <c r="AA90" s="2809">
        <f>-FORECASTS!Y42</f>
        <v>0</v>
      </c>
      <c r="AB90" s="2809"/>
      <c r="AC90" s="2809"/>
      <c r="AD90" s="2809">
        <f>-FORECASTS!Z42</f>
        <v>0</v>
      </c>
      <c r="AE90" s="2809"/>
      <c r="AF90" s="2809"/>
      <c r="AG90" s="2809">
        <f>-FORECASTS!AA42</f>
        <v>0</v>
      </c>
      <c r="AH90" s="2809"/>
      <c r="AI90" s="2809"/>
      <c r="AJ90" s="2809">
        <f>-FORECASTS!AB42</f>
        <v>0</v>
      </c>
      <c r="AK90" s="2809"/>
      <c r="AL90" s="2809"/>
      <c r="AM90" s="2809">
        <f>-FORECASTS!AC42</f>
        <v>0</v>
      </c>
      <c r="AN90" s="2809"/>
      <c r="AO90" s="2809"/>
      <c r="AP90" s="2809">
        <f>-FORECASTS!AD42</f>
        <v>0</v>
      </c>
      <c r="AQ90" s="2809"/>
      <c r="AR90" s="2809"/>
      <c r="AS90" s="2809">
        <f>-FORECASTS!AE42</f>
        <v>0</v>
      </c>
      <c r="AT90" s="2809"/>
      <c r="AU90" s="2809"/>
      <c r="AV90" s="2809">
        <f>-FORECASTS!AF42</f>
        <v>0</v>
      </c>
      <c r="AW90" s="2809"/>
      <c r="AX90" s="2809"/>
      <c r="AY90" s="2809">
        <f>-FORECASTS!AG42</f>
        <v>0</v>
      </c>
      <c r="AZ90" s="2809"/>
      <c r="BA90" s="2809"/>
      <c r="BB90" s="2809">
        <f>-FORECASTS!AH42</f>
        <v>0</v>
      </c>
      <c r="BC90" s="2809"/>
      <c r="BD90" s="2809"/>
      <c r="BE90" s="341">
        <f t="shared" si="3"/>
        <v>0</v>
      </c>
      <c r="BI90" s="358"/>
      <c r="BK90" s="331"/>
      <c r="BL90" s="331"/>
      <c r="BM90" s="331"/>
      <c r="BN90" s="331"/>
      <c r="BO90" s="331"/>
      <c r="BP90" s="331"/>
      <c r="BQ90" s="331"/>
      <c r="BR90" s="331"/>
      <c r="BS90" s="331"/>
      <c r="BT90" s="331"/>
      <c r="BU90" s="331"/>
      <c r="BV90" s="331"/>
      <c r="BW90" s="331"/>
      <c r="BX90" s="331"/>
      <c r="BY90" s="331"/>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row>
    <row r="91" spans="1:193" s="272" customFormat="1" ht="16.8" x14ac:dyDescent="0.4">
      <c r="A91" s="160"/>
      <c r="B91" s="44" t="str">
        <f t="shared" si="2"/>
        <v>Internet</v>
      </c>
      <c r="C91" s="44"/>
      <c r="D91" s="44"/>
      <c r="E91" s="44"/>
      <c r="F91" s="44"/>
      <c r="G91" s="44"/>
      <c r="H91" s="44"/>
      <c r="I91" s="44"/>
      <c r="J91" s="44"/>
      <c r="K91" s="44"/>
      <c r="L91" s="2809">
        <f>-FORECASTS!T38</f>
        <v>0</v>
      </c>
      <c r="M91" s="2809"/>
      <c r="N91" s="2809"/>
      <c r="O91" s="2809">
        <f>-FORECASTS!U38</f>
        <v>0</v>
      </c>
      <c r="P91" s="2809"/>
      <c r="Q91" s="2809"/>
      <c r="R91" s="2809">
        <f>-FORECASTS!V38</f>
        <v>0</v>
      </c>
      <c r="S91" s="2809"/>
      <c r="T91" s="2809"/>
      <c r="U91" s="2809">
        <f>-FORECASTS!W38</f>
        <v>0</v>
      </c>
      <c r="V91" s="2809"/>
      <c r="W91" s="2809"/>
      <c r="X91" s="2809">
        <f>-FORECASTS!X38</f>
        <v>0</v>
      </c>
      <c r="Y91" s="2809"/>
      <c r="Z91" s="2809"/>
      <c r="AA91" s="2809">
        <f>-FORECASTS!Y38</f>
        <v>0</v>
      </c>
      <c r="AB91" s="2809"/>
      <c r="AC91" s="2809"/>
      <c r="AD91" s="2809">
        <f>-FORECASTS!Z38</f>
        <v>0</v>
      </c>
      <c r="AE91" s="2809"/>
      <c r="AF91" s="2809"/>
      <c r="AG91" s="2809">
        <f>-FORECASTS!AA38</f>
        <v>0</v>
      </c>
      <c r="AH91" s="2809"/>
      <c r="AI91" s="2809"/>
      <c r="AJ91" s="2809">
        <f>-FORECASTS!AB38</f>
        <v>0</v>
      </c>
      <c r="AK91" s="2809"/>
      <c r="AL91" s="2809"/>
      <c r="AM91" s="2809">
        <f>-FORECASTS!AC38</f>
        <v>0</v>
      </c>
      <c r="AN91" s="2809"/>
      <c r="AO91" s="2809"/>
      <c r="AP91" s="2809">
        <f>-FORECASTS!AD38</f>
        <v>0</v>
      </c>
      <c r="AQ91" s="2809"/>
      <c r="AR91" s="2809"/>
      <c r="AS91" s="2809">
        <f>-FORECASTS!AE38</f>
        <v>0</v>
      </c>
      <c r="AT91" s="2809"/>
      <c r="AU91" s="2809"/>
      <c r="AV91" s="2809">
        <f>-FORECASTS!AF38</f>
        <v>0</v>
      </c>
      <c r="AW91" s="2809"/>
      <c r="AX91" s="2809"/>
      <c r="AY91" s="2809">
        <f>-FORECASTS!AG38</f>
        <v>0</v>
      </c>
      <c r="AZ91" s="2809"/>
      <c r="BA91" s="2809"/>
      <c r="BB91" s="2809">
        <f>-FORECASTS!AH38</f>
        <v>0</v>
      </c>
      <c r="BC91" s="2809"/>
      <c r="BD91" s="2809"/>
      <c r="BE91" s="341">
        <f t="shared" si="3"/>
        <v>0</v>
      </c>
      <c r="BI91" s="358"/>
      <c r="BK91" s="331"/>
      <c r="BL91" s="331"/>
      <c r="BM91" s="331"/>
      <c r="BN91" s="331"/>
      <c r="BO91" s="331"/>
      <c r="BP91" s="331"/>
      <c r="BQ91" s="331"/>
      <c r="BR91" s="331"/>
      <c r="BS91" s="331"/>
      <c r="BT91" s="331"/>
      <c r="BU91" s="331"/>
      <c r="BV91" s="331"/>
      <c r="BW91" s="331"/>
      <c r="BX91" s="331"/>
      <c r="BY91" s="331"/>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row>
    <row r="92" spans="1:193" s="272" customFormat="1" ht="16.8" hidden="1" x14ac:dyDescent="0.4">
      <c r="A92" s="160"/>
      <c r="B92" s="44" t="str">
        <f>B53</f>
        <v xml:space="preserve">Property Management </v>
      </c>
      <c r="C92" s="44"/>
      <c r="D92" s="44"/>
      <c r="E92" s="44"/>
      <c r="F92" s="44"/>
      <c r="G92" s="44"/>
      <c r="H92" s="44"/>
      <c r="I92" s="44"/>
      <c r="J92" s="44"/>
      <c r="K92" s="44"/>
      <c r="L92" s="2809">
        <f>-FORECASTS!T50</f>
        <v>0</v>
      </c>
      <c r="M92" s="2809"/>
      <c r="N92" s="2809"/>
      <c r="O92" s="2809">
        <f>-FORECASTS!U50</f>
        <v>0</v>
      </c>
      <c r="P92" s="2809"/>
      <c r="Q92" s="2809"/>
      <c r="R92" s="2809">
        <f>-FORECASTS!V50</f>
        <v>0</v>
      </c>
      <c r="S92" s="2809"/>
      <c r="T92" s="2809"/>
      <c r="U92" s="2809">
        <f>-FORECASTS!W50</f>
        <v>0</v>
      </c>
      <c r="V92" s="2809"/>
      <c r="W92" s="2809"/>
      <c r="X92" s="2809">
        <f>-FORECASTS!X50</f>
        <v>0</v>
      </c>
      <c r="Y92" s="2809"/>
      <c r="Z92" s="2809"/>
      <c r="AA92" s="2809">
        <f>-FORECASTS!Y50</f>
        <v>0</v>
      </c>
      <c r="AB92" s="2809"/>
      <c r="AC92" s="2809"/>
      <c r="AD92" s="2809">
        <f>-FORECASTS!Z50</f>
        <v>0</v>
      </c>
      <c r="AE92" s="2809"/>
      <c r="AF92" s="2809"/>
      <c r="AG92" s="2809">
        <f>-FORECASTS!AA50</f>
        <v>0</v>
      </c>
      <c r="AH92" s="2809"/>
      <c r="AI92" s="2809"/>
      <c r="AJ92" s="2809">
        <f>-FORECASTS!AB50</f>
        <v>0</v>
      </c>
      <c r="AK92" s="2809"/>
      <c r="AL92" s="2809"/>
      <c r="AM92" s="2809">
        <f>-FORECASTS!AC50</f>
        <v>0</v>
      </c>
      <c r="AN92" s="2809"/>
      <c r="AO92" s="2809"/>
      <c r="AP92" s="2809">
        <f>-FORECASTS!AD50</f>
        <v>0</v>
      </c>
      <c r="AQ92" s="2809"/>
      <c r="AR92" s="2809"/>
      <c r="AS92" s="2809">
        <f>-FORECASTS!AE50</f>
        <v>0</v>
      </c>
      <c r="AT92" s="2809"/>
      <c r="AU92" s="2809"/>
      <c r="AV92" s="2809">
        <f>-FORECASTS!AF50</f>
        <v>0</v>
      </c>
      <c r="AW92" s="2809"/>
      <c r="AX92" s="2809"/>
      <c r="AY92" s="2809">
        <f>-FORECASTS!AG50</f>
        <v>0</v>
      </c>
      <c r="AZ92" s="2809"/>
      <c r="BA92" s="2809"/>
      <c r="BB92" s="2809">
        <f>-FORECASTS!AH50</f>
        <v>0</v>
      </c>
      <c r="BC92" s="2809"/>
      <c r="BD92" s="2809"/>
      <c r="BE92" s="794">
        <f t="shared" si="3"/>
        <v>0</v>
      </c>
      <c r="BI92" s="358"/>
    </row>
    <row r="93" spans="1:193" s="272" customFormat="1" ht="16.8" x14ac:dyDescent="0.4">
      <c r="A93" s="160"/>
      <c r="B93" s="44" t="str">
        <f t="shared" si="2"/>
        <v>Repairs &amp; Maintenance</v>
      </c>
      <c r="C93" s="44"/>
      <c r="D93" s="44"/>
      <c r="E93" s="44"/>
      <c r="F93" s="44"/>
      <c r="G93" s="44"/>
      <c r="H93" s="44"/>
      <c r="I93" s="44"/>
      <c r="J93" s="44"/>
      <c r="K93" s="44"/>
      <c r="L93" s="2809">
        <f>-FORECASTS!T48</f>
        <v>0</v>
      </c>
      <c r="M93" s="2809"/>
      <c r="N93" s="2809"/>
      <c r="O93" s="2809">
        <f>-FORECASTS!U48</f>
        <v>0</v>
      </c>
      <c r="P93" s="2809"/>
      <c r="Q93" s="2809"/>
      <c r="R93" s="2809">
        <f>-FORECASTS!V48</f>
        <v>0</v>
      </c>
      <c r="S93" s="2809"/>
      <c r="T93" s="2809"/>
      <c r="U93" s="2809">
        <f>-FORECASTS!W48</f>
        <v>0</v>
      </c>
      <c r="V93" s="2809"/>
      <c r="W93" s="2809"/>
      <c r="X93" s="2809">
        <f>-FORECASTS!X48</f>
        <v>0</v>
      </c>
      <c r="Y93" s="2809"/>
      <c r="Z93" s="2809"/>
      <c r="AA93" s="2809">
        <f>-FORECASTS!Y48</f>
        <v>0</v>
      </c>
      <c r="AB93" s="2809"/>
      <c r="AC93" s="2809"/>
      <c r="AD93" s="2809">
        <f>-FORECASTS!Z48</f>
        <v>0</v>
      </c>
      <c r="AE93" s="2809"/>
      <c r="AF93" s="2809"/>
      <c r="AG93" s="2809">
        <f>-FORECASTS!AA48</f>
        <v>0</v>
      </c>
      <c r="AH93" s="2809"/>
      <c r="AI93" s="2809"/>
      <c r="AJ93" s="2809">
        <f>-FORECASTS!AB48</f>
        <v>0</v>
      </c>
      <c r="AK93" s="2809"/>
      <c r="AL93" s="2809"/>
      <c r="AM93" s="2809">
        <f>-FORECASTS!AC48</f>
        <v>0</v>
      </c>
      <c r="AN93" s="2809"/>
      <c r="AO93" s="2809"/>
      <c r="AP93" s="2809">
        <f>-FORECASTS!AD48</f>
        <v>0</v>
      </c>
      <c r="AQ93" s="2809"/>
      <c r="AR93" s="2809"/>
      <c r="AS93" s="2809">
        <f>-FORECASTS!AE48</f>
        <v>0</v>
      </c>
      <c r="AT93" s="2809"/>
      <c r="AU93" s="2809"/>
      <c r="AV93" s="2809">
        <f>-FORECASTS!AF48</f>
        <v>0</v>
      </c>
      <c r="AW93" s="2809"/>
      <c r="AX93" s="2809"/>
      <c r="AY93" s="2809">
        <f>-FORECASTS!AG48</f>
        <v>0</v>
      </c>
      <c r="AZ93" s="2809"/>
      <c r="BA93" s="2809"/>
      <c r="BB93" s="2809">
        <f>-FORECASTS!AH48</f>
        <v>0</v>
      </c>
      <c r="BC93" s="2809"/>
      <c r="BD93" s="2809"/>
      <c r="BE93" s="341">
        <f t="shared" si="3"/>
        <v>0</v>
      </c>
      <c r="BI93" s="358"/>
      <c r="BK93" s="331"/>
      <c r="BL93" s="331"/>
      <c r="BM93" s="331"/>
      <c r="BN93" s="331"/>
      <c r="BO93" s="331"/>
      <c r="BP93" s="331"/>
      <c r="BQ93" s="331"/>
      <c r="BR93" s="331"/>
      <c r="BS93" s="331"/>
      <c r="BT93" s="331"/>
      <c r="BU93" s="331"/>
      <c r="BV93" s="331"/>
      <c r="BW93" s="331"/>
      <c r="BX93" s="331"/>
      <c r="BY93" s="331"/>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row>
    <row r="94" spans="1:193" s="272" customFormat="1" ht="16.8" x14ac:dyDescent="0.4">
      <c r="A94" s="160"/>
      <c r="B94" s="44" t="str">
        <f t="shared" si="2"/>
        <v>Vacancy Insurance</v>
      </c>
      <c r="C94" s="44"/>
      <c r="D94" s="44"/>
      <c r="E94" s="44"/>
      <c r="F94" s="44"/>
      <c r="G94" s="44"/>
      <c r="H94" s="44"/>
      <c r="I94" s="44"/>
      <c r="J94" s="44"/>
      <c r="K94" s="44"/>
      <c r="L94" s="2809">
        <f>-FORECASTS!T52</f>
        <v>0</v>
      </c>
      <c r="M94" s="2809"/>
      <c r="N94" s="2809"/>
      <c r="O94" s="2809">
        <f>-FORECASTS!U52</f>
        <v>0</v>
      </c>
      <c r="P94" s="2809"/>
      <c r="Q94" s="2809"/>
      <c r="R94" s="2809">
        <f>-FORECASTS!V52</f>
        <v>0</v>
      </c>
      <c r="S94" s="2809"/>
      <c r="T94" s="2809"/>
      <c r="U94" s="2809">
        <f>-FORECASTS!W52</f>
        <v>0</v>
      </c>
      <c r="V94" s="2809"/>
      <c r="W94" s="2809"/>
      <c r="X94" s="2809">
        <f>-FORECASTS!X52</f>
        <v>0</v>
      </c>
      <c r="Y94" s="2809"/>
      <c r="Z94" s="2809"/>
      <c r="AA94" s="2809">
        <f>-FORECASTS!Y52</f>
        <v>0</v>
      </c>
      <c r="AB94" s="2809"/>
      <c r="AC94" s="2809"/>
      <c r="AD94" s="2809">
        <f>-FORECASTS!Z52</f>
        <v>0</v>
      </c>
      <c r="AE94" s="2809"/>
      <c r="AF94" s="2809"/>
      <c r="AG94" s="2809">
        <f>-FORECASTS!AA52</f>
        <v>0</v>
      </c>
      <c r="AH94" s="2809"/>
      <c r="AI94" s="2809"/>
      <c r="AJ94" s="2809">
        <f>-FORECASTS!AB52</f>
        <v>0</v>
      </c>
      <c r="AK94" s="2809"/>
      <c r="AL94" s="2809"/>
      <c r="AM94" s="2809">
        <f>-FORECASTS!AC52</f>
        <v>0</v>
      </c>
      <c r="AN94" s="2809"/>
      <c r="AO94" s="2809"/>
      <c r="AP94" s="2809">
        <f>-FORECASTS!AD52</f>
        <v>0</v>
      </c>
      <c r="AQ94" s="2809"/>
      <c r="AR94" s="2809"/>
      <c r="AS94" s="2809">
        <f>-FORECASTS!AE52</f>
        <v>0</v>
      </c>
      <c r="AT94" s="2809"/>
      <c r="AU94" s="2809"/>
      <c r="AV94" s="2809">
        <f>-FORECASTS!AF52</f>
        <v>0</v>
      </c>
      <c r="AW94" s="2809"/>
      <c r="AX94" s="2809"/>
      <c r="AY94" s="2809">
        <f>-FORECASTS!AG52</f>
        <v>0</v>
      </c>
      <c r="AZ94" s="2809"/>
      <c r="BA94" s="2809"/>
      <c r="BB94" s="2809">
        <f>-FORECASTS!AH52</f>
        <v>0</v>
      </c>
      <c r="BC94" s="2809"/>
      <c r="BD94" s="2809"/>
      <c r="BE94" s="341">
        <f t="shared" si="3"/>
        <v>0</v>
      </c>
      <c r="BI94" s="358"/>
      <c r="BK94" s="331"/>
      <c r="BL94" s="331"/>
      <c r="BM94" s="331"/>
      <c r="BN94" s="331"/>
      <c r="BO94" s="331"/>
      <c r="BP94" s="331"/>
      <c r="BQ94" s="331"/>
      <c r="BR94" s="331"/>
      <c r="BS94" s="331"/>
      <c r="BT94" s="331"/>
      <c r="BU94" s="331"/>
      <c r="BV94" s="331"/>
      <c r="BW94" s="331"/>
      <c r="BX94" s="331"/>
      <c r="BY94" s="331"/>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row>
    <row r="95" spans="1:193" s="272" customFormat="1" ht="16.8" x14ac:dyDescent="0.4">
      <c r="A95" s="160"/>
      <c r="B95" s="44" t="str">
        <f t="shared" si="2"/>
        <v>Electrical Utilities</v>
      </c>
      <c r="C95" s="44"/>
      <c r="D95" s="44"/>
      <c r="E95" s="44"/>
      <c r="F95" s="44"/>
      <c r="G95" s="44"/>
      <c r="H95" s="44"/>
      <c r="I95" s="44"/>
      <c r="J95" s="44"/>
      <c r="K95" s="44"/>
      <c r="L95" s="2809">
        <f>-FORECASTS!T30</f>
        <v>0</v>
      </c>
      <c r="M95" s="2809"/>
      <c r="N95" s="2809"/>
      <c r="O95" s="2809">
        <f>-FORECASTS!U30</f>
        <v>0</v>
      </c>
      <c r="P95" s="2809"/>
      <c r="Q95" s="2809"/>
      <c r="R95" s="2809">
        <f>-FORECASTS!V30</f>
        <v>0</v>
      </c>
      <c r="S95" s="2809"/>
      <c r="T95" s="2809"/>
      <c r="U95" s="2809">
        <f>-FORECASTS!W30</f>
        <v>0</v>
      </c>
      <c r="V95" s="2809"/>
      <c r="W95" s="2809"/>
      <c r="X95" s="2809">
        <f>-FORECASTS!X30</f>
        <v>0</v>
      </c>
      <c r="Y95" s="2809"/>
      <c r="Z95" s="2809"/>
      <c r="AA95" s="2809">
        <f>-FORECASTS!Y30</f>
        <v>0</v>
      </c>
      <c r="AB95" s="2809"/>
      <c r="AC95" s="2809"/>
      <c r="AD95" s="2809">
        <f>-FORECASTS!Z30</f>
        <v>0</v>
      </c>
      <c r="AE95" s="2809"/>
      <c r="AF95" s="2809"/>
      <c r="AG95" s="2809">
        <f>-FORECASTS!AA30</f>
        <v>0</v>
      </c>
      <c r="AH95" s="2809"/>
      <c r="AI95" s="2809"/>
      <c r="AJ95" s="2809">
        <f>-FORECASTS!AB30</f>
        <v>0</v>
      </c>
      <c r="AK95" s="2809"/>
      <c r="AL95" s="2809"/>
      <c r="AM95" s="2809">
        <f>-FORECASTS!AC30</f>
        <v>0</v>
      </c>
      <c r="AN95" s="2809"/>
      <c r="AO95" s="2809"/>
      <c r="AP95" s="2809">
        <f>-FORECASTS!AD30</f>
        <v>0</v>
      </c>
      <c r="AQ95" s="2809"/>
      <c r="AR95" s="2809"/>
      <c r="AS95" s="2809">
        <f>-FORECASTS!AE30</f>
        <v>0</v>
      </c>
      <c r="AT95" s="2809"/>
      <c r="AU95" s="2809"/>
      <c r="AV95" s="2809">
        <f>-FORECASTS!AF30</f>
        <v>0</v>
      </c>
      <c r="AW95" s="2809"/>
      <c r="AX95" s="2809"/>
      <c r="AY95" s="2809">
        <f>-FORECASTS!AG30</f>
        <v>0</v>
      </c>
      <c r="AZ95" s="2809"/>
      <c r="BA95" s="2809"/>
      <c r="BB95" s="2809">
        <f>-FORECASTS!AH30</f>
        <v>0</v>
      </c>
      <c r="BC95" s="2809"/>
      <c r="BD95" s="2809"/>
      <c r="BE95" s="341">
        <f t="shared" si="3"/>
        <v>0</v>
      </c>
      <c r="BI95" s="358"/>
      <c r="BK95" s="331"/>
      <c r="BL95" s="331"/>
      <c r="BM95" s="331"/>
      <c r="BN95" s="331"/>
      <c r="BO95" s="331"/>
      <c r="BP95" s="331"/>
      <c r="BQ95" s="331"/>
      <c r="BR95" s="331"/>
      <c r="BS95" s="331"/>
      <c r="BT95" s="331"/>
      <c r="BU95" s="331"/>
      <c r="BV95" s="331"/>
      <c r="BW95" s="331"/>
      <c r="BX95" s="331"/>
      <c r="BY95" s="331"/>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row>
    <row r="96" spans="1:193" s="272" customFormat="1" ht="16.8" hidden="1" x14ac:dyDescent="0.4">
      <c r="A96" s="160"/>
      <c r="B96" s="44" t="str">
        <f>B57</f>
        <v>Gas Utilities</v>
      </c>
      <c r="C96" s="44"/>
      <c r="D96" s="44"/>
      <c r="E96" s="44"/>
      <c r="F96" s="44"/>
      <c r="G96" s="44"/>
      <c r="H96" s="44"/>
      <c r="I96" s="44"/>
      <c r="J96" s="44"/>
      <c r="K96" s="44"/>
      <c r="L96" s="2809">
        <f>-FORECASTS!T32</f>
        <v>0</v>
      </c>
      <c r="M96" s="2809"/>
      <c r="N96" s="2809"/>
      <c r="O96" s="2809">
        <f>-FORECASTS!U32</f>
        <v>0</v>
      </c>
      <c r="P96" s="2809"/>
      <c r="Q96" s="2809"/>
      <c r="R96" s="2809">
        <f>-FORECASTS!V32</f>
        <v>0</v>
      </c>
      <c r="S96" s="2809"/>
      <c r="T96" s="2809"/>
      <c r="U96" s="2809">
        <f>-FORECASTS!W32</f>
        <v>0</v>
      </c>
      <c r="V96" s="2809"/>
      <c r="W96" s="2809"/>
      <c r="X96" s="2809">
        <f>-FORECASTS!X32</f>
        <v>0</v>
      </c>
      <c r="Y96" s="2809"/>
      <c r="Z96" s="2809"/>
      <c r="AA96" s="2809">
        <f>-FORECASTS!Y32</f>
        <v>0</v>
      </c>
      <c r="AB96" s="2809"/>
      <c r="AC96" s="2809"/>
      <c r="AD96" s="2809">
        <f>-FORECASTS!Z32</f>
        <v>0</v>
      </c>
      <c r="AE96" s="2809"/>
      <c r="AF96" s="2809"/>
      <c r="AG96" s="2809">
        <f>-FORECASTS!AA32</f>
        <v>0</v>
      </c>
      <c r="AH96" s="2809"/>
      <c r="AI96" s="2809"/>
      <c r="AJ96" s="2809">
        <f>-FORECASTS!AB32</f>
        <v>0</v>
      </c>
      <c r="AK96" s="2809"/>
      <c r="AL96" s="2809"/>
      <c r="AM96" s="2809">
        <f>-FORECASTS!AC32</f>
        <v>0</v>
      </c>
      <c r="AN96" s="2809"/>
      <c r="AO96" s="2809"/>
      <c r="AP96" s="2809">
        <f>-FORECASTS!AD32</f>
        <v>0</v>
      </c>
      <c r="AQ96" s="2809"/>
      <c r="AR96" s="2809"/>
      <c r="AS96" s="2809">
        <f>-FORECASTS!AE32</f>
        <v>0</v>
      </c>
      <c r="AT96" s="2809"/>
      <c r="AU96" s="2809"/>
      <c r="AV96" s="2809">
        <f>-FORECASTS!AF32</f>
        <v>0</v>
      </c>
      <c r="AW96" s="2809"/>
      <c r="AX96" s="2809"/>
      <c r="AY96" s="2809">
        <f>-FORECASTS!AG32</f>
        <v>0</v>
      </c>
      <c r="AZ96" s="2809"/>
      <c r="BA96" s="2809"/>
      <c r="BB96" s="2809">
        <f>-FORECASTS!AH32</f>
        <v>0</v>
      </c>
      <c r="BC96" s="2809"/>
      <c r="BD96" s="2809"/>
      <c r="BE96" s="341">
        <f t="shared" si="3"/>
        <v>0</v>
      </c>
      <c r="BI96" s="358"/>
    </row>
    <row r="97" spans="1:193" s="272" customFormat="1" ht="16.8" x14ac:dyDescent="0.4">
      <c r="A97" s="160"/>
      <c r="B97" s="44" t="str">
        <f t="shared" si="2"/>
        <v>Water Utilities</v>
      </c>
      <c r="C97" s="44"/>
      <c r="D97" s="44"/>
      <c r="E97" s="44"/>
      <c r="F97" s="44"/>
      <c r="G97" s="44"/>
      <c r="H97" s="44"/>
      <c r="I97" s="44"/>
      <c r="J97" s="44"/>
      <c r="K97" s="44"/>
      <c r="L97" s="2809">
        <f>-FORECASTS!T34</f>
        <v>0</v>
      </c>
      <c r="M97" s="2809"/>
      <c r="N97" s="2809"/>
      <c r="O97" s="2809">
        <f>-FORECASTS!U34</f>
        <v>0</v>
      </c>
      <c r="P97" s="2809"/>
      <c r="Q97" s="2809"/>
      <c r="R97" s="2809">
        <f>-FORECASTS!V34</f>
        <v>0</v>
      </c>
      <c r="S97" s="2809"/>
      <c r="T97" s="2809"/>
      <c r="U97" s="2809">
        <f>-FORECASTS!W34</f>
        <v>0</v>
      </c>
      <c r="V97" s="2809"/>
      <c r="W97" s="2809"/>
      <c r="X97" s="2809">
        <f>-FORECASTS!X34</f>
        <v>0</v>
      </c>
      <c r="Y97" s="2809"/>
      <c r="Z97" s="2809"/>
      <c r="AA97" s="2809">
        <f>-FORECASTS!Y34</f>
        <v>0</v>
      </c>
      <c r="AB97" s="2809"/>
      <c r="AC97" s="2809"/>
      <c r="AD97" s="2809">
        <f>-FORECASTS!Z34</f>
        <v>0</v>
      </c>
      <c r="AE97" s="2809"/>
      <c r="AF97" s="2809"/>
      <c r="AG97" s="2809">
        <f>-FORECASTS!AA34</f>
        <v>0</v>
      </c>
      <c r="AH97" s="2809"/>
      <c r="AI97" s="2809"/>
      <c r="AJ97" s="2809">
        <f>-FORECASTS!AB34</f>
        <v>0</v>
      </c>
      <c r="AK97" s="2809"/>
      <c r="AL97" s="2809"/>
      <c r="AM97" s="2809">
        <f>-FORECASTS!AC34</f>
        <v>0</v>
      </c>
      <c r="AN97" s="2809"/>
      <c r="AO97" s="2809"/>
      <c r="AP97" s="2809">
        <f>-FORECASTS!AD34</f>
        <v>0</v>
      </c>
      <c r="AQ97" s="2809"/>
      <c r="AR97" s="2809"/>
      <c r="AS97" s="2809">
        <f>-FORECASTS!AE34</f>
        <v>0</v>
      </c>
      <c r="AT97" s="2809"/>
      <c r="AU97" s="2809"/>
      <c r="AV97" s="2809">
        <f>-FORECASTS!AF34</f>
        <v>0</v>
      </c>
      <c r="AW97" s="2809"/>
      <c r="AX97" s="2809"/>
      <c r="AY97" s="2809">
        <f>-FORECASTS!AG34</f>
        <v>0</v>
      </c>
      <c r="AZ97" s="2809"/>
      <c r="BA97" s="2809"/>
      <c r="BB97" s="2809">
        <f>-FORECASTS!AH34</f>
        <v>0</v>
      </c>
      <c r="BC97" s="2809"/>
      <c r="BD97" s="2809"/>
      <c r="BE97" s="341">
        <f t="shared" si="3"/>
        <v>0</v>
      </c>
      <c r="BI97" s="358"/>
      <c r="BK97" s="331"/>
      <c r="BL97" s="331"/>
      <c r="BM97" s="331"/>
      <c r="BN97" s="331"/>
      <c r="BO97" s="331"/>
      <c r="BP97" s="331"/>
      <c r="BQ97" s="331"/>
      <c r="BR97" s="331"/>
      <c r="BS97" s="331"/>
      <c r="BT97" s="331"/>
      <c r="BU97" s="331"/>
      <c r="BV97" s="331"/>
      <c r="BW97" s="331"/>
      <c r="BX97" s="331"/>
      <c r="BY97" s="331"/>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row>
    <row r="98" spans="1:193" s="272" customFormat="1" ht="16.8" x14ac:dyDescent="0.4">
      <c r="A98" s="160"/>
      <c r="B98" s="44" t="str">
        <f t="shared" si="2"/>
        <v>Phone</v>
      </c>
      <c r="C98" s="44"/>
      <c r="D98" s="44"/>
      <c r="E98" s="44"/>
      <c r="F98" s="44"/>
      <c r="G98" s="44"/>
      <c r="H98" s="44"/>
      <c r="I98" s="44"/>
      <c r="J98" s="44"/>
      <c r="K98" s="44"/>
      <c r="L98" s="2809">
        <f>-FORECASTS!T36</f>
        <v>0</v>
      </c>
      <c r="M98" s="2809"/>
      <c r="N98" s="2809"/>
      <c r="O98" s="2809">
        <f>-FORECASTS!U36</f>
        <v>0</v>
      </c>
      <c r="P98" s="2809"/>
      <c r="Q98" s="2809"/>
      <c r="R98" s="2809">
        <f>-FORECASTS!V36</f>
        <v>0</v>
      </c>
      <c r="S98" s="2809"/>
      <c r="T98" s="2809"/>
      <c r="U98" s="2809">
        <f>-FORECASTS!W36</f>
        <v>0</v>
      </c>
      <c r="V98" s="2809"/>
      <c r="W98" s="2809"/>
      <c r="X98" s="2809">
        <f>-FORECASTS!X36</f>
        <v>0</v>
      </c>
      <c r="Y98" s="2809"/>
      <c r="Z98" s="2809"/>
      <c r="AA98" s="2809">
        <f>-FORECASTS!Y36</f>
        <v>0</v>
      </c>
      <c r="AB98" s="2809"/>
      <c r="AC98" s="2809"/>
      <c r="AD98" s="2809">
        <f>-FORECASTS!Z36</f>
        <v>0</v>
      </c>
      <c r="AE98" s="2809"/>
      <c r="AF98" s="2809"/>
      <c r="AG98" s="2809">
        <f>-FORECASTS!AA36</f>
        <v>0</v>
      </c>
      <c r="AH98" s="2809"/>
      <c r="AI98" s="2809"/>
      <c r="AJ98" s="2809">
        <f>-FORECASTS!AB36</f>
        <v>0</v>
      </c>
      <c r="AK98" s="2809"/>
      <c r="AL98" s="2809"/>
      <c r="AM98" s="2809">
        <f>-FORECASTS!AC36</f>
        <v>0</v>
      </c>
      <c r="AN98" s="2809"/>
      <c r="AO98" s="2809"/>
      <c r="AP98" s="2809">
        <f>-FORECASTS!AD36</f>
        <v>0</v>
      </c>
      <c r="AQ98" s="2809"/>
      <c r="AR98" s="2809"/>
      <c r="AS98" s="2809">
        <f>-FORECASTS!AE36</f>
        <v>0</v>
      </c>
      <c r="AT98" s="2809"/>
      <c r="AU98" s="2809"/>
      <c r="AV98" s="2809">
        <f>-FORECASTS!AF36</f>
        <v>0</v>
      </c>
      <c r="AW98" s="2809"/>
      <c r="AX98" s="2809"/>
      <c r="AY98" s="2809">
        <f>-FORECASTS!AG36</f>
        <v>0</v>
      </c>
      <c r="AZ98" s="2809"/>
      <c r="BA98" s="2809"/>
      <c r="BB98" s="2809">
        <f>-FORECASTS!AH36</f>
        <v>0</v>
      </c>
      <c r="BC98" s="2809"/>
      <c r="BD98" s="2809"/>
      <c r="BE98" s="341">
        <f t="shared" si="3"/>
        <v>0</v>
      </c>
      <c r="BI98" s="358"/>
      <c r="BK98" s="331"/>
      <c r="BL98" s="331"/>
      <c r="BM98" s="331"/>
      <c r="BN98" s="331"/>
      <c r="BO98" s="331"/>
      <c r="BP98" s="331"/>
      <c r="BQ98" s="331"/>
      <c r="BR98" s="331"/>
      <c r="BS98" s="331"/>
      <c r="BT98" s="331"/>
      <c r="BU98" s="331"/>
      <c r="BV98" s="331"/>
      <c r="BW98" s="331"/>
      <c r="BX98" s="331"/>
      <c r="BY98" s="331"/>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row>
    <row r="99" spans="1:193" s="272" customFormat="1" ht="16.8" hidden="1" x14ac:dyDescent="0.4">
      <c r="A99" s="160"/>
      <c r="B99" s="44" t="str">
        <f>B60</f>
        <v>Rent Insurance</v>
      </c>
      <c r="C99" s="44"/>
      <c r="D99" s="44"/>
      <c r="E99" s="44"/>
      <c r="F99" s="44"/>
      <c r="G99" s="44"/>
      <c r="H99" s="44"/>
      <c r="I99" s="44"/>
      <c r="J99" s="44"/>
      <c r="K99" s="44"/>
      <c r="L99" s="2809">
        <f>-FORECASTS!T54</f>
        <v>0</v>
      </c>
      <c r="M99" s="2809"/>
      <c r="N99" s="2809"/>
      <c r="O99" s="2809">
        <f>-FORECASTS!U54</f>
        <v>0</v>
      </c>
      <c r="P99" s="2809"/>
      <c r="Q99" s="2809"/>
      <c r="R99" s="2809">
        <f>-FORECASTS!V54</f>
        <v>0</v>
      </c>
      <c r="S99" s="2809"/>
      <c r="T99" s="2809"/>
      <c r="U99" s="2809">
        <f>-FORECASTS!W54</f>
        <v>0</v>
      </c>
      <c r="V99" s="2809"/>
      <c r="W99" s="2809"/>
      <c r="X99" s="2809">
        <f>-FORECASTS!X54</f>
        <v>0</v>
      </c>
      <c r="Y99" s="2809"/>
      <c r="Z99" s="2809"/>
      <c r="AA99" s="2809">
        <f>-FORECASTS!Y54</f>
        <v>0</v>
      </c>
      <c r="AB99" s="2809"/>
      <c r="AC99" s="2809"/>
      <c r="AD99" s="2809">
        <f>-FORECASTS!Z54</f>
        <v>0</v>
      </c>
      <c r="AE99" s="2809"/>
      <c r="AF99" s="2809"/>
      <c r="AG99" s="2809">
        <f>-FORECASTS!AA54</f>
        <v>0</v>
      </c>
      <c r="AH99" s="2809"/>
      <c r="AI99" s="2809"/>
      <c r="AJ99" s="2809">
        <f>-FORECASTS!AB54</f>
        <v>0</v>
      </c>
      <c r="AK99" s="2809"/>
      <c r="AL99" s="2809"/>
      <c r="AM99" s="2809">
        <f>-FORECASTS!AC54</f>
        <v>0</v>
      </c>
      <c r="AN99" s="2809"/>
      <c r="AO99" s="2809"/>
      <c r="AP99" s="2809">
        <f>-FORECASTS!AD54</f>
        <v>0</v>
      </c>
      <c r="AQ99" s="2809"/>
      <c r="AR99" s="2809"/>
      <c r="AS99" s="2809">
        <f>-FORECASTS!AE54</f>
        <v>0</v>
      </c>
      <c r="AT99" s="2809"/>
      <c r="AU99" s="2809"/>
      <c r="AV99" s="2809">
        <f>-FORECASTS!AF54</f>
        <v>0</v>
      </c>
      <c r="AW99" s="2809"/>
      <c r="AX99" s="2809"/>
      <c r="AY99" s="2809">
        <f>-FORECASTS!AG54</f>
        <v>0</v>
      </c>
      <c r="AZ99" s="2809"/>
      <c r="BA99" s="2809"/>
      <c r="BB99" s="2809">
        <f>-FORECASTS!AH54</f>
        <v>0</v>
      </c>
      <c r="BC99" s="2809"/>
      <c r="BD99" s="2809"/>
      <c r="BE99" s="794">
        <f t="shared" si="3"/>
        <v>0</v>
      </c>
      <c r="BI99" s="358"/>
    </row>
    <row r="100" spans="1:193" s="272" customFormat="1" ht="16.8" x14ac:dyDescent="0.4">
      <c r="A100" s="160"/>
      <c r="B100" s="44" t="str">
        <f t="shared" si="2"/>
        <v>Legal</v>
      </c>
      <c r="C100" s="44"/>
      <c r="D100" s="44"/>
      <c r="E100" s="44"/>
      <c r="F100" s="44"/>
      <c r="G100" s="44"/>
      <c r="H100" s="44"/>
      <c r="I100" s="44"/>
      <c r="J100" s="44"/>
      <c r="K100" s="44"/>
      <c r="L100" s="2809">
        <f>-FORECASTS!T56</f>
        <v>0</v>
      </c>
      <c r="M100" s="2809"/>
      <c r="N100" s="2809"/>
      <c r="O100" s="2809">
        <f>-FORECASTS!U56</f>
        <v>0</v>
      </c>
      <c r="P100" s="2809"/>
      <c r="Q100" s="2809"/>
      <c r="R100" s="2809">
        <f>-FORECASTS!V56</f>
        <v>0</v>
      </c>
      <c r="S100" s="2809"/>
      <c r="T100" s="2809"/>
      <c r="U100" s="2809">
        <f>-FORECASTS!W56</f>
        <v>0</v>
      </c>
      <c r="V100" s="2809"/>
      <c r="W100" s="2809"/>
      <c r="X100" s="2809">
        <f>-FORECASTS!X56</f>
        <v>0</v>
      </c>
      <c r="Y100" s="2809"/>
      <c r="Z100" s="2809"/>
      <c r="AA100" s="2809">
        <f>-FORECASTS!Y56</f>
        <v>0</v>
      </c>
      <c r="AB100" s="2809"/>
      <c r="AC100" s="2809"/>
      <c r="AD100" s="2809">
        <f>-FORECASTS!Z56</f>
        <v>0</v>
      </c>
      <c r="AE100" s="2809"/>
      <c r="AF100" s="2809"/>
      <c r="AG100" s="2809">
        <f>-FORECASTS!AA56</f>
        <v>0</v>
      </c>
      <c r="AH100" s="2809"/>
      <c r="AI100" s="2809"/>
      <c r="AJ100" s="2809">
        <f>-FORECASTS!AB56</f>
        <v>0</v>
      </c>
      <c r="AK100" s="2809"/>
      <c r="AL100" s="2809"/>
      <c r="AM100" s="2809">
        <f>-FORECASTS!AC56</f>
        <v>0</v>
      </c>
      <c r="AN100" s="2809"/>
      <c r="AO100" s="2809"/>
      <c r="AP100" s="2809">
        <f>-FORECASTS!AD56</f>
        <v>0</v>
      </c>
      <c r="AQ100" s="2809"/>
      <c r="AR100" s="2809"/>
      <c r="AS100" s="2809">
        <f>-FORECASTS!AE56</f>
        <v>0</v>
      </c>
      <c r="AT100" s="2809"/>
      <c r="AU100" s="2809"/>
      <c r="AV100" s="2809">
        <f>-FORECASTS!AF56</f>
        <v>0</v>
      </c>
      <c r="AW100" s="2809"/>
      <c r="AX100" s="2809"/>
      <c r="AY100" s="2809">
        <f>-FORECASTS!AG56</f>
        <v>0</v>
      </c>
      <c r="AZ100" s="2809"/>
      <c r="BA100" s="2809"/>
      <c r="BB100" s="2809">
        <f>-FORECASTS!AH56</f>
        <v>0</v>
      </c>
      <c r="BC100" s="2809"/>
      <c r="BD100" s="2809"/>
      <c r="BE100" s="341">
        <f t="shared" si="3"/>
        <v>0</v>
      </c>
      <c r="BI100" s="358"/>
      <c r="BK100" s="331"/>
      <c r="BL100" s="331"/>
      <c r="BM100" s="331"/>
      <c r="BN100" s="331"/>
      <c r="BO100" s="331"/>
      <c r="BP100" s="331"/>
      <c r="BQ100" s="331"/>
      <c r="BR100" s="331"/>
      <c r="BS100" s="331"/>
      <c r="BT100" s="331"/>
      <c r="BU100" s="331"/>
      <c r="BV100" s="331"/>
      <c r="BW100" s="331"/>
      <c r="BX100" s="331"/>
      <c r="BY100" s="331"/>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31"/>
      <c r="EG100" s="331"/>
      <c r="EH100" s="331"/>
      <c r="EI100" s="331"/>
      <c r="EJ100" s="331"/>
      <c r="EK100" s="331"/>
      <c r="EL100" s="331"/>
      <c r="EM100" s="331"/>
      <c r="EN100" s="331"/>
      <c r="EO100" s="331"/>
      <c r="EP100" s="331"/>
      <c r="EQ100" s="331"/>
      <c r="ER100" s="331"/>
      <c r="ES100" s="331"/>
      <c r="ET100" s="331"/>
      <c r="EU100" s="331"/>
      <c r="EV100" s="331"/>
      <c r="EW100" s="331"/>
      <c r="EX100" s="331"/>
      <c r="EY100" s="331"/>
      <c r="EZ100" s="331"/>
      <c r="FA100" s="331"/>
      <c r="FB100" s="331"/>
      <c r="FC100" s="331"/>
      <c r="FD100" s="331"/>
      <c r="FE100" s="331"/>
      <c r="FF100" s="331"/>
      <c r="FG100" s="331"/>
      <c r="FH100" s="331"/>
      <c r="FI100" s="331"/>
      <c r="FJ100" s="331"/>
      <c r="FK100" s="331"/>
      <c r="FL100" s="331"/>
      <c r="FM100" s="331"/>
      <c r="FN100" s="331"/>
      <c r="FO100" s="331"/>
      <c r="FP100" s="331"/>
      <c r="FQ100" s="331"/>
      <c r="FR100" s="331"/>
      <c r="FS100" s="331"/>
      <c r="FT100" s="331"/>
      <c r="FU100" s="331"/>
      <c r="FV100" s="331"/>
      <c r="FW100" s="331"/>
      <c r="FX100" s="331"/>
      <c r="FY100" s="331"/>
      <c r="FZ100" s="331"/>
      <c r="GA100" s="331"/>
      <c r="GB100" s="331"/>
      <c r="GC100" s="331"/>
      <c r="GD100" s="331"/>
      <c r="GE100" s="331"/>
      <c r="GF100" s="331"/>
      <c r="GG100" s="331"/>
      <c r="GH100" s="331"/>
      <c r="GI100" s="331"/>
      <c r="GJ100" s="331"/>
      <c r="GK100" s="331"/>
    </row>
    <row r="101" spans="1:193" s="272" customFormat="1" ht="16.8" hidden="1" x14ac:dyDescent="0.4">
      <c r="A101" s="160"/>
      <c r="B101" s="44" t="str">
        <f>B62</f>
        <v>Security</v>
      </c>
      <c r="C101" s="44"/>
      <c r="D101" s="44"/>
      <c r="E101" s="44"/>
      <c r="F101" s="44"/>
      <c r="G101" s="44"/>
      <c r="H101" s="44"/>
      <c r="I101" s="44"/>
      <c r="J101" s="44"/>
      <c r="K101" s="44"/>
      <c r="L101" s="2809">
        <f>-FORECASTS!T44</f>
        <v>0</v>
      </c>
      <c r="M101" s="2809"/>
      <c r="N101" s="2809"/>
      <c r="O101" s="2809">
        <f>-FORECASTS!U44</f>
        <v>0</v>
      </c>
      <c r="P101" s="2809"/>
      <c r="Q101" s="2809"/>
      <c r="R101" s="2809">
        <f>-FORECASTS!V44</f>
        <v>0</v>
      </c>
      <c r="S101" s="2809"/>
      <c r="T101" s="2809"/>
      <c r="U101" s="2809">
        <f>-FORECASTS!W44</f>
        <v>0</v>
      </c>
      <c r="V101" s="2809"/>
      <c r="W101" s="2809"/>
      <c r="X101" s="2809">
        <f>-FORECASTS!X44</f>
        <v>0</v>
      </c>
      <c r="Y101" s="2809"/>
      <c r="Z101" s="2809"/>
      <c r="AA101" s="2809">
        <f>-FORECASTS!Y44</f>
        <v>0</v>
      </c>
      <c r="AB101" s="2809"/>
      <c r="AC101" s="2809"/>
      <c r="AD101" s="2809">
        <f>-FORECASTS!Z44</f>
        <v>0</v>
      </c>
      <c r="AE101" s="2809"/>
      <c r="AF101" s="2809"/>
      <c r="AG101" s="2809">
        <f>-FORECASTS!AA44</f>
        <v>0</v>
      </c>
      <c r="AH101" s="2809"/>
      <c r="AI101" s="2809"/>
      <c r="AJ101" s="2809">
        <f>-FORECASTS!AB44</f>
        <v>0</v>
      </c>
      <c r="AK101" s="2809"/>
      <c r="AL101" s="2809"/>
      <c r="AM101" s="2809">
        <f>-FORECASTS!AC44</f>
        <v>0</v>
      </c>
      <c r="AN101" s="2809"/>
      <c r="AO101" s="2809"/>
      <c r="AP101" s="2809">
        <f>-FORECASTS!AD44</f>
        <v>0</v>
      </c>
      <c r="AQ101" s="2809"/>
      <c r="AR101" s="2809"/>
      <c r="AS101" s="2809">
        <f>-FORECASTS!AE44</f>
        <v>0</v>
      </c>
      <c r="AT101" s="2809"/>
      <c r="AU101" s="2809"/>
      <c r="AV101" s="2809">
        <f>-FORECASTS!AF44</f>
        <v>0</v>
      </c>
      <c r="AW101" s="2809"/>
      <c r="AX101" s="2809"/>
      <c r="AY101" s="2809">
        <f>-FORECASTS!AG44</f>
        <v>0</v>
      </c>
      <c r="AZ101" s="2809"/>
      <c r="BA101" s="2809"/>
      <c r="BB101" s="2809">
        <f>-FORECASTS!AH44</f>
        <v>0</v>
      </c>
      <c r="BC101" s="2809"/>
      <c r="BD101" s="2809"/>
      <c r="BE101" s="341">
        <f t="shared" si="3"/>
        <v>0</v>
      </c>
      <c r="BI101" s="358"/>
    </row>
    <row r="102" spans="1:193" s="272" customFormat="1" ht="16.8" x14ac:dyDescent="0.4">
      <c r="A102" s="160"/>
      <c r="B102" s="44" t="str">
        <f t="shared" si="2"/>
        <v>Advertising</v>
      </c>
      <c r="C102" s="44"/>
      <c r="D102" s="44"/>
      <c r="E102" s="44"/>
      <c r="F102" s="44"/>
      <c r="G102" s="44"/>
      <c r="H102" s="44"/>
      <c r="I102" s="44"/>
      <c r="J102" s="44"/>
      <c r="K102" s="44"/>
      <c r="L102" s="2809">
        <f>-FORECASTS!T58</f>
        <v>0</v>
      </c>
      <c r="M102" s="2809"/>
      <c r="N102" s="2809"/>
      <c r="O102" s="2809">
        <f>-FORECASTS!U58</f>
        <v>0</v>
      </c>
      <c r="P102" s="2809"/>
      <c r="Q102" s="2809"/>
      <c r="R102" s="2809">
        <f>-FORECASTS!V58</f>
        <v>0</v>
      </c>
      <c r="S102" s="2809"/>
      <c r="T102" s="2809"/>
      <c r="U102" s="2809">
        <f>-FORECASTS!W58</f>
        <v>0</v>
      </c>
      <c r="V102" s="2809"/>
      <c r="W102" s="2809"/>
      <c r="X102" s="2809">
        <f>-FORECASTS!X58</f>
        <v>0</v>
      </c>
      <c r="Y102" s="2809"/>
      <c r="Z102" s="2809"/>
      <c r="AA102" s="2809">
        <f>-FORECASTS!Y58</f>
        <v>0</v>
      </c>
      <c r="AB102" s="2809"/>
      <c r="AC102" s="2809"/>
      <c r="AD102" s="2809">
        <f>-FORECASTS!Z58</f>
        <v>0</v>
      </c>
      <c r="AE102" s="2809"/>
      <c r="AF102" s="2809"/>
      <c r="AG102" s="2809">
        <f>-FORECASTS!AA58</f>
        <v>0</v>
      </c>
      <c r="AH102" s="2809"/>
      <c r="AI102" s="2809"/>
      <c r="AJ102" s="2809">
        <f>-FORECASTS!AB58</f>
        <v>0</v>
      </c>
      <c r="AK102" s="2809"/>
      <c r="AL102" s="2809"/>
      <c r="AM102" s="2809">
        <f>-FORECASTS!AC58</f>
        <v>0</v>
      </c>
      <c r="AN102" s="2809"/>
      <c r="AO102" s="2809"/>
      <c r="AP102" s="2809">
        <f>-FORECASTS!AD58</f>
        <v>0</v>
      </c>
      <c r="AQ102" s="2809"/>
      <c r="AR102" s="2809"/>
      <c r="AS102" s="2809">
        <f>-FORECASTS!AE58</f>
        <v>0</v>
      </c>
      <c r="AT102" s="2809"/>
      <c r="AU102" s="2809"/>
      <c r="AV102" s="2809">
        <f>-FORECASTS!AF58</f>
        <v>0</v>
      </c>
      <c r="AW102" s="2809"/>
      <c r="AX102" s="2809"/>
      <c r="AY102" s="2809">
        <f>-FORECASTS!AG58</f>
        <v>0</v>
      </c>
      <c r="AZ102" s="2809"/>
      <c r="BA102" s="2809"/>
      <c r="BB102" s="2809">
        <f>-FORECASTS!AH58</f>
        <v>0</v>
      </c>
      <c r="BC102" s="2809"/>
      <c r="BD102" s="2809"/>
      <c r="BE102" s="341">
        <f t="shared" si="3"/>
        <v>0</v>
      </c>
      <c r="BI102" s="358"/>
      <c r="BK102" s="331"/>
      <c r="BL102" s="331"/>
      <c r="BM102" s="331"/>
      <c r="BN102" s="331"/>
      <c r="BO102" s="331"/>
      <c r="BP102" s="331"/>
      <c r="BQ102" s="331"/>
      <c r="BR102" s="331"/>
      <c r="BS102" s="331"/>
      <c r="BT102" s="331"/>
      <c r="BU102" s="331"/>
      <c r="BV102" s="331"/>
      <c r="BW102" s="331"/>
      <c r="BX102" s="331"/>
      <c r="BY102" s="331"/>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row>
    <row r="103" spans="1:193" s="272" customFormat="1" ht="16.8" hidden="1" x14ac:dyDescent="0.4">
      <c r="A103" s="160"/>
      <c r="B103" s="44" t="str">
        <f>B64</f>
        <v>Other Cost 1</v>
      </c>
      <c r="C103" s="44"/>
      <c r="D103" s="44"/>
      <c r="E103" s="44"/>
      <c r="F103" s="44"/>
      <c r="G103" s="44"/>
      <c r="H103" s="44"/>
      <c r="I103" s="44"/>
      <c r="J103" s="44"/>
      <c r="K103" s="44"/>
      <c r="L103" s="2809">
        <f>-FORECASTS!T60</f>
        <v>0</v>
      </c>
      <c r="M103" s="2809"/>
      <c r="N103" s="2809"/>
      <c r="O103" s="2809">
        <f>-FORECASTS!U60</f>
        <v>0</v>
      </c>
      <c r="P103" s="2809"/>
      <c r="Q103" s="2809"/>
      <c r="R103" s="2809">
        <f>-FORECASTS!V60</f>
        <v>0</v>
      </c>
      <c r="S103" s="2809"/>
      <c r="T103" s="2809"/>
      <c r="U103" s="2809">
        <f>-FORECASTS!W60</f>
        <v>0</v>
      </c>
      <c r="V103" s="2809"/>
      <c r="W103" s="2809"/>
      <c r="X103" s="2809">
        <f>-FORECASTS!X60</f>
        <v>0</v>
      </c>
      <c r="Y103" s="2809"/>
      <c r="Z103" s="2809"/>
      <c r="AA103" s="2809">
        <f>-FORECASTS!Y60</f>
        <v>0</v>
      </c>
      <c r="AB103" s="2809"/>
      <c r="AC103" s="2809"/>
      <c r="AD103" s="2809">
        <f>-FORECASTS!Z60</f>
        <v>0</v>
      </c>
      <c r="AE103" s="2809"/>
      <c r="AF103" s="2809"/>
      <c r="AG103" s="2809">
        <f>-FORECASTS!AA60</f>
        <v>0</v>
      </c>
      <c r="AH103" s="2809"/>
      <c r="AI103" s="2809"/>
      <c r="AJ103" s="2809">
        <f>-FORECASTS!AB60</f>
        <v>0</v>
      </c>
      <c r="AK103" s="2809"/>
      <c r="AL103" s="2809"/>
      <c r="AM103" s="2809">
        <f>-FORECASTS!AC60</f>
        <v>0</v>
      </c>
      <c r="AN103" s="2809"/>
      <c r="AO103" s="2809"/>
      <c r="AP103" s="2809">
        <f>-FORECASTS!AD60</f>
        <v>0</v>
      </c>
      <c r="AQ103" s="2809"/>
      <c r="AR103" s="2809"/>
      <c r="AS103" s="2809">
        <f>-FORECASTS!AE60</f>
        <v>0</v>
      </c>
      <c r="AT103" s="2809"/>
      <c r="AU103" s="2809"/>
      <c r="AV103" s="2809">
        <f>-FORECASTS!AF60</f>
        <v>0</v>
      </c>
      <c r="AW103" s="2809"/>
      <c r="AX103" s="2809"/>
      <c r="AY103" s="2809">
        <f>-FORECASTS!AG60</f>
        <v>0</v>
      </c>
      <c r="AZ103" s="2809"/>
      <c r="BA103" s="2809"/>
      <c r="BB103" s="2809">
        <f>-FORECASTS!AH60</f>
        <v>0</v>
      </c>
      <c r="BC103" s="2809"/>
      <c r="BD103" s="2809"/>
      <c r="BE103" s="794">
        <f t="shared" si="3"/>
        <v>0</v>
      </c>
      <c r="BI103" s="358"/>
    </row>
    <row r="104" spans="1:193" s="272" customFormat="1" ht="16.8" hidden="1" x14ac:dyDescent="0.4">
      <c r="A104" s="160"/>
      <c r="B104" s="44" t="str">
        <f>B65</f>
        <v>Other Cost 2</v>
      </c>
      <c r="C104" s="44"/>
      <c r="D104" s="44"/>
      <c r="E104" s="44"/>
      <c r="F104" s="44"/>
      <c r="G104" s="44"/>
      <c r="H104" s="44"/>
      <c r="I104" s="44"/>
      <c r="J104" s="44"/>
      <c r="K104" s="44"/>
      <c r="L104" s="2809">
        <f>-FORECASTS!T62</f>
        <v>0</v>
      </c>
      <c r="M104" s="2809"/>
      <c r="N104" s="2809"/>
      <c r="O104" s="2809">
        <f>-FORECASTS!U62</f>
        <v>0</v>
      </c>
      <c r="P104" s="2809"/>
      <c r="Q104" s="2809"/>
      <c r="R104" s="2809">
        <f>-FORECASTS!V62</f>
        <v>0</v>
      </c>
      <c r="S104" s="2809"/>
      <c r="T104" s="2809"/>
      <c r="U104" s="2809">
        <f>-FORECASTS!W62</f>
        <v>0</v>
      </c>
      <c r="V104" s="2809"/>
      <c r="W104" s="2809"/>
      <c r="X104" s="2809">
        <f>-FORECASTS!X62</f>
        <v>0</v>
      </c>
      <c r="Y104" s="2809"/>
      <c r="Z104" s="2809"/>
      <c r="AA104" s="2809">
        <f>-FORECASTS!Y62</f>
        <v>0</v>
      </c>
      <c r="AB104" s="2809"/>
      <c r="AC104" s="2809"/>
      <c r="AD104" s="2809">
        <f>-FORECASTS!Z62</f>
        <v>0</v>
      </c>
      <c r="AE104" s="2809"/>
      <c r="AF104" s="2809"/>
      <c r="AG104" s="2809">
        <f>-FORECASTS!AA62</f>
        <v>0</v>
      </c>
      <c r="AH104" s="2809"/>
      <c r="AI104" s="2809"/>
      <c r="AJ104" s="2809">
        <f>-FORECASTS!AB62</f>
        <v>0</v>
      </c>
      <c r="AK104" s="2809"/>
      <c r="AL104" s="2809"/>
      <c r="AM104" s="2809">
        <f>-FORECASTS!AC62</f>
        <v>0</v>
      </c>
      <c r="AN104" s="2809"/>
      <c r="AO104" s="2809"/>
      <c r="AP104" s="2809">
        <f>-FORECASTS!AD62</f>
        <v>0</v>
      </c>
      <c r="AQ104" s="2809"/>
      <c r="AR104" s="2809"/>
      <c r="AS104" s="2809">
        <f>-FORECASTS!AE62</f>
        <v>0</v>
      </c>
      <c r="AT104" s="2809"/>
      <c r="AU104" s="2809"/>
      <c r="AV104" s="2809">
        <f>-FORECASTS!AF62</f>
        <v>0</v>
      </c>
      <c r="AW104" s="2809"/>
      <c r="AX104" s="2809"/>
      <c r="AY104" s="2809">
        <f>-FORECASTS!AG62</f>
        <v>0</v>
      </c>
      <c r="AZ104" s="2809"/>
      <c r="BA104" s="2809"/>
      <c r="BB104" s="2809">
        <f>-FORECASTS!AH62</f>
        <v>0</v>
      </c>
      <c r="BC104" s="2809"/>
      <c r="BD104" s="2809"/>
      <c r="BE104" s="794">
        <f t="shared" si="3"/>
        <v>0</v>
      </c>
      <c r="BI104" s="358"/>
    </row>
    <row r="105" spans="1:193" s="272" customFormat="1" ht="16.8" x14ac:dyDescent="0.4">
      <c r="A105" s="160"/>
      <c r="B105" s="44" t="str">
        <f t="shared" si="2"/>
        <v>Miscellaneous (Variable)</v>
      </c>
      <c r="C105" s="44"/>
      <c r="D105" s="44"/>
      <c r="E105" s="44"/>
      <c r="F105" s="44"/>
      <c r="G105" s="44"/>
      <c r="H105" s="44"/>
      <c r="I105" s="44"/>
      <c r="J105" s="44"/>
      <c r="K105" s="44"/>
      <c r="L105" s="2809">
        <f>-FORECASTS!T64</f>
        <v>0</v>
      </c>
      <c r="M105" s="2809"/>
      <c r="N105" s="2809"/>
      <c r="O105" s="2809">
        <f>-FORECASTS!U64</f>
        <v>0</v>
      </c>
      <c r="P105" s="2809"/>
      <c r="Q105" s="2809"/>
      <c r="R105" s="2809">
        <f>-FORECASTS!V64</f>
        <v>0</v>
      </c>
      <c r="S105" s="2809"/>
      <c r="T105" s="2809"/>
      <c r="U105" s="2809">
        <f>-FORECASTS!W64</f>
        <v>0</v>
      </c>
      <c r="V105" s="2809"/>
      <c r="W105" s="2809"/>
      <c r="X105" s="2809">
        <f>-FORECASTS!X64</f>
        <v>0</v>
      </c>
      <c r="Y105" s="2809"/>
      <c r="Z105" s="2809"/>
      <c r="AA105" s="2809">
        <f>-FORECASTS!Y64</f>
        <v>0</v>
      </c>
      <c r="AB105" s="2809"/>
      <c r="AC105" s="2809"/>
      <c r="AD105" s="2809">
        <f>-FORECASTS!Z64</f>
        <v>0</v>
      </c>
      <c r="AE105" s="2809"/>
      <c r="AF105" s="2809"/>
      <c r="AG105" s="2809">
        <f>-FORECASTS!AA64</f>
        <v>0</v>
      </c>
      <c r="AH105" s="2809"/>
      <c r="AI105" s="2809"/>
      <c r="AJ105" s="2809">
        <f>-FORECASTS!AB64</f>
        <v>0</v>
      </c>
      <c r="AK105" s="2809"/>
      <c r="AL105" s="2809"/>
      <c r="AM105" s="2809">
        <f>-FORECASTS!AC64</f>
        <v>0</v>
      </c>
      <c r="AN105" s="2809"/>
      <c r="AO105" s="2809"/>
      <c r="AP105" s="2809">
        <f>-FORECASTS!AD64</f>
        <v>0</v>
      </c>
      <c r="AQ105" s="2809"/>
      <c r="AR105" s="2809"/>
      <c r="AS105" s="2809">
        <f>-FORECASTS!AE64</f>
        <v>0</v>
      </c>
      <c r="AT105" s="2809"/>
      <c r="AU105" s="2809"/>
      <c r="AV105" s="2809">
        <f>-FORECASTS!AF64</f>
        <v>0</v>
      </c>
      <c r="AW105" s="2809"/>
      <c r="AX105" s="2809"/>
      <c r="AY105" s="2809">
        <f>-FORECASTS!AG64</f>
        <v>0</v>
      </c>
      <c r="AZ105" s="2809"/>
      <c r="BA105" s="2809"/>
      <c r="BB105" s="2809">
        <f>-FORECASTS!AH64</f>
        <v>0</v>
      </c>
      <c r="BC105" s="2809"/>
      <c r="BD105" s="2809"/>
      <c r="BE105" s="341">
        <f t="shared" si="3"/>
        <v>0</v>
      </c>
      <c r="BI105" s="358"/>
      <c r="BK105" s="331"/>
      <c r="BL105" s="331"/>
      <c r="BM105" s="331"/>
      <c r="BN105" s="331"/>
      <c r="BO105" s="331"/>
      <c r="BP105" s="331"/>
      <c r="BQ105" s="331"/>
      <c r="BR105" s="331"/>
      <c r="BS105" s="331"/>
      <c r="BT105" s="331"/>
      <c r="BU105" s="331"/>
      <c r="BV105" s="331"/>
      <c r="BW105" s="331"/>
      <c r="BX105" s="331"/>
      <c r="BY105" s="331"/>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31"/>
      <c r="EG105" s="331"/>
      <c r="EH105" s="331"/>
      <c r="EI105" s="331"/>
      <c r="EJ105" s="331"/>
      <c r="EK105" s="331"/>
      <c r="EL105" s="331"/>
      <c r="EM105" s="331"/>
      <c r="EN105" s="331"/>
      <c r="EO105" s="331"/>
      <c r="EP105" s="331"/>
      <c r="EQ105" s="331"/>
      <c r="ER105" s="331"/>
      <c r="ES105" s="331"/>
      <c r="ET105" s="331"/>
      <c r="EU105" s="331"/>
      <c r="EV105" s="331"/>
      <c r="EW105" s="331"/>
      <c r="EX105" s="331"/>
      <c r="EY105" s="331"/>
      <c r="EZ105" s="331"/>
      <c r="FA105" s="331"/>
      <c r="FB105" s="331"/>
      <c r="FC105" s="331"/>
      <c r="FD105" s="331"/>
      <c r="FE105" s="331"/>
      <c r="FF105" s="331"/>
      <c r="FG105" s="331"/>
      <c r="FH105" s="331"/>
      <c r="FI105" s="331"/>
      <c r="FJ105" s="331"/>
      <c r="FK105" s="331"/>
      <c r="FL105" s="331"/>
      <c r="FM105" s="331"/>
      <c r="FN105" s="331"/>
      <c r="FO105" s="331"/>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row>
    <row r="106" spans="1:193" s="272" customFormat="1" ht="16.8" hidden="1" x14ac:dyDescent="0.4">
      <c r="A106" s="160"/>
      <c r="B106" s="44" t="str">
        <f>B67</f>
        <v>Accounting</v>
      </c>
      <c r="C106" s="44"/>
      <c r="D106" s="44"/>
      <c r="E106" s="44"/>
      <c r="F106" s="44"/>
      <c r="G106" s="44"/>
      <c r="H106" s="44"/>
      <c r="I106" s="44"/>
      <c r="J106" s="44"/>
      <c r="K106" s="44"/>
      <c r="L106" s="2809">
        <f>-FORECASTS!T46</f>
        <v>0</v>
      </c>
      <c r="M106" s="2809"/>
      <c r="N106" s="2809"/>
      <c r="O106" s="2809">
        <f>-FORECASTS!U46</f>
        <v>0</v>
      </c>
      <c r="P106" s="2809"/>
      <c r="Q106" s="2809"/>
      <c r="R106" s="2809">
        <f>-FORECASTS!V46</f>
        <v>0</v>
      </c>
      <c r="S106" s="2809"/>
      <c r="T106" s="2809"/>
      <c r="U106" s="2809">
        <f>-FORECASTS!W46</f>
        <v>0</v>
      </c>
      <c r="V106" s="2809"/>
      <c r="W106" s="2809"/>
      <c r="X106" s="2809">
        <f>-FORECASTS!X46</f>
        <v>0</v>
      </c>
      <c r="Y106" s="2809"/>
      <c r="Z106" s="2809"/>
      <c r="AA106" s="2809">
        <f>-FORECASTS!Y46</f>
        <v>0</v>
      </c>
      <c r="AB106" s="2809"/>
      <c r="AC106" s="2809"/>
      <c r="AD106" s="2809">
        <f>-FORECASTS!Z46</f>
        <v>0</v>
      </c>
      <c r="AE106" s="2809"/>
      <c r="AF106" s="2809"/>
      <c r="AG106" s="2809">
        <f>-FORECASTS!AA46</f>
        <v>0</v>
      </c>
      <c r="AH106" s="2809"/>
      <c r="AI106" s="2809"/>
      <c r="AJ106" s="2809">
        <f>-FORECASTS!AB46</f>
        <v>0</v>
      </c>
      <c r="AK106" s="2809"/>
      <c r="AL106" s="2809"/>
      <c r="AM106" s="2809">
        <f>-FORECASTS!AC46</f>
        <v>0</v>
      </c>
      <c r="AN106" s="2809"/>
      <c r="AO106" s="2809"/>
      <c r="AP106" s="2809">
        <f>-FORECASTS!AD46</f>
        <v>0</v>
      </c>
      <c r="AQ106" s="2809"/>
      <c r="AR106" s="2809"/>
      <c r="AS106" s="2809">
        <f>-FORECASTS!AE46</f>
        <v>0</v>
      </c>
      <c r="AT106" s="2809"/>
      <c r="AU106" s="2809"/>
      <c r="AV106" s="2809">
        <f>-FORECASTS!AF46</f>
        <v>0</v>
      </c>
      <c r="AW106" s="2809"/>
      <c r="AX106" s="2809"/>
      <c r="AY106" s="2809">
        <f>-FORECASTS!AG46</f>
        <v>0</v>
      </c>
      <c r="AZ106" s="2809"/>
      <c r="BA106" s="2809"/>
      <c r="BB106" s="2809">
        <f>-FORECASTS!AH46</f>
        <v>0</v>
      </c>
      <c r="BC106" s="2809"/>
      <c r="BD106" s="2809"/>
      <c r="BE106" s="341">
        <f t="shared" si="3"/>
        <v>0</v>
      </c>
      <c r="BI106" s="358"/>
    </row>
    <row r="107" spans="1:193" s="272" customFormat="1" ht="16.8" hidden="1" x14ac:dyDescent="0.4">
      <c r="A107" s="160"/>
      <c r="B107" s="54" t="str">
        <f>B68</f>
        <v>Custom Op. Expense 1</v>
      </c>
      <c r="C107" s="54"/>
      <c r="D107" s="54"/>
      <c r="E107" s="54"/>
      <c r="F107" s="54"/>
      <c r="G107" s="54"/>
      <c r="H107" s="54"/>
      <c r="I107" s="54"/>
      <c r="J107" s="54"/>
      <c r="K107" s="54"/>
      <c r="L107" s="2809">
        <f>IF(AND(thumb=0,L81&lt;=holding),-FORECASTS!T66,0)</f>
        <v>0</v>
      </c>
      <c r="M107" s="2809"/>
      <c r="N107" s="2809"/>
      <c r="O107" s="2809">
        <f>IF(AND(thumb=0,O81&lt;=holding),-FORECASTS!U66,0)</f>
        <v>0</v>
      </c>
      <c r="P107" s="2809"/>
      <c r="Q107" s="2809"/>
      <c r="R107" s="2809">
        <f>IF(AND(thumb=0,R81&lt;=holding),-FORECASTS!V66,0)</f>
        <v>0</v>
      </c>
      <c r="S107" s="2809"/>
      <c r="T107" s="2809"/>
      <c r="U107" s="2809">
        <f>IF(AND(thumb=0,U81&lt;=holding),-FORECASTS!W66,0)</f>
        <v>0</v>
      </c>
      <c r="V107" s="2809"/>
      <c r="W107" s="2809"/>
      <c r="X107" s="2809">
        <f>IF(AND(thumb=0,X81&lt;=holding),-FORECASTS!X66,0)</f>
        <v>0</v>
      </c>
      <c r="Y107" s="2809"/>
      <c r="Z107" s="2809"/>
      <c r="AA107" s="2809">
        <f>IF(AND(thumb=0,AA81&lt;=holding),-FORECASTS!Y66,0)</f>
        <v>0</v>
      </c>
      <c r="AB107" s="2809"/>
      <c r="AC107" s="2809"/>
      <c r="AD107" s="2809">
        <f>IF(AND(thumb=0,AD81&lt;=holding),-FORECASTS!Z66,0)</f>
        <v>0</v>
      </c>
      <c r="AE107" s="2809"/>
      <c r="AF107" s="2809"/>
      <c r="AG107" s="2809">
        <f>IF(AND(thumb=0,AG81&lt;=holding),-FORECASTS!AA66,0)</f>
        <v>0</v>
      </c>
      <c r="AH107" s="2809"/>
      <c r="AI107" s="2809"/>
      <c r="AJ107" s="2809">
        <f>IF(AND(thumb=0,AJ81&lt;=holding),-FORECASTS!AB66,0)</f>
        <v>0</v>
      </c>
      <c r="AK107" s="2809"/>
      <c r="AL107" s="2809"/>
      <c r="AM107" s="2809">
        <f>IF(AND(thumb=0,AM81&lt;=holding),-FORECASTS!AC66,0)</f>
        <v>0</v>
      </c>
      <c r="AN107" s="2809"/>
      <c r="AO107" s="2809"/>
      <c r="AP107" s="2809">
        <f>IF(AND(thumb=0,AP81&lt;=holding),-FORECASTS!AD66,0)</f>
        <v>0</v>
      </c>
      <c r="AQ107" s="2809"/>
      <c r="AR107" s="2809"/>
      <c r="AS107" s="2809">
        <f>IF(AND(thumb=0,AS81&lt;=holding),-FORECASTS!AE66,0)</f>
        <v>0</v>
      </c>
      <c r="AT107" s="2809"/>
      <c r="AU107" s="2809"/>
      <c r="AV107" s="2809">
        <f>IF(AND(thumb=0,AV81&lt;=holding),-FORECASTS!AF66,0)</f>
        <v>0</v>
      </c>
      <c r="AW107" s="2809"/>
      <c r="AX107" s="2809"/>
      <c r="AY107" s="2809">
        <f>IF(AND(thumb=0,AY81&lt;=holding),-FORECASTS!AG66,0)</f>
        <v>0</v>
      </c>
      <c r="AZ107" s="2809"/>
      <c r="BA107" s="2809"/>
      <c r="BB107" s="2809">
        <f>IF(AND(thumb=0,BB81&lt;=holding),-FORECASTS!AH66,0)</f>
        <v>0</v>
      </c>
      <c r="BC107" s="2809"/>
      <c r="BD107" s="2809"/>
      <c r="BE107" s="794">
        <f t="shared" si="3"/>
        <v>0</v>
      </c>
      <c r="BI107" s="358"/>
    </row>
    <row r="108" spans="1:193" s="272" customFormat="1" ht="16.8" hidden="1" x14ac:dyDescent="0.4">
      <c r="A108" s="160"/>
      <c r="B108" s="54" t="str">
        <f>B69</f>
        <v>Custom Op. Expense 2</v>
      </c>
      <c r="C108" s="54"/>
      <c r="D108" s="54"/>
      <c r="E108" s="54"/>
      <c r="F108" s="54"/>
      <c r="G108" s="54"/>
      <c r="H108" s="54"/>
      <c r="I108" s="54"/>
      <c r="J108" s="54"/>
      <c r="K108" s="54"/>
      <c r="L108" s="2809">
        <f>IF(AND(thumb=0,L81&lt;=holding),-FORECASTS!T67,0)</f>
        <v>0</v>
      </c>
      <c r="M108" s="2809"/>
      <c r="N108" s="2809"/>
      <c r="O108" s="2809">
        <f>IF(AND(thumb=0,O81&lt;=holding),-FORECASTS!U67,0)</f>
        <v>0</v>
      </c>
      <c r="P108" s="2809"/>
      <c r="Q108" s="2809"/>
      <c r="R108" s="2809">
        <f>IF(AND(thumb=0,R81&lt;=holding),-FORECASTS!V67,0)</f>
        <v>0</v>
      </c>
      <c r="S108" s="2809"/>
      <c r="T108" s="2809"/>
      <c r="U108" s="2809">
        <f>IF(AND(thumb=0,U81&lt;=holding),-FORECASTS!W67,0)</f>
        <v>0</v>
      </c>
      <c r="V108" s="2809"/>
      <c r="W108" s="2809"/>
      <c r="X108" s="2809">
        <f>IF(AND(thumb=0,X81&lt;=holding),-FORECASTS!X67,0)</f>
        <v>0</v>
      </c>
      <c r="Y108" s="2809"/>
      <c r="Z108" s="2809"/>
      <c r="AA108" s="2809">
        <f>IF(AND(thumb=0,AA81&lt;=holding),-FORECASTS!Y67,0)</f>
        <v>0</v>
      </c>
      <c r="AB108" s="2809"/>
      <c r="AC108" s="2809"/>
      <c r="AD108" s="2809">
        <f>IF(AND(thumb=0,AD81&lt;=holding),-FORECASTS!Z67,0)</f>
        <v>0</v>
      </c>
      <c r="AE108" s="2809"/>
      <c r="AF108" s="2809"/>
      <c r="AG108" s="2809">
        <f>IF(AND(thumb=0,AG81&lt;=holding),-FORECASTS!AA67,0)</f>
        <v>0</v>
      </c>
      <c r="AH108" s="2809"/>
      <c r="AI108" s="2809"/>
      <c r="AJ108" s="2809">
        <f>IF(AND(thumb=0,AJ81&lt;=holding),-FORECASTS!AB67,0)</f>
        <v>0</v>
      </c>
      <c r="AK108" s="2809"/>
      <c r="AL108" s="2809"/>
      <c r="AM108" s="2809">
        <f>IF(AND(thumb=0,AM81&lt;=holding),-FORECASTS!AC67,0)</f>
        <v>0</v>
      </c>
      <c r="AN108" s="2809"/>
      <c r="AO108" s="2809"/>
      <c r="AP108" s="2809">
        <f>IF(AND(thumb=0,AP81&lt;=holding),-FORECASTS!AD67,0)</f>
        <v>0</v>
      </c>
      <c r="AQ108" s="2809"/>
      <c r="AR108" s="2809"/>
      <c r="AS108" s="2809">
        <f>IF(AND(thumb=0,AS81&lt;=holding),-FORECASTS!AE67,0)</f>
        <v>0</v>
      </c>
      <c r="AT108" s="2809"/>
      <c r="AU108" s="2809"/>
      <c r="AV108" s="2809">
        <f>IF(AND(thumb=0,AV81&lt;=holding),-FORECASTS!AF67,0)</f>
        <v>0</v>
      </c>
      <c r="AW108" s="2809"/>
      <c r="AX108" s="2809"/>
      <c r="AY108" s="2809">
        <f>IF(AND(thumb=0,AY81&lt;=holding),-FORECASTS!AG67,0)</f>
        <v>0</v>
      </c>
      <c r="AZ108" s="2809"/>
      <c r="BA108" s="2809"/>
      <c r="BB108" s="2809">
        <f>IF(AND(thumb=0,BB81&lt;=holding),-FORECASTS!AH67,0)</f>
        <v>0</v>
      </c>
      <c r="BC108" s="2809"/>
      <c r="BD108" s="2809"/>
      <c r="BE108" s="794">
        <f t="shared" si="3"/>
        <v>0</v>
      </c>
      <c r="BI108" s="358"/>
    </row>
    <row r="109" spans="1:193" s="272" customFormat="1" ht="14.4" x14ac:dyDescent="0.3">
      <c r="A109" s="166"/>
      <c r="B109" s="176" t="s">
        <v>1</v>
      </c>
      <c r="C109" s="176"/>
      <c r="D109" s="176"/>
      <c r="E109" s="176"/>
      <c r="F109" s="176"/>
      <c r="G109" s="176"/>
      <c r="H109" s="176"/>
      <c r="I109" s="176"/>
      <c r="J109" s="176"/>
      <c r="K109" s="176"/>
      <c r="L109" s="2838">
        <f>IF(thumb&lt;&gt;0,-FORECASTS!T68,SUM(L89:L108))</f>
        <v>0</v>
      </c>
      <c r="M109" s="2838"/>
      <c r="N109" s="2838"/>
      <c r="O109" s="2838">
        <f>IF(thumb&lt;&gt;0,-FORECASTS!U68,SUM(O89:O108))</f>
        <v>0</v>
      </c>
      <c r="P109" s="2838"/>
      <c r="Q109" s="2838"/>
      <c r="R109" s="2838">
        <f>IF(thumb&lt;&gt;0,-FORECASTS!V68,SUM(R89:R108))</f>
        <v>0</v>
      </c>
      <c r="S109" s="2838"/>
      <c r="T109" s="2838"/>
      <c r="U109" s="2838">
        <f>IF(thumb&lt;&gt;0,-FORECASTS!W68,SUM(U89:U108))</f>
        <v>0</v>
      </c>
      <c r="V109" s="2838"/>
      <c r="W109" s="2838"/>
      <c r="X109" s="2838">
        <f>IF(thumb&lt;&gt;0,-FORECASTS!X68,SUM(X89:X108))</f>
        <v>0</v>
      </c>
      <c r="Y109" s="2838"/>
      <c r="Z109" s="2838"/>
      <c r="AA109" s="2838">
        <f>IF(thumb&lt;&gt;0,-FORECASTS!Y68,SUM(AA89:AA108))</f>
        <v>0</v>
      </c>
      <c r="AB109" s="2838"/>
      <c r="AC109" s="2838"/>
      <c r="AD109" s="2838">
        <f>IF(thumb&lt;&gt;0,-FORECASTS!Z68,SUM(AD89:AD108))</f>
        <v>0</v>
      </c>
      <c r="AE109" s="2838"/>
      <c r="AF109" s="2838"/>
      <c r="AG109" s="2838">
        <f>IF(thumb&lt;&gt;0,-FORECASTS!AA68,SUM(AG89:AG108))</f>
        <v>0</v>
      </c>
      <c r="AH109" s="2838"/>
      <c r="AI109" s="2838"/>
      <c r="AJ109" s="2838">
        <f>IF(thumb&lt;&gt;0,-FORECASTS!AB68,SUM(AJ89:AJ108))</f>
        <v>0</v>
      </c>
      <c r="AK109" s="2838"/>
      <c r="AL109" s="2838"/>
      <c r="AM109" s="2838">
        <f>IF(thumb&lt;&gt;0,-FORECASTS!AC68,SUM(AM89:AM108))</f>
        <v>0</v>
      </c>
      <c r="AN109" s="2838"/>
      <c r="AO109" s="2838"/>
      <c r="AP109" s="2838">
        <f>IF(thumb&lt;&gt;0,-FORECASTS!AD68,SUM(AP89:AP108))</f>
        <v>0</v>
      </c>
      <c r="AQ109" s="2838"/>
      <c r="AR109" s="2838"/>
      <c r="AS109" s="2838">
        <f>IF(thumb&lt;&gt;0,-FORECASTS!AE68,SUM(AS89:AS108))</f>
        <v>0</v>
      </c>
      <c r="AT109" s="2838"/>
      <c r="AU109" s="2838"/>
      <c r="AV109" s="2838">
        <f>IF(thumb&lt;&gt;0,-FORECASTS!AF68,SUM(AV89:AV108))</f>
        <v>0</v>
      </c>
      <c r="AW109" s="2838"/>
      <c r="AX109" s="2838"/>
      <c r="AY109" s="2838">
        <f>IF(thumb&lt;&gt;0,-FORECASTS!AG68,SUM(AY89:AY108))</f>
        <v>0</v>
      </c>
      <c r="AZ109" s="2838"/>
      <c r="BA109" s="2838"/>
      <c r="BB109" s="2838">
        <f>IF(thumb&lt;&gt;0,-FORECASTS!AH68,SUM(BB89:BB108))</f>
        <v>0</v>
      </c>
      <c r="BC109" s="2838"/>
      <c r="BD109" s="2838"/>
      <c r="BE109" s="341">
        <f t="shared" si="3"/>
        <v>0</v>
      </c>
      <c r="BK109" s="331"/>
      <c r="BL109" s="331"/>
      <c r="BM109" s="331"/>
      <c r="BN109" s="331"/>
      <c r="BO109" s="331"/>
      <c r="BP109" s="331"/>
      <c r="BQ109" s="331"/>
      <c r="BR109" s="331"/>
      <c r="BS109" s="331"/>
      <c r="BT109" s="331"/>
      <c r="BU109" s="331"/>
      <c r="BV109" s="331"/>
      <c r="BW109" s="331"/>
      <c r="BX109" s="331"/>
      <c r="BY109" s="331"/>
      <c r="BZ109" s="331"/>
      <c r="CA109" s="331"/>
      <c r="CB109" s="331"/>
      <c r="CC109" s="331"/>
      <c r="CD109" s="331"/>
      <c r="CE109" s="331"/>
      <c r="CF109" s="331"/>
      <c r="CG109" s="331"/>
      <c r="CH109" s="331"/>
      <c r="CI109" s="331"/>
      <c r="CJ109" s="331"/>
      <c r="CK109" s="331"/>
      <c r="CL109" s="331"/>
      <c r="CM109" s="331"/>
      <c r="CN109" s="331"/>
      <c r="CO109" s="331"/>
      <c r="CP109" s="331"/>
      <c r="CQ109" s="331"/>
      <c r="CR109" s="331"/>
      <c r="CS109" s="331"/>
      <c r="CT109" s="331"/>
      <c r="CU109" s="331"/>
      <c r="CV109" s="331"/>
      <c r="CW109" s="331"/>
      <c r="CX109" s="331"/>
      <c r="CY109" s="331"/>
      <c r="CZ109" s="331"/>
      <c r="DA109" s="331"/>
      <c r="DB109" s="331"/>
      <c r="DC109" s="331"/>
      <c r="DD109" s="331"/>
      <c r="DE109" s="331"/>
      <c r="DF109" s="331"/>
      <c r="DG109" s="331"/>
      <c r="DH109" s="331"/>
      <c r="DI109" s="331"/>
      <c r="DJ109" s="331"/>
      <c r="DK109" s="331"/>
      <c r="DL109" s="331"/>
      <c r="DM109" s="331"/>
      <c r="DN109" s="331"/>
      <c r="DO109" s="331"/>
      <c r="DP109" s="331"/>
      <c r="DQ109" s="331"/>
      <c r="DR109" s="331"/>
      <c r="DS109" s="331"/>
      <c r="DT109" s="331"/>
      <c r="DU109" s="331"/>
      <c r="DV109" s="331"/>
      <c r="DW109" s="331"/>
      <c r="DX109" s="331"/>
      <c r="DY109" s="331"/>
      <c r="DZ109" s="331"/>
      <c r="EA109" s="331"/>
      <c r="EB109" s="331"/>
      <c r="EC109" s="331"/>
      <c r="ED109" s="331"/>
      <c r="EE109" s="331"/>
      <c r="EF109" s="331"/>
      <c r="EG109" s="331"/>
      <c r="EH109" s="331"/>
      <c r="EI109" s="331"/>
      <c r="EJ109" s="331"/>
      <c r="EK109" s="331"/>
      <c r="EL109" s="331"/>
      <c r="EM109" s="331"/>
      <c r="EN109" s="331"/>
      <c r="EO109" s="331"/>
      <c r="EP109" s="331"/>
      <c r="EQ109" s="331"/>
      <c r="ER109" s="331"/>
      <c r="ES109" s="331"/>
      <c r="ET109" s="331"/>
      <c r="EU109" s="331"/>
      <c r="EV109" s="331"/>
      <c r="EW109" s="331"/>
      <c r="EX109" s="331"/>
      <c r="EY109" s="331"/>
      <c r="EZ109" s="331"/>
      <c r="FA109" s="331"/>
      <c r="FB109" s="331"/>
      <c r="FC109" s="331"/>
      <c r="FD109" s="331"/>
      <c r="FE109" s="331"/>
      <c r="FF109" s="331"/>
      <c r="FG109" s="331"/>
      <c r="FH109" s="331"/>
      <c r="FI109" s="331"/>
      <c r="FJ109" s="331"/>
      <c r="FK109" s="331"/>
      <c r="FL109" s="331"/>
      <c r="FM109" s="331"/>
      <c r="FN109" s="331"/>
      <c r="FO109" s="331"/>
      <c r="FP109" s="331"/>
      <c r="FQ109" s="331"/>
      <c r="FR109" s="331"/>
      <c r="FS109" s="331"/>
      <c r="FT109" s="331"/>
      <c r="FU109" s="331"/>
      <c r="FV109" s="331"/>
      <c r="FW109" s="331"/>
      <c r="FX109" s="331"/>
      <c r="FY109" s="331"/>
      <c r="FZ109" s="331"/>
      <c r="GA109" s="331"/>
      <c r="GB109" s="331"/>
      <c r="GC109" s="331"/>
      <c r="GD109" s="331"/>
      <c r="GE109" s="331"/>
      <c r="GF109" s="331"/>
      <c r="GG109" s="331"/>
      <c r="GH109" s="331"/>
      <c r="GI109" s="331"/>
      <c r="GJ109" s="331"/>
      <c r="GK109" s="331"/>
    </row>
    <row r="110" spans="1:193" s="272" customFormat="1" ht="16.8" x14ac:dyDescent="0.4">
      <c r="A110" s="44"/>
      <c r="B110" s="271"/>
      <c r="C110" s="271"/>
      <c r="D110" s="271"/>
      <c r="E110" s="271"/>
      <c r="F110" s="271"/>
      <c r="G110" s="271"/>
      <c r="H110" s="271"/>
      <c r="I110" s="271"/>
      <c r="J110" s="271"/>
      <c r="K110" s="271"/>
      <c r="L110" s="1503"/>
      <c r="M110" s="1503"/>
      <c r="N110" s="1503"/>
      <c r="O110" s="1503"/>
      <c r="P110" s="1503"/>
      <c r="Q110" s="1503"/>
      <c r="R110" s="1503"/>
      <c r="S110" s="1503"/>
      <c r="T110" s="1503"/>
      <c r="U110" s="1503"/>
      <c r="V110" s="1503"/>
      <c r="W110" s="1503"/>
      <c r="X110" s="1503"/>
      <c r="Y110" s="1503"/>
      <c r="Z110" s="1503"/>
      <c r="AA110" s="1503"/>
      <c r="AB110" s="1503"/>
      <c r="AC110" s="1503"/>
      <c r="AD110" s="1503"/>
      <c r="AE110" s="1503"/>
      <c r="AF110" s="1503"/>
      <c r="AG110" s="1503"/>
      <c r="AH110" s="1503"/>
      <c r="AI110" s="1503"/>
      <c r="AJ110" s="1503"/>
      <c r="AK110" s="1503"/>
      <c r="AL110" s="1503"/>
      <c r="AM110" s="1503"/>
      <c r="AN110" s="1503"/>
      <c r="AO110" s="1503"/>
      <c r="AP110" s="1503"/>
      <c r="AQ110" s="1503"/>
      <c r="AR110" s="1503"/>
      <c r="AS110" s="1503"/>
      <c r="AT110" s="1503"/>
      <c r="AU110" s="1503"/>
      <c r="AV110" s="1503"/>
      <c r="AW110" s="1503"/>
      <c r="AX110" s="1503"/>
      <c r="AY110" s="1503"/>
      <c r="AZ110" s="1503"/>
      <c r="BA110" s="1503"/>
      <c r="BB110" s="1503"/>
      <c r="BC110" s="1503"/>
      <c r="BD110" s="1503"/>
      <c r="BE110" s="341">
        <f>IF(holding&gt;15,1,0)</f>
        <v>0</v>
      </c>
      <c r="BI110" s="358"/>
      <c r="BK110" s="331"/>
      <c r="BL110" s="331"/>
      <c r="BM110" s="331"/>
      <c r="BN110" s="331"/>
      <c r="BO110" s="331"/>
      <c r="BP110" s="331"/>
      <c r="BQ110" s="331"/>
      <c r="BR110" s="331"/>
      <c r="BS110" s="331"/>
      <c r="BT110" s="331"/>
      <c r="BU110" s="331"/>
      <c r="BV110" s="331"/>
      <c r="BW110" s="331"/>
      <c r="BX110" s="331"/>
      <c r="BY110" s="331"/>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row>
    <row r="111" spans="1:193" s="272" customFormat="1" ht="16.8" x14ac:dyDescent="0.4">
      <c r="A111" s="160"/>
      <c r="B111" s="44" t="str">
        <f>B72</f>
        <v>Capital Expenditures</v>
      </c>
      <c r="C111" s="44"/>
      <c r="D111" s="44"/>
      <c r="E111" s="44"/>
      <c r="F111" s="44"/>
      <c r="G111" s="44"/>
      <c r="H111" s="44"/>
      <c r="I111" s="44"/>
      <c r="J111" s="44"/>
      <c r="K111" s="44"/>
      <c r="L111" s="2809">
        <f>-FORECASTS!T74</f>
        <v>0</v>
      </c>
      <c r="M111" s="2809"/>
      <c r="N111" s="2809"/>
      <c r="O111" s="2809">
        <f>-FORECASTS!U74</f>
        <v>0</v>
      </c>
      <c r="P111" s="2809"/>
      <c r="Q111" s="2809"/>
      <c r="R111" s="2809">
        <f>-FORECASTS!V74</f>
        <v>0</v>
      </c>
      <c r="S111" s="2809"/>
      <c r="T111" s="2809"/>
      <c r="U111" s="2809">
        <f>-FORECASTS!W74</f>
        <v>0</v>
      </c>
      <c r="V111" s="2809"/>
      <c r="W111" s="2809"/>
      <c r="X111" s="2809">
        <f>-FORECASTS!X74</f>
        <v>0</v>
      </c>
      <c r="Y111" s="2809"/>
      <c r="Z111" s="2809"/>
      <c r="AA111" s="2809">
        <f>-FORECASTS!Y74</f>
        <v>0</v>
      </c>
      <c r="AB111" s="2809"/>
      <c r="AC111" s="2809"/>
      <c r="AD111" s="2809">
        <f>-FORECASTS!Z74</f>
        <v>0</v>
      </c>
      <c r="AE111" s="2809"/>
      <c r="AF111" s="2809"/>
      <c r="AG111" s="2809">
        <f>-FORECASTS!AA74</f>
        <v>0</v>
      </c>
      <c r="AH111" s="2809"/>
      <c r="AI111" s="2809"/>
      <c r="AJ111" s="2809">
        <f>-FORECASTS!AB74</f>
        <v>0</v>
      </c>
      <c r="AK111" s="2809"/>
      <c r="AL111" s="2809"/>
      <c r="AM111" s="2809">
        <f>-FORECASTS!AC74</f>
        <v>0</v>
      </c>
      <c r="AN111" s="2809"/>
      <c r="AO111" s="2809"/>
      <c r="AP111" s="2809">
        <f>-FORECASTS!AD74</f>
        <v>0</v>
      </c>
      <c r="AQ111" s="2809"/>
      <c r="AR111" s="2809"/>
      <c r="AS111" s="2809">
        <f>-FORECASTS!AE74</f>
        <v>0</v>
      </c>
      <c r="AT111" s="2809"/>
      <c r="AU111" s="2809"/>
      <c r="AV111" s="2809">
        <f>-FORECASTS!AF74</f>
        <v>0</v>
      </c>
      <c r="AW111" s="2809"/>
      <c r="AX111" s="2809"/>
      <c r="AY111" s="2809">
        <f>-FORECASTS!AG74</f>
        <v>0</v>
      </c>
      <c r="AZ111" s="2809"/>
      <c r="BA111" s="2809"/>
      <c r="BB111" s="2809">
        <f>-FORECASTS!AH74</f>
        <v>0</v>
      </c>
      <c r="BC111" s="2809"/>
      <c r="BD111" s="2809"/>
      <c r="BE111" s="341">
        <f>IF(SUM(L111:BB111)=0,0,1)</f>
        <v>0</v>
      </c>
      <c r="BI111" s="358"/>
      <c r="BK111" s="331"/>
      <c r="BL111" s="331"/>
      <c r="BM111" s="331"/>
      <c r="BN111" s="331"/>
      <c r="BO111" s="331"/>
      <c r="BP111" s="331"/>
      <c r="BQ111" s="331"/>
      <c r="BR111" s="331"/>
      <c r="BS111" s="331"/>
      <c r="BT111" s="331"/>
      <c r="BU111" s="331"/>
      <c r="BV111" s="331"/>
      <c r="BW111" s="331"/>
      <c r="BX111" s="331"/>
      <c r="BY111" s="331"/>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31"/>
      <c r="DB111" s="331"/>
      <c r="DC111" s="331"/>
      <c r="DD111" s="331"/>
      <c r="DE111" s="331"/>
      <c r="DF111" s="331"/>
      <c r="DG111" s="331"/>
      <c r="DH111" s="331"/>
      <c r="DI111" s="331"/>
      <c r="DJ111" s="331"/>
      <c r="DK111" s="331"/>
      <c r="DL111" s="331"/>
      <c r="DM111" s="331"/>
      <c r="DN111" s="331"/>
      <c r="DO111" s="331"/>
      <c r="DP111" s="331"/>
      <c r="DQ111" s="331"/>
      <c r="DR111" s="331"/>
      <c r="DS111" s="331"/>
      <c r="DT111" s="331"/>
      <c r="DU111" s="331"/>
      <c r="DV111" s="331"/>
      <c r="DW111" s="331"/>
      <c r="DX111" s="331"/>
      <c r="DY111" s="331"/>
      <c r="DZ111" s="331"/>
      <c r="EA111" s="331"/>
      <c r="EB111" s="331"/>
      <c r="EC111" s="331"/>
      <c r="ED111" s="331"/>
      <c r="EE111" s="331"/>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row>
    <row r="112" spans="1:193" s="272" customFormat="1" ht="16.8" hidden="1" x14ac:dyDescent="0.4">
      <c r="A112" s="160"/>
      <c r="B112" s="54" t="str">
        <f>B73</f>
        <v>Non Op. Expense 1</v>
      </c>
      <c r="C112" s="54"/>
      <c r="D112" s="54"/>
      <c r="E112" s="54"/>
      <c r="F112" s="54"/>
      <c r="G112" s="54"/>
      <c r="H112" s="54"/>
      <c r="I112" s="54"/>
      <c r="J112" s="54"/>
      <c r="K112" s="54"/>
      <c r="L112" s="2809">
        <f>IF(L$81&lt;=holding,-FORECASTS!T76,0)</f>
        <v>0</v>
      </c>
      <c r="M112" s="2809"/>
      <c r="N112" s="2809"/>
      <c r="O112" s="2809">
        <f>IF(O$81&lt;=holding,-FORECASTS!U76,0)</f>
        <v>0</v>
      </c>
      <c r="P112" s="2809"/>
      <c r="Q112" s="2809"/>
      <c r="R112" s="2809">
        <f>IF(R$81&lt;=holding,-FORECASTS!V76,0)</f>
        <v>0</v>
      </c>
      <c r="S112" s="2809"/>
      <c r="T112" s="2809"/>
      <c r="U112" s="2809">
        <f>IF(U$81&lt;=holding,-FORECASTS!W76,0)</f>
        <v>0</v>
      </c>
      <c r="V112" s="2809"/>
      <c r="W112" s="2809"/>
      <c r="X112" s="2809">
        <f>IF(X$81&lt;=holding,-FORECASTS!X76,0)</f>
        <v>0</v>
      </c>
      <c r="Y112" s="2809"/>
      <c r="Z112" s="2809"/>
      <c r="AA112" s="2809">
        <f>IF(AA$81&lt;=holding,-FORECASTS!Y76,0)</f>
        <v>0</v>
      </c>
      <c r="AB112" s="2809"/>
      <c r="AC112" s="2809"/>
      <c r="AD112" s="2809">
        <f>IF(AD$81&lt;=holding,-FORECASTS!Z76,0)</f>
        <v>0</v>
      </c>
      <c r="AE112" s="2809"/>
      <c r="AF112" s="2809"/>
      <c r="AG112" s="2809">
        <f>IF(AG$81&lt;=holding,-FORECASTS!AA76,0)</f>
        <v>0</v>
      </c>
      <c r="AH112" s="2809"/>
      <c r="AI112" s="2809"/>
      <c r="AJ112" s="2809">
        <f>IF(AJ$81&lt;=holding,-FORECASTS!AB76,0)</f>
        <v>0</v>
      </c>
      <c r="AK112" s="2809"/>
      <c r="AL112" s="2809"/>
      <c r="AM112" s="2809">
        <f>IF(AM$81&lt;=holding,-FORECASTS!AC76,0)</f>
        <v>0</v>
      </c>
      <c r="AN112" s="2809"/>
      <c r="AO112" s="2809"/>
      <c r="AP112" s="2809">
        <f>IF(AP$81&lt;=holding,-FORECASTS!AD76,0)</f>
        <v>0</v>
      </c>
      <c r="AQ112" s="2809"/>
      <c r="AR112" s="2809"/>
      <c r="AS112" s="2809">
        <f>IF(AS$81&lt;=holding,-FORECASTS!AE76,0)</f>
        <v>0</v>
      </c>
      <c r="AT112" s="2809"/>
      <c r="AU112" s="2809"/>
      <c r="AV112" s="2809">
        <f>IF(AV$81&lt;=holding,-FORECASTS!AF76,0)</f>
        <v>0</v>
      </c>
      <c r="AW112" s="2809"/>
      <c r="AX112" s="2809"/>
      <c r="AY112" s="2809">
        <f>IF(AY$81&lt;=holding,-FORECASTS!AG76,0)</f>
        <v>0</v>
      </c>
      <c r="AZ112" s="2809"/>
      <c r="BA112" s="2809"/>
      <c r="BB112" s="2809">
        <f>IF(BB$81&lt;=holding,-FORECASTS!AH76,0)</f>
        <v>0</v>
      </c>
      <c r="BC112" s="2809"/>
      <c r="BD112" s="2809"/>
      <c r="BE112" s="794">
        <f>IF(SUM(L112:BB112)=0,0,1)</f>
        <v>0</v>
      </c>
      <c r="BI112" s="358"/>
    </row>
    <row r="113" spans="1:193" s="272" customFormat="1" ht="16.8" hidden="1" x14ac:dyDescent="0.4">
      <c r="A113" s="160"/>
      <c r="B113" s="54" t="str">
        <f>B74</f>
        <v>Non Op. Expense 2</v>
      </c>
      <c r="C113" s="54"/>
      <c r="D113" s="54"/>
      <c r="E113" s="54"/>
      <c r="F113" s="54"/>
      <c r="G113" s="54"/>
      <c r="H113" s="54"/>
      <c r="I113" s="54"/>
      <c r="J113" s="54"/>
      <c r="K113" s="54"/>
      <c r="L113" s="2809">
        <f>IF(L$81&lt;=holding,-FORECASTS!T77,0)</f>
        <v>0</v>
      </c>
      <c r="M113" s="2809"/>
      <c r="N113" s="2809"/>
      <c r="O113" s="2809">
        <f>IF(O$81&lt;=holding,-FORECASTS!U77,0)</f>
        <v>0</v>
      </c>
      <c r="P113" s="2809"/>
      <c r="Q113" s="2809"/>
      <c r="R113" s="2809">
        <f>IF(R$81&lt;=holding,-FORECASTS!V77,0)</f>
        <v>0</v>
      </c>
      <c r="S113" s="2809"/>
      <c r="T113" s="2809"/>
      <c r="U113" s="2809">
        <f>IF(U$81&lt;=holding,-FORECASTS!W77,0)</f>
        <v>0</v>
      </c>
      <c r="V113" s="2809"/>
      <c r="W113" s="2809"/>
      <c r="X113" s="2809">
        <f>IF(X$81&lt;=holding,-FORECASTS!X77,0)</f>
        <v>0</v>
      </c>
      <c r="Y113" s="2809"/>
      <c r="Z113" s="2809"/>
      <c r="AA113" s="2809">
        <f>IF(AA$81&lt;=holding,-FORECASTS!Y77,0)</f>
        <v>0</v>
      </c>
      <c r="AB113" s="2809"/>
      <c r="AC113" s="2809"/>
      <c r="AD113" s="2809">
        <f>IF(AD$81&lt;=holding,-FORECASTS!Z77,0)</f>
        <v>0</v>
      </c>
      <c r="AE113" s="2809"/>
      <c r="AF113" s="2809"/>
      <c r="AG113" s="2809">
        <f>IF(AG$81&lt;=holding,-FORECASTS!AA77,0)</f>
        <v>0</v>
      </c>
      <c r="AH113" s="2809"/>
      <c r="AI113" s="2809"/>
      <c r="AJ113" s="2809">
        <f>IF(AJ$81&lt;=holding,-FORECASTS!AB77,0)</f>
        <v>0</v>
      </c>
      <c r="AK113" s="2809"/>
      <c r="AL113" s="2809"/>
      <c r="AM113" s="2809">
        <f>IF(AM$81&lt;=holding,-FORECASTS!AC77,0)</f>
        <v>0</v>
      </c>
      <c r="AN113" s="2809"/>
      <c r="AO113" s="2809"/>
      <c r="AP113" s="2809">
        <f>IF(AP$81&lt;=holding,-FORECASTS!AD77,0)</f>
        <v>0</v>
      </c>
      <c r="AQ113" s="2809"/>
      <c r="AR113" s="2809"/>
      <c r="AS113" s="2809">
        <f>IF(AS$81&lt;=holding,-FORECASTS!AE77,0)</f>
        <v>0</v>
      </c>
      <c r="AT113" s="2809"/>
      <c r="AU113" s="2809"/>
      <c r="AV113" s="2809">
        <f>IF(AV$81&lt;=holding,-FORECASTS!AF77,0)</f>
        <v>0</v>
      </c>
      <c r="AW113" s="2809"/>
      <c r="AX113" s="2809"/>
      <c r="AY113" s="2809">
        <f>IF(AY$81&lt;=holding,-FORECASTS!AG77,0)</f>
        <v>0</v>
      </c>
      <c r="AZ113" s="2809"/>
      <c r="BA113" s="2809"/>
      <c r="BB113" s="2809">
        <f>IF(BB$81&lt;=holding,-FORECASTS!AH77,0)</f>
        <v>0</v>
      </c>
      <c r="BC113" s="2809"/>
      <c r="BD113" s="2809"/>
      <c r="BE113" s="794">
        <f>IF(SUM(L113:BB113)=0,0,1)</f>
        <v>0</v>
      </c>
      <c r="BI113" s="358"/>
    </row>
    <row r="114" spans="1:193" s="272" customFormat="1" ht="16.8" x14ac:dyDescent="0.4">
      <c r="A114" s="44"/>
      <c r="B114" s="271"/>
      <c r="C114" s="271"/>
      <c r="D114" s="271"/>
      <c r="E114" s="271"/>
      <c r="F114" s="271"/>
      <c r="G114" s="271"/>
      <c r="H114" s="271"/>
      <c r="I114" s="271"/>
      <c r="J114" s="271"/>
      <c r="K114" s="271"/>
      <c r="L114" s="1503"/>
      <c r="M114" s="1503"/>
      <c r="N114" s="1503"/>
      <c r="O114" s="1503"/>
      <c r="P114" s="1503"/>
      <c r="Q114" s="1503"/>
      <c r="R114" s="1503"/>
      <c r="S114" s="1503"/>
      <c r="T114" s="1503"/>
      <c r="U114" s="1503"/>
      <c r="V114" s="1503"/>
      <c r="W114" s="1503"/>
      <c r="X114" s="1503"/>
      <c r="Y114" s="1503"/>
      <c r="Z114" s="1503"/>
      <c r="AA114" s="1503"/>
      <c r="AB114" s="1503"/>
      <c r="AC114" s="1503"/>
      <c r="AD114" s="1503"/>
      <c r="AE114" s="1503"/>
      <c r="AF114" s="1503"/>
      <c r="AG114" s="1503"/>
      <c r="AH114" s="1503"/>
      <c r="AI114" s="1503"/>
      <c r="AJ114" s="1503"/>
      <c r="AK114" s="1503"/>
      <c r="AL114" s="1503"/>
      <c r="AM114" s="1503"/>
      <c r="AN114" s="1503"/>
      <c r="AO114" s="1503"/>
      <c r="AP114" s="1503"/>
      <c r="AQ114" s="1503"/>
      <c r="AR114" s="1503"/>
      <c r="AS114" s="1503"/>
      <c r="AT114" s="1503"/>
      <c r="AU114" s="1503"/>
      <c r="AV114" s="1503"/>
      <c r="AW114" s="1503"/>
      <c r="AX114" s="1503"/>
      <c r="AY114" s="1503"/>
      <c r="AZ114" s="1503"/>
      <c r="BA114" s="1503"/>
      <c r="BB114" s="1503"/>
      <c r="BC114" s="1503"/>
      <c r="BD114" s="1503"/>
      <c r="BE114" s="341">
        <f>IF(holding&gt;15,1,0)</f>
        <v>0</v>
      </c>
      <c r="BI114" s="358"/>
      <c r="BK114" s="331"/>
      <c r="BL114" s="331"/>
      <c r="BM114" s="331"/>
      <c r="BN114" s="331"/>
      <c r="BO114" s="331"/>
      <c r="BP114" s="331"/>
      <c r="BQ114" s="331"/>
      <c r="BR114" s="331"/>
      <c r="BS114" s="331"/>
      <c r="BT114" s="331"/>
      <c r="BU114" s="331"/>
      <c r="BV114" s="331"/>
      <c r="BW114" s="331"/>
      <c r="BX114" s="331"/>
      <c r="BY114" s="331"/>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31"/>
      <c r="FQ114" s="331"/>
      <c r="FR114" s="331"/>
      <c r="FS114" s="331"/>
      <c r="FT114" s="331"/>
      <c r="FU114" s="331"/>
      <c r="FV114" s="331"/>
      <c r="FW114" s="331"/>
      <c r="FX114" s="331"/>
      <c r="FY114" s="331"/>
      <c r="FZ114" s="331"/>
      <c r="GA114" s="331"/>
      <c r="GB114" s="331"/>
      <c r="GC114" s="331"/>
      <c r="GD114" s="331"/>
      <c r="GE114" s="331"/>
      <c r="GF114" s="331"/>
      <c r="GG114" s="331"/>
      <c r="GH114" s="331"/>
      <c r="GI114" s="331"/>
      <c r="GJ114" s="331"/>
      <c r="GK114" s="331"/>
    </row>
    <row r="115" spans="1:193" s="272" customFormat="1" ht="14.4" x14ac:dyDescent="0.3">
      <c r="A115" s="166"/>
      <c r="B115" s="46" t="s">
        <v>189</v>
      </c>
      <c r="C115" s="46"/>
      <c r="D115" s="46"/>
      <c r="E115" s="46"/>
      <c r="F115" s="46"/>
      <c r="G115" s="46"/>
      <c r="H115" s="46"/>
      <c r="I115" s="46"/>
      <c r="J115" s="46"/>
      <c r="K115" s="46"/>
      <c r="L115" s="2816">
        <f>L109+L111+L112+L113</f>
        <v>0</v>
      </c>
      <c r="M115" s="2816"/>
      <c r="N115" s="2816"/>
      <c r="O115" s="2816">
        <f>O109+O111+O112+O113</f>
        <v>0</v>
      </c>
      <c r="P115" s="2816"/>
      <c r="Q115" s="2816"/>
      <c r="R115" s="2816">
        <f>R109+R111+R112+R113</f>
        <v>0</v>
      </c>
      <c r="S115" s="2816"/>
      <c r="T115" s="2816"/>
      <c r="U115" s="2816">
        <f>U109+U111+U112+U113</f>
        <v>0</v>
      </c>
      <c r="V115" s="2816"/>
      <c r="W115" s="2816"/>
      <c r="X115" s="2816">
        <f>X109+X111+X112+X113</f>
        <v>0</v>
      </c>
      <c r="Y115" s="2816"/>
      <c r="Z115" s="2816"/>
      <c r="AA115" s="2816">
        <f>AA109+AA111+AA112+AA113</f>
        <v>0</v>
      </c>
      <c r="AB115" s="2816"/>
      <c r="AC115" s="2816"/>
      <c r="AD115" s="2816">
        <f>AD109+AD111+AD112+AD113</f>
        <v>0</v>
      </c>
      <c r="AE115" s="2816"/>
      <c r="AF115" s="2816"/>
      <c r="AG115" s="2816">
        <f>AG109+AG111+AG112+AG113</f>
        <v>0</v>
      </c>
      <c r="AH115" s="2816"/>
      <c r="AI115" s="2816"/>
      <c r="AJ115" s="2816">
        <f>AJ109+AJ111+AJ112+AJ113</f>
        <v>0</v>
      </c>
      <c r="AK115" s="2816"/>
      <c r="AL115" s="2816"/>
      <c r="AM115" s="2816">
        <f>AM109+AM111+AM112+AM113</f>
        <v>0</v>
      </c>
      <c r="AN115" s="2816"/>
      <c r="AO115" s="2816"/>
      <c r="AP115" s="2816">
        <f>AP109+AP111+AP112+AP113</f>
        <v>0</v>
      </c>
      <c r="AQ115" s="2816"/>
      <c r="AR115" s="2816"/>
      <c r="AS115" s="2816">
        <f>AS109+AS111+AS112+AS113</f>
        <v>0</v>
      </c>
      <c r="AT115" s="2816"/>
      <c r="AU115" s="2816"/>
      <c r="AV115" s="2816">
        <f>AV109+AV111+AV112+AV113</f>
        <v>0</v>
      </c>
      <c r="AW115" s="2816"/>
      <c r="AX115" s="2816"/>
      <c r="AY115" s="2816">
        <f>AY109+AY111+AY112+AY113</f>
        <v>0</v>
      </c>
      <c r="AZ115" s="2816"/>
      <c r="BA115" s="2816"/>
      <c r="BB115" s="2816">
        <f>BB109+BB111+BB112+BB113</f>
        <v>0</v>
      </c>
      <c r="BC115" s="2816"/>
      <c r="BD115" s="2816"/>
      <c r="BE115" s="341">
        <f>IF(SUM(L115:BB115)=0,0,1)</f>
        <v>0</v>
      </c>
      <c r="BK115" s="331"/>
      <c r="BL115" s="331"/>
      <c r="BM115" s="331"/>
      <c r="BN115" s="331"/>
      <c r="BO115" s="331"/>
      <c r="BP115" s="331"/>
      <c r="BQ115" s="331"/>
      <c r="BR115" s="331"/>
      <c r="BS115" s="331"/>
      <c r="BT115" s="331"/>
      <c r="BU115" s="331"/>
      <c r="BV115" s="331"/>
      <c r="BW115" s="331"/>
      <c r="BX115" s="331"/>
      <c r="BY115" s="331"/>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row>
    <row r="116" spans="1:193" s="272" customFormat="1" ht="14.4" x14ac:dyDescent="0.3">
      <c r="A116" s="168"/>
      <c r="B116" s="460" t="str">
        <f>"% of "&amp;B83</f>
        <v>% of Gross Rental Income</v>
      </c>
      <c r="C116" s="460"/>
      <c r="D116" s="460"/>
      <c r="E116" s="460"/>
      <c r="F116" s="460"/>
      <c r="G116" s="460"/>
      <c r="H116" s="460"/>
      <c r="I116" s="460"/>
      <c r="J116" s="460"/>
      <c r="K116" s="460"/>
      <c r="L116" s="2834">
        <f>IFERROR(L115/L83,0)</f>
        <v>0</v>
      </c>
      <c r="M116" s="2834"/>
      <c r="N116" s="2834"/>
      <c r="O116" s="2834">
        <f>IFERROR(O115/O83,0)</f>
        <v>0</v>
      </c>
      <c r="P116" s="2834"/>
      <c r="Q116" s="2834"/>
      <c r="R116" s="2834">
        <f>IFERROR(R115/R83,0)</f>
        <v>0</v>
      </c>
      <c r="S116" s="2834"/>
      <c r="T116" s="2834"/>
      <c r="U116" s="2834">
        <f>IFERROR(U115/U83,0)</f>
        <v>0</v>
      </c>
      <c r="V116" s="2834"/>
      <c r="W116" s="2834"/>
      <c r="X116" s="2834">
        <f>IFERROR(X115/X83,0)</f>
        <v>0</v>
      </c>
      <c r="Y116" s="2834"/>
      <c r="Z116" s="2834"/>
      <c r="AA116" s="2834">
        <f>IFERROR(AA115/AA83,0)</f>
        <v>0</v>
      </c>
      <c r="AB116" s="2834"/>
      <c r="AC116" s="2834"/>
      <c r="AD116" s="2834">
        <f>IFERROR(AD115/AD83,0)</f>
        <v>0</v>
      </c>
      <c r="AE116" s="2834"/>
      <c r="AF116" s="2834"/>
      <c r="AG116" s="2834">
        <f>IFERROR(AG115/AG83,0)</f>
        <v>0</v>
      </c>
      <c r="AH116" s="2834"/>
      <c r="AI116" s="2834"/>
      <c r="AJ116" s="2834">
        <f>IFERROR(AJ115/AJ83,0)</f>
        <v>0</v>
      </c>
      <c r="AK116" s="2834"/>
      <c r="AL116" s="2834"/>
      <c r="AM116" s="2834">
        <f>IFERROR(AM115/AM83,0)</f>
        <v>0</v>
      </c>
      <c r="AN116" s="2834"/>
      <c r="AO116" s="2834"/>
      <c r="AP116" s="2834">
        <f>IFERROR(AP115/AP83,0)</f>
        <v>0</v>
      </c>
      <c r="AQ116" s="2834"/>
      <c r="AR116" s="2834"/>
      <c r="AS116" s="2834">
        <f>IFERROR(AS115/AS83,0)</f>
        <v>0</v>
      </c>
      <c r="AT116" s="2834"/>
      <c r="AU116" s="2834"/>
      <c r="AV116" s="2834">
        <f>IFERROR(AV115/AV83,0)</f>
        <v>0</v>
      </c>
      <c r="AW116" s="2834"/>
      <c r="AX116" s="2834"/>
      <c r="AY116" s="2834">
        <f>IFERROR(AY115/AY83,0)</f>
        <v>0</v>
      </c>
      <c r="AZ116" s="2834"/>
      <c r="BA116" s="2834"/>
      <c r="BB116" s="2834">
        <f>IFERROR(BB115/BB83,0)</f>
        <v>0</v>
      </c>
      <c r="BC116" s="2834"/>
      <c r="BD116" s="2834"/>
      <c r="BE116" s="341">
        <f>IF(SUM(L116:BB116)=0,0,1)</f>
        <v>0</v>
      </c>
      <c r="BK116" s="331"/>
      <c r="BL116" s="331"/>
      <c r="BM116" s="331"/>
      <c r="BN116" s="331"/>
      <c r="BO116" s="331"/>
      <c r="BP116" s="331"/>
      <c r="BQ116" s="331"/>
      <c r="BR116" s="331"/>
      <c r="BS116" s="331"/>
      <c r="BT116" s="331"/>
      <c r="BU116" s="331"/>
      <c r="BV116" s="331"/>
      <c r="BW116" s="331"/>
      <c r="BX116" s="331"/>
      <c r="BY116" s="331"/>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row>
    <row r="117" spans="1:193" s="272" customFormat="1" ht="14.4" x14ac:dyDescent="0.3">
      <c r="A117" s="168"/>
      <c r="B117" s="460" t="str">
        <f>"% of "&amp;B87</f>
        <v>% of Net Rental Income</v>
      </c>
      <c r="C117" s="460"/>
      <c r="D117" s="460"/>
      <c r="E117" s="460"/>
      <c r="F117" s="460"/>
      <c r="G117" s="460"/>
      <c r="H117" s="460"/>
      <c r="I117" s="460"/>
      <c r="J117" s="460"/>
      <c r="K117" s="460"/>
      <c r="L117" s="2834">
        <f>IFERROR(L115/L87,0)</f>
        <v>0</v>
      </c>
      <c r="M117" s="2834"/>
      <c r="N117" s="2834"/>
      <c r="O117" s="2834">
        <f>IFERROR(O115/O87,0)</f>
        <v>0</v>
      </c>
      <c r="P117" s="2834"/>
      <c r="Q117" s="2834"/>
      <c r="R117" s="2834">
        <f>IFERROR(R115/R87,0)</f>
        <v>0</v>
      </c>
      <c r="S117" s="2834"/>
      <c r="T117" s="2834"/>
      <c r="U117" s="2834">
        <f>IFERROR(U115/U87,0)</f>
        <v>0</v>
      </c>
      <c r="V117" s="2834"/>
      <c r="W117" s="2834"/>
      <c r="X117" s="2834">
        <f>IFERROR(X115/X87,0)</f>
        <v>0</v>
      </c>
      <c r="Y117" s="2834"/>
      <c r="Z117" s="2834"/>
      <c r="AA117" s="2834">
        <f>IFERROR(AA115/AA87,0)</f>
        <v>0</v>
      </c>
      <c r="AB117" s="2834"/>
      <c r="AC117" s="2834"/>
      <c r="AD117" s="2834">
        <f>IFERROR(AD115/AD87,0)</f>
        <v>0</v>
      </c>
      <c r="AE117" s="2834"/>
      <c r="AF117" s="2834"/>
      <c r="AG117" s="2834">
        <f>IFERROR(AG115/AG87,0)</f>
        <v>0</v>
      </c>
      <c r="AH117" s="2834"/>
      <c r="AI117" s="2834"/>
      <c r="AJ117" s="2834">
        <f>IFERROR(AJ115/AJ87,0)</f>
        <v>0</v>
      </c>
      <c r="AK117" s="2834"/>
      <c r="AL117" s="2834"/>
      <c r="AM117" s="2834">
        <f>IFERROR(AM115/AM87,0)</f>
        <v>0</v>
      </c>
      <c r="AN117" s="2834"/>
      <c r="AO117" s="2834"/>
      <c r="AP117" s="2834">
        <f>IFERROR(AP115/AP87,0)</f>
        <v>0</v>
      </c>
      <c r="AQ117" s="2834"/>
      <c r="AR117" s="2834"/>
      <c r="AS117" s="2834">
        <f>IFERROR(AS115/AS87,0)</f>
        <v>0</v>
      </c>
      <c r="AT117" s="2834"/>
      <c r="AU117" s="2834"/>
      <c r="AV117" s="2834">
        <f>IFERROR(AV115/AV87,0)</f>
        <v>0</v>
      </c>
      <c r="AW117" s="2834"/>
      <c r="AX117" s="2834"/>
      <c r="AY117" s="2834">
        <f>IFERROR(AY115/AY87,0)</f>
        <v>0</v>
      </c>
      <c r="AZ117" s="2834"/>
      <c r="BA117" s="2834"/>
      <c r="BB117" s="2834">
        <f>IFERROR(BB115/BB87,0)</f>
        <v>0</v>
      </c>
      <c r="BC117" s="2834"/>
      <c r="BD117" s="2834"/>
      <c r="BE117" s="341">
        <f>IF(SUM(L117:BB117)=0,0,1)</f>
        <v>0</v>
      </c>
      <c r="BK117" s="331"/>
      <c r="BL117" s="331"/>
      <c r="BM117" s="331"/>
      <c r="BN117" s="331"/>
      <c r="BO117" s="331"/>
      <c r="BP117" s="331"/>
      <c r="BQ117" s="331"/>
      <c r="BR117" s="331"/>
      <c r="BS117" s="331"/>
      <c r="BT117" s="331"/>
      <c r="BU117" s="331"/>
      <c r="BV117" s="331"/>
      <c r="BW117" s="331"/>
      <c r="BX117" s="331"/>
      <c r="BY117" s="331"/>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31"/>
      <c r="FQ117" s="331"/>
      <c r="FR117" s="331"/>
      <c r="FS117" s="331"/>
      <c r="FT117" s="331"/>
      <c r="FU117" s="331"/>
      <c r="FV117" s="331"/>
      <c r="FW117" s="331"/>
      <c r="FX117" s="331"/>
      <c r="FY117" s="331"/>
      <c r="FZ117" s="331"/>
      <c r="GA117" s="331"/>
      <c r="GB117" s="331"/>
      <c r="GC117" s="331"/>
      <c r="GD117" s="331"/>
      <c r="GE117" s="331"/>
      <c r="GF117" s="331"/>
      <c r="GG117" s="331"/>
      <c r="GH117" s="331"/>
      <c r="GI117" s="331"/>
      <c r="GJ117" s="331"/>
      <c r="GK117" s="331"/>
    </row>
    <row r="118" spans="1:193" ht="13.8" x14ac:dyDescent="0.25">
      <c r="A118" s="168"/>
      <c r="B118" s="168"/>
      <c r="C118" s="168"/>
      <c r="D118" s="168"/>
      <c r="E118" s="168"/>
      <c r="F118" s="168"/>
      <c r="G118" s="168"/>
      <c r="H118" s="168"/>
      <c r="I118" s="168"/>
      <c r="J118" s="168"/>
      <c r="K118" s="168"/>
      <c r="L118" s="457"/>
      <c r="M118" s="457"/>
      <c r="N118" s="457"/>
      <c r="O118" s="457"/>
      <c r="P118" s="457"/>
      <c r="Q118" s="457"/>
      <c r="R118" s="457"/>
      <c r="S118" s="457"/>
      <c r="T118" s="457"/>
      <c r="U118" s="457"/>
      <c r="V118" s="457"/>
      <c r="W118" s="457"/>
      <c r="X118" s="457"/>
      <c r="Y118" s="457"/>
      <c r="Z118" s="457"/>
      <c r="AA118" s="457"/>
      <c r="AB118" s="457"/>
      <c r="AC118" s="457"/>
      <c r="AD118" s="457"/>
      <c r="AE118" s="457"/>
      <c r="AF118" s="457"/>
      <c r="AG118" s="457"/>
      <c r="AH118" s="457"/>
      <c r="AI118" s="457"/>
      <c r="AJ118" s="457"/>
      <c r="AK118" s="457"/>
      <c r="AL118" s="457"/>
      <c r="AM118" s="457"/>
      <c r="AN118" s="457"/>
      <c r="AO118" s="457"/>
      <c r="AP118" s="457"/>
      <c r="AQ118" s="457"/>
      <c r="AR118" s="457"/>
      <c r="AS118" s="457"/>
      <c r="AT118" s="457"/>
      <c r="AU118" s="457"/>
      <c r="AV118" s="457"/>
      <c r="AW118" s="457"/>
      <c r="AX118" s="457"/>
      <c r="AY118" s="457"/>
      <c r="AZ118" s="457"/>
      <c r="BA118" s="457"/>
      <c r="BB118" s="457"/>
      <c r="BC118" s="457"/>
      <c r="BD118" s="457"/>
      <c r="BE118" s="341">
        <f>IF(holding&gt;15,1,0)</f>
        <v>0</v>
      </c>
    </row>
    <row r="119" spans="1:193" s="353" customFormat="1" ht="15" customHeight="1" x14ac:dyDescent="0.25">
      <c r="A119" s="173" t="str">
        <f>DISCLAIMER!$A$35</f>
        <v>© 2025 by WinsWithMike.com or Michael Forsberg Nampa, Idaho. All rights reserved</v>
      </c>
      <c r="B119" s="174"/>
      <c r="C119" s="174"/>
      <c r="D119" s="174"/>
      <c r="E119" s="174"/>
      <c r="F119" s="174"/>
      <c r="G119" s="174"/>
      <c r="H119" s="174"/>
      <c r="I119" s="174"/>
      <c r="J119" s="174"/>
      <c r="K119" s="174"/>
      <c r="L119" s="174"/>
      <c r="M119" s="174"/>
      <c r="N119" s="174"/>
      <c r="O119" s="174"/>
      <c r="P119" s="174"/>
      <c r="Q119" s="174"/>
      <c r="R119" s="174"/>
      <c r="S119" s="174"/>
      <c r="T119" s="174"/>
      <c r="U119" s="174"/>
      <c r="V119" s="174"/>
      <c r="W119" s="174"/>
      <c r="X119" s="174"/>
      <c r="Y119" s="174"/>
      <c r="Z119" s="174"/>
      <c r="AA119" s="174"/>
      <c r="AB119" s="174"/>
      <c r="AC119" s="174"/>
      <c r="AD119" s="174"/>
      <c r="AE119" s="174"/>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191"/>
      <c r="BK119" s="331"/>
      <c r="BL119" s="331"/>
      <c r="BM119" s="331"/>
      <c r="BN119" s="331"/>
      <c r="BO119" s="331"/>
      <c r="BP119" s="331"/>
      <c r="BQ119" s="331"/>
      <c r="BR119" s="331"/>
      <c r="BS119" s="331"/>
      <c r="BT119" s="331"/>
      <c r="BU119" s="331"/>
      <c r="BV119" s="331"/>
      <c r="BW119" s="331"/>
      <c r="BX119" s="331"/>
      <c r="BY119" s="331"/>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row>
  </sheetData>
  <sheetProtection sheet="1" objects="1" scenarios="1" selectLockedCells="1"/>
  <autoFilter ref="B42:BE117" xr:uid="{85E0B1D7-D3AC-4254-A6EC-55D92DBFC5D4}">
    <filterColumn colId="55">
      <customFilters>
        <customFilter operator="greaterThan" val="0"/>
      </customFilters>
    </filterColumn>
  </autoFilter>
  <sortState xmlns:xlrd2="http://schemas.microsoft.com/office/spreadsheetml/2017/richdata2" ref="B13:X31">
    <sortCondition descending="1" ref="I13:I31"/>
  </sortState>
  <mergeCells count="1108">
    <mergeCell ref="AY115:BA115"/>
    <mergeCell ref="AY117:BA117"/>
    <mergeCell ref="AY116:BA116"/>
    <mergeCell ref="AS115:AU115"/>
    <mergeCell ref="AS117:AU117"/>
    <mergeCell ref="AS116:AU116"/>
    <mergeCell ref="AM115:AO115"/>
    <mergeCell ref="AM117:AO117"/>
    <mergeCell ref="AM116:AO116"/>
    <mergeCell ref="AJ115:AL115"/>
    <mergeCell ref="AD40:AF40"/>
    <mergeCell ref="AG43:AI43"/>
    <mergeCell ref="AD43:AF43"/>
    <mergeCell ref="AG45:AI45"/>
    <mergeCell ref="AD45:AF45"/>
    <mergeCell ref="BB59:BD59"/>
    <mergeCell ref="BB58:BD58"/>
    <mergeCell ref="AV59:AX59"/>
    <mergeCell ref="AV58:AX58"/>
    <mergeCell ref="AP59:AR59"/>
    <mergeCell ref="AP58:AR58"/>
    <mergeCell ref="AD81:AF81"/>
    <mergeCell ref="AD96:AF96"/>
    <mergeCell ref="AG46:AI46"/>
    <mergeCell ref="AG47:AI47"/>
    <mergeCell ref="AG48:AI48"/>
    <mergeCell ref="AG50:AI50"/>
    <mergeCell ref="AG51:AI51"/>
    <mergeCell ref="AG52:AI52"/>
    <mergeCell ref="AG53:AI53"/>
    <mergeCell ref="AG54:AI54"/>
    <mergeCell ref="AG55:AI55"/>
    <mergeCell ref="AA63:AC63"/>
    <mergeCell ref="AV98:AX98"/>
    <mergeCell ref="AV97:AX97"/>
    <mergeCell ref="AD98:AF98"/>
    <mergeCell ref="AD97:AF97"/>
    <mergeCell ref="AA98:AC98"/>
    <mergeCell ref="AA97:AC97"/>
    <mergeCell ref="B40:F40"/>
    <mergeCell ref="I27:N27"/>
    <mergeCell ref="I28:N28"/>
    <mergeCell ref="I29:N29"/>
    <mergeCell ref="I30:N30"/>
    <mergeCell ref="I31:N31"/>
    <mergeCell ref="I32:N32"/>
    <mergeCell ref="I33:N33"/>
    <mergeCell ref="I34:N34"/>
    <mergeCell ref="I35:N35"/>
    <mergeCell ref="I36:N36"/>
    <mergeCell ref="L40:N40"/>
    <mergeCell ref="O27:T27"/>
    <mergeCell ref="O28:T28"/>
    <mergeCell ref="O32:T32"/>
    <mergeCell ref="O33:T33"/>
    <mergeCell ref="O34:T34"/>
    <mergeCell ref="O35:T35"/>
    <mergeCell ref="U36:Z36"/>
    <mergeCell ref="U40:W40"/>
    <mergeCell ref="U43:W43"/>
    <mergeCell ref="U45:W45"/>
    <mergeCell ref="U46:W46"/>
    <mergeCell ref="U31:Z31"/>
    <mergeCell ref="U32:Z32"/>
    <mergeCell ref="I15:N15"/>
    <mergeCell ref="I16:N16"/>
    <mergeCell ref="I17:N17"/>
    <mergeCell ref="I18:N18"/>
    <mergeCell ref="I19:N19"/>
    <mergeCell ref="I20:N20"/>
    <mergeCell ref="I21:N21"/>
    <mergeCell ref="I22:N22"/>
    <mergeCell ref="I23:N23"/>
    <mergeCell ref="I24:N24"/>
    <mergeCell ref="I25:N25"/>
    <mergeCell ref="I14:N14"/>
    <mergeCell ref="I26:N26"/>
    <mergeCell ref="B17:G17"/>
    <mergeCell ref="B21:G21"/>
    <mergeCell ref="B22:G22"/>
    <mergeCell ref="B23:G23"/>
    <mergeCell ref="B12:H12"/>
    <mergeCell ref="B34:G34"/>
    <mergeCell ref="B35:G35"/>
    <mergeCell ref="B7:F7"/>
    <mergeCell ref="B8:F8"/>
    <mergeCell ref="O29:T29"/>
    <mergeCell ref="O30:T30"/>
    <mergeCell ref="O31:T31"/>
    <mergeCell ref="B81:F81"/>
    <mergeCell ref="L50:N50"/>
    <mergeCell ref="L51:N51"/>
    <mergeCell ref="L52:N52"/>
    <mergeCell ref="L53:N53"/>
    <mergeCell ref="L54:N54"/>
    <mergeCell ref="L55:N55"/>
    <mergeCell ref="L56:N56"/>
    <mergeCell ref="BA5:BD5"/>
    <mergeCell ref="B30:G30"/>
    <mergeCell ref="B31:G31"/>
    <mergeCell ref="B24:G24"/>
    <mergeCell ref="B25:G25"/>
    <mergeCell ref="B26:G26"/>
    <mergeCell ref="B27:G27"/>
    <mergeCell ref="B28:G28"/>
    <mergeCell ref="B29:G29"/>
    <mergeCell ref="B18:G18"/>
    <mergeCell ref="B19:G19"/>
    <mergeCell ref="B20:G20"/>
    <mergeCell ref="B13:G13"/>
    <mergeCell ref="B14:G14"/>
    <mergeCell ref="B15:G15"/>
    <mergeCell ref="B16:G16"/>
    <mergeCell ref="U25:Z25"/>
    <mergeCell ref="U26:Z26"/>
    <mergeCell ref="U27:Z27"/>
    <mergeCell ref="U28:Z28"/>
    <mergeCell ref="U29:Z29"/>
    <mergeCell ref="U30:Z30"/>
    <mergeCell ref="I12:N12"/>
    <mergeCell ref="I13:N13"/>
    <mergeCell ref="L43:N43"/>
    <mergeCell ref="L45:N45"/>
    <mergeCell ref="L46:N46"/>
    <mergeCell ref="L47:N47"/>
    <mergeCell ref="L48:N48"/>
    <mergeCell ref="L115:N115"/>
    <mergeCell ref="L87:N87"/>
    <mergeCell ref="L81:N81"/>
    <mergeCell ref="L83:N83"/>
    <mergeCell ref="L84:N84"/>
    <mergeCell ref="L85:N85"/>
    <mergeCell ref="L86:N86"/>
    <mergeCell ref="L72:N72"/>
    <mergeCell ref="L76:N76"/>
    <mergeCell ref="L89:N89"/>
    <mergeCell ref="L90:N90"/>
    <mergeCell ref="L91:N91"/>
    <mergeCell ref="L92:N92"/>
    <mergeCell ref="L112:N112"/>
    <mergeCell ref="L113:N113"/>
    <mergeCell ref="L107:N107"/>
    <mergeCell ref="L108:N108"/>
    <mergeCell ref="O50:Q50"/>
    <mergeCell ref="O47:Q47"/>
    <mergeCell ref="L117:N117"/>
    <mergeCell ref="O12:T12"/>
    <mergeCell ref="O13:T13"/>
    <mergeCell ref="O14:T14"/>
    <mergeCell ref="O15:T15"/>
    <mergeCell ref="O16:T16"/>
    <mergeCell ref="O17:T17"/>
    <mergeCell ref="O18:T18"/>
    <mergeCell ref="O19:T19"/>
    <mergeCell ref="O20:T20"/>
    <mergeCell ref="O21:T21"/>
    <mergeCell ref="O22:T22"/>
    <mergeCell ref="O23:T23"/>
    <mergeCell ref="O24:T24"/>
    <mergeCell ref="O25:T25"/>
    <mergeCell ref="O26:T26"/>
    <mergeCell ref="L104:N104"/>
    <mergeCell ref="L105:N105"/>
    <mergeCell ref="L106:N106"/>
    <mergeCell ref="L57:N57"/>
    <mergeCell ref="L58:N58"/>
    <mergeCell ref="L59:N59"/>
    <mergeCell ref="L60:N60"/>
    <mergeCell ref="L61:N61"/>
    <mergeCell ref="L62:N62"/>
    <mergeCell ref="L63:N63"/>
    <mergeCell ref="L70:N70"/>
    <mergeCell ref="L111:N111"/>
    <mergeCell ref="L116:N116"/>
    <mergeCell ref="O45:Q45"/>
    <mergeCell ref="O46:Q46"/>
    <mergeCell ref="O48:Q48"/>
    <mergeCell ref="O56:Q56"/>
    <mergeCell ref="O57:Q57"/>
    <mergeCell ref="O58:Q58"/>
    <mergeCell ref="O59:Q59"/>
    <mergeCell ref="O60:Q60"/>
    <mergeCell ref="O51:Q51"/>
    <mergeCell ref="O52:Q52"/>
    <mergeCell ref="O53:Q53"/>
    <mergeCell ref="O54:Q54"/>
    <mergeCell ref="O55:Q55"/>
    <mergeCell ref="L93:N93"/>
    <mergeCell ref="L69:N69"/>
    <mergeCell ref="L73:N73"/>
    <mergeCell ref="L74:N74"/>
    <mergeCell ref="L77:N77"/>
    <mergeCell ref="L78:N78"/>
    <mergeCell ref="L64:N64"/>
    <mergeCell ref="L65:N65"/>
    <mergeCell ref="L66:N66"/>
    <mergeCell ref="L67:N67"/>
    <mergeCell ref="L68:N68"/>
    <mergeCell ref="O104:Q104"/>
    <mergeCell ref="O105:Q105"/>
    <mergeCell ref="O106:Q106"/>
    <mergeCell ref="O107:Q107"/>
    <mergeCell ref="O108:Q108"/>
    <mergeCell ref="O109:Q109"/>
    <mergeCell ref="O111:Q111"/>
    <mergeCell ref="O112:Q112"/>
    <mergeCell ref="O113:Q113"/>
    <mergeCell ref="O92:Q92"/>
    <mergeCell ref="O93:Q93"/>
    <mergeCell ref="O94:Q94"/>
    <mergeCell ref="O95:Q95"/>
    <mergeCell ref="O97:Q97"/>
    <mergeCell ref="L95:N95"/>
    <mergeCell ref="L96:N96"/>
    <mergeCell ref="L97:N97"/>
    <mergeCell ref="L98:N98"/>
    <mergeCell ref="L109:N109"/>
    <mergeCell ref="L99:N99"/>
    <mergeCell ref="L100:N100"/>
    <mergeCell ref="L101:N101"/>
    <mergeCell ref="L102:N102"/>
    <mergeCell ref="L103:N103"/>
    <mergeCell ref="L94:N94"/>
    <mergeCell ref="O117:Q117"/>
    <mergeCell ref="R43:T43"/>
    <mergeCell ref="R45:T45"/>
    <mergeCell ref="R46:T46"/>
    <mergeCell ref="R47:T47"/>
    <mergeCell ref="R48:T48"/>
    <mergeCell ref="R50:T50"/>
    <mergeCell ref="R51:T51"/>
    <mergeCell ref="R52:T52"/>
    <mergeCell ref="R53:T53"/>
    <mergeCell ref="R54:T54"/>
    <mergeCell ref="R55:T55"/>
    <mergeCell ref="R56:T56"/>
    <mergeCell ref="R57:T57"/>
    <mergeCell ref="O81:Q81"/>
    <mergeCell ref="O96:Q96"/>
    <mergeCell ref="O98:Q98"/>
    <mergeCell ref="O102:Q102"/>
    <mergeCell ref="O103:Q103"/>
    <mergeCell ref="O99:Q99"/>
    <mergeCell ref="O100:Q100"/>
    <mergeCell ref="O101:Q101"/>
    <mergeCell ref="O87:Q87"/>
    <mergeCell ref="O89:Q89"/>
    <mergeCell ref="O90:Q90"/>
    <mergeCell ref="O91:Q91"/>
    <mergeCell ref="O83:Q83"/>
    <mergeCell ref="O84:Q84"/>
    <mergeCell ref="O85:Q85"/>
    <mergeCell ref="O86:Q86"/>
    <mergeCell ref="O76:Q76"/>
    <mergeCell ref="O77:Q77"/>
    <mergeCell ref="O115:Q115"/>
    <mergeCell ref="O116:Q116"/>
    <mergeCell ref="O78:Q78"/>
    <mergeCell ref="O67:Q67"/>
    <mergeCell ref="O69:Q69"/>
    <mergeCell ref="O70:Q70"/>
    <mergeCell ref="O74:Q74"/>
    <mergeCell ref="O68:Q68"/>
    <mergeCell ref="O72:Q72"/>
    <mergeCell ref="O73:Q73"/>
    <mergeCell ref="O61:Q61"/>
    <mergeCell ref="O62:Q62"/>
    <mergeCell ref="O63:Q63"/>
    <mergeCell ref="O65:Q65"/>
    <mergeCell ref="O66:Q66"/>
    <mergeCell ref="O64:Q64"/>
    <mergeCell ref="R95:T95"/>
    <mergeCell ref="R96:T96"/>
    <mergeCell ref="R97:T97"/>
    <mergeCell ref="R98:T98"/>
    <mergeCell ref="R89:T89"/>
    <mergeCell ref="R90:T90"/>
    <mergeCell ref="R91:T91"/>
    <mergeCell ref="R92:T92"/>
    <mergeCell ref="R68:T68"/>
    <mergeCell ref="R69:T69"/>
    <mergeCell ref="R70:T70"/>
    <mergeCell ref="R72:T72"/>
    <mergeCell ref="R73:T73"/>
    <mergeCell ref="R63:T63"/>
    <mergeCell ref="R64:T64"/>
    <mergeCell ref="R116:T116"/>
    <mergeCell ref="R117:T117"/>
    <mergeCell ref="R40:T40"/>
    <mergeCell ref="U12:Z12"/>
    <mergeCell ref="U13:Z13"/>
    <mergeCell ref="U14:Z14"/>
    <mergeCell ref="U15:Z15"/>
    <mergeCell ref="U16:Z16"/>
    <mergeCell ref="U17:Z17"/>
    <mergeCell ref="U18:Z18"/>
    <mergeCell ref="U19:Z19"/>
    <mergeCell ref="U20:Z20"/>
    <mergeCell ref="U21:Z21"/>
    <mergeCell ref="U22:Z22"/>
    <mergeCell ref="U23:Z23"/>
    <mergeCell ref="U24:Z24"/>
    <mergeCell ref="R109:T109"/>
    <mergeCell ref="R111:T111"/>
    <mergeCell ref="R112:T112"/>
    <mergeCell ref="R113:T113"/>
    <mergeCell ref="R115:T115"/>
    <mergeCell ref="R65:T65"/>
    <mergeCell ref="R66:T66"/>
    <mergeCell ref="R67:T67"/>
    <mergeCell ref="R58:T58"/>
    <mergeCell ref="R59:T59"/>
    <mergeCell ref="R60:T60"/>
    <mergeCell ref="R61:T61"/>
    <mergeCell ref="R62:T62"/>
    <mergeCell ref="O36:T36"/>
    <mergeCell ref="O40:Q40"/>
    <mergeCell ref="O43:Q43"/>
    <mergeCell ref="R104:T104"/>
    <mergeCell ref="R105:T105"/>
    <mergeCell ref="R106:T106"/>
    <mergeCell ref="R107:T107"/>
    <mergeCell ref="R108:T108"/>
    <mergeCell ref="R99:T99"/>
    <mergeCell ref="R100:T100"/>
    <mergeCell ref="R101:T101"/>
    <mergeCell ref="R102:T102"/>
    <mergeCell ref="R103:T103"/>
    <mergeCell ref="R94:T94"/>
    <mergeCell ref="U53:W53"/>
    <mergeCell ref="U54:W54"/>
    <mergeCell ref="U55:W55"/>
    <mergeCell ref="U56:W56"/>
    <mergeCell ref="U57:W57"/>
    <mergeCell ref="U47:W47"/>
    <mergeCell ref="U48:W48"/>
    <mergeCell ref="U50:W50"/>
    <mergeCell ref="U51:W51"/>
    <mergeCell ref="U52:W52"/>
    <mergeCell ref="R93:T93"/>
    <mergeCell ref="R83:T83"/>
    <mergeCell ref="R84:T84"/>
    <mergeCell ref="R85:T85"/>
    <mergeCell ref="R86:T86"/>
    <mergeCell ref="R87:T87"/>
    <mergeCell ref="R74:T74"/>
    <mergeCell ref="R76:T76"/>
    <mergeCell ref="R77:T77"/>
    <mergeCell ref="R78:T78"/>
    <mergeCell ref="R81:T81"/>
    <mergeCell ref="U78:W78"/>
    <mergeCell ref="X86:Z86"/>
    <mergeCell ref="X68:Z68"/>
    <mergeCell ref="X69:Z69"/>
    <mergeCell ref="X70:Z70"/>
    <mergeCell ref="X72:Z72"/>
    <mergeCell ref="X73:Z73"/>
    <mergeCell ref="X63:Z63"/>
    <mergeCell ref="X64:Z64"/>
    <mergeCell ref="X65:Z65"/>
    <mergeCell ref="X66:Z66"/>
    <mergeCell ref="X67:Z67"/>
    <mergeCell ref="X58:Z58"/>
    <mergeCell ref="X59:Z59"/>
    <mergeCell ref="U33:Z33"/>
    <mergeCell ref="U34:Z34"/>
    <mergeCell ref="U35:Z35"/>
    <mergeCell ref="X40:Z40"/>
    <mergeCell ref="X43:Z43"/>
    <mergeCell ref="X45:Z45"/>
    <mergeCell ref="X46:Z46"/>
    <mergeCell ref="X47:Z47"/>
    <mergeCell ref="X48:Z48"/>
    <mergeCell ref="X50:Z50"/>
    <mergeCell ref="X51:Z51"/>
    <mergeCell ref="X52:Z52"/>
    <mergeCell ref="X53:Z53"/>
    <mergeCell ref="X54:Z54"/>
    <mergeCell ref="X55:Z55"/>
    <mergeCell ref="X56:Z56"/>
    <mergeCell ref="X60:Z60"/>
    <mergeCell ref="X57:Z57"/>
    <mergeCell ref="U96:W96"/>
    <mergeCell ref="U97:W97"/>
    <mergeCell ref="U98:W98"/>
    <mergeCell ref="U81:W81"/>
    <mergeCell ref="U68:W68"/>
    <mergeCell ref="U69:W69"/>
    <mergeCell ref="U70:W70"/>
    <mergeCell ref="U72:W72"/>
    <mergeCell ref="U73:W73"/>
    <mergeCell ref="U63:W63"/>
    <mergeCell ref="U64:W64"/>
    <mergeCell ref="U65:W65"/>
    <mergeCell ref="U66:W66"/>
    <mergeCell ref="U67:W67"/>
    <mergeCell ref="U58:W58"/>
    <mergeCell ref="U59:W59"/>
    <mergeCell ref="U60:W60"/>
    <mergeCell ref="U61:W61"/>
    <mergeCell ref="U62:W62"/>
    <mergeCell ref="U116:W116"/>
    <mergeCell ref="U117:W117"/>
    <mergeCell ref="U113:W113"/>
    <mergeCell ref="U115:W115"/>
    <mergeCell ref="U89:W89"/>
    <mergeCell ref="U90:W90"/>
    <mergeCell ref="U91:W91"/>
    <mergeCell ref="U92:W92"/>
    <mergeCell ref="U93:W93"/>
    <mergeCell ref="U83:W83"/>
    <mergeCell ref="U84:W84"/>
    <mergeCell ref="U85:W85"/>
    <mergeCell ref="U86:W86"/>
    <mergeCell ref="U87:W87"/>
    <mergeCell ref="U74:W74"/>
    <mergeCell ref="U76:W76"/>
    <mergeCell ref="U77:W77"/>
    <mergeCell ref="U109:W109"/>
    <mergeCell ref="U111:W111"/>
    <mergeCell ref="U112:W112"/>
    <mergeCell ref="U104:W104"/>
    <mergeCell ref="U105:W105"/>
    <mergeCell ref="U106:W106"/>
    <mergeCell ref="U107:W107"/>
    <mergeCell ref="U108:W108"/>
    <mergeCell ref="U99:W99"/>
    <mergeCell ref="U100:W100"/>
    <mergeCell ref="U101:W101"/>
    <mergeCell ref="U102:W102"/>
    <mergeCell ref="U103:W103"/>
    <mergeCell ref="U94:W94"/>
    <mergeCell ref="U95:W95"/>
    <mergeCell ref="X116:Z116"/>
    <mergeCell ref="X117:Z117"/>
    <mergeCell ref="AA40:AC40"/>
    <mergeCell ref="AA43:AC43"/>
    <mergeCell ref="AA45:AC45"/>
    <mergeCell ref="AA46:AC46"/>
    <mergeCell ref="AA47:AC47"/>
    <mergeCell ref="AA48:AC48"/>
    <mergeCell ref="AA50:AC50"/>
    <mergeCell ref="AA51:AC51"/>
    <mergeCell ref="AA52:AC52"/>
    <mergeCell ref="AA53:AC53"/>
    <mergeCell ref="AA54:AC54"/>
    <mergeCell ref="AA55:AC55"/>
    <mergeCell ref="AA56:AC56"/>
    <mergeCell ref="AA57:AC57"/>
    <mergeCell ref="X109:Z109"/>
    <mergeCell ref="X111:Z111"/>
    <mergeCell ref="X112:Z112"/>
    <mergeCell ref="X113:Z113"/>
    <mergeCell ref="X115:Z115"/>
    <mergeCell ref="X104:Z104"/>
    <mergeCell ref="X105:Z105"/>
    <mergeCell ref="X106:Z106"/>
    <mergeCell ref="X107:Z107"/>
    <mergeCell ref="X108:Z108"/>
    <mergeCell ref="X61:Z61"/>
    <mergeCell ref="X62:Z62"/>
    <mergeCell ref="X95:Z95"/>
    <mergeCell ref="X96:Z96"/>
    <mergeCell ref="X97:Z97"/>
    <mergeCell ref="X98:Z98"/>
    <mergeCell ref="X99:Z99"/>
    <mergeCell ref="X100:Z100"/>
    <mergeCell ref="X101:Z101"/>
    <mergeCell ref="X102:Z102"/>
    <mergeCell ref="X103:Z103"/>
    <mergeCell ref="X94:Z94"/>
    <mergeCell ref="AA78:AC78"/>
    <mergeCell ref="AA81:AC81"/>
    <mergeCell ref="AA68:AC68"/>
    <mergeCell ref="AA69:AC69"/>
    <mergeCell ref="AA70:AC70"/>
    <mergeCell ref="AA72:AC72"/>
    <mergeCell ref="AA73:AC73"/>
    <mergeCell ref="AA64:AC64"/>
    <mergeCell ref="AA65:AC65"/>
    <mergeCell ref="AA66:AC66"/>
    <mergeCell ref="AA67:AC67"/>
    <mergeCell ref="X87:Z87"/>
    <mergeCell ref="X74:Z74"/>
    <mergeCell ref="X76:Z76"/>
    <mergeCell ref="X77:Z77"/>
    <mergeCell ref="X78:Z78"/>
    <mergeCell ref="X81:Z81"/>
    <mergeCell ref="X89:Z89"/>
    <mergeCell ref="X90:Z90"/>
    <mergeCell ref="X91:Z91"/>
    <mergeCell ref="X92:Z92"/>
    <mergeCell ref="X93:Z93"/>
    <mergeCell ref="X83:Z83"/>
    <mergeCell ref="X84:Z84"/>
    <mergeCell ref="X85:Z85"/>
    <mergeCell ref="AA96:AC96"/>
    <mergeCell ref="AA58:AC58"/>
    <mergeCell ref="AA59:AC59"/>
    <mergeCell ref="AA60:AC60"/>
    <mergeCell ref="AA61:AC61"/>
    <mergeCell ref="AA62:AC62"/>
    <mergeCell ref="AD46:AF46"/>
    <mergeCell ref="AD47:AF47"/>
    <mergeCell ref="AD48:AF48"/>
    <mergeCell ref="AD50:AF50"/>
    <mergeCell ref="AD51:AF51"/>
    <mergeCell ref="AD52:AF52"/>
    <mergeCell ref="AD53:AF53"/>
    <mergeCell ref="AD54:AF54"/>
    <mergeCell ref="AD55:AF55"/>
    <mergeCell ref="AD56:AF56"/>
    <mergeCell ref="AD57:AF57"/>
    <mergeCell ref="AD78:AF78"/>
    <mergeCell ref="AD68:AF68"/>
    <mergeCell ref="AD69:AF69"/>
    <mergeCell ref="AD70:AF70"/>
    <mergeCell ref="AD72:AF72"/>
    <mergeCell ref="AD73:AF73"/>
    <mergeCell ref="AD63:AF63"/>
    <mergeCell ref="AD64:AF64"/>
    <mergeCell ref="AD65:AF65"/>
    <mergeCell ref="AD66:AF66"/>
    <mergeCell ref="AD67:AF67"/>
    <mergeCell ref="AD58:AF58"/>
    <mergeCell ref="AD59:AF59"/>
    <mergeCell ref="AD60:AF60"/>
    <mergeCell ref="AD61:AF61"/>
    <mergeCell ref="AD62:AF62"/>
    <mergeCell ref="AA116:AC116"/>
    <mergeCell ref="AA117:AC117"/>
    <mergeCell ref="AA113:AC113"/>
    <mergeCell ref="AA115:AC115"/>
    <mergeCell ref="AA89:AC89"/>
    <mergeCell ref="AA90:AC90"/>
    <mergeCell ref="AA91:AC91"/>
    <mergeCell ref="AA92:AC92"/>
    <mergeCell ref="AA93:AC93"/>
    <mergeCell ref="AA83:AC83"/>
    <mergeCell ref="AA84:AC84"/>
    <mergeCell ref="AA85:AC85"/>
    <mergeCell ref="AA86:AC86"/>
    <mergeCell ref="AA87:AC87"/>
    <mergeCell ref="AA74:AC74"/>
    <mergeCell ref="AA76:AC76"/>
    <mergeCell ref="AA77:AC77"/>
    <mergeCell ref="AA109:AC109"/>
    <mergeCell ref="AA111:AC111"/>
    <mergeCell ref="AA112:AC112"/>
    <mergeCell ref="AA104:AC104"/>
    <mergeCell ref="AA105:AC105"/>
    <mergeCell ref="AA106:AC106"/>
    <mergeCell ref="AA107:AC107"/>
    <mergeCell ref="AA108:AC108"/>
    <mergeCell ref="AA99:AC99"/>
    <mergeCell ref="AA100:AC100"/>
    <mergeCell ref="AA101:AC101"/>
    <mergeCell ref="AA102:AC102"/>
    <mergeCell ref="AA103:AC103"/>
    <mergeCell ref="AA94:AC94"/>
    <mergeCell ref="AA95:AC95"/>
    <mergeCell ref="AG56:AI56"/>
    <mergeCell ref="AG57:AI57"/>
    <mergeCell ref="AG78:AI78"/>
    <mergeCell ref="AG81:AI81"/>
    <mergeCell ref="AD116:AF116"/>
    <mergeCell ref="AD117:AF117"/>
    <mergeCell ref="AD113:AF113"/>
    <mergeCell ref="AD115:AF115"/>
    <mergeCell ref="AD89:AF89"/>
    <mergeCell ref="AD90:AF90"/>
    <mergeCell ref="AD91:AF91"/>
    <mergeCell ref="AD92:AF92"/>
    <mergeCell ref="AD93:AF93"/>
    <mergeCell ref="AD83:AF83"/>
    <mergeCell ref="AD84:AF84"/>
    <mergeCell ref="AD85:AF85"/>
    <mergeCell ref="AD86:AF86"/>
    <mergeCell ref="AD87:AF87"/>
    <mergeCell ref="AD74:AF74"/>
    <mergeCell ref="AD76:AF76"/>
    <mergeCell ref="AD77:AF77"/>
    <mergeCell ref="AD109:AF109"/>
    <mergeCell ref="AD111:AF111"/>
    <mergeCell ref="AD112:AF112"/>
    <mergeCell ref="AD104:AF104"/>
    <mergeCell ref="AD105:AF105"/>
    <mergeCell ref="AD106:AF106"/>
    <mergeCell ref="AD107:AF107"/>
    <mergeCell ref="AD108:AF108"/>
    <mergeCell ref="AD99:AF99"/>
    <mergeCell ref="AD100:AF100"/>
    <mergeCell ref="AD101:AF101"/>
    <mergeCell ref="AD102:AF102"/>
    <mergeCell ref="AD103:AF103"/>
    <mergeCell ref="AD94:AF94"/>
    <mergeCell ref="AD95:AF95"/>
    <mergeCell ref="AG111:AI111"/>
    <mergeCell ref="AG112:AI112"/>
    <mergeCell ref="AG104:AI104"/>
    <mergeCell ref="AG105:AI105"/>
    <mergeCell ref="AG106:AI106"/>
    <mergeCell ref="AG107:AI107"/>
    <mergeCell ref="AG108:AI108"/>
    <mergeCell ref="AG99:AI99"/>
    <mergeCell ref="AG100:AI100"/>
    <mergeCell ref="AG101:AI101"/>
    <mergeCell ref="AG102:AI102"/>
    <mergeCell ref="AG103:AI103"/>
    <mergeCell ref="AG94:AI94"/>
    <mergeCell ref="AG95:AI95"/>
    <mergeCell ref="AG96:AI96"/>
    <mergeCell ref="AG97:AI97"/>
    <mergeCell ref="AG98:AI98"/>
    <mergeCell ref="AG40:AI40"/>
    <mergeCell ref="AJ40:AL40"/>
    <mergeCell ref="AJ43:AL43"/>
    <mergeCell ref="AJ45:AL45"/>
    <mergeCell ref="AJ46:AL46"/>
    <mergeCell ref="AJ47:AL47"/>
    <mergeCell ref="AJ48:AL48"/>
    <mergeCell ref="AJ50:AL50"/>
    <mergeCell ref="AJ51:AL51"/>
    <mergeCell ref="AJ52:AL52"/>
    <mergeCell ref="AJ53:AL53"/>
    <mergeCell ref="AJ54:AL54"/>
    <mergeCell ref="AJ55:AL55"/>
    <mergeCell ref="AJ56:AL56"/>
    <mergeCell ref="AJ57:AL57"/>
    <mergeCell ref="AG109:AI109"/>
    <mergeCell ref="AG68:AI68"/>
    <mergeCell ref="AG69:AI69"/>
    <mergeCell ref="AG70:AI70"/>
    <mergeCell ref="AG72:AI72"/>
    <mergeCell ref="AG73:AI73"/>
    <mergeCell ref="AG63:AI63"/>
    <mergeCell ref="AG64:AI64"/>
    <mergeCell ref="AG65:AI65"/>
    <mergeCell ref="AG66:AI66"/>
    <mergeCell ref="AG67:AI67"/>
    <mergeCell ref="AG58:AI58"/>
    <mergeCell ref="AG59:AI59"/>
    <mergeCell ref="AG60:AI60"/>
    <mergeCell ref="AG61:AI61"/>
    <mergeCell ref="AG62:AI62"/>
    <mergeCell ref="AJ68:AL68"/>
    <mergeCell ref="AJ69:AL69"/>
    <mergeCell ref="AJ70:AL70"/>
    <mergeCell ref="AJ72:AL72"/>
    <mergeCell ref="AJ73:AL73"/>
    <mergeCell ref="AJ63:AL63"/>
    <mergeCell ref="AJ64:AL64"/>
    <mergeCell ref="AJ65:AL65"/>
    <mergeCell ref="AJ66:AL66"/>
    <mergeCell ref="AJ67:AL67"/>
    <mergeCell ref="AJ58:AL58"/>
    <mergeCell ref="AJ59:AL59"/>
    <mergeCell ref="AJ60:AL60"/>
    <mergeCell ref="AJ61:AL61"/>
    <mergeCell ref="AJ62:AL62"/>
    <mergeCell ref="AG116:AI116"/>
    <mergeCell ref="AG117:AI117"/>
    <mergeCell ref="AG113:AI113"/>
    <mergeCell ref="AG115:AI115"/>
    <mergeCell ref="AG89:AI89"/>
    <mergeCell ref="AG90:AI90"/>
    <mergeCell ref="AG91:AI91"/>
    <mergeCell ref="AG92:AI92"/>
    <mergeCell ref="AG93:AI93"/>
    <mergeCell ref="AG83:AI83"/>
    <mergeCell ref="AG84:AI84"/>
    <mergeCell ref="AG85:AI85"/>
    <mergeCell ref="AG86:AI86"/>
    <mergeCell ref="AG87:AI87"/>
    <mergeCell ref="AG74:AI74"/>
    <mergeCell ref="AG76:AI76"/>
    <mergeCell ref="AG77:AI77"/>
    <mergeCell ref="AJ116:AL116"/>
    <mergeCell ref="AJ117:AL117"/>
    <mergeCell ref="AM40:AO40"/>
    <mergeCell ref="AM43:AO43"/>
    <mergeCell ref="AM45:AO45"/>
    <mergeCell ref="AM46:AO46"/>
    <mergeCell ref="AM47:AO47"/>
    <mergeCell ref="AM48:AO48"/>
    <mergeCell ref="AM50:AO50"/>
    <mergeCell ref="AM51:AO51"/>
    <mergeCell ref="AM52:AO52"/>
    <mergeCell ref="AM53:AO53"/>
    <mergeCell ref="AM54:AO54"/>
    <mergeCell ref="AM55:AO55"/>
    <mergeCell ref="AM56:AO56"/>
    <mergeCell ref="AM57:AO57"/>
    <mergeCell ref="AJ109:AL109"/>
    <mergeCell ref="AJ111:AL111"/>
    <mergeCell ref="AJ112:AL112"/>
    <mergeCell ref="AJ104:AL104"/>
    <mergeCell ref="AJ105:AL105"/>
    <mergeCell ref="AJ106:AL106"/>
    <mergeCell ref="AJ107:AL107"/>
    <mergeCell ref="AJ108:AL108"/>
    <mergeCell ref="AJ99:AL99"/>
    <mergeCell ref="AJ100:AL100"/>
    <mergeCell ref="AJ101:AL101"/>
    <mergeCell ref="AJ102:AL102"/>
    <mergeCell ref="AJ103:AL103"/>
    <mergeCell ref="AJ94:AL94"/>
    <mergeCell ref="AJ95:AL95"/>
    <mergeCell ref="AJ96:AL96"/>
    <mergeCell ref="AJ97:AL97"/>
    <mergeCell ref="AJ98:AL98"/>
    <mergeCell ref="AJ113:AL113"/>
    <mergeCell ref="AJ89:AL89"/>
    <mergeCell ref="AJ90:AL90"/>
    <mergeCell ref="AJ91:AL91"/>
    <mergeCell ref="AJ92:AL92"/>
    <mergeCell ref="AJ93:AL93"/>
    <mergeCell ref="AJ83:AL83"/>
    <mergeCell ref="AJ84:AL84"/>
    <mergeCell ref="AJ85:AL85"/>
    <mergeCell ref="AJ86:AL86"/>
    <mergeCell ref="AJ87:AL87"/>
    <mergeCell ref="AJ74:AL74"/>
    <mergeCell ref="AJ76:AL76"/>
    <mergeCell ref="AJ77:AL77"/>
    <mergeCell ref="AJ78:AL78"/>
    <mergeCell ref="AJ81:AL81"/>
    <mergeCell ref="AM111:AO111"/>
    <mergeCell ref="AM112:AO112"/>
    <mergeCell ref="AM104:AO104"/>
    <mergeCell ref="AM105:AO105"/>
    <mergeCell ref="AM106:AO106"/>
    <mergeCell ref="AM107:AO107"/>
    <mergeCell ref="AM108:AO108"/>
    <mergeCell ref="AM99:AO99"/>
    <mergeCell ref="AM100:AO100"/>
    <mergeCell ref="AM101:AO101"/>
    <mergeCell ref="AM102:AO102"/>
    <mergeCell ref="AM103:AO103"/>
    <mergeCell ref="AM94:AO94"/>
    <mergeCell ref="AM95:AO95"/>
    <mergeCell ref="AM96:AO96"/>
    <mergeCell ref="AM97:AO97"/>
    <mergeCell ref="AM98:AO98"/>
    <mergeCell ref="AM78:AO78"/>
    <mergeCell ref="AM81:AO81"/>
    <mergeCell ref="AP40:AR40"/>
    <mergeCell ref="AP43:AR43"/>
    <mergeCell ref="AP45:AR45"/>
    <mergeCell ref="AP46:AR46"/>
    <mergeCell ref="AP47:AR47"/>
    <mergeCell ref="AP48:AR48"/>
    <mergeCell ref="AP50:AR50"/>
    <mergeCell ref="AP51:AR51"/>
    <mergeCell ref="AP52:AR52"/>
    <mergeCell ref="AP53:AR53"/>
    <mergeCell ref="AP54:AR54"/>
    <mergeCell ref="AP55:AR55"/>
    <mergeCell ref="AP56:AR56"/>
    <mergeCell ref="AP57:AR57"/>
    <mergeCell ref="AM109:AO109"/>
    <mergeCell ref="AM68:AO68"/>
    <mergeCell ref="AM69:AO69"/>
    <mergeCell ref="AM70:AO70"/>
    <mergeCell ref="AM72:AO72"/>
    <mergeCell ref="AM73:AO73"/>
    <mergeCell ref="AM63:AO63"/>
    <mergeCell ref="AM64:AO64"/>
    <mergeCell ref="AM65:AO65"/>
    <mergeCell ref="AM66:AO66"/>
    <mergeCell ref="AM67:AO67"/>
    <mergeCell ref="AM58:AO58"/>
    <mergeCell ref="AM59:AO59"/>
    <mergeCell ref="AM60:AO60"/>
    <mergeCell ref="AM61:AO61"/>
    <mergeCell ref="AM62:AO62"/>
    <mergeCell ref="AP68:AR68"/>
    <mergeCell ref="AP69:AR69"/>
    <mergeCell ref="AP70:AR70"/>
    <mergeCell ref="AP72:AR72"/>
    <mergeCell ref="AP73:AR73"/>
    <mergeCell ref="AP63:AR63"/>
    <mergeCell ref="AP64:AR64"/>
    <mergeCell ref="AP65:AR65"/>
    <mergeCell ref="AP66:AR66"/>
    <mergeCell ref="AP67:AR67"/>
    <mergeCell ref="AP60:AR60"/>
    <mergeCell ref="AP61:AR61"/>
    <mergeCell ref="AP62:AR62"/>
    <mergeCell ref="AM113:AO113"/>
    <mergeCell ref="AM89:AO89"/>
    <mergeCell ref="AM90:AO90"/>
    <mergeCell ref="AM91:AO91"/>
    <mergeCell ref="AM92:AO92"/>
    <mergeCell ref="AM93:AO93"/>
    <mergeCell ref="AM83:AO83"/>
    <mergeCell ref="AM84:AO84"/>
    <mergeCell ref="AM85:AO85"/>
    <mergeCell ref="AM86:AO86"/>
    <mergeCell ref="AM87:AO87"/>
    <mergeCell ref="AM74:AO74"/>
    <mergeCell ref="AM76:AO76"/>
    <mergeCell ref="AM77:AO77"/>
    <mergeCell ref="AP95:AR95"/>
    <mergeCell ref="AP96:AR96"/>
    <mergeCell ref="AP97:AR97"/>
    <mergeCell ref="AP98:AR98"/>
    <mergeCell ref="AP89:AR89"/>
    <mergeCell ref="AP90:AR90"/>
    <mergeCell ref="AP91:AR91"/>
    <mergeCell ref="AP92:AR92"/>
    <mergeCell ref="AP93:AR93"/>
    <mergeCell ref="AP83:AR83"/>
    <mergeCell ref="AP84:AR84"/>
    <mergeCell ref="AP85:AR85"/>
    <mergeCell ref="AP86:AR86"/>
    <mergeCell ref="AP87:AR87"/>
    <mergeCell ref="AP74:AR74"/>
    <mergeCell ref="AP76:AR76"/>
    <mergeCell ref="AP77:AR77"/>
    <mergeCell ref="AP78:AR78"/>
    <mergeCell ref="AP81:AR81"/>
    <mergeCell ref="AP116:AR116"/>
    <mergeCell ref="AP117:AR117"/>
    <mergeCell ref="AS40:AU40"/>
    <mergeCell ref="AS43:AU43"/>
    <mergeCell ref="AS45:AU45"/>
    <mergeCell ref="AS46:AU46"/>
    <mergeCell ref="AS47:AU47"/>
    <mergeCell ref="AS48:AU48"/>
    <mergeCell ref="AS50:AU50"/>
    <mergeCell ref="AS51:AU51"/>
    <mergeCell ref="AS52:AU52"/>
    <mergeCell ref="AS53:AU53"/>
    <mergeCell ref="AS54:AU54"/>
    <mergeCell ref="AS55:AU55"/>
    <mergeCell ref="AS56:AU56"/>
    <mergeCell ref="AS57:AU57"/>
    <mergeCell ref="AP109:AR109"/>
    <mergeCell ref="AP111:AR111"/>
    <mergeCell ref="AP112:AR112"/>
    <mergeCell ref="AP113:AR113"/>
    <mergeCell ref="AP115:AR115"/>
    <mergeCell ref="AP104:AR104"/>
    <mergeCell ref="AP105:AR105"/>
    <mergeCell ref="AP106:AR106"/>
    <mergeCell ref="AP107:AR107"/>
    <mergeCell ref="AP108:AR108"/>
    <mergeCell ref="AP99:AR99"/>
    <mergeCell ref="AP100:AR100"/>
    <mergeCell ref="AP101:AR101"/>
    <mergeCell ref="AP102:AR102"/>
    <mergeCell ref="AP103:AR103"/>
    <mergeCell ref="AP94:AR94"/>
    <mergeCell ref="AS109:AU109"/>
    <mergeCell ref="AS111:AU111"/>
    <mergeCell ref="AS112:AU112"/>
    <mergeCell ref="AS104:AU104"/>
    <mergeCell ref="AS105:AU105"/>
    <mergeCell ref="AS106:AU106"/>
    <mergeCell ref="AS107:AU107"/>
    <mergeCell ref="AS108:AU108"/>
    <mergeCell ref="AS99:AU99"/>
    <mergeCell ref="AS100:AU100"/>
    <mergeCell ref="AS101:AU101"/>
    <mergeCell ref="AS102:AU102"/>
    <mergeCell ref="AS103:AU103"/>
    <mergeCell ref="AS94:AU94"/>
    <mergeCell ref="AS95:AU95"/>
    <mergeCell ref="AS96:AU96"/>
    <mergeCell ref="AS97:AU97"/>
    <mergeCell ref="AS98:AU98"/>
    <mergeCell ref="AS78:AU78"/>
    <mergeCell ref="AS81:AU81"/>
    <mergeCell ref="AS68:AU68"/>
    <mergeCell ref="AS69:AU69"/>
    <mergeCell ref="AS70:AU70"/>
    <mergeCell ref="AS72:AU72"/>
    <mergeCell ref="AS73:AU73"/>
    <mergeCell ref="AS63:AU63"/>
    <mergeCell ref="AS64:AU64"/>
    <mergeCell ref="AS65:AU65"/>
    <mergeCell ref="AV40:AX40"/>
    <mergeCell ref="AV43:AX43"/>
    <mergeCell ref="AV45:AX45"/>
    <mergeCell ref="AV46:AX46"/>
    <mergeCell ref="AV47:AX47"/>
    <mergeCell ref="AV48:AX48"/>
    <mergeCell ref="AV50:AX50"/>
    <mergeCell ref="AV51:AX51"/>
    <mergeCell ref="AV52:AX52"/>
    <mergeCell ref="AV53:AX53"/>
    <mergeCell ref="AV54:AX54"/>
    <mergeCell ref="AV55:AX55"/>
    <mergeCell ref="AV56:AX56"/>
    <mergeCell ref="AV57:AX57"/>
    <mergeCell ref="AS66:AU66"/>
    <mergeCell ref="AS67:AU67"/>
    <mergeCell ref="AS58:AU58"/>
    <mergeCell ref="AS59:AU59"/>
    <mergeCell ref="AS60:AU60"/>
    <mergeCell ref="AS61:AU61"/>
    <mergeCell ref="AS62:AU62"/>
    <mergeCell ref="AV68:AX68"/>
    <mergeCell ref="AV69:AX69"/>
    <mergeCell ref="AV70:AX70"/>
    <mergeCell ref="AV72:AX72"/>
    <mergeCell ref="AV73:AX73"/>
    <mergeCell ref="AV63:AX63"/>
    <mergeCell ref="AV64:AX64"/>
    <mergeCell ref="AV65:AX65"/>
    <mergeCell ref="AV66:AX66"/>
    <mergeCell ref="AV67:AX67"/>
    <mergeCell ref="AV60:AX60"/>
    <mergeCell ref="AV61:AX61"/>
    <mergeCell ref="AV62:AX62"/>
    <mergeCell ref="AS113:AU113"/>
    <mergeCell ref="AS89:AU89"/>
    <mergeCell ref="AS90:AU90"/>
    <mergeCell ref="AS91:AU91"/>
    <mergeCell ref="AS92:AU92"/>
    <mergeCell ref="AS93:AU93"/>
    <mergeCell ref="AS83:AU83"/>
    <mergeCell ref="AS84:AU84"/>
    <mergeCell ref="AS85:AU85"/>
    <mergeCell ref="AS86:AU86"/>
    <mergeCell ref="AS87:AU87"/>
    <mergeCell ref="AS74:AU74"/>
    <mergeCell ref="AS76:AU76"/>
    <mergeCell ref="AS77:AU77"/>
    <mergeCell ref="AV95:AX95"/>
    <mergeCell ref="AV96:AX96"/>
    <mergeCell ref="AV89:AX89"/>
    <mergeCell ref="AV90:AX90"/>
    <mergeCell ref="AV91:AX91"/>
    <mergeCell ref="AV92:AX92"/>
    <mergeCell ref="AV93:AX93"/>
    <mergeCell ref="AV83:AX83"/>
    <mergeCell ref="AV84:AX84"/>
    <mergeCell ref="AV85:AX85"/>
    <mergeCell ref="AV86:AX86"/>
    <mergeCell ref="AV87:AX87"/>
    <mergeCell ref="AV74:AX74"/>
    <mergeCell ref="AV76:AX76"/>
    <mergeCell ref="AV77:AX77"/>
    <mergeCell ref="AV78:AX78"/>
    <mergeCell ref="AV81:AX81"/>
    <mergeCell ref="AV116:AX116"/>
    <mergeCell ref="AV117:AX117"/>
    <mergeCell ref="AY40:BA40"/>
    <mergeCell ref="AY43:BA43"/>
    <mergeCell ref="AY45:BA45"/>
    <mergeCell ref="AY46:BA46"/>
    <mergeCell ref="AY47:BA47"/>
    <mergeCell ref="AY48:BA48"/>
    <mergeCell ref="AY50:BA50"/>
    <mergeCell ref="AY51:BA51"/>
    <mergeCell ref="AY52:BA52"/>
    <mergeCell ref="AY53:BA53"/>
    <mergeCell ref="AY54:BA54"/>
    <mergeCell ref="AY55:BA55"/>
    <mergeCell ref="AY56:BA56"/>
    <mergeCell ref="AY57:BA57"/>
    <mergeCell ref="AV109:AX109"/>
    <mergeCell ref="AV111:AX111"/>
    <mergeCell ref="AV112:AX112"/>
    <mergeCell ref="AV113:AX113"/>
    <mergeCell ref="AV115:AX115"/>
    <mergeCell ref="AV104:AX104"/>
    <mergeCell ref="AV105:AX105"/>
    <mergeCell ref="AV106:AX106"/>
    <mergeCell ref="AV107:AX107"/>
    <mergeCell ref="AV108:AX108"/>
    <mergeCell ref="AV99:AX99"/>
    <mergeCell ref="AV100:AX100"/>
    <mergeCell ref="AV101:AX101"/>
    <mergeCell ref="AV102:AX102"/>
    <mergeCell ref="AV103:AX103"/>
    <mergeCell ref="AV94:AX94"/>
    <mergeCell ref="AY109:BA109"/>
    <mergeCell ref="AY111:BA111"/>
    <mergeCell ref="AY112:BA112"/>
    <mergeCell ref="AY104:BA104"/>
    <mergeCell ref="AY105:BA105"/>
    <mergeCell ref="AY106:BA106"/>
    <mergeCell ref="AY107:BA107"/>
    <mergeCell ref="AY108:BA108"/>
    <mergeCell ref="AY99:BA99"/>
    <mergeCell ref="AY100:BA100"/>
    <mergeCell ref="AY101:BA101"/>
    <mergeCell ref="AY102:BA102"/>
    <mergeCell ref="AY103:BA103"/>
    <mergeCell ref="AY94:BA94"/>
    <mergeCell ref="AY95:BA95"/>
    <mergeCell ref="AY96:BA96"/>
    <mergeCell ref="AY97:BA97"/>
    <mergeCell ref="AY98:BA98"/>
    <mergeCell ref="BB53:BD53"/>
    <mergeCell ref="BB54:BD54"/>
    <mergeCell ref="BB55:BD55"/>
    <mergeCell ref="BB56:BD56"/>
    <mergeCell ref="BB57:BD57"/>
    <mergeCell ref="AY72:BA72"/>
    <mergeCell ref="AY73:BA73"/>
    <mergeCell ref="AY63:BA63"/>
    <mergeCell ref="AY64:BA64"/>
    <mergeCell ref="AY65:BA65"/>
    <mergeCell ref="AY66:BA66"/>
    <mergeCell ref="AY67:BA67"/>
    <mergeCell ref="AY58:BA58"/>
    <mergeCell ref="AY59:BA59"/>
    <mergeCell ref="AY60:BA60"/>
    <mergeCell ref="AY61:BA61"/>
    <mergeCell ref="AY62:BA62"/>
    <mergeCell ref="BB68:BD68"/>
    <mergeCell ref="AY113:BA113"/>
    <mergeCell ref="AY89:BA89"/>
    <mergeCell ref="AY90:BA90"/>
    <mergeCell ref="AY91:BA91"/>
    <mergeCell ref="AY92:BA92"/>
    <mergeCell ref="AY93:BA93"/>
    <mergeCell ref="AY83:BA83"/>
    <mergeCell ref="AY84:BA84"/>
    <mergeCell ref="AY85:BA85"/>
    <mergeCell ref="AY86:BA86"/>
    <mergeCell ref="AY87:BA87"/>
    <mergeCell ref="AY74:BA74"/>
    <mergeCell ref="AY76:BA76"/>
    <mergeCell ref="AY77:BA77"/>
    <mergeCell ref="BB103:BD103"/>
    <mergeCell ref="BB94:BD94"/>
    <mergeCell ref="BB95:BD95"/>
    <mergeCell ref="BB96:BD96"/>
    <mergeCell ref="BB97:BD97"/>
    <mergeCell ref="BB98:BD98"/>
    <mergeCell ref="AY78:BA78"/>
    <mergeCell ref="AY81:BA81"/>
    <mergeCell ref="BB86:BD86"/>
    <mergeCell ref="BB87:BD87"/>
    <mergeCell ref="BB74:BD74"/>
    <mergeCell ref="BB76:BD76"/>
    <mergeCell ref="BB77:BD77"/>
    <mergeCell ref="BB78:BD78"/>
    <mergeCell ref="BB81:BD81"/>
    <mergeCell ref="F3:I3"/>
    <mergeCell ref="J3:M3"/>
    <mergeCell ref="N3:Q3"/>
    <mergeCell ref="R3:U3"/>
    <mergeCell ref="V3:Y3"/>
    <mergeCell ref="Z3:AC3"/>
    <mergeCell ref="AD3:AG3"/>
    <mergeCell ref="AH3:AK3"/>
    <mergeCell ref="BB69:BD69"/>
    <mergeCell ref="BB70:BD70"/>
    <mergeCell ref="BB72:BD72"/>
    <mergeCell ref="BB73:BD73"/>
    <mergeCell ref="BB63:BD63"/>
    <mergeCell ref="BB64:BD64"/>
    <mergeCell ref="BB65:BD65"/>
    <mergeCell ref="BB66:BD66"/>
    <mergeCell ref="BB67:BD67"/>
    <mergeCell ref="BB60:BD60"/>
    <mergeCell ref="BB61:BD61"/>
    <mergeCell ref="BB62:BD62"/>
    <mergeCell ref="AY68:BA68"/>
    <mergeCell ref="AY69:BA69"/>
    <mergeCell ref="AY70:BA70"/>
    <mergeCell ref="BB40:BD40"/>
    <mergeCell ref="BB43:BD43"/>
    <mergeCell ref="BB45:BD45"/>
    <mergeCell ref="BB46:BD46"/>
    <mergeCell ref="BB47:BD47"/>
    <mergeCell ref="BB48:BD48"/>
    <mergeCell ref="BB50:BD50"/>
    <mergeCell ref="BB51:BD51"/>
    <mergeCell ref="BB52:BD52"/>
    <mergeCell ref="BB116:BD116"/>
    <mergeCell ref="BB117:BD117"/>
    <mergeCell ref="N7:S7"/>
    <mergeCell ref="N8:S8"/>
    <mergeCell ref="AL7:AP7"/>
    <mergeCell ref="AL8:AP8"/>
    <mergeCell ref="AX7:BB7"/>
    <mergeCell ref="AX8:BB8"/>
    <mergeCell ref="Y8:AD8"/>
    <mergeCell ref="Y7:AD7"/>
    <mergeCell ref="BB109:BD109"/>
    <mergeCell ref="BB111:BD111"/>
    <mergeCell ref="BB112:BD112"/>
    <mergeCell ref="BB113:BD113"/>
    <mergeCell ref="BB115:BD115"/>
    <mergeCell ref="BB104:BD104"/>
    <mergeCell ref="BB105:BD105"/>
    <mergeCell ref="BB106:BD106"/>
    <mergeCell ref="BB107:BD107"/>
    <mergeCell ref="BB108:BD108"/>
    <mergeCell ref="BB99:BD99"/>
    <mergeCell ref="BB100:BD100"/>
    <mergeCell ref="BB101:BD101"/>
    <mergeCell ref="BB102:BD102"/>
    <mergeCell ref="BB89:BD89"/>
    <mergeCell ref="BB90:BD90"/>
    <mergeCell ref="BB91:BD91"/>
    <mergeCell ref="BB92:BD92"/>
    <mergeCell ref="BB93:BD93"/>
    <mergeCell ref="BB83:BD83"/>
    <mergeCell ref="BB84:BD84"/>
    <mergeCell ref="BB85:BD85"/>
  </mergeCells>
  <hyperlinks>
    <hyperlink ref="AH3:AK3" location="'FORECASTS (R)'!A1" display="Forecasts" xr:uid="{908892B9-82FE-47C6-B964-AB1F2146FF9E}"/>
    <hyperlink ref="AD3:AG3" location="'EXPENSES (R)'!A1" display="Expenses" xr:uid="{0EE4587E-468B-4DCA-9157-E83D7F54615D}"/>
    <hyperlink ref="Z3:AC3" location="'FINANCING (R)'!A1" display="Financing" xr:uid="{EAA9214F-2C31-4D6F-A5E3-85F6B70E2347}"/>
    <hyperlink ref="V3:Y3" location="'AMORTIZATION (R)'!A1" display="Amortization" xr:uid="{76AEF2D6-FA38-4818-916A-180F9A5F6437}"/>
    <hyperlink ref="R3:U3" location="'VERSUS (R)'!A1" display="Versus" xr:uid="{1F572CAA-F6B9-45F2-A342-BCDFA3BC3072}"/>
    <hyperlink ref="N3:Q3" location="'YTD (R)'!A1" display="Year To Date" xr:uid="{D8F62AED-604A-4DFD-97C1-C036D62767B0}"/>
    <hyperlink ref="J3:M3" location="'MONTHLY (R)'!A1" display="Monthly" xr:uid="{5D497B61-5DC6-4A84-848C-EC59ADA892F8}"/>
    <hyperlink ref="F3:I3" location="'SUMMARY (R)'!A1" display="Summary" xr:uid="{69932B20-A103-4702-BC6E-4BBB4B33D1F8}"/>
  </hyperlinks>
  <pageMargins left="0.25" right="0.25" top="0.75" bottom="0.75" header="0.3" footer="0.3"/>
  <pageSetup scale="63" fitToHeight="0" orientation="portrait" r:id="rId1"/>
  <rowBreaks count="1" manualBreakCount="1">
    <brk id="79" max="16383" man="1"/>
  </rowBreaks>
  <colBreaks count="1" manualBreakCount="1">
    <brk id="6" min="3" max="118" man="1"/>
  </colBreaks>
  <drawing r:id="rId2"/>
  <extLst>
    <ext xmlns:x14="http://schemas.microsoft.com/office/spreadsheetml/2009/9/main" uri="{78C0D931-6437-407d-A8EE-F0AAD7539E65}">
      <x14:conditionalFormattings>
        <x14:conditionalFormatting xmlns:xm="http://schemas.microsoft.com/office/excel/2006/main">
          <x14:cfRule type="expression" priority="2135" id="{89E12411-8705-488B-9BBA-B8DDF44DC2C2}">
            <xm:f>DASHBOARD!$L$140&lt;&gt;0</xm:f>
            <x14:dxf>
              <font>
                <b val="0"/>
                <i/>
                <color theme="1" tint="0.499984740745262"/>
              </font>
            </x14:dxf>
          </x14:cfRule>
          <xm:sqref>B13:L15 O13:R35 U13:U35 B16:H33 I16:L35</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B51B6-BB37-4246-8E3B-024C61A199E4}">
  <sheetPr codeName="Sheet1">
    <tabColor rgb="FFFFF2CC"/>
  </sheetPr>
  <dimension ref="A1:BS153"/>
  <sheetViews>
    <sheetView showGridLines="0" showRowColHeaders="0" zoomScaleNormal="100" zoomScaleSheetLayoutView="100" workbookViewId="0">
      <pane ySplit="4" topLeftCell="A72" activePane="bottomLeft" state="frozen"/>
      <selection pane="bottomLeft" activeCell="AS4" sqref="AS4:AT4"/>
    </sheetView>
  </sheetViews>
  <sheetFormatPr defaultColWidth="9.109375" defaultRowHeight="13.8" x14ac:dyDescent="0.25"/>
  <cols>
    <col min="1" max="44" width="2.88671875" style="331" customWidth="1"/>
    <col min="45" max="47" width="2.88671875" style="1299" customWidth="1"/>
    <col min="48" max="50" width="2.88671875" style="331" customWidth="1"/>
    <col min="51" max="51" width="2.88671875" style="1265" customWidth="1"/>
    <col min="52" max="64" width="2.88671875" style="331" customWidth="1"/>
    <col min="65" max="16384" width="9.109375" style="331"/>
  </cols>
  <sheetData>
    <row r="1" spans="1:71" s="1244" customFormat="1" ht="30" customHeight="1" x14ac:dyDescent="0.25">
      <c r="A1" s="1685" t="s">
        <v>741</v>
      </c>
      <c r="AS1" s="1292"/>
      <c r="AT1" s="1292"/>
      <c r="AU1" s="1292"/>
      <c r="AY1" s="1264"/>
    </row>
    <row r="2" spans="1:71" s="673" customFormat="1" ht="18.75" customHeight="1" x14ac:dyDescent="0.25">
      <c r="A2" s="1685"/>
      <c r="B2" s="1244"/>
      <c r="C2" s="1244"/>
      <c r="D2" s="1244"/>
      <c r="E2" s="1244"/>
      <c r="F2" s="1244"/>
      <c r="G2" s="1244"/>
      <c r="H2" s="1244"/>
      <c r="I2" s="1244"/>
      <c r="J2" s="1244"/>
      <c r="K2" s="1244"/>
      <c r="L2" s="1244"/>
      <c r="M2" s="1244"/>
      <c r="N2" s="1244"/>
      <c r="O2" s="1244"/>
      <c r="P2" s="1244"/>
      <c r="Q2" s="1244"/>
      <c r="R2" s="1244"/>
      <c r="S2" s="1244"/>
      <c r="T2" s="1244"/>
      <c r="U2" s="1244"/>
      <c r="V2" s="1244"/>
      <c r="W2" s="1244"/>
      <c r="X2" s="1244"/>
      <c r="Y2" s="1244"/>
      <c r="Z2" s="1244"/>
      <c r="AA2" s="1244"/>
      <c r="AB2" s="1244"/>
      <c r="AC2" s="1244"/>
      <c r="AD2" s="1244"/>
      <c r="AE2" s="1244"/>
      <c r="AF2" s="1244"/>
      <c r="AG2" s="1244"/>
      <c r="AH2" s="1244"/>
      <c r="AI2" s="1244"/>
      <c r="AJ2" s="1244"/>
      <c r="AK2" s="1244"/>
      <c r="AL2" s="1244"/>
      <c r="AM2" s="1244"/>
      <c r="AN2" s="1244"/>
      <c r="AO2" s="1244"/>
      <c r="AP2" s="1244"/>
      <c r="AQ2" s="1244"/>
      <c r="AR2" s="1244"/>
      <c r="AS2" s="1292"/>
      <c r="AT2" s="1292"/>
      <c r="AU2" s="1292"/>
      <c r="AV2" s="1244"/>
      <c r="AW2" s="1244"/>
      <c r="AX2" s="1244"/>
      <c r="AY2" s="1264"/>
      <c r="AZ2" s="1244"/>
      <c r="BA2" s="1244"/>
      <c r="BB2" s="1244"/>
      <c r="BC2" s="1244"/>
      <c r="BD2" s="1244"/>
      <c r="BE2" s="1244"/>
      <c r="BF2" s="1244"/>
      <c r="BG2" s="1244"/>
      <c r="BH2" s="1244"/>
      <c r="BI2" s="1244"/>
      <c r="BJ2" s="1244"/>
      <c r="BK2" s="1244"/>
      <c r="BL2" s="1244"/>
      <c r="BM2" s="1244"/>
      <c r="BN2" s="1244"/>
      <c r="BO2" s="1244"/>
      <c r="BP2" s="1244"/>
      <c r="BQ2" s="1244"/>
      <c r="BR2" s="1244"/>
      <c r="BS2" s="1244"/>
    </row>
    <row r="3" spans="1:71" ht="15" customHeight="1" x14ac:dyDescent="0.25">
      <c r="A3" s="1685"/>
      <c r="B3" s="1244"/>
      <c r="C3" s="1244"/>
      <c r="D3" s="1244"/>
      <c r="E3" s="1244"/>
      <c r="F3" s="1244"/>
      <c r="G3" s="1244"/>
      <c r="H3" s="1244"/>
      <c r="I3" s="1244"/>
      <c r="J3" s="1244"/>
      <c r="K3" s="1244"/>
      <c r="L3" s="1244"/>
      <c r="M3" s="1244"/>
      <c r="N3" s="1244"/>
      <c r="O3" s="1244"/>
      <c r="P3" s="1244"/>
      <c r="Q3" s="1244"/>
      <c r="R3" s="1244"/>
      <c r="S3" s="1244"/>
      <c r="T3" s="1244"/>
      <c r="U3" s="1244"/>
      <c r="V3" s="1244"/>
      <c r="W3" s="1244"/>
      <c r="X3" s="1244"/>
      <c r="Y3" s="1244"/>
      <c r="Z3" s="1244"/>
      <c r="AA3" s="1244"/>
      <c r="AB3" s="1244"/>
      <c r="AC3" s="1244"/>
      <c r="AD3" s="1244"/>
      <c r="AE3" s="1244"/>
      <c r="AF3" s="1244"/>
      <c r="AG3" s="1244"/>
      <c r="AH3" s="1244"/>
      <c r="AI3" s="1244"/>
      <c r="AJ3" s="1244"/>
      <c r="AK3" s="1244"/>
      <c r="AL3" s="1244"/>
      <c r="AM3" s="1244"/>
      <c r="AN3" s="1244"/>
      <c r="AO3" s="1244"/>
      <c r="AP3" s="1244"/>
      <c r="AQ3" s="1244"/>
      <c r="AR3" s="1244"/>
      <c r="AS3" s="1292"/>
      <c r="AT3" s="1292"/>
      <c r="AU3" s="1292"/>
      <c r="AV3" s="1244"/>
      <c r="AW3" s="1244"/>
      <c r="AX3" s="1244"/>
      <c r="AY3" s="1264"/>
      <c r="AZ3" s="1244"/>
      <c r="BA3" s="1244"/>
      <c r="BB3" s="1244"/>
      <c r="BC3" s="1244"/>
      <c r="BD3" s="1244"/>
      <c r="BE3" s="1244"/>
      <c r="BF3" s="1244"/>
      <c r="BG3" s="1244"/>
      <c r="BH3" s="1244"/>
      <c r="BI3" s="1244"/>
      <c r="BJ3" s="1244"/>
      <c r="BK3" s="1244"/>
      <c r="BL3" s="1244"/>
      <c r="BM3" s="1244"/>
      <c r="BN3" s="1244"/>
      <c r="BO3" s="1244"/>
      <c r="BP3" s="1244"/>
      <c r="BQ3" s="1244"/>
      <c r="BR3" s="1244"/>
      <c r="BS3" s="1244"/>
    </row>
    <row r="4" spans="1:71" ht="15" customHeight="1" x14ac:dyDescent="0.25">
      <c r="A4" s="673"/>
      <c r="B4" s="1377" t="s">
        <v>1006</v>
      </c>
      <c r="C4" s="1357"/>
      <c r="D4" s="1357"/>
      <c r="E4" s="1357"/>
      <c r="F4" s="2602" t="s">
        <v>1007</v>
      </c>
      <c r="G4" s="2603"/>
      <c r="H4" s="2603"/>
      <c r="I4" s="2604"/>
      <c r="J4" s="2602" t="s">
        <v>10</v>
      </c>
      <c r="K4" s="2603"/>
      <c r="L4" s="2603"/>
      <c r="M4" s="2604"/>
      <c r="N4" s="2602" t="s">
        <v>1094</v>
      </c>
      <c r="O4" s="2603"/>
      <c r="P4" s="2603"/>
      <c r="Q4" s="2604"/>
      <c r="R4" s="2602" t="s">
        <v>1063</v>
      </c>
      <c r="S4" s="2603"/>
      <c r="T4" s="2603"/>
      <c r="U4" s="2604"/>
      <c r="V4" s="2602" t="s">
        <v>1008</v>
      </c>
      <c r="W4" s="2603"/>
      <c r="X4" s="2603"/>
      <c r="Y4" s="2604"/>
      <c r="Z4" s="2602" t="s">
        <v>172</v>
      </c>
      <c r="AA4" s="2603"/>
      <c r="AB4" s="2603"/>
      <c r="AC4" s="2604"/>
      <c r="AD4" s="2602" t="s">
        <v>1009</v>
      </c>
      <c r="AE4" s="2603"/>
      <c r="AF4" s="2603"/>
      <c r="AG4" s="2604"/>
      <c r="AH4" s="2605" t="s">
        <v>1005</v>
      </c>
      <c r="AI4" s="2606"/>
      <c r="AJ4" s="2606"/>
      <c r="AK4" s="2607"/>
      <c r="AL4" s="673"/>
      <c r="AM4" s="673"/>
      <c r="AN4" s="673"/>
      <c r="AO4" s="673"/>
      <c r="AP4" s="673"/>
      <c r="AQ4" s="673"/>
      <c r="AR4" s="1008" t="s">
        <v>223</v>
      </c>
      <c r="AS4" s="2932">
        <v>20</v>
      </c>
      <c r="AT4" s="2933"/>
      <c r="AU4" s="673"/>
      <c r="AV4" s="673"/>
      <c r="AW4" s="673"/>
      <c r="AX4" s="673"/>
      <c r="AY4" s="673"/>
      <c r="AZ4" s="673"/>
      <c r="BA4" s="673"/>
      <c r="BB4" s="1008" t="s">
        <v>224</v>
      </c>
      <c r="BC4" s="2932">
        <v>30</v>
      </c>
      <c r="BD4" s="2933"/>
      <c r="BE4" s="673"/>
      <c r="BF4" s="673"/>
      <c r="BG4" s="673"/>
      <c r="BH4" s="673"/>
      <c r="BI4" s="673"/>
      <c r="BJ4" s="1245"/>
      <c r="BK4" s="1245"/>
      <c r="BL4" s="1245"/>
      <c r="BM4" s="673"/>
      <c r="BN4" s="673"/>
      <c r="BO4" s="673"/>
    </row>
    <row r="5" spans="1:71" ht="15" customHeight="1" x14ac:dyDescent="0.25">
      <c r="A5" s="1877"/>
    </row>
    <row r="6" spans="1:71" ht="15" customHeight="1" thickBot="1" x14ac:dyDescent="0.3">
      <c r="A6" s="9"/>
      <c r="B6" s="1237" t="s">
        <v>1012</v>
      </c>
      <c r="C6" s="1358"/>
      <c r="D6" s="1359"/>
      <c r="E6" s="1358"/>
      <c r="F6" s="1359"/>
      <c r="G6" s="1235"/>
      <c r="H6" s="1235"/>
      <c r="I6" s="1235"/>
      <c r="J6" s="1235"/>
      <c r="K6" s="1180"/>
      <c r="L6" s="1240"/>
      <c r="M6" s="1240"/>
      <c r="N6" s="1235"/>
      <c r="O6" s="1235"/>
      <c r="P6" s="1180"/>
      <c r="Q6" s="2650"/>
      <c r="R6" s="2650"/>
      <c r="S6" s="2650"/>
      <c r="T6" s="2650"/>
      <c r="U6" s="2650"/>
      <c r="V6" s="1235"/>
      <c r="W6" s="1235"/>
      <c r="X6" s="1235"/>
      <c r="Y6" s="1235"/>
      <c r="Z6" s="1235"/>
      <c r="AA6" s="1235"/>
      <c r="AB6" s="1235"/>
      <c r="AC6" s="1235"/>
      <c r="AD6" s="1235"/>
      <c r="AE6" s="1235"/>
      <c r="AF6" s="1235"/>
      <c r="AG6" s="1235"/>
      <c r="AH6" s="1235"/>
      <c r="AI6" s="1235"/>
      <c r="AJ6" s="1235"/>
      <c r="AK6" s="1235"/>
      <c r="AL6" s="1235"/>
      <c r="AM6" s="1235"/>
      <c r="AN6" s="1235"/>
      <c r="AO6" s="1235"/>
      <c r="AP6" s="1235"/>
      <c r="AQ6" s="1235"/>
      <c r="AR6" s="1235"/>
      <c r="AS6" s="1180" t="s">
        <v>96</v>
      </c>
      <c r="AT6" s="2650">
        <f ca="1">TODAY()</f>
        <v>45920</v>
      </c>
      <c r="AU6" s="2650"/>
      <c r="AV6" s="2650"/>
      <c r="AW6" s="2650"/>
      <c r="AX6" s="2650"/>
      <c r="AY6" s="277"/>
    </row>
    <row r="7" spans="1:71" ht="15" customHeight="1" thickTop="1" x14ac:dyDescent="0.25">
      <c r="A7" s="9"/>
      <c r="B7" s="9"/>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1293"/>
      <c r="AT7" s="1293"/>
      <c r="AU7" s="1293"/>
      <c r="AV7" s="9"/>
      <c r="AW7" s="9"/>
      <c r="AX7" s="9"/>
      <c r="AY7" s="277"/>
    </row>
    <row r="8" spans="1:71" ht="15" customHeight="1" x14ac:dyDescent="0.25">
      <c r="A8" s="9"/>
      <c r="B8" s="1160" t="s">
        <v>992</v>
      </c>
      <c r="C8" s="9"/>
      <c r="D8" s="9"/>
      <c r="E8" s="9"/>
      <c r="F8" s="9"/>
      <c r="G8" s="9"/>
      <c r="H8" s="9"/>
      <c r="I8" s="9"/>
      <c r="J8" s="9"/>
      <c r="K8" s="9"/>
      <c r="L8" s="9"/>
      <c r="M8" s="9"/>
      <c r="N8" s="9"/>
      <c r="O8" s="9"/>
      <c r="P8" s="9"/>
      <c r="Q8" s="9"/>
      <c r="R8" s="9"/>
      <c r="S8" s="9"/>
      <c r="T8" s="9"/>
      <c r="U8" s="9"/>
      <c r="V8" s="9"/>
      <c r="W8" s="9"/>
      <c r="X8" s="9"/>
      <c r="Y8" s="9"/>
      <c r="Z8" s="9"/>
      <c r="AA8" s="1160" t="s">
        <v>996</v>
      </c>
      <c r="AB8" s="9"/>
      <c r="AC8" s="9"/>
      <c r="AD8" s="9"/>
      <c r="AE8" s="9"/>
      <c r="AF8" s="9"/>
      <c r="AG8" s="9"/>
      <c r="AH8" s="9"/>
      <c r="AI8" s="9"/>
      <c r="AJ8" s="9"/>
      <c r="AK8" s="9"/>
      <c r="AL8" s="9"/>
      <c r="AM8" s="9"/>
      <c r="AN8" s="9"/>
      <c r="AO8" s="9"/>
      <c r="AP8" s="9"/>
      <c r="AQ8" s="9"/>
      <c r="AR8" s="9"/>
      <c r="AS8" s="9"/>
      <c r="AT8" s="9"/>
      <c r="AU8" s="1293"/>
      <c r="AV8" s="9"/>
      <c r="AW8" s="9"/>
      <c r="AX8" s="9"/>
      <c r="AY8" s="277"/>
    </row>
    <row r="9" spans="1:71" ht="15" customHeight="1" x14ac:dyDescent="0.25">
      <c r="A9" s="9"/>
      <c r="B9" s="1252"/>
      <c r="C9" s="1254" t="s">
        <v>993</v>
      </c>
      <c r="D9" s="1253"/>
      <c r="E9" s="1253"/>
      <c r="F9" s="1253"/>
      <c r="G9" s="1253"/>
      <c r="H9" s="1253"/>
      <c r="I9" s="2855">
        <f>DASHBOARD!AZ87</f>
        <v>7049.3458498885448</v>
      </c>
      <c r="J9" s="2855"/>
      <c r="K9" s="2855"/>
      <c r="L9" s="1278"/>
      <c r="M9" s="1254" t="s">
        <v>995</v>
      </c>
      <c r="N9" s="1253"/>
      <c r="O9" s="1253"/>
      <c r="P9" s="1253"/>
      <c r="Q9" s="1253"/>
      <c r="R9" s="1253"/>
      <c r="S9" s="1253"/>
      <c r="T9" s="1253"/>
      <c r="U9" s="2855">
        <f>DASHBOARD!AZ80</f>
        <v>116000</v>
      </c>
      <c r="V9" s="2855"/>
      <c r="W9" s="2855"/>
      <c r="X9" s="1367"/>
      <c r="Y9" s="9"/>
      <c r="Z9" s="9"/>
      <c r="AA9" s="1252" t="str">
        <f>DASHBOARD!AP103</f>
        <v>Cash Needed :</v>
      </c>
      <c r="AB9" s="1257"/>
      <c r="AC9" s="1257"/>
      <c r="AD9" s="1257"/>
      <c r="AE9" s="1257"/>
      <c r="AF9" s="2935">
        <f>DASHBOARD!AZ103</f>
        <v>0</v>
      </c>
      <c r="AG9" s="2935"/>
      <c r="AH9" s="2935"/>
      <c r="AI9" s="1257"/>
      <c r="AJ9" s="1254" t="str">
        <f>DASHBOARD!AP98</f>
        <v>Repayment of Existing Loan :</v>
      </c>
      <c r="AK9" s="1257"/>
      <c r="AL9" s="1257"/>
      <c r="AM9" s="1257"/>
      <c r="AN9" s="1257"/>
      <c r="AO9" s="1257"/>
      <c r="AP9" s="1257"/>
      <c r="AQ9" s="1257"/>
      <c r="AR9" s="2935">
        <f>DASHBOARD!AZ98</f>
        <v>0</v>
      </c>
      <c r="AS9" s="2935"/>
      <c r="AT9" s="2938"/>
      <c r="AU9" s="1293"/>
      <c r="AV9" s="1293"/>
      <c r="AW9" s="1293"/>
      <c r="AX9" s="1293"/>
      <c r="AY9" s="277"/>
    </row>
    <row r="10" spans="1:71" ht="15" customHeight="1" x14ac:dyDescent="0.25">
      <c r="A10" s="9"/>
      <c r="B10" s="898"/>
      <c r="C10" s="20" t="s">
        <v>994</v>
      </c>
      <c r="D10" s="1250"/>
      <c r="E10" s="1250"/>
      <c r="F10" s="1250"/>
      <c r="G10" s="1250"/>
      <c r="H10" s="1250"/>
      <c r="I10" s="2856">
        <f>loan_amount</f>
        <v>118970</v>
      </c>
      <c r="J10" s="2856"/>
      <c r="K10" s="2856"/>
      <c r="L10" s="1250"/>
      <c r="M10" s="20" t="str">
        <f>DASHBOARD!AP81</f>
        <v>Repair / Refurbishment Cost :</v>
      </c>
      <c r="N10" s="1250"/>
      <c r="O10" s="1250"/>
      <c r="P10" s="1250"/>
      <c r="Q10" s="1250"/>
      <c r="R10" s="1250"/>
      <c r="S10" s="1250"/>
      <c r="T10" s="1250"/>
      <c r="U10" s="2856">
        <f>DASHBOARD!AZ81</f>
        <v>0</v>
      </c>
      <c r="V10" s="2856"/>
      <c r="W10" s="2856"/>
      <c r="X10" s="1368"/>
      <c r="Y10" s="9"/>
      <c r="Z10" s="9"/>
      <c r="AA10" s="898" t="str">
        <f>DASHBOARD!AP104</f>
        <v>Loan Amount :</v>
      </c>
      <c r="AB10" s="20"/>
      <c r="AC10" s="20"/>
      <c r="AD10" s="20"/>
      <c r="AE10" s="20"/>
      <c r="AF10" s="2507">
        <f>DASHBOARD!AZ104</f>
        <v>0</v>
      </c>
      <c r="AG10" s="2507"/>
      <c r="AH10" s="2507"/>
      <c r="AI10" s="20"/>
      <c r="AJ10" s="1272" t="str">
        <f>DASHBOARD!AP99</f>
        <v>Financing Cost :</v>
      </c>
      <c r="AK10" s="20"/>
      <c r="AL10" s="20"/>
      <c r="AM10" s="20"/>
      <c r="AN10" s="20"/>
      <c r="AO10" s="20"/>
      <c r="AP10" s="20"/>
      <c r="AQ10" s="20"/>
      <c r="AR10" s="2507">
        <f>DASHBOARD!AZ99</f>
        <v>0</v>
      </c>
      <c r="AS10" s="2507"/>
      <c r="AT10" s="2939"/>
      <c r="AU10" s="1293"/>
      <c r="AV10" s="1293"/>
      <c r="AW10" s="1293"/>
      <c r="AX10" s="1293"/>
      <c r="AY10" s="277"/>
    </row>
    <row r="11" spans="1:71" ht="15" customHeight="1" x14ac:dyDescent="0.25">
      <c r="A11" s="9"/>
      <c r="B11" s="1145"/>
      <c r="C11" s="1258"/>
      <c r="D11" s="1248"/>
      <c r="E11" s="1248"/>
      <c r="F11" s="1248"/>
      <c r="G11" s="1248"/>
      <c r="H11" s="1248"/>
      <c r="I11" s="1248"/>
      <c r="J11" s="1248"/>
      <c r="K11" s="1248"/>
      <c r="L11" s="1248"/>
      <c r="M11" s="1251" t="str">
        <f>DASHBOARD!AP82</f>
        <v>Furniture &amp; Appliances :</v>
      </c>
      <c r="N11" s="1248"/>
      <c r="O11" s="1248"/>
      <c r="P11" s="1248"/>
      <c r="Q11" s="1248"/>
      <c r="R11" s="1248"/>
      <c r="S11" s="1248"/>
      <c r="T11" s="1248"/>
      <c r="U11" s="2857">
        <f>DASHBOARD!AZ82</f>
        <v>0.25</v>
      </c>
      <c r="V11" s="2857"/>
      <c r="W11" s="2857"/>
      <c r="X11" s="1369"/>
      <c r="Y11" s="9"/>
      <c r="Z11" s="9"/>
      <c r="AA11" s="1145"/>
      <c r="AB11" s="1260"/>
      <c r="AC11" s="1260"/>
      <c r="AD11" s="1260"/>
      <c r="AE11" s="1260"/>
      <c r="AF11" s="2936"/>
      <c r="AG11" s="2936"/>
      <c r="AH11" s="2936"/>
      <c r="AI11" s="1260"/>
      <c r="AJ11" s="1251" t="str">
        <f>DASHBOARD!AP100</f>
        <v>Net Cash Out :</v>
      </c>
      <c r="AK11" s="1260"/>
      <c r="AL11" s="1260"/>
      <c r="AM11" s="1260"/>
      <c r="AN11" s="1260"/>
      <c r="AO11" s="1260"/>
      <c r="AP11" s="1260"/>
      <c r="AQ11" s="1260"/>
      <c r="AR11" s="2940">
        <f>DASHBOARD!AZ100</f>
        <v>0</v>
      </c>
      <c r="AS11" s="2940"/>
      <c r="AT11" s="2941"/>
      <c r="AU11" s="1293"/>
      <c r="AV11" s="1293"/>
      <c r="AW11" s="1293"/>
      <c r="AX11" s="1293"/>
      <c r="AY11" s="277"/>
    </row>
    <row r="12" spans="1:71" ht="15" customHeight="1" x14ac:dyDescent="0.25">
      <c r="A12" s="9"/>
      <c r="B12" s="898"/>
      <c r="C12" s="20"/>
      <c r="D12" s="1250"/>
      <c r="E12" s="1250"/>
      <c r="F12" s="1250"/>
      <c r="G12" s="1250"/>
      <c r="H12" s="1250"/>
      <c r="I12" s="1250"/>
      <c r="J12" s="1250"/>
      <c r="K12" s="1250"/>
      <c r="L12" s="1250"/>
      <c r="M12" s="732" t="str">
        <f>DASHBOARD!AP83</f>
        <v>Other Acquisition Costs :</v>
      </c>
      <c r="N12" s="1250"/>
      <c r="O12" s="1250"/>
      <c r="P12" s="1250"/>
      <c r="Q12" s="1250"/>
      <c r="R12" s="1250"/>
      <c r="S12" s="1250"/>
      <c r="T12" s="1250"/>
      <c r="U12" s="2856">
        <f>DASHBOARD!AZ83</f>
        <v>6450</v>
      </c>
      <c r="V12" s="2856"/>
      <c r="W12" s="2856"/>
      <c r="X12" s="1368"/>
      <c r="Y12" s="9"/>
      <c r="Z12" s="9"/>
      <c r="AA12" s="1166" t="s">
        <v>487</v>
      </c>
      <c r="AB12" s="1168"/>
      <c r="AC12" s="1168"/>
      <c r="AD12" s="1168"/>
      <c r="AE12" s="1168"/>
      <c r="AF12" s="2937">
        <f>SUM(AF9:AF11)</f>
        <v>0</v>
      </c>
      <c r="AG12" s="2937"/>
      <c r="AH12" s="2937"/>
      <c r="AI12" s="1168"/>
      <c r="AJ12" s="1318" t="s">
        <v>486</v>
      </c>
      <c r="AK12" s="1168"/>
      <c r="AL12" s="1168"/>
      <c r="AM12" s="1168"/>
      <c r="AN12" s="1168"/>
      <c r="AO12" s="1168"/>
      <c r="AP12" s="1168"/>
      <c r="AQ12" s="1168"/>
      <c r="AR12" s="2937">
        <f>SUM(AR9:AR11)</f>
        <v>0</v>
      </c>
      <c r="AS12" s="2937"/>
      <c r="AT12" s="2942"/>
      <c r="AU12" s="1293"/>
      <c r="AV12" s="1293"/>
      <c r="AW12" s="1293"/>
      <c r="AX12" s="1293"/>
      <c r="AY12" s="277"/>
    </row>
    <row r="13" spans="1:71" ht="15" customHeight="1" x14ac:dyDescent="0.25">
      <c r="A13" s="9"/>
      <c r="B13" s="1145"/>
      <c r="C13" s="1258"/>
      <c r="D13" s="1248"/>
      <c r="E13" s="1248"/>
      <c r="F13" s="1248"/>
      <c r="G13" s="1248"/>
      <c r="H13" s="1248"/>
      <c r="I13" s="1248"/>
      <c r="J13" s="1248"/>
      <c r="K13" s="1248"/>
      <c r="L13" s="1248"/>
      <c r="M13" s="1251" t="str">
        <f>DASHBOARD!AP84</f>
        <v>Financing Cost :</v>
      </c>
      <c r="N13" s="1248"/>
      <c r="O13" s="1248"/>
      <c r="P13" s="1248"/>
      <c r="Q13" s="1248"/>
      <c r="R13" s="1248"/>
      <c r="S13" s="1248"/>
      <c r="T13" s="1248"/>
      <c r="U13" s="2858">
        <f>DASHBOARD!AZ84</f>
        <v>3569.0958498885466</v>
      </c>
      <c r="V13" s="2858"/>
      <c r="W13" s="2858"/>
      <c r="X13" s="1370"/>
      <c r="Y13" s="9"/>
      <c r="Z13" s="9"/>
      <c r="AA13" s="9"/>
      <c r="AB13" s="9"/>
      <c r="AC13" s="9"/>
      <c r="AD13" s="9"/>
      <c r="AE13" s="9"/>
      <c r="AF13" s="9"/>
      <c r="AG13" s="9"/>
      <c r="AH13" s="9"/>
      <c r="AI13" s="9"/>
      <c r="AJ13" s="9"/>
      <c r="AK13" s="9"/>
      <c r="AL13" s="9"/>
      <c r="AM13" s="9"/>
      <c r="AN13" s="9"/>
      <c r="AO13" s="9"/>
      <c r="AP13" s="9"/>
      <c r="AQ13" s="9"/>
      <c r="AR13" s="9"/>
      <c r="AS13" s="9"/>
      <c r="AT13" s="9"/>
      <c r="AU13" s="1293"/>
      <c r="AV13" s="9"/>
      <c r="AW13" s="9"/>
      <c r="AX13" s="9"/>
      <c r="AY13" s="277"/>
    </row>
    <row r="14" spans="1:71" ht="15" customHeight="1" x14ac:dyDescent="0.25">
      <c r="A14" s="9"/>
      <c r="B14" s="1166"/>
      <c r="C14" s="1167" t="s">
        <v>487</v>
      </c>
      <c r="D14" s="1169"/>
      <c r="E14" s="1169"/>
      <c r="F14" s="1169"/>
      <c r="G14" s="1169"/>
      <c r="H14" s="1169"/>
      <c r="I14" s="2854">
        <f>SUM(I9:I13)</f>
        <v>126019.34584988854</v>
      </c>
      <c r="J14" s="2854"/>
      <c r="K14" s="2854"/>
      <c r="L14" s="1169"/>
      <c r="M14" s="1167" t="s">
        <v>486</v>
      </c>
      <c r="N14" s="1169"/>
      <c r="O14" s="1169"/>
      <c r="P14" s="1169"/>
      <c r="Q14" s="1169"/>
      <c r="R14" s="1169"/>
      <c r="S14" s="1169"/>
      <c r="T14" s="1169"/>
      <c r="U14" s="2854">
        <f>SUM(U9:U13)</f>
        <v>126019.34584988854</v>
      </c>
      <c r="V14" s="2854"/>
      <c r="W14" s="2854"/>
      <c r="X14" s="1371"/>
      <c r="Y14" s="9"/>
      <c r="Z14" s="9"/>
      <c r="AA14" s="1017" t="s">
        <v>997</v>
      </c>
      <c r="AB14" s="1017"/>
      <c r="AC14" s="1017"/>
      <c r="AD14" s="2"/>
      <c r="AE14" s="2"/>
      <c r="AF14" s="2"/>
      <c r="AG14" s="9"/>
      <c r="AH14" s="9"/>
      <c r="AI14" s="9"/>
      <c r="AJ14" s="9"/>
      <c r="AK14" s="1293"/>
      <c r="AL14" s="1293"/>
      <c r="AM14" s="1293"/>
      <c r="AN14" s="9"/>
      <c r="AO14" s="9"/>
      <c r="AP14" s="9"/>
      <c r="AQ14" s="9"/>
      <c r="AR14" s="1293"/>
      <c r="AS14" s="1293"/>
      <c r="AT14" s="1293"/>
      <c r="AU14" s="1293"/>
      <c r="AV14" s="1293"/>
      <c r="AW14" s="1293"/>
      <c r="AX14" s="1293"/>
      <c r="AY14" s="277"/>
    </row>
    <row r="15" spans="1:71" ht="15" customHeight="1" x14ac:dyDescent="0.25">
      <c r="A15" s="9"/>
      <c r="B15" s="1247"/>
      <c r="C15" s="1247"/>
      <c r="D15" s="1247"/>
      <c r="E15" s="1247"/>
      <c r="F15" s="1247"/>
      <c r="G15" s="1247"/>
      <c r="H15" s="1247"/>
      <c r="I15" s="1247"/>
      <c r="J15" s="1247"/>
      <c r="K15" s="1247"/>
      <c r="L15" s="1247"/>
      <c r="M15" s="1247"/>
      <c r="N15" s="1247"/>
      <c r="O15" s="1247"/>
      <c r="P15" s="1247"/>
      <c r="Q15" s="1247"/>
      <c r="R15" s="1247"/>
      <c r="S15" s="1247"/>
      <c r="T15" s="1247"/>
      <c r="U15" s="1247"/>
      <c r="V15" s="1247"/>
      <c r="W15" s="9"/>
      <c r="X15" s="9"/>
      <c r="Y15" s="9"/>
      <c r="Z15" s="9"/>
      <c r="AA15" s="1252" t="s">
        <v>36</v>
      </c>
      <c r="AB15" s="1254"/>
      <c r="AC15" s="1254"/>
      <c r="AD15" s="1256"/>
      <c r="AE15" s="1256"/>
      <c r="AF15" s="1294"/>
      <c r="AG15" s="2716" t="str">
        <f>FORECASTS!U3</f>
        <v>n.a</v>
      </c>
      <c r="AH15" s="2716"/>
      <c r="AI15" s="2716"/>
      <c r="AJ15" s="1294"/>
      <c r="AK15" s="1294"/>
      <c r="AL15" s="1257"/>
      <c r="AM15" s="1294" t="s">
        <v>998</v>
      </c>
      <c r="AN15" s="1294"/>
      <c r="AO15" s="1294"/>
      <c r="AP15" s="1294"/>
      <c r="AQ15" s="2929">
        <f>FORECASTS!Y3</f>
        <v>32.383204884537385</v>
      </c>
      <c r="AR15" s="2929"/>
      <c r="AS15" s="2929"/>
      <c r="AT15" s="1255"/>
      <c r="AU15" s="1293"/>
      <c r="AV15" s="1293"/>
      <c r="AW15" s="1293"/>
      <c r="AX15" s="1293"/>
      <c r="AY15" s="1293"/>
    </row>
    <row r="16" spans="1:71" ht="15" customHeight="1" x14ac:dyDescent="0.25">
      <c r="A16" s="9"/>
      <c r="B16" s="1247"/>
      <c r="C16" s="1247"/>
      <c r="D16" s="1247"/>
      <c r="E16" s="1247"/>
      <c r="F16" s="1247"/>
      <c r="G16" s="1247"/>
      <c r="H16" s="1247"/>
      <c r="I16" s="1247"/>
      <c r="J16" s="1247"/>
      <c r="K16" s="1247"/>
      <c r="L16" s="1247"/>
      <c r="M16" s="1247"/>
      <c r="N16" s="1247"/>
      <c r="O16" s="1247"/>
      <c r="P16" s="1247"/>
      <c r="Q16" s="1247"/>
      <c r="R16" s="1247"/>
      <c r="S16" s="1247"/>
      <c r="T16" s="1247"/>
      <c r="U16" s="1247"/>
      <c r="V16" s="1247"/>
      <c r="W16" s="1247"/>
      <c r="X16" s="1247"/>
      <c r="Y16" s="9"/>
      <c r="Z16" s="9"/>
      <c r="AA16" s="898" t="s">
        <v>37</v>
      </c>
      <c r="AB16" s="20"/>
      <c r="AC16" s="20"/>
      <c r="AD16" s="20"/>
      <c r="AE16" s="20"/>
      <c r="AF16" s="84"/>
      <c r="AG16" s="2934">
        <f ca="1">FORECASTS!W3</f>
        <v>31.383204884537385</v>
      </c>
      <c r="AH16" s="2934"/>
      <c r="AI16" s="2934"/>
      <c r="AJ16" s="84"/>
      <c r="AK16" s="84"/>
      <c r="AL16" s="20"/>
      <c r="AM16" s="84" t="s">
        <v>999</v>
      </c>
      <c r="AN16" s="84"/>
      <c r="AO16" s="84"/>
      <c r="AP16" s="84"/>
      <c r="AQ16" s="2930">
        <f>DASHBOARD!BD5</f>
        <v>0</v>
      </c>
      <c r="AR16" s="2930"/>
      <c r="AS16" s="2930"/>
      <c r="AT16" s="989"/>
      <c r="AU16" s="1293"/>
      <c r="AV16" s="1293"/>
      <c r="AW16" s="1293"/>
      <c r="AX16" s="1293"/>
      <c r="AY16" s="1293"/>
    </row>
    <row r="17" spans="1:71" ht="15" customHeight="1" x14ac:dyDescent="0.25">
      <c r="A17" s="9"/>
      <c r="B17" s="1247"/>
      <c r="C17" s="1247"/>
      <c r="D17" s="1247"/>
      <c r="E17" s="1247"/>
      <c r="F17" s="1247"/>
      <c r="G17" s="1247"/>
      <c r="H17" s="1247"/>
      <c r="I17" s="1247"/>
      <c r="J17" s="1247"/>
      <c r="K17" s="1247"/>
      <c r="L17" s="1247"/>
      <c r="M17" s="1247"/>
      <c r="N17" s="1247"/>
      <c r="O17" s="1247"/>
      <c r="P17" s="1247"/>
      <c r="Q17" s="1247"/>
      <c r="R17" s="1247"/>
      <c r="S17" s="1247"/>
      <c r="T17" s="1247"/>
      <c r="U17" s="1247"/>
      <c r="V17" s="1247"/>
      <c r="W17" s="1247"/>
      <c r="X17" s="1247"/>
      <c r="Y17" s="9"/>
      <c r="Z17" s="9"/>
      <c r="AA17" s="1319" t="s">
        <v>38</v>
      </c>
      <c r="AB17" s="1282"/>
      <c r="AC17" s="1282"/>
      <c r="AD17" s="1261"/>
      <c r="AE17" s="1261"/>
      <c r="AF17" s="1295"/>
      <c r="AG17" s="2928">
        <f>FORECASTS!AA3</f>
        <v>221231.06510901553</v>
      </c>
      <c r="AH17" s="2928"/>
      <c r="AI17" s="2928"/>
      <c r="AJ17" s="1295"/>
      <c r="AK17" s="1295"/>
      <c r="AL17" s="1262"/>
      <c r="AM17" s="1295" t="s">
        <v>1000</v>
      </c>
      <c r="AN17" s="1295"/>
      <c r="AO17" s="1295"/>
      <c r="AP17" s="1295"/>
      <c r="AQ17" s="2931" t="str">
        <f ca="1">DASHBOARD!$AY$245</f>
        <v>n.a</v>
      </c>
      <c r="AR17" s="2931"/>
      <c r="AS17" s="2931"/>
      <c r="AT17" s="1263"/>
      <c r="AU17" s="1293"/>
      <c r="AV17" s="1293"/>
      <c r="AW17" s="1293"/>
      <c r="AX17" s="1293"/>
      <c r="AY17" s="1293"/>
    </row>
    <row r="18" spans="1:71" s="1366" customFormat="1" ht="15" customHeight="1" x14ac:dyDescent="0.25">
      <c r="A18" s="9"/>
      <c r="B18" s="1160"/>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1293"/>
      <c r="AT18" s="1293"/>
      <c r="AU18" s="1293"/>
      <c r="AV18" s="9"/>
      <c r="AW18" s="9"/>
      <c r="AX18" s="9"/>
      <c r="AY18" s="277"/>
      <c r="AZ18" s="331"/>
      <c r="BA18" s="331"/>
      <c r="BB18" s="331"/>
      <c r="BC18" s="331"/>
      <c r="BD18" s="331"/>
      <c r="BE18" s="331"/>
      <c r="BF18" s="331"/>
      <c r="BG18" s="331"/>
      <c r="BH18" s="331"/>
      <c r="BI18" s="331"/>
      <c r="BJ18" s="331"/>
      <c r="BK18" s="331"/>
      <c r="BL18" s="331"/>
      <c r="BM18" s="331"/>
      <c r="BN18" s="331"/>
      <c r="BO18" s="331"/>
      <c r="BP18" s="331"/>
      <c r="BQ18" s="331"/>
      <c r="BR18" s="331"/>
      <c r="BS18" s="331"/>
    </row>
    <row r="19" spans="1:71" ht="15" customHeight="1" x14ac:dyDescent="0.25">
      <c r="A19" s="9"/>
      <c r="B19" s="1160"/>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1293"/>
      <c r="AT19" s="1293"/>
      <c r="AU19" s="1293"/>
      <c r="AV19" s="9"/>
      <c r="AW19" s="9"/>
      <c r="AX19" s="9"/>
      <c r="AY19" s="277"/>
      <c r="BP19" s="1366"/>
      <c r="BQ19" s="1366"/>
      <c r="BR19" s="1366"/>
      <c r="BS19" s="1366"/>
    </row>
    <row r="20" spans="1:71" ht="14.25" customHeight="1" x14ac:dyDescent="0.25">
      <c r="A20" s="23"/>
      <c r="B20" s="1234" t="s">
        <v>990</v>
      </c>
      <c r="C20" s="1234"/>
      <c r="D20" s="1234"/>
      <c r="E20" s="1234"/>
      <c r="F20" s="1234"/>
      <c r="G20" s="1234"/>
      <c r="H20" s="1234"/>
      <c r="I20" s="1234"/>
      <c r="J20" s="1234"/>
      <c r="K20" s="1234"/>
      <c r="L20" s="1234"/>
      <c r="M20" s="1234"/>
      <c r="N20" s="1234"/>
      <c r="O20" s="1234"/>
      <c r="P20" s="1234"/>
      <c r="Q20" s="1234"/>
      <c r="R20" s="1234"/>
      <c r="S20" s="1234"/>
      <c r="T20" s="1234"/>
      <c r="U20" s="1234"/>
      <c r="V20" s="1234"/>
      <c r="W20" s="1234"/>
      <c r="X20" s="1234"/>
      <c r="Y20" s="1234"/>
      <c r="Z20" s="1234"/>
      <c r="AA20" s="1234"/>
      <c r="AB20" s="1234"/>
      <c r="AC20" s="1234"/>
      <c r="AD20" s="1234"/>
      <c r="AE20" s="1234"/>
      <c r="AF20" s="1234"/>
      <c r="AG20" s="1234"/>
      <c r="AH20" s="1234"/>
      <c r="AI20" s="1234"/>
      <c r="AJ20" s="1234"/>
      <c r="AK20" s="1234"/>
      <c r="AL20" s="1234"/>
      <c r="AM20" s="1234"/>
      <c r="AN20" s="1234"/>
      <c r="AO20" s="1234"/>
      <c r="AP20" s="1234"/>
      <c r="AQ20" s="1234"/>
      <c r="AR20" s="1234"/>
      <c r="AS20" s="1234"/>
      <c r="AT20" s="1234"/>
      <c r="AU20" s="1234"/>
      <c r="AV20" s="1234"/>
      <c r="AW20" s="1234"/>
      <c r="AX20" s="1234"/>
      <c r="AY20" s="632"/>
      <c r="AZ20" s="1366"/>
      <c r="BA20" s="1366"/>
      <c r="BB20" s="1366"/>
      <c r="BC20" s="1366"/>
      <c r="BD20" s="1366"/>
      <c r="BE20" s="1366"/>
      <c r="BF20" s="1366"/>
      <c r="BG20" s="1366"/>
      <c r="BH20" s="1366"/>
      <c r="BI20" s="1366"/>
      <c r="BJ20" s="1366"/>
      <c r="BK20" s="1366"/>
      <c r="BL20" s="1366"/>
      <c r="BM20" s="1366"/>
      <c r="BN20" s="1366"/>
      <c r="BO20" s="1366"/>
    </row>
    <row r="21" spans="1:71" ht="15" customHeight="1" x14ac:dyDescent="0.25">
      <c r="A21" s="9"/>
      <c r="B21" s="1160"/>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1293"/>
      <c r="AT21" s="1293"/>
      <c r="AU21" s="1293"/>
      <c r="AV21" s="9"/>
      <c r="AW21" s="9"/>
      <c r="AX21" s="9"/>
      <c r="AY21" s="277"/>
    </row>
    <row r="22" spans="1:71" s="344" customFormat="1" ht="15" customHeight="1" thickBot="1" x14ac:dyDescent="0.3">
      <c r="A22" s="9"/>
      <c r="B22" s="1330"/>
      <c r="C22" s="1331"/>
      <c r="D22" s="1331"/>
      <c r="E22" s="1331"/>
      <c r="F22" s="1331"/>
      <c r="G22" s="1331"/>
      <c r="H22" s="1331"/>
      <c r="I22" s="1331"/>
      <c r="J22" s="1331"/>
      <c r="K22" s="1331"/>
      <c r="L22" s="1331"/>
      <c r="M22" s="1331"/>
      <c r="N22" s="1331"/>
      <c r="O22" s="1331"/>
      <c r="P22" s="1331"/>
      <c r="Q22" s="1331"/>
      <c r="R22" s="1331"/>
      <c r="S22" s="1331"/>
      <c r="T22" s="1331"/>
      <c r="U22" s="1331"/>
      <c r="V22" s="1331"/>
      <c r="W22" s="1331"/>
      <c r="X22" s="1331"/>
      <c r="Y22" s="1331"/>
      <c r="Z22" s="1331"/>
      <c r="AA22" s="1331"/>
      <c r="AB22" s="1331"/>
      <c r="AC22" s="1331"/>
      <c r="AD22" s="1331"/>
      <c r="AE22" s="1331"/>
      <c r="AF22" s="1331"/>
      <c r="AG22" s="1331"/>
      <c r="AH22" s="1331"/>
      <c r="AI22" s="1331"/>
      <c r="AJ22" s="1331"/>
      <c r="AK22" s="1331"/>
      <c r="AL22" s="1331"/>
      <c r="AM22" s="1331"/>
      <c r="AN22" s="1331"/>
      <c r="AO22" s="1331"/>
      <c r="AP22" s="1331"/>
      <c r="AQ22" s="1332"/>
      <c r="AR22" s="1332"/>
      <c r="AS22" s="1332"/>
      <c r="AT22" s="1331"/>
      <c r="AU22" s="1331"/>
      <c r="AV22" s="1331"/>
      <c r="AW22" s="1331"/>
      <c r="AX22" s="1333"/>
      <c r="AY22" s="277"/>
      <c r="AZ22" s="331"/>
      <c r="BA22" s="331"/>
      <c r="BB22" s="331"/>
      <c r="BC22" s="331"/>
      <c r="BD22" s="331"/>
      <c r="BE22" s="331"/>
      <c r="BF22" s="331"/>
      <c r="BG22" s="331"/>
      <c r="BH22" s="331"/>
      <c r="BI22" s="331"/>
      <c r="BJ22" s="331"/>
      <c r="BK22" s="331"/>
      <c r="BL22" s="331"/>
      <c r="BM22" s="331"/>
      <c r="BN22" s="331"/>
      <c r="BO22" s="331"/>
      <c r="BP22" s="331"/>
      <c r="BQ22" s="331"/>
      <c r="BR22" s="331"/>
      <c r="BS22" s="331"/>
    </row>
    <row r="23" spans="1:71" s="344" customFormat="1" ht="15" customHeight="1" x14ac:dyDescent="0.25">
      <c r="A23" s="9"/>
      <c r="B23" s="1334"/>
      <c r="C23" s="1335"/>
      <c r="D23" s="1335"/>
      <c r="E23" s="1335"/>
      <c r="F23" s="1335"/>
      <c r="G23" s="1335"/>
      <c r="H23" s="1335"/>
      <c r="I23" s="1335"/>
      <c r="J23" s="1336" t="s">
        <v>40</v>
      </c>
      <c r="K23" s="1335"/>
      <c r="L23" s="2859">
        <f>YEAR(FORECASTS!E8)</f>
        <v>2025</v>
      </c>
      <c r="M23" s="2859"/>
      <c r="N23" s="2859"/>
      <c r="O23" s="2859">
        <f>YEAR(FORECASTS!F8)</f>
        <v>2026</v>
      </c>
      <c r="P23" s="2859"/>
      <c r="Q23" s="2859"/>
      <c r="R23" s="2859">
        <f>YEAR(FORECASTS!G8)</f>
        <v>2027</v>
      </c>
      <c r="S23" s="2859"/>
      <c r="T23" s="2859"/>
      <c r="U23" s="2859">
        <f>YEAR(FORECASTS!H8)</f>
        <v>2028</v>
      </c>
      <c r="V23" s="2859"/>
      <c r="W23" s="2859"/>
      <c r="X23" s="2859">
        <f>YEAR(FORECASTS!I8)</f>
        <v>2029</v>
      </c>
      <c r="Y23" s="2859"/>
      <c r="Z23" s="2859"/>
      <c r="AA23" s="2859">
        <f>YEAR(FORECASTS!J8)</f>
        <v>2030</v>
      </c>
      <c r="AB23" s="2859"/>
      <c r="AC23" s="2859"/>
      <c r="AD23" s="2859">
        <f>YEAR(FORECASTS!K8)</f>
        <v>2031</v>
      </c>
      <c r="AE23" s="2859"/>
      <c r="AF23" s="2859"/>
      <c r="AG23" s="2859">
        <f>YEAR(FORECASTS!L8)</f>
        <v>2032</v>
      </c>
      <c r="AH23" s="2859"/>
      <c r="AI23" s="2859"/>
      <c r="AJ23" s="2859">
        <f>YEAR(FORECASTS!M8)</f>
        <v>2033</v>
      </c>
      <c r="AK23" s="2859"/>
      <c r="AL23" s="2859"/>
      <c r="AM23" s="2859">
        <f>YEAR(FORECASTS!N8)</f>
        <v>2034</v>
      </c>
      <c r="AN23" s="2859"/>
      <c r="AO23" s="2859"/>
      <c r="AP23" s="1337"/>
      <c r="AQ23" s="2877">
        <f>YEAR(INDEX(FORECASTS!$E$8:$AI$8,0,'FORECASTS (R)'!AQ24))</f>
        <v>2044</v>
      </c>
      <c r="AR23" s="2878"/>
      <c r="AS23" s="2879"/>
      <c r="AT23" s="1338"/>
      <c r="AU23" s="2877">
        <f>YEAR(INDEX(FORECASTS!$E$8:$AI$8,0,'FORECASTS (R)'!AU24))</f>
        <v>2054</v>
      </c>
      <c r="AV23" s="2878"/>
      <c r="AW23" s="2879"/>
      <c r="AX23" s="1339"/>
      <c r="AY23" s="794"/>
      <c r="AZ23" s="331"/>
      <c r="BA23" s="331"/>
      <c r="BB23" s="331"/>
      <c r="BC23" s="331"/>
      <c r="BD23" s="331"/>
      <c r="BE23" s="331"/>
      <c r="BF23" s="331"/>
      <c r="BG23" s="331"/>
      <c r="BH23" s="331"/>
      <c r="BI23" s="331"/>
      <c r="BJ23" s="331"/>
      <c r="BK23" s="331"/>
      <c r="BL23" s="331"/>
      <c r="BM23" s="331"/>
      <c r="BN23" s="331"/>
      <c r="BO23" s="331"/>
    </row>
    <row r="24" spans="1:71" s="345" customFormat="1" ht="15" customHeight="1" x14ac:dyDescent="0.25">
      <c r="A24" s="100"/>
      <c r="B24" s="19"/>
      <c r="C24" s="1301"/>
      <c r="D24" s="1301"/>
      <c r="E24" s="1301"/>
      <c r="F24" s="1301"/>
      <c r="G24" s="1301"/>
      <c r="H24" s="1301"/>
      <c r="I24" s="1301"/>
      <c r="J24" s="238" t="s">
        <v>41</v>
      </c>
      <c r="K24" s="1301"/>
      <c r="L24" s="2860">
        <f>DEBT!D12</f>
        <v>1</v>
      </c>
      <c r="M24" s="2860"/>
      <c r="N24" s="2860"/>
      <c r="O24" s="2860">
        <f>DEBT!E12</f>
        <v>2</v>
      </c>
      <c r="P24" s="2860"/>
      <c r="Q24" s="2860"/>
      <c r="R24" s="2860">
        <f>DEBT!F12</f>
        <v>3</v>
      </c>
      <c r="S24" s="2860"/>
      <c r="T24" s="2860"/>
      <c r="U24" s="2860">
        <f>DEBT!G12</f>
        <v>4</v>
      </c>
      <c r="V24" s="2860"/>
      <c r="W24" s="2860"/>
      <c r="X24" s="2860">
        <f>DEBT!H12</f>
        <v>5</v>
      </c>
      <c r="Y24" s="2860"/>
      <c r="Z24" s="2860"/>
      <c r="AA24" s="2860">
        <f>DEBT!I12</f>
        <v>6</v>
      </c>
      <c r="AB24" s="2860"/>
      <c r="AC24" s="2860"/>
      <c r="AD24" s="2860">
        <f>DEBT!J12</f>
        <v>7</v>
      </c>
      <c r="AE24" s="2860"/>
      <c r="AF24" s="2860"/>
      <c r="AG24" s="2860">
        <f>DEBT!K12</f>
        <v>8</v>
      </c>
      <c r="AH24" s="2860"/>
      <c r="AI24" s="2860"/>
      <c r="AJ24" s="2860">
        <f>DEBT!L12</f>
        <v>9</v>
      </c>
      <c r="AK24" s="2860"/>
      <c r="AL24" s="2860"/>
      <c r="AM24" s="2860">
        <f>DEBT!M12</f>
        <v>10</v>
      </c>
      <c r="AN24" s="2860"/>
      <c r="AO24" s="2860"/>
      <c r="AP24" s="1320"/>
      <c r="AQ24" s="2880">
        <f>AS4</f>
        <v>20</v>
      </c>
      <c r="AR24" s="2881"/>
      <c r="AS24" s="2882"/>
      <c r="AT24" s="5"/>
      <c r="AU24" s="2880">
        <f>BC4</f>
        <v>30</v>
      </c>
      <c r="AV24" s="2881"/>
      <c r="AW24" s="2882"/>
      <c r="AX24" s="4"/>
      <c r="AY24" s="794"/>
      <c r="AZ24" s="344"/>
      <c r="BA24" s="344"/>
      <c r="BB24" s="344"/>
      <c r="BC24" s="344"/>
      <c r="BD24" s="344"/>
      <c r="BE24" s="344"/>
      <c r="BF24" s="344"/>
      <c r="BG24" s="344"/>
      <c r="BH24" s="344"/>
      <c r="BI24" s="344"/>
      <c r="BJ24" s="344"/>
      <c r="BK24" s="344"/>
      <c r="BL24" s="344"/>
      <c r="BM24" s="344"/>
      <c r="BN24" s="344"/>
      <c r="BO24" s="344"/>
      <c r="BP24" s="344"/>
      <c r="BQ24" s="344"/>
      <c r="BR24" s="344"/>
      <c r="BS24" s="344"/>
    </row>
    <row r="25" spans="1:71" s="346" customFormat="1" ht="15" customHeight="1" x14ac:dyDescent="0.25">
      <c r="A25" s="100"/>
      <c r="B25" s="19"/>
      <c r="C25" s="1301"/>
      <c r="D25" s="1301"/>
      <c r="E25" s="1301"/>
      <c r="F25" s="1301"/>
      <c r="G25" s="1301"/>
      <c r="H25" s="1301"/>
      <c r="I25" s="1301"/>
      <c r="J25" s="238"/>
      <c r="K25" s="1301"/>
      <c r="L25" s="1320"/>
      <c r="M25" s="1321"/>
      <c r="N25" s="1321"/>
      <c r="O25" s="1320"/>
      <c r="P25" s="1321"/>
      <c r="Q25" s="1321"/>
      <c r="R25" s="1320"/>
      <c r="S25" s="1321"/>
      <c r="T25" s="1321"/>
      <c r="U25" s="1320"/>
      <c r="V25" s="1321"/>
      <c r="W25" s="1321"/>
      <c r="X25" s="1320"/>
      <c r="Y25" s="1321"/>
      <c r="Z25" s="1321"/>
      <c r="AA25" s="1320"/>
      <c r="AB25" s="1321"/>
      <c r="AC25" s="1321"/>
      <c r="AD25" s="1320"/>
      <c r="AE25" s="1321"/>
      <c r="AF25" s="1321"/>
      <c r="AG25" s="1320"/>
      <c r="AH25" s="1321"/>
      <c r="AI25" s="1321"/>
      <c r="AJ25" s="1320"/>
      <c r="AK25" s="1321"/>
      <c r="AL25" s="1321"/>
      <c r="AM25" s="1320"/>
      <c r="AN25" s="1321"/>
      <c r="AO25" s="1321"/>
      <c r="AP25" s="1320"/>
      <c r="AQ25" s="1300"/>
      <c r="AR25" s="1301"/>
      <c r="AS25" s="1302"/>
      <c r="AT25" s="5"/>
      <c r="AU25" s="1300"/>
      <c r="AV25" s="1301"/>
      <c r="AW25" s="1302"/>
      <c r="AX25" s="4"/>
      <c r="AY25" s="794"/>
      <c r="AZ25" s="344"/>
      <c r="BA25" s="344"/>
      <c r="BB25" s="344"/>
      <c r="BC25" s="344"/>
      <c r="BD25" s="344"/>
      <c r="BE25" s="344"/>
      <c r="BF25" s="344"/>
      <c r="BG25" s="344"/>
      <c r="BH25" s="344"/>
      <c r="BI25" s="344"/>
      <c r="BJ25" s="344"/>
      <c r="BK25" s="344"/>
      <c r="BL25" s="344"/>
      <c r="BM25" s="344"/>
      <c r="BN25" s="344"/>
      <c r="BO25" s="344"/>
      <c r="BP25" s="345"/>
      <c r="BQ25" s="345"/>
      <c r="BR25" s="345"/>
      <c r="BS25" s="345"/>
    </row>
    <row r="26" spans="1:71" s="344" customFormat="1" x14ac:dyDescent="0.25">
      <c r="A26" s="194"/>
      <c r="B26" s="1258" t="str">
        <f>FORECASTS!B26</f>
        <v>Net Rental Income</v>
      </c>
      <c r="C26" s="1259"/>
      <c r="D26" s="1259"/>
      <c r="E26" s="1259"/>
      <c r="F26" s="1259"/>
      <c r="G26" s="1259"/>
      <c r="H26" s="1259"/>
      <c r="I26" s="1259"/>
      <c r="J26" s="1322"/>
      <c r="K26" s="1259"/>
      <c r="L26" s="2861">
        <f>FORECASTS!E26</f>
        <v>0</v>
      </c>
      <c r="M26" s="2861"/>
      <c r="N26" s="2861"/>
      <c r="O26" s="2861">
        <f>FORECASTS!F26</f>
        <v>0</v>
      </c>
      <c r="P26" s="2861"/>
      <c r="Q26" s="2861"/>
      <c r="R26" s="2861">
        <f>FORECASTS!G26</f>
        <v>0</v>
      </c>
      <c r="S26" s="2861"/>
      <c r="T26" s="2861"/>
      <c r="U26" s="2861">
        <f>FORECASTS!H26</f>
        <v>0</v>
      </c>
      <c r="V26" s="2861"/>
      <c r="W26" s="2861"/>
      <c r="X26" s="2861">
        <f>FORECASTS!I26</f>
        <v>0</v>
      </c>
      <c r="Y26" s="2861"/>
      <c r="Z26" s="2861"/>
      <c r="AA26" s="2861">
        <f>FORECASTS!J26</f>
        <v>0</v>
      </c>
      <c r="AB26" s="2861"/>
      <c r="AC26" s="2861"/>
      <c r="AD26" s="2861">
        <f>FORECASTS!K26</f>
        <v>0</v>
      </c>
      <c r="AE26" s="2861"/>
      <c r="AF26" s="2861"/>
      <c r="AG26" s="2861">
        <f>FORECASTS!L26</f>
        <v>0</v>
      </c>
      <c r="AH26" s="2861"/>
      <c r="AI26" s="2861"/>
      <c r="AJ26" s="2861">
        <f>FORECASTS!M26</f>
        <v>0</v>
      </c>
      <c r="AK26" s="2861"/>
      <c r="AL26" s="2861"/>
      <c r="AM26" s="2861">
        <f>FORECASTS!N26</f>
        <v>0</v>
      </c>
      <c r="AN26" s="2861"/>
      <c r="AO26" s="2861"/>
      <c r="AP26" s="1249"/>
      <c r="AQ26" s="2883">
        <f>INDEX(FORECASTS!$E$26:$AI$26,0,$AQ$24)</f>
        <v>0</v>
      </c>
      <c r="AR26" s="2884"/>
      <c r="AS26" s="2885"/>
      <c r="AT26" s="1283"/>
      <c r="AU26" s="2883">
        <f>INDEX(FORECASTS!$E$26:$AI$26,0,AU24)</f>
        <v>0</v>
      </c>
      <c r="AV26" s="2884"/>
      <c r="AW26" s="2885"/>
      <c r="AX26" s="5"/>
      <c r="AY26" s="794"/>
      <c r="AZ26" s="345"/>
      <c r="BA26" s="345"/>
      <c r="BB26" s="345"/>
      <c r="BC26" s="345"/>
      <c r="BD26" s="345"/>
      <c r="BE26" s="345"/>
      <c r="BF26" s="345"/>
      <c r="BG26" s="345"/>
      <c r="BH26" s="345"/>
      <c r="BI26" s="345"/>
      <c r="BJ26" s="345"/>
      <c r="BK26" s="345"/>
      <c r="BL26" s="345"/>
      <c r="BM26" s="345"/>
      <c r="BN26" s="345"/>
      <c r="BO26" s="345"/>
      <c r="BP26" s="346"/>
      <c r="BQ26" s="346"/>
      <c r="BR26" s="346"/>
      <c r="BS26" s="346"/>
    </row>
    <row r="27" spans="1:71" s="344" customFormat="1" ht="15" customHeight="1" x14ac:dyDescent="0.25">
      <c r="A27" s="117"/>
      <c r="B27" s="1271" t="s">
        <v>42</v>
      </c>
      <c r="C27" s="1323"/>
      <c r="D27" s="1323"/>
      <c r="E27" s="1323"/>
      <c r="F27" s="1323"/>
      <c r="G27" s="1323"/>
      <c r="H27" s="1323"/>
      <c r="I27" s="1323"/>
      <c r="J27" s="1324"/>
      <c r="K27" s="1323"/>
      <c r="L27" s="2864" t="s">
        <v>43</v>
      </c>
      <c r="M27" s="2864"/>
      <c r="N27" s="2864"/>
      <c r="O27" s="2862">
        <f>IFERROR(IF(O24&lt;=holding,O26/L26-1,0),0)</f>
        <v>0</v>
      </c>
      <c r="P27" s="2862"/>
      <c r="Q27" s="2862"/>
      <c r="R27" s="2862">
        <f>IFERROR(IF(R24&lt;=holding,R26/O26-1,0),0)</f>
        <v>0</v>
      </c>
      <c r="S27" s="2862"/>
      <c r="T27" s="2862"/>
      <c r="U27" s="2862">
        <f>IFERROR(IF(U24&lt;=holding,U26/R26-1,0),0)</f>
        <v>0</v>
      </c>
      <c r="V27" s="2862"/>
      <c r="W27" s="2862"/>
      <c r="X27" s="2862">
        <f>IFERROR(IF(X24&lt;=holding,X26/U26-1,0),0)</f>
        <v>0</v>
      </c>
      <c r="Y27" s="2862"/>
      <c r="Z27" s="2862"/>
      <c r="AA27" s="2862">
        <f>IFERROR(IF(AA24&lt;=holding,AA26/X26-1,0),0)</f>
        <v>0</v>
      </c>
      <c r="AB27" s="2862"/>
      <c r="AC27" s="2862"/>
      <c r="AD27" s="2862">
        <f>IFERROR(IF(AD24&lt;=holding,AD26/AA26-1,0),0)</f>
        <v>0</v>
      </c>
      <c r="AE27" s="2862"/>
      <c r="AF27" s="2862"/>
      <c r="AG27" s="2862">
        <f>IFERROR(IF(AG24&lt;=holding,AG26/AD26-1,0),0)</f>
        <v>0</v>
      </c>
      <c r="AH27" s="2862"/>
      <c r="AI27" s="2862"/>
      <c r="AJ27" s="2862">
        <f>IFERROR(IF(AJ24&lt;=holding,AJ26/AG26-1,0),0)</f>
        <v>0</v>
      </c>
      <c r="AK27" s="2862"/>
      <c r="AL27" s="2862"/>
      <c r="AM27" s="2862">
        <f>IFERROR(IF(AM24&lt;=holding,AM26/AJ26-1,0),0)</f>
        <v>0</v>
      </c>
      <c r="AN27" s="2862"/>
      <c r="AO27" s="2862"/>
      <c r="AP27" s="1324"/>
      <c r="AQ27" s="2886">
        <f>IFERROR(INDEX(FORECASTS!$E$27:$AI$27,0,$AQ$24),0)</f>
        <v>0</v>
      </c>
      <c r="AR27" s="2887"/>
      <c r="AS27" s="2888"/>
      <c r="AT27" s="11"/>
      <c r="AU27" s="2886">
        <f>IFERROR(INDEX(FORECASTS!$E$27:$AI$27,0,$AU$24),0)</f>
        <v>0</v>
      </c>
      <c r="AV27" s="2887"/>
      <c r="AW27" s="2888"/>
      <c r="AX27" s="11"/>
      <c r="AY27" s="794"/>
      <c r="AZ27" s="346"/>
      <c r="BA27" s="346"/>
      <c r="BB27" s="346"/>
      <c r="BC27" s="346"/>
      <c r="BD27" s="346"/>
      <c r="BE27" s="346"/>
      <c r="BF27" s="346"/>
      <c r="BG27" s="346"/>
      <c r="BH27" s="346"/>
      <c r="BI27" s="346"/>
      <c r="BJ27" s="346"/>
      <c r="BK27" s="346"/>
      <c r="BL27" s="346"/>
      <c r="BM27" s="346"/>
      <c r="BN27" s="346"/>
      <c r="BO27" s="346"/>
    </row>
    <row r="28" spans="1:71" s="346" customFormat="1" ht="14.25" customHeight="1" x14ac:dyDescent="0.25">
      <c r="A28" s="100"/>
      <c r="B28" s="1272"/>
      <c r="C28" s="20"/>
      <c r="D28" s="20"/>
      <c r="E28" s="20"/>
      <c r="F28" s="20"/>
      <c r="G28" s="20"/>
      <c r="H28" s="20"/>
      <c r="I28" s="20"/>
      <c r="J28" s="15"/>
      <c r="K28" s="20"/>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303"/>
      <c r="AR28" s="84"/>
      <c r="AS28" s="1304"/>
      <c r="AT28" s="84"/>
      <c r="AU28" s="1303"/>
      <c r="AV28" s="84"/>
      <c r="AW28" s="1304"/>
      <c r="AX28" s="4"/>
      <c r="AY28" s="794"/>
      <c r="AZ28" s="344"/>
      <c r="BA28" s="344"/>
      <c r="BB28" s="344"/>
      <c r="BC28" s="344"/>
      <c r="BD28" s="344"/>
      <c r="BE28" s="344"/>
      <c r="BF28" s="344"/>
      <c r="BG28" s="344"/>
      <c r="BH28" s="344"/>
      <c r="BI28" s="344"/>
      <c r="BJ28" s="344"/>
      <c r="BK28" s="344"/>
      <c r="BL28" s="344"/>
      <c r="BM28" s="344"/>
      <c r="BN28" s="344"/>
      <c r="BO28" s="344"/>
      <c r="BP28" s="344"/>
      <c r="BQ28" s="344"/>
      <c r="BR28" s="344"/>
      <c r="BS28" s="344"/>
    </row>
    <row r="29" spans="1:71" s="347" customFormat="1" ht="15" customHeight="1" x14ac:dyDescent="0.25">
      <c r="A29" s="100"/>
      <c r="B29" s="1272" t="s">
        <v>44</v>
      </c>
      <c r="C29" s="17"/>
      <c r="D29" s="17"/>
      <c r="E29" s="17"/>
      <c r="F29" s="17"/>
      <c r="G29" s="17"/>
      <c r="H29" s="17"/>
      <c r="I29" s="17"/>
      <c r="J29" s="15"/>
      <c r="K29" s="17"/>
      <c r="L29" s="2863">
        <f>FORECASTS!E68</f>
        <v>0</v>
      </c>
      <c r="M29" s="2863"/>
      <c r="N29" s="2863"/>
      <c r="O29" s="2863">
        <f>FORECASTS!F68</f>
        <v>0</v>
      </c>
      <c r="P29" s="2863"/>
      <c r="Q29" s="2863"/>
      <c r="R29" s="2863">
        <f>FORECASTS!G68</f>
        <v>0</v>
      </c>
      <c r="S29" s="2863"/>
      <c r="T29" s="2863"/>
      <c r="U29" s="2863">
        <f>FORECASTS!H68</f>
        <v>0</v>
      </c>
      <c r="V29" s="2863"/>
      <c r="W29" s="2863"/>
      <c r="X29" s="2863">
        <f>FORECASTS!I68</f>
        <v>0</v>
      </c>
      <c r="Y29" s="2863"/>
      <c r="Z29" s="2863"/>
      <c r="AA29" s="2863">
        <f>FORECASTS!J68</f>
        <v>0</v>
      </c>
      <c r="AB29" s="2863"/>
      <c r="AC29" s="2863"/>
      <c r="AD29" s="2863">
        <f>FORECASTS!K68</f>
        <v>0</v>
      </c>
      <c r="AE29" s="2863"/>
      <c r="AF29" s="2863"/>
      <c r="AG29" s="2863">
        <f>FORECASTS!L68</f>
        <v>0</v>
      </c>
      <c r="AH29" s="2863"/>
      <c r="AI29" s="2863"/>
      <c r="AJ29" s="2863">
        <f>FORECASTS!M68</f>
        <v>0</v>
      </c>
      <c r="AK29" s="2863"/>
      <c r="AL29" s="2863"/>
      <c r="AM29" s="2863">
        <f>FORECASTS!N68</f>
        <v>0</v>
      </c>
      <c r="AN29" s="2863"/>
      <c r="AO29" s="2863"/>
      <c r="AP29" s="14"/>
      <c r="AQ29" s="2889">
        <f>INDEX(FORECASTS!$E$68:$AI$68,0,AQ24)</f>
        <v>0</v>
      </c>
      <c r="AR29" s="2890"/>
      <c r="AS29" s="2891"/>
      <c r="AT29" s="85"/>
      <c r="AU29" s="2889">
        <f>INDEX(FORECASTS!$E$68:$AI$68,0,AU24)</f>
        <v>0</v>
      </c>
      <c r="AV29" s="2890"/>
      <c r="AW29" s="2891"/>
      <c r="AX29" s="4"/>
      <c r="AY29" s="277"/>
      <c r="AZ29" s="344"/>
      <c r="BA29" s="344"/>
      <c r="BB29" s="344"/>
      <c r="BC29" s="344"/>
      <c r="BD29" s="344"/>
      <c r="BE29" s="344"/>
      <c r="BF29" s="344"/>
      <c r="BG29" s="344"/>
      <c r="BH29" s="344"/>
      <c r="BI29" s="344"/>
      <c r="BJ29" s="344"/>
      <c r="BK29" s="344"/>
      <c r="BL29" s="344"/>
      <c r="BM29" s="344"/>
      <c r="BN29" s="344"/>
      <c r="BO29" s="344"/>
      <c r="BP29" s="346"/>
      <c r="BQ29" s="346"/>
      <c r="BR29" s="346"/>
      <c r="BS29" s="346"/>
    </row>
    <row r="30" spans="1:71" s="348" customFormat="1" ht="15" customHeight="1" x14ac:dyDescent="0.3">
      <c r="A30" s="117"/>
      <c r="B30" s="1271" t="s">
        <v>991</v>
      </c>
      <c r="C30" s="1325"/>
      <c r="D30" s="1325"/>
      <c r="E30" s="1325"/>
      <c r="F30" s="1325"/>
      <c r="G30" s="1325"/>
      <c r="H30" s="1325"/>
      <c r="I30" s="1325"/>
      <c r="J30" s="1326"/>
      <c r="K30" s="1325"/>
      <c r="L30" s="2862">
        <f>IFERROR(-L29/L26,0)</f>
        <v>0</v>
      </c>
      <c r="M30" s="2862"/>
      <c r="N30" s="2862"/>
      <c r="O30" s="2862">
        <f>IFERROR(-O29/O26,0)</f>
        <v>0</v>
      </c>
      <c r="P30" s="2862"/>
      <c r="Q30" s="2862"/>
      <c r="R30" s="2862">
        <f>IFERROR(-R29/R26,0)</f>
        <v>0</v>
      </c>
      <c r="S30" s="2862"/>
      <c r="T30" s="2862"/>
      <c r="U30" s="2862">
        <f>IFERROR(-U29/U26,0)</f>
        <v>0</v>
      </c>
      <c r="V30" s="2862"/>
      <c r="W30" s="2862"/>
      <c r="X30" s="2862">
        <f>IFERROR(-X29/X26,0)</f>
        <v>0</v>
      </c>
      <c r="Y30" s="2862"/>
      <c r="Z30" s="2862"/>
      <c r="AA30" s="2862">
        <f>IFERROR(-AA29/AA26,0)</f>
        <v>0</v>
      </c>
      <c r="AB30" s="2862"/>
      <c r="AC30" s="2862"/>
      <c r="AD30" s="2862">
        <f>IFERROR(-AD29/AD26,0)</f>
        <v>0</v>
      </c>
      <c r="AE30" s="2862"/>
      <c r="AF30" s="2862"/>
      <c r="AG30" s="2862">
        <f>IFERROR(-AG29/AG26,0)</f>
        <v>0</v>
      </c>
      <c r="AH30" s="2862"/>
      <c r="AI30" s="2862"/>
      <c r="AJ30" s="2862">
        <f>IFERROR(-AJ29/AJ26,0)</f>
        <v>0</v>
      </c>
      <c r="AK30" s="2862"/>
      <c r="AL30" s="2862"/>
      <c r="AM30" s="2862">
        <f>IFERROR(-AM29/AM26,0)</f>
        <v>0</v>
      </c>
      <c r="AN30" s="2862"/>
      <c r="AO30" s="2862"/>
      <c r="AP30" s="1325"/>
      <c r="AQ30" s="2886">
        <f>IFERROR(-AQ29/AQ26,0)</f>
        <v>0</v>
      </c>
      <c r="AR30" s="2887"/>
      <c r="AS30" s="2888"/>
      <c r="AT30" s="1327"/>
      <c r="AU30" s="2886">
        <f>IFERROR(-AU29/AU26,0)</f>
        <v>0</v>
      </c>
      <c r="AV30" s="2887"/>
      <c r="AW30" s="2888"/>
      <c r="AX30" s="11"/>
      <c r="AY30" s="794"/>
      <c r="AZ30" s="346"/>
      <c r="BA30" s="346"/>
      <c r="BB30" s="346"/>
      <c r="BC30" s="346"/>
      <c r="BD30" s="346"/>
      <c r="BE30" s="346"/>
      <c r="BF30" s="346"/>
      <c r="BG30" s="346"/>
      <c r="BH30" s="346"/>
      <c r="BI30" s="346"/>
      <c r="BJ30" s="346"/>
      <c r="BK30" s="346"/>
      <c r="BL30" s="346"/>
      <c r="BM30" s="346"/>
      <c r="BN30" s="346"/>
      <c r="BO30" s="346"/>
      <c r="BP30" s="347"/>
      <c r="BQ30" s="347"/>
      <c r="BR30" s="347"/>
      <c r="BS30" s="347"/>
    </row>
    <row r="31" spans="1:71" s="346" customFormat="1" ht="15" customHeight="1" x14ac:dyDescent="0.3">
      <c r="A31" s="118"/>
      <c r="B31" s="1272"/>
      <c r="C31" s="16"/>
      <c r="D31" s="16"/>
      <c r="E31" s="16"/>
      <c r="F31" s="16"/>
      <c r="G31" s="16"/>
      <c r="H31" s="16"/>
      <c r="I31" s="16"/>
      <c r="J31" s="15"/>
      <c r="K31" s="16"/>
      <c r="L31" s="17"/>
      <c r="M31" s="16"/>
      <c r="N31" s="16"/>
      <c r="O31" s="17"/>
      <c r="P31" s="16"/>
      <c r="Q31" s="16"/>
      <c r="R31" s="17"/>
      <c r="S31" s="16"/>
      <c r="T31" s="16"/>
      <c r="U31" s="17"/>
      <c r="V31" s="16"/>
      <c r="W31" s="16"/>
      <c r="X31" s="17"/>
      <c r="Y31" s="16"/>
      <c r="Z31" s="16"/>
      <c r="AA31" s="17"/>
      <c r="AB31" s="16"/>
      <c r="AC31" s="16"/>
      <c r="AD31" s="17"/>
      <c r="AE31" s="16"/>
      <c r="AF31" s="16"/>
      <c r="AG31" s="17"/>
      <c r="AH31" s="16"/>
      <c r="AI31" s="16"/>
      <c r="AJ31" s="17"/>
      <c r="AK31" s="16"/>
      <c r="AL31" s="16"/>
      <c r="AM31" s="17"/>
      <c r="AN31" s="16"/>
      <c r="AO31" s="16"/>
      <c r="AP31" s="17"/>
      <c r="AQ31" s="1305"/>
      <c r="AR31" s="85"/>
      <c r="AS31" s="1306"/>
      <c r="AT31" s="86"/>
      <c r="AU31" s="1305"/>
      <c r="AV31" s="85"/>
      <c r="AW31" s="1306"/>
      <c r="AX31" s="4"/>
      <c r="AY31" s="794"/>
      <c r="AZ31" s="347"/>
      <c r="BA31" s="347"/>
      <c r="BB31" s="347"/>
      <c r="BC31" s="347"/>
      <c r="BD31" s="347"/>
      <c r="BE31" s="347"/>
      <c r="BF31" s="347"/>
      <c r="BG31" s="347"/>
      <c r="BH31" s="347"/>
      <c r="BI31" s="347"/>
      <c r="BJ31" s="347"/>
      <c r="BK31" s="347"/>
      <c r="BL31" s="347"/>
      <c r="BM31" s="347"/>
      <c r="BN31" s="347"/>
      <c r="BO31" s="347"/>
      <c r="BP31" s="348"/>
      <c r="BQ31" s="348"/>
      <c r="BR31" s="348"/>
      <c r="BS31" s="348"/>
    </row>
    <row r="32" spans="1:71" s="344" customFormat="1" ht="11.25" customHeight="1" x14ac:dyDescent="0.3">
      <c r="A32" s="195"/>
      <c r="B32" s="1258" t="str">
        <f>FORECASTS!B71</f>
        <v>Net Operating Income (NOI)</v>
      </c>
      <c r="C32" s="1259"/>
      <c r="D32" s="1259"/>
      <c r="E32" s="1259"/>
      <c r="F32" s="1259"/>
      <c r="G32" s="1259"/>
      <c r="H32" s="1259"/>
      <c r="I32" s="1259"/>
      <c r="J32" s="1322"/>
      <c r="K32" s="1259"/>
      <c r="L32" s="2861">
        <f>L26+L29</f>
        <v>0</v>
      </c>
      <c r="M32" s="2861"/>
      <c r="N32" s="2861"/>
      <c r="O32" s="2861">
        <f>O26+O29</f>
        <v>0</v>
      </c>
      <c r="P32" s="2861"/>
      <c r="Q32" s="2861"/>
      <c r="R32" s="2861">
        <f>R26+R29</f>
        <v>0</v>
      </c>
      <c r="S32" s="2861"/>
      <c r="T32" s="2861"/>
      <c r="U32" s="2861">
        <f>U26+U29</f>
        <v>0</v>
      </c>
      <c r="V32" s="2861"/>
      <c r="W32" s="2861"/>
      <c r="X32" s="2861">
        <f>X26+X29</f>
        <v>0</v>
      </c>
      <c r="Y32" s="2861"/>
      <c r="Z32" s="2861"/>
      <c r="AA32" s="2861">
        <f>AA26+AA29</f>
        <v>0</v>
      </c>
      <c r="AB32" s="2861"/>
      <c r="AC32" s="2861"/>
      <c r="AD32" s="2861">
        <f>AD26+AD29</f>
        <v>0</v>
      </c>
      <c r="AE32" s="2861"/>
      <c r="AF32" s="2861"/>
      <c r="AG32" s="2861">
        <f>AG26+AG29</f>
        <v>0</v>
      </c>
      <c r="AH32" s="2861"/>
      <c r="AI32" s="2861"/>
      <c r="AJ32" s="2861">
        <f>AJ26+AJ29</f>
        <v>0</v>
      </c>
      <c r="AK32" s="2861"/>
      <c r="AL32" s="2861"/>
      <c r="AM32" s="2861">
        <f>AM26+AM29</f>
        <v>0</v>
      </c>
      <c r="AN32" s="2861"/>
      <c r="AO32" s="2861"/>
      <c r="AP32" s="1249"/>
      <c r="AQ32" s="2883">
        <f>AQ26+AQ29</f>
        <v>0</v>
      </c>
      <c r="AR32" s="2884"/>
      <c r="AS32" s="2885"/>
      <c r="AT32" s="1283"/>
      <c r="AU32" s="2883">
        <f>AU26+AU29</f>
        <v>0</v>
      </c>
      <c r="AV32" s="2884"/>
      <c r="AW32" s="2885"/>
      <c r="AX32" s="5"/>
      <c r="AY32" s="794"/>
      <c r="AZ32" s="348"/>
      <c r="BA32" s="348"/>
      <c r="BB32" s="348"/>
      <c r="BC32" s="348"/>
      <c r="BD32" s="348"/>
      <c r="BE32" s="348"/>
      <c r="BF32" s="348"/>
      <c r="BG32" s="348"/>
      <c r="BH32" s="348"/>
      <c r="BI32" s="348"/>
      <c r="BJ32" s="348"/>
      <c r="BK32" s="348"/>
      <c r="BL32" s="348"/>
      <c r="BM32" s="348"/>
      <c r="BN32" s="348"/>
      <c r="BO32" s="348"/>
      <c r="BP32" s="346"/>
      <c r="BQ32" s="346"/>
      <c r="BR32" s="346"/>
      <c r="BS32" s="346"/>
    </row>
    <row r="33" spans="1:71" s="344" customFormat="1" ht="15" customHeight="1" x14ac:dyDescent="0.25">
      <c r="A33" s="117"/>
      <c r="B33" s="1271" t="s">
        <v>306</v>
      </c>
      <c r="C33" s="1325"/>
      <c r="D33" s="1325"/>
      <c r="E33" s="1325"/>
      <c r="F33" s="1325"/>
      <c r="G33" s="1325"/>
      <c r="H33" s="1325"/>
      <c r="I33" s="1325"/>
      <c r="J33" s="1326"/>
      <c r="K33" s="1325"/>
      <c r="L33" s="2862">
        <f>IFERROR(L32/L26,0)</f>
        <v>0</v>
      </c>
      <c r="M33" s="2862"/>
      <c r="N33" s="2862"/>
      <c r="O33" s="2862">
        <f>IFERROR(O32/O26,0)</f>
        <v>0</v>
      </c>
      <c r="P33" s="2862"/>
      <c r="Q33" s="2862"/>
      <c r="R33" s="2862">
        <f>IFERROR(R32/R26,0)</f>
        <v>0</v>
      </c>
      <c r="S33" s="2862"/>
      <c r="T33" s="2862"/>
      <c r="U33" s="2862">
        <f>IFERROR(U32/U26,0)</f>
        <v>0</v>
      </c>
      <c r="V33" s="2862"/>
      <c r="W33" s="2862"/>
      <c r="X33" s="2862">
        <f>IFERROR(X32/X26,0)</f>
        <v>0</v>
      </c>
      <c r="Y33" s="2862"/>
      <c r="Z33" s="2862"/>
      <c r="AA33" s="2862">
        <f>IFERROR(AA32/AA26,0)</f>
        <v>0</v>
      </c>
      <c r="AB33" s="2862"/>
      <c r="AC33" s="2862"/>
      <c r="AD33" s="2862">
        <f>IFERROR(AD32/AD26,0)</f>
        <v>0</v>
      </c>
      <c r="AE33" s="2862"/>
      <c r="AF33" s="2862"/>
      <c r="AG33" s="2862">
        <f>IFERROR(AG32/AG26,0)</f>
        <v>0</v>
      </c>
      <c r="AH33" s="2862"/>
      <c r="AI33" s="2862"/>
      <c r="AJ33" s="2862">
        <f>IFERROR(AJ32/AJ26,0)</f>
        <v>0</v>
      </c>
      <c r="AK33" s="2862"/>
      <c r="AL33" s="2862"/>
      <c r="AM33" s="2862">
        <f>IFERROR(AM32/AM26,0)</f>
        <v>0</v>
      </c>
      <c r="AN33" s="2862"/>
      <c r="AO33" s="2862"/>
      <c r="AP33" s="1328"/>
      <c r="AQ33" s="2886">
        <f>IFERROR(AQ32/AQ26,0)</f>
        <v>0</v>
      </c>
      <c r="AR33" s="2887"/>
      <c r="AS33" s="2888"/>
      <c r="AT33" s="1329"/>
      <c r="AU33" s="2886">
        <f>IFERROR(AU32/AU26,0)</f>
        <v>0</v>
      </c>
      <c r="AV33" s="2887"/>
      <c r="AW33" s="2888"/>
      <c r="AX33" s="11"/>
      <c r="AY33" s="794"/>
      <c r="AZ33" s="346"/>
      <c r="BA33" s="346"/>
      <c r="BB33" s="346"/>
      <c r="BC33" s="346"/>
      <c r="BD33" s="346"/>
      <c r="BE33" s="346"/>
      <c r="BF33" s="346"/>
      <c r="BG33" s="346"/>
      <c r="BH33" s="346"/>
      <c r="BI33" s="346"/>
      <c r="BJ33" s="346"/>
      <c r="BK33" s="346"/>
      <c r="BL33" s="346"/>
      <c r="BM33" s="346"/>
      <c r="BN33" s="346"/>
      <c r="BO33" s="346"/>
    </row>
    <row r="34" spans="1:71" s="344" customFormat="1" ht="15" customHeight="1" x14ac:dyDescent="0.25">
      <c r="A34" s="100"/>
      <c r="B34" s="1273"/>
      <c r="C34" s="21"/>
      <c r="D34" s="21"/>
      <c r="E34" s="21"/>
      <c r="F34" s="21"/>
      <c r="G34" s="21"/>
      <c r="H34" s="21"/>
      <c r="I34" s="21"/>
      <c r="J34" s="21"/>
      <c r="K34" s="21"/>
      <c r="L34" s="18"/>
      <c r="M34" s="21"/>
      <c r="N34" s="21"/>
      <c r="O34" s="18"/>
      <c r="P34" s="21"/>
      <c r="Q34" s="21"/>
      <c r="R34" s="18"/>
      <c r="S34" s="21"/>
      <c r="T34" s="21"/>
      <c r="U34" s="18"/>
      <c r="V34" s="21"/>
      <c r="W34" s="21"/>
      <c r="X34" s="18"/>
      <c r="Y34" s="21"/>
      <c r="Z34" s="21"/>
      <c r="AA34" s="18"/>
      <c r="AB34" s="21"/>
      <c r="AC34" s="21"/>
      <c r="AD34" s="18"/>
      <c r="AE34" s="21"/>
      <c r="AF34" s="21"/>
      <c r="AG34" s="18"/>
      <c r="AH34" s="21"/>
      <c r="AI34" s="21"/>
      <c r="AJ34" s="18"/>
      <c r="AK34" s="21"/>
      <c r="AL34" s="21"/>
      <c r="AM34" s="18"/>
      <c r="AN34" s="21"/>
      <c r="AO34" s="21"/>
      <c r="AP34" s="18"/>
      <c r="AQ34" s="1307"/>
      <c r="AR34" s="971"/>
      <c r="AS34" s="1308"/>
      <c r="AT34" s="1284"/>
      <c r="AU34" s="1307"/>
      <c r="AV34" s="971"/>
      <c r="AW34" s="1308"/>
      <c r="AX34" s="4"/>
      <c r="AY34" s="794"/>
    </row>
    <row r="35" spans="1:71" s="344" customFormat="1" ht="15" customHeight="1" x14ac:dyDescent="0.25">
      <c r="A35" s="100"/>
      <c r="B35" s="1272" t="s">
        <v>19</v>
      </c>
      <c r="C35" s="15"/>
      <c r="D35" s="15"/>
      <c r="E35" s="15"/>
      <c r="F35" s="15"/>
      <c r="G35" s="15"/>
      <c r="H35" s="15"/>
      <c r="I35" s="15"/>
      <c r="J35" s="15"/>
      <c r="K35" s="15"/>
      <c r="L35" s="2863">
        <f>FORECASTS!E74</f>
        <v>0</v>
      </c>
      <c r="M35" s="2863"/>
      <c r="N35" s="2863"/>
      <c r="O35" s="2863">
        <f>FORECASTS!F74</f>
        <v>0</v>
      </c>
      <c r="P35" s="2863"/>
      <c r="Q35" s="2863"/>
      <c r="R35" s="2863">
        <f>FORECASTS!G74</f>
        <v>0</v>
      </c>
      <c r="S35" s="2863"/>
      <c r="T35" s="2863"/>
      <c r="U35" s="2863">
        <f>FORECASTS!H74</f>
        <v>0</v>
      </c>
      <c r="V35" s="2863"/>
      <c r="W35" s="2863"/>
      <c r="X35" s="2863">
        <f>FORECASTS!I74</f>
        <v>0</v>
      </c>
      <c r="Y35" s="2863"/>
      <c r="Z35" s="2863"/>
      <c r="AA35" s="2863">
        <f>FORECASTS!J74</f>
        <v>0</v>
      </c>
      <c r="AB35" s="2863"/>
      <c r="AC35" s="2863"/>
      <c r="AD35" s="2863">
        <f>FORECASTS!K74</f>
        <v>0</v>
      </c>
      <c r="AE35" s="2863"/>
      <c r="AF35" s="2863"/>
      <c r="AG35" s="2863">
        <f>FORECASTS!L74</f>
        <v>0</v>
      </c>
      <c r="AH35" s="2863"/>
      <c r="AI35" s="2863"/>
      <c r="AJ35" s="2863">
        <f>FORECASTS!M74</f>
        <v>0</v>
      </c>
      <c r="AK35" s="2863"/>
      <c r="AL35" s="2863"/>
      <c r="AM35" s="2863">
        <f>FORECASTS!N74</f>
        <v>0</v>
      </c>
      <c r="AN35" s="2863"/>
      <c r="AO35" s="2863"/>
      <c r="AP35" s="14"/>
      <c r="AQ35" s="2889">
        <f>INDEX(FORECASTS!$E$74:$AI$74,0,AQ24)</f>
        <v>0</v>
      </c>
      <c r="AR35" s="2890"/>
      <c r="AS35" s="2891"/>
      <c r="AT35" s="85"/>
      <c r="AU35" s="2889">
        <f>INDEX(FORECASTS!$E$74:$AI$74,0,AU24)</f>
        <v>0</v>
      </c>
      <c r="AV35" s="2890"/>
      <c r="AW35" s="2891"/>
      <c r="AX35" s="4"/>
      <c r="AY35" s="794"/>
    </row>
    <row r="36" spans="1:71" s="344" customFormat="1" ht="15" customHeight="1" x14ac:dyDescent="0.25">
      <c r="A36" s="100"/>
      <c r="B36" s="1272" t="s">
        <v>408</v>
      </c>
      <c r="C36" s="15"/>
      <c r="D36" s="15"/>
      <c r="E36" s="15"/>
      <c r="F36" s="15"/>
      <c r="G36" s="15"/>
      <c r="H36" s="15"/>
      <c r="I36" s="15"/>
      <c r="J36" s="15"/>
      <c r="K36" s="15"/>
      <c r="L36" s="2863">
        <f>IF(FORECASTS!E5&lt;3,FORECASTS!E76+FORECASTS!E77,0)</f>
        <v>0</v>
      </c>
      <c r="M36" s="2863"/>
      <c r="N36" s="2863"/>
      <c r="O36" s="2863">
        <f>IF(FORECASTS!F5&lt;3,FORECASTS!F76+FORECASTS!F77,0)</f>
        <v>0</v>
      </c>
      <c r="P36" s="2863"/>
      <c r="Q36" s="2863"/>
      <c r="R36" s="2863">
        <f>IF(FORECASTS!G5&lt;3,FORECASTS!G76+FORECASTS!G77,0)</f>
        <v>0</v>
      </c>
      <c r="S36" s="2863"/>
      <c r="T36" s="2863"/>
      <c r="U36" s="2863">
        <f>IF(FORECASTS!H5&lt;3,FORECASTS!H76+FORECASTS!H77,0)</f>
        <v>0</v>
      </c>
      <c r="V36" s="2863"/>
      <c r="W36" s="2863"/>
      <c r="X36" s="2863">
        <f>IF(FORECASTS!I5&lt;3,FORECASTS!I76+FORECASTS!I77,0)</f>
        <v>0</v>
      </c>
      <c r="Y36" s="2863"/>
      <c r="Z36" s="2863"/>
      <c r="AA36" s="2863">
        <f>IF(FORECASTS!J5&lt;3,FORECASTS!J76+FORECASTS!J77,0)</f>
        <v>0</v>
      </c>
      <c r="AB36" s="2863"/>
      <c r="AC36" s="2863"/>
      <c r="AD36" s="2863">
        <f>IF(FORECASTS!K5&lt;3,FORECASTS!K76+FORECASTS!K77,0)</f>
        <v>0</v>
      </c>
      <c r="AE36" s="2863"/>
      <c r="AF36" s="2863"/>
      <c r="AG36" s="2863">
        <f>IF(FORECASTS!L5&lt;3,FORECASTS!L76+FORECASTS!L77,0)</f>
        <v>0</v>
      </c>
      <c r="AH36" s="2863"/>
      <c r="AI36" s="2863"/>
      <c r="AJ36" s="2863">
        <f>IF(FORECASTS!M5&lt;3,FORECASTS!M76+FORECASTS!M77,0)</f>
        <v>0</v>
      </c>
      <c r="AK36" s="2863"/>
      <c r="AL36" s="2863"/>
      <c r="AM36" s="2863">
        <f>IF(FORECASTS!N5&lt;3,FORECASTS!N76+FORECASTS!N77,0)</f>
        <v>0</v>
      </c>
      <c r="AN36" s="2863"/>
      <c r="AO36" s="2863"/>
      <c r="AP36" s="14"/>
      <c r="AQ36" s="2889">
        <f>IF(AQ24&lt;INDEX(FORECASTS!$E$5:$AI$5,0,'FORECASTS (R)'!AQ24),INDEX(FORECASTS!$E$76:$AI$76,0,AQ24)+INDEX(FORECASTS!$E$77:$AI$77,0,AQ24),0)</f>
        <v>0</v>
      </c>
      <c r="AR36" s="2890"/>
      <c r="AS36" s="2891"/>
      <c r="AT36" s="85"/>
      <c r="AU36" s="2889">
        <f>IF(AU24&lt;INDEX(FORECASTS!$E$5:$AI$5,0,'FORECASTS (R)'!AU24),INDEX(FORECASTS!$E$76:$AI$76,0,AU24)+INDEX(FORECASTS!$E$77:$AI$77,0,AU24),0)</f>
        <v>0</v>
      </c>
      <c r="AV36" s="2890"/>
      <c r="AW36" s="2891"/>
      <c r="AX36" s="4"/>
      <c r="AY36" s="794"/>
    </row>
    <row r="37" spans="1:71" s="344" customFormat="1" ht="15" customHeight="1" x14ac:dyDescent="0.25">
      <c r="A37" s="100"/>
      <c r="B37" s="1274"/>
      <c r="C37" s="16"/>
      <c r="D37" s="16"/>
      <c r="E37" s="16"/>
      <c r="F37" s="16"/>
      <c r="G37" s="16"/>
      <c r="H37" s="16"/>
      <c r="I37" s="16"/>
      <c r="J37" s="15"/>
      <c r="K37" s="16"/>
      <c r="L37" s="17"/>
      <c r="M37" s="16"/>
      <c r="N37" s="16"/>
      <c r="O37" s="17"/>
      <c r="P37" s="16"/>
      <c r="Q37" s="16"/>
      <c r="R37" s="17"/>
      <c r="S37" s="16"/>
      <c r="T37" s="16"/>
      <c r="U37" s="17"/>
      <c r="V37" s="16"/>
      <c r="W37" s="16"/>
      <c r="X37" s="17"/>
      <c r="Y37" s="16"/>
      <c r="Z37" s="16"/>
      <c r="AA37" s="17"/>
      <c r="AB37" s="16"/>
      <c r="AC37" s="16"/>
      <c r="AD37" s="17"/>
      <c r="AE37" s="16"/>
      <c r="AF37" s="16"/>
      <c r="AG37" s="17"/>
      <c r="AH37" s="16"/>
      <c r="AI37" s="16"/>
      <c r="AJ37" s="17"/>
      <c r="AK37" s="16"/>
      <c r="AL37" s="16"/>
      <c r="AM37" s="17"/>
      <c r="AN37" s="16"/>
      <c r="AO37" s="16"/>
      <c r="AP37" s="17"/>
      <c r="AQ37" s="1305"/>
      <c r="AR37" s="85"/>
      <c r="AS37" s="1306"/>
      <c r="AT37" s="86"/>
      <c r="AU37" s="1305"/>
      <c r="AV37" s="85"/>
      <c r="AW37" s="1306"/>
      <c r="AX37" s="4"/>
      <c r="AY37" s="794"/>
    </row>
    <row r="38" spans="1:71" s="344" customFormat="1" ht="15" customHeight="1" x14ac:dyDescent="0.25">
      <c r="A38" s="100"/>
      <c r="B38" s="1272" t="str">
        <f>FORECASTS!B96</f>
        <v>Principal repayment</v>
      </c>
      <c r="C38" s="16"/>
      <c r="D38" s="16"/>
      <c r="E38" s="16"/>
      <c r="F38" s="16"/>
      <c r="G38" s="16"/>
      <c r="H38" s="16"/>
      <c r="I38" s="16"/>
      <c r="J38" s="15"/>
      <c r="K38" s="16"/>
      <c r="L38" s="2863">
        <f>FORECASTS!E96-DEBT!D16</f>
        <v>0</v>
      </c>
      <c r="M38" s="2863"/>
      <c r="N38" s="2863"/>
      <c r="O38" s="2863">
        <f>FORECASTS!F96-DEBT!E16</f>
        <v>0</v>
      </c>
      <c r="P38" s="2863"/>
      <c r="Q38" s="2863"/>
      <c r="R38" s="2863">
        <f>FORECASTS!G96-DEBT!F16</f>
        <v>0</v>
      </c>
      <c r="S38" s="2863"/>
      <c r="T38" s="2863"/>
      <c r="U38" s="2863">
        <f>FORECASTS!H96-DEBT!G16</f>
        <v>0</v>
      </c>
      <c r="V38" s="2863"/>
      <c r="W38" s="2863"/>
      <c r="X38" s="2863">
        <f>FORECASTS!I96-DEBT!H16</f>
        <v>0</v>
      </c>
      <c r="Y38" s="2863"/>
      <c r="Z38" s="2863"/>
      <c r="AA38" s="2863">
        <f>FORECASTS!J96-DEBT!I16</f>
        <v>0</v>
      </c>
      <c r="AB38" s="2863"/>
      <c r="AC38" s="2863"/>
      <c r="AD38" s="2863">
        <f>FORECASTS!K96-DEBT!J16</f>
        <v>0</v>
      </c>
      <c r="AE38" s="2863"/>
      <c r="AF38" s="2863"/>
      <c r="AG38" s="2863">
        <f>FORECASTS!L96-DEBT!K16</f>
        <v>0</v>
      </c>
      <c r="AH38" s="2863"/>
      <c r="AI38" s="2863"/>
      <c r="AJ38" s="2863">
        <f>FORECASTS!M96-DEBT!L16</f>
        <v>0</v>
      </c>
      <c r="AK38" s="2863"/>
      <c r="AL38" s="2863"/>
      <c r="AM38" s="2863">
        <f>FORECASTS!N96-DEBT!M16</f>
        <v>0</v>
      </c>
      <c r="AN38" s="2863"/>
      <c r="AO38" s="2863"/>
      <c r="AP38" s="14"/>
      <c r="AQ38" s="2889">
        <f>INDEX(FORECASTS!$E$96:$AI$96,0,AQ24)-INDEX(DEBT!$D$16:$AH$16,0,AQ24)</f>
        <v>0</v>
      </c>
      <c r="AR38" s="2890"/>
      <c r="AS38" s="2891"/>
      <c r="AT38" s="85"/>
      <c r="AU38" s="2889">
        <f>INDEX(FORECASTS!$E$96:$AI$96,0,AU24)-INDEX(DEBT!$D$16:$AH$16,0,AU24)</f>
        <v>0</v>
      </c>
      <c r="AV38" s="2890"/>
      <c r="AW38" s="2891"/>
      <c r="AX38" s="4"/>
      <c r="AY38" s="794"/>
    </row>
    <row r="39" spans="1:71" s="344" customFormat="1" ht="11.25" customHeight="1" x14ac:dyDescent="0.25">
      <c r="A39" s="100"/>
      <c r="B39" s="1272" t="str">
        <f>FORECASTS!B97</f>
        <v>Interest expense</v>
      </c>
      <c r="C39" s="16"/>
      <c r="D39" s="16"/>
      <c r="E39" s="16"/>
      <c r="F39" s="16"/>
      <c r="G39" s="16"/>
      <c r="H39" s="16"/>
      <c r="I39" s="16"/>
      <c r="J39" s="15"/>
      <c r="K39" s="16"/>
      <c r="L39" s="2863">
        <f>FORECASTS!E97</f>
        <v>0</v>
      </c>
      <c r="M39" s="2863"/>
      <c r="N39" s="2863"/>
      <c r="O39" s="2863">
        <f>FORECASTS!F97</f>
        <v>0</v>
      </c>
      <c r="P39" s="2863"/>
      <c r="Q39" s="2863"/>
      <c r="R39" s="2863">
        <f>FORECASTS!G97</f>
        <v>0</v>
      </c>
      <c r="S39" s="2863"/>
      <c r="T39" s="2863"/>
      <c r="U39" s="2863">
        <f>FORECASTS!H97</f>
        <v>0</v>
      </c>
      <c r="V39" s="2863"/>
      <c r="W39" s="2863"/>
      <c r="X39" s="2863">
        <f>FORECASTS!I97</f>
        <v>0</v>
      </c>
      <c r="Y39" s="2863"/>
      <c r="Z39" s="2863"/>
      <c r="AA39" s="2863">
        <f>FORECASTS!J97</f>
        <v>0</v>
      </c>
      <c r="AB39" s="2863"/>
      <c r="AC39" s="2863"/>
      <c r="AD39" s="2863">
        <f>FORECASTS!K97</f>
        <v>0</v>
      </c>
      <c r="AE39" s="2863"/>
      <c r="AF39" s="2863"/>
      <c r="AG39" s="2863">
        <f>FORECASTS!L97</f>
        <v>0</v>
      </c>
      <c r="AH39" s="2863"/>
      <c r="AI39" s="2863"/>
      <c r="AJ39" s="2863">
        <f>FORECASTS!M97</f>
        <v>0</v>
      </c>
      <c r="AK39" s="2863"/>
      <c r="AL39" s="2863"/>
      <c r="AM39" s="2863">
        <f>FORECASTS!N97</f>
        <v>0</v>
      </c>
      <c r="AN39" s="2863"/>
      <c r="AO39" s="2863"/>
      <c r="AP39" s="14"/>
      <c r="AQ39" s="2889">
        <f>INDEX(FORECASTS!$E$97:$AI$97,0,AQ24)</f>
        <v>0</v>
      </c>
      <c r="AR39" s="2890"/>
      <c r="AS39" s="2891"/>
      <c r="AT39" s="85"/>
      <c r="AU39" s="2889">
        <f>INDEX(FORECASTS!$E$97:$AI$97,0,AU24)</f>
        <v>0</v>
      </c>
      <c r="AV39" s="2890"/>
      <c r="AW39" s="2891"/>
      <c r="AX39" s="4"/>
      <c r="AY39" s="794"/>
    </row>
    <row r="40" spans="1:71" s="349" customFormat="1" ht="15" customHeight="1" x14ac:dyDescent="0.3">
      <c r="A40" s="100"/>
      <c r="B40" s="1272" t="str">
        <f>FORECASTS!B98</f>
        <v>Loan Insurance</v>
      </c>
      <c r="C40" s="16"/>
      <c r="D40" s="16"/>
      <c r="E40" s="16"/>
      <c r="F40" s="16"/>
      <c r="G40" s="16"/>
      <c r="H40" s="16"/>
      <c r="I40" s="16"/>
      <c r="J40" s="15"/>
      <c r="K40" s="16"/>
      <c r="L40" s="2863">
        <f>FORECASTS!E98</f>
        <v>0</v>
      </c>
      <c r="M40" s="2863"/>
      <c r="N40" s="2863"/>
      <c r="O40" s="2863">
        <f>FORECASTS!F98</f>
        <v>0</v>
      </c>
      <c r="P40" s="2863"/>
      <c r="Q40" s="2863"/>
      <c r="R40" s="2863">
        <f>FORECASTS!G98</f>
        <v>0</v>
      </c>
      <c r="S40" s="2863"/>
      <c r="T40" s="2863"/>
      <c r="U40" s="2863">
        <f>FORECASTS!H98</f>
        <v>0</v>
      </c>
      <c r="V40" s="2863"/>
      <c r="W40" s="2863"/>
      <c r="X40" s="2863">
        <f>FORECASTS!I98</f>
        <v>0</v>
      </c>
      <c r="Y40" s="2863"/>
      <c r="Z40" s="2863"/>
      <c r="AA40" s="2863">
        <f>FORECASTS!J98</f>
        <v>0</v>
      </c>
      <c r="AB40" s="2863"/>
      <c r="AC40" s="2863"/>
      <c r="AD40" s="2863">
        <f>FORECASTS!K98</f>
        <v>0</v>
      </c>
      <c r="AE40" s="2863"/>
      <c r="AF40" s="2863"/>
      <c r="AG40" s="2863">
        <f>FORECASTS!L98</f>
        <v>0</v>
      </c>
      <c r="AH40" s="2863"/>
      <c r="AI40" s="2863"/>
      <c r="AJ40" s="2863">
        <f>FORECASTS!M98</f>
        <v>0</v>
      </c>
      <c r="AK40" s="2863"/>
      <c r="AL40" s="2863"/>
      <c r="AM40" s="2863">
        <f>FORECASTS!N98</f>
        <v>0</v>
      </c>
      <c r="AN40" s="2863"/>
      <c r="AO40" s="2863"/>
      <c r="AP40" s="14"/>
      <c r="AQ40" s="2889">
        <f>INDEX(FORECASTS!$E$98:$AI$98,0,AQ24)</f>
        <v>0</v>
      </c>
      <c r="AR40" s="2890"/>
      <c r="AS40" s="2891"/>
      <c r="AT40" s="85"/>
      <c r="AU40" s="2889">
        <f>INDEX(FORECASTS!$E$98:$AI$98,0,AU24)</f>
        <v>0</v>
      </c>
      <c r="AV40" s="2890"/>
      <c r="AW40" s="2891"/>
      <c r="AX40" s="4"/>
      <c r="AY40" s="794"/>
      <c r="AZ40" s="344"/>
      <c r="BA40" s="344"/>
      <c r="BB40" s="344"/>
      <c r="BC40" s="344"/>
      <c r="BD40" s="344"/>
      <c r="BE40" s="344"/>
      <c r="BF40" s="344"/>
      <c r="BG40" s="344"/>
      <c r="BH40" s="344"/>
      <c r="BI40" s="344"/>
      <c r="BJ40" s="344"/>
      <c r="BK40" s="344"/>
      <c r="BL40" s="344"/>
      <c r="BM40" s="344"/>
      <c r="BN40" s="344"/>
      <c r="BO40" s="344"/>
      <c r="BP40" s="344"/>
      <c r="BQ40" s="344"/>
      <c r="BR40" s="344"/>
      <c r="BS40" s="344"/>
    </row>
    <row r="41" spans="1:71" s="344" customFormat="1" ht="15" customHeight="1" x14ac:dyDescent="0.3">
      <c r="A41" s="100"/>
      <c r="B41" s="1273"/>
      <c r="C41" s="21"/>
      <c r="D41" s="21"/>
      <c r="E41" s="21"/>
      <c r="F41" s="21"/>
      <c r="G41" s="21"/>
      <c r="H41" s="21"/>
      <c r="I41" s="21"/>
      <c r="J41" s="21"/>
      <c r="K41" s="21"/>
      <c r="L41" s="18"/>
      <c r="M41" s="21"/>
      <c r="N41" s="21"/>
      <c r="O41" s="18"/>
      <c r="P41" s="21"/>
      <c r="Q41" s="21"/>
      <c r="R41" s="18"/>
      <c r="S41" s="21"/>
      <c r="T41" s="21"/>
      <c r="U41" s="18"/>
      <c r="V41" s="21"/>
      <c r="W41" s="21"/>
      <c r="X41" s="18"/>
      <c r="Y41" s="21"/>
      <c r="Z41" s="21"/>
      <c r="AA41" s="18"/>
      <c r="AB41" s="21"/>
      <c r="AC41" s="21"/>
      <c r="AD41" s="18"/>
      <c r="AE41" s="21"/>
      <c r="AF41" s="21"/>
      <c r="AG41" s="18"/>
      <c r="AH41" s="21"/>
      <c r="AI41" s="21"/>
      <c r="AJ41" s="18"/>
      <c r="AK41" s="21"/>
      <c r="AL41" s="21"/>
      <c r="AM41" s="18"/>
      <c r="AN41" s="21"/>
      <c r="AO41" s="21"/>
      <c r="AP41" s="18"/>
      <c r="AQ41" s="1307"/>
      <c r="AR41" s="971"/>
      <c r="AS41" s="1308"/>
      <c r="AT41" s="1284"/>
      <c r="AU41" s="1307"/>
      <c r="AV41" s="971"/>
      <c r="AW41" s="1308"/>
      <c r="AX41" s="4"/>
      <c r="AY41" s="794"/>
      <c r="BP41" s="349"/>
      <c r="BQ41" s="349"/>
      <c r="BR41" s="349"/>
      <c r="BS41" s="349"/>
    </row>
    <row r="42" spans="1:71" ht="14.4" x14ac:dyDescent="0.3">
      <c r="A42" s="196"/>
      <c r="B42" s="1147" t="s">
        <v>506</v>
      </c>
      <c r="C42" s="1146"/>
      <c r="D42" s="1146"/>
      <c r="E42" s="1146"/>
      <c r="F42" s="1146"/>
      <c r="G42" s="1146"/>
      <c r="H42" s="1146"/>
      <c r="I42" s="1146"/>
      <c r="J42" s="1279"/>
      <c r="K42" s="1146"/>
      <c r="L42" s="2865">
        <f>L32+L35+L36+L38+L39+L40</f>
        <v>0</v>
      </c>
      <c r="M42" s="2865"/>
      <c r="N42" s="2865"/>
      <c r="O42" s="2865">
        <f>O32+O35+O36+O38+O39+O40</f>
        <v>0</v>
      </c>
      <c r="P42" s="2865"/>
      <c r="Q42" s="2865"/>
      <c r="R42" s="2865">
        <f>R32+R35+R36+R38+R39+R40</f>
        <v>0</v>
      </c>
      <c r="S42" s="2865"/>
      <c r="T42" s="2865"/>
      <c r="U42" s="2865">
        <f>U32+U35+U36+U38+U39+U40</f>
        <v>0</v>
      </c>
      <c r="V42" s="2865"/>
      <c r="W42" s="2865"/>
      <c r="X42" s="2865">
        <f>X32+X35+X36+X38+X39+X40</f>
        <v>0</v>
      </c>
      <c r="Y42" s="2865"/>
      <c r="Z42" s="2865"/>
      <c r="AA42" s="2865">
        <f>AA32+AA35+AA36+AA38+AA39+AA40</f>
        <v>0</v>
      </c>
      <c r="AB42" s="2865"/>
      <c r="AC42" s="2865"/>
      <c r="AD42" s="2865">
        <f>AD32+AD35+AD36+AD38+AD39+AD40</f>
        <v>0</v>
      </c>
      <c r="AE42" s="2865"/>
      <c r="AF42" s="2865"/>
      <c r="AG42" s="2865">
        <f>AG32+AG35+AG36+AG38+AG39+AG40</f>
        <v>0</v>
      </c>
      <c r="AH42" s="2865"/>
      <c r="AI42" s="2865"/>
      <c r="AJ42" s="2865">
        <f>AJ32+AJ35+AJ36+AJ38+AJ39+AJ40</f>
        <v>0</v>
      </c>
      <c r="AK42" s="2865"/>
      <c r="AL42" s="2865"/>
      <c r="AM42" s="2865">
        <f>AM32+AM35+AM36+AM38+AM39+AM40</f>
        <v>0</v>
      </c>
      <c r="AN42" s="2865"/>
      <c r="AO42" s="2865"/>
      <c r="AP42" s="1148"/>
      <c r="AQ42" s="2922">
        <f>AQ32+AQ35+AQ36+AQ38+AQ39+AQ40</f>
        <v>0</v>
      </c>
      <c r="AR42" s="2923"/>
      <c r="AS42" s="2924"/>
      <c r="AT42" s="1149"/>
      <c r="AU42" s="2922">
        <f>AU32+AU35+AU36+AU38+AU39+AU40</f>
        <v>0</v>
      </c>
      <c r="AV42" s="2923"/>
      <c r="AW42" s="2924"/>
      <c r="AX42" s="4"/>
      <c r="AY42" s="794"/>
      <c r="AZ42" s="349"/>
      <c r="BA42" s="349"/>
      <c r="BB42" s="349"/>
      <c r="BC42" s="349"/>
      <c r="BD42" s="349"/>
      <c r="BE42" s="349"/>
      <c r="BF42" s="349"/>
      <c r="BG42" s="349"/>
      <c r="BH42" s="349"/>
      <c r="BI42" s="349"/>
      <c r="BJ42" s="349"/>
      <c r="BK42" s="349"/>
      <c r="BL42" s="349"/>
      <c r="BM42" s="349"/>
      <c r="BN42" s="349"/>
      <c r="BO42" s="349"/>
      <c r="BP42" s="344"/>
      <c r="BQ42" s="344"/>
      <c r="BR42" s="344"/>
      <c r="BS42" s="344"/>
    </row>
    <row r="43" spans="1:71" x14ac:dyDescent="0.25">
      <c r="A43" s="100"/>
      <c r="B43" s="1151" t="s">
        <v>137</v>
      </c>
      <c r="C43" s="1150"/>
      <c r="D43" s="1150"/>
      <c r="E43" s="1150"/>
      <c r="F43" s="1150"/>
      <c r="G43" s="1150"/>
      <c r="H43" s="1150"/>
      <c r="I43" s="1150"/>
      <c r="J43" s="1158"/>
      <c r="K43" s="1150"/>
      <c r="L43" s="2866">
        <f>IF(L24&lt;=holding,SUM($L$42:L42),0)</f>
        <v>0</v>
      </c>
      <c r="M43" s="2866"/>
      <c r="N43" s="2866"/>
      <c r="O43" s="2866">
        <f>IF(O24&lt;=holding,SUM($L$42:X42),0)</f>
        <v>0</v>
      </c>
      <c r="P43" s="2866"/>
      <c r="Q43" s="2866"/>
      <c r="R43" s="2866">
        <f>IF(R24&lt;=holding,SUM($L$42:Y42),0)</f>
        <v>0</v>
      </c>
      <c r="S43" s="2866"/>
      <c r="T43" s="2866"/>
      <c r="U43" s="2866">
        <f>IF(U24&lt;=holding,SUM($L$42:Z42),0)</f>
        <v>0</v>
      </c>
      <c r="V43" s="2866"/>
      <c r="W43" s="2866"/>
      <c r="X43" s="2866">
        <f>IF(X24&lt;=holding,SUM($L$42:AA42),0)</f>
        <v>0</v>
      </c>
      <c r="Y43" s="2866"/>
      <c r="Z43" s="2866"/>
      <c r="AA43" s="2866">
        <f>IF(AA24&lt;=holding,SUM($L$42:AB42),0)</f>
        <v>0</v>
      </c>
      <c r="AB43" s="2866"/>
      <c r="AC43" s="2866"/>
      <c r="AD43" s="2866">
        <f>IF(AD24&lt;=holding,SUM($L$42:AD42),0)</f>
        <v>0</v>
      </c>
      <c r="AE43" s="2866"/>
      <c r="AF43" s="2866"/>
      <c r="AG43" s="2866">
        <f>IF(AG24&lt;=holding,SUM($L$42:AG42),0)</f>
        <v>0</v>
      </c>
      <c r="AH43" s="2866"/>
      <c r="AI43" s="2866"/>
      <c r="AJ43" s="2866">
        <f>IF(AJ24&lt;=holding,SUM($L$42:AJ42),0)</f>
        <v>0</v>
      </c>
      <c r="AK43" s="2866"/>
      <c r="AL43" s="2866"/>
      <c r="AM43" s="2866">
        <f>IF(AM24&lt;=holding,SUM($L$42:AM42),0)</f>
        <v>0</v>
      </c>
      <c r="AN43" s="2866"/>
      <c r="AO43" s="2866"/>
      <c r="AP43" s="1152"/>
      <c r="AQ43" s="2925">
        <f>INDEX(FORECASTS!$E$102:$AI$102,0,AQ24)</f>
        <v>0</v>
      </c>
      <c r="AR43" s="2926"/>
      <c r="AS43" s="2927"/>
      <c r="AT43" s="1153"/>
      <c r="AU43" s="2925">
        <f>INDEX(FORECASTS!$E$102:$AI$102,0,AU24)</f>
        <v>0</v>
      </c>
      <c r="AV43" s="2926"/>
      <c r="AW43" s="2927"/>
      <c r="AX43" s="4"/>
      <c r="AY43" s="794"/>
      <c r="AZ43" s="344"/>
      <c r="BA43" s="344"/>
      <c r="BB43" s="344"/>
      <c r="BC43" s="344"/>
      <c r="BD43" s="344"/>
      <c r="BE43" s="344"/>
      <c r="BF43" s="344"/>
      <c r="BG43" s="344"/>
      <c r="BH43" s="344"/>
      <c r="BI43" s="344"/>
      <c r="BJ43" s="344"/>
      <c r="BK43" s="344"/>
      <c r="BL43" s="344"/>
      <c r="BM43" s="344"/>
      <c r="BN43" s="344"/>
      <c r="BO43" s="344"/>
    </row>
    <row r="44" spans="1:71" ht="14.4" thickBot="1" x14ac:dyDescent="0.3">
      <c r="A44" s="9"/>
      <c r="B44" s="20"/>
      <c r="C44" s="20"/>
      <c r="D44" s="20"/>
      <c r="E44" s="20"/>
      <c r="F44" s="20"/>
      <c r="G44" s="20"/>
      <c r="H44" s="20"/>
      <c r="I44" s="20"/>
      <c r="J44" s="15"/>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1309"/>
      <c r="AR44" s="1310"/>
      <c r="AS44" s="1311"/>
      <c r="AT44" s="84"/>
      <c r="AU44" s="1309"/>
      <c r="AV44" s="1310"/>
      <c r="AW44" s="1311"/>
      <c r="AX44" s="8"/>
      <c r="AY44" s="797"/>
    </row>
    <row r="45" spans="1:71" x14ac:dyDescent="0.25">
      <c r="A45" s="9"/>
      <c r="B45" s="8"/>
      <c r="C45" s="8"/>
      <c r="D45" s="8"/>
      <c r="E45" s="8"/>
      <c r="F45" s="8"/>
      <c r="G45" s="8"/>
      <c r="H45" s="8"/>
      <c r="I45" s="8"/>
      <c r="J45" s="1280"/>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1296"/>
      <c r="AR45" s="1296"/>
      <c r="AS45" s="1296"/>
      <c r="AT45" s="8"/>
      <c r="AU45" s="1296"/>
      <c r="AV45" s="1296"/>
      <c r="AW45" s="1296"/>
      <c r="AX45" s="8"/>
      <c r="AY45" s="797"/>
    </row>
    <row r="46" spans="1:71" x14ac:dyDescent="0.25">
      <c r="A46" s="9"/>
      <c r="B46" s="8"/>
      <c r="C46" s="8"/>
      <c r="D46" s="8"/>
      <c r="E46" s="8"/>
      <c r="F46" s="8"/>
      <c r="G46" s="8"/>
      <c r="H46" s="8"/>
      <c r="I46" s="8"/>
      <c r="J46" s="1280"/>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1296"/>
      <c r="AR46" s="1296"/>
      <c r="AS46" s="1296"/>
      <c r="AT46" s="8"/>
      <c r="AU46" s="1296"/>
      <c r="AV46" s="1296"/>
      <c r="AW46" s="1296"/>
      <c r="AX46" s="8"/>
      <c r="AY46" s="797"/>
    </row>
    <row r="47" spans="1:71" x14ac:dyDescent="0.25">
      <c r="A47" s="9"/>
      <c r="B47" s="8"/>
      <c r="C47" s="8"/>
      <c r="D47" s="8"/>
      <c r="E47" s="8"/>
      <c r="F47" s="8"/>
      <c r="G47" s="8"/>
      <c r="H47" s="8"/>
      <c r="I47" s="8"/>
      <c r="J47" s="1280"/>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1296"/>
      <c r="AR47" s="1296"/>
      <c r="AS47" s="1296"/>
      <c r="AT47" s="8"/>
      <c r="AU47" s="1296"/>
      <c r="AV47" s="1296"/>
      <c r="AW47" s="1296"/>
      <c r="AX47" s="8"/>
      <c r="AY47" s="797"/>
    </row>
    <row r="48" spans="1:71" x14ac:dyDescent="0.25">
      <c r="A48" s="9"/>
      <c r="B48" s="8"/>
      <c r="C48" s="8"/>
      <c r="D48" s="8"/>
      <c r="E48" s="8"/>
      <c r="F48" s="8"/>
      <c r="G48" s="8"/>
      <c r="H48" s="8"/>
      <c r="I48" s="8"/>
      <c r="J48" s="1280"/>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1296"/>
      <c r="AR48" s="1296"/>
      <c r="AS48" s="1296"/>
      <c r="AT48" s="8"/>
      <c r="AU48" s="1296"/>
      <c r="AV48" s="1296"/>
      <c r="AW48" s="1296"/>
      <c r="AX48" s="8"/>
      <c r="AY48" s="797"/>
    </row>
    <row r="49" spans="1:51" x14ac:dyDescent="0.25">
      <c r="A49" s="9"/>
      <c r="B49" s="8"/>
      <c r="C49" s="8"/>
      <c r="D49" s="8"/>
      <c r="E49" s="8"/>
      <c r="F49" s="8"/>
      <c r="G49" s="8"/>
      <c r="H49" s="8"/>
      <c r="I49" s="8"/>
      <c r="J49" s="1280"/>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1296"/>
      <c r="AR49" s="1296"/>
      <c r="AS49" s="1296"/>
      <c r="AT49" s="8"/>
      <c r="AU49" s="1296"/>
      <c r="AV49" s="1296"/>
      <c r="AW49" s="1296"/>
      <c r="AX49" s="8"/>
      <c r="AY49" s="797"/>
    </row>
    <row r="50" spans="1:51" x14ac:dyDescent="0.25">
      <c r="A50" s="9"/>
      <c r="B50" s="8"/>
      <c r="C50" s="8"/>
      <c r="D50" s="8"/>
      <c r="E50" s="8"/>
      <c r="F50" s="8"/>
      <c r="G50" s="8"/>
      <c r="H50" s="8"/>
      <c r="I50" s="8"/>
      <c r="J50" s="1280"/>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1296"/>
      <c r="AR50" s="1296"/>
      <c r="AS50" s="1296"/>
      <c r="AT50" s="8"/>
      <c r="AU50" s="1296"/>
      <c r="AV50" s="1296"/>
      <c r="AW50" s="1296"/>
      <c r="AX50" s="8"/>
      <c r="AY50" s="797"/>
    </row>
    <row r="51" spans="1:51" x14ac:dyDescent="0.25">
      <c r="A51" s="9"/>
      <c r="B51" s="8"/>
      <c r="C51" s="8"/>
      <c r="D51" s="8"/>
      <c r="E51" s="8"/>
      <c r="F51" s="8"/>
      <c r="G51" s="8"/>
      <c r="H51" s="8"/>
      <c r="I51" s="8"/>
      <c r="J51" s="1280"/>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1296"/>
      <c r="AR51" s="1296"/>
      <c r="AS51" s="1296"/>
      <c r="AT51" s="8"/>
      <c r="AU51" s="1296"/>
      <c r="AV51" s="1296"/>
      <c r="AW51" s="1296"/>
      <c r="AX51" s="8"/>
      <c r="AY51" s="797"/>
    </row>
    <row r="52" spans="1:51" x14ac:dyDescent="0.25">
      <c r="A52" s="9"/>
      <c r="B52" s="8"/>
      <c r="C52" s="8"/>
      <c r="D52" s="8"/>
      <c r="E52" s="8"/>
      <c r="F52" s="8"/>
      <c r="G52" s="8"/>
      <c r="H52" s="8"/>
      <c r="I52" s="8"/>
      <c r="J52" s="1280"/>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1296"/>
      <c r="AR52" s="1296"/>
      <c r="AS52" s="1296"/>
      <c r="AT52" s="8"/>
      <c r="AU52" s="1296"/>
      <c r="AV52" s="1296"/>
      <c r="AW52" s="1296"/>
      <c r="AX52" s="8"/>
      <c r="AY52" s="797"/>
    </row>
    <row r="53" spans="1:51" x14ac:dyDescent="0.25">
      <c r="A53" s="9"/>
      <c r="B53" s="8"/>
      <c r="C53" s="8"/>
      <c r="D53" s="8"/>
      <c r="E53" s="8"/>
      <c r="F53" s="8"/>
      <c r="G53" s="8"/>
      <c r="H53" s="8"/>
      <c r="I53" s="8"/>
      <c r="J53" s="1280"/>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1296"/>
      <c r="AR53" s="1296"/>
      <c r="AS53" s="1296"/>
      <c r="AT53" s="8"/>
      <c r="AU53" s="1296"/>
      <c r="AV53" s="1296"/>
      <c r="AW53" s="1296"/>
      <c r="AX53" s="8"/>
      <c r="AY53" s="797"/>
    </row>
    <row r="54" spans="1:51" x14ac:dyDescent="0.25">
      <c r="A54" s="9"/>
      <c r="B54" s="8"/>
      <c r="C54" s="8"/>
      <c r="D54" s="8"/>
      <c r="E54" s="8"/>
      <c r="F54" s="8"/>
      <c r="G54" s="8"/>
      <c r="H54" s="8"/>
      <c r="I54" s="8"/>
      <c r="J54" s="1280"/>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1296"/>
      <c r="AR54" s="1296"/>
      <c r="AS54" s="1296"/>
      <c r="AT54" s="8"/>
      <c r="AU54" s="1296"/>
      <c r="AV54" s="1296"/>
      <c r="AW54" s="1296"/>
      <c r="AX54" s="8"/>
      <c r="AY54" s="797"/>
    </row>
    <row r="55" spans="1:51" x14ac:dyDescent="0.25">
      <c r="A55" s="9"/>
      <c r="B55" s="8"/>
      <c r="C55" s="8"/>
      <c r="D55" s="8"/>
      <c r="E55" s="8"/>
      <c r="F55" s="8"/>
      <c r="G55" s="8"/>
      <c r="H55" s="8"/>
      <c r="I55" s="8"/>
      <c r="J55" s="1280"/>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1296"/>
      <c r="AR55" s="1296"/>
      <c r="AS55" s="1296"/>
      <c r="AT55" s="8"/>
      <c r="AU55" s="1296"/>
      <c r="AV55" s="1296"/>
      <c r="AW55" s="1296"/>
      <c r="AX55" s="8"/>
      <c r="AY55" s="797"/>
    </row>
    <row r="56" spans="1:51" x14ac:dyDescent="0.25">
      <c r="A56" s="9"/>
      <c r="B56" s="8"/>
      <c r="C56" s="8"/>
      <c r="D56" s="8"/>
      <c r="E56" s="8"/>
      <c r="F56" s="8"/>
      <c r="G56" s="8"/>
      <c r="H56" s="8"/>
      <c r="I56" s="8"/>
      <c r="J56" s="1280"/>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1296"/>
      <c r="AR56" s="1296"/>
      <c r="AS56" s="1296"/>
      <c r="AT56" s="8"/>
      <c r="AU56" s="1296"/>
      <c r="AV56" s="1296"/>
      <c r="AW56" s="1296"/>
      <c r="AX56" s="8"/>
      <c r="AY56" s="797"/>
    </row>
    <row r="57" spans="1:51" x14ac:dyDescent="0.25">
      <c r="A57" s="9"/>
      <c r="B57" s="8"/>
      <c r="C57" s="8"/>
      <c r="D57" s="8"/>
      <c r="E57" s="8"/>
      <c r="F57" s="8"/>
      <c r="G57" s="8"/>
      <c r="H57" s="8"/>
      <c r="I57" s="8"/>
      <c r="J57" s="1280"/>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1296"/>
      <c r="AR57" s="1296"/>
      <c r="AS57" s="1296"/>
      <c r="AT57" s="8"/>
      <c r="AU57" s="1296"/>
      <c r="AV57" s="1296"/>
      <c r="AW57" s="1296"/>
      <c r="AX57" s="8"/>
      <c r="AY57" s="797"/>
    </row>
    <row r="58" spans="1:51" x14ac:dyDescent="0.25">
      <c r="A58" s="9"/>
      <c r="B58" s="8"/>
      <c r="C58" s="8"/>
      <c r="D58" s="8"/>
      <c r="E58" s="8"/>
      <c r="F58" s="8"/>
      <c r="G58" s="8"/>
      <c r="H58" s="8"/>
      <c r="I58" s="8"/>
      <c r="J58" s="1280"/>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1296"/>
      <c r="AR58" s="1296"/>
      <c r="AS58" s="1296"/>
      <c r="AT58" s="8"/>
      <c r="AU58" s="1296"/>
      <c r="AV58" s="1296"/>
      <c r="AW58" s="1296"/>
      <c r="AX58" s="8"/>
      <c r="AY58" s="797"/>
    </row>
    <row r="59" spans="1:51" x14ac:dyDescent="0.25">
      <c r="A59" s="9"/>
      <c r="B59" s="8"/>
      <c r="C59" s="8"/>
      <c r="D59" s="8"/>
      <c r="E59" s="8"/>
      <c r="F59" s="8"/>
      <c r="G59" s="8"/>
      <c r="H59" s="8"/>
      <c r="I59" s="8"/>
      <c r="J59" s="1280"/>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1296"/>
      <c r="AR59" s="1296"/>
      <c r="AS59" s="1296"/>
      <c r="AT59" s="8"/>
      <c r="AU59" s="1296"/>
      <c r="AV59" s="1296"/>
      <c r="AW59" s="1296"/>
      <c r="AX59" s="8"/>
      <c r="AY59" s="797"/>
    </row>
    <row r="60" spans="1:51" x14ac:dyDescent="0.25">
      <c r="A60" s="9"/>
      <c r="B60" s="8"/>
      <c r="C60" s="8"/>
      <c r="D60" s="8"/>
      <c r="E60" s="8"/>
      <c r="F60" s="8"/>
      <c r="G60" s="8"/>
      <c r="H60" s="8"/>
      <c r="I60" s="8"/>
      <c r="J60" s="1280"/>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1296"/>
      <c r="AR60" s="1296"/>
      <c r="AS60" s="1296"/>
      <c r="AT60" s="8"/>
      <c r="AU60" s="1296"/>
      <c r="AV60" s="1296"/>
      <c r="AW60" s="1296"/>
      <c r="AX60" s="8"/>
      <c r="AY60" s="797"/>
    </row>
    <row r="61" spans="1:51" ht="15" customHeight="1" x14ac:dyDescent="0.25">
      <c r="A61" s="9"/>
      <c r="B61" s="8"/>
      <c r="C61" s="8"/>
      <c r="D61" s="8"/>
      <c r="E61" s="8"/>
      <c r="F61" s="8"/>
      <c r="G61" s="8"/>
      <c r="H61" s="8"/>
      <c r="I61" s="8"/>
      <c r="J61" s="1280"/>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1296"/>
      <c r="AR61" s="1296"/>
      <c r="AS61" s="1296"/>
      <c r="AT61" s="8"/>
      <c r="AU61" s="1296"/>
      <c r="AV61" s="1296"/>
      <c r="AW61" s="1296"/>
      <c r="AX61" s="8"/>
      <c r="AY61" s="797"/>
    </row>
    <row r="62" spans="1:51" ht="15" customHeight="1" x14ac:dyDescent="0.25">
      <c r="A62" s="9"/>
      <c r="B62" s="8"/>
      <c r="C62" s="8"/>
      <c r="D62" s="8"/>
      <c r="E62" s="8"/>
      <c r="F62" s="8"/>
      <c r="G62" s="8"/>
      <c r="H62" s="8"/>
      <c r="I62" s="8"/>
      <c r="J62" s="1280"/>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1296"/>
      <c r="AR62" s="1296"/>
      <c r="AS62" s="1296"/>
      <c r="AT62" s="8"/>
      <c r="AU62" s="1296"/>
      <c r="AV62" s="1296"/>
      <c r="AW62" s="1296"/>
      <c r="AX62" s="8"/>
      <c r="AY62" s="797"/>
    </row>
    <row r="63" spans="1:51" ht="14.4" x14ac:dyDescent="0.25">
      <c r="A63" s="9"/>
      <c r="B63" s="1234" t="s">
        <v>1011</v>
      </c>
      <c r="C63" s="1234"/>
      <c r="D63" s="1234"/>
      <c r="E63" s="1234"/>
      <c r="F63" s="1234"/>
      <c r="G63" s="1234"/>
      <c r="H63" s="1234"/>
      <c r="I63" s="1234"/>
      <c r="J63" s="1234"/>
      <c r="K63" s="1234"/>
      <c r="L63" s="1234"/>
      <c r="M63" s="1234"/>
      <c r="N63" s="1234"/>
      <c r="O63" s="1234"/>
      <c r="P63" s="1234"/>
      <c r="Q63" s="1234"/>
      <c r="R63" s="1234"/>
      <c r="S63" s="1234"/>
      <c r="T63" s="1234"/>
      <c r="U63" s="1234"/>
      <c r="V63" s="1234"/>
      <c r="W63" s="1234"/>
      <c r="X63" s="1234"/>
      <c r="Y63" s="1234"/>
      <c r="Z63" s="1234"/>
      <c r="AA63" s="1234"/>
      <c r="AB63" s="1234"/>
      <c r="AC63" s="1234"/>
      <c r="AD63" s="1234"/>
      <c r="AE63" s="1234"/>
      <c r="AF63" s="1234"/>
      <c r="AG63" s="1234"/>
      <c r="AH63" s="1234"/>
      <c r="AI63" s="1234"/>
      <c r="AJ63" s="1234"/>
      <c r="AK63" s="1234"/>
      <c r="AL63" s="1234"/>
      <c r="AM63" s="1234"/>
      <c r="AN63" s="1234"/>
      <c r="AO63" s="1234"/>
      <c r="AP63" s="1234"/>
      <c r="AQ63" s="1234"/>
      <c r="AR63" s="1234"/>
      <c r="AS63" s="1234"/>
      <c r="AT63" s="1234"/>
      <c r="AU63" s="1234"/>
      <c r="AV63" s="1234"/>
      <c r="AW63" s="1234"/>
      <c r="AX63" s="1234"/>
      <c r="AY63" s="277"/>
    </row>
    <row r="64" spans="1:51" x14ac:dyDescent="0.25">
      <c r="A64" s="9"/>
      <c r="B64" s="1160"/>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1293"/>
      <c r="AT64" s="1293"/>
      <c r="AU64" s="1293"/>
      <c r="AV64" s="9"/>
      <c r="AW64" s="9"/>
      <c r="AX64" s="9"/>
      <c r="AY64" s="277"/>
    </row>
    <row r="65" spans="1:71" s="350" customFormat="1" ht="14.4" thickBot="1" x14ac:dyDescent="0.3">
      <c r="A65" s="9"/>
      <c r="B65" s="1330"/>
      <c r="C65" s="1331"/>
      <c r="D65" s="1331"/>
      <c r="E65" s="1331"/>
      <c r="F65" s="1331"/>
      <c r="G65" s="1331"/>
      <c r="H65" s="1331"/>
      <c r="I65" s="1331"/>
      <c r="J65" s="1349"/>
      <c r="K65" s="1331"/>
      <c r="L65" s="1331"/>
      <c r="M65" s="1331"/>
      <c r="N65" s="1331"/>
      <c r="O65" s="1331"/>
      <c r="P65" s="1331"/>
      <c r="Q65" s="1331"/>
      <c r="R65" s="1331"/>
      <c r="S65" s="1331"/>
      <c r="T65" s="1331"/>
      <c r="U65" s="1331"/>
      <c r="V65" s="1331"/>
      <c r="W65" s="1331"/>
      <c r="X65" s="1331"/>
      <c r="Y65" s="1331"/>
      <c r="Z65" s="1331"/>
      <c r="AA65" s="1331"/>
      <c r="AB65" s="1331"/>
      <c r="AC65" s="1331"/>
      <c r="AD65" s="1331"/>
      <c r="AE65" s="1331"/>
      <c r="AF65" s="1331"/>
      <c r="AG65" s="1331"/>
      <c r="AH65" s="1331"/>
      <c r="AI65" s="1331"/>
      <c r="AJ65" s="1331"/>
      <c r="AK65" s="1331"/>
      <c r="AL65" s="1331"/>
      <c r="AM65" s="1331"/>
      <c r="AN65" s="1331"/>
      <c r="AO65" s="1331"/>
      <c r="AP65" s="1331"/>
      <c r="AQ65" s="1332"/>
      <c r="AR65" s="1332"/>
      <c r="AS65" s="1332"/>
      <c r="AT65" s="1331"/>
      <c r="AU65" s="1332"/>
      <c r="AV65" s="1332"/>
      <c r="AW65" s="1332"/>
      <c r="AX65" s="1333"/>
      <c r="AY65" s="277"/>
      <c r="AZ65" s="331"/>
      <c r="BA65" s="331"/>
      <c r="BB65" s="331"/>
      <c r="BC65" s="331"/>
      <c r="BD65" s="331"/>
      <c r="BE65" s="331"/>
      <c r="BF65" s="331"/>
      <c r="BG65" s="331"/>
      <c r="BH65" s="331"/>
      <c r="BI65" s="331"/>
      <c r="BJ65" s="331"/>
      <c r="BK65" s="331"/>
      <c r="BL65" s="331"/>
      <c r="BM65" s="331"/>
      <c r="BN65" s="331"/>
      <c r="BO65" s="331"/>
      <c r="BP65" s="331"/>
      <c r="BQ65" s="331"/>
      <c r="BR65" s="331"/>
      <c r="BS65" s="331"/>
    </row>
    <row r="66" spans="1:71" s="350" customFormat="1" x14ac:dyDescent="0.25">
      <c r="A66" s="9"/>
      <c r="B66" s="1334"/>
      <c r="C66" s="1335"/>
      <c r="D66" s="1335"/>
      <c r="E66" s="1335"/>
      <c r="F66" s="1335"/>
      <c r="G66" s="1335"/>
      <c r="H66" s="1335"/>
      <c r="I66" s="1335"/>
      <c r="J66" s="1336" t="s">
        <v>40</v>
      </c>
      <c r="K66" s="1335"/>
      <c r="L66" s="2859">
        <f>L23</f>
        <v>2025</v>
      </c>
      <c r="M66" s="2859"/>
      <c r="N66" s="2859"/>
      <c r="O66" s="2859">
        <f>O23</f>
        <v>2026</v>
      </c>
      <c r="P66" s="2859"/>
      <c r="Q66" s="2859"/>
      <c r="R66" s="2859">
        <f>R23</f>
        <v>2027</v>
      </c>
      <c r="S66" s="2859"/>
      <c r="T66" s="2859"/>
      <c r="U66" s="2859">
        <f>U23</f>
        <v>2028</v>
      </c>
      <c r="V66" s="2859"/>
      <c r="W66" s="2859"/>
      <c r="X66" s="2859">
        <f>X23</f>
        <v>2029</v>
      </c>
      <c r="Y66" s="2859"/>
      <c r="Z66" s="2859"/>
      <c r="AA66" s="2859">
        <f>AA23</f>
        <v>2030</v>
      </c>
      <c r="AB66" s="2859"/>
      <c r="AC66" s="2859"/>
      <c r="AD66" s="2859">
        <f>AD23</f>
        <v>2031</v>
      </c>
      <c r="AE66" s="2859"/>
      <c r="AF66" s="2859"/>
      <c r="AG66" s="2859">
        <f>AG23</f>
        <v>2032</v>
      </c>
      <c r="AH66" s="2859"/>
      <c r="AI66" s="2859"/>
      <c r="AJ66" s="2859">
        <f>AJ23</f>
        <v>2033</v>
      </c>
      <c r="AK66" s="2859"/>
      <c r="AL66" s="2859"/>
      <c r="AM66" s="2859">
        <f>AM23</f>
        <v>2034</v>
      </c>
      <c r="AN66" s="2859"/>
      <c r="AO66" s="2859"/>
      <c r="AP66" s="1337"/>
      <c r="AQ66" s="2877">
        <f>AQ23</f>
        <v>2044</v>
      </c>
      <c r="AR66" s="2878"/>
      <c r="AS66" s="2879"/>
      <c r="AT66" s="1338"/>
      <c r="AU66" s="2877">
        <f>AU23</f>
        <v>2054</v>
      </c>
      <c r="AV66" s="2878"/>
      <c r="AW66" s="2879"/>
      <c r="AX66" s="1350"/>
      <c r="AY66" s="277"/>
      <c r="AZ66" s="331"/>
      <c r="BA66" s="331"/>
      <c r="BB66" s="331"/>
      <c r="BC66" s="331"/>
      <c r="BD66" s="331"/>
      <c r="BE66" s="331"/>
      <c r="BF66" s="331"/>
      <c r="BG66" s="331"/>
      <c r="BH66" s="331"/>
      <c r="BI66" s="331"/>
      <c r="BJ66" s="331"/>
      <c r="BK66" s="331"/>
      <c r="BL66" s="331"/>
      <c r="BM66" s="331"/>
      <c r="BN66" s="331"/>
      <c r="BO66" s="331"/>
    </row>
    <row r="67" spans="1:71" s="350" customFormat="1" x14ac:dyDescent="0.25">
      <c r="A67" s="9"/>
      <c r="B67" s="19"/>
      <c r="C67" s="1301"/>
      <c r="D67" s="1301"/>
      <c r="E67" s="1301"/>
      <c r="F67" s="1301"/>
      <c r="G67" s="1301"/>
      <c r="H67" s="1301"/>
      <c r="I67" s="1301"/>
      <c r="J67" s="238" t="s">
        <v>41</v>
      </c>
      <c r="K67" s="1301"/>
      <c r="L67" s="2860">
        <f>L24</f>
        <v>1</v>
      </c>
      <c r="M67" s="2860"/>
      <c r="N67" s="2860"/>
      <c r="O67" s="2860">
        <f>O24</f>
        <v>2</v>
      </c>
      <c r="P67" s="2860"/>
      <c r="Q67" s="2860"/>
      <c r="R67" s="2860">
        <f>R24</f>
        <v>3</v>
      </c>
      <c r="S67" s="2860"/>
      <c r="T67" s="2860"/>
      <c r="U67" s="2860">
        <f>U24</f>
        <v>4</v>
      </c>
      <c r="V67" s="2860"/>
      <c r="W67" s="2860"/>
      <c r="X67" s="2860">
        <f>X24</f>
        <v>5</v>
      </c>
      <c r="Y67" s="2860"/>
      <c r="Z67" s="2860"/>
      <c r="AA67" s="2860">
        <f>AA24</f>
        <v>6</v>
      </c>
      <c r="AB67" s="2860"/>
      <c r="AC67" s="2860"/>
      <c r="AD67" s="2860">
        <f>AD24</f>
        <v>7</v>
      </c>
      <c r="AE67" s="2860"/>
      <c r="AF67" s="2860"/>
      <c r="AG67" s="2860">
        <f>AG24</f>
        <v>8</v>
      </c>
      <c r="AH67" s="2860"/>
      <c r="AI67" s="2860"/>
      <c r="AJ67" s="2860">
        <f>AJ24</f>
        <v>9</v>
      </c>
      <c r="AK67" s="2860"/>
      <c r="AL67" s="2860"/>
      <c r="AM67" s="2860">
        <f>AM24</f>
        <v>10</v>
      </c>
      <c r="AN67" s="2860"/>
      <c r="AO67" s="2860"/>
      <c r="AP67" s="1320"/>
      <c r="AQ67" s="2880">
        <f>AQ24</f>
        <v>20</v>
      </c>
      <c r="AR67" s="2881"/>
      <c r="AS67" s="2882"/>
      <c r="AT67" s="5"/>
      <c r="AU67" s="2880">
        <f>AU24</f>
        <v>30</v>
      </c>
      <c r="AV67" s="2881"/>
      <c r="AW67" s="2882"/>
      <c r="AX67" s="9"/>
      <c r="AY67" s="277"/>
    </row>
    <row r="68" spans="1:71" ht="11.25" customHeight="1" x14ac:dyDescent="0.25">
      <c r="A68" s="9"/>
      <c r="B68" s="19"/>
      <c r="C68" s="1301"/>
      <c r="D68" s="1301"/>
      <c r="E68" s="1301"/>
      <c r="F68" s="1301"/>
      <c r="G68" s="1301"/>
      <c r="H68" s="1301"/>
      <c r="I68" s="1301"/>
      <c r="J68" s="238"/>
      <c r="K68" s="1301"/>
      <c r="L68" s="1320"/>
      <c r="M68" s="1321"/>
      <c r="N68" s="1321"/>
      <c r="O68" s="1320"/>
      <c r="P68" s="1321"/>
      <c r="Q68" s="1321"/>
      <c r="R68" s="1320"/>
      <c r="S68" s="1321"/>
      <c r="T68" s="1321"/>
      <c r="U68" s="1320"/>
      <c r="V68" s="1321"/>
      <c r="W68" s="1321"/>
      <c r="X68" s="1320"/>
      <c r="Y68" s="1321"/>
      <c r="Z68" s="1321"/>
      <c r="AA68" s="1320"/>
      <c r="AB68" s="1321"/>
      <c r="AC68" s="1321"/>
      <c r="AD68" s="1320"/>
      <c r="AE68" s="1321"/>
      <c r="AF68" s="1321"/>
      <c r="AG68" s="1320"/>
      <c r="AH68" s="1321"/>
      <c r="AI68" s="1321"/>
      <c r="AJ68" s="1320"/>
      <c r="AK68" s="1321"/>
      <c r="AL68" s="1321"/>
      <c r="AM68" s="1320"/>
      <c r="AN68" s="1321"/>
      <c r="AO68" s="1321"/>
      <c r="AP68" s="1320"/>
      <c r="AQ68" s="1300"/>
      <c r="AR68" s="1301"/>
      <c r="AS68" s="1302"/>
      <c r="AT68" s="5"/>
      <c r="AU68" s="1300"/>
      <c r="AV68" s="1301"/>
      <c r="AW68" s="1302"/>
      <c r="AX68" s="9"/>
      <c r="AY68" s="277"/>
      <c r="AZ68" s="350"/>
      <c r="BA68" s="350"/>
      <c r="BB68" s="350"/>
      <c r="BC68" s="350"/>
      <c r="BD68" s="350"/>
      <c r="BE68" s="350"/>
      <c r="BF68" s="350"/>
      <c r="BG68" s="350"/>
      <c r="BH68" s="350"/>
      <c r="BI68" s="350"/>
      <c r="BJ68" s="350"/>
      <c r="BK68" s="350"/>
      <c r="BL68" s="350"/>
      <c r="BM68" s="350"/>
      <c r="BN68" s="350"/>
      <c r="BO68" s="350"/>
      <c r="BP68" s="350"/>
      <c r="BQ68" s="350"/>
      <c r="BR68" s="350"/>
      <c r="BS68" s="350"/>
    </row>
    <row r="69" spans="1:71" x14ac:dyDescent="0.25">
      <c r="A69" s="9"/>
      <c r="B69" s="1258" t="str">
        <f>DEBT!B13</f>
        <v>Debt (Beginning of year)</v>
      </c>
      <c r="C69" s="1259"/>
      <c r="D69" s="1259"/>
      <c r="E69" s="1259"/>
      <c r="F69" s="1259"/>
      <c r="G69" s="1259"/>
      <c r="H69" s="1259"/>
      <c r="I69" s="1259"/>
      <c r="J69" s="1322"/>
      <c r="K69" s="1259"/>
      <c r="L69" s="2861">
        <f>DEBT!D13</f>
        <v>118970</v>
      </c>
      <c r="M69" s="2861"/>
      <c r="N69" s="2861"/>
      <c r="O69" s="2861">
        <f>DEBT!E13</f>
        <v>0</v>
      </c>
      <c r="P69" s="2861"/>
      <c r="Q69" s="2861"/>
      <c r="R69" s="2861">
        <f>DEBT!F13</f>
        <v>0</v>
      </c>
      <c r="S69" s="2861"/>
      <c r="T69" s="2861"/>
      <c r="U69" s="2861">
        <f>DEBT!G13</f>
        <v>0</v>
      </c>
      <c r="V69" s="2861"/>
      <c r="W69" s="2861"/>
      <c r="X69" s="2861">
        <f>DEBT!H13</f>
        <v>0</v>
      </c>
      <c r="Y69" s="2861"/>
      <c r="Z69" s="2861"/>
      <c r="AA69" s="2861">
        <f>DEBT!I13</f>
        <v>0</v>
      </c>
      <c r="AB69" s="2861"/>
      <c r="AC69" s="2861"/>
      <c r="AD69" s="2861">
        <f>DEBT!J13</f>
        <v>0</v>
      </c>
      <c r="AE69" s="2861"/>
      <c r="AF69" s="2861"/>
      <c r="AG69" s="2861">
        <f>DEBT!K13</f>
        <v>0</v>
      </c>
      <c r="AH69" s="2861"/>
      <c r="AI69" s="2861"/>
      <c r="AJ69" s="2861">
        <f>DEBT!L13</f>
        <v>0</v>
      </c>
      <c r="AK69" s="2861"/>
      <c r="AL69" s="2861"/>
      <c r="AM69" s="2861">
        <f>DEBT!M13</f>
        <v>0</v>
      </c>
      <c r="AN69" s="2861"/>
      <c r="AO69" s="2861"/>
      <c r="AP69" s="1249"/>
      <c r="AQ69" s="2883">
        <f>INDEX(DEBT!$D$13:$AH$13,0,AQ67)</f>
        <v>0</v>
      </c>
      <c r="AR69" s="2884"/>
      <c r="AS69" s="2885"/>
      <c r="AT69" s="1291"/>
      <c r="AU69" s="2883">
        <f>INDEX(DEBT!$D$13:$AH$13,0,AU67)</f>
        <v>0</v>
      </c>
      <c r="AV69" s="2884"/>
      <c r="AW69" s="2885"/>
      <c r="AX69" s="9"/>
      <c r="AY69" s="277"/>
      <c r="AZ69" s="350"/>
      <c r="BA69" s="350"/>
      <c r="BB69" s="350"/>
      <c r="BC69" s="350"/>
      <c r="BD69" s="350"/>
      <c r="BE69" s="350"/>
      <c r="BF69" s="350"/>
      <c r="BG69" s="350"/>
      <c r="BH69" s="350"/>
      <c r="BI69" s="350"/>
      <c r="BJ69" s="350"/>
      <c r="BK69" s="350"/>
      <c r="BL69" s="350"/>
      <c r="BM69" s="350"/>
      <c r="BN69" s="350"/>
      <c r="BO69" s="350"/>
    </row>
    <row r="70" spans="1:71" x14ac:dyDescent="0.25">
      <c r="A70" s="9"/>
      <c r="B70" s="22"/>
      <c r="C70" s="22"/>
      <c r="D70" s="22"/>
      <c r="E70" s="22"/>
      <c r="F70" s="22"/>
      <c r="G70" s="22"/>
      <c r="H70" s="22"/>
      <c r="I70" s="22"/>
      <c r="J70" s="1340"/>
      <c r="K70" s="22"/>
      <c r="L70" s="1340"/>
      <c r="M70" s="1340"/>
      <c r="N70" s="1340"/>
      <c r="O70" s="1340"/>
      <c r="P70" s="1340"/>
      <c r="Q70" s="1340"/>
      <c r="R70" s="1340"/>
      <c r="S70" s="1340"/>
      <c r="T70" s="1340"/>
      <c r="U70" s="1340"/>
      <c r="V70" s="1340"/>
      <c r="W70" s="1340"/>
      <c r="X70" s="1340"/>
      <c r="Y70" s="1340"/>
      <c r="Z70" s="1340"/>
      <c r="AA70" s="1340"/>
      <c r="AB70" s="1340"/>
      <c r="AC70" s="1340"/>
      <c r="AD70" s="1340"/>
      <c r="AE70" s="1340"/>
      <c r="AF70" s="1340"/>
      <c r="AG70" s="1340"/>
      <c r="AH70" s="1340"/>
      <c r="AI70" s="1340"/>
      <c r="AJ70" s="1340"/>
      <c r="AK70" s="1340"/>
      <c r="AL70" s="1340"/>
      <c r="AM70" s="1340"/>
      <c r="AN70" s="1340"/>
      <c r="AO70" s="1340"/>
      <c r="AP70" s="1340"/>
      <c r="AQ70" s="1312"/>
      <c r="AR70" s="1285"/>
      <c r="AS70" s="1313"/>
      <c r="AT70" s="1285"/>
      <c r="AU70" s="1312"/>
      <c r="AV70" s="1285"/>
      <c r="AW70" s="1313"/>
      <c r="AX70" s="9"/>
      <c r="AY70" s="277"/>
    </row>
    <row r="71" spans="1:71" ht="11.25" customHeight="1" x14ac:dyDescent="0.25">
      <c r="A71" s="9"/>
      <c r="B71" s="1272" t="s">
        <v>31</v>
      </c>
      <c r="C71" s="22"/>
      <c r="D71" s="22"/>
      <c r="E71" s="22"/>
      <c r="F71" s="22"/>
      <c r="G71" s="22"/>
      <c r="H71" s="22"/>
      <c r="I71" s="22"/>
      <c r="J71" s="1340"/>
      <c r="K71" s="22"/>
      <c r="L71" s="2863">
        <f>L38</f>
        <v>0</v>
      </c>
      <c r="M71" s="2863"/>
      <c r="N71" s="2863"/>
      <c r="O71" s="2863">
        <f>O38</f>
        <v>0</v>
      </c>
      <c r="P71" s="2863"/>
      <c r="Q71" s="2863"/>
      <c r="R71" s="2863">
        <f>R38</f>
        <v>0</v>
      </c>
      <c r="S71" s="2863"/>
      <c r="T71" s="2863"/>
      <c r="U71" s="2863">
        <f>U38</f>
        <v>0</v>
      </c>
      <c r="V71" s="2863"/>
      <c r="W71" s="2863"/>
      <c r="X71" s="2863">
        <f>X38</f>
        <v>0</v>
      </c>
      <c r="Y71" s="2863"/>
      <c r="Z71" s="2863"/>
      <c r="AA71" s="2863">
        <f>AA38</f>
        <v>0</v>
      </c>
      <c r="AB71" s="2863"/>
      <c r="AC71" s="2863"/>
      <c r="AD71" s="2863">
        <f>AD38</f>
        <v>0</v>
      </c>
      <c r="AE71" s="2863"/>
      <c r="AF71" s="2863"/>
      <c r="AG71" s="2863">
        <f>AG38</f>
        <v>0</v>
      </c>
      <c r="AH71" s="2863"/>
      <c r="AI71" s="2863"/>
      <c r="AJ71" s="2863">
        <f>AJ38</f>
        <v>0</v>
      </c>
      <c r="AK71" s="2863"/>
      <c r="AL71" s="2863"/>
      <c r="AM71" s="2863">
        <f>AM38</f>
        <v>0</v>
      </c>
      <c r="AN71" s="2863"/>
      <c r="AO71" s="2863"/>
      <c r="AP71" s="1340"/>
      <c r="AQ71" s="2889">
        <f>AQ38</f>
        <v>0</v>
      </c>
      <c r="AR71" s="2890"/>
      <c r="AS71" s="2891"/>
      <c r="AT71" s="1285"/>
      <c r="AU71" s="2889">
        <f>AU38</f>
        <v>0</v>
      </c>
      <c r="AV71" s="2890"/>
      <c r="AW71" s="2891"/>
      <c r="AX71" s="9"/>
      <c r="AY71" s="277"/>
    </row>
    <row r="72" spans="1:71" x14ac:dyDescent="0.25">
      <c r="A72" s="9"/>
      <c r="B72" s="1272" t="s">
        <v>507</v>
      </c>
      <c r="C72" s="22"/>
      <c r="D72" s="22"/>
      <c r="E72" s="22"/>
      <c r="F72" s="22"/>
      <c r="G72" s="22"/>
      <c r="H72" s="22"/>
      <c r="I72" s="22"/>
      <c r="J72" s="1340"/>
      <c r="K72" s="22"/>
      <c r="L72" s="2863">
        <f>DEBT!D15</f>
        <v>0</v>
      </c>
      <c r="M72" s="2863"/>
      <c r="N72" s="2863"/>
      <c r="O72" s="2863">
        <f>DEBT!E15</f>
        <v>0</v>
      </c>
      <c r="P72" s="2863"/>
      <c r="Q72" s="2863"/>
      <c r="R72" s="2863">
        <f>DEBT!F15</f>
        <v>0</v>
      </c>
      <c r="S72" s="2863"/>
      <c r="T72" s="2863"/>
      <c r="U72" s="2863">
        <f>DEBT!G15</f>
        <v>0</v>
      </c>
      <c r="V72" s="2863"/>
      <c r="W72" s="2863"/>
      <c r="X72" s="2863">
        <f>DEBT!H15</f>
        <v>0</v>
      </c>
      <c r="Y72" s="2863"/>
      <c r="Z72" s="2863"/>
      <c r="AA72" s="2863">
        <f>DEBT!I15</f>
        <v>0</v>
      </c>
      <c r="AB72" s="2863"/>
      <c r="AC72" s="2863"/>
      <c r="AD72" s="2863">
        <f>DEBT!J15</f>
        <v>0</v>
      </c>
      <c r="AE72" s="2863"/>
      <c r="AF72" s="2863"/>
      <c r="AG72" s="2863">
        <f>DEBT!K15</f>
        <v>0</v>
      </c>
      <c r="AH72" s="2863"/>
      <c r="AI72" s="2863"/>
      <c r="AJ72" s="2863">
        <f>DEBT!L15</f>
        <v>0</v>
      </c>
      <c r="AK72" s="2863"/>
      <c r="AL72" s="2863"/>
      <c r="AM72" s="2863">
        <f>DEBT!M15</f>
        <v>0</v>
      </c>
      <c r="AN72" s="2863"/>
      <c r="AO72" s="2863"/>
      <c r="AP72" s="1340"/>
      <c r="AQ72" s="2889">
        <f>DEBT!W15</f>
        <v>0</v>
      </c>
      <c r="AR72" s="2890"/>
      <c r="AS72" s="2891"/>
      <c r="AT72" s="1285"/>
      <c r="AU72" s="2889">
        <f>DEBT!AG15</f>
        <v>0</v>
      </c>
      <c r="AV72" s="2890"/>
      <c r="AW72" s="2891"/>
      <c r="AX72" s="9"/>
      <c r="AY72" s="277"/>
    </row>
    <row r="73" spans="1:71" x14ac:dyDescent="0.25">
      <c r="A73" s="9"/>
      <c r="B73" s="22"/>
      <c r="C73" s="22"/>
      <c r="D73" s="22"/>
      <c r="E73" s="22"/>
      <c r="F73" s="22"/>
      <c r="G73" s="22"/>
      <c r="H73" s="22"/>
      <c r="I73" s="22"/>
      <c r="J73" s="1340"/>
      <c r="K73" s="22"/>
      <c r="L73" s="1340"/>
      <c r="M73" s="1340"/>
      <c r="N73" s="1340"/>
      <c r="O73" s="1340"/>
      <c r="P73" s="1340"/>
      <c r="Q73" s="1340"/>
      <c r="R73" s="1340"/>
      <c r="S73" s="1340"/>
      <c r="T73" s="1340"/>
      <c r="U73" s="1340"/>
      <c r="V73" s="1340"/>
      <c r="W73" s="1340"/>
      <c r="X73" s="1340"/>
      <c r="Y73" s="1340"/>
      <c r="Z73" s="1340"/>
      <c r="AA73" s="1340"/>
      <c r="AB73" s="1340"/>
      <c r="AC73" s="1340"/>
      <c r="AD73" s="1340"/>
      <c r="AE73" s="1340"/>
      <c r="AF73" s="1340"/>
      <c r="AG73" s="1340"/>
      <c r="AH73" s="1340"/>
      <c r="AI73" s="1340"/>
      <c r="AJ73" s="1340"/>
      <c r="AK73" s="1340"/>
      <c r="AL73" s="1340"/>
      <c r="AM73" s="1340"/>
      <c r="AN73" s="1340"/>
      <c r="AO73" s="1340"/>
      <c r="AP73" s="1340"/>
      <c r="AQ73" s="1312"/>
      <c r="AR73" s="1285"/>
      <c r="AS73" s="1313"/>
      <c r="AT73" s="1285"/>
      <c r="AU73" s="1312"/>
      <c r="AV73" s="1285"/>
      <c r="AW73" s="1313"/>
      <c r="AX73" s="9"/>
      <c r="AY73" s="277"/>
    </row>
    <row r="74" spans="1:71" x14ac:dyDescent="0.25">
      <c r="A74" s="9"/>
      <c r="B74" s="1258" t="str">
        <f>DEBT!B17</f>
        <v>Debt (End of year)</v>
      </c>
      <c r="C74" s="1259"/>
      <c r="D74" s="1259"/>
      <c r="E74" s="1259"/>
      <c r="F74" s="1259"/>
      <c r="G74" s="1259"/>
      <c r="H74" s="1259"/>
      <c r="I74" s="1259"/>
      <c r="J74" s="1322"/>
      <c r="K74" s="1259"/>
      <c r="L74" s="2861">
        <f>DEBT!D17</f>
        <v>0</v>
      </c>
      <c r="M74" s="2861"/>
      <c r="N74" s="2861"/>
      <c r="O74" s="2861">
        <f>DEBT!E17</f>
        <v>0</v>
      </c>
      <c r="P74" s="2861"/>
      <c r="Q74" s="2861"/>
      <c r="R74" s="2861">
        <f>DEBT!F17</f>
        <v>0</v>
      </c>
      <c r="S74" s="2861"/>
      <c r="T74" s="2861"/>
      <c r="U74" s="2861">
        <f>DEBT!G17</f>
        <v>0</v>
      </c>
      <c r="V74" s="2861"/>
      <c r="W74" s="2861"/>
      <c r="X74" s="2861">
        <f>DEBT!H17</f>
        <v>0</v>
      </c>
      <c r="Y74" s="2861"/>
      <c r="Z74" s="2861"/>
      <c r="AA74" s="2861">
        <f>DEBT!I17</f>
        <v>0</v>
      </c>
      <c r="AB74" s="2861"/>
      <c r="AC74" s="2861"/>
      <c r="AD74" s="2861">
        <f>DEBT!J17</f>
        <v>0</v>
      </c>
      <c r="AE74" s="2861"/>
      <c r="AF74" s="2861"/>
      <c r="AG74" s="2861">
        <f>DEBT!K17</f>
        <v>0</v>
      </c>
      <c r="AH74" s="2861"/>
      <c r="AI74" s="2861"/>
      <c r="AJ74" s="2861">
        <f>DEBT!L17</f>
        <v>0</v>
      </c>
      <c r="AK74" s="2861"/>
      <c r="AL74" s="2861"/>
      <c r="AM74" s="2861">
        <f>DEBT!M17</f>
        <v>0</v>
      </c>
      <c r="AN74" s="2861"/>
      <c r="AO74" s="2861"/>
      <c r="AP74" s="1249"/>
      <c r="AQ74" s="2883">
        <f>INDEX(DEBT!$D$17:$AH$17,0,AQ67)</f>
        <v>0</v>
      </c>
      <c r="AR74" s="2884"/>
      <c r="AS74" s="2885"/>
      <c r="AT74" s="1291"/>
      <c r="AU74" s="2883">
        <f>INDEX(DEBT!$D$17:$AH$17,0,AU67)</f>
        <v>0</v>
      </c>
      <c r="AV74" s="2884"/>
      <c r="AW74" s="2885"/>
      <c r="AX74" s="9"/>
      <c r="AY74" s="277"/>
    </row>
    <row r="75" spans="1:71" s="351" customFormat="1" ht="15" customHeight="1" x14ac:dyDescent="0.3">
      <c r="A75" s="9"/>
      <c r="B75" s="22"/>
      <c r="C75" s="22"/>
      <c r="D75" s="22"/>
      <c r="E75" s="22"/>
      <c r="F75" s="22"/>
      <c r="G75" s="22"/>
      <c r="H75" s="22"/>
      <c r="I75" s="22"/>
      <c r="J75" s="1340"/>
      <c r="K75" s="22"/>
      <c r="L75" s="1340"/>
      <c r="M75" s="1340"/>
      <c r="N75" s="1340"/>
      <c r="O75" s="1340"/>
      <c r="P75" s="1340"/>
      <c r="Q75" s="1340"/>
      <c r="R75" s="1340"/>
      <c r="S75" s="1340"/>
      <c r="T75" s="1340"/>
      <c r="U75" s="1340"/>
      <c r="V75" s="1340"/>
      <c r="W75" s="1340"/>
      <c r="X75" s="1340"/>
      <c r="Y75" s="1340"/>
      <c r="Z75" s="1340"/>
      <c r="AA75" s="1340"/>
      <c r="AB75" s="1340"/>
      <c r="AC75" s="1340"/>
      <c r="AD75" s="1340"/>
      <c r="AE75" s="1340"/>
      <c r="AF75" s="1340"/>
      <c r="AG75" s="1340"/>
      <c r="AH75" s="1340"/>
      <c r="AI75" s="1340"/>
      <c r="AJ75" s="1340"/>
      <c r="AK75" s="1340"/>
      <c r="AL75" s="1340"/>
      <c r="AM75" s="1340"/>
      <c r="AN75" s="1340"/>
      <c r="AO75" s="1340"/>
      <c r="AP75" s="1340"/>
      <c r="AQ75" s="1312"/>
      <c r="AR75" s="1285"/>
      <c r="AS75" s="1313"/>
      <c r="AT75" s="1285"/>
      <c r="AU75" s="1312"/>
      <c r="AV75" s="1285"/>
      <c r="AW75" s="1313"/>
      <c r="AX75" s="9"/>
      <c r="AY75" s="277"/>
      <c r="AZ75" s="331"/>
      <c r="BA75" s="331"/>
      <c r="BB75" s="331"/>
      <c r="BC75" s="331"/>
      <c r="BD75" s="331"/>
      <c r="BE75" s="331"/>
      <c r="BF75" s="331"/>
      <c r="BG75" s="331"/>
      <c r="BH75" s="331"/>
      <c r="BI75" s="331"/>
      <c r="BJ75" s="331"/>
      <c r="BK75" s="331"/>
      <c r="BL75" s="331"/>
      <c r="BM75" s="331"/>
      <c r="BN75" s="331"/>
      <c r="BO75" s="331"/>
      <c r="BP75" s="331"/>
      <c r="BQ75" s="331"/>
      <c r="BR75" s="331"/>
      <c r="BS75" s="331"/>
    </row>
    <row r="76" spans="1:71" ht="14.4" x14ac:dyDescent="0.3">
      <c r="A76" s="9"/>
      <c r="B76" s="1272" t="s">
        <v>45</v>
      </c>
      <c r="C76" s="22"/>
      <c r="D76" s="22"/>
      <c r="E76" s="22"/>
      <c r="F76" s="22"/>
      <c r="G76" s="22"/>
      <c r="H76" s="22"/>
      <c r="I76" s="22"/>
      <c r="J76" s="1340"/>
      <c r="K76" s="22"/>
      <c r="L76" s="2863">
        <f>FORECASTS!E122</f>
        <v>347250.41095890407</v>
      </c>
      <c r="M76" s="2863"/>
      <c r="N76" s="2863"/>
      <c r="O76" s="2863">
        <f>FORECASTS!F122</f>
        <v>0</v>
      </c>
      <c r="P76" s="2863"/>
      <c r="Q76" s="2863"/>
      <c r="R76" s="2863">
        <f>FORECASTS!G122</f>
        <v>0</v>
      </c>
      <c r="S76" s="2863"/>
      <c r="T76" s="2863"/>
      <c r="U76" s="2863">
        <f>FORECASTS!H122</f>
        <v>0</v>
      </c>
      <c r="V76" s="2863"/>
      <c r="W76" s="2863"/>
      <c r="X76" s="2863">
        <f>FORECASTS!I122</f>
        <v>0</v>
      </c>
      <c r="Y76" s="2863"/>
      <c r="Z76" s="2863"/>
      <c r="AA76" s="2863">
        <f>FORECASTS!J122</f>
        <v>0</v>
      </c>
      <c r="AB76" s="2863"/>
      <c r="AC76" s="2863"/>
      <c r="AD76" s="2863">
        <f>FORECASTS!K122</f>
        <v>0</v>
      </c>
      <c r="AE76" s="2863"/>
      <c r="AF76" s="2863"/>
      <c r="AG76" s="2863">
        <f>FORECASTS!L122</f>
        <v>0</v>
      </c>
      <c r="AH76" s="2863"/>
      <c r="AI76" s="2863"/>
      <c r="AJ76" s="2863">
        <f>FORECASTS!M122</f>
        <v>0</v>
      </c>
      <c r="AK76" s="2863"/>
      <c r="AL76" s="2863"/>
      <c r="AM76" s="2863">
        <f>FORECASTS!N122</f>
        <v>0</v>
      </c>
      <c r="AN76" s="2863"/>
      <c r="AO76" s="2863"/>
      <c r="AP76" s="1341"/>
      <c r="AQ76" s="2889">
        <f>INDEX(FORECASTS!$E$122:$AI$122,0,AQ67)</f>
        <v>0</v>
      </c>
      <c r="AR76" s="2890"/>
      <c r="AS76" s="2891"/>
      <c r="AT76" s="1342"/>
      <c r="AU76" s="2889">
        <f>INDEX(FORECASTS!$E$122:$AI$122,0,AU67)</f>
        <v>0</v>
      </c>
      <c r="AV76" s="2890"/>
      <c r="AW76" s="2891"/>
      <c r="AX76" s="9"/>
      <c r="AY76" s="277"/>
      <c r="BP76" s="351"/>
      <c r="BQ76" s="351"/>
      <c r="BR76" s="351"/>
      <c r="BS76" s="351"/>
    </row>
    <row r="77" spans="1:71" ht="14.4" x14ac:dyDescent="0.3">
      <c r="A77" s="197"/>
      <c r="B77" s="1275" t="s">
        <v>46</v>
      </c>
      <c r="C77" s="1343"/>
      <c r="D77" s="1343"/>
      <c r="E77" s="1343"/>
      <c r="F77" s="1343"/>
      <c r="G77" s="1343"/>
      <c r="H77" s="1343"/>
      <c r="I77" s="1343"/>
      <c r="J77" s="21"/>
      <c r="K77" s="1343"/>
      <c r="L77" s="2862">
        <f>IFERROR(L76/FORECASTS!D122-1,0)</f>
        <v>5.2273972602739693E-2</v>
      </c>
      <c r="M77" s="2862"/>
      <c r="N77" s="2862"/>
      <c r="O77" s="2862">
        <f>IFERROR(IF(O67&lt;=holding,O76/L76-1,0),0)</f>
        <v>0</v>
      </c>
      <c r="P77" s="2862"/>
      <c r="Q77" s="2862"/>
      <c r="R77" s="2862">
        <f>IFERROR(IF(R67&lt;=holding,R76/O76-1,0),0)</f>
        <v>0</v>
      </c>
      <c r="S77" s="2862"/>
      <c r="T77" s="2862"/>
      <c r="U77" s="2862">
        <f>IFERROR(IF(U67&lt;=holding,U76/R76-1,0),0)</f>
        <v>0</v>
      </c>
      <c r="V77" s="2862"/>
      <c r="W77" s="2862"/>
      <c r="X77" s="2862">
        <f>IFERROR(IF(X67&lt;=holding,X76/U76-1,0),0)</f>
        <v>0</v>
      </c>
      <c r="Y77" s="2862"/>
      <c r="Z77" s="2862"/>
      <c r="AA77" s="2862">
        <f>IFERROR(IF(AA67&lt;=holding,AA76/X76-1,0),0)</f>
        <v>0</v>
      </c>
      <c r="AB77" s="2862"/>
      <c r="AC77" s="2862"/>
      <c r="AD77" s="2862">
        <f>IFERROR(IF(AD67&lt;=holding,AD76/AA76-1,0),0)</f>
        <v>0</v>
      </c>
      <c r="AE77" s="2862"/>
      <c r="AF77" s="2862"/>
      <c r="AG77" s="2862">
        <f>IFERROR(IF(AG67&lt;=holding,AG76/AD76-1,0),0)</f>
        <v>0</v>
      </c>
      <c r="AH77" s="2862"/>
      <c r="AI77" s="2862"/>
      <c r="AJ77" s="2862">
        <f>IFERROR(IF(AJ67&lt;=holding,AJ76/AG76-1,0),0)</f>
        <v>0</v>
      </c>
      <c r="AK77" s="2862"/>
      <c r="AL77" s="2862"/>
      <c r="AM77" s="2862">
        <f>IFERROR(IF(AM67&lt;=holding,AM76/AJ76-1,0),0)</f>
        <v>0</v>
      </c>
      <c r="AN77" s="2862"/>
      <c r="AO77" s="2862"/>
      <c r="AP77" s="18"/>
      <c r="AQ77" s="2886">
        <f>IFERROR(INDEX(FORECASTS!$E$125:$AI$125,0,AQ67),0)</f>
        <v>0</v>
      </c>
      <c r="AR77" s="2887"/>
      <c r="AS77" s="2888"/>
      <c r="AT77" s="1284"/>
      <c r="AU77" s="2886">
        <f>IFERROR(INDEX(FORECASTS!$E$125:$AI$125,0,AU67),0)</f>
        <v>0</v>
      </c>
      <c r="AV77" s="2887"/>
      <c r="AW77" s="2888"/>
      <c r="AX77" s="1344"/>
      <c r="AY77" s="1266"/>
      <c r="AZ77" s="351"/>
      <c r="BA77" s="351"/>
      <c r="BB77" s="351"/>
      <c r="BC77" s="351"/>
      <c r="BD77" s="351"/>
      <c r="BE77" s="351"/>
      <c r="BF77" s="351"/>
      <c r="BG77" s="351"/>
      <c r="BH77" s="351"/>
      <c r="BI77" s="351"/>
      <c r="BJ77" s="351"/>
      <c r="BK77" s="351"/>
      <c r="BL77" s="351"/>
      <c r="BM77" s="351"/>
      <c r="BN77" s="351"/>
      <c r="BO77" s="351"/>
    </row>
    <row r="78" spans="1:71" x14ac:dyDescent="0.25">
      <c r="A78" s="9"/>
      <c r="B78" s="1275" t="s">
        <v>51</v>
      </c>
      <c r="C78" s="22"/>
      <c r="D78" s="22"/>
      <c r="E78" s="22"/>
      <c r="F78" s="22"/>
      <c r="G78" s="22"/>
      <c r="H78" s="22"/>
      <c r="I78" s="22"/>
      <c r="J78" s="1340"/>
      <c r="K78" s="22"/>
      <c r="L78" s="2862">
        <f>IFERROR(L32/L76,0)</f>
        <v>0</v>
      </c>
      <c r="M78" s="2862"/>
      <c r="N78" s="2862"/>
      <c r="O78" s="2862">
        <f>IFERROR(O32/O76,0)</f>
        <v>0</v>
      </c>
      <c r="P78" s="2862"/>
      <c r="Q78" s="2862"/>
      <c r="R78" s="2862">
        <f>IFERROR(R32/R76,0)</f>
        <v>0</v>
      </c>
      <c r="S78" s="2862"/>
      <c r="T78" s="2862"/>
      <c r="U78" s="2862">
        <f>IFERROR(U32/U76,0)</f>
        <v>0</v>
      </c>
      <c r="V78" s="2862"/>
      <c r="W78" s="2862"/>
      <c r="X78" s="2862">
        <f>IFERROR(X32/X76,0)</f>
        <v>0</v>
      </c>
      <c r="Y78" s="2862"/>
      <c r="Z78" s="2862"/>
      <c r="AA78" s="2862">
        <f>IFERROR(AA32/AA76,0)</f>
        <v>0</v>
      </c>
      <c r="AB78" s="2862"/>
      <c r="AC78" s="2862"/>
      <c r="AD78" s="2862">
        <f>IFERROR(AD32/AD76,0)</f>
        <v>0</v>
      </c>
      <c r="AE78" s="2862"/>
      <c r="AF78" s="2862"/>
      <c r="AG78" s="2862">
        <f>IFERROR(AG32/AG76,0)</f>
        <v>0</v>
      </c>
      <c r="AH78" s="2862"/>
      <c r="AI78" s="2862"/>
      <c r="AJ78" s="2862">
        <f>IFERROR(AJ32/AJ76,0)</f>
        <v>0</v>
      </c>
      <c r="AK78" s="2862"/>
      <c r="AL78" s="2862"/>
      <c r="AM78" s="2862">
        <f>IFERROR(AM32/AM76,0)</f>
        <v>0</v>
      </c>
      <c r="AN78" s="2862"/>
      <c r="AO78" s="2862"/>
      <c r="AP78" s="18"/>
      <c r="AQ78" s="2886">
        <f>IFERROR(AQ32/AQ76,0)</f>
        <v>0</v>
      </c>
      <c r="AR78" s="2887"/>
      <c r="AS78" s="2888"/>
      <c r="AT78" s="1284"/>
      <c r="AU78" s="2886">
        <f>IFERROR(AU32/AU76,0)</f>
        <v>0</v>
      </c>
      <c r="AV78" s="2887"/>
      <c r="AW78" s="2888"/>
      <c r="AX78" s="9"/>
      <c r="AY78" s="277"/>
    </row>
    <row r="79" spans="1:71" x14ac:dyDescent="0.25">
      <c r="A79" s="9"/>
      <c r="B79" s="20"/>
      <c r="C79" s="20"/>
      <c r="D79" s="20"/>
      <c r="E79" s="20"/>
      <c r="F79" s="20"/>
      <c r="G79" s="20"/>
      <c r="H79" s="20"/>
      <c r="I79" s="20"/>
      <c r="J79" s="15"/>
      <c r="K79" s="20"/>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303"/>
      <c r="AR79" s="84"/>
      <c r="AS79" s="1304"/>
      <c r="AT79" s="84"/>
      <c r="AU79" s="1303"/>
      <c r="AV79" s="84"/>
      <c r="AW79" s="1304"/>
      <c r="AX79" s="9"/>
      <c r="AY79" s="277"/>
    </row>
    <row r="80" spans="1:71" x14ac:dyDescent="0.25">
      <c r="A80" s="9"/>
      <c r="B80" s="1154" t="s">
        <v>57</v>
      </c>
      <c r="C80" s="1154"/>
      <c r="D80" s="1154"/>
      <c r="E80" s="1154"/>
      <c r="F80" s="1154"/>
      <c r="G80" s="1154"/>
      <c r="H80" s="1154"/>
      <c r="I80" s="1154"/>
      <c r="J80" s="1156"/>
      <c r="K80" s="1154"/>
      <c r="L80" s="2868">
        <f>L76-L74</f>
        <v>347250.41095890407</v>
      </c>
      <c r="M80" s="2868"/>
      <c r="N80" s="2868"/>
      <c r="O80" s="2868">
        <f>O76-O74</f>
        <v>0</v>
      </c>
      <c r="P80" s="2868"/>
      <c r="Q80" s="2868"/>
      <c r="R80" s="2868">
        <f>R76-R74</f>
        <v>0</v>
      </c>
      <c r="S80" s="2868"/>
      <c r="T80" s="2868"/>
      <c r="U80" s="2868">
        <f>U76-U74</f>
        <v>0</v>
      </c>
      <c r="V80" s="2868"/>
      <c r="W80" s="2868"/>
      <c r="X80" s="2868">
        <f>X76-X74</f>
        <v>0</v>
      </c>
      <c r="Y80" s="2868"/>
      <c r="Z80" s="2868"/>
      <c r="AA80" s="2868">
        <f>AA76-AA74</f>
        <v>0</v>
      </c>
      <c r="AB80" s="2868"/>
      <c r="AC80" s="2868"/>
      <c r="AD80" s="2868">
        <f>AD76-AD74</f>
        <v>0</v>
      </c>
      <c r="AE80" s="2868"/>
      <c r="AF80" s="2868"/>
      <c r="AG80" s="2868">
        <f>AG76-AG74</f>
        <v>0</v>
      </c>
      <c r="AH80" s="2868"/>
      <c r="AI80" s="2868"/>
      <c r="AJ80" s="2868">
        <f>AJ76-AJ74</f>
        <v>0</v>
      </c>
      <c r="AK80" s="2868"/>
      <c r="AL80" s="2868"/>
      <c r="AM80" s="2868">
        <f>AM76-AM74</f>
        <v>0</v>
      </c>
      <c r="AN80" s="2868"/>
      <c r="AO80" s="2868"/>
      <c r="AP80" s="1156"/>
      <c r="AQ80" s="2910">
        <f>AQ76-AQ74</f>
        <v>0</v>
      </c>
      <c r="AR80" s="2911"/>
      <c r="AS80" s="2912"/>
      <c r="AT80" s="1157"/>
      <c r="AU80" s="2910">
        <f>AU76-AU74</f>
        <v>0</v>
      </c>
      <c r="AV80" s="2911"/>
      <c r="AW80" s="2912"/>
      <c r="AX80" s="9"/>
      <c r="AY80" s="277"/>
    </row>
    <row r="81" spans="1:51" x14ac:dyDescent="0.25">
      <c r="A81" s="9"/>
      <c r="B81" s="294" t="s">
        <v>55</v>
      </c>
      <c r="C81" s="294"/>
      <c r="D81" s="294"/>
      <c r="E81" s="294"/>
      <c r="F81" s="294"/>
      <c r="G81" s="294"/>
      <c r="H81" s="294"/>
      <c r="I81" s="294"/>
      <c r="J81" s="516"/>
      <c r="K81" s="294"/>
      <c r="L81" s="2869">
        <f>IFERROR(L74/L76,0)</f>
        <v>0</v>
      </c>
      <c r="M81" s="2869"/>
      <c r="N81" s="2869"/>
      <c r="O81" s="2869">
        <f>IFERROR(O74/O76,0)</f>
        <v>0</v>
      </c>
      <c r="P81" s="2869"/>
      <c r="Q81" s="2869"/>
      <c r="R81" s="2869">
        <f>IFERROR(R74/R76,0)</f>
        <v>0</v>
      </c>
      <c r="S81" s="2869"/>
      <c r="T81" s="2869"/>
      <c r="U81" s="2869">
        <f>IFERROR(U74/U76,0)</f>
        <v>0</v>
      </c>
      <c r="V81" s="2869"/>
      <c r="W81" s="2869"/>
      <c r="X81" s="2869">
        <f>IFERROR(X74/X76,0)</f>
        <v>0</v>
      </c>
      <c r="Y81" s="2869"/>
      <c r="Z81" s="2869"/>
      <c r="AA81" s="2869">
        <f>IFERROR(AA74/AA76,0)</f>
        <v>0</v>
      </c>
      <c r="AB81" s="2869"/>
      <c r="AC81" s="2869"/>
      <c r="AD81" s="2869">
        <f>IFERROR(AD74/AD76,0)</f>
        <v>0</v>
      </c>
      <c r="AE81" s="2869"/>
      <c r="AF81" s="2869"/>
      <c r="AG81" s="2869">
        <f>IFERROR(AG74/AG76,0)</f>
        <v>0</v>
      </c>
      <c r="AH81" s="2869"/>
      <c r="AI81" s="2869"/>
      <c r="AJ81" s="2869">
        <f>IFERROR(AJ74/AJ76,0)</f>
        <v>0</v>
      </c>
      <c r="AK81" s="2869"/>
      <c r="AL81" s="2869"/>
      <c r="AM81" s="2869">
        <f>IFERROR(AM74/AM76,0)</f>
        <v>0</v>
      </c>
      <c r="AN81" s="2869"/>
      <c r="AO81" s="2869"/>
      <c r="AP81" s="1345"/>
      <c r="AQ81" s="2904">
        <f>IFERROR(AQ74/AQ76,0)</f>
        <v>0</v>
      </c>
      <c r="AR81" s="2905"/>
      <c r="AS81" s="2906"/>
      <c r="AT81" s="1346"/>
      <c r="AU81" s="2904">
        <f>IFERROR(AU74/AU76,0)</f>
        <v>0</v>
      </c>
      <c r="AV81" s="2905"/>
      <c r="AW81" s="2906"/>
      <c r="AX81" s="9"/>
      <c r="AY81" s="277"/>
    </row>
    <row r="82" spans="1:51" x14ac:dyDescent="0.25">
      <c r="A82" s="9"/>
      <c r="B82" s="294" t="s">
        <v>30</v>
      </c>
      <c r="C82" s="294"/>
      <c r="D82" s="294"/>
      <c r="E82" s="294"/>
      <c r="F82" s="294"/>
      <c r="G82" s="294"/>
      <c r="H82" s="294"/>
      <c r="I82" s="294"/>
      <c r="J82" s="516"/>
      <c r="K82" s="294"/>
      <c r="L82" s="2870">
        <f>IFERROR(-(L32+L35+L36)/(L38+L39+L40),0)</f>
        <v>0</v>
      </c>
      <c r="M82" s="2870"/>
      <c r="N82" s="2870"/>
      <c r="O82" s="2870">
        <f>IFERROR(-(O32+O35+O36)/(O38+O39+O40),0)</f>
        <v>0</v>
      </c>
      <c r="P82" s="2870"/>
      <c r="Q82" s="2870"/>
      <c r="R82" s="2870">
        <f>IFERROR(-(R32+R35+R36)/(R38+R39+R40),0)</f>
        <v>0</v>
      </c>
      <c r="S82" s="2870"/>
      <c r="T82" s="2870"/>
      <c r="U82" s="2870">
        <f>IFERROR(-(U32+U35+U36)/(U38+U39+U40),0)</f>
        <v>0</v>
      </c>
      <c r="V82" s="2870"/>
      <c r="W82" s="2870"/>
      <c r="X82" s="2870">
        <f>IFERROR(-(X32+X35+X36)/(X38+X39+X40),0)</f>
        <v>0</v>
      </c>
      <c r="Y82" s="2870"/>
      <c r="Z82" s="2870"/>
      <c r="AA82" s="2870">
        <f>IFERROR(-(AA32+AA35+AA36)/(AA38+AA39+AA40),0)</f>
        <v>0</v>
      </c>
      <c r="AB82" s="2870"/>
      <c r="AC82" s="2870"/>
      <c r="AD82" s="2870">
        <f>IFERROR(-(AD32+AD35+AD36)/(AD38+AD39+AD40),0)</f>
        <v>0</v>
      </c>
      <c r="AE82" s="2870"/>
      <c r="AF82" s="2870"/>
      <c r="AG82" s="2870">
        <f>IFERROR(-(AG32+AG35+AG36)/(AG38+AG39+AG40),0)</f>
        <v>0</v>
      </c>
      <c r="AH82" s="2870"/>
      <c r="AI82" s="2870"/>
      <c r="AJ82" s="2870">
        <f>IFERROR(-(AJ32+AJ35+AJ36)/(AJ38+AJ39+AJ40),0)</f>
        <v>0</v>
      </c>
      <c r="AK82" s="2870"/>
      <c r="AL82" s="2870"/>
      <c r="AM82" s="2870">
        <f>IFERROR(-(AM32+AM35+AM36)/(AM38+AM39+AM40),0)</f>
        <v>0</v>
      </c>
      <c r="AN82" s="2870"/>
      <c r="AO82" s="2870"/>
      <c r="AP82" s="516"/>
      <c r="AQ82" s="2916">
        <f>IFERROR(-(AQ32+AQ35+AQ36)/(AQ38+AQ39+AQ40),0)</f>
        <v>0</v>
      </c>
      <c r="AR82" s="2917"/>
      <c r="AS82" s="2918"/>
      <c r="AT82" s="1286"/>
      <c r="AU82" s="2916">
        <f>IFERROR(-(AU32+AU35+AU36)/(AU38+AU39+AU40),0)</f>
        <v>0</v>
      </c>
      <c r="AV82" s="2917"/>
      <c r="AW82" s="2918"/>
      <c r="AX82" s="9"/>
      <c r="AY82" s="277"/>
    </row>
    <row r="83" spans="1:51" ht="14.4" thickBot="1" x14ac:dyDescent="0.3">
      <c r="A83" s="9"/>
      <c r="B83" s="1151" t="str">
        <f>FORECASTS!B135</f>
        <v>Break-Even Ratio</v>
      </c>
      <c r="C83" s="1151"/>
      <c r="D83" s="1151"/>
      <c r="E83" s="1151"/>
      <c r="F83" s="1151"/>
      <c r="G83" s="1151"/>
      <c r="H83" s="1151"/>
      <c r="I83" s="1151"/>
      <c r="J83" s="1158"/>
      <c r="K83" s="1151"/>
      <c r="L83" s="2871">
        <f>FORECASTS!E135</f>
        <v>0</v>
      </c>
      <c r="M83" s="2871"/>
      <c r="N83" s="2871"/>
      <c r="O83" s="2871">
        <f>FORECASTS!F135</f>
        <v>0</v>
      </c>
      <c r="P83" s="2871"/>
      <c r="Q83" s="2871"/>
      <c r="R83" s="2871">
        <f>FORECASTS!G135</f>
        <v>0</v>
      </c>
      <c r="S83" s="2871"/>
      <c r="T83" s="2871"/>
      <c r="U83" s="2871">
        <f>FORECASTS!H135</f>
        <v>0</v>
      </c>
      <c r="V83" s="2871"/>
      <c r="W83" s="2871"/>
      <c r="X83" s="2871">
        <f>FORECASTS!I135</f>
        <v>0</v>
      </c>
      <c r="Y83" s="2871"/>
      <c r="Z83" s="2871"/>
      <c r="AA83" s="2871">
        <f>FORECASTS!J135</f>
        <v>0</v>
      </c>
      <c r="AB83" s="2871"/>
      <c r="AC83" s="2871"/>
      <c r="AD83" s="2871">
        <f>FORECASTS!K135</f>
        <v>0</v>
      </c>
      <c r="AE83" s="2871"/>
      <c r="AF83" s="2871"/>
      <c r="AG83" s="2871">
        <f>FORECASTS!L135</f>
        <v>0</v>
      </c>
      <c r="AH83" s="2871"/>
      <c r="AI83" s="2871"/>
      <c r="AJ83" s="2871">
        <f>FORECASTS!M135</f>
        <v>0</v>
      </c>
      <c r="AK83" s="2871"/>
      <c r="AL83" s="2871"/>
      <c r="AM83" s="2871">
        <f>FORECASTS!N135</f>
        <v>0</v>
      </c>
      <c r="AN83" s="2871"/>
      <c r="AO83" s="2871"/>
      <c r="AP83" s="1158"/>
      <c r="AQ83" s="2919">
        <f>INDEX(FORECASTS!$E$135:$AI$135,0,'FORECASTS (R)'!AQ67)</f>
        <v>0</v>
      </c>
      <c r="AR83" s="2920"/>
      <c r="AS83" s="2921"/>
      <c r="AT83" s="1159"/>
      <c r="AU83" s="2919">
        <f>INDEX(FORECASTS!$E$135:$AI$135,0,'FORECASTS (R)'!AU67)</f>
        <v>0</v>
      </c>
      <c r="AV83" s="2920"/>
      <c r="AW83" s="2921"/>
      <c r="AX83" s="9"/>
      <c r="AY83" s="277"/>
    </row>
    <row r="84" spans="1:51" x14ac:dyDescent="0.25">
      <c r="A84" s="9"/>
      <c r="B84" s="7"/>
      <c r="C84" s="7"/>
      <c r="D84" s="7"/>
      <c r="E84" s="7"/>
      <c r="F84" s="7"/>
      <c r="G84" s="7"/>
      <c r="H84" s="7"/>
      <c r="I84" s="7"/>
      <c r="J84" s="1347"/>
      <c r="K84" s="7"/>
      <c r="L84" s="1348"/>
      <c r="M84" s="7"/>
      <c r="N84" s="7"/>
      <c r="O84" s="1348"/>
      <c r="P84" s="7"/>
      <c r="Q84" s="7"/>
      <c r="R84" s="1348"/>
      <c r="S84" s="7"/>
      <c r="T84" s="7"/>
      <c r="U84" s="1348"/>
      <c r="V84" s="7"/>
      <c r="W84" s="7"/>
      <c r="X84" s="1348"/>
      <c r="Y84" s="7"/>
      <c r="Z84" s="7"/>
      <c r="AA84" s="1348"/>
      <c r="AB84" s="7"/>
      <c r="AC84" s="7"/>
      <c r="AD84" s="1348"/>
      <c r="AE84" s="7"/>
      <c r="AF84" s="7"/>
      <c r="AG84" s="1348"/>
      <c r="AH84" s="7"/>
      <c r="AI84" s="7"/>
      <c r="AJ84" s="1348"/>
      <c r="AK84" s="7"/>
      <c r="AL84" s="7"/>
      <c r="AM84" s="1348"/>
      <c r="AN84" s="7"/>
      <c r="AO84" s="7"/>
      <c r="AP84" s="1348"/>
      <c r="AQ84" s="1348"/>
      <c r="AR84" s="1348"/>
      <c r="AS84" s="1348"/>
      <c r="AT84" s="1348"/>
      <c r="AU84" s="1348"/>
      <c r="AV84" s="1348"/>
      <c r="AW84" s="1348"/>
      <c r="AX84" s="9"/>
      <c r="AY84" s="277"/>
    </row>
    <row r="85" spans="1:51" x14ac:dyDescent="0.25">
      <c r="A85" s="9"/>
      <c r="B85" s="7"/>
      <c r="C85" s="7"/>
      <c r="D85" s="7"/>
      <c r="E85" s="7"/>
      <c r="F85" s="7"/>
      <c r="G85" s="7"/>
      <c r="H85" s="7"/>
      <c r="I85" s="7"/>
      <c r="J85" s="1347"/>
      <c r="K85" s="7"/>
      <c r="L85" s="1348"/>
      <c r="M85" s="7"/>
      <c r="N85" s="7"/>
      <c r="O85" s="1348"/>
      <c r="P85" s="7"/>
      <c r="Q85" s="7"/>
      <c r="R85" s="1348"/>
      <c r="S85" s="7"/>
      <c r="T85" s="7"/>
      <c r="U85" s="1348"/>
      <c r="V85" s="7"/>
      <c r="W85" s="7"/>
      <c r="X85" s="1348"/>
      <c r="Y85" s="7"/>
      <c r="Z85" s="7"/>
      <c r="AA85" s="1348"/>
      <c r="AB85" s="7"/>
      <c r="AC85" s="7"/>
      <c r="AD85" s="1348"/>
      <c r="AE85" s="7"/>
      <c r="AF85" s="7"/>
      <c r="AG85" s="1348"/>
      <c r="AH85" s="7"/>
      <c r="AI85" s="7"/>
      <c r="AJ85" s="1348"/>
      <c r="AK85" s="7"/>
      <c r="AL85" s="7"/>
      <c r="AM85" s="1348"/>
      <c r="AN85" s="7"/>
      <c r="AO85" s="7"/>
      <c r="AP85" s="1348"/>
      <c r="AQ85" s="1348"/>
      <c r="AR85" s="1348"/>
      <c r="AS85" s="1348"/>
      <c r="AT85" s="1348"/>
      <c r="AU85" s="1348"/>
      <c r="AV85" s="1348"/>
      <c r="AW85" s="1348"/>
      <c r="AX85" s="9"/>
      <c r="AY85" s="277"/>
    </row>
    <row r="86" spans="1:51" x14ac:dyDescent="0.25">
      <c r="A86" s="9"/>
      <c r="B86" s="7"/>
      <c r="C86" s="7"/>
      <c r="D86" s="7"/>
      <c r="E86" s="7"/>
      <c r="F86" s="7"/>
      <c r="G86" s="7"/>
      <c r="H86" s="7"/>
      <c r="I86" s="7"/>
      <c r="J86" s="1347"/>
      <c r="K86" s="7"/>
      <c r="L86" s="1348"/>
      <c r="M86" s="7"/>
      <c r="N86" s="7"/>
      <c r="O86" s="1348"/>
      <c r="P86" s="7"/>
      <c r="Q86" s="7"/>
      <c r="R86" s="1348"/>
      <c r="S86" s="7"/>
      <c r="T86" s="7"/>
      <c r="U86" s="1348"/>
      <c r="V86" s="7"/>
      <c r="W86" s="7"/>
      <c r="X86" s="1348"/>
      <c r="Y86" s="7"/>
      <c r="Z86" s="7"/>
      <c r="AA86" s="1348"/>
      <c r="AB86" s="7"/>
      <c r="AC86" s="7"/>
      <c r="AD86" s="1348"/>
      <c r="AE86" s="7"/>
      <c r="AF86" s="7"/>
      <c r="AG86" s="1348"/>
      <c r="AH86" s="7"/>
      <c r="AI86" s="7"/>
      <c r="AJ86" s="1348"/>
      <c r="AK86" s="7"/>
      <c r="AL86" s="7"/>
      <c r="AM86" s="1348"/>
      <c r="AN86" s="7"/>
      <c r="AO86" s="7"/>
      <c r="AP86" s="1348"/>
      <c r="AQ86" s="1348"/>
      <c r="AR86" s="1348"/>
      <c r="AS86" s="1348"/>
      <c r="AT86" s="1348"/>
      <c r="AU86" s="1348"/>
      <c r="AV86" s="1348"/>
      <c r="AW86" s="1348"/>
      <c r="AX86" s="9"/>
      <c r="AY86" s="277"/>
    </row>
    <row r="87" spans="1:51" x14ac:dyDescent="0.25">
      <c r="A87" s="9"/>
      <c r="B87" s="7"/>
      <c r="C87" s="7"/>
      <c r="D87" s="7"/>
      <c r="E87" s="7"/>
      <c r="F87" s="7"/>
      <c r="G87" s="7"/>
      <c r="H87" s="7"/>
      <c r="I87" s="7"/>
      <c r="J87" s="1347"/>
      <c r="K87" s="7"/>
      <c r="L87" s="1348"/>
      <c r="M87" s="7"/>
      <c r="N87" s="7"/>
      <c r="O87" s="1348"/>
      <c r="P87" s="7"/>
      <c r="Q87" s="7"/>
      <c r="R87" s="1348"/>
      <c r="S87" s="7"/>
      <c r="T87" s="7"/>
      <c r="U87" s="1348"/>
      <c r="V87" s="7"/>
      <c r="W87" s="7"/>
      <c r="X87" s="1348"/>
      <c r="Y87" s="7"/>
      <c r="Z87" s="7"/>
      <c r="AA87" s="1348"/>
      <c r="AB87" s="7"/>
      <c r="AC87" s="7"/>
      <c r="AD87" s="1348"/>
      <c r="AE87" s="7"/>
      <c r="AF87" s="7"/>
      <c r="AG87" s="1348"/>
      <c r="AH87" s="7"/>
      <c r="AI87" s="7"/>
      <c r="AJ87" s="1348"/>
      <c r="AK87" s="7"/>
      <c r="AL87" s="7"/>
      <c r="AM87" s="1348"/>
      <c r="AN87" s="7"/>
      <c r="AO87" s="7"/>
      <c r="AP87" s="1348"/>
      <c r="AQ87" s="1348"/>
      <c r="AR87" s="1348"/>
      <c r="AS87" s="1348"/>
      <c r="AT87" s="1348"/>
      <c r="AU87" s="1348"/>
      <c r="AV87" s="1348"/>
      <c r="AW87" s="1348"/>
      <c r="AX87" s="9"/>
      <c r="AY87" s="277"/>
    </row>
    <row r="88" spans="1:51" x14ac:dyDescent="0.25">
      <c r="A88" s="9"/>
      <c r="B88" s="7"/>
      <c r="C88" s="7"/>
      <c r="D88" s="7"/>
      <c r="E88" s="7"/>
      <c r="F88" s="7"/>
      <c r="G88" s="7"/>
      <c r="H88" s="7"/>
      <c r="I88" s="7"/>
      <c r="J88" s="1347"/>
      <c r="K88" s="7"/>
      <c r="L88" s="1348"/>
      <c r="M88" s="7"/>
      <c r="N88" s="7"/>
      <c r="O88" s="1348"/>
      <c r="P88" s="7"/>
      <c r="Q88" s="7"/>
      <c r="R88" s="1348"/>
      <c r="S88" s="7"/>
      <c r="T88" s="7"/>
      <c r="U88" s="1348"/>
      <c r="V88" s="7"/>
      <c r="W88" s="7"/>
      <c r="X88" s="1348"/>
      <c r="Y88" s="7"/>
      <c r="Z88" s="7"/>
      <c r="AA88" s="1348"/>
      <c r="AB88" s="7"/>
      <c r="AC88" s="7"/>
      <c r="AD88" s="1348"/>
      <c r="AE88" s="7"/>
      <c r="AF88" s="7"/>
      <c r="AG88" s="1348"/>
      <c r="AH88" s="7"/>
      <c r="AI88" s="7"/>
      <c r="AJ88" s="1348"/>
      <c r="AK88" s="7"/>
      <c r="AL88" s="7"/>
      <c r="AM88" s="1348"/>
      <c r="AN88" s="7"/>
      <c r="AO88" s="7"/>
      <c r="AP88" s="1348"/>
      <c r="AQ88" s="1348"/>
      <c r="AR88" s="1348"/>
      <c r="AS88" s="1348"/>
      <c r="AT88" s="1348"/>
      <c r="AU88" s="1348"/>
      <c r="AV88" s="1348"/>
      <c r="AW88" s="1348"/>
      <c r="AX88" s="9"/>
      <c r="AY88" s="277"/>
    </row>
    <row r="89" spans="1:51" x14ac:dyDescent="0.25">
      <c r="A89" s="9"/>
      <c r="B89" s="7"/>
      <c r="C89" s="7"/>
      <c r="D89" s="7"/>
      <c r="E89" s="7"/>
      <c r="F89" s="7"/>
      <c r="G89" s="7"/>
      <c r="H89" s="7"/>
      <c r="I89" s="7"/>
      <c r="J89" s="1347"/>
      <c r="K89" s="7"/>
      <c r="L89" s="1348"/>
      <c r="M89" s="7"/>
      <c r="N89" s="7"/>
      <c r="O89" s="1348"/>
      <c r="P89" s="7"/>
      <c r="Q89" s="7"/>
      <c r="R89" s="1348"/>
      <c r="S89" s="7"/>
      <c r="T89" s="7"/>
      <c r="U89" s="1348"/>
      <c r="V89" s="7"/>
      <c r="W89" s="7"/>
      <c r="X89" s="1348"/>
      <c r="Y89" s="7"/>
      <c r="Z89" s="7"/>
      <c r="AA89" s="1348"/>
      <c r="AB89" s="7"/>
      <c r="AC89" s="7"/>
      <c r="AD89" s="1348"/>
      <c r="AE89" s="7"/>
      <c r="AF89" s="7"/>
      <c r="AG89" s="1348"/>
      <c r="AH89" s="7"/>
      <c r="AI89" s="7"/>
      <c r="AJ89" s="1348"/>
      <c r="AK89" s="7"/>
      <c r="AL89" s="7"/>
      <c r="AM89" s="1348"/>
      <c r="AN89" s="7"/>
      <c r="AO89" s="7"/>
      <c r="AP89" s="1348"/>
      <c r="AQ89" s="1348"/>
      <c r="AR89" s="1348"/>
      <c r="AS89" s="1348"/>
      <c r="AT89" s="1348"/>
      <c r="AU89" s="1348"/>
      <c r="AV89" s="1348"/>
      <c r="AW89" s="1348"/>
      <c r="AX89" s="9"/>
      <c r="AY89" s="277"/>
    </row>
    <row r="90" spans="1:51" x14ac:dyDescent="0.25">
      <c r="A90" s="9"/>
      <c r="B90" s="7"/>
      <c r="C90" s="7"/>
      <c r="D90" s="7"/>
      <c r="E90" s="7"/>
      <c r="F90" s="7"/>
      <c r="G90" s="7"/>
      <c r="H90" s="7"/>
      <c r="I90" s="7"/>
      <c r="J90" s="1347"/>
      <c r="K90" s="7"/>
      <c r="L90" s="1348"/>
      <c r="M90" s="7"/>
      <c r="N90" s="7"/>
      <c r="O90" s="1348"/>
      <c r="P90" s="7"/>
      <c r="Q90" s="7"/>
      <c r="R90" s="1348"/>
      <c r="S90" s="7"/>
      <c r="T90" s="7"/>
      <c r="U90" s="1348"/>
      <c r="V90" s="7"/>
      <c r="W90" s="7"/>
      <c r="X90" s="1348"/>
      <c r="Y90" s="7"/>
      <c r="Z90" s="7"/>
      <c r="AA90" s="1348"/>
      <c r="AB90" s="7"/>
      <c r="AC90" s="7"/>
      <c r="AD90" s="1348"/>
      <c r="AE90" s="7"/>
      <c r="AF90" s="7"/>
      <c r="AG90" s="1348"/>
      <c r="AH90" s="7"/>
      <c r="AI90" s="7"/>
      <c r="AJ90" s="1348"/>
      <c r="AK90" s="7"/>
      <c r="AL90" s="7"/>
      <c r="AM90" s="1348"/>
      <c r="AN90" s="7"/>
      <c r="AO90" s="7"/>
      <c r="AP90" s="1348"/>
      <c r="AQ90" s="1348"/>
      <c r="AR90" s="1348"/>
      <c r="AS90" s="1348"/>
      <c r="AT90" s="1348"/>
      <c r="AU90" s="1348"/>
      <c r="AV90" s="1348"/>
      <c r="AW90" s="1348"/>
      <c r="AX90" s="9"/>
      <c r="AY90" s="277"/>
    </row>
    <row r="91" spans="1:51" x14ac:dyDescent="0.25">
      <c r="A91" s="9"/>
      <c r="B91" s="7"/>
      <c r="C91" s="7"/>
      <c r="D91" s="7"/>
      <c r="E91" s="7"/>
      <c r="F91" s="7"/>
      <c r="G91" s="7"/>
      <c r="H91" s="7"/>
      <c r="I91" s="7"/>
      <c r="J91" s="1347"/>
      <c r="K91" s="7"/>
      <c r="L91" s="1348"/>
      <c r="M91" s="7"/>
      <c r="N91" s="7"/>
      <c r="O91" s="1348"/>
      <c r="P91" s="7"/>
      <c r="Q91" s="7"/>
      <c r="R91" s="1348"/>
      <c r="S91" s="7"/>
      <c r="T91" s="7"/>
      <c r="U91" s="1348"/>
      <c r="V91" s="7"/>
      <c r="W91" s="7"/>
      <c r="X91" s="1348"/>
      <c r="Y91" s="7"/>
      <c r="Z91" s="7"/>
      <c r="AA91" s="1348"/>
      <c r="AB91" s="7"/>
      <c r="AC91" s="7"/>
      <c r="AD91" s="1348"/>
      <c r="AE91" s="7"/>
      <c r="AF91" s="7"/>
      <c r="AG91" s="1348"/>
      <c r="AH91" s="7"/>
      <c r="AI91" s="7"/>
      <c r="AJ91" s="1348"/>
      <c r="AK91" s="7"/>
      <c r="AL91" s="7"/>
      <c r="AM91" s="1348"/>
      <c r="AN91" s="7"/>
      <c r="AO91" s="7"/>
      <c r="AP91" s="1348"/>
      <c r="AQ91" s="1348"/>
      <c r="AR91" s="1348"/>
      <c r="AS91" s="1348"/>
      <c r="AT91" s="1348"/>
      <c r="AU91" s="1348"/>
      <c r="AV91" s="1348"/>
      <c r="AW91" s="1348"/>
      <c r="AX91" s="9"/>
      <c r="AY91" s="277"/>
    </row>
    <row r="92" spans="1:51" x14ac:dyDescent="0.25">
      <c r="A92" s="9"/>
      <c r="B92" s="7"/>
      <c r="C92" s="7"/>
      <c r="D92" s="7"/>
      <c r="E92" s="7"/>
      <c r="F92" s="7"/>
      <c r="G92" s="7"/>
      <c r="H92" s="7"/>
      <c r="I92" s="7"/>
      <c r="J92" s="1347"/>
      <c r="K92" s="7"/>
      <c r="L92" s="1348"/>
      <c r="M92" s="7"/>
      <c r="N92" s="7"/>
      <c r="O92" s="1348"/>
      <c r="P92" s="7"/>
      <c r="Q92" s="7"/>
      <c r="R92" s="1348"/>
      <c r="S92" s="7"/>
      <c r="T92" s="7"/>
      <c r="U92" s="1348"/>
      <c r="V92" s="7"/>
      <c r="W92" s="7"/>
      <c r="X92" s="1348"/>
      <c r="Y92" s="7"/>
      <c r="Z92" s="7"/>
      <c r="AA92" s="1348"/>
      <c r="AB92" s="7"/>
      <c r="AC92" s="7"/>
      <c r="AD92" s="1348"/>
      <c r="AE92" s="7"/>
      <c r="AF92" s="7"/>
      <c r="AG92" s="1348"/>
      <c r="AH92" s="7"/>
      <c r="AI92" s="7"/>
      <c r="AJ92" s="1348"/>
      <c r="AK92" s="7"/>
      <c r="AL92" s="7"/>
      <c r="AM92" s="1348"/>
      <c r="AN92" s="7"/>
      <c r="AO92" s="7"/>
      <c r="AP92" s="1348"/>
      <c r="AQ92" s="1348"/>
      <c r="AR92" s="1348"/>
      <c r="AS92" s="1348"/>
      <c r="AT92" s="1348"/>
      <c r="AU92" s="1348"/>
      <c r="AV92" s="1348"/>
      <c r="AW92" s="1348"/>
      <c r="AX92" s="9"/>
      <c r="AY92" s="277"/>
    </row>
    <row r="93" spans="1:51" x14ac:dyDescent="0.25">
      <c r="A93" s="9"/>
      <c r="B93" s="7"/>
      <c r="C93" s="7"/>
      <c r="D93" s="7"/>
      <c r="E93" s="7"/>
      <c r="F93" s="7"/>
      <c r="G93" s="7"/>
      <c r="H93" s="7"/>
      <c r="I93" s="7"/>
      <c r="J93" s="1347"/>
      <c r="K93" s="7"/>
      <c r="L93" s="1348"/>
      <c r="M93" s="7"/>
      <c r="N93" s="7"/>
      <c r="O93" s="1348"/>
      <c r="P93" s="7"/>
      <c r="Q93" s="7"/>
      <c r="R93" s="1348"/>
      <c r="S93" s="7"/>
      <c r="T93" s="7"/>
      <c r="U93" s="1348"/>
      <c r="V93" s="7"/>
      <c r="W93" s="7"/>
      <c r="X93" s="1348"/>
      <c r="Y93" s="7"/>
      <c r="Z93" s="7"/>
      <c r="AA93" s="1348"/>
      <c r="AB93" s="7"/>
      <c r="AC93" s="7"/>
      <c r="AD93" s="1348"/>
      <c r="AE93" s="7"/>
      <c r="AF93" s="7"/>
      <c r="AG93" s="1348"/>
      <c r="AH93" s="7"/>
      <c r="AI93" s="7"/>
      <c r="AJ93" s="1348"/>
      <c r="AK93" s="7"/>
      <c r="AL93" s="7"/>
      <c r="AM93" s="1348"/>
      <c r="AN93" s="7"/>
      <c r="AO93" s="7"/>
      <c r="AP93" s="1348"/>
      <c r="AQ93" s="1348"/>
      <c r="AR93" s="1348"/>
      <c r="AS93" s="1348"/>
      <c r="AT93" s="1348"/>
      <c r="AU93" s="1348"/>
      <c r="AV93" s="1348"/>
      <c r="AW93" s="1348"/>
      <c r="AX93" s="9"/>
      <c r="AY93" s="277"/>
    </row>
    <row r="94" spans="1:51" x14ac:dyDescent="0.25">
      <c r="A94" s="9"/>
      <c r="B94" s="7"/>
      <c r="C94" s="7"/>
      <c r="D94" s="7"/>
      <c r="E94" s="7"/>
      <c r="F94" s="7"/>
      <c r="G94" s="7"/>
      <c r="H94" s="7"/>
      <c r="I94" s="7"/>
      <c r="J94" s="1347"/>
      <c r="K94" s="7"/>
      <c r="L94" s="1348"/>
      <c r="M94" s="7"/>
      <c r="N94" s="7"/>
      <c r="O94" s="1348"/>
      <c r="P94" s="7"/>
      <c r="Q94" s="7"/>
      <c r="R94" s="1348"/>
      <c r="S94" s="7"/>
      <c r="T94" s="7"/>
      <c r="U94" s="1348"/>
      <c r="V94" s="7"/>
      <c r="W94" s="7"/>
      <c r="X94" s="1348"/>
      <c r="Y94" s="7"/>
      <c r="Z94" s="7"/>
      <c r="AA94" s="1348"/>
      <c r="AB94" s="7"/>
      <c r="AC94" s="7"/>
      <c r="AD94" s="1348"/>
      <c r="AE94" s="7"/>
      <c r="AF94" s="7"/>
      <c r="AG94" s="1348"/>
      <c r="AH94" s="7"/>
      <c r="AI94" s="7"/>
      <c r="AJ94" s="1348"/>
      <c r="AK94" s="7"/>
      <c r="AL94" s="7"/>
      <c r="AM94" s="1348"/>
      <c r="AN94" s="7"/>
      <c r="AO94" s="7"/>
      <c r="AP94" s="1348"/>
      <c r="AQ94" s="1348"/>
      <c r="AR94" s="1348"/>
      <c r="AS94" s="1348"/>
      <c r="AT94" s="1348"/>
      <c r="AU94" s="1348"/>
      <c r="AV94" s="1348"/>
      <c r="AW94" s="1348"/>
      <c r="AX94" s="9"/>
      <c r="AY94" s="277"/>
    </row>
    <row r="95" spans="1:51" x14ac:dyDescent="0.25">
      <c r="A95" s="9"/>
      <c r="B95" s="7"/>
      <c r="C95" s="7"/>
      <c r="D95" s="7"/>
      <c r="E95" s="7"/>
      <c r="F95" s="7"/>
      <c r="G95" s="7"/>
      <c r="H95" s="7"/>
      <c r="I95" s="7"/>
      <c r="J95" s="1347"/>
      <c r="K95" s="7"/>
      <c r="L95" s="1348"/>
      <c r="M95" s="7"/>
      <c r="N95" s="7"/>
      <c r="O95" s="1348"/>
      <c r="P95" s="7"/>
      <c r="Q95" s="7"/>
      <c r="R95" s="1348"/>
      <c r="S95" s="7"/>
      <c r="T95" s="7"/>
      <c r="U95" s="1348"/>
      <c r="V95" s="7"/>
      <c r="W95" s="7"/>
      <c r="X95" s="1348"/>
      <c r="Y95" s="7"/>
      <c r="Z95" s="7"/>
      <c r="AA95" s="1348"/>
      <c r="AB95" s="7"/>
      <c r="AC95" s="7"/>
      <c r="AD95" s="1348"/>
      <c r="AE95" s="7"/>
      <c r="AF95" s="7"/>
      <c r="AG95" s="1348"/>
      <c r="AH95" s="7"/>
      <c r="AI95" s="7"/>
      <c r="AJ95" s="1348"/>
      <c r="AK95" s="7"/>
      <c r="AL95" s="7"/>
      <c r="AM95" s="1348"/>
      <c r="AN95" s="7"/>
      <c r="AO95" s="7"/>
      <c r="AP95" s="1348"/>
      <c r="AQ95" s="1348"/>
      <c r="AR95" s="1348"/>
      <c r="AS95" s="1348"/>
      <c r="AT95" s="1348"/>
      <c r="AU95" s="1348"/>
      <c r="AV95" s="1348"/>
      <c r="AW95" s="1348"/>
      <c r="AX95" s="9"/>
      <c r="AY95" s="277"/>
    </row>
    <row r="96" spans="1:51" x14ac:dyDescent="0.25">
      <c r="A96" s="9"/>
      <c r="B96" s="7"/>
      <c r="C96" s="7"/>
      <c r="D96" s="7"/>
      <c r="E96" s="7"/>
      <c r="F96" s="7"/>
      <c r="G96" s="7"/>
      <c r="H96" s="7"/>
      <c r="I96" s="7"/>
      <c r="J96" s="1347"/>
      <c r="K96" s="7"/>
      <c r="L96" s="1348"/>
      <c r="M96" s="7"/>
      <c r="N96" s="7"/>
      <c r="O96" s="1348"/>
      <c r="P96" s="7"/>
      <c r="Q96" s="7"/>
      <c r="R96" s="1348"/>
      <c r="S96" s="7"/>
      <c r="T96" s="7"/>
      <c r="U96" s="1348"/>
      <c r="V96" s="7"/>
      <c r="W96" s="7"/>
      <c r="X96" s="1348"/>
      <c r="Y96" s="7"/>
      <c r="Z96" s="7"/>
      <c r="AA96" s="1348"/>
      <c r="AB96" s="7"/>
      <c r="AC96" s="7"/>
      <c r="AD96" s="1348"/>
      <c r="AE96" s="7"/>
      <c r="AF96" s="7"/>
      <c r="AG96" s="1348"/>
      <c r="AH96" s="7"/>
      <c r="AI96" s="7"/>
      <c r="AJ96" s="1348"/>
      <c r="AK96" s="7"/>
      <c r="AL96" s="7"/>
      <c r="AM96" s="1348"/>
      <c r="AN96" s="7"/>
      <c r="AO96" s="7"/>
      <c r="AP96" s="1348"/>
      <c r="AQ96" s="1348"/>
      <c r="AR96" s="1348"/>
      <c r="AS96" s="1348"/>
      <c r="AT96" s="1348"/>
      <c r="AU96" s="1348"/>
      <c r="AV96" s="1348"/>
      <c r="AW96" s="1348"/>
      <c r="AX96" s="9"/>
      <c r="AY96" s="277"/>
    </row>
    <row r="97" spans="1:51" x14ac:dyDescent="0.25">
      <c r="A97" s="9"/>
      <c r="B97" s="7"/>
      <c r="C97" s="7"/>
      <c r="D97" s="7"/>
      <c r="E97" s="7"/>
      <c r="F97" s="7"/>
      <c r="G97" s="7"/>
      <c r="H97" s="7"/>
      <c r="I97" s="7"/>
      <c r="J97" s="1347"/>
      <c r="K97" s="7"/>
      <c r="L97" s="1348"/>
      <c r="M97" s="7"/>
      <c r="N97" s="7"/>
      <c r="O97" s="1348"/>
      <c r="P97" s="7"/>
      <c r="Q97" s="7"/>
      <c r="R97" s="1348"/>
      <c r="S97" s="7"/>
      <c r="T97" s="7"/>
      <c r="U97" s="1348"/>
      <c r="V97" s="7"/>
      <c r="W97" s="7"/>
      <c r="X97" s="1348"/>
      <c r="Y97" s="7"/>
      <c r="Z97" s="7"/>
      <c r="AA97" s="1348"/>
      <c r="AB97" s="7"/>
      <c r="AC97" s="7"/>
      <c r="AD97" s="1348"/>
      <c r="AE97" s="7"/>
      <c r="AF97" s="7"/>
      <c r="AG97" s="1348"/>
      <c r="AH97" s="7"/>
      <c r="AI97" s="7"/>
      <c r="AJ97" s="1348"/>
      <c r="AK97" s="7"/>
      <c r="AL97" s="7"/>
      <c r="AM97" s="1348"/>
      <c r="AN97" s="7"/>
      <c r="AO97" s="7"/>
      <c r="AP97" s="1348"/>
      <c r="AQ97" s="1348"/>
      <c r="AR97" s="1348"/>
      <c r="AS97" s="1348"/>
      <c r="AT97" s="1348"/>
      <c r="AU97" s="1348"/>
      <c r="AV97" s="1348"/>
      <c r="AW97" s="1348"/>
      <c r="AX97" s="9"/>
      <c r="AY97" s="277"/>
    </row>
    <row r="98" spans="1:51" x14ac:dyDescent="0.25">
      <c r="A98" s="9"/>
      <c r="B98" s="7"/>
      <c r="C98" s="7"/>
      <c r="D98" s="7"/>
      <c r="E98" s="7"/>
      <c r="F98" s="7"/>
      <c r="G98" s="7"/>
      <c r="H98" s="7"/>
      <c r="I98" s="7"/>
      <c r="J98" s="1347"/>
      <c r="K98" s="7"/>
      <c r="L98" s="1348"/>
      <c r="M98" s="7"/>
      <c r="N98" s="7"/>
      <c r="O98" s="1348"/>
      <c r="P98" s="7"/>
      <c r="Q98" s="7"/>
      <c r="R98" s="1348"/>
      <c r="S98" s="7"/>
      <c r="T98" s="7"/>
      <c r="U98" s="1348"/>
      <c r="V98" s="7"/>
      <c r="W98" s="7"/>
      <c r="X98" s="1348"/>
      <c r="Y98" s="7"/>
      <c r="Z98" s="7"/>
      <c r="AA98" s="1348"/>
      <c r="AB98" s="7"/>
      <c r="AC98" s="7"/>
      <c r="AD98" s="1348"/>
      <c r="AE98" s="7"/>
      <c r="AF98" s="7"/>
      <c r="AG98" s="1348"/>
      <c r="AH98" s="7"/>
      <c r="AI98" s="7"/>
      <c r="AJ98" s="1348"/>
      <c r="AK98" s="7"/>
      <c r="AL98" s="7"/>
      <c r="AM98" s="1348"/>
      <c r="AN98" s="7"/>
      <c r="AO98" s="7"/>
      <c r="AP98" s="1348"/>
      <c r="AQ98" s="1348"/>
      <c r="AR98" s="1348"/>
      <c r="AS98" s="1348"/>
      <c r="AT98" s="1348"/>
      <c r="AU98" s="1348"/>
      <c r="AV98" s="1348"/>
      <c r="AW98" s="1348"/>
      <c r="AX98" s="9"/>
      <c r="AY98" s="277"/>
    </row>
    <row r="99" spans="1:51" x14ac:dyDescent="0.25">
      <c r="A99" s="9"/>
      <c r="B99" s="7"/>
      <c r="C99" s="7"/>
      <c r="D99" s="7"/>
      <c r="E99" s="7"/>
      <c r="F99" s="7"/>
      <c r="G99" s="7"/>
      <c r="H99" s="7"/>
      <c r="I99" s="7"/>
      <c r="J99" s="1347"/>
      <c r="K99" s="7"/>
      <c r="L99" s="1348"/>
      <c r="M99" s="7"/>
      <c r="N99" s="7"/>
      <c r="O99" s="1348"/>
      <c r="P99" s="7"/>
      <c r="Q99" s="7"/>
      <c r="R99" s="1348"/>
      <c r="S99" s="7"/>
      <c r="T99" s="7"/>
      <c r="U99" s="1348"/>
      <c r="V99" s="7"/>
      <c r="W99" s="7"/>
      <c r="X99" s="1348"/>
      <c r="Y99" s="7"/>
      <c r="Z99" s="7"/>
      <c r="AA99" s="1348"/>
      <c r="AB99" s="7"/>
      <c r="AC99" s="7"/>
      <c r="AD99" s="1348"/>
      <c r="AE99" s="7"/>
      <c r="AF99" s="7"/>
      <c r="AG99" s="1348"/>
      <c r="AH99" s="7"/>
      <c r="AI99" s="7"/>
      <c r="AJ99" s="1348"/>
      <c r="AK99" s="7"/>
      <c r="AL99" s="7"/>
      <c r="AM99" s="1348"/>
      <c r="AN99" s="7"/>
      <c r="AO99" s="7"/>
      <c r="AP99" s="1348"/>
      <c r="AQ99" s="1348"/>
      <c r="AR99" s="1348"/>
      <c r="AS99" s="1348"/>
      <c r="AT99" s="1348"/>
      <c r="AU99" s="1348"/>
      <c r="AV99" s="1348"/>
      <c r="AW99" s="1348"/>
      <c r="AX99" s="9"/>
      <c r="AY99" s="277"/>
    </row>
    <row r="100" spans="1:51" x14ac:dyDescent="0.25">
      <c r="A100" s="9"/>
      <c r="B100" s="7"/>
      <c r="C100" s="7"/>
      <c r="D100" s="7"/>
      <c r="E100" s="7"/>
      <c r="F100" s="7"/>
      <c r="G100" s="7"/>
      <c r="H100" s="7"/>
      <c r="I100" s="7"/>
      <c r="J100" s="1347"/>
      <c r="K100" s="7"/>
      <c r="L100" s="1348"/>
      <c r="M100" s="7"/>
      <c r="N100" s="7"/>
      <c r="O100" s="1348"/>
      <c r="P100" s="7"/>
      <c r="Q100" s="7"/>
      <c r="R100" s="1348"/>
      <c r="S100" s="7"/>
      <c r="T100" s="7"/>
      <c r="U100" s="1348"/>
      <c r="V100" s="7"/>
      <c r="W100" s="7"/>
      <c r="X100" s="1348"/>
      <c r="Y100" s="7"/>
      <c r="Z100" s="7"/>
      <c r="AA100" s="1348"/>
      <c r="AB100" s="7"/>
      <c r="AC100" s="7"/>
      <c r="AD100" s="1348"/>
      <c r="AE100" s="7"/>
      <c r="AF100" s="7"/>
      <c r="AG100" s="1348"/>
      <c r="AH100" s="7"/>
      <c r="AI100" s="7"/>
      <c r="AJ100" s="1348"/>
      <c r="AK100" s="7"/>
      <c r="AL100" s="7"/>
      <c r="AM100" s="1348"/>
      <c r="AN100" s="7"/>
      <c r="AO100" s="7"/>
      <c r="AP100" s="1348"/>
      <c r="AQ100" s="1348"/>
      <c r="AR100" s="1348"/>
      <c r="AS100" s="1348"/>
      <c r="AT100" s="1348"/>
      <c r="AU100" s="1348"/>
      <c r="AV100" s="1348"/>
      <c r="AW100" s="1348"/>
      <c r="AX100" s="9"/>
      <c r="AY100" s="277"/>
    </row>
    <row r="101" spans="1:51" x14ac:dyDescent="0.25">
      <c r="A101" s="9"/>
      <c r="B101" s="7"/>
      <c r="C101" s="7"/>
      <c r="D101" s="7"/>
      <c r="E101" s="7"/>
      <c r="F101" s="7"/>
      <c r="G101" s="7"/>
      <c r="H101" s="7"/>
      <c r="I101" s="7"/>
      <c r="J101" s="1347"/>
      <c r="K101" s="7"/>
      <c r="L101" s="1348"/>
      <c r="M101" s="7"/>
      <c r="N101" s="7"/>
      <c r="O101" s="1348"/>
      <c r="P101" s="7"/>
      <c r="Q101" s="7"/>
      <c r="R101" s="1348"/>
      <c r="S101" s="7"/>
      <c r="T101" s="7"/>
      <c r="U101" s="1348"/>
      <c r="V101" s="7"/>
      <c r="W101" s="7"/>
      <c r="X101" s="1348"/>
      <c r="Y101" s="7"/>
      <c r="Z101" s="7"/>
      <c r="AA101" s="1348"/>
      <c r="AB101" s="7"/>
      <c r="AC101" s="7"/>
      <c r="AD101" s="1348"/>
      <c r="AE101" s="7"/>
      <c r="AF101" s="7"/>
      <c r="AG101" s="1348"/>
      <c r="AH101" s="7"/>
      <c r="AI101" s="7"/>
      <c r="AJ101" s="1348"/>
      <c r="AK101" s="7"/>
      <c r="AL101" s="7"/>
      <c r="AM101" s="1348"/>
      <c r="AN101" s="7"/>
      <c r="AO101" s="7"/>
      <c r="AP101" s="1348"/>
      <c r="AQ101" s="1348"/>
      <c r="AR101" s="1348"/>
      <c r="AS101" s="1348"/>
      <c r="AT101" s="1348"/>
      <c r="AU101" s="1348"/>
      <c r="AV101" s="1348"/>
      <c r="AW101" s="1348"/>
      <c r="AX101" s="9"/>
      <c r="AY101" s="277"/>
    </row>
    <row r="102" spans="1:51" ht="15" customHeight="1" x14ac:dyDescent="0.25">
      <c r="A102" s="9"/>
      <c r="B102" s="7"/>
      <c r="C102" s="7"/>
      <c r="D102" s="7"/>
      <c r="E102" s="7"/>
      <c r="F102" s="7"/>
      <c r="G102" s="7"/>
      <c r="H102" s="7"/>
      <c r="I102" s="7"/>
      <c r="J102" s="1347"/>
      <c r="K102" s="7"/>
      <c r="L102" s="1348"/>
      <c r="M102" s="7"/>
      <c r="N102" s="7"/>
      <c r="O102" s="1348"/>
      <c r="P102" s="7"/>
      <c r="Q102" s="7"/>
      <c r="R102" s="1348"/>
      <c r="S102" s="7"/>
      <c r="T102" s="7"/>
      <c r="U102" s="1348"/>
      <c r="V102" s="7"/>
      <c r="W102" s="7"/>
      <c r="X102" s="1348"/>
      <c r="Y102" s="7"/>
      <c r="Z102" s="7"/>
      <c r="AA102" s="1348"/>
      <c r="AB102" s="7"/>
      <c r="AC102" s="7"/>
      <c r="AD102" s="1348"/>
      <c r="AE102" s="7"/>
      <c r="AF102" s="7"/>
      <c r="AG102" s="1348"/>
      <c r="AH102" s="7"/>
      <c r="AI102" s="7"/>
      <c r="AJ102" s="1348"/>
      <c r="AK102" s="7"/>
      <c r="AL102" s="7"/>
      <c r="AM102" s="1348"/>
      <c r="AN102" s="7"/>
      <c r="AO102" s="7"/>
      <c r="AP102" s="1348"/>
      <c r="AQ102" s="1348"/>
      <c r="AR102" s="1348"/>
      <c r="AS102" s="1348"/>
      <c r="AT102" s="1348"/>
      <c r="AU102" s="1348"/>
      <c r="AV102" s="1348"/>
      <c r="AW102" s="1348"/>
      <c r="AX102" s="9"/>
      <c r="AY102" s="277"/>
    </row>
    <row r="103" spans="1:51" ht="15" customHeight="1" x14ac:dyDescent="0.25">
      <c r="A103" s="9"/>
      <c r="B103" s="9"/>
      <c r="C103" s="9"/>
      <c r="D103" s="9"/>
      <c r="E103" s="9"/>
      <c r="F103" s="9"/>
      <c r="G103" s="9"/>
      <c r="H103" s="9"/>
      <c r="I103" s="9"/>
      <c r="J103" s="1281"/>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1293"/>
      <c r="AR103" s="1293"/>
      <c r="AS103" s="1293"/>
      <c r="AT103" s="9"/>
      <c r="AU103" s="1293"/>
      <c r="AV103" s="1293"/>
      <c r="AW103" s="1293"/>
      <c r="AX103" s="9"/>
      <c r="AY103" s="277"/>
    </row>
    <row r="104" spans="1:51" ht="14.4" x14ac:dyDescent="0.25">
      <c r="A104" s="9"/>
      <c r="B104" s="1234" t="s">
        <v>1010</v>
      </c>
      <c r="C104" s="1234"/>
      <c r="D104" s="1234"/>
      <c r="E104" s="1234"/>
      <c r="F104" s="1234"/>
      <c r="G104" s="1234"/>
      <c r="H104" s="1234"/>
      <c r="I104" s="1234"/>
      <c r="J104" s="1234"/>
      <c r="K104" s="1234"/>
      <c r="L104" s="1234"/>
      <c r="M104" s="1234"/>
      <c r="N104" s="1234"/>
      <c r="O104" s="1234"/>
      <c r="P104" s="1234"/>
      <c r="Q104" s="1234"/>
      <c r="R104" s="1234"/>
      <c r="S104" s="1234"/>
      <c r="T104" s="1234"/>
      <c r="U104" s="1234"/>
      <c r="V104" s="1234"/>
      <c r="W104" s="1234"/>
      <c r="X104" s="1234"/>
      <c r="Y104" s="1234"/>
      <c r="Z104" s="1234"/>
      <c r="AA104" s="1234"/>
      <c r="AB104" s="1234"/>
      <c r="AC104" s="1234"/>
      <c r="AD104" s="1234"/>
      <c r="AE104" s="1234"/>
      <c r="AF104" s="1234"/>
      <c r="AG104" s="1234"/>
      <c r="AH104" s="1234"/>
      <c r="AI104" s="1234"/>
      <c r="AJ104" s="1234"/>
      <c r="AK104" s="1234"/>
      <c r="AL104" s="1234"/>
      <c r="AM104" s="1234"/>
      <c r="AN104" s="1234"/>
      <c r="AO104" s="1234"/>
      <c r="AP104" s="1234"/>
      <c r="AQ104" s="1234"/>
      <c r="AR104" s="1234"/>
      <c r="AS104" s="1234"/>
      <c r="AT104" s="1234"/>
      <c r="AU104" s="1234"/>
      <c r="AV104" s="1234"/>
      <c r="AW104" s="1234"/>
      <c r="AX104" s="1234"/>
      <c r="AY104" s="277"/>
    </row>
    <row r="105" spans="1:51" x14ac:dyDescent="0.25">
      <c r="A105" s="9"/>
      <c r="B105" s="1160"/>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1293"/>
      <c r="AT105" s="1293"/>
      <c r="AU105" s="1293"/>
      <c r="AV105" s="9"/>
      <c r="AW105" s="9"/>
      <c r="AX105" s="9"/>
      <c r="AY105" s="277"/>
    </row>
    <row r="106" spans="1:51" ht="14.4" thickBot="1" x14ac:dyDescent="0.3">
      <c r="A106" s="9"/>
      <c r="B106" s="1330"/>
      <c r="C106" s="1331"/>
      <c r="D106" s="1331"/>
      <c r="E106" s="1331"/>
      <c r="F106" s="1331"/>
      <c r="G106" s="1331"/>
      <c r="H106" s="1331"/>
      <c r="I106" s="1331"/>
      <c r="J106" s="1349"/>
      <c r="K106" s="1331"/>
      <c r="L106" s="1331"/>
      <c r="M106" s="1331"/>
      <c r="N106" s="1331"/>
      <c r="O106" s="1331"/>
      <c r="P106" s="1331"/>
      <c r="Q106" s="1331"/>
      <c r="R106" s="1331"/>
      <c r="S106" s="1331"/>
      <c r="T106" s="1331"/>
      <c r="U106" s="1331"/>
      <c r="V106" s="1331"/>
      <c r="W106" s="1331"/>
      <c r="X106" s="1331"/>
      <c r="Y106" s="1331"/>
      <c r="Z106" s="1331"/>
      <c r="AA106" s="1331"/>
      <c r="AB106" s="1331"/>
      <c r="AC106" s="1331"/>
      <c r="AD106" s="1331"/>
      <c r="AE106" s="1331"/>
      <c r="AF106" s="1331"/>
      <c r="AG106" s="1331"/>
      <c r="AH106" s="1331"/>
      <c r="AI106" s="1331"/>
      <c r="AJ106" s="1331"/>
      <c r="AK106" s="1331"/>
      <c r="AL106" s="1331"/>
      <c r="AM106" s="1331"/>
      <c r="AN106" s="1331"/>
      <c r="AO106" s="1331"/>
      <c r="AP106" s="1331"/>
      <c r="AQ106" s="1332"/>
      <c r="AR106" s="1332"/>
      <c r="AS106" s="1332"/>
      <c r="AT106" s="1331"/>
      <c r="AU106" s="1332"/>
      <c r="AV106" s="1332"/>
      <c r="AW106" s="1332"/>
      <c r="AX106" s="1333"/>
      <c r="AY106" s="277"/>
    </row>
    <row r="107" spans="1:51" x14ac:dyDescent="0.25">
      <c r="A107" s="9"/>
      <c r="B107" s="1334"/>
      <c r="C107" s="1335"/>
      <c r="D107" s="1335"/>
      <c r="E107" s="1335"/>
      <c r="F107" s="1335"/>
      <c r="G107" s="1335"/>
      <c r="H107" s="1335"/>
      <c r="I107" s="1335"/>
      <c r="J107" s="1336" t="s">
        <v>40</v>
      </c>
      <c r="K107" s="1335"/>
      <c r="L107" s="2859">
        <f>L66</f>
        <v>2025</v>
      </c>
      <c r="M107" s="2859"/>
      <c r="N107" s="2859"/>
      <c r="O107" s="2859">
        <f>O66</f>
        <v>2026</v>
      </c>
      <c r="P107" s="2859"/>
      <c r="Q107" s="2859"/>
      <c r="R107" s="2859">
        <f>R66</f>
        <v>2027</v>
      </c>
      <c r="S107" s="2859"/>
      <c r="T107" s="2859"/>
      <c r="U107" s="2859">
        <f>U66</f>
        <v>2028</v>
      </c>
      <c r="V107" s="2859"/>
      <c r="W107" s="2859"/>
      <c r="X107" s="2859">
        <f>X66</f>
        <v>2029</v>
      </c>
      <c r="Y107" s="2859"/>
      <c r="Z107" s="2859"/>
      <c r="AA107" s="2859">
        <f>AA66</f>
        <v>2030</v>
      </c>
      <c r="AB107" s="2859"/>
      <c r="AC107" s="2859"/>
      <c r="AD107" s="2859">
        <f>AD66</f>
        <v>2031</v>
      </c>
      <c r="AE107" s="2859"/>
      <c r="AF107" s="2859"/>
      <c r="AG107" s="2859">
        <f>AG66</f>
        <v>2032</v>
      </c>
      <c r="AH107" s="2859"/>
      <c r="AI107" s="2859"/>
      <c r="AJ107" s="2859">
        <f>AJ66</f>
        <v>2033</v>
      </c>
      <c r="AK107" s="2859"/>
      <c r="AL107" s="2859"/>
      <c r="AM107" s="2859">
        <f>AM66</f>
        <v>2034</v>
      </c>
      <c r="AN107" s="2859"/>
      <c r="AO107" s="2859"/>
      <c r="AP107" s="1337"/>
      <c r="AQ107" s="2877">
        <f>AQ66</f>
        <v>2044</v>
      </c>
      <c r="AR107" s="2878"/>
      <c r="AS107" s="2879"/>
      <c r="AT107" s="1338"/>
      <c r="AU107" s="2877">
        <f>AU66</f>
        <v>2054</v>
      </c>
      <c r="AV107" s="2878"/>
      <c r="AW107" s="2879"/>
      <c r="AX107" s="1350"/>
      <c r="AY107" s="277"/>
    </row>
    <row r="108" spans="1:51" x14ac:dyDescent="0.25">
      <c r="A108" s="9"/>
      <c r="B108" s="19"/>
      <c r="C108" s="1301"/>
      <c r="D108" s="1301"/>
      <c r="E108" s="1301"/>
      <c r="F108" s="1301"/>
      <c r="G108" s="1301"/>
      <c r="H108" s="1301"/>
      <c r="I108" s="1301"/>
      <c r="J108" s="238" t="s">
        <v>41</v>
      </c>
      <c r="K108" s="1301"/>
      <c r="L108" s="2860">
        <f>L67</f>
        <v>1</v>
      </c>
      <c r="M108" s="2860"/>
      <c r="N108" s="2860"/>
      <c r="O108" s="2860">
        <f>O67</f>
        <v>2</v>
      </c>
      <c r="P108" s="2860"/>
      <c r="Q108" s="2860"/>
      <c r="R108" s="2860">
        <f>R67</f>
        <v>3</v>
      </c>
      <c r="S108" s="2860"/>
      <c r="T108" s="2860"/>
      <c r="U108" s="2860">
        <f>U67</f>
        <v>4</v>
      </c>
      <c r="V108" s="2860"/>
      <c r="W108" s="2860"/>
      <c r="X108" s="2860">
        <f>X67</f>
        <v>5</v>
      </c>
      <c r="Y108" s="2860"/>
      <c r="Z108" s="2860"/>
      <c r="AA108" s="2860">
        <f>AA67</f>
        <v>6</v>
      </c>
      <c r="AB108" s="2860"/>
      <c r="AC108" s="2860"/>
      <c r="AD108" s="2860">
        <f>AD67</f>
        <v>7</v>
      </c>
      <c r="AE108" s="2860"/>
      <c r="AF108" s="2860"/>
      <c r="AG108" s="2860">
        <f>AG67</f>
        <v>8</v>
      </c>
      <c r="AH108" s="2860"/>
      <c r="AI108" s="2860"/>
      <c r="AJ108" s="2860">
        <f>AJ67</f>
        <v>9</v>
      </c>
      <c r="AK108" s="2860"/>
      <c r="AL108" s="2860"/>
      <c r="AM108" s="2860">
        <f>AM67</f>
        <v>10</v>
      </c>
      <c r="AN108" s="2860"/>
      <c r="AO108" s="2860"/>
      <c r="AP108" s="1320"/>
      <c r="AQ108" s="2880">
        <f>AQ67</f>
        <v>20</v>
      </c>
      <c r="AR108" s="2881"/>
      <c r="AS108" s="2882"/>
      <c r="AT108" s="5"/>
      <c r="AU108" s="2880">
        <f>AU67</f>
        <v>30</v>
      </c>
      <c r="AV108" s="2881"/>
      <c r="AW108" s="2882"/>
      <c r="AX108" s="9"/>
      <c r="AY108" s="277"/>
    </row>
    <row r="109" spans="1:51" x14ac:dyDescent="0.25">
      <c r="A109" s="9"/>
      <c r="B109" s="23"/>
      <c r="C109" s="23"/>
      <c r="D109" s="23"/>
      <c r="E109" s="23"/>
      <c r="F109" s="23"/>
      <c r="G109" s="23"/>
      <c r="H109" s="23"/>
      <c r="I109" s="23"/>
      <c r="J109" s="23"/>
      <c r="K109" s="23"/>
      <c r="L109" s="1351"/>
      <c r="M109" s="1351"/>
      <c r="N109" s="1351"/>
      <c r="O109" s="1351"/>
      <c r="P109" s="1351"/>
      <c r="Q109" s="1351"/>
      <c r="R109" s="1351"/>
      <c r="S109" s="1351"/>
      <c r="T109" s="1351"/>
      <c r="U109" s="1351"/>
      <c r="V109" s="1351"/>
      <c r="W109" s="1351"/>
      <c r="X109" s="1351"/>
      <c r="Y109" s="1351"/>
      <c r="Z109" s="1351"/>
      <c r="AA109" s="1351"/>
      <c r="AB109" s="1351"/>
      <c r="AC109" s="1351"/>
      <c r="AD109" s="1351"/>
      <c r="AE109" s="1351"/>
      <c r="AF109" s="1351"/>
      <c r="AG109" s="1351"/>
      <c r="AH109" s="1351"/>
      <c r="AI109" s="1351"/>
      <c r="AJ109" s="1351"/>
      <c r="AK109" s="1351"/>
      <c r="AL109" s="1351"/>
      <c r="AM109" s="1351"/>
      <c r="AN109" s="1351"/>
      <c r="AO109" s="1351"/>
      <c r="AP109" s="23"/>
      <c r="AQ109" s="1314"/>
      <c r="AR109" s="1287"/>
      <c r="AS109" s="1315"/>
      <c r="AT109" s="1287"/>
      <c r="AU109" s="1314"/>
      <c r="AV109" s="1287"/>
      <c r="AW109" s="1315"/>
      <c r="AX109" s="9"/>
      <c r="AY109" s="277"/>
    </row>
    <row r="110" spans="1:51" x14ac:dyDescent="0.25">
      <c r="A110" s="9"/>
      <c r="B110" s="24" t="s">
        <v>83</v>
      </c>
      <c r="C110" s="24"/>
      <c r="D110" s="24"/>
      <c r="E110" s="24"/>
      <c r="F110" s="24"/>
      <c r="G110" s="24"/>
      <c r="H110" s="24"/>
      <c r="I110" s="24"/>
      <c r="J110" s="24"/>
      <c r="K110" s="24"/>
      <c r="L110" s="2863">
        <f>FORECASTS!E71</f>
        <v>0</v>
      </c>
      <c r="M110" s="2863"/>
      <c r="N110" s="2863"/>
      <c r="O110" s="2863">
        <f>FORECASTS!F71</f>
        <v>0</v>
      </c>
      <c r="P110" s="2863"/>
      <c r="Q110" s="2863"/>
      <c r="R110" s="2863">
        <f>FORECASTS!G71</f>
        <v>0</v>
      </c>
      <c r="S110" s="2863"/>
      <c r="T110" s="2863"/>
      <c r="U110" s="2863">
        <f>FORECASTS!H71</f>
        <v>0</v>
      </c>
      <c r="V110" s="2863"/>
      <c r="W110" s="2863"/>
      <c r="X110" s="2863">
        <f>FORECASTS!I71</f>
        <v>0</v>
      </c>
      <c r="Y110" s="2863"/>
      <c r="Z110" s="2863"/>
      <c r="AA110" s="2863">
        <f>FORECASTS!J71</f>
        <v>0</v>
      </c>
      <c r="AB110" s="2863"/>
      <c r="AC110" s="2863"/>
      <c r="AD110" s="2863">
        <f>FORECASTS!K71</f>
        <v>0</v>
      </c>
      <c r="AE110" s="2863"/>
      <c r="AF110" s="2863"/>
      <c r="AG110" s="2863">
        <f>FORECASTS!L71</f>
        <v>0</v>
      </c>
      <c r="AH110" s="2863"/>
      <c r="AI110" s="2863"/>
      <c r="AJ110" s="2863">
        <f>FORECASTS!M71</f>
        <v>0</v>
      </c>
      <c r="AK110" s="2863"/>
      <c r="AL110" s="2863"/>
      <c r="AM110" s="2863">
        <f>FORECASTS!N71</f>
        <v>0</v>
      </c>
      <c r="AN110" s="2863"/>
      <c r="AO110" s="2863"/>
      <c r="AP110" s="24"/>
      <c r="AQ110" s="2889">
        <f>INDEX(FORECASTS!$E$71:$AI$71,0,'FORECASTS (R)'!AQ108)</f>
        <v>0</v>
      </c>
      <c r="AR110" s="2890"/>
      <c r="AS110" s="2891"/>
      <c r="AT110" s="1288"/>
      <c r="AU110" s="2889">
        <f>INDEX(FORECASTS!$E$71:$AI$71,0,'FORECASTS (R)'!AU108)</f>
        <v>0</v>
      </c>
      <c r="AV110" s="2890"/>
      <c r="AW110" s="2891"/>
      <c r="AX110" s="8"/>
      <c r="AY110" s="277"/>
    </row>
    <row r="111" spans="1:51" x14ac:dyDescent="0.25">
      <c r="A111" s="9"/>
      <c r="B111" s="24" t="s">
        <v>510</v>
      </c>
      <c r="C111" s="24"/>
      <c r="D111" s="24"/>
      <c r="E111" s="24"/>
      <c r="F111" s="24"/>
      <c r="G111" s="24"/>
      <c r="H111" s="24"/>
      <c r="I111" s="24"/>
      <c r="J111" s="24"/>
      <c r="K111" s="24"/>
      <c r="L111" s="2863">
        <f>INDEX(FORECASTS!$E$153:$AH$153,0,'FORECASTS (R)'!L108)</f>
        <v>0</v>
      </c>
      <c r="M111" s="2863"/>
      <c r="N111" s="2863"/>
      <c r="O111" s="2863">
        <f>INDEX(FORECASTS!$E$153:$AH$153,0,'FORECASTS (R)'!O108)</f>
        <v>0</v>
      </c>
      <c r="P111" s="2863"/>
      <c r="Q111" s="2863"/>
      <c r="R111" s="2863">
        <f>INDEX(FORECASTS!$E$153:$AH$153,0,'FORECASTS (R)'!R108)</f>
        <v>0</v>
      </c>
      <c r="S111" s="2863"/>
      <c r="T111" s="2863"/>
      <c r="U111" s="2863">
        <f>INDEX(FORECASTS!$E$153:$AH$153,0,'FORECASTS (R)'!U108)</f>
        <v>0</v>
      </c>
      <c r="V111" s="2863"/>
      <c r="W111" s="2863"/>
      <c r="X111" s="2863">
        <f>INDEX(FORECASTS!$E$153:$AH$153,0,'FORECASTS (R)'!X108)</f>
        <v>0</v>
      </c>
      <c r="Y111" s="2863"/>
      <c r="Z111" s="2863"/>
      <c r="AA111" s="2863">
        <f>INDEX(FORECASTS!$E$153:$AH$153,0,'FORECASTS (R)'!AA108)</f>
        <v>0</v>
      </c>
      <c r="AB111" s="2863"/>
      <c r="AC111" s="2863"/>
      <c r="AD111" s="2863">
        <f>INDEX(FORECASTS!$E$153:$AH$153,0,'FORECASTS (R)'!AD108)</f>
        <v>0</v>
      </c>
      <c r="AE111" s="2863"/>
      <c r="AF111" s="2863"/>
      <c r="AG111" s="2863">
        <f>INDEX(FORECASTS!$E$153:$AH$153,0,'FORECASTS (R)'!AG108)</f>
        <v>0</v>
      </c>
      <c r="AH111" s="2863"/>
      <c r="AI111" s="2863"/>
      <c r="AJ111" s="2863">
        <f>INDEX(FORECASTS!$E$153:$AH$153,0,'FORECASTS (R)'!AJ108)</f>
        <v>0</v>
      </c>
      <c r="AK111" s="2863"/>
      <c r="AL111" s="2863"/>
      <c r="AM111" s="2863">
        <f>INDEX(FORECASTS!$E$153:$AH$153,0,'FORECASTS (R)'!AM108)</f>
        <v>0</v>
      </c>
      <c r="AN111" s="2863"/>
      <c r="AO111" s="2863"/>
      <c r="AP111" s="24"/>
      <c r="AQ111" s="2889">
        <f>INDEX(FORECASTS!$E$153:$AI$153,0,'FORECASTS (R)'!AQ108)</f>
        <v>0</v>
      </c>
      <c r="AR111" s="2890"/>
      <c r="AS111" s="2891"/>
      <c r="AT111" s="1288"/>
      <c r="AU111" s="2889">
        <f>INDEX(FORECASTS!$E$153:$AI$153,0,'FORECASTS (R)'!AU108)</f>
        <v>0</v>
      </c>
      <c r="AV111" s="2890"/>
      <c r="AW111" s="2891"/>
      <c r="AX111" s="8"/>
      <c r="AY111" s="277"/>
    </row>
    <row r="112" spans="1:51" x14ac:dyDescent="0.25">
      <c r="A112" s="9"/>
      <c r="B112" s="24" t="s">
        <v>511</v>
      </c>
      <c r="C112" s="24"/>
      <c r="D112" s="24"/>
      <c r="E112" s="24"/>
      <c r="F112" s="24"/>
      <c r="G112" s="24"/>
      <c r="H112" s="24"/>
      <c r="I112" s="24"/>
      <c r="J112" s="24"/>
      <c r="K112" s="24"/>
      <c r="L112" s="2863">
        <f>L111/12</f>
        <v>0</v>
      </c>
      <c r="M112" s="2863"/>
      <c r="N112" s="2863"/>
      <c r="O112" s="2863">
        <f>O111/12</f>
        <v>0</v>
      </c>
      <c r="P112" s="2863"/>
      <c r="Q112" s="2863"/>
      <c r="R112" s="2863">
        <f>R111/12</f>
        <v>0</v>
      </c>
      <c r="S112" s="2863"/>
      <c r="T112" s="2863"/>
      <c r="U112" s="2863">
        <f>U111/12</f>
        <v>0</v>
      </c>
      <c r="V112" s="2863"/>
      <c r="W112" s="2863"/>
      <c r="X112" s="2863">
        <f>X111/12</f>
        <v>0</v>
      </c>
      <c r="Y112" s="2863"/>
      <c r="Z112" s="2863"/>
      <c r="AA112" s="2863">
        <f>AA111/12</f>
        <v>0</v>
      </c>
      <c r="AB112" s="2863"/>
      <c r="AC112" s="2863"/>
      <c r="AD112" s="2863">
        <f>AD111/12</f>
        <v>0</v>
      </c>
      <c r="AE112" s="2863"/>
      <c r="AF112" s="2863"/>
      <c r="AG112" s="2863">
        <f>AG111/12</f>
        <v>0</v>
      </c>
      <c r="AH112" s="2863"/>
      <c r="AI112" s="2863"/>
      <c r="AJ112" s="2863">
        <f>AJ111/12</f>
        <v>0</v>
      </c>
      <c r="AK112" s="2863"/>
      <c r="AL112" s="2863"/>
      <c r="AM112" s="2863">
        <f>AM111/12</f>
        <v>0</v>
      </c>
      <c r="AN112" s="2863"/>
      <c r="AO112" s="2863"/>
      <c r="AP112" s="24"/>
      <c r="AQ112" s="2889">
        <f>AQ111/12</f>
        <v>0</v>
      </c>
      <c r="AR112" s="2890"/>
      <c r="AS112" s="2891"/>
      <c r="AT112" s="1288"/>
      <c r="AU112" s="2889">
        <f>AU111/12</f>
        <v>0</v>
      </c>
      <c r="AV112" s="2890"/>
      <c r="AW112" s="2891"/>
      <c r="AX112" s="8"/>
      <c r="AY112" s="277"/>
    </row>
    <row r="113" spans="1:71" x14ac:dyDescent="0.25">
      <c r="A113" s="9"/>
      <c r="B113" s="24"/>
      <c r="C113" s="24"/>
      <c r="D113" s="24"/>
      <c r="E113" s="24"/>
      <c r="F113" s="24"/>
      <c r="G113" s="24"/>
      <c r="H113" s="24"/>
      <c r="I113" s="24"/>
      <c r="J113" s="24"/>
      <c r="K113" s="24"/>
      <c r="L113" s="866"/>
      <c r="M113" s="866"/>
      <c r="N113" s="866"/>
      <c r="O113" s="866"/>
      <c r="P113" s="866"/>
      <c r="Q113" s="866"/>
      <c r="R113" s="866"/>
      <c r="S113" s="866"/>
      <c r="T113" s="866"/>
      <c r="U113" s="866"/>
      <c r="V113" s="866"/>
      <c r="W113" s="866"/>
      <c r="X113" s="866"/>
      <c r="Y113" s="866"/>
      <c r="Z113" s="866"/>
      <c r="AA113" s="866"/>
      <c r="AB113" s="866"/>
      <c r="AC113" s="866"/>
      <c r="AD113" s="866"/>
      <c r="AE113" s="866"/>
      <c r="AF113" s="866"/>
      <c r="AG113" s="866"/>
      <c r="AH113" s="866"/>
      <c r="AI113" s="866"/>
      <c r="AJ113" s="866"/>
      <c r="AK113" s="866"/>
      <c r="AL113" s="866"/>
      <c r="AM113" s="866"/>
      <c r="AN113" s="866"/>
      <c r="AO113" s="866"/>
      <c r="AP113" s="24"/>
      <c r="AQ113" s="1316"/>
      <c r="AR113" s="1288"/>
      <c r="AS113" s="1317"/>
      <c r="AT113" s="1288"/>
      <c r="AU113" s="1316"/>
      <c r="AV113" s="1288"/>
      <c r="AW113" s="1317"/>
      <c r="AX113" s="8"/>
      <c r="AY113" s="277"/>
    </row>
    <row r="114" spans="1:71" x14ac:dyDescent="0.25">
      <c r="A114" s="9"/>
      <c r="B114" s="25" t="s">
        <v>155</v>
      </c>
      <c r="C114" s="25"/>
      <c r="D114" s="25"/>
      <c r="E114" s="25"/>
      <c r="F114" s="25"/>
      <c r="G114" s="25"/>
      <c r="H114" s="25"/>
      <c r="I114" s="25"/>
      <c r="J114" s="25"/>
      <c r="K114" s="25"/>
      <c r="L114" s="2867">
        <f>FORECASTS!E142</f>
        <v>0</v>
      </c>
      <c r="M114" s="2867"/>
      <c r="N114" s="2867"/>
      <c r="O114" s="2867">
        <f>FORECASTS!F142</f>
        <v>0</v>
      </c>
      <c r="P114" s="2867"/>
      <c r="Q114" s="2867"/>
      <c r="R114" s="2867">
        <f>FORECASTS!G142</f>
        <v>0</v>
      </c>
      <c r="S114" s="2867"/>
      <c r="T114" s="2867"/>
      <c r="U114" s="2867">
        <f>FORECASTS!H142</f>
        <v>0</v>
      </c>
      <c r="V114" s="2867"/>
      <c r="W114" s="2867"/>
      <c r="X114" s="2867">
        <f>FORECASTS!I142</f>
        <v>0</v>
      </c>
      <c r="Y114" s="2867"/>
      <c r="Z114" s="2867"/>
      <c r="AA114" s="2867">
        <f>FORECASTS!J142</f>
        <v>0</v>
      </c>
      <c r="AB114" s="2867"/>
      <c r="AC114" s="2867"/>
      <c r="AD114" s="2867">
        <f>FORECASTS!K142</f>
        <v>0</v>
      </c>
      <c r="AE114" s="2867"/>
      <c r="AF114" s="2867"/>
      <c r="AG114" s="2867">
        <f>FORECASTS!L142</f>
        <v>0</v>
      </c>
      <c r="AH114" s="2867"/>
      <c r="AI114" s="2867"/>
      <c r="AJ114" s="2867">
        <f>FORECASTS!M142</f>
        <v>0</v>
      </c>
      <c r="AK114" s="2867"/>
      <c r="AL114" s="2867"/>
      <c r="AM114" s="2867">
        <f>FORECASTS!N142</f>
        <v>0</v>
      </c>
      <c r="AN114" s="2867"/>
      <c r="AO114" s="2867"/>
      <c r="AP114" s="25"/>
      <c r="AQ114" s="2901">
        <f>INDEX(FORECASTS!$E$142:$AI$142,0,'FORECASTS (R)'!AQ$108)</f>
        <v>0</v>
      </c>
      <c r="AR114" s="2902"/>
      <c r="AS114" s="2903"/>
      <c r="AT114" s="87"/>
      <c r="AU114" s="2901">
        <f>INDEX(FORECASTS!$E$142:$AI$142,0,'FORECASTS (R)'!AU$108)</f>
        <v>0</v>
      </c>
      <c r="AV114" s="2902"/>
      <c r="AW114" s="2903"/>
      <c r="AX114" s="8"/>
      <c r="AY114" s="277"/>
    </row>
    <row r="115" spans="1:71" x14ac:dyDescent="0.25">
      <c r="A115" s="9"/>
      <c r="B115" s="28" t="s">
        <v>156</v>
      </c>
      <c r="C115" s="28"/>
      <c r="D115" s="28"/>
      <c r="E115" s="28"/>
      <c r="F115" s="28"/>
      <c r="G115" s="28"/>
      <c r="H115" s="28"/>
      <c r="I115" s="28"/>
      <c r="J115" s="28"/>
      <c r="K115" s="28"/>
      <c r="L115" s="2869">
        <f>FORECASTS!E143</f>
        <v>0</v>
      </c>
      <c r="M115" s="2869"/>
      <c r="N115" s="2869"/>
      <c r="O115" s="2869">
        <f>FORECASTS!F143</f>
        <v>0</v>
      </c>
      <c r="P115" s="2869"/>
      <c r="Q115" s="2869"/>
      <c r="R115" s="2869">
        <f>FORECASTS!G143</f>
        <v>0</v>
      </c>
      <c r="S115" s="2869"/>
      <c r="T115" s="2869"/>
      <c r="U115" s="2869">
        <f>FORECASTS!H143</f>
        <v>0</v>
      </c>
      <c r="V115" s="2869"/>
      <c r="W115" s="2869"/>
      <c r="X115" s="2869">
        <f>FORECASTS!I143</f>
        <v>0</v>
      </c>
      <c r="Y115" s="2869"/>
      <c r="Z115" s="2869"/>
      <c r="AA115" s="2869">
        <f>FORECASTS!J143</f>
        <v>0</v>
      </c>
      <c r="AB115" s="2869"/>
      <c r="AC115" s="2869"/>
      <c r="AD115" s="2869">
        <f>FORECASTS!K143</f>
        <v>0</v>
      </c>
      <c r="AE115" s="2869"/>
      <c r="AF115" s="2869"/>
      <c r="AG115" s="2869">
        <f>FORECASTS!L143</f>
        <v>0</v>
      </c>
      <c r="AH115" s="2869"/>
      <c r="AI115" s="2869"/>
      <c r="AJ115" s="2869">
        <f>FORECASTS!M143</f>
        <v>0</v>
      </c>
      <c r="AK115" s="2869"/>
      <c r="AL115" s="2869"/>
      <c r="AM115" s="2869">
        <f>FORECASTS!N143</f>
        <v>0</v>
      </c>
      <c r="AN115" s="2869"/>
      <c r="AO115" s="2869"/>
      <c r="AP115" s="28"/>
      <c r="AQ115" s="2904">
        <f>INDEX(FORECASTS!$E$143:$AI$143,0,'FORECASTS (R)'!AQ$108)</f>
        <v>0</v>
      </c>
      <c r="AR115" s="2905"/>
      <c r="AS115" s="2906"/>
      <c r="AT115" s="1352"/>
      <c r="AU115" s="2904">
        <f>INDEX(FORECASTS!$E$143:$AI$143,0,'FORECASTS (R)'!AU$108)</f>
        <v>0</v>
      </c>
      <c r="AV115" s="2905"/>
      <c r="AW115" s="2906"/>
      <c r="AX115" s="8"/>
      <c r="AY115" s="277"/>
    </row>
    <row r="116" spans="1:71" x14ac:dyDescent="0.25">
      <c r="A116" s="9"/>
      <c r="B116" s="26" t="s">
        <v>76</v>
      </c>
      <c r="C116" s="26"/>
      <c r="D116" s="26"/>
      <c r="E116" s="26"/>
      <c r="F116" s="26"/>
      <c r="G116" s="26"/>
      <c r="H116" s="26"/>
      <c r="I116" s="26"/>
      <c r="J116" s="26"/>
      <c r="K116" s="26"/>
      <c r="L116" s="2874">
        <f>FORECASTS!E150</f>
        <v>0</v>
      </c>
      <c r="M116" s="2874"/>
      <c r="N116" s="2874"/>
      <c r="O116" s="2874">
        <f>FORECASTS!F150</f>
        <v>0</v>
      </c>
      <c r="P116" s="2874"/>
      <c r="Q116" s="2874"/>
      <c r="R116" s="2874">
        <f>FORECASTS!G150</f>
        <v>0</v>
      </c>
      <c r="S116" s="2874"/>
      <c r="T116" s="2874"/>
      <c r="U116" s="2874">
        <f>FORECASTS!H150</f>
        <v>0</v>
      </c>
      <c r="V116" s="2874"/>
      <c r="W116" s="2874"/>
      <c r="X116" s="2874">
        <f>FORECASTS!I150</f>
        <v>0</v>
      </c>
      <c r="Y116" s="2874"/>
      <c r="Z116" s="2874"/>
      <c r="AA116" s="2874">
        <f>FORECASTS!J150</f>
        <v>0</v>
      </c>
      <c r="AB116" s="2874"/>
      <c r="AC116" s="2874"/>
      <c r="AD116" s="2874">
        <f>FORECASTS!K150</f>
        <v>0</v>
      </c>
      <c r="AE116" s="2874"/>
      <c r="AF116" s="2874"/>
      <c r="AG116" s="2874">
        <f>FORECASTS!L150</f>
        <v>0</v>
      </c>
      <c r="AH116" s="2874"/>
      <c r="AI116" s="2874"/>
      <c r="AJ116" s="2874">
        <f>FORECASTS!M150</f>
        <v>0</v>
      </c>
      <c r="AK116" s="2874"/>
      <c r="AL116" s="2874"/>
      <c r="AM116" s="2874">
        <f>FORECASTS!N150</f>
        <v>0</v>
      </c>
      <c r="AN116" s="2874"/>
      <c r="AO116" s="2874"/>
      <c r="AP116" s="26"/>
      <c r="AQ116" s="2907">
        <f>INDEX(FORECASTS!$E$150:$AI$150,0,'FORECASTS (R)'!AQ108)</f>
        <v>0</v>
      </c>
      <c r="AR116" s="2908"/>
      <c r="AS116" s="2909"/>
      <c r="AT116" s="88"/>
      <c r="AU116" s="2907">
        <f>INDEX(FORECASTS!$E$150:$AI$150,0,'FORECASTS (R)'!AU108)</f>
        <v>0</v>
      </c>
      <c r="AV116" s="2908"/>
      <c r="AW116" s="2909"/>
      <c r="AX116" s="8"/>
      <c r="AY116" s="277"/>
    </row>
    <row r="117" spans="1:71" x14ac:dyDescent="0.25">
      <c r="A117" s="9"/>
      <c r="B117" s="24"/>
      <c r="C117" s="24"/>
      <c r="D117" s="24"/>
      <c r="E117" s="24"/>
      <c r="F117" s="24"/>
      <c r="G117" s="24"/>
      <c r="H117" s="24"/>
      <c r="I117" s="24"/>
      <c r="J117" s="24"/>
      <c r="K117" s="24"/>
      <c r="L117" s="866"/>
      <c r="M117" s="866"/>
      <c r="N117" s="866"/>
      <c r="O117" s="866"/>
      <c r="P117" s="866"/>
      <c r="Q117" s="866"/>
      <c r="R117" s="866"/>
      <c r="S117" s="866"/>
      <c r="T117" s="866"/>
      <c r="U117" s="866"/>
      <c r="V117" s="866"/>
      <c r="W117" s="866"/>
      <c r="X117" s="866"/>
      <c r="Y117" s="866"/>
      <c r="Z117" s="866"/>
      <c r="AA117" s="866"/>
      <c r="AB117" s="866"/>
      <c r="AC117" s="866"/>
      <c r="AD117" s="866"/>
      <c r="AE117" s="866"/>
      <c r="AF117" s="866"/>
      <c r="AG117" s="866"/>
      <c r="AH117" s="866"/>
      <c r="AI117" s="866"/>
      <c r="AJ117" s="866"/>
      <c r="AK117" s="866"/>
      <c r="AL117" s="866"/>
      <c r="AM117" s="866"/>
      <c r="AN117" s="866"/>
      <c r="AO117" s="866"/>
      <c r="AP117" s="24"/>
      <c r="AQ117" s="1316"/>
      <c r="AR117" s="1288"/>
      <c r="AS117" s="1317"/>
      <c r="AT117" s="1288"/>
      <c r="AU117" s="1316"/>
      <c r="AV117" s="1288"/>
      <c r="AW117" s="1317"/>
      <c r="AX117" s="8"/>
      <c r="AY117" s="277"/>
    </row>
    <row r="118" spans="1:71" x14ac:dyDescent="0.25">
      <c r="A118" s="9"/>
      <c r="B118" s="1164" t="s">
        <v>84</v>
      </c>
      <c r="C118" s="1164"/>
      <c r="D118" s="1164"/>
      <c r="E118" s="1164"/>
      <c r="F118" s="1164"/>
      <c r="G118" s="1164"/>
      <c r="H118" s="1164"/>
      <c r="I118" s="1164"/>
      <c r="J118" s="1164"/>
      <c r="K118" s="1164"/>
      <c r="L118" s="2868">
        <f>L111</f>
        <v>0</v>
      </c>
      <c r="M118" s="2868"/>
      <c r="N118" s="2868"/>
      <c r="O118" s="2868">
        <f>O111</f>
        <v>0</v>
      </c>
      <c r="P118" s="2868"/>
      <c r="Q118" s="2868"/>
      <c r="R118" s="2868">
        <f>R111</f>
        <v>0</v>
      </c>
      <c r="S118" s="2868"/>
      <c r="T118" s="2868"/>
      <c r="U118" s="2868">
        <f>U111</f>
        <v>0</v>
      </c>
      <c r="V118" s="2868"/>
      <c r="W118" s="2868"/>
      <c r="X118" s="2868">
        <f>X111</f>
        <v>0</v>
      </c>
      <c r="Y118" s="2868"/>
      <c r="Z118" s="2868"/>
      <c r="AA118" s="2868">
        <f>AA111</f>
        <v>0</v>
      </c>
      <c r="AB118" s="2868"/>
      <c r="AC118" s="2868"/>
      <c r="AD118" s="2868">
        <f>AD111</f>
        <v>0</v>
      </c>
      <c r="AE118" s="2868"/>
      <c r="AF118" s="2868"/>
      <c r="AG118" s="2868">
        <f>AG111</f>
        <v>0</v>
      </c>
      <c r="AH118" s="2868"/>
      <c r="AI118" s="2868"/>
      <c r="AJ118" s="2868">
        <f>AJ111</f>
        <v>0</v>
      </c>
      <c r="AK118" s="2868"/>
      <c r="AL118" s="2868"/>
      <c r="AM118" s="2868">
        <f>AM111</f>
        <v>0</v>
      </c>
      <c r="AN118" s="2868"/>
      <c r="AO118" s="2868"/>
      <c r="AP118" s="1155"/>
      <c r="AQ118" s="2910">
        <f>AQ111</f>
        <v>0</v>
      </c>
      <c r="AR118" s="2911"/>
      <c r="AS118" s="2912"/>
      <c r="AT118" s="1165"/>
      <c r="AU118" s="2910">
        <f>AU111</f>
        <v>0</v>
      </c>
      <c r="AV118" s="2911"/>
      <c r="AW118" s="2912"/>
      <c r="AX118" s="8"/>
      <c r="AY118" s="277"/>
    </row>
    <row r="119" spans="1:71" s="352" customFormat="1" x14ac:dyDescent="0.25">
      <c r="A119" s="9"/>
      <c r="B119" s="28" t="s">
        <v>31</v>
      </c>
      <c r="C119" s="28"/>
      <c r="D119" s="28"/>
      <c r="E119" s="28"/>
      <c r="F119" s="28"/>
      <c r="G119" s="28"/>
      <c r="H119" s="28"/>
      <c r="I119" s="28"/>
      <c r="J119" s="28"/>
      <c r="K119" s="28"/>
      <c r="L119" s="2875">
        <f>-L71</f>
        <v>0</v>
      </c>
      <c r="M119" s="2875"/>
      <c r="N119" s="2875"/>
      <c r="O119" s="2875">
        <f>-O71</f>
        <v>0</v>
      </c>
      <c r="P119" s="2875"/>
      <c r="Q119" s="2875"/>
      <c r="R119" s="2875">
        <f>-R71</f>
        <v>0</v>
      </c>
      <c r="S119" s="2875"/>
      <c r="T119" s="2875"/>
      <c r="U119" s="2875">
        <f>-U71</f>
        <v>0</v>
      </c>
      <c r="V119" s="2875"/>
      <c r="W119" s="2875"/>
      <c r="X119" s="2875">
        <f>-X71</f>
        <v>0</v>
      </c>
      <c r="Y119" s="2875"/>
      <c r="Z119" s="2875"/>
      <c r="AA119" s="2875">
        <f>-AA71</f>
        <v>0</v>
      </c>
      <c r="AB119" s="2875"/>
      <c r="AC119" s="2875"/>
      <c r="AD119" s="2875">
        <f>-AD71</f>
        <v>0</v>
      </c>
      <c r="AE119" s="2875"/>
      <c r="AF119" s="2875"/>
      <c r="AG119" s="2875">
        <f>-AG71</f>
        <v>0</v>
      </c>
      <c r="AH119" s="2875"/>
      <c r="AI119" s="2875"/>
      <c r="AJ119" s="2875">
        <f>-AJ71</f>
        <v>0</v>
      </c>
      <c r="AK119" s="2875"/>
      <c r="AL119" s="2875"/>
      <c r="AM119" s="2875">
        <f>-AM71</f>
        <v>0</v>
      </c>
      <c r="AN119" s="2875"/>
      <c r="AO119" s="2875"/>
      <c r="AP119" s="1353"/>
      <c r="AQ119" s="2913">
        <f>-AQ71</f>
        <v>0</v>
      </c>
      <c r="AR119" s="2914"/>
      <c r="AS119" s="2915"/>
      <c r="AT119" s="1289"/>
      <c r="AU119" s="2913">
        <f>-AU71</f>
        <v>0</v>
      </c>
      <c r="AV119" s="2914"/>
      <c r="AW119" s="2915"/>
      <c r="AX119" s="8"/>
      <c r="AY119" s="277"/>
      <c r="AZ119" s="331"/>
      <c r="BA119" s="331"/>
      <c r="BB119" s="331"/>
      <c r="BC119" s="331"/>
      <c r="BD119" s="331"/>
      <c r="BE119" s="331"/>
      <c r="BF119" s="331"/>
      <c r="BG119" s="331"/>
      <c r="BH119" s="331"/>
      <c r="BI119" s="331"/>
      <c r="BJ119" s="331"/>
      <c r="BK119" s="331"/>
      <c r="BL119" s="331"/>
      <c r="BM119" s="331"/>
      <c r="BN119" s="331"/>
      <c r="BO119" s="331"/>
      <c r="BP119" s="331"/>
      <c r="BQ119" s="331"/>
      <c r="BR119" s="331"/>
      <c r="BS119" s="331"/>
    </row>
    <row r="120" spans="1:71" x14ac:dyDescent="0.25">
      <c r="A120" s="9"/>
      <c r="B120" s="28" t="s">
        <v>85</v>
      </c>
      <c r="C120" s="28"/>
      <c r="D120" s="28"/>
      <c r="E120" s="28"/>
      <c r="F120" s="28"/>
      <c r="G120" s="28"/>
      <c r="H120" s="28"/>
      <c r="I120" s="28"/>
      <c r="J120" s="28"/>
      <c r="K120" s="28"/>
      <c r="L120" s="2875">
        <f>FORECASTS!E155</f>
        <v>17250.41</v>
      </c>
      <c r="M120" s="2875"/>
      <c r="N120" s="2875"/>
      <c r="O120" s="2875">
        <f>FORECASTS!F155</f>
        <v>0</v>
      </c>
      <c r="P120" s="2875"/>
      <c r="Q120" s="2875"/>
      <c r="R120" s="2875">
        <f>FORECASTS!G155</f>
        <v>0</v>
      </c>
      <c r="S120" s="2875"/>
      <c r="T120" s="2875"/>
      <c r="U120" s="2875">
        <f>FORECASTS!H155</f>
        <v>0</v>
      </c>
      <c r="V120" s="2875"/>
      <c r="W120" s="2875"/>
      <c r="X120" s="2875">
        <f>FORECASTS!I155</f>
        <v>0</v>
      </c>
      <c r="Y120" s="2875"/>
      <c r="Z120" s="2875"/>
      <c r="AA120" s="2875">
        <f>FORECASTS!J155</f>
        <v>0</v>
      </c>
      <c r="AB120" s="2875"/>
      <c r="AC120" s="2875"/>
      <c r="AD120" s="2875">
        <f>FORECASTS!K155</f>
        <v>0</v>
      </c>
      <c r="AE120" s="2875"/>
      <c r="AF120" s="2875"/>
      <c r="AG120" s="2875">
        <f>FORECASTS!L155</f>
        <v>0</v>
      </c>
      <c r="AH120" s="2875"/>
      <c r="AI120" s="2875"/>
      <c r="AJ120" s="2875">
        <f>FORECASTS!M155</f>
        <v>0</v>
      </c>
      <c r="AK120" s="2875"/>
      <c r="AL120" s="2875"/>
      <c r="AM120" s="2875">
        <f>FORECASTS!N155</f>
        <v>0</v>
      </c>
      <c r="AN120" s="2875"/>
      <c r="AO120" s="2875"/>
      <c r="AP120" s="1353"/>
      <c r="AQ120" s="2913">
        <f>INDEX(FORECASTS!$E$155:$AI$155,0,'FORECASTS (R)'!AQ108)</f>
        <v>0</v>
      </c>
      <c r="AR120" s="2914"/>
      <c r="AS120" s="2915"/>
      <c r="AT120" s="1289"/>
      <c r="AU120" s="2913">
        <f>INDEX(FORECASTS!$E$155:$AI$155,0,'FORECASTS (R)'!AU108)</f>
        <v>0</v>
      </c>
      <c r="AV120" s="2914"/>
      <c r="AW120" s="2915"/>
      <c r="AX120" s="8"/>
      <c r="AY120" s="277"/>
      <c r="BP120" s="352"/>
      <c r="BQ120" s="352"/>
      <c r="BR120" s="352"/>
      <c r="BS120" s="352"/>
    </row>
    <row r="121" spans="1:71" s="349" customFormat="1" ht="14.4" x14ac:dyDescent="0.3">
      <c r="A121" s="198"/>
      <c r="B121" s="1276" t="s">
        <v>86</v>
      </c>
      <c r="C121" s="1276"/>
      <c r="D121" s="1276"/>
      <c r="E121" s="1276"/>
      <c r="F121" s="1276"/>
      <c r="G121" s="1276"/>
      <c r="H121" s="1276"/>
      <c r="I121" s="1276"/>
      <c r="J121" s="1276"/>
      <c r="K121" s="1276"/>
      <c r="L121" s="2876">
        <f>SUM(L118:L120)</f>
        <v>17250.41</v>
      </c>
      <c r="M121" s="2876"/>
      <c r="N121" s="2876"/>
      <c r="O121" s="2876">
        <f>SUM(O118:O120)</f>
        <v>0</v>
      </c>
      <c r="P121" s="2876"/>
      <c r="Q121" s="2876"/>
      <c r="R121" s="2876">
        <f>SUM(R118:R120)</f>
        <v>0</v>
      </c>
      <c r="S121" s="2876"/>
      <c r="T121" s="2876"/>
      <c r="U121" s="2876">
        <f>SUM(U118:U120)</f>
        <v>0</v>
      </c>
      <c r="V121" s="2876"/>
      <c r="W121" s="2876"/>
      <c r="X121" s="2876">
        <f>SUM(X118:X120)</f>
        <v>0</v>
      </c>
      <c r="Y121" s="2876"/>
      <c r="Z121" s="2876"/>
      <c r="AA121" s="2876">
        <f>SUM(AA118:AA120)</f>
        <v>0</v>
      </c>
      <c r="AB121" s="2876"/>
      <c r="AC121" s="2876"/>
      <c r="AD121" s="2876">
        <f>SUM(AD118:AD120)</f>
        <v>0</v>
      </c>
      <c r="AE121" s="2876"/>
      <c r="AF121" s="2876"/>
      <c r="AG121" s="2876">
        <f>SUM(AG118:AG120)</f>
        <v>0</v>
      </c>
      <c r="AH121" s="2876"/>
      <c r="AI121" s="2876"/>
      <c r="AJ121" s="2876">
        <f>SUM(AJ118:AJ120)</f>
        <v>0</v>
      </c>
      <c r="AK121" s="2876"/>
      <c r="AL121" s="2876"/>
      <c r="AM121" s="2876">
        <f>SUM(AM118:AM120)</f>
        <v>0</v>
      </c>
      <c r="AN121" s="2876"/>
      <c r="AO121" s="2876"/>
      <c r="AP121" s="1354"/>
      <c r="AQ121" s="2892">
        <f>SUM(AQ118:AQ120)</f>
        <v>0</v>
      </c>
      <c r="AR121" s="2893"/>
      <c r="AS121" s="2894"/>
      <c r="AT121" s="1290"/>
      <c r="AU121" s="2892">
        <f>SUM(AU118:AU120)</f>
        <v>0</v>
      </c>
      <c r="AV121" s="2893"/>
      <c r="AW121" s="2894"/>
      <c r="AX121" s="27"/>
      <c r="AY121" s="1268"/>
      <c r="AZ121" s="352"/>
      <c r="BA121" s="352"/>
      <c r="BB121" s="352"/>
      <c r="BC121" s="352"/>
      <c r="BD121" s="352"/>
      <c r="BE121" s="352"/>
      <c r="BF121" s="352"/>
      <c r="BG121" s="352"/>
      <c r="BH121" s="352"/>
      <c r="BI121" s="352"/>
      <c r="BJ121" s="352"/>
      <c r="BK121" s="352"/>
      <c r="BL121" s="352"/>
      <c r="BM121" s="352"/>
      <c r="BN121" s="352"/>
      <c r="BO121" s="352"/>
      <c r="BP121" s="331"/>
      <c r="BQ121" s="331"/>
      <c r="BR121" s="331"/>
      <c r="BS121" s="331"/>
    </row>
    <row r="122" spans="1:71" ht="14.4" x14ac:dyDescent="0.3">
      <c r="A122" s="9"/>
      <c r="B122" s="1161" t="s">
        <v>200</v>
      </c>
      <c r="C122" s="1161"/>
      <c r="D122" s="1161"/>
      <c r="E122" s="1161"/>
      <c r="F122" s="1161"/>
      <c r="G122" s="1161"/>
      <c r="H122" s="1161"/>
      <c r="I122" s="1161"/>
      <c r="J122" s="1161"/>
      <c r="K122" s="1161"/>
      <c r="L122" s="2872">
        <f>IFERROR(L121/DASHBOARD!$AZ$87,0)</f>
        <v>2.4470937257636098</v>
      </c>
      <c r="M122" s="2872"/>
      <c r="N122" s="2872"/>
      <c r="O122" s="2872">
        <f>IFERROR(O121/DASHBOARD!$AZ$87,0)</f>
        <v>0</v>
      </c>
      <c r="P122" s="2872"/>
      <c r="Q122" s="2872"/>
      <c r="R122" s="2872">
        <f>IFERROR(R121/DASHBOARD!$AZ$87,0)</f>
        <v>0</v>
      </c>
      <c r="S122" s="2872"/>
      <c r="T122" s="2872"/>
      <c r="U122" s="2872">
        <f>IFERROR(U121/DASHBOARD!$AZ$87,0)</f>
        <v>0</v>
      </c>
      <c r="V122" s="2872"/>
      <c r="W122" s="2872"/>
      <c r="X122" s="2872">
        <f>IFERROR(X121/DASHBOARD!$AZ$87,0)</f>
        <v>0</v>
      </c>
      <c r="Y122" s="2872"/>
      <c r="Z122" s="2872"/>
      <c r="AA122" s="2872">
        <f>IFERROR(AA121/DASHBOARD!$AZ$87,0)</f>
        <v>0</v>
      </c>
      <c r="AB122" s="2872"/>
      <c r="AC122" s="2872"/>
      <c r="AD122" s="2872">
        <f>IFERROR(AD121/DASHBOARD!$AZ$87,0)</f>
        <v>0</v>
      </c>
      <c r="AE122" s="2872"/>
      <c r="AF122" s="2872"/>
      <c r="AG122" s="2872">
        <f>IFERROR(AG121/DASHBOARD!$AZ$87,0)</f>
        <v>0</v>
      </c>
      <c r="AH122" s="2872"/>
      <c r="AI122" s="2872"/>
      <c r="AJ122" s="2872">
        <f>IFERROR(AJ121/DASHBOARD!$AZ$87,0)</f>
        <v>0</v>
      </c>
      <c r="AK122" s="2872"/>
      <c r="AL122" s="2872"/>
      <c r="AM122" s="2872">
        <f>IFERROR(AM121/DASHBOARD!$AZ$87,0)</f>
        <v>0</v>
      </c>
      <c r="AN122" s="2872"/>
      <c r="AO122" s="2872"/>
      <c r="AP122" s="1162"/>
      <c r="AQ122" s="2895">
        <f>IFERROR(AQ121/DASHBOARD!$AZ$87,0)</f>
        <v>0</v>
      </c>
      <c r="AR122" s="2896"/>
      <c r="AS122" s="2897"/>
      <c r="AT122" s="1163"/>
      <c r="AU122" s="2895">
        <f>IFERROR(AU121/DASHBOARD!$AZ$87,0)</f>
        <v>0</v>
      </c>
      <c r="AV122" s="2896"/>
      <c r="AW122" s="2897"/>
      <c r="AX122" s="8"/>
      <c r="AY122" s="277"/>
      <c r="BP122" s="349"/>
      <c r="BQ122" s="349"/>
      <c r="BR122" s="349"/>
      <c r="BS122" s="349"/>
    </row>
    <row r="123" spans="1:71" ht="15" thickBot="1" x14ac:dyDescent="0.35">
      <c r="A123" s="196"/>
      <c r="B123" s="1277" t="s">
        <v>87</v>
      </c>
      <c r="C123" s="1277"/>
      <c r="D123" s="1277"/>
      <c r="E123" s="1277"/>
      <c r="F123" s="1277"/>
      <c r="G123" s="1277"/>
      <c r="H123" s="1277"/>
      <c r="I123" s="1277"/>
      <c r="J123" s="1277"/>
      <c r="K123" s="1277"/>
      <c r="L123" s="2873">
        <f>IFERROR(L121/12,0)</f>
        <v>1437.5341666666666</v>
      </c>
      <c r="M123" s="2873"/>
      <c r="N123" s="2873"/>
      <c r="O123" s="2873">
        <f>IFERROR(O121/12,0)</f>
        <v>0</v>
      </c>
      <c r="P123" s="2873"/>
      <c r="Q123" s="2873"/>
      <c r="R123" s="2873">
        <f>IFERROR(R121/12,0)</f>
        <v>0</v>
      </c>
      <c r="S123" s="2873"/>
      <c r="T123" s="2873"/>
      <c r="U123" s="2873">
        <f>IFERROR(U121/12,0)</f>
        <v>0</v>
      </c>
      <c r="V123" s="2873"/>
      <c r="W123" s="2873"/>
      <c r="X123" s="2873">
        <f>IFERROR(X121/12,0)</f>
        <v>0</v>
      </c>
      <c r="Y123" s="2873"/>
      <c r="Z123" s="2873"/>
      <c r="AA123" s="2873">
        <f>IFERROR(AA121/12,0)</f>
        <v>0</v>
      </c>
      <c r="AB123" s="2873"/>
      <c r="AC123" s="2873"/>
      <c r="AD123" s="2873">
        <f>IFERROR(AD121/12,0)</f>
        <v>0</v>
      </c>
      <c r="AE123" s="2873"/>
      <c r="AF123" s="2873"/>
      <c r="AG123" s="2873">
        <f>IFERROR(AG121/12,0)</f>
        <v>0</v>
      </c>
      <c r="AH123" s="2873"/>
      <c r="AI123" s="2873"/>
      <c r="AJ123" s="2873">
        <f>IFERROR(AJ121/12,0)</f>
        <v>0</v>
      </c>
      <c r="AK123" s="2873"/>
      <c r="AL123" s="2873"/>
      <c r="AM123" s="2873">
        <f>IFERROR(AM121/12,0)</f>
        <v>0</v>
      </c>
      <c r="AN123" s="2873"/>
      <c r="AO123" s="2873"/>
      <c r="AP123" s="1277"/>
      <c r="AQ123" s="2898">
        <f>IFERROR(AQ121/12,0)</f>
        <v>0</v>
      </c>
      <c r="AR123" s="2899"/>
      <c r="AS123" s="2900"/>
      <c r="AT123" s="1355"/>
      <c r="AU123" s="2898">
        <f>IFERROR(AU121/12,0)</f>
        <v>0</v>
      </c>
      <c r="AV123" s="2899"/>
      <c r="AW123" s="2900"/>
      <c r="AX123" s="1356"/>
      <c r="AY123" s="1267"/>
      <c r="AZ123" s="349"/>
      <c r="BA123" s="349"/>
      <c r="BB123" s="349"/>
      <c r="BC123" s="349"/>
      <c r="BD123" s="349"/>
      <c r="BE123" s="349"/>
      <c r="BF123" s="349"/>
      <c r="BG123" s="349"/>
      <c r="BH123" s="349"/>
      <c r="BI123" s="349"/>
      <c r="BJ123" s="349"/>
      <c r="BK123" s="349"/>
      <c r="BL123" s="349"/>
      <c r="BM123" s="349"/>
      <c r="BN123" s="349"/>
      <c r="BO123" s="349"/>
    </row>
    <row r="124" spans="1:71" x14ac:dyDescent="0.25">
      <c r="A124" s="9"/>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1296"/>
      <c r="AR124" s="1296"/>
      <c r="AS124" s="1296"/>
      <c r="AT124" s="8"/>
      <c r="AU124" s="1296"/>
      <c r="AV124" s="1296"/>
      <c r="AW124" s="1296"/>
      <c r="AX124" s="8"/>
      <c r="AY124" s="797"/>
    </row>
    <row r="125" spans="1:71" x14ac:dyDescent="0.25">
      <c r="A125" s="9"/>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1296"/>
      <c r="AR125" s="1296"/>
      <c r="AS125" s="1296"/>
      <c r="AT125" s="8"/>
      <c r="AU125" s="1296"/>
      <c r="AV125" s="1296"/>
      <c r="AW125" s="1296"/>
      <c r="AX125" s="8"/>
      <c r="AY125" s="797"/>
    </row>
    <row r="126" spans="1:71" x14ac:dyDescent="0.25">
      <c r="A126" s="9"/>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1296"/>
      <c r="AR126" s="1296"/>
      <c r="AS126" s="1296"/>
      <c r="AT126" s="8"/>
      <c r="AU126" s="1296"/>
      <c r="AV126" s="1296"/>
      <c r="AW126" s="1296"/>
      <c r="AX126" s="8"/>
      <c r="AY126" s="797"/>
    </row>
    <row r="127" spans="1:71" x14ac:dyDescent="0.25">
      <c r="A127" s="9"/>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1296"/>
      <c r="AR127" s="1296"/>
      <c r="AS127" s="1296"/>
      <c r="AT127" s="8"/>
      <c r="AU127" s="1296"/>
      <c r="AV127" s="1296"/>
      <c r="AW127" s="1296"/>
      <c r="AX127" s="8"/>
      <c r="AY127" s="797"/>
    </row>
    <row r="128" spans="1:71" x14ac:dyDescent="0.25">
      <c r="A128" s="9"/>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1296"/>
      <c r="AR128" s="1296"/>
      <c r="AS128" s="1296"/>
      <c r="AT128" s="8"/>
      <c r="AU128" s="1296"/>
      <c r="AV128" s="1296"/>
      <c r="AW128" s="1296"/>
      <c r="AX128" s="8"/>
      <c r="AY128" s="797"/>
    </row>
    <row r="129" spans="1:71" x14ac:dyDescent="0.25">
      <c r="A129" s="9"/>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1296"/>
      <c r="AR129" s="1296"/>
      <c r="AS129" s="1296"/>
      <c r="AT129" s="8"/>
      <c r="AU129" s="1296"/>
      <c r="AV129" s="1296"/>
      <c r="AW129" s="1296"/>
      <c r="AX129" s="8"/>
      <c r="AY129" s="797"/>
    </row>
    <row r="130" spans="1:71" x14ac:dyDescent="0.25">
      <c r="A130" s="9"/>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1296"/>
      <c r="AR130" s="1296"/>
      <c r="AS130" s="1296"/>
      <c r="AT130" s="8"/>
      <c r="AU130" s="1296"/>
      <c r="AV130" s="1296"/>
      <c r="AW130" s="1296"/>
      <c r="AX130" s="8"/>
      <c r="AY130" s="797"/>
    </row>
    <row r="131" spans="1:71" x14ac:dyDescent="0.25">
      <c r="A131" s="9"/>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1296"/>
      <c r="AR131" s="1296"/>
      <c r="AS131" s="1296"/>
      <c r="AT131" s="8"/>
      <c r="AU131" s="1296"/>
      <c r="AV131" s="1296"/>
      <c r="AW131" s="1296"/>
      <c r="AX131" s="8"/>
      <c r="AY131" s="797"/>
    </row>
    <row r="132" spans="1:71" x14ac:dyDescent="0.25">
      <c r="A132" s="9"/>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1296"/>
      <c r="AR132" s="1296"/>
      <c r="AS132" s="1296"/>
      <c r="AT132" s="8"/>
      <c r="AU132" s="1296"/>
      <c r="AV132" s="1296"/>
      <c r="AW132" s="1296"/>
      <c r="AX132" s="8"/>
      <c r="AY132" s="797"/>
    </row>
    <row r="133" spans="1:71" x14ac:dyDescent="0.25">
      <c r="A133" s="9"/>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1296"/>
      <c r="AR133" s="1296"/>
      <c r="AS133" s="1296"/>
      <c r="AT133" s="8"/>
      <c r="AU133" s="1296"/>
      <c r="AV133" s="1296"/>
      <c r="AW133" s="1296"/>
      <c r="AX133" s="8"/>
      <c r="AY133" s="797"/>
    </row>
    <row r="134" spans="1:71" x14ac:dyDescent="0.25">
      <c r="A134" s="9"/>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1296"/>
      <c r="AR134" s="1296"/>
      <c r="AS134" s="1296"/>
      <c r="AT134" s="8"/>
      <c r="AU134" s="1296"/>
      <c r="AV134" s="1296"/>
      <c r="AW134" s="1296"/>
      <c r="AX134" s="8"/>
      <c r="AY134" s="797"/>
    </row>
    <row r="135" spans="1:71" x14ac:dyDescent="0.25">
      <c r="A135" s="9"/>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1296"/>
      <c r="AR135" s="1296"/>
      <c r="AS135" s="1296"/>
      <c r="AT135" s="8"/>
      <c r="AU135" s="1296"/>
      <c r="AV135" s="1296"/>
      <c r="AW135" s="1296"/>
      <c r="AX135" s="8"/>
      <c r="AY135" s="797"/>
    </row>
    <row r="136" spans="1:71" x14ac:dyDescent="0.25">
      <c r="A136" s="9"/>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1296"/>
      <c r="AR136" s="1296"/>
      <c r="AS136" s="1296"/>
      <c r="AT136" s="8"/>
      <c r="AU136" s="1296"/>
      <c r="AV136" s="1296"/>
      <c r="AW136" s="1296"/>
      <c r="AX136" s="8"/>
      <c r="AY136" s="797"/>
    </row>
    <row r="137" spans="1:71" x14ac:dyDescent="0.25">
      <c r="A137" s="9"/>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1296"/>
      <c r="AR137" s="1296"/>
      <c r="AS137" s="1296"/>
      <c r="AT137" s="8"/>
      <c r="AU137" s="1296"/>
      <c r="AV137" s="1296"/>
      <c r="AW137" s="1296"/>
      <c r="AX137" s="8"/>
      <c r="AY137" s="797"/>
    </row>
    <row r="138" spans="1:71" x14ac:dyDescent="0.25">
      <c r="A138" s="9"/>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1296"/>
      <c r="AR138" s="1296"/>
      <c r="AS138" s="1296"/>
      <c r="AT138" s="8"/>
      <c r="AU138" s="1296"/>
      <c r="AV138" s="1296"/>
      <c r="AW138" s="1296"/>
      <c r="AX138" s="8"/>
      <c r="AY138" s="797"/>
    </row>
    <row r="139" spans="1:71" x14ac:dyDescent="0.25">
      <c r="A139" s="9"/>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1296"/>
      <c r="AR139" s="1296"/>
      <c r="AS139" s="1296"/>
      <c r="AT139" s="8"/>
      <c r="AU139" s="1296"/>
      <c r="AV139" s="1296"/>
      <c r="AW139" s="1296"/>
      <c r="AX139" s="8"/>
      <c r="AY139" s="797"/>
    </row>
    <row r="140" spans="1:71" s="1242" customFormat="1" ht="15" customHeight="1" x14ac:dyDescent="0.25">
      <c r="A140" s="9"/>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1296"/>
      <c r="AR140" s="1296"/>
      <c r="AS140" s="1296"/>
      <c r="AT140" s="8"/>
      <c r="AU140" s="1296"/>
      <c r="AV140" s="1296"/>
      <c r="AW140" s="1296"/>
      <c r="AX140" s="8"/>
      <c r="AY140" s="797"/>
      <c r="AZ140" s="331"/>
      <c r="BA140" s="331"/>
      <c r="BB140" s="331"/>
      <c r="BC140" s="331"/>
      <c r="BD140" s="331"/>
      <c r="BE140" s="331"/>
      <c r="BF140" s="331"/>
      <c r="BG140" s="331"/>
      <c r="BH140" s="331"/>
      <c r="BI140" s="331"/>
      <c r="BJ140" s="331"/>
      <c r="BK140" s="331"/>
      <c r="BL140" s="331"/>
      <c r="BM140" s="331"/>
      <c r="BN140" s="331"/>
      <c r="BO140" s="331"/>
      <c r="BP140" s="331"/>
      <c r="BQ140" s="331"/>
      <c r="BR140" s="331"/>
      <c r="BS140" s="331"/>
    </row>
    <row r="141" spans="1:71" x14ac:dyDescent="0.25">
      <c r="A141" s="9"/>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1296"/>
      <c r="AT141" s="1296"/>
      <c r="AU141" s="1296"/>
      <c r="AV141" s="8"/>
      <c r="AW141" s="8"/>
      <c r="AX141" s="8"/>
      <c r="AY141" s="797"/>
      <c r="BP141" s="1242"/>
      <c r="BQ141" s="1242"/>
      <c r="BR141" s="1242"/>
      <c r="BS141" s="1242"/>
    </row>
    <row r="142" spans="1:71" x14ac:dyDescent="0.25">
      <c r="A142" s="173" t="str">
        <f>DISCLAIMER!$A$35</f>
        <v>© 2025 by WinsWithMike.com or Michael Forsberg Nampa, Idaho. All rights reserved</v>
      </c>
      <c r="B142" s="811"/>
      <c r="C142" s="811"/>
      <c r="D142" s="811"/>
      <c r="E142" s="811"/>
      <c r="F142" s="811"/>
      <c r="G142" s="811"/>
      <c r="H142" s="811"/>
      <c r="I142" s="811"/>
      <c r="J142" s="811"/>
      <c r="K142" s="811"/>
      <c r="L142" s="811"/>
      <c r="M142" s="811"/>
      <c r="N142" s="811"/>
      <c r="O142" s="811"/>
      <c r="P142" s="811"/>
      <c r="Q142" s="811"/>
      <c r="R142" s="811"/>
      <c r="S142" s="811"/>
      <c r="T142" s="811"/>
      <c r="U142" s="811"/>
      <c r="V142" s="811"/>
      <c r="W142" s="811"/>
      <c r="X142" s="811"/>
      <c r="Y142" s="811"/>
      <c r="Z142" s="811"/>
      <c r="AA142" s="811"/>
      <c r="AB142" s="811"/>
      <c r="AC142" s="811"/>
      <c r="AD142" s="811"/>
      <c r="AE142" s="811"/>
      <c r="AF142" s="811"/>
      <c r="AG142" s="811"/>
      <c r="AH142" s="811"/>
      <c r="AI142" s="811"/>
      <c r="AJ142" s="811"/>
      <c r="AK142" s="811"/>
      <c r="AL142" s="811"/>
      <c r="AM142" s="811"/>
      <c r="AN142" s="811"/>
      <c r="AO142" s="811"/>
      <c r="AP142" s="811"/>
      <c r="AQ142" s="811"/>
      <c r="AR142" s="811"/>
      <c r="AS142" s="1297"/>
      <c r="AT142" s="1297"/>
      <c r="AU142" s="1297"/>
      <c r="AV142" s="811"/>
      <c r="AW142" s="811"/>
      <c r="AX142" s="811"/>
      <c r="AY142" s="1269"/>
      <c r="AZ142" s="1241"/>
      <c r="BA142" s="1242"/>
      <c r="BB142" s="1242"/>
      <c r="BC142" s="1242"/>
      <c r="BD142" s="1242"/>
      <c r="BE142" s="1242"/>
      <c r="BF142" s="1242"/>
      <c r="BG142" s="1242"/>
      <c r="BH142" s="1242"/>
      <c r="BI142" s="1242"/>
      <c r="BJ142" s="1242"/>
      <c r="BK142" s="1242"/>
      <c r="BL142" s="1242"/>
      <c r="BM142" s="1242"/>
      <c r="BN142" s="1242"/>
      <c r="BO142" s="1242"/>
    </row>
    <row r="143" spans="1:71" x14ac:dyDescent="0.25">
      <c r="B143" s="1246"/>
      <c r="C143" s="1246"/>
      <c r="D143" s="1246"/>
      <c r="E143" s="1246"/>
      <c r="F143" s="1246"/>
      <c r="G143" s="1246"/>
      <c r="H143" s="1246"/>
      <c r="I143" s="1246"/>
      <c r="J143" s="1246"/>
      <c r="K143" s="1246"/>
      <c r="L143" s="1246"/>
      <c r="M143" s="1246"/>
      <c r="N143" s="1246"/>
      <c r="O143" s="1246"/>
      <c r="P143" s="1246"/>
      <c r="Q143" s="1246"/>
      <c r="R143" s="1246"/>
      <c r="S143" s="1246"/>
      <c r="T143" s="1246"/>
      <c r="U143" s="1246"/>
      <c r="V143" s="1246"/>
      <c r="W143" s="1246"/>
      <c r="X143" s="1246"/>
      <c r="Y143" s="1246"/>
      <c r="Z143" s="1246"/>
      <c r="AA143" s="1246"/>
      <c r="AB143" s="1246"/>
      <c r="AC143" s="1246"/>
      <c r="AD143" s="1246"/>
      <c r="AE143" s="1246"/>
      <c r="AF143" s="1246"/>
      <c r="AG143" s="1246"/>
      <c r="AH143" s="1246"/>
      <c r="AI143" s="1246"/>
      <c r="AJ143" s="1246"/>
      <c r="AK143" s="1246"/>
      <c r="AL143" s="1246"/>
      <c r="AM143" s="1246"/>
      <c r="AN143" s="1246"/>
      <c r="AO143" s="1246"/>
      <c r="AP143" s="1246"/>
      <c r="AQ143" s="1246"/>
      <c r="AR143" s="1246"/>
      <c r="AS143" s="1298"/>
      <c r="AT143" s="1298"/>
      <c r="AU143" s="1298"/>
      <c r="AV143" s="1246"/>
      <c r="AW143" s="1246"/>
      <c r="AX143" s="1246"/>
      <c r="AY143" s="1270"/>
    </row>
    <row r="144" spans="1:71" x14ac:dyDescent="0.25">
      <c r="B144" s="1246"/>
      <c r="C144" s="1246"/>
      <c r="D144" s="1246"/>
      <c r="E144" s="1246"/>
      <c r="F144" s="1246"/>
      <c r="G144" s="1246"/>
      <c r="H144" s="1246"/>
      <c r="I144" s="1246"/>
      <c r="J144" s="1246"/>
      <c r="K144" s="1246"/>
      <c r="L144" s="1246"/>
      <c r="M144" s="1246"/>
      <c r="N144" s="1246"/>
      <c r="O144" s="1246"/>
      <c r="P144" s="1246"/>
      <c r="Q144" s="1246"/>
      <c r="R144" s="1246"/>
      <c r="S144" s="1246"/>
      <c r="T144" s="1246"/>
      <c r="U144" s="1246"/>
      <c r="V144" s="1246"/>
      <c r="W144" s="1246"/>
      <c r="X144" s="1246"/>
      <c r="Y144" s="1246"/>
      <c r="Z144" s="1246"/>
      <c r="AA144" s="1246"/>
      <c r="AB144" s="1246"/>
      <c r="AC144" s="1246"/>
      <c r="AD144" s="1246"/>
      <c r="AE144" s="1246"/>
      <c r="AF144" s="1246"/>
      <c r="AG144" s="1246"/>
      <c r="AH144" s="1246"/>
      <c r="AI144" s="1246"/>
      <c r="AJ144" s="1246"/>
      <c r="AK144" s="1246"/>
      <c r="AL144" s="1246"/>
      <c r="AM144" s="1246"/>
      <c r="AN144" s="1246"/>
      <c r="AO144" s="1246"/>
      <c r="AP144" s="1246"/>
      <c r="AQ144" s="1246"/>
      <c r="AR144" s="1246"/>
      <c r="AS144" s="1298"/>
      <c r="AT144" s="1298"/>
      <c r="AU144" s="1298"/>
      <c r="AV144" s="1246"/>
      <c r="AW144" s="1246"/>
      <c r="AX144" s="1246"/>
      <c r="AY144" s="1270"/>
    </row>
    <row r="145" spans="2:51" x14ac:dyDescent="0.25">
      <c r="B145" s="1246"/>
      <c r="C145" s="1246"/>
      <c r="D145" s="1246"/>
      <c r="E145" s="1246"/>
      <c r="F145" s="1246"/>
      <c r="G145" s="1246"/>
      <c r="H145" s="1246"/>
      <c r="I145" s="1246"/>
      <c r="J145" s="1246"/>
      <c r="K145" s="1246"/>
      <c r="L145" s="1246"/>
      <c r="M145" s="1246"/>
      <c r="N145" s="1246"/>
      <c r="O145" s="1246"/>
      <c r="P145" s="1246"/>
      <c r="Q145" s="1246"/>
      <c r="R145" s="1246"/>
      <c r="S145" s="1246"/>
      <c r="T145" s="1246"/>
      <c r="U145" s="1246"/>
      <c r="V145" s="1246"/>
      <c r="W145" s="1246"/>
      <c r="X145" s="1246"/>
      <c r="Y145" s="1246"/>
      <c r="Z145" s="1246"/>
      <c r="AA145" s="1246"/>
      <c r="AB145" s="1246"/>
      <c r="AC145" s="1246"/>
      <c r="AD145" s="1246"/>
      <c r="AE145" s="1246"/>
      <c r="AF145" s="1246"/>
      <c r="AG145" s="1246"/>
      <c r="AH145" s="1246"/>
      <c r="AI145" s="1246"/>
      <c r="AJ145" s="1246"/>
      <c r="AK145" s="1246"/>
      <c r="AL145" s="1246"/>
      <c r="AM145" s="1246"/>
      <c r="AN145" s="1246"/>
      <c r="AO145" s="1246"/>
      <c r="AP145" s="1246"/>
      <c r="AQ145" s="1246"/>
      <c r="AR145" s="1246"/>
      <c r="AS145" s="1298"/>
      <c r="AT145" s="1298"/>
      <c r="AU145" s="1298"/>
      <c r="AV145" s="1246"/>
      <c r="AW145" s="1246"/>
      <c r="AX145" s="1246"/>
      <c r="AY145" s="1270"/>
    </row>
    <row r="146" spans="2:51" x14ac:dyDescent="0.25">
      <c r="B146" s="1246"/>
      <c r="C146" s="1246"/>
      <c r="D146" s="1246"/>
      <c r="E146" s="1246"/>
      <c r="F146" s="1246"/>
      <c r="G146" s="1246"/>
      <c r="H146" s="1246"/>
      <c r="I146" s="1246"/>
      <c r="J146" s="1246"/>
      <c r="K146" s="1246"/>
      <c r="L146" s="1246"/>
      <c r="M146" s="1246"/>
      <c r="N146" s="1246"/>
      <c r="O146" s="1246"/>
      <c r="P146" s="1246"/>
      <c r="Q146" s="1246"/>
      <c r="R146" s="1246"/>
      <c r="S146" s="1246"/>
      <c r="T146" s="1246"/>
      <c r="U146" s="1246"/>
      <c r="V146" s="1246"/>
      <c r="W146" s="1246"/>
      <c r="X146" s="1246"/>
      <c r="Y146" s="1246"/>
      <c r="Z146" s="1246"/>
      <c r="AA146" s="1246"/>
      <c r="AB146" s="1246"/>
      <c r="AC146" s="1246"/>
      <c r="AD146" s="1246"/>
      <c r="AE146" s="1246"/>
      <c r="AF146" s="1246"/>
      <c r="AG146" s="1246"/>
      <c r="AH146" s="1246"/>
      <c r="AI146" s="1246"/>
      <c r="AJ146" s="1246"/>
      <c r="AK146" s="1246"/>
      <c r="AL146" s="1246"/>
      <c r="AM146" s="1246"/>
      <c r="AN146" s="1246"/>
      <c r="AO146" s="1246"/>
      <c r="AP146" s="1246"/>
      <c r="AQ146" s="1246"/>
      <c r="AR146" s="1246"/>
      <c r="AS146" s="1298"/>
      <c r="AT146" s="1298"/>
      <c r="AU146" s="1298"/>
      <c r="AV146" s="1246"/>
      <c r="AW146" s="1246"/>
      <c r="AX146" s="1246"/>
      <c r="AY146" s="1270"/>
    </row>
    <row r="147" spans="2:51" x14ac:dyDescent="0.25">
      <c r="B147" s="1246"/>
      <c r="C147" s="1246"/>
      <c r="D147" s="1246"/>
      <c r="E147" s="1246"/>
      <c r="F147" s="1246"/>
      <c r="G147" s="1246"/>
      <c r="H147" s="1246"/>
      <c r="I147" s="1246"/>
      <c r="J147" s="1246"/>
      <c r="K147" s="1246"/>
      <c r="L147" s="1246"/>
      <c r="M147" s="1246"/>
      <c r="N147" s="1246"/>
      <c r="O147" s="1246"/>
      <c r="P147" s="1246"/>
      <c r="Q147" s="1246"/>
      <c r="R147" s="1246"/>
      <c r="S147" s="1246"/>
      <c r="T147" s="1246"/>
      <c r="U147" s="1246"/>
      <c r="V147" s="1246"/>
      <c r="W147" s="1246"/>
      <c r="X147" s="1246"/>
      <c r="Y147" s="1246"/>
      <c r="Z147" s="1246"/>
      <c r="AA147" s="1246"/>
      <c r="AB147" s="1246"/>
      <c r="AC147" s="1246"/>
      <c r="AD147" s="1246"/>
      <c r="AE147" s="1246"/>
      <c r="AF147" s="1246"/>
      <c r="AG147" s="1246"/>
      <c r="AH147" s="1246"/>
      <c r="AI147" s="1246"/>
      <c r="AJ147" s="1246"/>
      <c r="AK147" s="1246"/>
      <c r="AL147" s="1246"/>
      <c r="AM147" s="1246"/>
      <c r="AN147" s="1246"/>
      <c r="AO147" s="1246"/>
      <c r="AP147" s="1246"/>
      <c r="AQ147" s="1246"/>
      <c r="AR147" s="1246"/>
      <c r="AS147" s="1298"/>
      <c r="AT147" s="1298"/>
      <c r="AU147" s="1298"/>
      <c r="AV147" s="1246"/>
      <c r="AW147" s="1246"/>
      <c r="AX147" s="1246"/>
      <c r="AY147" s="1270"/>
    </row>
    <row r="148" spans="2:51" x14ac:dyDescent="0.25">
      <c r="B148" s="1246"/>
      <c r="C148" s="1246"/>
      <c r="D148" s="1246"/>
      <c r="E148" s="1246"/>
      <c r="F148" s="1246"/>
      <c r="G148" s="1246"/>
      <c r="H148" s="1246"/>
      <c r="I148" s="1246"/>
      <c r="J148" s="1246"/>
      <c r="K148" s="1246"/>
      <c r="L148" s="1246"/>
      <c r="M148" s="1246"/>
      <c r="N148" s="1246"/>
      <c r="O148" s="1246"/>
      <c r="P148" s="1246"/>
      <c r="Q148" s="1246"/>
      <c r="R148" s="1246"/>
      <c r="S148" s="1246"/>
      <c r="T148" s="1246"/>
      <c r="U148" s="1246"/>
      <c r="V148" s="1246"/>
      <c r="W148" s="1246"/>
      <c r="X148" s="1246"/>
      <c r="Y148" s="1246"/>
      <c r="Z148" s="1246"/>
      <c r="AA148" s="1246"/>
      <c r="AB148" s="1246"/>
      <c r="AC148" s="1246"/>
      <c r="AD148" s="1246"/>
      <c r="AE148" s="1246"/>
      <c r="AF148" s="1246"/>
      <c r="AG148" s="1246"/>
      <c r="AH148" s="1246"/>
      <c r="AI148" s="1246"/>
      <c r="AJ148" s="1246"/>
      <c r="AK148" s="1246"/>
      <c r="AL148" s="1246"/>
      <c r="AM148" s="1246"/>
      <c r="AN148" s="1246"/>
      <c r="AO148" s="1246"/>
      <c r="AP148" s="1246"/>
      <c r="AQ148" s="1246"/>
      <c r="AR148" s="1246"/>
      <c r="AS148" s="1298"/>
      <c r="AT148" s="1298"/>
      <c r="AU148" s="1298"/>
      <c r="AV148" s="1246"/>
      <c r="AW148" s="1246"/>
      <c r="AX148" s="1246"/>
      <c r="AY148" s="1270"/>
    </row>
    <row r="149" spans="2:51" x14ac:dyDescent="0.25">
      <c r="B149" s="1246"/>
      <c r="C149" s="1246"/>
      <c r="D149" s="1246"/>
      <c r="E149" s="1246"/>
      <c r="F149" s="1246"/>
      <c r="G149" s="1246"/>
      <c r="H149" s="1246"/>
      <c r="I149" s="1246"/>
      <c r="J149" s="1246"/>
      <c r="K149" s="1246"/>
      <c r="L149" s="1246"/>
      <c r="M149" s="1246"/>
      <c r="N149" s="1246"/>
      <c r="O149" s="1246"/>
      <c r="P149" s="1246"/>
      <c r="Q149" s="1246"/>
      <c r="R149" s="1246"/>
      <c r="S149" s="1246"/>
      <c r="T149" s="1246"/>
      <c r="U149" s="1246"/>
      <c r="V149" s="1246"/>
      <c r="W149" s="1246"/>
      <c r="X149" s="1246"/>
      <c r="Y149" s="1246"/>
      <c r="Z149" s="1246"/>
      <c r="AA149" s="1246"/>
      <c r="AB149" s="1246"/>
      <c r="AC149" s="1246"/>
      <c r="AD149" s="1246"/>
      <c r="AE149" s="1246"/>
      <c r="AF149" s="1246"/>
      <c r="AG149" s="1246"/>
      <c r="AH149" s="1246"/>
      <c r="AI149" s="1246"/>
      <c r="AJ149" s="1246"/>
      <c r="AK149" s="1246"/>
      <c r="AL149" s="1246"/>
      <c r="AM149" s="1246"/>
      <c r="AN149" s="1246"/>
      <c r="AO149" s="1246"/>
      <c r="AP149" s="1246"/>
      <c r="AQ149" s="1246"/>
      <c r="AR149" s="1246"/>
      <c r="AS149" s="1298"/>
      <c r="AT149" s="1298"/>
      <c r="AU149" s="1298"/>
      <c r="AV149" s="1246"/>
      <c r="AW149" s="1246"/>
      <c r="AX149" s="1246"/>
      <c r="AY149" s="1270"/>
    </row>
    <row r="150" spans="2:51" x14ac:dyDescent="0.25">
      <c r="B150" s="1246"/>
      <c r="C150" s="1246"/>
      <c r="D150" s="1246"/>
      <c r="E150" s="1246"/>
      <c r="F150" s="1246"/>
      <c r="G150" s="1246"/>
      <c r="H150" s="1246"/>
      <c r="I150" s="1246"/>
      <c r="J150" s="1246"/>
      <c r="K150" s="1246"/>
      <c r="L150" s="1246"/>
      <c r="M150" s="1246"/>
      <c r="N150" s="1246"/>
      <c r="O150" s="1246"/>
      <c r="P150" s="1246"/>
      <c r="Q150" s="1246"/>
      <c r="R150" s="1246"/>
      <c r="S150" s="1246"/>
      <c r="T150" s="1246"/>
      <c r="U150" s="1246"/>
      <c r="V150" s="1246"/>
      <c r="W150" s="1246"/>
      <c r="X150" s="1246"/>
      <c r="Y150" s="1246"/>
      <c r="Z150" s="1246"/>
      <c r="AA150" s="1246"/>
      <c r="AB150" s="1246"/>
      <c r="AC150" s="1246"/>
      <c r="AD150" s="1246"/>
      <c r="AE150" s="1246"/>
      <c r="AF150" s="1246"/>
      <c r="AG150" s="1246"/>
      <c r="AH150" s="1246"/>
      <c r="AI150" s="1246"/>
      <c r="AJ150" s="1246"/>
      <c r="AK150" s="1246"/>
      <c r="AL150" s="1246"/>
      <c r="AM150" s="1246"/>
      <c r="AN150" s="1246"/>
      <c r="AO150" s="1246"/>
      <c r="AP150" s="1246"/>
      <c r="AQ150" s="1246"/>
      <c r="AR150" s="1246"/>
      <c r="AS150" s="1298"/>
      <c r="AT150" s="1298"/>
      <c r="AU150" s="1298"/>
      <c r="AV150" s="1246"/>
      <c r="AW150" s="1246"/>
      <c r="AX150" s="1246"/>
      <c r="AY150" s="1270"/>
    </row>
    <row r="151" spans="2:51" x14ac:dyDescent="0.25">
      <c r="B151" s="1246"/>
      <c r="C151" s="1246"/>
      <c r="D151" s="1246"/>
      <c r="E151" s="1246"/>
      <c r="F151" s="1246"/>
      <c r="G151" s="1246"/>
      <c r="H151" s="1246"/>
      <c r="I151" s="1246"/>
      <c r="J151" s="1246"/>
      <c r="K151" s="1246"/>
      <c r="L151" s="1246"/>
      <c r="M151" s="1246"/>
      <c r="N151" s="1246"/>
      <c r="O151" s="1246"/>
      <c r="P151" s="1246"/>
      <c r="Q151" s="1246"/>
      <c r="R151" s="1246"/>
      <c r="S151" s="1246"/>
      <c r="T151" s="1246"/>
      <c r="U151" s="1246"/>
      <c r="V151" s="1246"/>
      <c r="W151" s="1246"/>
      <c r="X151" s="1246"/>
      <c r="Y151" s="1246"/>
      <c r="Z151" s="1246"/>
      <c r="AA151" s="1246"/>
      <c r="AB151" s="1246"/>
      <c r="AC151" s="1246"/>
      <c r="AD151" s="1246"/>
      <c r="AE151" s="1246"/>
      <c r="AF151" s="1246"/>
      <c r="AG151" s="1246"/>
      <c r="AH151" s="1246"/>
      <c r="AI151" s="1246"/>
      <c r="AJ151" s="1246"/>
      <c r="AK151" s="1246"/>
      <c r="AL151" s="1246"/>
      <c r="AM151" s="1246"/>
      <c r="AN151" s="1246"/>
      <c r="AO151" s="1246"/>
      <c r="AP151" s="1246"/>
      <c r="AQ151" s="1246"/>
      <c r="AR151" s="1246"/>
      <c r="AS151" s="1298"/>
      <c r="AT151" s="1298"/>
      <c r="AU151" s="1298"/>
      <c r="AV151" s="1246"/>
      <c r="AW151" s="1246"/>
      <c r="AX151" s="1246"/>
      <c r="AY151" s="1270"/>
    </row>
    <row r="152" spans="2:51" x14ac:dyDescent="0.25">
      <c r="B152" s="1246"/>
      <c r="C152" s="1246"/>
      <c r="D152" s="1246"/>
      <c r="E152" s="1246"/>
      <c r="F152" s="1246"/>
      <c r="G152" s="1246"/>
      <c r="H152" s="1246"/>
      <c r="I152" s="1246"/>
      <c r="J152" s="1246"/>
      <c r="K152" s="1246"/>
      <c r="L152" s="1246"/>
      <c r="M152" s="1246"/>
      <c r="N152" s="1246"/>
      <c r="O152" s="1246"/>
      <c r="P152" s="1246"/>
      <c r="Q152" s="1246"/>
      <c r="R152" s="1246"/>
      <c r="S152" s="1246"/>
      <c r="T152" s="1246"/>
      <c r="U152" s="1246"/>
      <c r="V152" s="1246"/>
      <c r="W152" s="1246"/>
      <c r="X152" s="1246"/>
      <c r="Y152" s="1246"/>
      <c r="Z152" s="1246"/>
      <c r="AA152" s="1246"/>
      <c r="AB152" s="1246"/>
      <c r="AC152" s="1246"/>
      <c r="AD152" s="1246"/>
      <c r="AE152" s="1246"/>
      <c r="AF152" s="1246"/>
      <c r="AG152" s="1246"/>
      <c r="AH152" s="1246"/>
      <c r="AI152" s="1246"/>
      <c r="AJ152" s="1246"/>
      <c r="AK152" s="1246"/>
      <c r="AL152" s="1246"/>
      <c r="AM152" s="1246"/>
      <c r="AN152" s="1246"/>
      <c r="AO152" s="1246"/>
      <c r="AP152" s="1246"/>
      <c r="AQ152" s="1246"/>
      <c r="AR152" s="1246"/>
      <c r="AS152" s="1298"/>
      <c r="AT152" s="1298"/>
      <c r="AU152" s="1298"/>
      <c r="AV152" s="1246"/>
      <c r="AW152" s="1246"/>
      <c r="AX152" s="1246"/>
      <c r="AY152" s="1270"/>
    </row>
    <row r="153" spans="2:51" x14ac:dyDescent="0.25">
      <c r="B153" s="1246"/>
      <c r="C153" s="1246"/>
      <c r="D153" s="1246"/>
      <c r="E153" s="1246"/>
      <c r="F153" s="1246"/>
      <c r="G153" s="1246"/>
      <c r="H153" s="1246"/>
      <c r="I153" s="1246"/>
      <c r="J153" s="1246"/>
      <c r="K153" s="1246"/>
      <c r="L153" s="1246"/>
      <c r="M153" s="1246"/>
      <c r="N153" s="1246"/>
      <c r="O153" s="1246"/>
      <c r="P153" s="1246"/>
      <c r="Q153" s="1246"/>
      <c r="R153" s="1246"/>
      <c r="S153" s="1246"/>
      <c r="T153" s="1246"/>
      <c r="U153" s="1246"/>
      <c r="V153" s="1246"/>
      <c r="W153" s="1246"/>
      <c r="X153" s="1246"/>
      <c r="Y153" s="1246"/>
      <c r="Z153" s="1246"/>
      <c r="AA153" s="1246"/>
      <c r="AB153" s="1246"/>
      <c r="AC153" s="1246"/>
      <c r="AD153" s="1246"/>
      <c r="AE153" s="1246"/>
      <c r="AF153" s="1246"/>
      <c r="AG153" s="1246"/>
      <c r="AH153" s="1246"/>
      <c r="AI153" s="1246"/>
      <c r="AJ153" s="1246"/>
      <c r="AK153" s="1246"/>
      <c r="AL153" s="1246"/>
      <c r="AM153" s="1246"/>
      <c r="AN153" s="1246"/>
      <c r="AO153" s="1246"/>
      <c r="AP153" s="1246"/>
      <c r="AQ153" s="1246"/>
      <c r="AR153" s="1246"/>
      <c r="AS153" s="1298"/>
      <c r="AT153" s="1298"/>
      <c r="AU153" s="1298"/>
      <c r="AV153" s="1246"/>
      <c r="AW153" s="1246"/>
      <c r="AX153" s="1246"/>
      <c r="AY153" s="1270"/>
    </row>
  </sheetData>
  <sheetProtection sheet="1" objects="1" scenarios="1" selectLockedCells="1"/>
  <mergeCells count="539">
    <mergeCell ref="AT6:AX6"/>
    <mergeCell ref="AG17:AI17"/>
    <mergeCell ref="AQ15:AS15"/>
    <mergeCell ref="AQ16:AS16"/>
    <mergeCell ref="AQ17:AS17"/>
    <mergeCell ref="AS4:AT4"/>
    <mergeCell ref="BC4:BD4"/>
    <mergeCell ref="AG15:AI15"/>
    <mergeCell ref="AG16:AI16"/>
    <mergeCell ref="AF9:AH9"/>
    <mergeCell ref="AF10:AH10"/>
    <mergeCell ref="AF11:AH11"/>
    <mergeCell ref="AF12:AH12"/>
    <mergeCell ref="AR9:AT9"/>
    <mergeCell ref="AR10:AT10"/>
    <mergeCell ref="AR11:AT11"/>
    <mergeCell ref="AR12:AT12"/>
    <mergeCell ref="AU118:AW118"/>
    <mergeCell ref="AU119:AW119"/>
    <mergeCell ref="AU120:AW120"/>
    <mergeCell ref="AU121:AW121"/>
    <mergeCell ref="AU122:AW122"/>
    <mergeCell ref="AU123:AW123"/>
    <mergeCell ref="AU110:AW110"/>
    <mergeCell ref="AU111:AW111"/>
    <mergeCell ref="AU112:AW112"/>
    <mergeCell ref="AU114:AW114"/>
    <mergeCell ref="AU115:AW115"/>
    <mergeCell ref="AU116:AW116"/>
    <mergeCell ref="AU80:AW80"/>
    <mergeCell ref="AU81:AW81"/>
    <mergeCell ref="AU82:AW82"/>
    <mergeCell ref="AU83:AW83"/>
    <mergeCell ref="AU107:AW107"/>
    <mergeCell ref="AU108:AW108"/>
    <mergeCell ref="AU71:AW71"/>
    <mergeCell ref="AU72:AW72"/>
    <mergeCell ref="AU74:AW74"/>
    <mergeCell ref="AU76:AW76"/>
    <mergeCell ref="AU77:AW77"/>
    <mergeCell ref="AU78:AW78"/>
    <mergeCell ref="AU40:AW40"/>
    <mergeCell ref="AU42:AW42"/>
    <mergeCell ref="AU43:AW43"/>
    <mergeCell ref="AU66:AW66"/>
    <mergeCell ref="AU67:AW67"/>
    <mergeCell ref="AU69:AW69"/>
    <mergeCell ref="AU32:AW32"/>
    <mergeCell ref="AU33:AW33"/>
    <mergeCell ref="AU35:AW35"/>
    <mergeCell ref="AU36:AW36"/>
    <mergeCell ref="AU38:AW38"/>
    <mergeCell ref="AU39:AW39"/>
    <mergeCell ref="AU23:AW23"/>
    <mergeCell ref="AU24:AW24"/>
    <mergeCell ref="AU26:AW26"/>
    <mergeCell ref="AU27:AW27"/>
    <mergeCell ref="AU29:AW29"/>
    <mergeCell ref="AU30:AW30"/>
    <mergeCell ref="AQ118:AS118"/>
    <mergeCell ref="AQ119:AS119"/>
    <mergeCell ref="AQ120:AS120"/>
    <mergeCell ref="AQ80:AS80"/>
    <mergeCell ref="AQ81:AS81"/>
    <mergeCell ref="AQ82:AS82"/>
    <mergeCell ref="AQ83:AS83"/>
    <mergeCell ref="AQ107:AS107"/>
    <mergeCell ref="AQ108:AS108"/>
    <mergeCell ref="AQ71:AS71"/>
    <mergeCell ref="AQ72:AS72"/>
    <mergeCell ref="AQ74:AS74"/>
    <mergeCell ref="AQ76:AS76"/>
    <mergeCell ref="AQ77:AS77"/>
    <mergeCell ref="AQ78:AS78"/>
    <mergeCell ref="AQ40:AS40"/>
    <mergeCell ref="AQ42:AS42"/>
    <mergeCell ref="AQ43:AS43"/>
    <mergeCell ref="AQ121:AS121"/>
    <mergeCell ref="AQ122:AS122"/>
    <mergeCell ref="AQ123:AS123"/>
    <mergeCell ref="AQ110:AS110"/>
    <mergeCell ref="AQ111:AS111"/>
    <mergeCell ref="AQ112:AS112"/>
    <mergeCell ref="AQ114:AS114"/>
    <mergeCell ref="AQ115:AS115"/>
    <mergeCell ref="AQ116:AS116"/>
    <mergeCell ref="AQ66:AS66"/>
    <mergeCell ref="AQ67:AS67"/>
    <mergeCell ref="AQ69:AS69"/>
    <mergeCell ref="AQ32:AS32"/>
    <mergeCell ref="AQ33:AS33"/>
    <mergeCell ref="AQ35:AS35"/>
    <mergeCell ref="AQ36:AS36"/>
    <mergeCell ref="AQ38:AS38"/>
    <mergeCell ref="AQ39:AS39"/>
    <mergeCell ref="AQ23:AS23"/>
    <mergeCell ref="AQ24:AS24"/>
    <mergeCell ref="AQ26:AS26"/>
    <mergeCell ref="AQ27:AS27"/>
    <mergeCell ref="AQ29:AS29"/>
    <mergeCell ref="AQ30:AS30"/>
    <mergeCell ref="AM118:AO118"/>
    <mergeCell ref="AM119:AO119"/>
    <mergeCell ref="AM120:AO120"/>
    <mergeCell ref="AM80:AO80"/>
    <mergeCell ref="AM81:AO81"/>
    <mergeCell ref="AM82:AO82"/>
    <mergeCell ref="AM83:AO83"/>
    <mergeCell ref="AM107:AO107"/>
    <mergeCell ref="AM108:AO108"/>
    <mergeCell ref="AM71:AO71"/>
    <mergeCell ref="AM72:AO72"/>
    <mergeCell ref="AM74:AO74"/>
    <mergeCell ref="AM76:AO76"/>
    <mergeCell ref="AM77:AO77"/>
    <mergeCell ref="AM78:AO78"/>
    <mergeCell ref="AM40:AO40"/>
    <mergeCell ref="AM42:AO42"/>
    <mergeCell ref="AM43:AO43"/>
    <mergeCell ref="AM121:AO121"/>
    <mergeCell ref="AM122:AO122"/>
    <mergeCell ref="AM123:AO123"/>
    <mergeCell ref="AM110:AO110"/>
    <mergeCell ref="AM111:AO111"/>
    <mergeCell ref="AM112:AO112"/>
    <mergeCell ref="AM114:AO114"/>
    <mergeCell ref="AM115:AO115"/>
    <mergeCell ref="AM116:AO116"/>
    <mergeCell ref="AM66:AO66"/>
    <mergeCell ref="AM67:AO67"/>
    <mergeCell ref="AM69:AO69"/>
    <mergeCell ref="AM32:AO32"/>
    <mergeCell ref="AM33:AO33"/>
    <mergeCell ref="AM35:AO35"/>
    <mergeCell ref="AM36:AO36"/>
    <mergeCell ref="AM38:AO38"/>
    <mergeCell ref="AM39:AO39"/>
    <mergeCell ref="AM23:AO23"/>
    <mergeCell ref="AM24:AO24"/>
    <mergeCell ref="AM26:AO26"/>
    <mergeCell ref="AM27:AO27"/>
    <mergeCell ref="AM29:AO29"/>
    <mergeCell ref="AM30:AO30"/>
    <mergeCell ref="AJ118:AL118"/>
    <mergeCell ref="AJ119:AL119"/>
    <mergeCell ref="AJ120:AL120"/>
    <mergeCell ref="AJ80:AL80"/>
    <mergeCell ref="AJ81:AL81"/>
    <mergeCell ref="AJ82:AL82"/>
    <mergeCell ref="AJ83:AL83"/>
    <mergeCell ref="AJ107:AL107"/>
    <mergeCell ref="AJ108:AL108"/>
    <mergeCell ref="AJ71:AL71"/>
    <mergeCell ref="AJ72:AL72"/>
    <mergeCell ref="AJ74:AL74"/>
    <mergeCell ref="AJ76:AL76"/>
    <mergeCell ref="AJ77:AL77"/>
    <mergeCell ref="AJ78:AL78"/>
    <mergeCell ref="AJ40:AL40"/>
    <mergeCell ref="AJ42:AL42"/>
    <mergeCell ref="AJ43:AL43"/>
    <mergeCell ref="AJ121:AL121"/>
    <mergeCell ref="AJ122:AL122"/>
    <mergeCell ref="AJ123:AL123"/>
    <mergeCell ref="AJ110:AL110"/>
    <mergeCell ref="AJ111:AL111"/>
    <mergeCell ref="AJ112:AL112"/>
    <mergeCell ref="AJ114:AL114"/>
    <mergeCell ref="AJ115:AL115"/>
    <mergeCell ref="AJ116:AL116"/>
    <mergeCell ref="AJ66:AL66"/>
    <mergeCell ref="AJ67:AL67"/>
    <mergeCell ref="AJ69:AL69"/>
    <mergeCell ref="AJ32:AL32"/>
    <mergeCell ref="AJ33:AL33"/>
    <mergeCell ref="AJ35:AL35"/>
    <mergeCell ref="AJ36:AL36"/>
    <mergeCell ref="AJ38:AL38"/>
    <mergeCell ref="AJ39:AL39"/>
    <mergeCell ref="AJ23:AL23"/>
    <mergeCell ref="AJ24:AL24"/>
    <mergeCell ref="AJ26:AL26"/>
    <mergeCell ref="AJ27:AL27"/>
    <mergeCell ref="AJ29:AL29"/>
    <mergeCell ref="AJ30:AL30"/>
    <mergeCell ref="AG118:AI118"/>
    <mergeCell ref="AG119:AI119"/>
    <mergeCell ref="AG120:AI120"/>
    <mergeCell ref="AG80:AI80"/>
    <mergeCell ref="AG81:AI81"/>
    <mergeCell ref="AG82:AI82"/>
    <mergeCell ref="AG83:AI83"/>
    <mergeCell ref="AG107:AI107"/>
    <mergeCell ref="AG108:AI108"/>
    <mergeCell ref="AG71:AI71"/>
    <mergeCell ref="AG72:AI72"/>
    <mergeCell ref="AG74:AI74"/>
    <mergeCell ref="AG76:AI76"/>
    <mergeCell ref="AG77:AI77"/>
    <mergeCell ref="AG78:AI78"/>
    <mergeCell ref="AG40:AI40"/>
    <mergeCell ref="AG42:AI42"/>
    <mergeCell ref="AG43:AI43"/>
    <mergeCell ref="AG121:AI121"/>
    <mergeCell ref="AG122:AI122"/>
    <mergeCell ref="AG123:AI123"/>
    <mergeCell ref="AG110:AI110"/>
    <mergeCell ref="AG111:AI111"/>
    <mergeCell ref="AG112:AI112"/>
    <mergeCell ref="AG114:AI114"/>
    <mergeCell ref="AG115:AI115"/>
    <mergeCell ref="AG116:AI116"/>
    <mergeCell ref="AG66:AI66"/>
    <mergeCell ref="AG67:AI67"/>
    <mergeCell ref="AG69:AI69"/>
    <mergeCell ref="AG32:AI32"/>
    <mergeCell ref="AG33:AI33"/>
    <mergeCell ref="AG35:AI35"/>
    <mergeCell ref="AG36:AI36"/>
    <mergeCell ref="AG38:AI38"/>
    <mergeCell ref="AG39:AI39"/>
    <mergeCell ref="AG23:AI23"/>
    <mergeCell ref="AG24:AI24"/>
    <mergeCell ref="AG26:AI26"/>
    <mergeCell ref="AG27:AI27"/>
    <mergeCell ref="AG29:AI29"/>
    <mergeCell ref="AG30:AI30"/>
    <mergeCell ref="AD118:AF118"/>
    <mergeCell ref="AD119:AF119"/>
    <mergeCell ref="AD120:AF120"/>
    <mergeCell ref="AD80:AF80"/>
    <mergeCell ref="AD81:AF81"/>
    <mergeCell ref="AD82:AF82"/>
    <mergeCell ref="AD83:AF83"/>
    <mergeCell ref="AD107:AF107"/>
    <mergeCell ref="AD108:AF108"/>
    <mergeCell ref="AD71:AF71"/>
    <mergeCell ref="AD72:AF72"/>
    <mergeCell ref="AD74:AF74"/>
    <mergeCell ref="AD76:AF76"/>
    <mergeCell ref="AD77:AF77"/>
    <mergeCell ref="AD78:AF78"/>
    <mergeCell ref="AD40:AF40"/>
    <mergeCell ref="AD42:AF42"/>
    <mergeCell ref="AD43:AF43"/>
    <mergeCell ref="AD121:AF121"/>
    <mergeCell ref="AD122:AF122"/>
    <mergeCell ref="AD123:AF123"/>
    <mergeCell ref="AD110:AF110"/>
    <mergeCell ref="AD111:AF111"/>
    <mergeCell ref="AD112:AF112"/>
    <mergeCell ref="AD114:AF114"/>
    <mergeCell ref="AD115:AF115"/>
    <mergeCell ref="AD116:AF116"/>
    <mergeCell ref="AD66:AF66"/>
    <mergeCell ref="AD67:AF67"/>
    <mergeCell ref="AD69:AF69"/>
    <mergeCell ref="AD32:AF32"/>
    <mergeCell ref="AD33:AF33"/>
    <mergeCell ref="AD35:AF35"/>
    <mergeCell ref="AD36:AF36"/>
    <mergeCell ref="AD38:AF38"/>
    <mergeCell ref="AD39:AF39"/>
    <mergeCell ref="AD23:AF23"/>
    <mergeCell ref="AD24:AF24"/>
    <mergeCell ref="AD26:AF26"/>
    <mergeCell ref="AD27:AF27"/>
    <mergeCell ref="AD29:AF29"/>
    <mergeCell ref="AD30:AF30"/>
    <mergeCell ref="AA118:AC118"/>
    <mergeCell ref="AA119:AC119"/>
    <mergeCell ref="AA120:AC120"/>
    <mergeCell ref="AA80:AC80"/>
    <mergeCell ref="AA81:AC81"/>
    <mergeCell ref="AA82:AC82"/>
    <mergeCell ref="AA83:AC83"/>
    <mergeCell ref="AA107:AC107"/>
    <mergeCell ref="AA108:AC108"/>
    <mergeCell ref="AA71:AC71"/>
    <mergeCell ref="AA72:AC72"/>
    <mergeCell ref="AA74:AC74"/>
    <mergeCell ref="AA76:AC76"/>
    <mergeCell ref="AA77:AC77"/>
    <mergeCell ref="AA78:AC78"/>
    <mergeCell ref="AA40:AC40"/>
    <mergeCell ref="AA42:AC42"/>
    <mergeCell ref="AA43:AC43"/>
    <mergeCell ref="AA121:AC121"/>
    <mergeCell ref="AA122:AC122"/>
    <mergeCell ref="AA123:AC123"/>
    <mergeCell ref="AA110:AC110"/>
    <mergeCell ref="AA111:AC111"/>
    <mergeCell ref="AA112:AC112"/>
    <mergeCell ref="AA114:AC114"/>
    <mergeCell ref="AA115:AC115"/>
    <mergeCell ref="AA116:AC116"/>
    <mergeCell ref="AA66:AC66"/>
    <mergeCell ref="AA67:AC67"/>
    <mergeCell ref="AA69:AC69"/>
    <mergeCell ref="AA32:AC32"/>
    <mergeCell ref="AA33:AC33"/>
    <mergeCell ref="AA35:AC35"/>
    <mergeCell ref="AA36:AC36"/>
    <mergeCell ref="AA38:AC38"/>
    <mergeCell ref="AA39:AC39"/>
    <mergeCell ref="AA23:AC23"/>
    <mergeCell ref="AA24:AC24"/>
    <mergeCell ref="AA26:AC26"/>
    <mergeCell ref="AA27:AC27"/>
    <mergeCell ref="AA29:AC29"/>
    <mergeCell ref="AA30:AC30"/>
    <mergeCell ref="X118:Z118"/>
    <mergeCell ref="X119:Z119"/>
    <mergeCell ref="X120:Z120"/>
    <mergeCell ref="X80:Z80"/>
    <mergeCell ref="X81:Z81"/>
    <mergeCell ref="X82:Z82"/>
    <mergeCell ref="X83:Z83"/>
    <mergeCell ref="X107:Z107"/>
    <mergeCell ref="X108:Z108"/>
    <mergeCell ref="X71:Z71"/>
    <mergeCell ref="X72:Z72"/>
    <mergeCell ref="X74:Z74"/>
    <mergeCell ref="X76:Z76"/>
    <mergeCell ref="X77:Z77"/>
    <mergeCell ref="X78:Z78"/>
    <mergeCell ref="X40:Z40"/>
    <mergeCell ref="X42:Z42"/>
    <mergeCell ref="X43:Z43"/>
    <mergeCell ref="X121:Z121"/>
    <mergeCell ref="X122:Z122"/>
    <mergeCell ref="X123:Z123"/>
    <mergeCell ref="X110:Z110"/>
    <mergeCell ref="X111:Z111"/>
    <mergeCell ref="X112:Z112"/>
    <mergeCell ref="X114:Z114"/>
    <mergeCell ref="X115:Z115"/>
    <mergeCell ref="X116:Z116"/>
    <mergeCell ref="X66:Z66"/>
    <mergeCell ref="X67:Z67"/>
    <mergeCell ref="X69:Z69"/>
    <mergeCell ref="X32:Z32"/>
    <mergeCell ref="X33:Z33"/>
    <mergeCell ref="X35:Z35"/>
    <mergeCell ref="X36:Z36"/>
    <mergeCell ref="X38:Z38"/>
    <mergeCell ref="X39:Z39"/>
    <mergeCell ref="X23:Z23"/>
    <mergeCell ref="X24:Z24"/>
    <mergeCell ref="X26:Z26"/>
    <mergeCell ref="X27:Z27"/>
    <mergeCell ref="X29:Z29"/>
    <mergeCell ref="X30:Z30"/>
    <mergeCell ref="U118:W118"/>
    <mergeCell ref="U119:W119"/>
    <mergeCell ref="U120:W120"/>
    <mergeCell ref="U80:W80"/>
    <mergeCell ref="U81:W81"/>
    <mergeCell ref="U82:W82"/>
    <mergeCell ref="U83:W83"/>
    <mergeCell ref="U107:W107"/>
    <mergeCell ref="U108:W108"/>
    <mergeCell ref="U71:W71"/>
    <mergeCell ref="U72:W72"/>
    <mergeCell ref="U74:W74"/>
    <mergeCell ref="U76:W76"/>
    <mergeCell ref="U77:W77"/>
    <mergeCell ref="U78:W78"/>
    <mergeCell ref="U40:W40"/>
    <mergeCell ref="U42:W42"/>
    <mergeCell ref="U43:W43"/>
    <mergeCell ref="U121:W121"/>
    <mergeCell ref="U122:W122"/>
    <mergeCell ref="U123:W123"/>
    <mergeCell ref="U110:W110"/>
    <mergeCell ref="U111:W111"/>
    <mergeCell ref="U112:W112"/>
    <mergeCell ref="U114:W114"/>
    <mergeCell ref="U115:W115"/>
    <mergeCell ref="U116:W116"/>
    <mergeCell ref="U66:W66"/>
    <mergeCell ref="U67:W67"/>
    <mergeCell ref="U69:W69"/>
    <mergeCell ref="U32:W32"/>
    <mergeCell ref="U33:W33"/>
    <mergeCell ref="U35:W35"/>
    <mergeCell ref="U36:W36"/>
    <mergeCell ref="U38:W38"/>
    <mergeCell ref="U39:W39"/>
    <mergeCell ref="R80:T80"/>
    <mergeCell ref="R81:T81"/>
    <mergeCell ref="R82:T82"/>
    <mergeCell ref="R83:T83"/>
    <mergeCell ref="R107:T107"/>
    <mergeCell ref="R108:T108"/>
    <mergeCell ref="R71:T71"/>
    <mergeCell ref="R72:T72"/>
    <mergeCell ref="R74:T74"/>
    <mergeCell ref="R76:T76"/>
    <mergeCell ref="R77:T77"/>
    <mergeCell ref="R78:T78"/>
    <mergeCell ref="R121:T121"/>
    <mergeCell ref="R122:T122"/>
    <mergeCell ref="R123:T123"/>
    <mergeCell ref="R110:T110"/>
    <mergeCell ref="R111:T111"/>
    <mergeCell ref="R112:T112"/>
    <mergeCell ref="R114:T114"/>
    <mergeCell ref="R115:T115"/>
    <mergeCell ref="R116:T116"/>
    <mergeCell ref="R118:T118"/>
    <mergeCell ref="R119:T119"/>
    <mergeCell ref="R120:T120"/>
    <mergeCell ref="R66:T66"/>
    <mergeCell ref="R67:T67"/>
    <mergeCell ref="R69:T69"/>
    <mergeCell ref="R32:T32"/>
    <mergeCell ref="R33:T33"/>
    <mergeCell ref="R35:T35"/>
    <mergeCell ref="R36:T36"/>
    <mergeCell ref="R38:T38"/>
    <mergeCell ref="R39:T39"/>
    <mergeCell ref="R40:T40"/>
    <mergeCell ref="R42:T42"/>
    <mergeCell ref="R43:T43"/>
    <mergeCell ref="O120:Q120"/>
    <mergeCell ref="O121:Q121"/>
    <mergeCell ref="O122:Q122"/>
    <mergeCell ref="O123:Q123"/>
    <mergeCell ref="R23:T23"/>
    <mergeCell ref="R24:T24"/>
    <mergeCell ref="R26:T26"/>
    <mergeCell ref="R27:T27"/>
    <mergeCell ref="R29:T29"/>
    <mergeCell ref="R30:T30"/>
    <mergeCell ref="O112:Q112"/>
    <mergeCell ref="O114:Q114"/>
    <mergeCell ref="O115:Q115"/>
    <mergeCell ref="O116:Q116"/>
    <mergeCell ref="O118:Q118"/>
    <mergeCell ref="O119:Q119"/>
    <mergeCell ref="O82:Q82"/>
    <mergeCell ref="O83:Q83"/>
    <mergeCell ref="O107:Q107"/>
    <mergeCell ref="O108:Q108"/>
    <mergeCell ref="O110:Q110"/>
    <mergeCell ref="O111:Q111"/>
    <mergeCell ref="O74:Q74"/>
    <mergeCell ref="O76:Q76"/>
    <mergeCell ref="O78:Q78"/>
    <mergeCell ref="O80:Q80"/>
    <mergeCell ref="O81:Q81"/>
    <mergeCell ref="O43:Q43"/>
    <mergeCell ref="O66:Q66"/>
    <mergeCell ref="O67:Q67"/>
    <mergeCell ref="O69:Q69"/>
    <mergeCell ref="O71:Q71"/>
    <mergeCell ref="O72:Q72"/>
    <mergeCell ref="O36:Q36"/>
    <mergeCell ref="O38:Q38"/>
    <mergeCell ref="O39:Q39"/>
    <mergeCell ref="O40:Q40"/>
    <mergeCell ref="O42:Q42"/>
    <mergeCell ref="L122:N122"/>
    <mergeCell ref="L123:N123"/>
    <mergeCell ref="O23:Q23"/>
    <mergeCell ref="O24:Q24"/>
    <mergeCell ref="O26:Q26"/>
    <mergeCell ref="O27:Q27"/>
    <mergeCell ref="O29:Q29"/>
    <mergeCell ref="O30:Q30"/>
    <mergeCell ref="O32:Q32"/>
    <mergeCell ref="O33:Q33"/>
    <mergeCell ref="L115:N115"/>
    <mergeCell ref="L116:N116"/>
    <mergeCell ref="L118:N118"/>
    <mergeCell ref="L119:N119"/>
    <mergeCell ref="L120:N120"/>
    <mergeCell ref="L121:N121"/>
    <mergeCell ref="L107:N107"/>
    <mergeCell ref="L108:N108"/>
    <mergeCell ref="O77:Q77"/>
    <mergeCell ref="L110:N110"/>
    <mergeCell ref="L111:N111"/>
    <mergeCell ref="L112:N112"/>
    <mergeCell ref="L114:N114"/>
    <mergeCell ref="L78:N78"/>
    <mergeCell ref="L80:N80"/>
    <mergeCell ref="L81:N81"/>
    <mergeCell ref="L82:N82"/>
    <mergeCell ref="L83:N83"/>
    <mergeCell ref="L69:N69"/>
    <mergeCell ref="L71:N71"/>
    <mergeCell ref="L72:N72"/>
    <mergeCell ref="L74:N74"/>
    <mergeCell ref="L76:N76"/>
    <mergeCell ref="L77:N77"/>
    <mergeCell ref="L40:N40"/>
    <mergeCell ref="L42:N42"/>
    <mergeCell ref="L43:N43"/>
    <mergeCell ref="L66:N66"/>
    <mergeCell ref="L67:N67"/>
    <mergeCell ref="L36:N36"/>
    <mergeCell ref="L38:N38"/>
    <mergeCell ref="L39:N39"/>
    <mergeCell ref="L23:N23"/>
    <mergeCell ref="L24:N24"/>
    <mergeCell ref="L26:N26"/>
    <mergeCell ref="L27:N27"/>
    <mergeCell ref="L29:N29"/>
    <mergeCell ref="L30:N30"/>
    <mergeCell ref="L32:N32"/>
    <mergeCell ref="L33:N33"/>
    <mergeCell ref="U23:W23"/>
    <mergeCell ref="U24:W24"/>
    <mergeCell ref="U26:W26"/>
    <mergeCell ref="U27:W27"/>
    <mergeCell ref="U29:W29"/>
    <mergeCell ref="U30:W30"/>
    <mergeCell ref="L35:N35"/>
    <mergeCell ref="O35:Q35"/>
    <mergeCell ref="I10:K10"/>
    <mergeCell ref="Q6:U6"/>
    <mergeCell ref="I14:K14"/>
    <mergeCell ref="U9:W9"/>
    <mergeCell ref="U10:W10"/>
    <mergeCell ref="U11:W11"/>
    <mergeCell ref="U12:W12"/>
    <mergeCell ref="U13:W13"/>
    <mergeCell ref="U14:W14"/>
    <mergeCell ref="AH4:AK4"/>
    <mergeCell ref="F4:I4"/>
    <mergeCell ref="J4:M4"/>
    <mergeCell ref="N4:Q4"/>
    <mergeCell ref="R4:U4"/>
    <mergeCell ref="V4:Y4"/>
    <mergeCell ref="Z4:AC4"/>
    <mergeCell ref="AD4:AG4"/>
    <mergeCell ref="I9:K9"/>
  </mergeCells>
  <conditionalFormatting sqref="AS4 BC4">
    <cfRule type="cellIs" dxfId="4" priority="5" operator="equal">
      <formula>""""""</formula>
    </cfRule>
    <cfRule type="containsBlanks" dxfId="3" priority="6">
      <formula>LEN(TRIM(AS4))=0</formula>
    </cfRule>
  </conditionalFormatting>
  <dataValidations count="2">
    <dataValidation type="whole" allowBlank="1" showInputMessage="1" showErrorMessage="1" sqref="AS4" xr:uid="{4E131240-17EC-4517-9C79-C22A17C87834}">
      <formula1>1</formula1>
      <formula2>30</formula2>
    </dataValidation>
    <dataValidation type="whole" allowBlank="1" showInputMessage="1" showErrorMessage="1" sqref="BC4" xr:uid="{148D6F04-3812-4DE7-B888-F7D55EEA3C19}">
      <formula1>1</formula1>
      <formula2>31</formula2>
    </dataValidation>
  </dataValidations>
  <hyperlinks>
    <hyperlink ref="F4:I4" location="'SUMMARY (R)'!A1" display="Summary" xr:uid="{D7C11D0F-2FF0-4DF1-B307-7C1EFF76B28C}"/>
    <hyperlink ref="J4:M4" location="'MONTHLY (R)'!A1" display="Monthly" xr:uid="{B99DF988-F46A-41F8-98F9-95D2E4794E65}"/>
    <hyperlink ref="N4:Q4" location="'YTD (R)'!A1" display="Year To Date" xr:uid="{2C1F41D0-B0BB-4389-8ACB-05007CD60861}"/>
    <hyperlink ref="R4:U4" location="'VERSUS (R)'!A1" display="Versus" xr:uid="{74C9D790-9BF2-42D4-8818-2B2C3997CD97}"/>
    <hyperlink ref="V4:Y4" location="'AMORTIZATION (R)'!A1" display="Amortization" xr:uid="{D6DDB1D7-7990-4EFF-A5C6-A164776EB817}"/>
    <hyperlink ref="Z4:AC4" location="'FINANCING (R)'!A1" display="Financing" xr:uid="{15A49365-EBB9-4FF5-B382-839B942C4E32}"/>
    <hyperlink ref="AD4:AG4" location="'EXPENSES (R)'!A1" display="Expenses" xr:uid="{E434204D-D6E0-4B3D-9766-72F9C5348129}"/>
    <hyperlink ref="AH4:AK4" location="'FORECASTS (R)'!A1" display="Forecasts" xr:uid="{F47F34CC-315A-419A-8128-9125B2B90615}"/>
  </hyperlinks>
  <pageMargins left="0" right="0" top="0.2" bottom="0.2" header="0.2" footer="0.2"/>
  <pageSetup scale="71" fitToHeight="0" orientation="portrait" r:id="rId1"/>
  <rowBreaks count="2" manualBreakCount="2">
    <brk id="61" max="50" man="1"/>
    <brk id="102" max="50"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20023-ED15-4F73-A444-7AD26D193564}">
  <sheetPr codeName="Sheet18">
    <tabColor rgb="FFFCE4D6"/>
    <pageSetUpPr autoPageBreaks="0" fitToPage="1"/>
  </sheetPr>
  <dimension ref="A1:CC113"/>
  <sheetViews>
    <sheetView showGridLines="0" showRowColHeaders="0" zoomScaleNormal="100" zoomScaleSheetLayoutView="100" workbookViewId="0">
      <pane ySplit="9" topLeftCell="A10" activePane="bottomLeft" state="frozen"/>
      <selection pane="bottomLeft" activeCell="A9" sqref="A9"/>
    </sheetView>
  </sheetViews>
  <sheetFormatPr defaultColWidth="9.109375" defaultRowHeight="15" customHeight="1" x14ac:dyDescent="0.3"/>
  <cols>
    <col min="1" max="1" width="2.88671875" style="360" customWidth="1"/>
    <col min="2" max="49" width="2.88671875" style="272" customWidth="1"/>
    <col min="50" max="58" width="2.88671875" style="360" customWidth="1"/>
    <col min="59" max="59" width="3.44140625" style="360" customWidth="1"/>
    <col min="60" max="16384" width="9.109375" style="272"/>
  </cols>
  <sheetData>
    <row r="1" spans="1:81" s="1244" customFormat="1" ht="30" customHeight="1" x14ac:dyDescent="0.25">
      <c r="A1" s="1685" t="s">
        <v>1069</v>
      </c>
      <c r="AS1" s="1292"/>
      <c r="AT1" s="1292"/>
      <c r="AU1" s="1292"/>
      <c r="AY1" s="1264"/>
    </row>
    <row r="2" spans="1:81" s="673" customFormat="1" ht="18.75" customHeight="1" x14ac:dyDescent="0.25">
      <c r="A2" s="1685"/>
      <c r="B2" s="1244"/>
      <c r="C2" s="1244"/>
      <c r="D2" s="1244"/>
      <c r="E2" s="1244"/>
      <c r="F2" s="1244"/>
      <c r="G2" s="1244"/>
      <c r="H2" s="1244"/>
      <c r="I2" s="1244"/>
      <c r="J2" s="1244"/>
      <c r="K2" s="1244"/>
      <c r="L2" s="1244"/>
      <c r="M2" s="1244"/>
      <c r="N2" s="1244"/>
      <c r="O2" s="1244"/>
      <c r="P2" s="1244"/>
      <c r="Q2" s="1244"/>
      <c r="R2" s="1244"/>
      <c r="S2" s="1244"/>
      <c r="T2" s="1244"/>
      <c r="U2" s="1244"/>
      <c r="V2" s="1244"/>
      <c r="W2" s="1244"/>
      <c r="X2" s="1244"/>
      <c r="Y2" s="1244"/>
      <c r="Z2" s="1244"/>
      <c r="AA2" s="1244"/>
      <c r="AB2" s="1244"/>
      <c r="AC2" s="1244"/>
      <c r="AD2" s="1244"/>
      <c r="AE2" s="1244"/>
      <c r="AF2" s="1244"/>
      <c r="AG2" s="1244"/>
      <c r="AH2" s="1244"/>
      <c r="AI2" s="1244"/>
      <c r="AJ2" s="1244"/>
      <c r="AK2" s="1244"/>
      <c r="AL2" s="1244"/>
      <c r="AM2" s="1244"/>
      <c r="AN2" s="1244"/>
      <c r="AO2" s="1244"/>
      <c r="AP2" s="1244"/>
      <c r="AQ2" s="1244"/>
      <c r="AR2" s="1244"/>
      <c r="AS2" s="1292"/>
      <c r="AT2" s="1292"/>
      <c r="AU2" s="1292"/>
      <c r="AV2" s="1244"/>
      <c r="AW2" s="1244"/>
      <c r="AX2" s="1244"/>
      <c r="AY2" s="1264"/>
      <c r="AZ2" s="1244"/>
      <c r="BA2" s="1244"/>
      <c r="BB2" s="1244"/>
      <c r="BC2" s="1244"/>
      <c r="BD2" s="1244"/>
      <c r="BE2" s="1244"/>
      <c r="BF2" s="1244"/>
      <c r="BG2" s="1244"/>
      <c r="BH2" s="1244"/>
      <c r="BI2" s="1244"/>
      <c r="BJ2" s="1244"/>
      <c r="BK2" s="1244"/>
      <c r="BL2" s="1244"/>
    </row>
    <row r="3" spans="1:81" ht="15.6" x14ac:dyDescent="0.3">
      <c r="A3" s="1685"/>
      <c r="B3" s="1244"/>
      <c r="C3" s="1244"/>
      <c r="D3" s="1244"/>
      <c r="E3" s="1244"/>
      <c r="F3" s="1244"/>
      <c r="G3" s="1244"/>
      <c r="H3" s="1244"/>
      <c r="I3" s="1244"/>
      <c r="J3" s="1244"/>
      <c r="K3" s="1244"/>
      <c r="L3" s="1244"/>
      <c r="M3" s="1244"/>
      <c r="N3" s="1244"/>
      <c r="O3" s="1244"/>
      <c r="P3" s="1244"/>
      <c r="Q3" s="1244"/>
      <c r="R3" s="1244"/>
      <c r="S3" s="1244"/>
      <c r="T3" s="1244"/>
      <c r="U3" s="1244"/>
      <c r="V3" s="1244"/>
      <c r="W3" s="1244"/>
      <c r="X3" s="1244"/>
      <c r="Y3" s="1244"/>
      <c r="Z3" s="1244"/>
      <c r="AA3" s="1244"/>
      <c r="AB3" s="1244"/>
      <c r="AC3" s="1244"/>
      <c r="AD3" s="1244"/>
      <c r="AE3" s="1244"/>
      <c r="AF3" s="1244"/>
      <c r="AG3" s="1244"/>
      <c r="AH3" s="1244"/>
      <c r="AI3" s="1244"/>
      <c r="AJ3" s="1244"/>
      <c r="AK3" s="1244"/>
      <c r="AL3" s="1244"/>
      <c r="AM3" s="1244"/>
      <c r="AN3" s="1244"/>
      <c r="AO3" s="1244"/>
      <c r="AP3" s="1244"/>
      <c r="AQ3" s="1244"/>
      <c r="AR3" s="1244"/>
      <c r="AS3" s="1292"/>
      <c r="AT3" s="1292"/>
      <c r="AU3" s="1292"/>
      <c r="AV3" s="1244"/>
      <c r="AW3" s="1244"/>
      <c r="AX3" s="1244"/>
      <c r="AY3" s="1264"/>
      <c r="AZ3" s="1244"/>
      <c r="BA3" s="1244"/>
      <c r="BB3" s="1244"/>
      <c r="BC3" s="1244"/>
      <c r="BD3" s="1244"/>
      <c r="BE3" s="1244"/>
      <c r="BF3" s="1244"/>
      <c r="BG3" s="1244"/>
      <c r="BH3" s="1244"/>
      <c r="BI3" s="1244"/>
      <c r="BJ3" s="1244"/>
      <c r="BK3" s="1244"/>
      <c r="BL3" s="1244"/>
    </row>
    <row r="4" spans="1:81" ht="14.4" x14ac:dyDescent="0.3">
      <c r="A4" s="155"/>
      <c r="B4" s="271"/>
      <c r="C4" s="271"/>
      <c r="D4" s="271"/>
      <c r="E4" s="271"/>
      <c r="F4" s="271"/>
      <c r="G4" s="271"/>
      <c r="H4" s="271"/>
      <c r="I4" s="271"/>
      <c r="J4" s="271"/>
      <c r="K4" s="271"/>
      <c r="L4" s="271"/>
      <c r="M4" s="271"/>
      <c r="N4" s="271"/>
      <c r="O4" s="271"/>
      <c r="P4" s="271"/>
      <c r="Q4" s="271"/>
      <c r="R4" s="271"/>
      <c r="S4" s="271"/>
      <c r="T4" s="271"/>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155"/>
      <c r="AY4" s="155"/>
      <c r="AZ4" s="155"/>
      <c r="BA4" s="155"/>
      <c r="BB4" s="155"/>
      <c r="BC4" s="155"/>
      <c r="BD4" s="155"/>
      <c r="BE4" s="155"/>
      <c r="BF4" s="155"/>
      <c r="BG4" s="155"/>
      <c r="BM4" s="673"/>
      <c r="BN4" s="673"/>
      <c r="BO4" s="673"/>
      <c r="BP4" s="673"/>
      <c r="BQ4" s="673"/>
      <c r="BR4" s="673"/>
      <c r="BS4" s="673"/>
      <c r="BT4" s="673"/>
      <c r="BU4" s="673"/>
      <c r="BV4" s="673"/>
      <c r="BW4" s="673"/>
      <c r="BX4" s="673"/>
      <c r="BY4" s="673"/>
      <c r="BZ4" s="673"/>
      <c r="CA4" s="673"/>
      <c r="CB4" s="673"/>
      <c r="CC4" s="673"/>
    </row>
    <row r="5" spans="1:81" ht="15" customHeight="1" thickBot="1" x14ac:dyDescent="0.45">
      <c r="A5" s="156"/>
      <c r="B5" s="1237" t="s">
        <v>362</v>
      </c>
      <c r="C5" s="1173"/>
      <c r="D5" s="1173"/>
      <c r="E5" s="1173"/>
      <c r="F5" s="1173"/>
      <c r="G5" s="1173"/>
      <c r="H5" s="1173"/>
      <c r="I5" s="1173"/>
      <c r="J5" s="1173"/>
      <c r="K5" s="1174"/>
      <c r="L5" s="1174"/>
      <c r="M5" s="1174"/>
      <c r="N5" s="1173"/>
      <c r="O5" s="1173"/>
      <c r="P5" s="1173"/>
      <c r="Q5" s="1174"/>
      <c r="R5" s="1174"/>
      <c r="S5" s="1174"/>
      <c r="T5" s="1180"/>
      <c r="U5" s="1180"/>
      <c r="V5" s="1180"/>
      <c r="W5" s="1180"/>
      <c r="X5" s="1180"/>
      <c r="Y5" s="1180"/>
      <c r="Z5" s="1180"/>
      <c r="AA5" s="1180"/>
      <c r="AB5" s="1180"/>
      <c r="AC5" s="1180"/>
      <c r="AD5" s="1180"/>
      <c r="AE5" s="1180"/>
      <c r="AF5" s="1180"/>
      <c r="AG5" s="1180"/>
      <c r="AH5" s="1180"/>
      <c r="AI5" s="1180"/>
      <c r="AJ5" s="1180"/>
      <c r="AK5" s="1180"/>
      <c r="AL5" s="1180"/>
      <c r="AM5" s="1180"/>
      <c r="AN5" s="1180"/>
      <c r="AO5" s="1180"/>
      <c r="AP5" s="1180"/>
      <c r="AQ5" s="1180"/>
      <c r="AR5" s="1180"/>
      <c r="AS5" s="1180"/>
      <c r="AT5" s="1180"/>
      <c r="AU5" s="1180"/>
      <c r="AV5" s="1180"/>
      <c r="AW5" s="1180"/>
      <c r="AX5" s="1180"/>
      <c r="AY5" s="1180"/>
      <c r="AZ5" s="1180" t="s">
        <v>96</v>
      </c>
      <c r="BA5" s="1180"/>
      <c r="BB5" s="1180"/>
      <c r="BC5" s="2650">
        <f ca="1">TODAY()</f>
        <v>45920</v>
      </c>
      <c r="BD5" s="2650"/>
      <c r="BE5" s="2650"/>
      <c r="BF5" s="2650"/>
      <c r="BG5" s="156"/>
    </row>
    <row r="6" spans="1:81" ht="16.5" customHeight="1" thickTop="1" x14ac:dyDescent="0.3">
      <c r="A6" s="155"/>
      <c r="B6" s="271"/>
      <c r="C6" s="271"/>
      <c r="D6" s="271"/>
      <c r="E6" s="271"/>
      <c r="F6" s="271"/>
      <c r="G6" s="271"/>
      <c r="H6" s="271"/>
      <c r="I6" s="271"/>
      <c r="J6" s="271"/>
      <c r="K6" s="271"/>
      <c r="L6" s="271"/>
      <c r="M6" s="271"/>
      <c r="N6" s="271"/>
      <c r="O6" s="271"/>
      <c r="P6" s="271"/>
      <c r="Q6" s="271"/>
      <c r="R6" s="271"/>
      <c r="S6" s="271"/>
      <c r="T6" s="271"/>
      <c r="U6" s="271"/>
      <c r="V6" s="271"/>
      <c r="W6" s="271"/>
      <c r="X6" s="271"/>
      <c r="Y6" s="271"/>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155"/>
      <c r="AY6" s="155"/>
      <c r="AZ6" s="155"/>
      <c r="BA6" s="155"/>
      <c r="BB6" s="155"/>
      <c r="BC6" s="155"/>
      <c r="BD6" s="155"/>
      <c r="BE6" s="155"/>
      <c r="BF6" s="155"/>
      <c r="BG6" s="155"/>
    </row>
    <row r="7" spans="1:81" ht="16.5" customHeight="1" x14ac:dyDescent="0.3">
      <c r="A7" s="155"/>
      <c r="B7" s="1510" t="s">
        <v>185</v>
      </c>
      <c r="C7" s="1511"/>
      <c r="D7" s="1511"/>
      <c r="E7" s="1511"/>
      <c r="F7" s="1511"/>
      <c r="G7" s="1511"/>
      <c r="H7" s="1513" t="str">
        <f>DASHBOARD!C12</f>
        <v>Project Name :</v>
      </c>
      <c r="I7" s="1512"/>
      <c r="J7" s="1512"/>
      <c r="K7" s="1513"/>
      <c r="L7" s="1513"/>
      <c r="M7" s="1513"/>
      <c r="N7" s="1514"/>
      <c r="O7" s="1514"/>
      <c r="P7" s="1514"/>
      <c r="Q7" s="1515" t="str">
        <f>DASHBOARD!K12</f>
        <v>WinsWithMike.com</v>
      </c>
      <c r="R7" s="1515"/>
      <c r="S7" s="1515"/>
      <c r="T7" s="1514"/>
      <c r="U7" s="1514"/>
      <c r="V7" s="1514"/>
      <c r="W7" s="1513" t="s">
        <v>207</v>
      </c>
      <c r="X7" s="1513"/>
      <c r="Y7" s="1513"/>
      <c r="Z7" s="1514"/>
      <c r="AA7" s="2950" t="str">
        <f>DASHBOARD!K14</f>
        <v>Nampa</v>
      </c>
      <c r="AB7" s="2950"/>
      <c r="AC7" s="2950"/>
      <c r="AD7" s="2950"/>
      <c r="AE7" s="2950"/>
      <c r="AF7" s="2950"/>
      <c r="AG7" s="1514"/>
      <c r="AH7" s="1514"/>
      <c r="AI7" s="1514"/>
      <c r="AJ7" s="1514"/>
      <c r="AK7" s="1514"/>
      <c r="AL7" s="1513" t="str">
        <f>DASHBOARD!C19</f>
        <v>Property Type :</v>
      </c>
      <c r="AM7" s="1513"/>
      <c r="AN7" s="1513"/>
      <c r="AO7" s="1514"/>
      <c r="AP7" s="1514"/>
      <c r="AQ7" s="2952" t="str">
        <f>DASHBOARD!K19</f>
        <v>Single Family</v>
      </c>
      <c r="AR7" s="2952"/>
      <c r="AS7" s="2952"/>
      <c r="AT7" s="2952"/>
      <c r="AU7" s="2952"/>
      <c r="AV7" s="1514"/>
      <c r="AW7" s="1514"/>
      <c r="AX7" s="1513" t="s">
        <v>187</v>
      </c>
      <c r="AY7" s="1513"/>
      <c r="AZ7" s="1513"/>
      <c r="BA7" s="1514"/>
      <c r="BB7" s="1514"/>
      <c r="BC7" s="2943" t="str">
        <f>DASHBOARD!K21&amp;" / "&amp;DASHBOARD!K22</f>
        <v>3 / 3</v>
      </c>
      <c r="BD7" s="2943"/>
      <c r="BE7" s="2943"/>
      <c r="BF7" s="2944"/>
      <c r="BG7" s="155"/>
    </row>
    <row r="8" spans="1:81" ht="14.25" customHeight="1" x14ac:dyDescent="0.3">
      <c r="A8" s="155"/>
      <c r="B8" s="1516" t="s">
        <v>186</v>
      </c>
      <c r="C8" s="1517"/>
      <c r="D8" s="1517"/>
      <c r="E8" s="1517"/>
      <c r="F8" s="1517"/>
      <c r="G8" s="1517"/>
      <c r="H8" s="1519" t="s">
        <v>208</v>
      </c>
      <c r="I8" s="1518"/>
      <c r="J8" s="1518"/>
      <c r="K8" s="1519"/>
      <c r="L8" s="1519"/>
      <c r="M8" s="1519"/>
      <c r="N8" s="1520"/>
      <c r="O8" s="1520"/>
      <c r="P8" s="1520"/>
      <c r="Q8" s="1521">
        <f>DASHBOARD!K13</f>
        <v>0</v>
      </c>
      <c r="R8" s="1521"/>
      <c r="S8" s="1521"/>
      <c r="T8" s="1520"/>
      <c r="U8" s="1520"/>
      <c r="V8" s="1520"/>
      <c r="W8" s="1519" t="s">
        <v>206</v>
      </c>
      <c r="X8" s="1519"/>
      <c r="Y8" s="1519"/>
      <c r="Z8" s="1520"/>
      <c r="AA8" s="2951" t="str">
        <f>DASHBOARD!K15&amp;" - "&amp;DASHBOARD!K16</f>
        <v xml:space="preserve">Idaho - </v>
      </c>
      <c r="AB8" s="2951"/>
      <c r="AC8" s="2951"/>
      <c r="AD8" s="2951"/>
      <c r="AE8" s="2951"/>
      <c r="AF8" s="2951"/>
      <c r="AG8" s="1520"/>
      <c r="AH8" s="1520"/>
      <c r="AI8" s="1520"/>
      <c r="AJ8" s="1520"/>
      <c r="AK8" s="1520"/>
      <c r="AL8" s="1519" t="str">
        <f>DASHBOARD!C20</f>
        <v>Square Footage :</v>
      </c>
      <c r="AM8" s="1519"/>
      <c r="AN8" s="1519"/>
      <c r="AO8" s="1520"/>
      <c r="AP8" s="1520"/>
      <c r="AQ8" s="2953">
        <f>DASHBOARD!K20</f>
        <v>1420</v>
      </c>
      <c r="AR8" s="2953"/>
      <c r="AS8" s="2953"/>
      <c r="AT8" s="2953"/>
      <c r="AU8" s="2953"/>
      <c r="AV8" s="1520"/>
      <c r="AW8" s="1520"/>
      <c r="AX8" s="1519" t="s">
        <v>188</v>
      </c>
      <c r="AY8" s="1519"/>
      <c r="AZ8" s="1519"/>
      <c r="BA8" s="1520"/>
      <c r="BB8" s="1520"/>
      <c r="BC8" s="2945" t="str">
        <f>DASHBOARD!K23&amp;" / "&amp;IF(DASHBOARD!K24="","N/A",DASHBOARD!K24)</f>
        <v>2008 / 2018</v>
      </c>
      <c r="BD8" s="2945"/>
      <c r="BE8" s="2945"/>
      <c r="BF8" s="2946"/>
      <c r="BG8" s="155"/>
    </row>
    <row r="9" spans="1:81" ht="14.25" customHeight="1" x14ac:dyDescent="0.3">
      <c r="A9" s="1866"/>
      <c r="B9" s="455"/>
      <c r="C9" s="455"/>
      <c r="D9" s="455"/>
      <c r="E9" s="455"/>
      <c r="F9" s="455"/>
      <c r="G9" s="455"/>
      <c r="H9" s="455"/>
      <c r="I9" s="455"/>
      <c r="J9" s="455"/>
      <c r="K9" s="455"/>
      <c r="L9" s="455"/>
      <c r="M9" s="455"/>
      <c r="N9" s="455"/>
      <c r="O9" s="455"/>
      <c r="P9" s="455"/>
      <c r="Q9" s="455"/>
      <c r="R9" s="455"/>
      <c r="S9" s="455"/>
      <c r="T9" s="455"/>
      <c r="U9" s="455"/>
      <c r="V9" s="455"/>
      <c r="W9" s="455"/>
      <c r="X9" s="455"/>
      <c r="Y9" s="455"/>
      <c r="Z9" s="455"/>
      <c r="AA9" s="455"/>
      <c r="AB9" s="455"/>
      <c r="AC9" s="455"/>
      <c r="AD9" s="455"/>
      <c r="AE9" s="455"/>
      <c r="AF9" s="455"/>
      <c r="AG9" s="455"/>
      <c r="AH9" s="455"/>
      <c r="AI9" s="455"/>
      <c r="AJ9" s="455"/>
      <c r="AK9" s="455"/>
      <c r="AL9" s="455"/>
      <c r="AM9" s="455"/>
      <c r="AN9" s="455"/>
      <c r="AO9" s="455"/>
      <c r="AP9" s="455"/>
      <c r="AQ9" s="455"/>
      <c r="AR9" s="455"/>
      <c r="AS9" s="455"/>
      <c r="AT9" s="455"/>
      <c r="AU9" s="455"/>
      <c r="AV9" s="455"/>
      <c r="AW9" s="455"/>
      <c r="AX9" s="456"/>
      <c r="AY9" s="456"/>
      <c r="AZ9" s="456"/>
      <c r="BA9" s="456"/>
      <c r="BB9" s="456"/>
      <c r="BC9" s="456"/>
      <c r="BD9" s="456"/>
      <c r="BE9" s="456"/>
      <c r="BF9" s="456"/>
      <c r="BG9" s="155"/>
    </row>
    <row r="10" spans="1:81" ht="14.25" customHeight="1" x14ac:dyDescent="0.3">
      <c r="A10" s="155"/>
      <c r="B10" s="178" t="s">
        <v>1084</v>
      </c>
      <c r="C10" s="178"/>
      <c r="D10" s="178"/>
      <c r="E10" s="178"/>
      <c r="F10" s="178"/>
      <c r="G10" s="178"/>
      <c r="H10" s="119"/>
      <c r="I10" s="119"/>
      <c r="J10" s="119"/>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155"/>
    </row>
    <row r="11" spans="1:81" ht="14.25" customHeight="1" x14ac:dyDescent="0.3">
      <c r="A11" s="155"/>
      <c r="B11" s="455"/>
      <c r="C11" s="455"/>
      <c r="D11" s="455"/>
      <c r="E11" s="455"/>
      <c r="F11" s="455"/>
      <c r="G11" s="455"/>
      <c r="H11" s="455"/>
      <c r="I11" s="455"/>
      <c r="J11" s="455"/>
      <c r="K11" s="455"/>
      <c r="L11" s="455"/>
      <c r="M11" s="455"/>
      <c r="N11" s="455"/>
      <c r="O11" s="455"/>
      <c r="P11" s="455"/>
      <c r="Q11" s="455"/>
      <c r="R11" s="455"/>
      <c r="S11" s="455"/>
      <c r="T11" s="455"/>
      <c r="U11" s="455"/>
      <c r="V11" s="455"/>
      <c r="W11" s="455"/>
      <c r="X11" s="455"/>
      <c r="Y11" s="455"/>
      <c r="Z11" s="455"/>
      <c r="AA11" s="455"/>
      <c r="AB11" s="455"/>
      <c r="AC11" s="455"/>
      <c r="AD11" s="455"/>
      <c r="AE11" s="455"/>
      <c r="AF11" s="455"/>
      <c r="AG11" s="455"/>
      <c r="AH11" s="455"/>
      <c r="AI11" s="455"/>
      <c r="AJ11" s="455"/>
      <c r="AK11" s="455"/>
      <c r="AL11" s="455"/>
      <c r="AM11" s="455"/>
      <c r="AN11" s="455"/>
      <c r="AO11" s="455"/>
      <c r="AP11" s="455"/>
      <c r="AQ11" s="455"/>
      <c r="AR11" s="455"/>
      <c r="AS11" s="455"/>
      <c r="AT11" s="455"/>
      <c r="AU11" s="455"/>
      <c r="AV11" s="455"/>
      <c r="AW11" s="455"/>
      <c r="AX11" s="456"/>
      <c r="AY11" s="456"/>
      <c r="AZ11" s="456"/>
      <c r="BA11" s="456"/>
      <c r="BB11" s="456"/>
      <c r="BC11" s="456"/>
      <c r="BD11" s="456"/>
      <c r="BE11" s="456"/>
      <c r="BF11" s="456"/>
      <c r="BG11" s="155"/>
    </row>
    <row r="12" spans="1:81" ht="16.5" customHeight="1" x14ac:dyDescent="0.3">
      <c r="A12" s="155"/>
      <c r="B12" s="271"/>
      <c r="C12" s="271"/>
      <c r="D12" s="271"/>
      <c r="E12" s="271"/>
      <c r="F12" s="271"/>
      <c r="G12" s="271"/>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155"/>
      <c r="AY12" s="155"/>
      <c r="AZ12" s="155"/>
      <c r="BA12" s="155"/>
      <c r="BB12" s="155"/>
      <c r="BC12" s="155"/>
      <c r="BD12" s="155"/>
      <c r="BE12" s="155"/>
      <c r="BF12" s="155"/>
      <c r="BG12" s="155"/>
    </row>
    <row r="13" spans="1:81" ht="16.5" customHeight="1" x14ac:dyDescent="0.3">
      <c r="A13" s="155"/>
      <c r="B13" s="271"/>
      <c r="C13" s="271"/>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155"/>
      <c r="AY13" s="155"/>
      <c r="AZ13" s="155"/>
      <c r="BA13" s="155"/>
      <c r="BB13" s="155"/>
      <c r="BC13" s="155"/>
      <c r="BD13" s="155"/>
      <c r="BE13" s="155"/>
      <c r="BF13" s="155"/>
      <c r="BG13" s="155"/>
    </row>
    <row r="14" spans="1:81" ht="16.5" customHeight="1" x14ac:dyDescent="0.3">
      <c r="A14" s="155"/>
      <c r="B14" s="271"/>
      <c r="C14" s="271"/>
      <c r="D14" s="271"/>
      <c r="E14" s="271"/>
      <c r="F14" s="271"/>
      <c r="G14" s="271"/>
      <c r="H14" s="271"/>
      <c r="I14" s="271"/>
      <c r="J14" s="271"/>
      <c r="K14" s="271"/>
      <c r="L14" s="271"/>
      <c r="M14" s="271"/>
      <c r="N14" s="271"/>
      <c r="O14" s="271"/>
      <c r="P14" s="271"/>
      <c r="Q14" s="271"/>
      <c r="R14" s="271"/>
      <c r="S14" s="271"/>
      <c r="T14" s="271"/>
      <c r="U14" s="271"/>
      <c r="V14" s="271"/>
      <c r="W14" s="271"/>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155"/>
      <c r="AY14" s="155"/>
      <c r="AZ14" s="155"/>
      <c r="BA14" s="155"/>
      <c r="BB14" s="155"/>
      <c r="BC14" s="155"/>
      <c r="BD14" s="155"/>
      <c r="BE14" s="155"/>
      <c r="BF14" s="155"/>
      <c r="BG14" s="155"/>
    </row>
    <row r="15" spans="1:81" ht="16.5" customHeight="1" x14ac:dyDescent="0.3">
      <c r="A15" s="155"/>
      <c r="B15" s="271"/>
      <c r="C15" s="271"/>
      <c r="D15" s="271"/>
      <c r="E15" s="271"/>
      <c r="F15" s="44"/>
      <c r="G15" s="44"/>
      <c r="H15" s="44"/>
      <c r="I15" s="263" t="s">
        <v>1085</v>
      </c>
      <c r="J15" s="2947"/>
      <c r="K15" s="2948"/>
      <c r="L15" s="2949"/>
      <c r="M15" s="271"/>
      <c r="N15" s="271"/>
      <c r="O15" s="271"/>
      <c r="P15" s="271"/>
      <c r="Q15" s="271"/>
      <c r="R15" s="271"/>
      <c r="S15" s="271"/>
      <c r="T15" s="263"/>
      <c r="U15" s="263" t="s">
        <v>1086</v>
      </c>
      <c r="V15" s="2947"/>
      <c r="W15" s="2948"/>
      <c r="X15" s="2949"/>
      <c r="Y15" s="263"/>
      <c r="Z15" s="263"/>
      <c r="AA15" s="263"/>
      <c r="AB15" s="263"/>
      <c r="AC15" s="271"/>
      <c r="AD15" s="271"/>
      <c r="AE15" s="271"/>
      <c r="AF15" s="271"/>
      <c r="AG15" s="271"/>
      <c r="AH15" s="271"/>
      <c r="AI15" s="271"/>
      <c r="AJ15" s="271"/>
      <c r="AK15" s="263"/>
      <c r="AL15" s="263"/>
      <c r="AM15" s="263"/>
      <c r="AN15" s="263" t="s">
        <v>307</v>
      </c>
      <c r="AO15" s="2947"/>
      <c r="AP15" s="2948"/>
      <c r="AQ15" s="2949"/>
      <c r="AR15" s="263"/>
      <c r="AS15" s="271"/>
      <c r="AT15" s="271"/>
      <c r="AU15" s="271"/>
      <c r="AV15" s="271"/>
      <c r="AW15" s="263"/>
      <c r="AX15" s="263"/>
      <c r="AY15" s="271"/>
      <c r="AZ15" s="271"/>
      <c r="BA15" s="263" t="s">
        <v>308</v>
      </c>
      <c r="BB15" s="2947"/>
      <c r="BC15" s="2948"/>
      <c r="BD15" s="2949"/>
      <c r="BE15" s="155"/>
      <c r="BF15" s="155"/>
      <c r="BG15" s="155"/>
    </row>
    <row r="16" spans="1:81" ht="16.5" customHeight="1" x14ac:dyDescent="0.3">
      <c r="A16" s="155"/>
      <c r="B16" s="271"/>
      <c r="C16" s="271"/>
      <c r="D16" s="271"/>
      <c r="E16" s="271"/>
      <c r="F16" s="271"/>
      <c r="G16" s="271"/>
      <c r="H16" s="271"/>
      <c r="I16" s="271"/>
      <c r="J16" s="271"/>
      <c r="K16" s="271"/>
      <c r="L16" s="271"/>
      <c r="M16" s="271"/>
      <c r="N16" s="271"/>
      <c r="O16" s="271"/>
      <c r="P16" s="271"/>
      <c r="Q16" s="271"/>
      <c r="R16" s="271"/>
      <c r="S16" s="271"/>
      <c r="T16" s="271"/>
      <c r="U16" s="271"/>
      <c r="V16" s="271"/>
      <c r="W16" s="271"/>
      <c r="X16" s="271"/>
      <c r="Y16" s="271"/>
      <c r="Z16" s="271"/>
      <c r="AA16" s="271"/>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155"/>
      <c r="AY16" s="155"/>
      <c r="AZ16" s="155"/>
      <c r="BA16" s="155"/>
      <c r="BB16" s="155"/>
      <c r="BC16" s="155"/>
      <c r="BD16" s="155"/>
      <c r="BE16" s="155"/>
      <c r="BF16" s="155"/>
      <c r="BG16" s="155"/>
    </row>
    <row r="17" spans="1:59" ht="16.5" customHeight="1" x14ac:dyDescent="0.3">
      <c r="A17" s="155"/>
      <c r="B17" s="262" t="s">
        <v>103</v>
      </c>
      <c r="C17" s="262"/>
      <c r="D17" s="262"/>
      <c r="E17" s="262"/>
      <c r="F17" s="262"/>
      <c r="G17" s="262"/>
      <c r="H17" s="254" t="s">
        <v>1090</v>
      </c>
      <c r="I17" s="254"/>
      <c r="J17" s="254"/>
      <c r="K17" s="254"/>
      <c r="L17" s="254"/>
      <c r="M17" s="254"/>
      <c r="N17" s="254"/>
      <c r="O17" s="254"/>
      <c r="P17" s="254"/>
      <c r="Q17" s="254"/>
      <c r="R17" s="254"/>
      <c r="S17" s="254"/>
      <c r="T17" s="254"/>
      <c r="U17" s="254"/>
      <c r="V17" s="254"/>
      <c r="W17" s="254"/>
      <c r="X17" s="254"/>
      <c r="Y17" s="254"/>
      <c r="Z17" s="254"/>
      <c r="AA17" s="254"/>
      <c r="AB17" s="254"/>
      <c r="AC17" s="459"/>
      <c r="AD17" s="459"/>
      <c r="AE17" s="459"/>
      <c r="AF17" s="262" t="s">
        <v>39</v>
      </c>
      <c r="AG17" s="262"/>
      <c r="AH17" s="262"/>
      <c r="AI17" s="262"/>
      <c r="AJ17" s="262"/>
      <c r="AK17" s="262"/>
      <c r="AL17" s="254" t="s">
        <v>1090</v>
      </c>
      <c r="AM17" s="254"/>
      <c r="AN17" s="254"/>
      <c r="AO17" s="254"/>
      <c r="AP17" s="254"/>
      <c r="AQ17" s="254"/>
      <c r="AR17" s="254"/>
      <c r="AS17" s="254"/>
      <c r="AT17" s="254"/>
      <c r="AU17" s="254"/>
      <c r="AV17" s="254"/>
      <c r="AW17" s="254"/>
      <c r="AX17" s="254"/>
      <c r="AY17" s="254"/>
      <c r="AZ17" s="254"/>
      <c r="BA17" s="254"/>
      <c r="BB17" s="254"/>
      <c r="BC17" s="254"/>
      <c r="BD17" s="254"/>
      <c r="BE17" s="254"/>
      <c r="BF17" s="254"/>
      <c r="BG17" s="155"/>
    </row>
    <row r="18" spans="1:59" ht="16.5" customHeight="1" x14ac:dyDescent="0.3">
      <c r="A18" s="155"/>
      <c r="B18" s="254" t="s">
        <v>317</v>
      </c>
      <c r="C18" s="254"/>
      <c r="D18" s="254"/>
      <c r="E18" s="254"/>
      <c r="F18" s="254"/>
      <c r="G18" s="254"/>
      <c r="H18" s="2965">
        <f>DASHBOARD!CA271</f>
        <v>0</v>
      </c>
      <c r="I18" s="2965"/>
      <c r="J18" s="2965"/>
      <c r="K18" s="2965">
        <f>DASHBOARD!CB271</f>
        <v>0</v>
      </c>
      <c r="L18" s="2965"/>
      <c r="M18" s="2965"/>
      <c r="N18" s="2965">
        <f>DASHBOARD!CC271</f>
        <v>0</v>
      </c>
      <c r="O18" s="2965"/>
      <c r="P18" s="2965"/>
      <c r="Q18" s="2962">
        <f>DASHBOARD!CD271</f>
        <v>0</v>
      </c>
      <c r="R18" s="2962"/>
      <c r="S18" s="2962"/>
      <c r="T18" s="2965">
        <f>DASHBOARD!CE271</f>
        <v>0</v>
      </c>
      <c r="U18" s="2965"/>
      <c r="V18" s="2965"/>
      <c r="W18" s="2965">
        <f>DASHBOARD!CF271</f>
        <v>0</v>
      </c>
      <c r="X18" s="2965"/>
      <c r="Y18" s="2965"/>
      <c r="Z18" s="2965">
        <f>DASHBOARD!CG271</f>
        <v>0</v>
      </c>
      <c r="AA18" s="2965"/>
      <c r="AB18" s="2965"/>
      <c r="AC18" s="459"/>
      <c r="AD18" s="459"/>
      <c r="AE18" s="459"/>
      <c r="AF18" s="254" t="s">
        <v>317</v>
      </c>
      <c r="AG18" s="254"/>
      <c r="AH18" s="254"/>
      <c r="AI18" s="254"/>
      <c r="AJ18" s="254"/>
      <c r="AK18" s="254"/>
      <c r="AL18" s="2965">
        <f>DASHBOARD!CJ271</f>
        <v>0</v>
      </c>
      <c r="AM18" s="2965"/>
      <c r="AN18" s="2965"/>
      <c r="AO18" s="2965">
        <f>DASHBOARD!CK271</f>
        <v>0</v>
      </c>
      <c r="AP18" s="2965"/>
      <c r="AQ18" s="2965"/>
      <c r="AR18" s="2965">
        <f>DASHBOARD!CL271</f>
        <v>0</v>
      </c>
      <c r="AS18" s="2965"/>
      <c r="AT18" s="2965"/>
      <c r="AU18" s="2962">
        <f>DASHBOARD!CM271</f>
        <v>0</v>
      </c>
      <c r="AV18" s="2962"/>
      <c r="AW18" s="2962"/>
      <c r="AX18" s="2965">
        <f>DASHBOARD!CN271</f>
        <v>0</v>
      </c>
      <c r="AY18" s="2965"/>
      <c r="AZ18" s="2965"/>
      <c r="BA18" s="2965">
        <f>DASHBOARD!CO271</f>
        <v>0</v>
      </c>
      <c r="BB18" s="2965"/>
      <c r="BC18" s="2965"/>
      <c r="BD18" s="2965">
        <f>DASHBOARD!CP271</f>
        <v>0</v>
      </c>
      <c r="BE18" s="2965"/>
      <c r="BF18" s="2965"/>
      <c r="BG18" s="155"/>
    </row>
    <row r="19" spans="1:59" ht="16.5" customHeight="1" x14ac:dyDescent="0.3">
      <c r="A19" s="155"/>
      <c r="B19" s="2992">
        <f>DASHBOARD!BZ272</f>
        <v>0</v>
      </c>
      <c r="C19" s="2992"/>
      <c r="D19" s="2992"/>
      <c r="E19" s="2992"/>
      <c r="F19" s="2992"/>
      <c r="G19" s="2993"/>
      <c r="H19" s="2980" t="str">
        <f>DASHBOARD!CA272</f>
        <v>n.a</v>
      </c>
      <c r="I19" s="2967"/>
      <c r="J19" s="2967"/>
      <c r="K19" s="2967" t="str">
        <f>DASHBOARD!CB272</f>
        <v>n.a</v>
      </c>
      <c r="L19" s="2967"/>
      <c r="M19" s="2967"/>
      <c r="N19" s="2967" t="str">
        <f>DASHBOARD!CC272</f>
        <v>n.a</v>
      </c>
      <c r="O19" s="2967"/>
      <c r="P19" s="2967"/>
      <c r="Q19" s="2958" t="str">
        <f>DASHBOARD!CD272</f>
        <v>n.a</v>
      </c>
      <c r="R19" s="2958"/>
      <c r="S19" s="2958"/>
      <c r="T19" s="2967" t="str">
        <f>DASHBOARD!CE272</f>
        <v>n.a</v>
      </c>
      <c r="U19" s="2967"/>
      <c r="V19" s="2967"/>
      <c r="W19" s="2967" t="str">
        <f>DASHBOARD!CF272</f>
        <v>n.a</v>
      </c>
      <c r="X19" s="2967"/>
      <c r="Y19" s="2967"/>
      <c r="Z19" s="2967" t="str">
        <f>DASHBOARD!CG272</f>
        <v>n.a</v>
      </c>
      <c r="AA19" s="2967"/>
      <c r="AB19" s="2967"/>
      <c r="AC19" s="159"/>
      <c r="AD19" s="159"/>
      <c r="AE19" s="159"/>
      <c r="AF19" s="2992">
        <f>DASHBOARD!CI272</f>
        <v>0</v>
      </c>
      <c r="AG19" s="2992"/>
      <c r="AH19" s="2992"/>
      <c r="AI19" s="2992"/>
      <c r="AJ19" s="2992"/>
      <c r="AK19" s="2993"/>
      <c r="AL19" s="2980">
        <f>DASHBOARD!CJ272</f>
        <v>0</v>
      </c>
      <c r="AM19" s="2967"/>
      <c r="AN19" s="2967"/>
      <c r="AO19" s="2967">
        <f>DASHBOARD!CK272</f>
        <v>0</v>
      </c>
      <c r="AP19" s="2967"/>
      <c r="AQ19" s="2967"/>
      <c r="AR19" s="2967">
        <f>DASHBOARD!CL272</f>
        <v>0</v>
      </c>
      <c r="AS19" s="2967"/>
      <c r="AT19" s="2967"/>
      <c r="AU19" s="2958">
        <f>DASHBOARD!CM272</f>
        <v>0</v>
      </c>
      <c r="AV19" s="2958"/>
      <c r="AW19" s="2958"/>
      <c r="AX19" s="2967">
        <f>DASHBOARD!CN272</f>
        <v>0</v>
      </c>
      <c r="AY19" s="2967"/>
      <c r="AZ19" s="2967"/>
      <c r="BA19" s="2967">
        <f>DASHBOARD!CO272</f>
        <v>0</v>
      </c>
      <c r="BB19" s="2967"/>
      <c r="BC19" s="2967"/>
      <c r="BD19" s="2967">
        <f>DASHBOARD!CP272</f>
        <v>0</v>
      </c>
      <c r="BE19" s="2967"/>
      <c r="BF19" s="2967"/>
      <c r="BG19" s="155"/>
    </row>
    <row r="20" spans="1:59" ht="16.5" customHeight="1" x14ac:dyDescent="0.3">
      <c r="A20" s="155"/>
      <c r="B20" s="2992">
        <f>DASHBOARD!BZ273</f>
        <v>0</v>
      </c>
      <c r="C20" s="2992"/>
      <c r="D20" s="2992"/>
      <c r="E20" s="2992"/>
      <c r="F20" s="2992"/>
      <c r="G20" s="2993"/>
      <c r="H20" s="2981" t="str">
        <f>DASHBOARD!CA273</f>
        <v>n.a</v>
      </c>
      <c r="I20" s="2968"/>
      <c r="J20" s="2968"/>
      <c r="K20" s="2968" t="str">
        <f>DASHBOARD!CB273</f>
        <v>n.a</v>
      </c>
      <c r="L20" s="2968"/>
      <c r="M20" s="2968"/>
      <c r="N20" s="2968" t="str">
        <f>DASHBOARD!CC273</f>
        <v>n.a</v>
      </c>
      <c r="O20" s="2968"/>
      <c r="P20" s="2968"/>
      <c r="Q20" s="2959" t="str">
        <f>DASHBOARD!CD273</f>
        <v>n.a</v>
      </c>
      <c r="R20" s="2959"/>
      <c r="S20" s="2959"/>
      <c r="T20" s="2968" t="str">
        <f>DASHBOARD!CE273</f>
        <v>n.a</v>
      </c>
      <c r="U20" s="2968"/>
      <c r="V20" s="2968"/>
      <c r="W20" s="2968" t="str">
        <f>DASHBOARD!CF273</f>
        <v>n.a</v>
      </c>
      <c r="X20" s="2968"/>
      <c r="Y20" s="2968"/>
      <c r="Z20" s="2968" t="str">
        <f>DASHBOARD!CG273</f>
        <v>n.a</v>
      </c>
      <c r="AA20" s="2968"/>
      <c r="AB20" s="2968"/>
      <c r="AC20" s="159"/>
      <c r="AD20" s="159"/>
      <c r="AE20" s="159"/>
      <c r="AF20" s="2992">
        <f>DASHBOARD!CI273</f>
        <v>0</v>
      </c>
      <c r="AG20" s="2992"/>
      <c r="AH20" s="2992"/>
      <c r="AI20" s="2992"/>
      <c r="AJ20" s="2992"/>
      <c r="AK20" s="2993"/>
      <c r="AL20" s="2981">
        <f>DASHBOARD!CJ273</f>
        <v>0</v>
      </c>
      <c r="AM20" s="2968"/>
      <c r="AN20" s="2968"/>
      <c r="AO20" s="2968">
        <f>DASHBOARD!CK273</f>
        <v>0</v>
      </c>
      <c r="AP20" s="2968"/>
      <c r="AQ20" s="2968"/>
      <c r="AR20" s="2968">
        <f>DASHBOARD!CL273</f>
        <v>0</v>
      </c>
      <c r="AS20" s="2968"/>
      <c r="AT20" s="2968"/>
      <c r="AU20" s="2959">
        <f>DASHBOARD!CM273</f>
        <v>0</v>
      </c>
      <c r="AV20" s="2959"/>
      <c r="AW20" s="2959"/>
      <c r="AX20" s="2968">
        <f>DASHBOARD!CN273</f>
        <v>0</v>
      </c>
      <c r="AY20" s="2968"/>
      <c r="AZ20" s="2968"/>
      <c r="BA20" s="2968">
        <f>DASHBOARD!CO273</f>
        <v>0</v>
      </c>
      <c r="BB20" s="2968"/>
      <c r="BC20" s="2968"/>
      <c r="BD20" s="2968">
        <f>DASHBOARD!CP273</f>
        <v>0</v>
      </c>
      <c r="BE20" s="2968"/>
      <c r="BF20" s="2968"/>
      <c r="BG20" s="155"/>
    </row>
    <row r="21" spans="1:59" ht="16.5" customHeight="1" x14ac:dyDescent="0.3">
      <c r="A21" s="155"/>
      <c r="B21" s="2992">
        <f>DASHBOARD!BZ274</f>
        <v>0</v>
      </c>
      <c r="C21" s="2992"/>
      <c r="D21" s="2992"/>
      <c r="E21" s="2992"/>
      <c r="F21" s="2992"/>
      <c r="G21" s="2993"/>
      <c r="H21" s="2981" t="str">
        <f>DASHBOARD!CA274</f>
        <v>n.a</v>
      </c>
      <c r="I21" s="2968"/>
      <c r="J21" s="2968"/>
      <c r="K21" s="2968" t="str">
        <f>DASHBOARD!CB274</f>
        <v>n.a</v>
      </c>
      <c r="L21" s="2968"/>
      <c r="M21" s="2968"/>
      <c r="N21" s="2968" t="str">
        <f>DASHBOARD!CC274</f>
        <v>n.a</v>
      </c>
      <c r="O21" s="2968"/>
      <c r="P21" s="2968"/>
      <c r="Q21" s="2959" t="str">
        <f>DASHBOARD!CD274</f>
        <v>n.a</v>
      </c>
      <c r="R21" s="2959"/>
      <c r="S21" s="2959"/>
      <c r="T21" s="2968" t="str">
        <f>DASHBOARD!CE274</f>
        <v>n.a</v>
      </c>
      <c r="U21" s="2968"/>
      <c r="V21" s="2968"/>
      <c r="W21" s="2968" t="str">
        <f>DASHBOARD!CF274</f>
        <v>n.a</v>
      </c>
      <c r="X21" s="2968"/>
      <c r="Y21" s="2968"/>
      <c r="Z21" s="2968" t="str">
        <f>DASHBOARD!CG274</f>
        <v>n.a</v>
      </c>
      <c r="AA21" s="2968"/>
      <c r="AB21" s="2968"/>
      <c r="AC21" s="159"/>
      <c r="AD21" s="453"/>
      <c r="AE21" s="453"/>
      <c r="AF21" s="2992">
        <f>DASHBOARD!CI274</f>
        <v>0</v>
      </c>
      <c r="AG21" s="2992"/>
      <c r="AH21" s="2992"/>
      <c r="AI21" s="2992"/>
      <c r="AJ21" s="2992"/>
      <c r="AK21" s="2993"/>
      <c r="AL21" s="2981">
        <f>DASHBOARD!CJ274</f>
        <v>0</v>
      </c>
      <c r="AM21" s="2968"/>
      <c r="AN21" s="2968"/>
      <c r="AO21" s="2968">
        <f>DASHBOARD!CK274</f>
        <v>0</v>
      </c>
      <c r="AP21" s="2968"/>
      <c r="AQ21" s="2968"/>
      <c r="AR21" s="2968">
        <f>DASHBOARD!CL274</f>
        <v>0</v>
      </c>
      <c r="AS21" s="2968"/>
      <c r="AT21" s="2968"/>
      <c r="AU21" s="2959">
        <f>DASHBOARD!CM274</f>
        <v>0</v>
      </c>
      <c r="AV21" s="2959"/>
      <c r="AW21" s="2959"/>
      <c r="AX21" s="2968">
        <f>DASHBOARD!CN274</f>
        <v>0</v>
      </c>
      <c r="AY21" s="2968"/>
      <c r="AZ21" s="2968"/>
      <c r="BA21" s="2968">
        <f>DASHBOARD!CO274</f>
        <v>0</v>
      </c>
      <c r="BB21" s="2968"/>
      <c r="BC21" s="2968"/>
      <c r="BD21" s="2968">
        <f>DASHBOARD!CP274</f>
        <v>0</v>
      </c>
      <c r="BE21" s="2968"/>
      <c r="BF21" s="2968"/>
      <c r="BG21" s="155"/>
    </row>
    <row r="22" spans="1:59" ht="16.5" customHeight="1" x14ac:dyDescent="0.3">
      <c r="A22" s="155"/>
      <c r="B22" s="2994">
        <f>DASHBOARD!BZ275</f>
        <v>0</v>
      </c>
      <c r="C22" s="2994"/>
      <c r="D22" s="2994"/>
      <c r="E22" s="2994"/>
      <c r="F22" s="2994"/>
      <c r="G22" s="2995"/>
      <c r="H22" s="2982" t="str">
        <f>DASHBOARD!CA275</f>
        <v>n.a</v>
      </c>
      <c r="I22" s="2959"/>
      <c r="J22" s="2959"/>
      <c r="K22" s="2959" t="str">
        <f>DASHBOARD!CB275</f>
        <v>n.a</v>
      </c>
      <c r="L22" s="2959"/>
      <c r="M22" s="2959"/>
      <c r="N22" s="2959" t="str">
        <f>DASHBOARD!CC275</f>
        <v>n.a</v>
      </c>
      <c r="O22" s="2959"/>
      <c r="P22" s="2959"/>
      <c r="Q22" s="2959" t="str">
        <f>DASHBOARD!CD275</f>
        <v>n.a</v>
      </c>
      <c r="R22" s="2959"/>
      <c r="S22" s="2959"/>
      <c r="T22" s="2959" t="str">
        <f>DASHBOARD!CE275</f>
        <v>n.a</v>
      </c>
      <c r="U22" s="2959"/>
      <c r="V22" s="2959"/>
      <c r="W22" s="2959" t="str">
        <f>DASHBOARD!CF275</f>
        <v>n.a</v>
      </c>
      <c r="X22" s="2959"/>
      <c r="Y22" s="2959"/>
      <c r="Z22" s="2959" t="str">
        <f>DASHBOARD!CG275</f>
        <v>n.a</v>
      </c>
      <c r="AA22" s="2959"/>
      <c r="AB22" s="2959"/>
      <c r="AC22" s="159"/>
      <c r="AD22" s="453"/>
      <c r="AE22" s="453"/>
      <c r="AF22" s="2994">
        <f>DASHBOARD!CI275</f>
        <v>0</v>
      </c>
      <c r="AG22" s="2994"/>
      <c r="AH22" s="2994"/>
      <c r="AI22" s="2994"/>
      <c r="AJ22" s="2994"/>
      <c r="AK22" s="2995"/>
      <c r="AL22" s="2982">
        <f>DASHBOARD!CJ275</f>
        <v>0</v>
      </c>
      <c r="AM22" s="2959"/>
      <c r="AN22" s="2959"/>
      <c r="AO22" s="2959">
        <f>DASHBOARD!CK275</f>
        <v>0</v>
      </c>
      <c r="AP22" s="2959"/>
      <c r="AQ22" s="2959"/>
      <c r="AR22" s="2959">
        <f>DASHBOARD!CL275</f>
        <v>0</v>
      </c>
      <c r="AS22" s="2959"/>
      <c r="AT22" s="2959"/>
      <c r="AU22" s="2959">
        <f>DASHBOARD!CM275</f>
        <v>0</v>
      </c>
      <c r="AV22" s="2959"/>
      <c r="AW22" s="2959"/>
      <c r="AX22" s="2959">
        <f>DASHBOARD!CN275</f>
        <v>0</v>
      </c>
      <c r="AY22" s="2959"/>
      <c r="AZ22" s="2959"/>
      <c r="BA22" s="2959">
        <f>DASHBOARD!CO275</f>
        <v>0</v>
      </c>
      <c r="BB22" s="2959"/>
      <c r="BC22" s="2959"/>
      <c r="BD22" s="2959">
        <f>DASHBOARD!CP275</f>
        <v>0</v>
      </c>
      <c r="BE22" s="2959"/>
      <c r="BF22" s="2959"/>
      <c r="BG22" s="155"/>
    </row>
    <row r="23" spans="1:59" ht="16.5" customHeight="1" x14ac:dyDescent="0.3">
      <c r="A23" s="155"/>
      <c r="B23" s="2992">
        <f>DASHBOARD!BZ276</f>
        <v>0</v>
      </c>
      <c r="C23" s="2992"/>
      <c r="D23" s="2992"/>
      <c r="E23" s="2992"/>
      <c r="F23" s="2992"/>
      <c r="G23" s="2993"/>
      <c r="H23" s="2981" t="str">
        <f>DASHBOARD!CA276</f>
        <v>n.a</v>
      </c>
      <c r="I23" s="2968"/>
      <c r="J23" s="2968"/>
      <c r="K23" s="2968" t="str">
        <f>DASHBOARD!CB276</f>
        <v>n.a</v>
      </c>
      <c r="L23" s="2968"/>
      <c r="M23" s="2968"/>
      <c r="N23" s="2968" t="str">
        <f>DASHBOARD!CC276</f>
        <v>n.a</v>
      </c>
      <c r="O23" s="2968"/>
      <c r="P23" s="2968"/>
      <c r="Q23" s="2959" t="str">
        <f>DASHBOARD!CD276</f>
        <v>n.a</v>
      </c>
      <c r="R23" s="2959"/>
      <c r="S23" s="2959"/>
      <c r="T23" s="2968" t="str">
        <f>DASHBOARD!CE276</f>
        <v>n.a</v>
      </c>
      <c r="U23" s="2968"/>
      <c r="V23" s="2968"/>
      <c r="W23" s="2968" t="str">
        <f>DASHBOARD!CF276</f>
        <v>n.a</v>
      </c>
      <c r="X23" s="2968"/>
      <c r="Y23" s="2968"/>
      <c r="Z23" s="2968" t="str">
        <f>DASHBOARD!CG276</f>
        <v>n.a</v>
      </c>
      <c r="AA23" s="2968"/>
      <c r="AB23" s="2968"/>
      <c r="AC23" s="159"/>
      <c r="AD23" s="452"/>
      <c r="AE23" s="452"/>
      <c r="AF23" s="2992">
        <f>DASHBOARD!CI276</f>
        <v>0</v>
      </c>
      <c r="AG23" s="2992"/>
      <c r="AH23" s="2992"/>
      <c r="AI23" s="2992"/>
      <c r="AJ23" s="2992"/>
      <c r="AK23" s="2993"/>
      <c r="AL23" s="2981">
        <f>DASHBOARD!CJ276</f>
        <v>0</v>
      </c>
      <c r="AM23" s="2968"/>
      <c r="AN23" s="2968"/>
      <c r="AO23" s="2968">
        <f>DASHBOARD!CK276</f>
        <v>0</v>
      </c>
      <c r="AP23" s="2968"/>
      <c r="AQ23" s="2968"/>
      <c r="AR23" s="2968">
        <f>DASHBOARD!CL276</f>
        <v>0</v>
      </c>
      <c r="AS23" s="2968"/>
      <c r="AT23" s="2968"/>
      <c r="AU23" s="2959">
        <f>DASHBOARD!CM276</f>
        <v>0</v>
      </c>
      <c r="AV23" s="2959"/>
      <c r="AW23" s="2959"/>
      <c r="AX23" s="2968">
        <f>DASHBOARD!CN276</f>
        <v>0</v>
      </c>
      <c r="AY23" s="2968"/>
      <c r="AZ23" s="2968"/>
      <c r="BA23" s="2968">
        <f>DASHBOARD!CO276</f>
        <v>0</v>
      </c>
      <c r="BB23" s="2968"/>
      <c r="BC23" s="2968"/>
      <c r="BD23" s="2968">
        <f>DASHBOARD!CP276</f>
        <v>0</v>
      </c>
      <c r="BE23" s="2968"/>
      <c r="BF23" s="2968"/>
      <c r="BG23" s="155"/>
    </row>
    <row r="24" spans="1:59" ht="16.5" customHeight="1" x14ac:dyDescent="0.3">
      <c r="A24" s="155"/>
      <c r="B24" s="2992">
        <f>DASHBOARD!BZ277</f>
        <v>0</v>
      </c>
      <c r="C24" s="2992"/>
      <c r="D24" s="2992"/>
      <c r="E24" s="2992"/>
      <c r="F24" s="2992"/>
      <c r="G24" s="2993"/>
      <c r="H24" s="2981" t="str">
        <f>DASHBOARD!CA277</f>
        <v>n.a</v>
      </c>
      <c r="I24" s="2968"/>
      <c r="J24" s="2968"/>
      <c r="K24" s="2968" t="str">
        <f>DASHBOARD!CB277</f>
        <v>n.a</v>
      </c>
      <c r="L24" s="2968"/>
      <c r="M24" s="2968"/>
      <c r="N24" s="2968" t="str">
        <f>DASHBOARD!CC277</f>
        <v>n.a</v>
      </c>
      <c r="O24" s="2968"/>
      <c r="P24" s="2968"/>
      <c r="Q24" s="2959" t="str">
        <f>DASHBOARD!CD277</f>
        <v>n.a</v>
      </c>
      <c r="R24" s="2959"/>
      <c r="S24" s="2959"/>
      <c r="T24" s="2968" t="str">
        <f>DASHBOARD!CE277</f>
        <v>n.a</v>
      </c>
      <c r="U24" s="2968"/>
      <c r="V24" s="2968"/>
      <c r="W24" s="2968" t="str">
        <f>DASHBOARD!CF277</f>
        <v>n.a</v>
      </c>
      <c r="X24" s="2968"/>
      <c r="Y24" s="2968"/>
      <c r="Z24" s="2968" t="str">
        <f>DASHBOARD!CG277</f>
        <v>n.a</v>
      </c>
      <c r="AA24" s="2968"/>
      <c r="AB24" s="2968"/>
      <c r="AC24" s="159"/>
      <c r="AD24" s="159"/>
      <c r="AE24" s="159"/>
      <c r="AF24" s="2992">
        <f>DASHBOARD!CI277</f>
        <v>0</v>
      </c>
      <c r="AG24" s="2992"/>
      <c r="AH24" s="2992"/>
      <c r="AI24" s="2992"/>
      <c r="AJ24" s="2992"/>
      <c r="AK24" s="2993"/>
      <c r="AL24" s="2981">
        <f>DASHBOARD!CJ277</f>
        <v>0</v>
      </c>
      <c r="AM24" s="2968"/>
      <c r="AN24" s="2968"/>
      <c r="AO24" s="2968">
        <f>DASHBOARD!CK277</f>
        <v>0</v>
      </c>
      <c r="AP24" s="2968"/>
      <c r="AQ24" s="2968"/>
      <c r="AR24" s="2968">
        <f>DASHBOARD!CL277</f>
        <v>0</v>
      </c>
      <c r="AS24" s="2968"/>
      <c r="AT24" s="2968"/>
      <c r="AU24" s="2959">
        <f>DASHBOARD!CM277</f>
        <v>0</v>
      </c>
      <c r="AV24" s="2959"/>
      <c r="AW24" s="2959"/>
      <c r="AX24" s="2968">
        <f>DASHBOARD!CN277</f>
        <v>0</v>
      </c>
      <c r="AY24" s="2968"/>
      <c r="AZ24" s="2968"/>
      <c r="BA24" s="2968">
        <f>DASHBOARD!CO277</f>
        <v>0</v>
      </c>
      <c r="BB24" s="2968"/>
      <c r="BC24" s="2968"/>
      <c r="BD24" s="2968">
        <f>DASHBOARD!CP277</f>
        <v>0</v>
      </c>
      <c r="BE24" s="2968"/>
      <c r="BF24" s="2968"/>
      <c r="BG24" s="155"/>
    </row>
    <row r="25" spans="1:59" ht="16.5" customHeight="1" x14ac:dyDescent="0.3">
      <c r="A25" s="155"/>
      <c r="B25" s="2992">
        <f>DASHBOARD!BZ278</f>
        <v>0</v>
      </c>
      <c r="C25" s="2992"/>
      <c r="D25" s="2992"/>
      <c r="E25" s="2992"/>
      <c r="F25" s="2992"/>
      <c r="G25" s="2993"/>
      <c r="H25" s="2981" t="str">
        <f>DASHBOARD!CA278</f>
        <v>n.a</v>
      </c>
      <c r="I25" s="2968"/>
      <c r="J25" s="2968"/>
      <c r="K25" s="2968" t="str">
        <f>DASHBOARD!CB278</f>
        <v>n.a</v>
      </c>
      <c r="L25" s="2968"/>
      <c r="M25" s="2968"/>
      <c r="N25" s="2968" t="str">
        <f>DASHBOARD!CC278</f>
        <v>n.a</v>
      </c>
      <c r="O25" s="2968"/>
      <c r="P25" s="2968"/>
      <c r="Q25" s="2959" t="str">
        <f>DASHBOARD!CD278</f>
        <v>n.a</v>
      </c>
      <c r="R25" s="2959"/>
      <c r="S25" s="2959"/>
      <c r="T25" s="2968" t="str">
        <f>DASHBOARD!CE278</f>
        <v>n.a</v>
      </c>
      <c r="U25" s="2968"/>
      <c r="V25" s="2968"/>
      <c r="W25" s="2968" t="str">
        <f>DASHBOARD!CF278</f>
        <v>n.a</v>
      </c>
      <c r="X25" s="2968"/>
      <c r="Y25" s="2968"/>
      <c r="Z25" s="2968" t="str">
        <f>DASHBOARD!CG278</f>
        <v>n.a</v>
      </c>
      <c r="AA25" s="2968"/>
      <c r="AB25" s="2968"/>
      <c r="AC25" s="159"/>
      <c r="AD25" s="159"/>
      <c r="AE25" s="159"/>
      <c r="AF25" s="2992">
        <f>DASHBOARD!CI278</f>
        <v>0</v>
      </c>
      <c r="AG25" s="2992"/>
      <c r="AH25" s="2992"/>
      <c r="AI25" s="2992"/>
      <c r="AJ25" s="2992"/>
      <c r="AK25" s="2993"/>
      <c r="AL25" s="2983">
        <f>DASHBOARD!CJ278</f>
        <v>0</v>
      </c>
      <c r="AM25" s="2964"/>
      <c r="AN25" s="2964"/>
      <c r="AO25" s="2964">
        <f>DASHBOARD!CK278</f>
        <v>0</v>
      </c>
      <c r="AP25" s="2964"/>
      <c r="AQ25" s="2964"/>
      <c r="AR25" s="2964">
        <f>DASHBOARD!CL278</f>
        <v>0</v>
      </c>
      <c r="AS25" s="2964"/>
      <c r="AT25" s="2964"/>
      <c r="AU25" s="2961">
        <f>DASHBOARD!CM278</f>
        <v>0</v>
      </c>
      <c r="AV25" s="2961"/>
      <c r="AW25" s="2961"/>
      <c r="AX25" s="2964">
        <f>DASHBOARD!CN278</f>
        <v>0</v>
      </c>
      <c r="AY25" s="2964"/>
      <c r="AZ25" s="2964"/>
      <c r="BA25" s="2964">
        <f>DASHBOARD!CO278</f>
        <v>0</v>
      </c>
      <c r="BB25" s="2964"/>
      <c r="BC25" s="2964"/>
      <c r="BD25" s="2964">
        <f>DASHBOARD!CP278</f>
        <v>0</v>
      </c>
      <c r="BE25" s="2964"/>
      <c r="BF25" s="2964"/>
      <c r="BG25" s="155"/>
    </row>
    <row r="26" spans="1:59" ht="16.5" customHeight="1" x14ac:dyDescent="0.3">
      <c r="A26" s="155"/>
      <c r="B26" s="44"/>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159"/>
      <c r="BD26" s="159"/>
      <c r="BE26" s="159"/>
      <c r="BF26" s="159"/>
      <c r="BG26" s="155"/>
    </row>
    <row r="27" spans="1:59" ht="16.5" customHeight="1" x14ac:dyDescent="0.3">
      <c r="A27" s="155"/>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44"/>
      <c r="AD27" s="44"/>
      <c r="AE27" s="44"/>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c r="BF27" s="159"/>
      <c r="BG27" s="155"/>
    </row>
    <row r="28" spans="1:59" ht="16.5" customHeight="1" x14ac:dyDescent="0.3">
      <c r="A28" s="155"/>
      <c r="B28" s="262" t="s">
        <v>309</v>
      </c>
      <c r="C28" s="262"/>
      <c r="D28" s="262"/>
      <c r="E28" s="262"/>
      <c r="F28" s="262"/>
      <c r="G28" s="262"/>
      <c r="H28" s="254" t="s">
        <v>1090</v>
      </c>
      <c r="I28" s="254"/>
      <c r="J28" s="254"/>
      <c r="K28" s="254"/>
      <c r="L28" s="254"/>
      <c r="M28" s="254"/>
      <c r="N28" s="254"/>
      <c r="O28" s="254"/>
      <c r="P28" s="254"/>
      <c r="Q28" s="254"/>
      <c r="R28" s="254"/>
      <c r="S28" s="254"/>
      <c r="T28" s="254"/>
      <c r="U28" s="254"/>
      <c r="V28" s="254"/>
      <c r="W28" s="254"/>
      <c r="X28" s="254"/>
      <c r="Y28" s="254"/>
      <c r="Z28" s="254"/>
      <c r="AA28" s="254"/>
      <c r="AB28" s="254"/>
      <c r="AC28" s="44"/>
      <c r="AD28" s="44"/>
      <c r="AE28" s="44"/>
      <c r="AF28" s="262" t="s">
        <v>310</v>
      </c>
      <c r="AG28" s="262"/>
      <c r="AH28" s="262"/>
      <c r="AI28" s="262"/>
      <c r="AJ28" s="262"/>
      <c r="AK28" s="262"/>
      <c r="AL28" s="254" t="s">
        <v>1090</v>
      </c>
      <c r="AM28" s="254"/>
      <c r="AN28" s="254"/>
      <c r="AO28" s="254"/>
      <c r="AP28" s="254"/>
      <c r="AQ28" s="254"/>
      <c r="AR28" s="254"/>
      <c r="AS28" s="254"/>
      <c r="AT28" s="254"/>
      <c r="AU28" s="254"/>
      <c r="AV28" s="254"/>
      <c r="AW28" s="254"/>
      <c r="AX28" s="254"/>
      <c r="AY28" s="254"/>
      <c r="AZ28" s="254"/>
      <c r="BA28" s="254"/>
      <c r="BB28" s="254"/>
      <c r="BC28" s="254"/>
      <c r="BD28" s="254"/>
      <c r="BE28" s="254"/>
      <c r="BF28" s="254"/>
      <c r="BG28" s="155"/>
    </row>
    <row r="29" spans="1:59" ht="16.5" customHeight="1" x14ac:dyDescent="0.3">
      <c r="A29" s="155"/>
      <c r="B29" s="254" t="s">
        <v>317</v>
      </c>
      <c r="C29" s="254"/>
      <c r="D29" s="254"/>
      <c r="E29" s="254"/>
      <c r="F29" s="254"/>
      <c r="G29" s="254"/>
      <c r="H29" s="2965">
        <f>H18</f>
        <v>0</v>
      </c>
      <c r="I29" s="2965"/>
      <c r="J29" s="2965"/>
      <c r="K29" s="2965">
        <f>K18</f>
        <v>0</v>
      </c>
      <c r="L29" s="2965"/>
      <c r="M29" s="2965"/>
      <c r="N29" s="2965">
        <f>N18</f>
        <v>0</v>
      </c>
      <c r="O29" s="2965"/>
      <c r="P29" s="2965"/>
      <c r="Q29" s="2962">
        <f>Q18</f>
        <v>0</v>
      </c>
      <c r="R29" s="2962"/>
      <c r="S29" s="2962"/>
      <c r="T29" s="2965">
        <f>T18</f>
        <v>0</v>
      </c>
      <c r="U29" s="2965"/>
      <c r="V29" s="2965"/>
      <c r="W29" s="2965">
        <f>W18</f>
        <v>0</v>
      </c>
      <c r="X29" s="2965"/>
      <c r="Y29" s="2965"/>
      <c r="Z29" s="2965">
        <f>Z18</f>
        <v>0</v>
      </c>
      <c r="AA29" s="2965"/>
      <c r="AB29" s="2965"/>
      <c r="AC29" s="44"/>
      <c r="AD29" s="44"/>
      <c r="AE29" s="44"/>
      <c r="AF29" s="254" t="s">
        <v>317</v>
      </c>
      <c r="AG29" s="254"/>
      <c r="AH29" s="254"/>
      <c r="AI29" s="254"/>
      <c r="AJ29" s="254"/>
      <c r="AK29" s="254"/>
      <c r="AL29" s="2965">
        <f>AL18</f>
        <v>0</v>
      </c>
      <c r="AM29" s="2965"/>
      <c r="AN29" s="2965"/>
      <c r="AO29" s="2965">
        <f>AO18</f>
        <v>0</v>
      </c>
      <c r="AP29" s="2965"/>
      <c r="AQ29" s="2965"/>
      <c r="AR29" s="2965">
        <f>AR18</f>
        <v>0</v>
      </c>
      <c r="AS29" s="2965"/>
      <c r="AT29" s="2965"/>
      <c r="AU29" s="2962">
        <f>AU18</f>
        <v>0</v>
      </c>
      <c r="AV29" s="2962"/>
      <c r="AW29" s="2962"/>
      <c r="AX29" s="2965">
        <f>AX18</f>
        <v>0</v>
      </c>
      <c r="AY29" s="2965"/>
      <c r="AZ29" s="2965"/>
      <c r="BA29" s="2965">
        <f>BA18</f>
        <v>0</v>
      </c>
      <c r="BB29" s="2965"/>
      <c r="BC29" s="2965"/>
      <c r="BD29" s="2965">
        <f>BD18</f>
        <v>0</v>
      </c>
      <c r="BE29" s="2965"/>
      <c r="BF29" s="2965"/>
      <c r="BG29" s="155"/>
    </row>
    <row r="30" spans="1:59" ht="16.5" customHeight="1" x14ac:dyDescent="0.3">
      <c r="A30" s="155"/>
      <c r="B30" s="2992">
        <f>DASHBOARD!CR272</f>
        <v>0</v>
      </c>
      <c r="C30" s="2992"/>
      <c r="D30" s="2992"/>
      <c r="E30" s="2992"/>
      <c r="F30" s="2992"/>
      <c r="G30" s="2993"/>
      <c r="H30" s="2980">
        <f>DASHBOARD!CS272</f>
        <v>0</v>
      </c>
      <c r="I30" s="2967"/>
      <c r="J30" s="2967"/>
      <c r="K30" s="2967">
        <f>DASHBOARD!CT272</f>
        <v>0</v>
      </c>
      <c r="L30" s="2967"/>
      <c r="M30" s="2967"/>
      <c r="N30" s="2967">
        <f>DASHBOARD!CU272</f>
        <v>0</v>
      </c>
      <c r="O30" s="2967"/>
      <c r="P30" s="2967"/>
      <c r="Q30" s="2958">
        <f>DASHBOARD!CV272</f>
        <v>0</v>
      </c>
      <c r="R30" s="2958"/>
      <c r="S30" s="2958"/>
      <c r="T30" s="2967">
        <f>DASHBOARD!CW272</f>
        <v>0</v>
      </c>
      <c r="U30" s="2967"/>
      <c r="V30" s="2967"/>
      <c r="W30" s="2967">
        <f>DASHBOARD!CX272</f>
        <v>0</v>
      </c>
      <c r="X30" s="2967"/>
      <c r="Y30" s="2967"/>
      <c r="Z30" s="2967">
        <f>DASHBOARD!CY272</f>
        <v>0</v>
      </c>
      <c r="AA30" s="2967"/>
      <c r="AB30" s="2967"/>
      <c r="AC30" s="44"/>
      <c r="AD30" s="44"/>
      <c r="AE30" s="44"/>
      <c r="AF30" s="2992">
        <f>DASHBOARD!DA272</f>
        <v>0</v>
      </c>
      <c r="AG30" s="2992"/>
      <c r="AH30" s="2992"/>
      <c r="AI30" s="2992"/>
      <c r="AJ30" s="2992"/>
      <c r="AK30" s="2993"/>
      <c r="AL30" s="2978">
        <f>DASHBOARD!DB272</f>
        <v>0</v>
      </c>
      <c r="AM30" s="2966"/>
      <c r="AN30" s="2966"/>
      <c r="AO30" s="2966">
        <f>DASHBOARD!DC272</f>
        <v>0</v>
      </c>
      <c r="AP30" s="2966"/>
      <c r="AQ30" s="2966"/>
      <c r="AR30" s="2966">
        <f>DASHBOARD!DD272</f>
        <v>0</v>
      </c>
      <c r="AS30" s="2966"/>
      <c r="AT30" s="2966"/>
      <c r="AU30" s="2954">
        <f>DASHBOARD!DE272</f>
        <v>0</v>
      </c>
      <c r="AV30" s="2954"/>
      <c r="AW30" s="2954"/>
      <c r="AX30" s="2966">
        <f>DASHBOARD!DF272</f>
        <v>0</v>
      </c>
      <c r="AY30" s="2966"/>
      <c r="AZ30" s="2966"/>
      <c r="BA30" s="2966">
        <f>DASHBOARD!DG272</f>
        <v>0</v>
      </c>
      <c r="BB30" s="2966"/>
      <c r="BC30" s="2966"/>
      <c r="BD30" s="2966">
        <f>DASHBOARD!DH272</f>
        <v>0</v>
      </c>
      <c r="BE30" s="2966"/>
      <c r="BF30" s="2966"/>
      <c r="BG30" s="155"/>
    </row>
    <row r="31" spans="1:59" ht="16.5" customHeight="1" x14ac:dyDescent="0.3">
      <c r="A31" s="155"/>
      <c r="B31" s="2992">
        <f>DASHBOARD!CR273</f>
        <v>0</v>
      </c>
      <c r="C31" s="2992"/>
      <c r="D31" s="2992"/>
      <c r="E31" s="2992"/>
      <c r="F31" s="2992"/>
      <c r="G31" s="2993"/>
      <c r="H31" s="2981">
        <f>DASHBOARD!CS273</f>
        <v>0</v>
      </c>
      <c r="I31" s="2968"/>
      <c r="J31" s="2968"/>
      <c r="K31" s="2968">
        <f>DASHBOARD!CT273</f>
        <v>0</v>
      </c>
      <c r="L31" s="2968"/>
      <c r="M31" s="2968"/>
      <c r="N31" s="2968">
        <f>DASHBOARD!CU273</f>
        <v>0</v>
      </c>
      <c r="O31" s="2968"/>
      <c r="P31" s="2968"/>
      <c r="Q31" s="2959">
        <f>DASHBOARD!CV273</f>
        <v>0</v>
      </c>
      <c r="R31" s="2959"/>
      <c r="S31" s="2959"/>
      <c r="T31" s="2968">
        <f>DASHBOARD!CW273</f>
        <v>0</v>
      </c>
      <c r="U31" s="2968"/>
      <c r="V31" s="2968"/>
      <c r="W31" s="2968">
        <f>DASHBOARD!CX273</f>
        <v>0</v>
      </c>
      <c r="X31" s="2968"/>
      <c r="Y31" s="2968"/>
      <c r="Z31" s="2968">
        <f>DASHBOARD!CY273</f>
        <v>0</v>
      </c>
      <c r="AA31" s="2968"/>
      <c r="AB31" s="2968"/>
      <c r="AC31" s="44"/>
      <c r="AD31" s="44"/>
      <c r="AE31" s="44"/>
      <c r="AF31" s="2992">
        <f>DASHBOARD!DA273</f>
        <v>0</v>
      </c>
      <c r="AG31" s="2992"/>
      <c r="AH31" s="2992"/>
      <c r="AI31" s="2992"/>
      <c r="AJ31" s="2992"/>
      <c r="AK31" s="2993"/>
      <c r="AL31" s="2977">
        <f>DASHBOARD!DB273</f>
        <v>0</v>
      </c>
      <c r="AM31" s="2852"/>
      <c r="AN31" s="2852"/>
      <c r="AO31" s="2852">
        <f>DASHBOARD!DC273</f>
        <v>0</v>
      </c>
      <c r="AP31" s="2852"/>
      <c r="AQ31" s="2852"/>
      <c r="AR31" s="2852">
        <f>DASHBOARD!DD273</f>
        <v>0</v>
      </c>
      <c r="AS31" s="2852"/>
      <c r="AT31" s="2852"/>
      <c r="AU31" s="2955">
        <f>DASHBOARD!DE273</f>
        <v>0</v>
      </c>
      <c r="AV31" s="2955"/>
      <c r="AW31" s="2955"/>
      <c r="AX31" s="2852">
        <f>DASHBOARD!DF273</f>
        <v>0</v>
      </c>
      <c r="AY31" s="2852"/>
      <c r="AZ31" s="2852"/>
      <c r="BA31" s="2852">
        <f>DASHBOARD!DG273</f>
        <v>0</v>
      </c>
      <c r="BB31" s="2852"/>
      <c r="BC31" s="2852"/>
      <c r="BD31" s="2852">
        <f>DASHBOARD!DH273</f>
        <v>0</v>
      </c>
      <c r="BE31" s="2852"/>
      <c r="BF31" s="2852"/>
      <c r="BG31" s="155"/>
    </row>
    <row r="32" spans="1:59" ht="16.5" customHeight="1" x14ac:dyDescent="0.3">
      <c r="A32" s="155"/>
      <c r="B32" s="2992">
        <f>DASHBOARD!CR274</f>
        <v>0</v>
      </c>
      <c r="C32" s="2992"/>
      <c r="D32" s="2992"/>
      <c r="E32" s="2992"/>
      <c r="F32" s="2992"/>
      <c r="G32" s="2993"/>
      <c r="H32" s="2981">
        <f>DASHBOARD!CS274</f>
        <v>0</v>
      </c>
      <c r="I32" s="2968"/>
      <c r="J32" s="2968"/>
      <c r="K32" s="2968">
        <f>DASHBOARD!CT274</f>
        <v>0</v>
      </c>
      <c r="L32" s="2968"/>
      <c r="M32" s="2968"/>
      <c r="N32" s="2968">
        <f>DASHBOARD!CU274</f>
        <v>0</v>
      </c>
      <c r="O32" s="2968"/>
      <c r="P32" s="2968"/>
      <c r="Q32" s="2959">
        <f>DASHBOARD!CV274</f>
        <v>0</v>
      </c>
      <c r="R32" s="2959"/>
      <c r="S32" s="2959"/>
      <c r="T32" s="2968">
        <f>DASHBOARD!CW274</f>
        <v>0</v>
      </c>
      <c r="U32" s="2968"/>
      <c r="V32" s="2968"/>
      <c r="W32" s="2968">
        <f>DASHBOARD!CX274</f>
        <v>0</v>
      </c>
      <c r="X32" s="2968"/>
      <c r="Y32" s="2968"/>
      <c r="Z32" s="2968">
        <f>DASHBOARD!CY274</f>
        <v>0</v>
      </c>
      <c r="AA32" s="2968"/>
      <c r="AB32" s="2968"/>
      <c r="AC32" s="44"/>
      <c r="AD32" s="44"/>
      <c r="AE32" s="44"/>
      <c r="AF32" s="2992">
        <f>DASHBOARD!DA274</f>
        <v>0</v>
      </c>
      <c r="AG32" s="2992"/>
      <c r="AH32" s="2992"/>
      <c r="AI32" s="2992"/>
      <c r="AJ32" s="2992"/>
      <c r="AK32" s="2993"/>
      <c r="AL32" s="2977">
        <f>DASHBOARD!DB274</f>
        <v>0</v>
      </c>
      <c r="AM32" s="2852"/>
      <c r="AN32" s="2852"/>
      <c r="AO32" s="2852">
        <f>DASHBOARD!DC274</f>
        <v>0</v>
      </c>
      <c r="AP32" s="2852"/>
      <c r="AQ32" s="2852"/>
      <c r="AR32" s="2852">
        <f>DASHBOARD!DD274</f>
        <v>0</v>
      </c>
      <c r="AS32" s="2852"/>
      <c r="AT32" s="2852"/>
      <c r="AU32" s="2955">
        <f>DASHBOARD!DE274</f>
        <v>0</v>
      </c>
      <c r="AV32" s="2955"/>
      <c r="AW32" s="2955"/>
      <c r="AX32" s="2852">
        <f>DASHBOARD!DF274</f>
        <v>0</v>
      </c>
      <c r="AY32" s="2852"/>
      <c r="AZ32" s="2852"/>
      <c r="BA32" s="2852">
        <f>DASHBOARD!DG274</f>
        <v>0</v>
      </c>
      <c r="BB32" s="2852"/>
      <c r="BC32" s="2852"/>
      <c r="BD32" s="2852">
        <f>DASHBOARD!DH274</f>
        <v>0</v>
      </c>
      <c r="BE32" s="2852"/>
      <c r="BF32" s="2852"/>
      <c r="BG32" s="155"/>
    </row>
    <row r="33" spans="1:59" ht="16.5" customHeight="1" x14ac:dyDescent="0.3">
      <c r="A33" s="155"/>
      <c r="B33" s="2994">
        <f>DASHBOARD!CR275</f>
        <v>0</v>
      </c>
      <c r="C33" s="2994"/>
      <c r="D33" s="2994"/>
      <c r="E33" s="2994"/>
      <c r="F33" s="2994"/>
      <c r="G33" s="2995"/>
      <c r="H33" s="2982">
        <f>DASHBOARD!CS275</f>
        <v>0</v>
      </c>
      <c r="I33" s="2959"/>
      <c r="J33" s="2959"/>
      <c r="K33" s="2959">
        <f>DASHBOARD!CT275</f>
        <v>0</v>
      </c>
      <c r="L33" s="2959"/>
      <c r="M33" s="2959"/>
      <c r="N33" s="2959">
        <f>DASHBOARD!CU275</f>
        <v>0</v>
      </c>
      <c r="O33" s="2959"/>
      <c r="P33" s="2959"/>
      <c r="Q33" s="2959">
        <f>DASHBOARD!CV275</f>
        <v>0</v>
      </c>
      <c r="R33" s="2959"/>
      <c r="S33" s="2959"/>
      <c r="T33" s="2959">
        <f>DASHBOARD!CW275</f>
        <v>0</v>
      </c>
      <c r="U33" s="2959"/>
      <c r="V33" s="2959"/>
      <c r="W33" s="2959">
        <f>DASHBOARD!CX275</f>
        <v>0</v>
      </c>
      <c r="X33" s="2959"/>
      <c r="Y33" s="2959"/>
      <c r="Z33" s="2959">
        <f>DASHBOARD!CY275</f>
        <v>0</v>
      </c>
      <c r="AA33" s="2959"/>
      <c r="AB33" s="2959"/>
      <c r="AC33" s="44"/>
      <c r="AD33" s="44"/>
      <c r="AE33" s="44"/>
      <c r="AF33" s="2994">
        <f>DASHBOARD!DA275</f>
        <v>0</v>
      </c>
      <c r="AG33" s="2994"/>
      <c r="AH33" s="2994"/>
      <c r="AI33" s="2994"/>
      <c r="AJ33" s="2994"/>
      <c r="AK33" s="2995"/>
      <c r="AL33" s="2979">
        <f>DASHBOARD!DB275</f>
        <v>0</v>
      </c>
      <c r="AM33" s="2955"/>
      <c r="AN33" s="2955"/>
      <c r="AO33" s="2955">
        <f>DASHBOARD!DC275</f>
        <v>0</v>
      </c>
      <c r="AP33" s="2955"/>
      <c r="AQ33" s="2955"/>
      <c r="AR33" s="2955">
        <f>DASHBOARD!DD275</f>
        <v>0</v>
      </c>
      <c r="AS33" s="2955"/>
      <c r="AT33" s="2955"/>
      <c r="AU33" s="2955">
        <f>DASHBOARD!DE275</f>
        <v>0</v>
      </c>
      <c r="AV33" s="2955"/>
      <c r="AW33" s="2955"/>
      <c r="AX33" s="2955">
        <f>DASHBOARD!DF275</f>
        <v>0</v>
      </c>
      <c r="AY33" s="2955"/>
      <c r="AZ33" s="2955"/>
      <c r="BA33" s="2955">
        <f>DASHBOARD!DG275</f>
        <v>0</v>
      </c>
      <c r="BB33" s="2955"/>
      <c r="BC33" s="2955"/>
      <c r="BD33" s="2955">
        <f>DASHBOARD!DH275</f>
        <v>0</v>
      </c>
      <c r="BE33" s="2955"/>
      <c r="BF33" s="2955"/>
      <c r="BG33" s="155"/>
    </row>
    <row r="34" spans="1:59" ht="16.5" customHeight="1" x14ac:dyDescent="0.3">
      <c r="A34" s="155"/>
      <c r="B34" s="2992">
        <f>DASHBOARD!CR276</f>
        <v>0</v>
      </c>
      <c r="C34" s="2992"/>
      <c r="D34" s="2992"/>
      <c r="E34" s="2992"/>
      <c r="F34" s="2992"/>
      <c r="G34" s="2993"/>
      <c r="H34" s="2981">
        <f>DASHBOARD!CS276</f>
        <v>0</v>
      </c>
      <c r="I34" s="2968"/>
      <c r="J34" s="2968"/>
      <c r="K34" s="2968">
        <f>DASHBOARD!CT276</f>
        <v>0</v>
      </c>
      <c r="L34" s="2968"/>
      <c r="M34" s="2968"/>
      <c r="N34" s="2968">
        <f>DASHBOARD!CU276</f>
        <v>0</v>
      </c>
      <c r="O34" s="2968"/>
      <c r="P34" s="2968"/>
      <c r="Q34" s="2959">
        <f>DASHBOARD!CV276</f>
        <v>0</v>
      </c>
      <c r="R34" s="2959"/>
      <c r="S34" s="2959"/>
      <c r="T34" s="2968">
        <f>DASHBOARD!CW276</f>
        <v>0</v>
      </c>
      <c r="U34" s="2968"/>
      <c r="V34" s="2968"/>
      <c r="W34" s="2968">
        <f>DASHBOARD!CX276</f>
        <v>0</v>
      </c>
      <c r="X34" s="2968"/>
      <c r="Y34" s="2968"/>
      <c r="Z34" s="2968">
        <f>DASHBOARD!CY276</f>
        <v>0</v>
      </c>
      <c r="AA34" s="2968"/>
      <c r="AB34" s="2968"/>
      <c r="AC34" s="44"/>
      <c r="AD34" s="44"/>
      <c r="AE34" s="44"/>
      <c r="AF34" s="2992">
        <f>DASHBOARD!DA276</f>
        <v>0</v>
      </c>
      <c r="AG34" s="2992"/>
      <c r="AH34" s="2992"/>
      <c r="AI34" s="2992"/>
      <c r="AJ34" s="2992"/>
      <c r="AK34" s="2993"/>
      <c r="AL34" s="2977">
        <f>DASHBOARD!DB276</f>
        <v>0</v>
      </c>
      <c r="AM34" s="2852"/>
      <c r="AN34" s="2852"/>
      <c r="AO34" s="2852">
        <f>DASHBOARD!DC276</f>
        <v>0</v>
      </c>
      <c r="AP34" s="2852"/>
      <c r="AQ34" s="2852"/>
      <c r="AR34" s="2852">
        <f>DASHBOARD!DD276</f>
        <v>0</v>
      </c>
      <c r="AS34" s="2852"/>
      <c r="AT34" s="2852"/>
      <c r="AU34" s="2955">
        <f>DASHBOARD!DE276</f>
        <v>0</v>
      </c>
      <c r="AV34" s="2955"/>
      <c r="AW34" s="2955"/>
      <c r="AX34" s="2852">
        <f>DASHBOARD!DF276</f>
        <v>0</v>
      </c>
      <c r="AY34" s="2852"/>
      <c r="AZ34" s="2852"/>
      <c r="BA34" s="2852">
        <f>DASHBOARD!DG276</f>
        <v>0</v>
      </c>
      <c r="BB34" s="2852"/>
      <c r="BC34" s="2852"/>
      <c r="BD34" s="2852">
        <f>DASHBOARD!DH276</f>
        <v>0</v>
      </c>
      <c r="BE34" s="2852"/>
      <c r="BF34" s="2852"/>
      <c r="BG34" s="155"/>
    </row>
    <row r="35" spans="1:59" ht="16.5" customHeight="1" x14ac:dyDescent="0.3">
      <c r="A35" s="155"/>
      <c r="B35" s="2992">
        <f>DASHBOARD!CR277</f>
        <v>0</v>
      </c>
      <c r="C35" s="2992"/>
      <c r="D35" s="2992"/>
      <c r="E35" s="2992"/>
      <c r="F35" s="2992"/>
      <c r="G35" s="2993"/>
      <c r="H35" s="2981">
        <f>DASHBOARD!CS277</f>
        <v>0</v>
      </c>
      <c r="I35" s="2968"/>
      <c r="J35" s="2968"/>
      <c r="K35" s="2968">
        <f>DASHBOARD!CT277</f>
        <v>0</v>
      </c>
      <c r="L35" s="2968"/>
      <c r="M35" s="2968"/>
      <c r="N35" s="2968">
        <f>DASHBOARD!CU277</f>
        <v>0</v>
      </c>
      <c r="O35" s="2968"/>
      <c r="P35" s="2968"/>
      <c r="Q35" s="2959">
        <f>DASHBOARD!CV277</f>
        <v>0</v>
      </c>
      <c r="R35" s="2959"/>
      <c r="S35" s="2959"/>
      <c r="T35" s="2968">
        <f>DASHBOARD!CW277</f>
        <v>0</v>
      </c>
      <c r="U35" s="2968"/>
      <c r="V35" s="2968"/>
      <c r="W35" s="2968">
        <f>DASHBOARD!CX277</f>
        <v>0</v>
      </c>
      <c r="X35" s="2968"/>
      <c r="Y35" s="2968"/>
      <c r="Z35" s="2968">
        <f>DASHBOARD!CY277</f>
        <v>0</v>
      </c>
      <c r="AA35" s="2968"/>
      <c r="AB35" s="2968"/>
      <c r="AC35" s="44"/>
      <c r="AD35" s="44"/>
      <c r="AE35" s="44"/>
      <c r="AF35" s="2992">
        <f>DASHBOARD!DA277</f>
        <v>0</v>
      </c>
      <c r="AG35" s="2992"/>
      <c r="AH35" s="2992"/>
      <c r="AI35" s="2992"/>
      <c r="AJ35" s="2992"/>
      <c r="AK35" s="2993"/>
      <c r="AL35" s="2977">
        <f>DASHBOARD!DB277</f>
        <v>0</v>
      </c>
      <c r="AM35" s="2852"/>
      <c r="AN35" s="2852"/>
      <c r="AO35" s="2852">
        <f>DASHBOARD!DC277</f>
        <v>0</v>
      </c>
      <c r="AP35" s="2852"/>
      <c r="AQ35" s="2852"/>
      <c r="AR35" s="2852">
        <f>DASHBOARD!DD277</f>
        <v>0</v>
      </c>
      <c r="AS35" s="2852"/>
      <c r="AT35" s="2852"/>
      <c r="AU35" s="2955">
        <f>DASHBOARD!DE277</f>
        <v>0</v>
      </c>
      <c r="AV35" s="2955"/>
      <c r="AW35" s="2955"/>
      <c r="AX35" s="2852">
        <f>DASHBOARD!DF277</f>
        <v>0</v>
      </c>
      <c r="AY35" s="2852"/>
      <c r="AZ35" s="2852"/>
      <c r="BA35" s="2852">
        <f>DASHBOARD!DG277</f>
        <v>0</v>
      </c>
      <c r="BB35" s="2852"/>
      <c r="BC35" s="2852"/>
      <c r="BD35" s="2852">
        <f>DASHBOARD!DH277</f>
        <v>0</v>
      </c>
      <c r="BE35" s="2852"/>
      <c r="BF35" s="2852"/>
      <c r="BG35" s="155"/>
    </row>
    <row r="36" spans="1:59" ht="16.5" customHeight="1" x14ac:dyDescent="0.3">
      <c r="A36" s="155"/>
      <c r="B36" s="2992">
        <f>DASHBOARD!CR278</f>
        <v>0</v>
      </c>
      <c r="C36" s="2992"/>
      <c r="D36" s="2992"/>
      <c r="E36" s="2992"/>
      <c r="F36" s="2992"/>
      <c r="G36" s="2993"/>
      <c r="H36" s="2981">
        <f>DASHBOARD!CS278</f>
        <v>0</v>
      </c>
      <c r="I36" s="2968"/>
      <c r="J36" s="2968"/>
      <c r="K36" s="2968">
        <f>DASHBOARD!CT278</f>
        <v>0</v>
      </c>
      <c r="L36" s="2968"/>
      <c r="M36" s="2968"/>
      <c r="N36" s="2968">
        <f>DASHBOARD!CU278</f>
        <v>0</v>
      </c>
      <c r="O36" s="2968"/>
      <c r="P36" s="2968"/>
      <c r="Q36" s="2959">
        <f>DASHBOARD!CV278</f>
        <v>0</v>
      </c>
      <c r="R36" s="2959"/>
      <c r="S36" s="2959"/>
      <c r="T36" s="2968">
        <f>DASHBOARD!CW278</f>
        <v>0</v>
      </c>
      <c r="U36" s="2968"/>
      <c r="V36" s="2968"/>
      <c r="W36" s="2968">
        <f>DASHBOARD!CX278</f>
        <v>0</v>
      </c>
      <c r="X36" s="2968"/>
      <c r="Y36" s="2968"/>
      <c r="Z36" s="2968">
        <f>DASHBOARD!CY278</f>
        <v>0</v>
      </c>
      <c r="AA36" s="2968"/>
      <c r="AB36" s="2968"/>
      <c r="AC36" s="44"/>
      <c r="AD36" s="44"/>
      <c r="AE36" s="44"/>
      <c r="AF36" s="2992">
        <f>DASHBOARD!DA278</f>
        <v>0</v>
      </c>
      <c r="AG36" s="2992"/>
      <c r="AH36" s="2992"/>
      <c r="AI36" s="2992"/>
      <c r="AJ36" s="2992"/>
      <c r="AK36" s="2993"/>
      <c r="AL36" s="2977">
        <f>DASHBOARD!DB278</f>
        <v>0</v>
      </c>
      <c r="AM36" s="2852"/>
      <c r="AN36" s="2852"/>
      <c r="AO36" s="2963">
        <f>DASHBOARD!DC278</f>
        <v>0</v>
      </c>
      <c r="AP36" s="2963"/>
      <c r="AQ36" s="2963"/>
      <c r="AR36" s="2963">
        <f>DASHBOARD!DD278</f>
        <v>0</v>
      </c>
      <c r="AS36" s="2963"/>
      <c r="AT36" s="2963"/>
      <c r="AU36" s="2956">
        <f>DASHBOARD!DE278</f>
        <v>0</v>
      </c>
      <c r="AV36" s="2956"/>
      <c r="AW36" s="2956"/>
      <c r="AX36" s="2963">
        <f>DASHBOARD!DF278</f>
        <v>0</v>
      </c>
      <c r="AY36" s="2963"/>
      <c r="AZ36" s="2963"/>
      <c r="BA36" s="2963">
        <f>DASHBOARD!DG278</f>
        <v>0</v>
      </c>
      <c r="BB36" s="2963"/>
      <c r="BC36" s="2963"/>
      <c r="BD36" s="2963">
        <f>DASHBOARD!DH278</f>
        <v>0</v>
      </c>
      <c r="BE36" s="2963"/>
      <c r="BF36" s="2963"/>
      <c r="BG36" s="155"/>
    </row>
    <row r="37" spans="1:59" ht="16.5" customHeight="1" x14ac:dyDescent="0.3">
      <c r="A37" s="155"/>
      <c r="B37" s="44"/>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160"/>
      <c r="AG37" s="160"/>
      <c r="AH37" s="160"/>
      <c r="AI37" s="160"/>
      <c r="AJ37" s="160"/>
      <c r="AK37" s="160"/>
      <c r="AL37" s="160"/>
      <c r="AM37" s="160"/>
      <c r="AN37" s="160"/>
      <c r="AO37" s="160"/>
      <c r="AP37" s="160"/>
      <c r="AQ37" s="160"/>
      <c r="AR37" s="160"/>
      <c r="AS37" s="160"/>
      <c r="AT37" s="160"/>
      <c r="AU37" s="160"/>
      <c r="AV37" s="160"/>
      <c r="AW37" s="160"/>
      <c r="AX37" s="160"/>
      <c r="AY37" s="160"/>
      <c r="AZ37" s="160"/>
      <c r="BA37" s="160"/>
      <c r="BB37" s="160"/>
      <c r="BC37" s="160"/>
      <c r="BD37" s="160"/>
      <c r="BE37" s="160"/>
      <c r="BF37" s="160"/>
      <c r="BG37" s="155"/>
    </row>
    <row r="38" spans="1:59" ht="14.25" customHeight="1" x14ac:dyDescent="0.3">
      <c r="A38" s="161"/>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160"/>
      <c r="AG38" s="160"/>
      <c r="AH38" s="160"/>
      <c r="AI38" s="160"/>
      <c r="AJ38" s="160"/>
      <c r="AK38" s="160"/>
      <c r="AL38" s="160"/>
      <c r="AM38" s="160"/>
      <c r="AN38" s="160"/>
      <c r="AO38" s="160"/>
      <c r="AP38" s="160"/>
      <c r="AQ38" s="160"/>
      <c r="AR38" s="160"/>
      <c r="AS38" s="160"/>
      <c r="AT38" s="160"/>
      <c r="AU38" s="160"/>
      <c r="AV38" s="160"/>
      <c r="AW38" s="160"/>
      <c r="AX38" s="160"/>
      <c r="AY38" s="160"/>
      <c r="AZ38" s="160"/>
      <c r="BA38" s="160"/>
      <c r="BB38" s="160"/>
      <c r="BC38" s="160"/>
      <c r="BD38" s="160"/>
      <c r="BE38" s="160"/>
      <c r="BF38" s="160"/>
      <c r="BG38" s="161"/>
    </row>
    <row r="39" spans="1:59" ht="14.25" customHeight="1" x14ac:dyDescent="0.3">
      <c r="A39" s="120"/>
      <c r="B39" s="178" t="s">
        <v>1087</v>
      </c>
      <c r="C39" s="178"/>
      <c r="D39" s="178"/>
      <c r="E39" s="178"/>
      <c r="F39" s="178"/>
      <c r="G39" s="178"/>
      <c r="H39" s="119"/>
      <c r="I39" s="119"/>
      <c r="J39" s="119"/>
      <c r="K39" s="119"/>
      <c r="L39" s="119"/>
      <c r="M39" s="119"/>
      <c r="N39" s="119"/>
      <c r="O39" s="119"/>
      <c r="P39" s="119"/>
      <c r="Q39" s="43"/>
      <c r="R39" s="43"/>
      <c r="S39" s="43"/>
      <c r="T39" s="119"/>
      <c r="U39" s="119"/>
      <c r="V39" s="119"/>
      <c r="W39" s="119"/>
      <c r="X39" s="119"/>
      <c r="Y39" s="119"/>
      <c r="Z39" s="119"/>
      <c r="AA39" s="119"/>
      <c r="AB39" s="119"/>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120"/>
    </row>
    <row r="40" spans="1:59" ht="14.25" customHeight="1" x14ac:dyDescent="0.3">
      <c r="A40" s="155"/>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c r="AG40" s="271"/>
      <c r="AH40" s="271"/>
      <c r="AI40" s="271"/>
      <c r="AJ40" s="271"/>
      <c r="AK40" s="271"/>
      <c r="AL40" s="271"/>
      <c r="AM40" s="271"/>
      <c r="AN40" s="271"/>
      <c r="AO40" s="271"/>
      <c r="AP40" s="271"/>
      <c r="AQ40" s="271"/>
      <c r="AR40" s="271"/>
      <c r="AS40" s="271"/>
      <c r="AT40" s="271"/>
      <c r="AU40" s="271"/>
      <c r="AV40" s="271"/>
      <c r="AW40" s="271"/>
      <c r="AX40" s="271"/>
      <c r="AY40" s="271"/>
      <c r="AZ40" s="271"/>
      <c r="BA40" s="271"/>
      <c r="BB40" s="271"/>
      <c r="BC40" s="271"/>
      <c r="BD40" s="271"/>
      <c r="BE40" s="271"/>
      <c r="BF40" s="271"/>
      <c r="BG40" s="155"/>
    </row>
    <row r="41" spans="1:59" ht="14.25" customHeight="1" x14ac:dyDescent="0.3">
      <c r="A41" s="164"/>
      <c r="B41" s="44"/>
      <c r="C41" s="44"/>
      <c r="D41" s="44"/>
      <c r="E41" s="44"/>
      <c r="F41" s="44"/>
      <c r="G41" s="44"/>
      <c r="H41" s="271"/>
      <c r="I41" s="271"/>
      <c r="J41" s="263" t="s">
        <v>1085</v>
      </c>
      <c r="K41" s="2947"/>
      <c r="L41" s="2948"/>
      <c r="M41" s="2949"/>
      <c r="N41" s="271"/>
      <c r="O41" s="271"/>
      <c r="P41" s="271"/>
      <c r="Q41" s="271"/>
      <c r="R41" s="271"/>
      <c r="S41" s="271"/>
      <c r="T41" s="271"/>
      <c r="U41" s="271"/>
      <c r="V41" s="263" t="s">
        <v>1086</v>
      </c>
      <c r="W41" s="2947"/>
      <c r="X41" s="2948"/>
      <c r="Y41" s="2949"/>
      <c r="Z41" s="271"/>
      <c r="AA41" s="271"/>
      <c r="AB41" s="271"/>
      <c r="AC41" s="271"/>
      <c r="AD41" s="271"/>
      <c r="AE41" s="271"/>
      <c r="AF41" s="271"/>
      <c r="AG41" s="271"/>
      <c r="AH41" s="271"/>
      <c r="AI41" s="271"/>
      <c r="AJ41" s="271"/>
      <c r="AK41" s="271"/>
      <c r="AL41" s="271"/>
      <c r="AM41" s="271"/>
      <c r="AN41" s="271"/>
      <c r="AO41" s="271"/>
      <c r="AP41" s="271"/>
      <c r="AQ41" s="263" t="s">
        <v>1088</v>
      </c>
      <c r="AR41" s="2973"/>
      <c r="AS41" s="2974"/>
      <c r="AT41" s="2975"/>
      <c r="AU41" s="271"/>
      <c r="AV41" s="271"/>
      <c r="AW41" s="271"/>
      <c r="AX41" s="271"/>
      <c r="AY41" s="271"/>
      <c r="AZ41" s="271"/>
      <c r="BA41" s="271"/>
      <c r="BB41" s="263" t="s">
        <v>1089</v>
      </c>
      <c r="BC41" s="2973"/>
      <c r="BD41" s="2974"/>
      <c r="BE41" s="2975"/>
      <c r="BF41" s="271"/>
      <c r="BG41" s="164"/>
    </row>
    <row r="42" spans="1:59" ht="16.5" customHeight="1" x14ac:dyDescent="0.3">
      <c r="A42" s="155"/>
      <c r="B42" s="44"/>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155"/>
    </row>
    <row r="43" spans="1:59" ht="16.5" customHeight="1" x14ac:dyDescent="0.3">
      <c r="A43" s="165"/>
      <c r="B43" s="262" t="s">
        <v>103</v>
      </c>
      <c r="C43" s="262"/>
      <c r="D43" s="262"/>
      <c r="E43" s="262"/>
      <c r="F43" s="262"/>
      <c r="G43" s="262"/>
      <c r="H43" s="254" t="s">
        <v>1092</v>
      </c>
      <c r="I43" s="254"/>
      <c r="J43" s="254"/>
      <c r="K43" s="254"/>
      <c r="L43" s="254"/>
      <c r="M43" s="254"/>
      <c r="N43" s="254"/>
      <c r="O43" s="254"/>
      <c r="P43" s="254"/>
      <c r="Q43" s="254"/>
      <c r="R43" s="254"/>
      <c r="S43" s="254"/>
      <c r="T43" s="254"/>
      <c r="U43" s="254"/>
      <c r="V43" s="254"/>
      <c r="W43" s="254"/>
      <c r="X43" s="254"/>
      <c r="Y43" s="254"/>
      <c r="Z43" s="254"/>
      <c r="AA43" s="254"/>
      <c r="AB43" s="254"/>
      <c r="AC43" s="44"/>
      <c r="AD43" s="44"/>
      <c r="AE43" s="44"/>
      <c r="AF43" s="262" t="s">
        <v>39</v>
      </c>
      <c r="AG43" s="262"/>
      <c r="AH43" s="262"/>
      <c r="AI43" s="262"/>
      <c r="AJ43" s="262"/>
      <c r="AK43" s="262"/>
      <c r="AL43" s="254" t="s">
        <v>1092</v>
      </c>
      <c r="AM43" s="254"/>
      <c r="AN43" s="254"/>
      <c r="AO43" s="254"/>
      <c r="AP43" s="254"/>
      <c r="AQ43" s="254"/>
      <c r="AR43" s="254"/>
      <c r="AS43" s="254"/>
      <c r="AT43" s="254"/>
      <c r="AU43" s="254"/>
      <c r="AV43" s="254"/>
      <c r="AW43" s="254"/>
      <c r="AX43" s="254"/>
      <c r="AY43" s="254"/>
      <c r="AZ43" s="254"/>
      <c r="BA43" s="254"/>
      <c r="BB43" s="254"/>
      <c r="BC43" s="254"/>
      <c r="BD43" s="254"/>
      <c r="BE43" s="254"/>
      <c r="BF43" s="254"/>
      <c r="BG43" s="165"/>
    </row>
    <row r="44" spans="1:59" ht="16.5" customHeight="1" x14ac:dyDescent="0.3">
      <c r="A44" s="160"/>
      <c r="B44" s="254" t="s">
        <v>1091</v>
      </c>
      <c r="C44" s="254"/>
      <c r="D44" s="254"/>
      <c r="E44" s="254"/>
      <c r="F44" s="254"/>
      <c r="G44" s="254"/>
      <c r="H44" s="2976">
        <f>DASHBOARD!CA299</f>
        <v>0</v>
      </c>
      <c r="I44" s="2976"/>
      <c r="J44" s="2976"/>
      <c r="K44" s="2976">
        <f>DASHBOARD!CB299</f>
        <v>0</v>
      </c>
      <c r="L44" s="2976"/>
      <c r="M44" s="2976"/>
      <c r="N44" s="2976">
        <f>DASHBOARD!CC299</f>
        <v>0</v>
      </c>
      <c r="O44" s="2976"/>
      <c r="P44" s="2976"/>
      <c r="Q44" s="2960">
        <f>DASHBOARD!CD299</f>
        <v>0</v>
      </c>
      <c r="R44" s="2960"/>
      <c r="S44" s="2960"/>
      <c r="T44" s="2976">
        <f>DASHBOARD!CE299</f>
        <v>0</v>
      </c>
      <c r="U44" s="2976"/>
      <c r="V44" s="2976"/>
      <c r="W44" s="2976">
        <f>DASHBOARD!CF299</f>
        <v>0</v>
      </c>
      <c r="X44" s="2976"/>
      <c r="Y44" s="2976"/>
      <c r="Z44" s="2976">
        <f>DASHBOARD!CG299</f>
        <v>0</v>
      </c>
      <c r="AA44" s="2976"/>
      <c r="AB44" s="2976"/>
      <c r="AC44" s="44"/>
      <c r="AD44" s="44"/>
      <c r="AE44" s="44"/>
      <c r="AF44" s="254" t="s">
        <v>1091</v>
      </c>
      <c r="AG44" s="254"/>
      <c r="AH44" s="254"/>
      <c r="AI44" s="254"/>
      <c r="AJ44" s="254"/>
      <c r="AK44" s="254"/>
      <c r="AL44" s="2976">
        <f>H44</f>
        <v>0</v>
      </c>
      <c r="AM44" s="2976"/>
      <c r="AN44" s="2976"/>
      <c r="AO44" s="2976">
        <f>K44</f>
        <v>0</v>
      </c>
      <c r="AP44" s="2976"/>
      <c r="AQ44" s="2976"/>
      <c r="AR44" s="2976">
        <f>N44</f>
        <v>0</v>
      </c>
      <c r="AS44" s="2976"/>
      <c r="AT44" s="2976"/>
      <c r="AU44" s="2960">
        <f>Q44</f>
        <v>0</v>
      </c>
      <c r="AV44" s="2960"/>
      <c r="AW44" s="2960"/>
      <c r="AX44" s="2976">
        <f>T44</f>
        <v>0</v>
      </c>
      <c r="AY44" s="2976"/>
      <c r="AZ44" s="2976"/>
      <c r="BA44" s="2976">
        <f>W44</f>
        <v>0</v>
      </c>
      <c r="BB44" s="2976"/>
      <c r="BC44" s="2976"/>
      <c r="BD44" s="2976">
        <f>Z44</f>
        <v>0</v>
      </c>
      <c r="BE44" s="2976"/>
      <c r="BF44" s="2976"/>
      <c r="BG44" s="160"/>
    </row>
    <row r="45" spans="1:59" ht="16.5" customHeight="1" x14ac:dyDescent="0.3">
      <c r="A45" s="160"/>
      <c r="B45" s="2992">
        <f>DASHBOARD!BZ300</f>
        <v>0</v>
      </c>
      <c r="C45" s="2992"/>
      <c r="D45" s="2992"/>
      <c r="E45" s="2992"/>
      <c r="F45" s="2992"/>
      <c r="G45" s="2993"/>
      <c r="H45" s="2980" t="str">
        <f>DASHBOARD!CA300</f>
        <v>n.a</v>
      </c>
      <c r="I45" s="2967"/>
      <c r="J45" s="2967"/>
      <c r="K45" s="2967" t="str">
        <f>DASHBOARD!CB300</f>
        <v>n.a</v>
      </c>
      <c r="L45" s="2967"/>
      <c r="M45" s="2967"/>
      <c r="N45" s="2967" t="str">
        <f>DASHBOARD!CC300</f>
        <v>n.a</v>
      </c>
      <c r="O45" s="2967"/>
      <c r="P45" s="2967"/>
      <c r="Q45" s="2958" t="str">
        <f>DASHBOARD!CD300</f>
        <v>n.a</v>
      </c>
      <c r="R45" s="2958"/>
      <c r="S45" s="2958"/>
      <c r="T45" s="2967" t="str">
        <f>DASHBOARD!CE300</f>
        <v>n.a</v>
      </c>
      <c r="U45" s="2967"/>
      <c r="V45" s="2967"/>
      <c r="W45" s="2967" t="str">
        <f>DASHBOARD!CF300</f>
        <v>n.a</v>
      </c>
      <c r="X45" s="2967"/>
      <c r="Y45" s="2967"/>
      <c r="Z45" s="2967" t="str">
        <f>DASHBOARD!CG300</f>
        <v>n.a</v>
      </c>
      <c r="AA45" s="2967"/>
      <c r="AB45" s="2967"/>
      <c r="AC45" s="44"/>
      <c r="AD45" s="44"/>
      <c r="AE45" s="44"/>
      <c r="AF45" s="2992">
        <f>B45</f>
        <v>0</v>
      </c>
      <c r="AG45" s="2992"/>
      <c r="AH45" s="2992"/>
      <c r="AI45" s="2992"/>
      <c r="AJ45" s="2992"/>
      <c r="AK45" s="2993"/>
      <c r="AL45" s="2980">
        <f>DASHBOARD!CJ300</f>
        <v>0</v>
      </c>
      <c r="AM45" s="2967"/>
      <c r="AN45" s="2967"/>
      <c r="AO45" s="2967">
        <f>DASHBOARD!CK300</f>
        <v>0</v>
      </c>
      <c r="AP45" s="2967"/>
      <c r="AQ45" s="2967"/>
      <c r="AR45" s="2967">
        <f>DASHBOARD!CL300</f>
        <v>0</v>
      </c>
      <c r="AS45" s="2967"/>
      <c r="AT45" s="2967"/>
      <c r="AU45" s="2958">
        <f>DASHBOARD!CM300</f>
        <v>0</v>
      </c>
      <c r="AV45" s="2958"/>
      <c r="AW45" s="2958"/>
      <c r="AX45" s="2967">
        <f>DASHBOARD!CN300</f>
        <v>0</v>
      </c>
      <c r="AY45" s="2967"/>
      <c r="AZ45" s="2967"/>
      <c r="BA45" s="2967">
        <f>DASHBOARD!CO300</f>
        <v>0</v>
      </c>
      <c r="BB45" s="2967"/>
      <c r="BC45" s="2967"/>
      <c r="BD45" s="2967">
        <f>DASHBOARD!CP300</f>
        <v>0</v>
      </c>
      <c r="BE45" s="2967"/>
      <c r="BF45" s="2967"/>
      <c r="BG45" s="160"/>
    </row>
    <row r="46" spans="1:59" ht="15" customHeight="1" x14ac:dyDescent="0.3">
      <c r="A46" s="161"/>
      <c r="B46" s="2992">
        <f>DASHBOARD!BZ301</f>
        <v>0</v>
      </c>
      <c r="C46" s="2992"/>
      <c r="D46" s="2992"/>
      <c r="E46" s="2992"/>
      <c r="F46" s="2992"/>
      <c r="G46" s="2993"/>
      <c r="H46" s="2981" t="str">
        <f>DASHBOARD!CA301</f>
        <v>n.a</v>
      </c>
      <c r="I46" s="2968"/>
      <c r="J46" s="2968"/>
      <c r="K46" s="2968" t="str">
        <f>DASHBOARD!CB301</f>
        <v>n.a</v>
      </c>
      <c r="L46" s="2968"/>
      <c r="M46" s="2968"/>
      <c r="N46" s="2968" t="str">
        <f>DASHBOARD!CC301</f>
        <v>n.a</v>
      </c>
      <c r="O46" s="2968"/>
      <c r="P46" s="2968"/>
      <c r="Q46" s="2959" t="str">
        <f>DASHBOARD!CD301</f>
        <v>n.a</v>
      </c>
      <c r="R46" s="2959"/>
      <c r="S46" s="2959"/>
      <c r="T46" s="2968" t="str">
        <f>DASHBOARD!CE301</f>
        <v>n.a</v>
      </c>
      <c r="U46" s="2968"/>
      <c r="V46" s="2968"/>
      <c r="W46" s="2968" t="str">
        <f>DASHBOARD!CF301</f>
        <v>n.a</v>
      </c>
      <c r="X46" s="2968"/>
      <c r="Y46" s="2968"/>
      <c r="Z46" s="2968" t="str">
        <f>DASHBOARD!CG301</f>
        <v>n.a</v>
      </c>
      <c r="AA46" s="2968"/>
      <c r="AB46" s="2968"/>
      <c r="AC46" s="44"/>
      <c r="AD46" s="44"/>
      <c r="AE46" s="44"/>
      <c r="AF46" s="2992">
        <f t="shared" ref="AF46:AF51" si="0">B46</f>
        <v>0</v>
      </c>
      <c r="AG46" s="2992"/>
      <c r="AH46" s="2992"/>
      <c r="AI46" s="2992"/>
      <c r="AJ46" s="2992"/>
      <c r="AK46" s="2993"/>
      <c r="AL46" s="2981">
        <f>DASHBOARD!CJ301</f>
        <v>0</v>
      </c>
      <c r="AM46" s="2968"/>
      <c r="AN46" s="2968"/>
      <c r="AO46" s="2968">
        <f>DASHBOARD!CK301</f>
        <v>0</v>
      </c>
      <c r="AP46" s="2968"/>
      <c r="AQ46" s="2968"/>
      <c r="AR46" s="2968">
        <f>DASHBOARD!CL301</f>
        <v>0</v>
      </c>
      <c r="AS46" s="2968"/>
      <c r="AT46" s="2968"/>
      <c r="AU46" s="2959">
        <f>DASHBOARD!CM301</f>
        <v>0</v>
      </c>
      <c r="AV46" s="2959"/>
      <c r="AW46" s="2959"/>
      <c r="AX46" s="2968">
        <f>DASHBOARD!CN301</f>
        <v>0</v>
      </c>
      <c r="AY46" s="2968"/>
      <c r="AZ46" s="2968"/>
      <c r="BA46" s="2968">
        <f>DASHBOARD!CO301</f>
        <v>0</v>
      </c>
      <c r="BB46" s="2968"/>
      <c r="BC46" s="2968"/>
      <c r="BD46" s="2968">
        <f>DASHBOARD!CP301</f>
        <v>0</v>
      </c>
      <c r="BE46" s="2968"/>
      <c r="BF46" s="2968"/>
      <c r="BG46" s="161"/>
    </row>
    <row r="47" spans="1:59" ht="16.5" customHeight="1" x14ac:dyDescent="0.3">
      <c r="A47" s="44"/>
      <c r="B47" s="2992">
        <f>DASHBOARD!BZ302</f>
        <v>0</v>
      </c>
      <c r="C47" s="2992"/>
      <c r="D47" s="2992"/>
      <c r="E47" s="2992"/>
      <c r="F47" s="2992"/>
      <c r="G47" s="2993"/>
      <c r="H47" s="2981" t="str">
        <f>DASHBOARD!CA302</f>
        <v>n.a</v>
      </c>
      <c r="I47" s="2968"/>
      <c r="J47" s="2968"/>
      <c r="K47" s="2968" t="str">
        <f>DASHBOARD!CB302</f>
        <v>n.a</v>
      </c>
      <c r="L47" s="2968"/>
      <c r="M47" s="2968"/>
      <c r="N47" s="2968" t="str">
        <f>DASHBOARD!CC302</f>
        <v>n.a</v>
      </c>
      <c r="O47" s="2968"/>
      <c r="P47" s="2968"/>
      <c r="Q47" s="2959" t="str">
        <f>DASHBOARD!CD302</f>
        <v>n.a</v>
      </c>
      <c r="R47" s="2959"/>
      <c r="S47" s="2959"/>
      <c r="T47" s="2968" t="str">
        <f>DASHBOARD!CE302</f>
        <v>n.a</v>
      </c>
      <c r="U47" s="2968"/>
      <c r="V47" s="2968"/>
      <c r="W47" s="2968" t="str">
        <f>DASHBOARD!CF302</f>
        <v>n.a</v>
      </c>
      <c r="X47" s="2968"/>
      <c r="Y47" s="2968"/>
      <c r="Z47" s="2968" t="str">
        <f>DASHBOARD!CG302</f>
        <v>n.a</v>
      </c>
      <c r="AA47" s="2968"/>
      <c r="AB47" s="2968"/>
      <c r="AC47" s="44"/>
      <c r="AD47" s="44"/>
      <c r="AE47" s="44"/>
      <c r="AF47" s="2992">
        <f t="shared" si="0"/>
        <v>0</v>
      </c>
      <c r="AG47" s="2992"/>
      <c r="AH47" s="2992"/>
      <c r="AI47" s="2992"/>
      <c r="AJ47" s="2992"/>
      <c r="AK47" s="2993"/>
      <c r="AL47" s="2981">
        <f>DASHBOARD!CJ302</f>
        <v>0</v>
      </c>
      <c r="AM47" s="2968"/>
      <c r="AN47" s="2968"/>
      <c r="AO47" s="2968">
        <f>DASHBOARD!CK302</f>
        <v>0</v>
      </c>
      <c r="AP47" s="2968"/>
      <c r="AQ47" s="2968"/>
      <c r="AR47" s="2968">
        <f>DASHBOARD!CL302</f>
        <v>0</v>
      </c>
      <c r="AS47" s="2968"/>
      <c r="AT47" s="2968"/>
      <c r="AU47" s="2959">
        <f>DASHBOARD!CM302</f>
        <v>0</v>
      </c>
      <c r="AV47" s="2959"/>
      <c r="AW47" s="2959"/>
      <c r="AX47" s="2968">
        <f>DASHBOARD!CN302</f>
        <v>0</v>
      </c>
      <c r="AY47" s="2968"/>
      <c r="AZ47" s="2968"/>
      <c r="BA47" s="2968">
        <f>DASHBOARD!CO302</f>
        <v>0</v>
      </c>
      <c r="BB47" s="2968"/>
      <c r="BC47" s="2968"/>
      <c r="BD47" s="2968">
        <f>DASHBOARD!CP302</f>
        <v>0</v>
      </c>
      <c r="BE47" s="2968"/>
      <c r="BF47" s="2968"/>
      <c r="BG47" s="44"/>
    </row>
    <row r="48" spans="1:59" ht="16.5" customHeight="1" x14ac:dyDescent="0.3">
      <c r="A48" s="160"/>
      <c r="B48" s="2994">
        <f>DASHBOARD!BZ303</f>
        <v>0</v>
      </c>
      <c r="C48" s="2994"/>
      <c r="D48" s="2994"/>
      <c r="E48" s="2994"/>
      <c r="F48" s="2994"/>
      <c r="G48" s="2995"/>
      <c r="H48" s="2982" t="str">
        <f>DASHBOARD!CA303</f>
        <v>n.a</v>
      </c>
      <c r="I48" s="2959"/>
      <c r="J48" s="2959"/>
      <c r="K48" s="2959" t="str">
        <f>DASHBOARD!CB303</f>
        <v>n.a</v>
      </c>
      <c r="L48" s="2959"/>
      <c r="M48" s="2959"/>
      <c r="N48" s="2959" t="str">
        <f>DASHBOARD!CC303</f>
        <v>n.a</v>
      </c>
      <c r="O48" s="2959"/>
      <c r="P48" s="2959"/>
      <c r="Q48" s="2959" t="str">
        <f>DASHBOARD!CD303</f>
        <v>n.a</v>
      </c>
      <c r="R48" s="2959"/>
      <c r="S48" s="2959"/>
      <c r="T48" s="2959" t="str">
        <f>DASHBOARD!CE303</f>
        <v>n.a</v>
      </c>
      <c r="U48" s="2959"/>
      <c r="V48" s="2959"/>
      <c r="W48" s="2959" t="str">
        <f>DASHBOARD!CF303</f>
        <v>n.a</v>
      </c>
      <c r="X48" s="2959"/>
      <c r="Y48" s="2959"/>
      <c r="Z48" s="2959" t="str">
        <f>DASHBOARD!CG303</f>
        <v>n.a</v>
      </c>
      <c r="AA48" s="2959"/>
      <c r="AB48" s="2959"/>
      <c r="AC48" s="44"/>
      <c r="AD48" s="44"/>
      <c r="AE48" s="44"/>
      <c r="AF48" s="2994">
        <f t="shared" si="0"/>
        <v>0</v>
      </c>
      <c r="AG48" s="2994"/>
      <c r="AH48" s="2994"/>
      <c r="AI48" s="2994"/>
      <c r="AJ48" s="2994"/>
      <c r="AK48" s="2995"/>
      <c r="AL48" s="2982">
        <f>DASHBOARD!CJ303</f>
        <v>0</v>
      </c>
      <c r="AM48" s="2959"/>
      <c r="AN48" s="2959"/>
      <c r="AO48" s="2959">
        <f>DASHBOARD!CK303</f>
        <v>0</v>
      </c>
      <c r="AP48" s="2959"/>
      <c r="AQ48" s="2959"/>
      <c r="AR48" s="2959">
        <f>DASHBOARD!CL303</f>
        <v>0</v>
      </c>
      <c r="AS48" s="2959"/>
      <c r="AT48" s="2959"/>
      <c r="AU48" s="2959">
        <f>DASHBOARD!CM303</f>
        <v>0</v>
      </c>
      <c r="AV48" s="2959"/>
      <c r="AW48" s="2959"/>
      <c r="AX48" s="2959">
        <f>DASHBOARD!CN303</f>
        <v>0</v>
      </c>
      <c r="AY48" s="2959"/>
      <c r="AZ48" s="2959"/>
      <c r="BA48" s="2959">
        <f>DASHBOARD!CO303</f>
        <v>0</v>
      </c>
      <c r="BB48" s="2959"/>
      <c r="BC48" s="2959"/>
      <c r="BD48" s="2959">
        <f>DASHBOARD!CP303</f>
        <v>0</v>
      </c>
      <c r="BE48" s="2959"/>
      <c r="BF48" s="2959"/>
      <c r="BG48" s="160"/>
    </row>
    <row r="49" spans="1:59" ht="16.5" customHeight="1" x14ac:dyDescent="0.3">
      <c r="A49" s="160"/>
      <c r="B49" s="2992">
        <f>DASHBOARD!BZ304</f>
        <v>0</v>
      </c>
      <c r="C49" s="2992"/>
      <c r="D49" s="2992"/>
      <c r="E49" s="2992"/>
      <c r="F49" s="2992"/>
      <c r="G49" s="2993"/>
      <c r="H49" s="2981" t="str">
        <f>DASHBOARD!CA304</f>
        <v>n.a</v>
      </c>
      <c r="I49" s="2968"/>
      <c r="J49" s="2968"/>
      <c r="K49" s="2968" t="str">
        <f>DASHBOARD!CB304</f>
        <v>n.a</v>
      </c>
      <c r="L49" s="2968"/>
      <c r="M49" s="2968"/>
      <c r="N49" s="2968" t="str">
        <f>DASHBOARD!CC304</f>
        <v>n.a</v>
      </c>
      <c r="O49" s="2968"/>
      <c r="P49" s="2968"/>
      <c r="Q49" s="2959" t="str">
        <f>DASHBOARD!CD304</f>
        <v>n.a</v>
      </c>
      <c r="R49" s="2959"/>
      <c r="S49" s="2959"/>
      <c r="T49" s="2968" t="str">
        <f>DASHBOARD!CE304</f>
        <v>n.a</v>
      </c>
      <c r="U49" s="2968"/>
      <c r="V49" s="2968"/>
      <c r="W49" s="2968" t="str">
        <f>DASHBOARD!CF304</f>
        <v>n.a</v>
      </c>
      <c r="X49" s="2968"/>
      <c r="Y49" s="2968"/>
      <c r="Z49" s="2968" t="str">
        <f>DASHBOARD!CG304</f>
        <v>n.a</v>
      </c>
      <c r="AA49" s="2968"/>
      <c r="AB49" s="2968"/>
      <c r="AC49" s="44"/>
      <c r="AD49" s="44"/>
      <c r="AE49" s="44"/>
      <c r="AF49" s="2992">
        <f t="shared" si="0"/>
        <v>0</v>
      </c>
      <c r="AG49" s="2992"/>
      <c r="AH49" s="2992"/>
      <c r="AI49" s="2992"/>
      <c r="AJ49" s="2992"/>
      <c r="AK49" s="2993"/>
      <c r="AL49" s="2981">
        <f>DASHBOARD!CJ304</f>
        <v>0</v>
      </c>
      <c r="AM49" s="2968"/>
      <c r="AN49" s="2968"/>
      <c r="AO49" s="2968">
        <f>DASHBOARD!CK304</f>
        <v>0</v>
      </c>
      <c r="AP49" s="2968"/>
      <c r="AQ49" s="2968"/>
      <c r="AR49" s="2968">
        <f>DASHBOARD!CL304</f>
        <v>0</v>
      </c>
      <c r="AS49" s="2968"/>
      <c r="AT49" s="2968"/>
      <c r="AU49" s="2959">
        <f>DASHBOARD!CM304</f>
        <v>0</v>
      </c>
      <c r="AV49" s="2959"/>
      <c r="AW49" s="2959"/>
      <c r="AX49" s="2968">
        <f>DASHBOARD!CN304</f>
        <v>0</v>
      </c>
      <c r="AY49" s="2968"/>
      <c r="AZ49" s="2968"/>
      <c r="BA49" s="2968">
        <f>DASHBOARD!CO304</f>
        <v>0</v>
      </c>
      <c r="BB49" s="2968"/>
      <c r="BC49" s="2968"/>
      <c r="BD49" s="2968">
        <f>DASHBOARD!CP304</f>
        <v>0</v>
      </c>
      <c r="BE49" s="2968"/>
      <c r="BF49" s="2968"/>
      <c r="BG49" s="160"/>
    </row>
    <row r="50" spans="1:59" ht="16.5" customHeight="1" x14ac:dyDescent="0.3">
      <c r="A50" s="160"/>
      <c r="B50" s="2992">
        <f>DASHBOARD!BZ305</f>
        <v>0</v>
      </c>
      <c r="C50" s="2992"/>
      <c r="D50" s="2992"/>
      <c r="E50" s="2992"/>
      <c r="F50" s="2992"/>
      <c r="G50" s="2993"/>
      <c r="H50" s="2981" t="str">
        <f>DASHBOARD!CA305</f>
        <v>n.a</v>
      </c>
      <c r="I50" s="2968"/>
      <c r="J50" s="2968"/>
      <c r="K50" s="2968" t="str">
        <f>DASHBOARD!CB305</f>
        <v>n.a</v>
      </c>
      <c r="L50" s="2968"/>
      <c r="M50" s="2968"/>
      <c r="N50" s="2968" t="str">
        <f>DASHBOARD!CC305</f>
        <v>n.a</v>
      </c>
      <c r="O50" s="2968"/>
      <c r="P50" s="2968"/>
      <c r="Q50" s="2959" t="str">
        <f>DASHBOARD!CD305</f>
        <v>n.a</v>
      </c>
      <c r="R50" s="2959"/>
      <c r="S50" s="2959"/>
      <c r="T50" s="2968" t="str">
        <f>DASHBOARD!CE305</f>
        <v>n.a</v>
      </c>
      <c r="U50" s="2968"/>
      <c r="V50" s="2968"/>
      <c r="W50" s="2968" t="str">
        <f>DASHBOARD!CF305</f>
        <v>n.a</v>
      </c>
      <c r="X50" s="2968"/>
      <c r="Y50" s="2968"/>
      <c r="Z50" s="2968" t="str">
        <f>DASHBOARD!CG305</f>
        <v>n.a</v>
      </c>
      <c r="AA50" s="2968"/>
      <c r="AB50" s="2968"/>
      <c r="AC50" s="44"/>
      <c r="AD50" s="44"/>
      <c r="AE50" s="44"/>
      <c r="AF50" s="2992">
        <f t="shared" si="0"/>
        <v>0</v>
      </c>
      <c r="AG50" s="2992"/>
      <c r="AH50" s="2992"/>
      <c r="AI50" s="2992"/>
      <c r="AJ50" s="2992"/>
      <c r="AK50" s="2993"/>
      <c r="AL50" s="2981">
        <f>DASHBOARD!CJ305</f>
        <v>0</v>
      </c>
      <c r="AM50" s="2968"/>
      <c r="AN50" s="2968"/>
      <c r="AO50" s="2968">
        <f>DASHBOARD!CK305</f>
        <v>0</v>
      </c>
      <c r="AP50" s="2968"/>
      <c r="AQ50" s="2968"/>
      <c r="AR50" s="2968">
        <f>DASHBOARD!CL305</f>
        <v>0</v>
      </c>
      <c r="AS50" s="2968"/>
      <c r="AT50" s="2968"/>
      <c r="AU50" s="2959">
        <f>DASHBOARD!CM305</f>
        <v>0</v>
      </c>
      <c r="AV50" s="2959"/>
      <c r="AW50" s="2959"/>
      <c r="AX50" s="2968">
        <f>DASHBOARD!CN305</f>
        <v>0</v>
      </c>
      <c r="AY50" s="2968"/>
      <c r="AZ50" s="2968"/>
      <c r="BA50" s="2968">
        <f>DASHBOARD!CO305</f>
        <v>0</v>
      </c>
      <c r="BB50" s="2968"/>
      <c r="BC50" s="2968"/>
      <c r="BD50" s="2968">
        <f>DASHBOARD!CP305</f>
        <v>0</v>
      </c>
      <c r="BE50" s="2968"/>
      <c r="BF50" s="2968"/>
      <c r="BG50" s="160"/>
    </row>
    <row r="51" spans="1:59" ht="16.5" customHeight="1" x14ac:dyDescent="0.3">
      <c r="A51" s="160"/>
      <c r="B51" s="2992">
        <f>DASHBOARD!BZ306</f>
        <v>0</v>
      </c>
      <c r="C51" s="2992"/>
      <c r="D51" s="2992"/>
      <c r="E51" s="2992"/>
      <c r="F51" s="2992"/>
      <c r="G51" s="2993"/>
      <c r="H51" s="2981" t="str">
        <f>DASHBOARD!CA306</f>
        <v>n.a</v>
      </c>
      <c r="I51" s="2968"/>
      <c r="J51" s="2968"/>
      <c r="K51" s="2968" t="str">
        <f>DASHBOARD!CB306</f>
        <v>n.a</v>
      </c>
      <c r="L51" s="2968"/>
      <c r="M51" s="2968"/>
      <c r="N51" s="2968" t="str">
        <f>DASHBOARD!CC306</f>
        <v>n.a</v>
      </c>
      <c r="O51" s="2968"/>
      <c r="P51" s="2968"/>
      <c r="Q51" s="2959" t="str">
        <f>DASHBOARD!CD306</f>
        <v>n.a</v>
      </c>
      <c r="R51" s="2959"/>
      <c r="S51" s="2959"/>
      <c r="T51" s="2968" t="str">
        <f>DASHBOARD!CE306</f>
        <v>n.a</v>
      </c>
      <c r="U51" s="2968"/>
      <c r="V51" s="2968"/>
      <c r="W51" s="2968" t="str">
        <f>DASHBOARD!CF306</f>
        <v>n.a</v>
      </c>
      <c r="X51" s="2968"/>
      <c r="Y51" s="2968"/>
      <c r="Z51" s="2968" t="str">
        <f>DASHBOARD!CG306</f>
        <v>n.a</v>
      </c>
      <c r="AA51" s="2968"/>
      <c r="AB51" s="2968"/>
      <c r="AC51" s="44"/>
      <c r="AD51" s="44"/>
      <c r="AE51" s="44"/>
      <c r="AF51" s="2992">
        <f t="shared" si="0"/>
        <v>0</v>
      </c>
      <c r="AG51" s="2992"/>
      <c r="AH51" s="2992"/>
      <c r="AI51" s="2992"/>
      <c r="AJ51" s="2992"/>
      <c r="AK51" s="2993"/>
      <c r="AL51" s="2981">
        <f>DASHBOARD!CJ306</f>
        <v>0</v>
      </c>
      <c r="AM51" s="2968"/>
      <c r="AN51" s="2968"/>
      <c r="AO51" s="2964">
        <f>DASHBOARD!CK306</f>
        <v>0</v>
      </c>
      <c r="AP51" s="2964"/>
      <c r="AQ51" s="2964"/>
      <c r="AR51" s="2964">
        <f>DASHBOARD!CL306</f>
        <v>0</v>
      </c>
      <c r="AS51" s="2964"/>
      <c r="AT51" s="2964"/>
      <c r="AU51" s="2961">
        <f>DASHBOARD!CM306</f>
        <v>0</v>
      </c>
      <c r="AV51" s="2961"/>
      <c r="AW51" s="2961"/>
      <c r="AX51" s="2964">
        <f>DASHBOARD!CN306</f>
        <v>0</v>
      </c>
      <c r="AY51" s="2964"/>
      <c r="AZ51" s="2964"/>
      <c r="BA51" s="2964">
        <f>DASHBOARD!CO306</f>
        <v>0</v>
      </c>
      <c r="BB51" s="2964"/>
      <c r="BC51" s="2964"/>
      <c r="BD51" s="2964">
        <f>DASHBOARD!CP306</f>
        <v>0</v>
      </c>
      <c r="BE51" s="2964"/>
      <c r="BF51" s="2964"/>
      <c r="BG51" s="160"/>
    </row>
    <row r="52" spans="1:59" ht="16.5" customHeight="1" x14ac:dyDescent="0.3">
      <c r="A52" s="160"/>
      <c r="B52" s="44"/>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160"/>
    </row>
    <row r="53" spans="1:59" ht="16.5" customHeight="1" x14ac:dyDescent="0.3">
      <c r="A53" s="160"/>
      <c r="B53" s="44"/>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160"/>
    </row>
    <row r="54" spans="1:59" ht="16.5" customHeight="1" x14ac:dyDescent="0.3">
      <c r="A54" s="160"/>
      <c r="B54" s="262" t="s">
        <v>309</v>
      </c>
      <c r="C54" s="262"/>
      <c r="D54" s="262"/>
      <c r="E54" s="262"/>
      <c r="F54" s="262"/>
      <c r="G54" s="262"/>
      <c r="H54" s="254" t="s">
        <v>1092</v>
      </c>
      <c r="I54" s="254"/>
      <c r="J54" s="254"/>
      <c r="K54" s="254"/>
      <c r="L54" s="254"/>
      <c r="M54" s="254"/>
      <c r="N54" s="254"/>
      <c r="O54" s="254"/>
      <c r="P54" s="254"/>
      <c r="Q54" s="254"/>
      <c r="R54" s="254"/>
      <c r="S54" s="254"/>
      <c r="T54" s="254"/>
      <c r="U54" s="254"/>
      <c r="V54" s="254"/>
      <c r="W54" s="254"/>
      <c r="X54" s="254"/>
      <c r="Y54" s="254"/>
      <c r="Z54" s="254"/>
      <c r="AA54" s="254"/>
      <c r="AB54" s="254"/>
      <c r="AC54" s="44"/>
      <c r="AD54" s="44"/>
      <c r="AE54" s="44"/>
      <c r="AF54" s="262" t="s">
        <v>310</v>
      </c>
      <c r="AG54" s="262"/>
      <c r="AH54" s="262"/>
      <c r="AI54" s="262"/>
      <c r="AJ54" s="262"/>
      <c r="AK54" s="262"/>
      <c r="AL54" s="254" t="s">
        <v>1092</v>
      </c>
      <c r="AM54" s="254"/>
      <c r="AN54" s="254"/>
      <c r="AO54" s="254"/>
      <c r="AP54" s="254"/>
      <c r="AQ54" s="254"/>
      <c r="AR54" s="254"/>
      <c r="AS54" s="254"/>
      <c r="AT54" s="254"/>
      <c r="AU54" s="254"/>
      <c r="AV54" s="254"/>
      <c r="AW54" s="254"/>
      <c r="AX54" s="254"/>
      <c r="AY54" s="254"/>
      <c r="AZ54" s="254"/>
      <c r="BA54" s="254"/>
      <c r="BB54" s="254"/>
      <c r="BC54" s="254"/>
      <c r="BD54" s="254"/>
      <c r="BE54" s="254"/>
      <c r="BF54" s="254"/>
      <c r="BG54" s="160"/>
    </row>
    <row r="55" spans="1:59" ht="16.5" customHeight="1" x14ac:dyDescent="0.3">
      <c r="A55" s="160"/>
      <c r="B55" s="254" t="s">
        <v>1091</v>
      </c>
      <c r="C55" s="254"/>
      <c r="D55" s="254"/>
      <c r="E55" s="254"/>
      <c r="F55" s="254"/>
      <c r="G55" s="254"/>
      <c r="H55" s="2976">
        <f>H44</f>
        <v>0</v>
      </c>
      <c r="I55" s="2976"/>
      <c r="J55" s="2976"/>
      <c r="K55" s="2976">
        <f>K44</f>
        <v>0</v>
      </c>
      <c r="L55" s="2976"/>
      <c r="M55" s="2976"/>
      <c r="N55" s="2976">
        <f>N44</f>
        <v>0</v>
      </c>
      <c r="O55" s="2976"/>
      <c r="P55" s="2976"/>
      <c r="Q55" s="2960">
        <f>Q44</f>
        <v>0</v>
      </c>
      <c r="R55" s="2960"/>
      <c r="S55" s="2960"/>
      <c r="T55" s="2976">
        <f>T44</f>
        <v>0</v>
      </c>
      <c r="U55" s="2976"/>
      <c r="V55" s="2976"/>
      <c r="W55" s="2976">
        <f>W44</f>
        <v>0</v>
      </c>
      <c r="X55" s="2976"/>
      <c r="Y55" s="2976"/>
      <c r="Z55" s="2976">
        <f>Z44</f>
        <v>0</v>
      </c>
      <c r="AA55" s="2976"/>
      <c r="AB55" s="2976"/>
      <c r="AC55" s="44"/>
      <c r="AD55" s="44"/>
      <c r="AE55" s="44"/>
      <c r="AF55" s="254" t="s">
        <v>1091</v>
      </c>
      <c r="AG55" s="254"/>
      <c r="AH55" s="254"/>
      <c r="AI55" s="254"/>
      <c r="AJ55" s="254"/>
      <c r="AK55" s="254"/>
      <c r="AL55" s="2976">
        <f>AL44</f>
        <v>0</v>
      </c>
      <c r="AM55" s="2976"/>
      <c r="AN55" s="2976"/>
      <c r="AO55" s="2976">
        <f>AO44</f>
        <v>0</v>
      </c>
      <c r="AP55" s="2976"/>
      <c r="AQ55" s="2976"/>
      <c r="AR55" s="2976">
        <f>AR44</f>
        <v>0</v>
      </c>
      <c r="AS55" s="2976"/>
      <c r="AT55" s="2976"/>
      <c r="AU55" s="2960">
        <f>AU44</f>
        <v>0</v>
      </c>
      <c r="AV55" s="2960"/>
      <c r="AW55" s="2960"/>
      <c r="AX55" s="2976">
        <f>AX44</f>
        <v>0</v>
      </c>
      <c r="AY55" s="2976"/>
      <c r="AZ55" s="2976"/>
      <c r="BA55" s="2976">
        <f>BA44</f>
        <v>0</v>
      </c>
      <c r="BB55" s="2976"/>
      <c r="BC55" s="2976"/>
      <c r="BD55" s="2976">
        <f>BD44</f>
        <v>0</v>
      </c>
      <c r="BE55" s="2976"/>
      <c r="BF55" s="2976"/>
      <c r="BG55" s="160"/>
    </row>
    <row r="56" spans="1:59" ht="16.5" customHeight="1" x14ac:dyDescent="0.3">
      <c r="A56" s="160"/>
      <c r="B56" s="2992">
        <f>B45</f>
        <v>0</v>
      </c>
      <c r="C56" s="2992"/>
      <c r="D56" s="2992"/>
      <c r="E56" s="2992"/>
      <c r="F56" s="2992"/>
      <c r="G56" s="2993"/>
      <c r="H56" s="2980">
        <f>DASHBOARD!CS300</f>
        <v>0</v>
      </c>
      <c r="I56" s="2967"/>
      <c r="J56" s="2967"/>
      <c r="K56" s="2967">
        <f>DASHBOARD!CT300</f>
        <v>0</v>
      </c>
      <c r="L56" s="2967"/>
      <c r="M56" s="2967"/>
      <c r="N56" s="2967">
        <f>DASHBOARD!CU300</f>
        <v>0</v>
      </c>
      <c r="O56" s="2967"/>
      <c r="P56" s="2967"/>
      <c r="Q56" s="2958">
        <f>DASHBOARD!CV300</f>
        <v>0</v>
      </c>
      <c r="R56" s="2958"/>
      <c r="S56" s="2958"/>
      <c r="T56" s="2967">
        <f>DASHBOARD!CW300</f>
        <v>0</v>
      </c>
      <c r="U56" s="2967"/>
      <c r="V56" s="2967"/>
      <c r="W56" s="2967">
        <f>DASHBOARD!CX300</f>
        <v>0</v>
      </c>
      <c r="X56" s="2967"/>
      <c r="Y56" s="2967"/>
      <c r="Z56" s="2967">
        <f>DASHBOARD!CY300</f>
        <v>0</v>
      </c>
      <c r="AA56" s="2967"/>
      <c r="AB56" s="2967"/>
      <c r="AC56" s="44"/>
      <c r="AD56" s="44"/>
      <c r="AE56" s="44"/>
      <c r="AF56" s="2992">
        <f>AF45</f>
        <v>0</v>
      </c>
      <c r="AG56" s="2992"/>
      <c r="AH56" s="2992"/>
      <c r="AI56" s="2992"/>
      <c r="AJ56" s="2992"/>
      <c r="AK56" s="2993"/>
      <c r="AL56" s="2978">
        <f>DASHBOARD!DB300</f>
        <v>0</v>
      </c>
      <c r="AM56" s="2966"/>
      <c r="AN56" s="2966"/>
      <c r="AO56" s="2966">
        <f>DASHBOARD!DC300</f>
        <v>0</v>
      </c>
      <c r="AP56" s="2966"/>
      <c r="AQ56" s="2966"/>
      <c r="AR56" s="2966">
        <f>DASHBOARD!DD300</f>
        <v>0</v>
      </c>
      <c r="AS56" s="2966"/>
      <c r="AT56" s="2966"/>
      <c r="AU56" s="2954">
        <f>DASHBOARD!DE300</f>
        <v>0</v>
      </c>
      <c r="AV56" s="2954"/>
      <c r="AW56" s="2954"/>
      <c r="AX56" s="2966">
        <f>DASHBOARD!DF300</f>
        <v>0</v>
      </c>
      <c r="AY56" s="2966"/>
      <c r="AZ56" s="2966"/>
      <c r="BA56" s="2966">
        <f>DASHBOARD!DG300</f>
        <v>0</v>
      </c>
      <c r="BB56" s="2966"/>
      <c r="BC56" s="2966"/>
      <c r="BD56" s="2966">
        <f>DASHBOARD!DH300</f>
        <v>0</v>
      </c>
      <c r="BE56" s="2966"/>
      <c r="BF56" s="2966"/>
      <c r="BG56" s="160"/>
    </row>
    <row r="57" spans="1:59" ht="16.5" customHeight="1" x14ac:dyDescent="0.3">
      <c r="A57" s="160"/>
      <c r="B57" s="2992">
        <f t="shared" ref="B57:B62" si="1">B46</f>
        <v>0</v>
      </c>
      <c r="C57" s="2992"/>
      <c r="D57" s="2992"/>
      <c r="E57" s="2992"/>
      <c r="F57" s="2992"/>
      <c r="G57" s="2993"/>
      <c r="H57" s="2981">
        <f>DASHBOARD!CS301</f>
        <v>0</v>
      </c>
      <c r="I57" s="2968"/>
      <c r="J57" s="2968"/>
      <c r="K57" s="2968">
        <f>DASHBOARD!CT301</f>
        <v>0</v>
      </c>
      <c r="L57" s="2968"/>
      <c r="M57" s="2968"/>
      <c r="N57" s="2968">
        <f>DASHBOARD!CU301</f>
        <v>0</v>
      </c>
      <c r="O57" s="2968"/>
      <c r="P57" s="2968"/>
      <c r="Q57" s="2959">
        <f>DASHBOARD!CV301</f>
        <v>0</v>
      </c>
      <c r="R57" s="2959"/>
      <c r="S57" s="2959"/>
      <c r="T57" s="2968">
        <f>DASHBOARD!CW301</f>
        <v>0</v>
      </c>
      <c r="U57" s="2968"/>
      <c r="V57" s="2968"/>
      <c r="W57" s="2968">
        <f>DASHBOARD!CX301</f>
        <v>0</v>
      </c>
      <c r="X57" s="2968"/>
      <c r="Y57" s="2968"/>
      <c r="Z57" s="2968">
        <f>DASHBOARD!CY301</f>
        <v>0</v>
      </c>
      <c r="AA57" s="2968"/>
      <c r="AB57" s="2968"/>
      <c r="AC57" s="44"/>
      <c r="AD57" s="44"/>
      <c r="AE57" s="44"/>
      <c r="AF57" s="2992">
        <f t="shared" ref="AF57:AF62" si="2">AF46</f>
        <v>0</v>
      </c>
      <c r="AG57" s="2992"/>
      <c r="AH57" s="2992"/>
      <c r="AI57" s="2992"/>
      <c r="AJ57" s="2992"/>
      <c r="AK57" s="2993"/>
      <c r="AL57" s="2977">
        <f>DASHBOARD!DB301</f>
        <v>0</v>
      </c>
      <c r="AM57" s="2852"/>
      <c r="AN57" s="2852"/>
      <c r="AO57" s="2852">
        <f>DASHBOARD!DC301</f>
        <v>0</v>
      </c>
      <c r="AP57" s="2852"/>
      <c r="AQ57" s="2852"/>
      <c r="AR57" s="2852">
        <f>DASHBOARD!DD301</f>
        <v>0</v>
      </c>
      <c r="AS57" s="2852"/>
      <c r="AT57" s="2852"/>
      <c r="AU57" s="2955">
        <f>DASHBOARD!DE301</f>
        <v>0</v>
      </c>
      <c r="AV57" s="2955"/>
      <c r="AW57" s="2955"/>
      <c r="AX57" s="2852">
        <f>DASHBOARD!DF301</f>
        <v>0</v>
      </c>
      <c r="AY57" s="2852"/>
      <c r="AZ57" s="2852"/>
      <c r="BA57" s="2852">
        <f>DASHBOARD!DG301</f>
        <v>0</v>
      </c>
      <c r="BB57" s="2852"/>
      <c r="BC57" s="2852"/>
      <c r="BD57" s="2852">
        <f>DASHBOARD!DH301</f>
        <v>0</v>
      </c>
      <c r="BE57" s="2852"/>
      <c r="BF57" s="2852"/>
      <c r="BG57" s="160"/>
    </row>
    <row r="58" spans="1:59" ht="16.5" customHeight="1" x14ac:dyDescent="0.3">
      <c r="A58" s="160"/>
      <c r="B58" s="2992">
        <f t="shared" si="1"/>
        <v>0</v>
      </c>
      <c r="C58" s="2992"/>
      <c r="D58" s="2992"/>
      <c r="E58" s="2992"/>
      <c r="F58" s="2992"/>
      <c r="G58" s="2993"/>
      <c r="H58" s="2981">
        <f>DASHBOARD!CS302</f>
        <v>0</v>
      </c>
      <c r="I58" s="2968"/>
      <c r="J58" s="2968"/>
      <c r="K58" s="2968">
        <f>DASHBOARD!CT302</f>
        <v>0</v>
      </c>
      <c r="L58" s="2968"/>
      <c r="M58" s="2968"/>
      <c r="N58" s="2968">
        <f>DASHBOARD!CU302</f>
        <v>0</v>
      </c>
      <c r="O58" s="2968"/>
      <c r="P58" s="2968"/>
      <c r="Q58" s="2959">
        <f>DASHBOARD!CV302</f>
        <v>0</v>
      </c>
      <c r="R58" s="2959"/>
      <c r="S58" s="2959"/>
      <c r="T58" s="2968">
        <f>DASHBOARD!CW302</f>
        <v>0</v>
      </c>
      <c r="U58" s="2968"/>
      <c r="V58" s="2968"/>
      <c r="W58" s="2968">
        <f>DASHBOARD!CX302</f>
        <v>0</v>
      </c>
      <c r="X58" s="2968"/>
      <c r="Y58" s="2968"/>
      <c r="Z58" s="2968">
        <f>DASHBOARD!CY302</f>
        <v>0</v>
      </c>
      <c r="AA58" s="2968"/>
      <c r="AB58" s="2968"/>
      <c r="AC58" s="44"/>
      <c r="AD58" s="44"/>
      <c r="AE58" s="44"/>
      <c r="AF58" s="2992">
        <f t="shared" si="2"/>
        <v>0</v>
      </c>
      <c r="AG58" s="2992"/>
      <c r="AH58" s="2992"/>
      <c r="AI58" s="2992"/>
      <c r="AJ58" s="2992"/>
      <c r="AK58" s="2993"/>
      <c r="AL58" s="2977">
        <f>DASHBOARD!DB302</f>
        <v>0</v>
      </c>
      <c r="AM58" s="2852"/>
      <c r="AN58" s="2852"/>
      <c r="AO58" s="2852">
        <f>DASHBOARD!DC302</f>
        <v>0</v>
      </c>
      <c r="AP58" s="2852"/>
      <c r="AQ58" s="2852"/>
      <c r="AR58" s="2852">
        <f>DASHBOARD!DD302</f>
        <v>0</v>
      </c>
      <c r="AS58" s="2852"/>
      <c r="AT58" s="2852"/>
      <c r="AU58" s="2955">
        <f>DASHBOARD!DE302</f>
        <v>0</v>
      </c>
      <c r="AV58" s="2955"/>
      <c r="AW58" s="2955"/>
      <c r="AX58" s="2852">
        <f>DASHBOARD!DF302</f>
        <v>0</v>
      </c>
      <c r="AY58" s="2852"/>
      <c r="AZ58" s="2852"/>
      <c r="BA58" s="2852">
        <f>DASHBOARD!DG302</f>
        <v>0</v>
      </c>
      <c r="BB58" s="2852"/>
      <c r="BC58" s="2852"/>
      <c r="BD58" s="2852">
        <f>DASHBOARD!DH302</f>
        <v>0</v>
      </c>
      <c r="BE58" s="2852"/>
      <c r="BF58" s="2852"/>
      <c r="BG58" s="160"/>
    </row>
    <row r="59" spans="1:59" ht="16.5" customHeight="1" x14ac:dyDescent="0.3">
      <c r="A59" s="160"/>
      <c r="B59" s="2994">
        <f t="shared" si="1"/>
        <v>0</v>
      </c>
      <c r="C59" s="2994"/>
      <c r="D59" s="2994"/>
      <c r="E59" s="2994"/>
      <c r="F59" s="2994"/>
      <c r="G59" s="2995"/>
      <c r="H59" s="2982">
        <f>DASHBOARD!CS303</f>
        <v>0</v>
      </c>
      <c r="I59" s="2959"/>
      <c r="J59" s="2959"/>
      <c r="K59" s="2959">
        <f>DASHBOARD!CT303</f>
        <v>0</v>
      </c>
      <c r="L59" s="2959"/>
      <c r="M59" s="2959"/>
      <c r="N59" s="2959">
        <f>DASHBOARD!CU303</f>
        <v>0</v>
      </c>
      <c r="O59" s="2959"/>
      <c r="P59" s="2959"/>
      <c r="Q59" s="2959">
        <f>DASHBOARD!CV303</f>
        <v>0</v>
      </c>
      <c r="R59" s="2959"/>
      <c r="S59" s="2959"/>
      <c r="T59" s="2959">
        <f>DASHBOARD!CW303</f>
        <v>0</v>
      </c>
      <c r="U59" s="2959"/>
      <c r="V59" s="2959"/>
      <c r="W59" s="2959">
        <f>DASHBOARD!CX303</f>
        <v>0</v>
      </c>
      <c r="X59" s="2959"/>
      <c r="Y59" s="2959"/>
      <c r="Z59" s="2959">
        <f>DASHBOARD!CY303</f>
        <v>0</v>
      </c>
      <c r="AA59" s="2959"/>
      <c r="AB59" s="2959"/>
      <c r="AC59" s="44"/>
      <c r="AD59" s="44"/>
      <c r="AE59" s="44"/>
      <c r="AF59" s="2994">
        <f t="shared" si="2"/>
        <v>0</v>
      </c>
      <c r="AG59" s="2994"/>
      <c r="AH59" s="2994"/>
      <c r="AI59" s="2994"/>
      <c r="AJ59" s="2994"/>
      <c r="AK59" s="2995"/>
      <c r="AL59" s="2979">
        <f>DASHBOARD!DB303</f>
        <v>0</v>
      </c>
      <c r="AM59" s="2955"/>
      <c r="AN59" s="2955"/>
      <c r="AO59" s="2955">
        <f>DASHBOARD!DC303</f>
        <v>0</v>
      </c>
      <c r="AP59" s="2955"/>
      <c r="AQ59" s="2955"/>
      <c r="AR59" s="2955">
        <f>DASHBOARD!DD303</f>
        <v>0</v>
      </c>
      <c r="AS59" s="2955"/>
      <c r="AT59" s="2955"/>
      <c r="AU59" s="2955">
        <f>DASHBOARD!DE303</f>
        <v>0</v>
      </c>
      <c r="AV59" s="2955"/>
      <c r="AW59" s="2955"/>
      <c r="AX59" s="2955">
        <f>DASHBOARD!DF303</f>
        <v>0</v>
      </c>
      <c r="AY59" s="2955"/>
      <c r="AZ59" s="2955"/>
      <c r="BA59" s="2955">
        <f>DASHBOARD!DG303</f>
        <v>0</v>
      </c>
      <c r="BB59" s="2955"/>
      <c r="BC59" s="2955"/>
      <c r="BD59" s="2955">
        <f>DASHBOARD!DH303</f>
        <v>0</v>
      </c>
      <c r="BE59" s="2955"/>
      <c r="BF59" s="2955"/>
      <c r="BG59" s="160"/>
    </row>
    <row r="60" spans="1:59" ht="16.5" customHeight="1" x14ac:dyDescent="0.3">
      <c r="A60" s="160"/>
      <c r="B60" s="2992">
        <f t="shared" si="1"/>
        <v>0</v>
      </c>
      <c r="C60" s="2992"/>
      <c r="D60" s="2992"/>
      <c r="E60" s="2992"/>
      <c r="F60" s="2992"/>
      <c r="G60" s="2993"/>
      <c r="H60" s="2981">
        <f>DASHBOARD!CS304</f>
        <v>0</v>
      </c>
      <c r="I60" s="2968"/>
      <c r="J60" s="2968"/>
      <c r="K60" s="2968">
        <f>DASHBOARD!CT304</f>
        <v>0</v>
      </c>
      <c r="L60" s="2968"/>
      <c r="M60" s="2968"/>
      <c r="N60" s="2968">
        <f>DASHBOARD!CU304</f>
        <v>0</v>
      </c>
      <c r="O60" s="2968"/>
      <c r="P60" s="2968"/>
      <c r="Q60" s="2959">
        <f>DASHBOARD!CV304</f>
        <v>0</v>
      </c>
      <c r="R60" s="2959"/>
      <c r="S60" s="2959"/>
      <c r="T60" s="2968">
        <f>DASHBOARD!CW304</f>
        <v>0</v>
      </c>
      <c r="U60" s="2968"/>
      <c r="V60" s="2968"/>
      <c r="W60" s="2968">
        <f>DASHBOARD!CX304</f>
        <v>0</v>
      </c>
      <c r="X60" s="2968"/>
      <c r="Y60" s="2968"/>
      <c r="Z60" s="2968">
        <f>DASHBOARD!CY304</f>
        <v>0</v>
      </c>
      <c r="AA60" s="2968"/>
      <c r="AB60" s="2968"/>
      <c r="AC60" s="44"/>
      <c r="AD60" s="44"/>
      <c r="AE60" s="44"/>
      <c r="AF60" s="2992">
        <f t="shared" si="2"/>
        <v>0</v>
      </c>
      <c r="AG60" s="2992"/>
      <c r="AH60" s="2992"/>
      <c r="AI60" s="2992"/>
      <c r="AJ60" s="2992"/>
      <c r="AK60" s="2993"/>
      <c r="AL60" s="2977">
        <f>DASHBOARD!DB304</f>
        <v>0</v>
      </c>
      <c r="AM60" s="2852"/>
      <c r="AN60" s="2852"/>
      <c r="AO60" s="2852">
        <f>DASHBOARD!DC304</f>
        <v>0</v>
      </c>
      <c r="AP60" s="2852"/>
      <c r="AQ60" s="2852"/>
      <c r="AR60" s="2852">
        <f>DASHBOARD!DD304</f>
        <v>0</v>
      </c>
      <c r="AS60" s="2852"/>
      <c r="AT60" s="2852"/>
      <c r="AU60" s="2955">
        <f>DASHBOARD!DE304</f>
        <v>0</v>
      </c>
      <c r="AV60" s="2955"/>
      <c r="AW60" s="2955"/>
      <c r="AX60" s="2852">
        <f>DASHBOARD!DF304</f>
        <v>0</v>
      </c>
      <c r="AY60" s="2852"/>
      <c r="AZ60" s="2852"/>
      <c r="BA60" s="2852">
        <f>DASHBOARD!DG304</f>
        <v>0</v>
      </c>
      <c r="BB60" s="2852"/>
      <c r="BC60" s="2852"/>
      <c r="BD60" s="2852">
        <f>DASHBOARD!DH304</f>
        <v>0</v>
      </c>
      <c r="BE60" s="2852"/>
      <c r="BF60" s="2852"/>
      <c r="BG60" s="160"/>
    </row>
    <row r="61" spans="1:59" ht="16.5" customHeight="1" x14ac:dyDescent="0.3">
      <c r="A61" s="160"/>
      <c r="B61" s="2992">
        <f t="shared" si="1"/>
        <v>0</v>
      </c>
      <c r="C61" s="2992"/>
      <c r="D61" s="2992"/>
      <c r="E61" s="2992"/>
      <c r="F61" s="2992"/>
      <c r="G61" s="2993"/>
      <c r="H61" s="2981">
        <f>DASHBOARD!CS305</f>
        <v>0</v>
      </c>
      <c r="I61" s="2968"/>
      <c r="J61" s="2968"/>
      <c r="K61" s="2968">
        <f>DASHBOARD!CT305</f>
        <v>0</v>
      </c>
      <c r="L61" s="2968"/>
      <c r="M61" s="2968"/>
      <c r="N61" s="2968">
        <f>DASHBOARD!CU305</f>
        <v>0</v>
      </c>
      <c r="O61" s="2968"/>
      <c r="P61" s="2968"/>
      <c r="Q61" s="2959">
        <f>DASHBOARD!CV305</f>
        <v>0</v>
      </c>
      <c r="R61" s="2959"/>
      <c r="S61" s="2959"/>
      <c r="T61" s="2968">
        <f>DASHBOARD!CW305</f>
        <v>0</v>
      </c>
      <c r="U61" s="2968"/>
      <c r="V61" s="2968"/>
      <c r="W61" s="2968">
        <f>DASHBOARD!CX305</f>
        <v>0</v>
      </c>
      <c r="X61" s="2968"/>
      <c r="Y61" s="2968"/>
      <c r="Z61" s="2968">
        <f>DASHBOARD!CY305</f>
        <v>0</v>
      </c>
      <c r="AA61" s="2968"/>
      <c r="AB61" s="2968"/>
      <c r="AC61" s="44"/>
      <c r="AD61" s="44"/>
      <c r="AE61" s="44"/>
      <c r="AF61" s="2992">
        <f t="shared" si="2"/>
        <v>0</v>
      </c>
      <c r="AG61" s="2992"/>
      <c r="AH61" s="2992"/>
      <c r="AI61" s="2992"/>
      <c r="AJ61" s="2992"/>
      <c r="AK61" s="2993"/>
      <c r="AL61" s="2977">
        <f>DASHBOARD!DB305</f>
        <v>0</v>
      </c>
      <c r="AM61" s="2852"/>
      <c r="AN61" s="2852"/>
      <c r="AO61" s="2852">
        <f>DASHBOARD!DC305</f>
        <v>0</v>
      </c>
      <c r="AP61" s="2852"/>
      <c r="AQ61" s="2852"/>
      <c r="AR61" s="2852">
        <f>DASHBOARD!DD305</f>
        <v>0</v>
      </c>
      <c r="AS61" s="2852"/>
      <c r="AT61" s="2852"/>
      <c r="AU61" s="2955">
        <f>DASHBOARD!DE305</f>
        <v>0</v>
      </c>
      <c r="AV61" s="2955"/>
      <c r="AW61" s="2955"/>
      <c r="AX61" s="2852">
        <f>DASHBOARD!DF305</f>
        <v>0</v>
      </c>
      <c r="AY61" s="2852"/>
      <c r="AZ61" s="2852"/>
      <c r="BA61" s="2852">
        <f>DASHBOARD!DG305</f>
        <v>0</v>
      </c>
      <c r="BB61" s="2852"/>
      <c r="BC61" s="2852"/>
      <c r="BD61" s="2852">
        <f>DASHBOARD!DH305</f>
        <v>0</v>
      </c>
      <c r="BE61" s="2852"/>
      <c r="BF61" s="2852"/>
      <c r="BG61" s="160"/>
    </row>
    <row r="62" spans="1:59" ht="16.5" customHeight="1" x14ac:dyDescent="0.3">
      <c r="A62" s="160"/>
      <c r="B62" s="2992">
        <f t="shared" si="1"/>
        <v>0</v>
      </c>
      <c r="C62" s="2992"/>
      <c r="D62" s="2992"/>
      <c r="E62" s="2992"/>
      <c r="F62" s="2992"/>
      <c r="G62" s="2993"/>
      <c r="H62" s="2981">
        <f>DASHBOARD!CS306</f>
        <v>0</v>
      </c>
      <c r="I62" s="2968"/>
      <c r="J62" s="2968"/>
      <c r="K62" s="2968">
        <f>DASHBOARD!CT306</f>
        <v>0</v>
      </c>
      <c r="L62" s="2968"/>
      <c r="M62" s="2968"/>
      <c r="N62" s="2968">
        <f>DASHBOARD!CU306</f>
        <v>0</v>
      </c>
      <c r="O62" s="2968"/>
      <c r="P62" s="2968"/>
      <c r="Q62" s="2959">
        <f>DASHBOARD!CV306</f>
        <v>0</v>
      </c>
      <c r="R62" s="2959"/>
      <c r="S62" s="2959"/>
      <c r="T62" s="2968">
        <f>DASHBOARD!CW306</f>
        <v>0</v>
      </c>
      <c r="U62" s="2968"/>
      <c r="V62" s="2968"/>
      <c r="W62" s="2968">
        <f>DASHBOARD!CX306</f>
        <v>0</v>
      </c>
      <c r="X62" s="2968"/>
      <c r="Y62" s="2968"/>
      <c r="Z62" s="2968">
        <f>DASHBOARD!CY306</f>
        <v>0</v>
      </c>
      <c r="AA62" s="2968"/>
      <c r="AB62" s="2968"/>
      <c r="AC62" s="44"/>
      <c r="AD62" s="44"/>
      <c r="AE62" s="44"/>
      <c r="AF62" s="2992">
        <f t="shared" si="2"/>
        <v>0</v>
      </c>
      <c r="AG62" s="2992"/>
      <c r="AH62" s="2992"/>
      <c r="AI62" s="2992"/>
      <c r="AJ62" s="2992"/>
      <c r="AK62" s="2993"/>
      <c r="AL62" s="2977">
        <f>DASHBOARD!DB306</f>
        <v>0</v>
      </c>
      <c r="AM62" s="2852"/>
      <c r="AN62" s="2852"/>
      <c r="AO62" s="2963">
        <f>DASHBOARD!DC306</f>
        <v>0</v>
      </c>
      <c r="AP62" s="2963"/>
      <c r="AQ62" s="2963"/>
      <c r="AR62" s="2963">
        <f>DASHBOARD!DD306</f>
        <v>0</v>
      </c>
      <c r="AS62" s="2963"/>
      <c r="AT62" s="2963"/>
      <c r="AU62" s="2956">
        <f>DASHBOARD!DE306</f>
        <v>0</v>
      </c>
      <c r="AV62" s="2956"/>
      <c r="AW62" s="2956"/>
      <c r="AX62" s="2963">
        <f>DASHBOARD!DF306</f>
        <v>0</v>
      </c>
      <c r="AY62" s="2963"/>
      <c r="AZ62" s="2963"/>
      <c r="BA62" s="2963">
        <f>DASHBOARD!DG306</f>
        <v>0</v>
      </c>
      <c r="BB62" s="2963"/>
      <c r="BC62" s="2963"/>
      <c r="BD62" s="2963">
        <f>DASHBOARD!DH306</f>
        <v>0</v>
      </c>
      <c r="BE62" s="2963"/>
      <c r="BF62" s="2963"/>
      <c r="BG62" s="160"/>
    </row>
    <row r="63" spans="1:59" ht="16.5" customHeight="1" x14ac:dyDescent="0.3">
      <c r="A63" s="160"/>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160"/>
    </row>
    <row r="64" spans="1:59" ht="14.25" customHeight="1" x14ac:dyDescent="0.3">
      <c r="A64" s="160"/>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160"/>
    </row>
    <row r="65" spans="1:59" ht="14.25" customHeight="1" x14ac:dyDescent="0.3">
      <c r="A65" s="120"/>
      <c r="B65" s="178" t="s">
        <v>313</v>
      </c>
      <c r="C65" s="178"/>
      <c r="D65" s="178"/>
      <c r="E65" s="178"/>
      <c r="F65" s="178"/>
      <c r="G65" s="178"/>
      <c r="H65" s="119"/>
      <c r="I65" s="119"/>
      <c r="J65" s="119"/>
      <c r="K65" s="119"/>
      <c r="L65" s="119"/>
      <c r="M65" s="119"/>
      <c r="N65" s="119"/>
      <c r="O65" s="119"/>
      <c r="P65" s="119"/>
      <c r="Q65" s="43"/>
      <c r="R65" s="43"/>
      <c r="S65" s="43"/>
      <c r="T65" s="119"/>
      <c r="U65" s="119"/>
      <c r="V65" s="119"/>
      <c r="W65" s="119"/>
      <c r="X65" s="119"/>
      <c r="Y65" s="119"/>
      <c r="Z65" s="119"/>
      <c r="AA65" s="119"/>
      <c r="AB65" s="119"/>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120"/>
    </row>
    <row r="66" spans="1:59" ht="14.25" customHeight="1" x14ac:dyDescent="0.3">
      <c r="A66" s="155"/>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c r="AE66" s="271"/>
      <c r="AF66" s="271"/>
      <c r="AG66" s="271"/>
      <c r="AH66" s="271"/>
      <c r="AI66" s="271"/>
      <c r="AJ66" s="271"/>
      <c r="AK66" s="271"/>
      <c r="AL66" s="271"/>
      <c r="AM66" s="271"/>
      <c r="AN66" s="271"/>
      <c r="AO66" s="271"/>
      <c r="AP66" s="271"/>
      <c r="AQ66" s="271"/>
      <c r="AR66" s="271"/>
      <c r="AS66" s="271"/>
      <c r="AT66" s="271"/>
      <c r="AU66" s="271"/>
      <c r="AV66" s="271"/>
      <c r="AW66" s="271"/>
      <c r="AX66" s="271"/>
      <c r="AY66" s="271"/>
      <c r="AZ66" s="271"/>
      <c r="BA66" s="271"/>
      <c r="BB66" s="271"/>
      <c r="BC66" s="271"/>
      <c r="BD66" s="271"/>
      <c r="BE66" s="271"/>
      <c r="BF66" s="271"/>
      <c r="BG66" s="155"/>
    </row>
    <row r="67" spans="1:59" ht="14.25" customHeight="1" x14ac:dyDescent="0.3">
      <c r="A67" s="164"/>
      <c r="B67" s="44"/>
      <c r="C67" s="44"/>
      <c r="D67" s="44"/>
      <c r="E67" s="44"/>
      <c r="F67" s="44"/>
      <c r="G67" s="44"/>
      <c r="H67" s="271"/>
      <c r="I67" s="271"/>
      <c r="J67" s="263" t="s">
        <v>311</v>
      </c>
      <c r="K67" s="2996"/>
      <c r="L67" s="2997"/>
      <c r="M67" s="2998"/>
      <c r="N67" s="271"/>
      <c r="O67" s="271"/>
      <c r="P67" s="271"/>
      <c r="Q67" s="271"/>
      <c r="R67" s="271"/>
      <c r="S67" s="271"/>
      <c r="T67" s="271"/>
      <c r="U67" s="271"/>
      <c r="V67" s="263" t="s">
        <v>312</v>
      </c>
      <c r="W67" s="2973"/>
      <c r="X67" s="2974"/>
      <c r="Y67" s="2975"/>
      <c r="Z67" s="271"/>
      <c r="AA67" s="271"/>
      <c r="AB67" s="271"/>
      <c r="AC67" s="271"/>
      <c r="AD67" s="271"/>
      <c r="AE67" s="271"/>
      <c r="AF67" s="271"/>
      <c r="AG67" s="271"/>
      <c r="AH67" s="271"/>
      <c r="AI67" s="271"/>
      <c r="AJ67" s="271"/>
      <c r="AK67" s="271"/>
      <c r="AL67" s="271"/>
      <c r="AM67" s="271"/>
      <c r="AN67" s="271"/>
      <c r="AO67" s="271"/>
      <c r="AP67" s="271"/>
      <c r="AQ67" s="263" t="s">
        <v>314</v>
      </c>
      <c r="AR67" s="2973"/>
      <c r="AS67" s="2974"/>
      <c r="AT67" s="2975"/>
      <c r="AU67" s="271"/>
      <c r="AV67" s="271"/>
      <c r="AW67" s="271"/>
      <c r="AX67" s="271"/>
      <c r="AY67" s="271"/>
      <c r="AZ67" s="271"/>
      <c r="BA67" s="271"/>
      <c r="BB67" s="263" t="s">
        <v>315</v>
      </c>
      <c r="BC67" s="2970"/>
      <c r="BD67" s="2971"/>
      <c r="BE67" s="2972"/>
      <c r="BF67" s="271"/>
      <c r="BG67" s="164"/>
    </row>
    <row r="68" spans="1:59" ht="16.5" customHeight="1" x14ac:dyDescent="0.3">
      <c r="A68" s="155"/>
      <c r="B68" s="44"/>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155"/>
    </row>
    <row r="69" spans="1:59" ht="16.5" customHeight="1" x14ac:dyDescent="0.3">
      <c r="A69" s="165"/>
      <c r="B69" s="262" t="s">
        <v>103</v>
      </c>
      <c r="C69" s="262"/>
      <c r="D69" s="262"/>
      <c r="E69" s="262"/>
      <c r="F69" s="262"/>
      <c r="G69" s="262"/>
      <c r="H69" s="254" t="s">
        <v>320</v>
      </c>
      <c r="I69" s="254"/>
      <c r="J69" s="254"/>
      <c r="K69" s="254"/>
      <c r="L69" s="254"/>
      <c r="M69" s="254"/>
      <c r="N69" s="254"/>
      <c r="O69" s="254"/>
      <c r="P69" s="254"/>
      <c r="Q69" s="254"/>
      <c r="R69" s="254"/>
      <c r="S69" s="254"/>
      <c r="T69" s="254"/>
      <c r="U69" s="254"/>
      <c r="V69" s="254"/>
      <c r="W69" s="254"/>
      <c r="X69" s="254"/>
      <c r="Y69" s="254"/>
      <c r="Z69" s="254"/>
      <c r="AA69" s="254"/>
      <c r="AB69" s="254"/>
      <c r="AC69" s="44"/>
      <c r="AD69" s="44"/>
      <c r="AE69" s="44"/>
      <c r="AF69" s="262" t="str">
        <f>B28</f>
        <v>Cash on Cash</v>
      </c>
      <c r="AG69" s="262"/>
      <c r="AH69" s="262"/>
      <c r="AI69" s="262"/>
      <c r="AJ69" s="262"/>
      <c r="AK69" s="262"/>
      <c r="AL69" s="254" t="s">
        <v>320</v>
      </c>
      <c r="AM69" s="254"/>
      <c r="AN69" s="254"/>
      <c r="AO69" s="254"/>
      <c r="AP69" s="254"/>
      <c r="AQ69" s="254"/>
      <c r="AR69" s="254"/>
      <c r="AS69" s="254"/>
      <c r="AT69" s="254"/>
      <c r="AU69" s="254"/>
      <c r="AV69" s="254"/>
      <c r="AW69" s="254"/>
      <c r="AX69" s="254"/>
      <c r="AY69" s="254"/>
      <c r="AZ69" s="254"/>
      <c r="BA69" s="254"/>
      <c r="BB69" s="254"/>
      <c r="BC69" s="254"/>
      <c r="BD69" s="254"/>
      <c r="BE69" s="254"/>
      <c r="BF69" s="254"/>
      <c r="BG69" s="165"/>
    </row>
    <row r="70" spans="1:59" ht="16.5" customHeight="1" x14ac:dyDescent="0.3">
      <c r="A70" s="160"/>
      <c r="B70" s="254" t="s">
        <v>318</v>
      </c>
      <c r="C70" s="254"/>
      <c r="D70" s="254"/>
      <c r="E70" s="254"/>
      <c r="F70" s="254"/>
      <c r="G70" s="254"/>
      <c r="H70" s="2969">
        <f>DASHBOARD!CA281</f>
        <v>0</v>
      </c>
      <c r="I70" s="2969"/>
      <c r="J70" s="2969"/>
      <c r="K70" s="2969">
        <f>DASHBOARD!CB281</f>
        <v>0</v>
      </c>
      <c r="L70" s="2969"/>
      <c r="M70" s="2969"/>
      <c r="N70" s="2969">
        <f>DASHBOARD!CC281</f>
        <v>0</v>
      </c>
      <c r="O70" s="2969"/>
      <c r="P70" s="2969"/>
      <c r="Q70" s="2957">
        <f>DASHBOARD!CD281</f>
        <v>0</v>
      </c>
      <c r="R70" s="2957"/>
      <c r="S70" s="2957"/>
      <c r="T70" s="2969">
        <f>DASHBOARD!CE281</f>
        <v>0</v>
      </c>
      <c r="U70" s="2969"/>
      <c r="V70" s="2969"/>
      <c r="W70" s="2969">
        <f>DASHBOARD!CF281</f>
        <v>0</v>
      </c>
      <c r="X70" s="2969"/>
      <c r="Y70" s="2969"/>
      <c r="Z70" s="2969">
        <f>DASHBOARD!CG281</f>
        <v>0</v>
      </c>
      <c r="AA70" s="2969"/>
      <c r="AB70" s="2969"/>
      <c r="AC70" s="44"/>
      <c r="AD70" s="44"/>
      <c r="AE70" s="44"/>
      <c r="AF70" s="254" t="s">
        <v>318</v>
      </c>
      <c r="AG70" s="254"/>
      <c r="AH70" s="254"/>
      <c r="AI70" s="254"/>
      <c r="AJ70" s="254"/>
      <c r="AK70" s="254"/>
      <c r="AL70" s="2969">
        <f>H70</f>
        <v>0</v>
      </c>
      <c r="AM70" s="2969"/>
      <c r="AN70" s="2969"/>
      <c r="AO70" s="2969">
        <f>K70</f>
        <v>0</v>
      </c>
      <c r="AP70" s="2969"/>
      <c r="AQ70" s="2969"/>
      <c r="AR70" s="2969">
        <f>N70</f>
        <v>0</v>
      </c>
      <c r="AS70" s="2969"/>
      <c r="AT70" s="2969"/>
      <c r="AU70" s="2957">
        <f>Q70</f>
        <v>0</v>
      </c>
      <c r="AV70" s="2957"/>
      <c r="AW70" s="2957"/>
      <c r="AX70" s="2969">
        <f>T70</f>
        <v>0</v>
      </c>
      <c r="AY70" s="2969"/>
      <c r="AZ70" s="2969"/>
      <c r="BA70" s="2969">
        <f>W70</f>
        <v>0</v>
      </c>
      <c r="BB70" s="2969"/>
      <c r="BC70" s="2969"/>
      <c r="BD70" s="2969">
        <f>Z70</f>
        <v>0</v>
      </c>
      <c r="BE70" s="2969"/>
      <c r="BF70" s="2969"/>
      <c r="BG70" s="160"/>
    </row>
    <row r="71" spans="1:59" ht="16.5" customHeight="1" x14ac:dyDescent="0.3">
      <c r="A71" s="160"/>
      <c r="B71" s="2988">
        <f>DASHBOARD!BZ282</f>
        <v>0</v>
      </c>
      <c r="C71" s="2988"/>
      <c r="D71" s="2988"/>
      <c r="E71" s="2988"/>
      <c r="F71" s="2988"/>
      <c r="G71" s="2989"/>
      <c r="H71" s="2980" t="str">
        <f>DASHBOARD!CA282</f>
        <v>n.a</v>
      </c>
      <c r="I71" s="2967"/>
      <c r="J71" s="2967"/>
      <c r="K71" s="2967" t="str">
        <f>DASHBOARD!CB282</f>
        <v>n.a</v>
      </c>
      <c r="L71" s="2967"/>
      <c r="M71" s="2967"/>
      <c r="N71" s="2967" t="str">
        <f>DASHBOARD!CC282</f>
        <v>n.a</v>
      </c>
      <c r="O71" s="2967"/>
      <c r="P71" s="2967"/>
      <c r="Q71" s="2958" t="str">
        <f>DASHBOARD!CD282</f>
        <v>n.a</v>
      </c>
      <c r="R71" s="2958"/>
      <c r="S71" s="2958"/>
      <c r="T71" s="2967" t="str">
        <f>DASHBOARD!CE282</f>
        <v>n.a</v>
      </c>
      <c r="U71" s="2967"/>
      <c r="V71" s="2967"/>
      <c r="W71" s="2967" t="str">
        <f>DASHBOARD!CF282</f>
        <v>n.a</v>
      </c>
      <c r="X71" s="2967"/>
      <c r="Y71" s="2967"/>
      <c r="Z71" s="2967" t="str">
        <f>DASHBOARD!CG282</f>
        <v>n.a</v>
      </c>
      <c r="AA71" s="2967"/>
      <c r="AB71" s="2967"/>
      <c r="AC71" s="44"/>
      <c r="AD71" s="44"/>
      <c r="AE71" s="44"/>
      <c r="AF71" s="2988">
        <f>B71</f>
        <v>0</v>
      </c>
      <c r="AG71" s="2988"/>
      <c r="AH71" s="2988"/>
      <c r="AI71" s="2988"/>
      <c r="AJ71" s="2988"/>
      <c r="AK71" s="2989"/>
      <c r="AL71" s="2980">
        <f>DASHBOARD!CS282</f>
        <v>0</v>
      </c>
      <c r="AM71" s="2967"/>
      <c r="AN71" s="2967"/>
      <c r="AO71" s="2967">
        <f>DASHBOARD!CT282</f>
        <v>0</v>
      </c>
      <c r="AP71" s="2967"/>
      <c r="AQ71" s="2967"/>
      <c r="AR71" s="2967">
        <f>DASHBOARD!CU282</f>
        <v>0</v>
      </c>
      <c r="AS71" s="2967"/>
      <c r="AT71" s="2967"/>
      <c r="AU71" s="2958">
        <f>DASHBOARD!CV282</f>
        <v>0</v>
      </c>
      <c r="AV71" s="2958"/>
      <c r="AW71" s="2958"/>
      <c r="AX71" s="2967">
        <f>DASHBOARD!CW282</f>
        <v>0</v>
      </c>
      <c r="AY71" s="2967"/>
      <c r="AZ71" s="2967"/>
      <c r="BA71" s="2967">
        <f>DASHBOARD!CX282</f>
        <v>0</v>
      </c>
      <c r="BB71" s="2967"/>
      <c r="BC71" s="2967"/>
      <c r="BD71" s="2967">
        <f>DASHBOARD!CY282</f>
        <v>0</v>
      </c>
      <c r="BE71" s="2967"/>
      <c r="BF71" s="2967"/>
      <c r="BG71" s="160"/>
    </row>
    <row r="72" spans="1:59" ht="15" customHeight="1" x14ac:dyDescent="0.3">
      <c r="A72" s="161"/>
      <c r="B72" s="2988">
        <f>DASHBOARD!BZ283</f>
        <v>0</v>
      </c>
      <c r="C72" s="2988"/>
      <c r="D72" s="2988"/>
      <c r="E72" s="2988"/>
      <c r="F72" s="2988"/>
      <c r="G72" s="2989"/>
      <c r="H72" s="2981" t="str">
        <f>DASHBOARD!CA283</f>
        <v>n.a</v>
      </c>
      <c r="I72" s="2968"/>
      <c r="J72" s="2968"/>
      <c r="K72" s="2968" t="str">
        <f>DASHBOARD!CB283</f>
        <v>n.a</v>
      </c>
      <c r="L72" s="2968"/>
      <c r="M72" s="2968"/>
      <c r="N72" s="2968" t="str">
        <f>DASHBOARD!CC283</f>
        <v>n.a</v>
      </c>
      <c r="O72" s="2968"/>
      <c r="P72" s="2968"/>
      <c r="Q72" s="2959" t="str">
        <f>DASHBOARD!CD283</f>
        <v>n.a</v>
      </c>
      <c r="R72" s="2959"/>
      <c r="S72" s="2959"/>
      <c r="T72" s="2968" t="str">
        <f>DASHBOARD!CE283</f>
        <v>n.a</v>
      </c>
      <c r="U72" s="2968"/>
      <c r="V72" s="2968"/>
      <c r="W72" s="2968" t="str">
        <f>DASHBOARD!CF283</f>
        <v>n.a</v>
      </c>
      <c r="X72" s="2968"/>
      <c r="Y72" s="2968"/>
      <c r="Z72" s="2968" t="str">
        <f>DASHBOARD!CG283</f>
        <v>n.a</v>
      </c>
      <c r="AA72" s="2968"/>
      <c r="AB72" s="2968"/>
      <c r="AC72" s="44"/>
      <c r="AD72" s="44"/>
      <c r="AE72" s="44"/>
      <c r="AF72" s="2988">
        <f t="shared" ref="AF72:AF77" si="3">B72</f>
        <v>0</v>
      </c>
      <c r="AG72" s="2988"/>
      <c r="AH72" s="2988"/>
      <c r="AI72" s="2988"/>
      <c r="AJ72" s="2988"/>
      <c r="AK72" s="2989"/>
      <c r="AL72" s="2981">
        <f>DASHBOARD!CS283</f>
        <v>0</v>
      </c>
      <c r="AM72" s="2968"/>
      <c r="AN72" s="2968"/>
      <c r="AO72" s="2968">
        <f>DASHBOARD!CT283</f>
        <v>0</v>
      </c>
      <c r="AP72" s="2968"/>
      <c r="AQ72" s="2968"/>
      <c r="AR72" s="2968">
        <f>DASHBOARD!CU283</f>
        <v>0</v>
      </c>
      <c r="AS72" s="2968"/>
      <c r="AT72" s="2968"/>
      <c r="AU72" s="2959">
        <f>DASHBOARD!CV283</f>
        <v>0</v>
      </c>
      <c r="AV72" s="2959"/>
      <c r="AW72" s="2959"/>
      <c r="AX72" s="2968">
        <f>DASHBOARD!CW283</f>
        <v>0</v>
      </c>
      <c r="AY72" s="2968"/>
      <c r="AZ72" s="2968"/>
      <c r="BA72" s="2968">
        <f>DASHBOARD!CX283</f>
        <v>0</v>
      </c>
      <c r="BB72" s="2968"/>
      <c r="BC72" s="2968"/>
      <c r="BD72" s="2968">
        <f>DASHBOARD!CY283</f>
        <v>0</v>
      </c>
      <c r="BE72" s="2968"/>
      <c r="BF72" s="2968"/>
      <c r="BG72" s="161"/>
    </row>
    <row r="73" spans="1:59" ht="16.5" customHeight="1" x14ac:dyDescent="0.3">
      <c r="A73" s="44"/>
      <c r="B73" s="2988">
        <f>DASHBOARD!BZ284</f>
        <v>0</v>
      </c>
      <c r="C73" s="2988"/>
      <c r="D73" s="2988"/>
      <c r="E73" s="2988"/>
      <c r="F73" s="2988"/>
      <c r="G73" s="2989"/>
      <c r="H73" s="2981" t="str">
        <f>DASHBOARD!CA284</f>
        <v>n.a</v>
      </c>
      <c r="I73" s="2968"/>
      <c r="J73" s="2968"/>
      <c r="K73" s="2968" t="str">
        <f>DASHBOARD!CB284</f>
        <v>n.a</v>
      </c>
      <c r="L73" s="2968"/>
      <c r="M73" s="2968"/>
      <c r="N73" s="2968" t="str">
        <f>DASHBOARD!CC284</f>
        <v>n.a</v>
      </c>
      <c r="O73" s="2968"/>
      <c r="P73" s="2968"/>
      <c r="Q73" s="2959" t="str">
        <f>DASHBOARD!CD284</f>
        <v>n.a</v>
      </c>
      <c r="R73" s="2959"/>
      <c r="S73" s="2959"/>
      <c r="T73" s="2968" t="str">
        <f>DASHBOARD!CE284</f>
        <v>n.a</v>
      </c>
      <c r="U73" s="2968"/>
      <c r="V73" s="2968"/>
      <c r="W73" s="2968" t="str">
        <f>DASHBOARD!CF284</f>
        <v>n.a</v>
      </c>
      <c r="X73" s="2968"/>
      <c r="Y73" s="2968"/>
      <c r="Z73" s="2968" t="str">
        <f>DASHBOARD!CG284</f>
        <v>n.a</v>
      </c>
      <c r="AA73" s="2968"/>
      <c r="AB73" s="2968"/>
      <c r="AC73" s="44"/>
      <c r="AD73" s="44"/>
      <c r="AE73" s="44"/>
      <c r="AF73" s="2988">
        <f t="shared" si="3"/>
        <v>0</v>
      </c>
      <c r="AG73" s="2988"/>
      <c r="AH73" s="2988"/>
      <c r="AI73" s="2988"/>
      <c r="AJ73" s="2988"/>
      <c r="AK73" s="2989"/>
      <c r="AL73" s="2981">
        <f>DASHBOARD!CS284</f>
        <v>0</v>
      </c>
      <c r="AM73" s="2968"/>
      <c r="AN73" s="2968"/>
      <c r="AO73" s="2968">
        <f>DASHBOARD!CT284</f>
        <v>0</v>
      </c>
      <c r="AP73" s="2968"/>
      <c r="AQ73" s="2968"/>
      <c r="AR73" s="2968">
        <f>DASHBOARD!CU284</f>
        <v>0</v>
      </c>
      <c r="AS73" s="2968"/>
      <c r="AT73" s="2968"/>
      <c r="AU73" s="2959">
        <f>DASHBOARD!CV284</f>
        <v>0</v>
      </c>
      <c r="AV73" s="2959"/>
      <c r="AW73" s="2959"/>
      <c r="AX73" s="2968">
        <f>DASHBOARD!CW284</f>
        <v>0</v>
      </c>
      <c r="AY73" s="2968"/>
      <c r="AZ73" s="2968"/>
      <c r="BA73" s="2968">
        <f>DASHBOARD!CX284</f>
        <v>0</v>
      </c>
      <c r="BB73" s="2968"/>
      <c r="BC73" s="2968"/>
      <c r="BD73" s="2968">
        <f>DASHBOARD!CY284</f>
        <v>0</v>
      </c>
      <c r="BE73" s="2968"/>
      <c r="BF73" s="2968"/>
      <c r="BG73" s="44"/>
    </row>
    <row r="74" spans="1:59" ht="16.5" customHeight="1" x14ac:dyDescent="0.3">
      <c r="A74" s="160"/>
      <c r="B74" s="2990">
        <f>DASHBOARD!BZ285</f>
        <v>0</v>
      </c>
      <c r="C74" s="2990"/>
      <c r="D74" s="2990"/>
      <c r="E74" s="2990"/>
      <c r="F74" s="2990"/>
      <c r="G74" s="2991"/>
      <c r="H74" s="2982" t="str">
        <f>DASHBOARD!CA285</f>
        <v>n.a</v>
      </c>
      <c r="I74" s="2959"/>
      <c r="J74" s="2959"/>
      <c r="K74" s="2959" t="str">
        <f>DASHBOARD!CB285</f>
        <v>n.a</v>
      </c>
      <c r="L74" s="2959"/>
      <c r="M74" s="2959"/>
      <c r="N74" s="2959" t="str">
        <f>DASHBOARD!CC285</f>
        <v>n.a</v>
      </c>
      <c r="O74" s="2959"/>
      <c r="P74" s="2959"/>
      <c r="Q74" s="2959" t="str">
        <f>DASHBOARD!CD285</f>
        <v>n.a</v>
      </c>
      <c r="R74" s="2959"/>
      <c r="S74" s="2959"/>
      <c r="T74" s="2959" t="str">
        <f>DASHBOARD!CE285</f>
        <v>n.a</v>
      </c>
      <c r="U74" s="2959"/>
      <c r="V74" s="2959"/>
      <c r="W74" s="2959" t="str">
        <f>DASHBOARD!CF285</f>
        <v>n.a</v>
      </c>
      <c r="X74" s="2959"/>
      <c r="Y74" s="2959"/>
      <c r="Z74" s="2959" t="str">
        <f>DASHBOARD!CG285</f>
        <v>n.a</v>
      </c>
      <c r="AA74" s="2959"/>
      <c r="AB74" s="2959"/>
      <c r="AC74" s="44"/>
      <c r="AD74" s="44"/>
      <c r="AE74" s="44"/>
      <c r="AF74" s="2990">
        <f t="shared" si="3"/>
        <v>0</v>
      </c>
      <c r="AG74" s="2990"/>
      <c r="AH74" s="2990"/>
      <c r="AI74" s="2990"/>
      <c r="AJ74" s="2990"/>
      <c r="AK74" s="2991"/>
      <c r="AL74" s="2982">
        <f>DASHBOARD!CS285</f>
        <v>0</v>
      </c>
      <c r="AM74" s="2959"/>
      <c r="AN74" s="2959"/>
      <c r="AO74" s="2959">
        <f>DASHBOARD!CT285</f>
        <v>0</v>
      </c>
      <c r="AP74" s="2959"/>
      <c r="AQ74" s="2959"/>
      <c r="AR74" s="2959">
        <f>DASHBOARD!CU285</f>
        <v>0</v>
      </c>
      <c r="AS74" s="2959"/>
      <c r="AT74" s="2959"/>
      <c r="AU74" s="2959">
        <f>DASHBOARD!CV285</f>
        <v>0</v>
      </c>
      <c r="AV74" s="2959"/>
      <c r="AW74" s="2959"/>
      <c r="AX74" s="2959">
        <f>DASHBOARD!CW285</f>
        <v>0</v>
      </c>
      <c r="AY74" s="2959"/>
      <c r="AZ74" s="2959"/>
      <c r="BA74" s="2959">
        <f>DASHBOARD!CX285</f>
        <v>0</v>
      </c>
      <c r="BB74" s="2959"/>
      <c r="BC74" s="2959"/>
      <c r="BD74" s="2959">
        <f>DASHBOARD!CY285</f>
        <v>0</v>
      </c>
      <c r="BE74" s="2959"/>
      <c r="BF74" s="2959"/>
      <c r="BG74" s="160"/>
    </row>
    <row r="75" spans="1:59" ht="16.5" customHeight="1" x14ac:dyDescent="0.3">
      <c r="A75" s="160"/>
      <c r="B75" s="2988">
        <f>DASHBOARD!BZ286</f>
        <v>0</v>
      </c>
      <c r="C75" s="2988"/>
      <c r="D75" s="2988"/>
      <c r="E75" s="2988"/>
      <c r="F75" s="2988"/>
      <c r="G75" s="2989"/>
      <c r="H75" s="2981" t="str">
        <f>DASHBOARD!CA286</f>
        <v>n.a</v>
      </c>
      <c r="I75" s="2968"/>
      <c r="J75" s="2968"/>
      <c r="K75" s="2968" t="str">
        <f>DASHBOARD!CB286</f>
        <v>n.a</v>
      </c>
      <c r="L75" s="2968"/>
      <c r="M75" s="2968"/>
      <c r="N75" s="2968" t="str">
        <f>DASHBOARD!CC286</f>
        <v>n.a</v>
      </c>
      <c r="O75" s="2968"/>
      <c r="P75" s="2968"/>
      <c r="Q75" s="2959" t="str">
        <f>DASHBOARD!CD286</f>
        <v>n.a</v>
      </c>
      <c r="R75" s="2959"/>
      <c r="S75" s="2959"/>
      <c r="T75" s="2968" t="str">
        <f>DASHBOARD!CE286</f>
        <v>n.a</v>
      </c>
      <c r="U75" s="2968"/>
      <c r="V75" s="2968"/>
      <c r="W75" s="2968" t="str">
        <f>DASHBOARD!CF286</f>
        <v>n.a</v>
      </c>
      <c r="X75" s="2968"/>
      <c r="Y75" s="2968"/>
      <c r="Z75" s="2968" t="str">
        <f>DASHBOARD!CG286</f>
        <v>n.a</v>
      </c>
      <c r="AA75" s="2968"/>
      <c r="AB75" s="2968"/>
      <c r="AC75" s="44"/>
      <c r="AD75" s="44"/>
      <c r="AE75" s="44"/>
      <c r="AF75" s="2988">
        <f t="shared" si="3"/>
        <v>0</v>
      </c>
      <c r="AG75" s="2988"/>
      <c r="AH75" s="2988"/>
      <c r="AI75" s="2988"/>
      <c r="AJ75" s="2988"/>
      <c r="AK75" s="2989"/>
      <c r="AL75" s="2981">
        <f>DASHBOARD!CS286</f>
        <v>0</v>
      </c>
      <c r="AM75" s="2968"/>
      <c r="AN75" s="2968"/>
      <c r="AO75" s="2968">
        <f>DASHBOARD!CT286</f>
        <v>0</v>
      </c>
      <c r="AP75" s="2968"/>
      <c r="AQ75" s="2968"/>
      <c r="AR75" s="2968">
        <f>DASHBOARD!CU286</f>
        <v>0</v>
      </c>
      <c r="AS75" s="2968"/>
      <c r="AT75" s="2968"/>
      <c r="AU75" s="2959">
        <f>DASHBOARD!CV286</f>
        <v>0</v>
      </c>
      <c r="AV75" s="2959"/>
      <c r="AW75" s="2959"/>
      <c r="AX75" s="2968">
        <f>DASHBOARD!CW286</f>
        <v>0</v>
      </c>
      <c r="AY75" s="2968"/>
      <c r="AZ75" s="2968"/>
      <c r="BA75" s="2968">
        <f>DASHBOARD!CX286</f>
        <v>0</v>
      </c>
      <c r="BB75" s="2968"/>
      <c r="BC75" s="2968"/>
      <c r="BD75" s="2968">
        <f>DASHBOARD!CY286</f>
        <v>0</v>
      </c>
      <c r="BE75" s="2968"/>
      <c r="BF75" s="2968"/>
      <c r="BG75" s="160"/>
    </row>
    <row r="76" spans="1:59" ht="16.5" customHeight="1" x14ac:dyDescent="0.3">
      <c r="A76" s="160"/>
      <c r="B76" s="2988">
        <f>DASHBOARD!BZ287</f>
        <v>0</v>
      </c>
      <c r="C76" s="2988"/>
      <c r="D76" s="2988"/>
      <c r="E76" s="2988"/>
      <c r="F76" s="2988"/>
      <c r="G76" s="2989"/>
      <c r="H76" s="2981" t="str">
        <f>DASHBOARD!CA287</f>
        <v>n.a</v>
      </c>
      <c r="I76" s="2968"/>
      <c r="J76" s="2968"/>
      <c r="K76" s="2968" t="str">
        <f>DASHBOARD!CB287</f>
        <v>n.a</v>
      </c>
      <c r="L76" s="2968"/>
      <c r="M76" s="2968"/>
      <c r="N76" s="2968" t="str">
        <f>DASHBOARD!CC287</f>
        <v>n.a</v>
      </c>
      <c r="O76" s="2968"/>
      <c r="P76" s="2968"/>
      <c r="Q76" s="2959" t="str">
        <f>DASHBOARD!CD287</f>
        <v>n.a</v>
      </c>
      <c r="R76" s="2959"/>
      <c r="S76" s="2959"/>
      <c r="T76" s="2968" t="str">
        <f>DASHBOARD!CE287</f>
        <v>n.a</v>
      </c>
      <c r="U76" s="2968"/>
      <c r="V76" s="2968"/>
      <c r="W76" s="2968" t="str">
        <f>DASHBOARD!CF287</f>
        <v>n.a</v>
      </c>
      <c r="X76" s="2968"/>
      <c r="Y76" s="2968"/>
      <c r="Z76" s="2968" t="str">
        <f>DASHBOARD!CG287</f>
        <v>n.a</v>
      </c>
      <c r="AA76" s="2968"/>
      <c r="AB76" s="2968"/>
      <c r="AC76" s="44"/>
      <c r="AD76" s="44"/>
      <c r="AE76" s="44"/>
      <c r="AF76" s="2988">
        <f t="shared" si="3"/>
        <v>0</v>
      </c>
      <c r="AG76" s="2988"/>
      <c r="AH76" s="2988"/>
      <c r="AI76" s="2988"/>
      <c r="AJ76" s="2988"/>
      <c r="AK76" s="2989"/>
      <c r="AL76" s="2981">
        <f>DASHBOARD!CS287</f>
        <v>0</v>
      </c>
      <c r="AM76" s="2968"/>
      <c r="AN76" s="2968"/>
      <c r="AO76" s="2968">
        <f>DASHBOARD!CT287</f>
        <v>0</v>
      </c>
      <c r="AP76" s="2968"/>
      <c r="AQ76" s="2968"/>
      <c r="AR76" s="2968">
        <f>DASHBOARD!CU287</f>
        <v>0</v>
      </c>
      <c r="AS76" s="2968"/>
      <c r="AT76" s="2968"/>
      <c r="AU76" s="2959">
        <f>DASHBOARD!CV287</f>
        <v>0</v>
      </c>
      <c r="AV76" s="2959"/>
      <c r="AW76" s="2959"/>
      <c r="AX76" s="2968">
        <f>DASHBOARD!CW287</f>
        <v>0</v>
      </c>
      <c r="AY76" s="2968"/>
      <c r="AZ76" s="2968"/>
      <c r="BA76" s="2968">
        <f>DASHBOARD!CX287</f>
        <v>0</v>
      </c>
      <c r="BB76" s="2968"/>
      <c r="BC76" s="2968"/>
      <c r="BD76" s="2968">
        <f>DASHBOARD!CY287</f>
        <v>0</v>
      </c>
      <c r="BE76" s="2968"/>
      <c r="BF76" s="2968"/>
      <c r="BG76" s="160"/>
    </row>
    <row r="77" spans="1:59" ht="16.5" customHeight="1" x14ac:dyDescent="0.3">
      <c r="A77" s="160"/>
      <c r="B77" s="2988">
        <f>DASHBOARD!BZ288</f>
        <v>0</v>
      </c>
      <c r="C77" s="2988"/>
      <c r="D77" s="2988"/>
      <c r="E77" s="2988"/>
      <c r="F77" s="2988"/>
      <c r="G77" s="2989"/>
      <c r="H77" s="2981" t="str">
        <f>DASHBOARD!CA288</f>
        <v>n.a</v>
      </c>
      <c r="I77" s="2968"/>
      <c r="J77" s="2968"/>
      <c r="K77" s="2968" t="str">
        <f>DASHBOARD!CB288</f>
        <v>n.a</v>
      </c>
      <c r="L77" s="2968"/>
      <c r="M77" s="2968"/>
      <c r="N77" s="2968" t="str">
        <f>DASHBOARD!CC288</f>
        <v>n.a</v>
      </c>
      <c r="O77" s="2968"/>
      <c r="P77" s="2968"/>
      <c r="Q77" s="2959" t="str">
        <f>DASHBOARD!CD288</f>
        <v>n.a</v>
      </c>
      <c r="R77" s="2959"/>
      <c r="S77" s="2959"/>
      <c r="T77" s="2968" t="str">
        <f>DASHBOARD!CE288</f>
        <v>n.a</v>
      </c>
      <c r="U77" s="2968"/>
      <c r="V77" s="2968"/>
      <c r="W77" s="2968" t="str">
        <f>DASHBOARD!CF288</f>
        <v>n.a</v>
      </c>
      <c r="X77" s="2968"/>
      <c r="Y77" s="2968"/>
      <c r="Z77" s="2968" t="str">
        <f>DASHBOARD!CG288</f>
        <v>n.a</v>
      </c>
      <c r="AA77" s="2968"/>
      <c r="AB77" s="2968"/>
      <c r="AC77" s="44"/>
      <c r="AD77" s="44"/>
      <c r="AE77" s="44"/>
      <c r="AF77" s="2988">
        <f t="shared" si="3"/>
        <v>0</v>
      </c>
      <c r="AG77" s="2988"/>
      <c r="AH77" s="2988"/>
      <c r="AI77" s="2988"/>
      <c r="AJ77" s="2988"/>
      <c r="AK77" s="2989"/>
      <c r="AL77" s="2981">
        <f>DASHBOARD!CS288</f>
        <v>0</v>
      </c>
      <c r="AM77" s="2968"/>
      <c r="AN77" s="2968"/>
      <c r="AO77" s="2964">
        <f>DASHBOARD!CT288</f>
        <v>0</v>
      </c>
      <c r="AP77" s="2964"/>
      <c r="AQ77" s="2964"/>
      <c r="AR77" s="2964">
        <f>DASHBOARD!CU288</f>
        <v>0</v>
      </c>
      <c r="AS77" s="2964"/>
      <c r="AT77" s="2964"/>
      <c r="AU77" s="2961">
        <f>DASHBOARD!CV288</f>
        <v>0</v>
      </c>
      <c r="AV77" s="2961"/>
      <c r="AW77" s="2961"/>
      <c r="AX77" s="2964">
        <f>DASHBOARD!CW288</f>
        <v>0</v>
      </c>
      <c r="AY77" s="2964"/>
      <c r="AZ77" s="2964"/>
      <c r="BA77" s="2964">
        <f>DASHBOARD!CX288</f>
        <v>0</v>
      </c>
      <c r="BB77" s="2964"/>
      <c r="BC77" s="2964"/>
      <c r="BD77" s="2964">
        <f>DASHBOARD!CY288</f>
        <v>0</v>
      </c>
      <c r="BE77" s="2964"/>
      <c r="BF77" s="2964"/>
      <c r="BG77" s="160"/>
    </row>
    <row r="78" spans="1:59" ht="16.5" customHeight="1" x14ac:dyDescent="0.3">
      <c r="A78" s="160"/>
      <c r="B78" s="44"/>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160"/>
    </row>
    <row r="79" spans="1:59" ht="16.5" customHeight="1" x14ac:dyDescent="0.3">
      <c r="A79" s="160"/>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160"/>
    </row>
    <row r="80" spans="1:59" ht="16.5" customHeight="1" x14ac:dyDescent="0.3">
      <c r="A80" s="160"/>
      <c r="B80" s="262" t="str">
        <f>AF28</f>
        <v>Cash Flow #1</v>
      </c>
      <c r="C80" s="262"/>
      <c r="D80" s="262"/>
      <c r="E80" s="262"/>
      <c r="F80" s="262"/>
      <c r="G80" s="262"/>
      <c r="H80" s="254" t="s">
        <v>320</v>
      </c>
      <c r="I80" s="254"/>
      <c r="J80" s="254"/>
      <c r="K80" s="254"/>
      <c r="L80" s="254"/>
      <c r="M80" s="254"/>
      <c r="N80" s="254"/>
      <c r="O80" s="254"/>
      <c r="P80" s="254"/>
      <c r="Q80" s="254"/>
      <c r="R80" s="254"/>
      <c r="S80" s="254"/>
      <c r="T80" s="254"/>
      <c r="U80" s="254"/>
      <c r="V80" s="254"/>
      <c r="W80" s="254"/>
      <c r="X80" s="254"/>
      <c r="Y80" s="254"/>
      <c r="Z80" s="254"/>
      <c r="AA80" s="254"/>
      <c r="AB80" s="254"/>
      <c r="AC80" s="44"/>
      <c r="AD80" s="44"/>
      <c r="AE80" s="44"/>
      <c r="AF80" s="262" t="s">
        <v>316</v>
      </c>
      <c r="AG80" s="262"/>
      <c r="AH80" s="262"/>
      <c r="AI80" s="262"/>
      <c r="AJ80" s="262"/>
      <c r="AK80" s="262"/>
      <c r="AL80" s="254" t="s">
        <v>320</v>
      </c>
      <c r="AM80" s="254"/>
      <c r="AN80" s="254"/>
      <c r="AO80" s="254"/>
      <c r="AP80" s="254"/>
      <c r="AQ80" s="254"/>
      <c r="AR80" s="254"/>
      <c r="AS80" s="254"/>
      <c r="AT80" s="254"/>
      <c r="AU80" s="254"/>
      <c r="AV80" s="254"/>
      <c r="AW80" s="254"/>
      <c r="AX80" s="254"/>
      <c r="AY80" s="254"/>
      <c r="AZ80" s="254"/>
      <c r="BA80" s="254"/>
      <c r="BB80" s="254"/>
      <c r="BC80" s="254"/>
      <c r="BD80" s="254"/>
      <c r="BE80" s="254"/>
      <c r="BF80" s="254"/>
      <c r="BG80" s="160"/>
    </row>
    <row r="81" spans="1:59" ht="16.5" customHeight="1" x14ac:dyDescent="0.3">
      <c r="A81" s="160"/>
      <c r="B81" s="254" t="s">
        <v>318</v>
      </c>
      <c r="C81" s="254"/>
      <c r="D81" s="254"/>
      <c r="E81" s="254"/>
      <c r="F81" s="254"/>
      <c r="G81" s="254"/>
      <c r="H81" s="2969">
        <f>H70</f>
        <v>0</v>
      </c>
      <c r="I81" s="2969"/>
      <c r="J81" s="2969"/>
      <c r="K81" s="2969">
        <f>K70</f>
        <v>0</v>
      </c>
      <c r="L81" s="2969"/>
      <c r="M81" s="2969"/>
      <c r="N81" s="2969">
        <f>N70</f>
        <v>0</v>
      </c>
      <c r="O81" s="2969"/>
      <c r="P81" s="2969"/>
      <c r="Q81" s="2957">
        <f>Q70</f>
        <v>0</v>
      </c>
      <c r="R81" s="2957"/>
      <c r="S81" s="2957"/>
      <c r="T81" s="2969">
        <f>T70</f>
        <v>0</v>
      </c>
      <c r="U81" s="2969"/>
      <c r="V81" s="2969"/>
      <c r="W81" s="2969">
        <f>W70</f>
        <v>0</v>
      </c>
      <c r="X81" s="2969"/>
      <c r="Y81" s="2969"/>
      <c r="Z81" s="2969">
        <f>Z70</f>
        <v>0</v>
      </c>
      <c r="AA81" s="2969"/>
      <c r="AB81" s="2969"/>
      <c r="AC81" s="44"/>
      <c r="AD81" s="44"/>
      <c r="AE81" s="44"/>
      <c r="AF81" s="254" t="s">
        <v>318</v>
      </c>
      <c r="AG81" s="254"/>
      <c r="AH81" s="254"/>
      <c r="AI81" s="254"/>
      <c r="AJ81" s="254"/>
      <c r="AK81" s="254"/>
      <c r="AL81" s="2969">
        <f>AL70</f>
        <v>0</v>
      </c>
      <c r="AM81" s="2969"/>
      <c r="AN81" s="2969"/>
      <c r="AO81" s="2969">
        <f>AO70</f>
        <v>0</v>
      </c>
      <c r="AP81" s="2969"/>
      <c r="AQ81" s="2969"/>
      <c r="AR81" s="2969">
        <f>AR70</f>
        <v>0</v>
      </c>
      <c r="AS81" s="2969"/>
      <c r="AT81" s="2969"/>
      <c r="AU81" s="2957">
        <f>AU70</f>
        <v>0</v>
      </c>
      <c r="AV81" s="2957"/>
      <c r="AW81" s="2957"/>
      <c r="AX81" s="2969">
        <f>AX70</f>
        <v>0</v>
      </c>
      <c r="AY81" s="2969"/>
      <c r="AZ81" s="2969"/>
      <c r="BA81" s="2969">
        <f>BA70</f>
        <v>0</v>
      </c>
      <c r="BB81" s="2969"/>
      <c r="BC81" s="2969"/>
      <c r="BD81" s="2969">
        <f>BD70</f>
        <v>0</v>
      </c>
      <c r="BE81" s="2969"/>
      <c r="BF81" s="2969"/>
      <c r="BG81" s="160"/>
    </row>
    <row r="82" spans="1:59" ht="16.5" customHeight="1" x14ac:dyDescent="0.3">
      <c r="A82" s="160"/>
      <c r="B82" s="2988">
        <f>B71</f>
        <v>0</v>
      </c>
      <c r="C82" s="2988"/>
      <c r="D82" s="2988"/>
      <c r="E82" s="2988"/>
      <c r="F82" s="2988"/>
      <c r="G82" s="2989"/>
      <c r="H82" s="2978">
        <f>DASHBOARD!DB282</f>
        <v>0</v>
      </c>
      <c r="I82" s="2966"/>
      <c r="J82" s="2966"/>
      <c r="K82" s="2966">
        <f>DASHBOARD!DC282</f>
        <v>0</v>
      </c>
      <c r="L82" s="2966"/>
      <c r="M82" s="2966"/>
      <c r="N82" s="2966">
        <f>DASHBOARD!DD282</f>
        <v>0</v>
      </c>
      <c r="O82" s="2966"/>
      <c r="P82" s="2966"/>
      <c r="Q82" s="2954">
        <f>DASHBOARD!DE282</f>
        <v>0</v>
      </c>
      <c r="R82" s="2954"/>
      <c r="S82" s="2954"/>
      <c r="T82" s="2966">
        <f>DASHBOARD!DF282</f>
        <v>0</v>
      </c>
      <c r="U82" s="2966"/>
      <c r="V82" s="2966"/>
      <c r="W82" s="2966">
        <f>DASHBOARD!DG282</f>
        <v>0</v>
      </c>
      <c r="X82" s="2966"/>
      <c r="Y82" s="2966"/>
      <c r="Z82" s="2966">
        <f>DASHBOARD!DH282</f>
        <v>0</v>
      </c>
      <c r="AA82" s="2966"/>
      <c r="AB82" s="2966"/>
      <c r="AC82" s="44"/>
      <c r="AD82" s="44"/>
      <c r="AE82" s="44"/>
      <c r="AF82" s="2988">
        <f>AF71</f>
        <v>0</v>
      </c>
      <c r="AG82" s="2988"/>
      <c r="AH82" s="2988"/>
      <c r="AI82" s="2988"/>
      <c r="AJ82" s="2988"/>
      <c r="AK82" s="2989"/>
      <c r="AL82" s="2978">
        <f>DASHBOARD!CJ282</f>
        <v>1122.6377597675421</v>
      </c>
      <c r="AM82" s="2966"/>
      <c r="AN82" s="2966"/>
      <c r="AO82" s="2966">
        <f>DASHBOARD!CK282</f>
        <v>1122.6377597675421</v>
      </c>
      <c r="AP82" s="2966"/>
      <c r="AQ82" s="2966"/>
      <c r="AR82" s="2966">
        <f>DASHBOARD!CL282</f>
        <v>1122.6377597675421</v>
      </c>
      <c r="AS82" s="2966"/>
      <c r="AT82" s="2966"/>
      <c r="AU82" s="2954">
        <f>DASHBOARD!CM282</f>
        <v>1122.6377597675421</v>
      </c>
      <c r="AV82" s="2954"/>
      <c r="AW82" s="2954"/>
      <c r="AX82" s="2966">
        <f>DASHBOARD!CN282</f>
        <v>1122.6377597675421</v>
      </c>
      <c r="AY82" s="2966"/>
      <c r="AZ82" s="2966"/>
      <c r="BA82" s="2966">
        <f>DASHBOARD!CO282</f>
        <v>1122.6377597675421</v>
      </c>
      <c r="BB82" s="2966"/>
      <c r="BC82" s="2966"/>
      <c r="BD82" s="2966">
        <f>DASHBOARD!CP282</f>
        <v>1122.6377597675421</v>
      </c>
      <c r="BE82" s="2966"/>
      <c r="BF82" s="2966"/>
      <c r="BG82" s="160"/>
    </row>
    <row r="83" spans="1:59" ht="16.5" customHeight="1" x14ac:dyDescent="0.3">
      <c r="A83" s="160"/>
      <c r="B83" s="2988">
        <f t="shared" ref="B83:B88" si="4">B72</f>
        <v>0</v>
      </c>
      <c r="C83" s="2988"/>
      <c r="D83" s="2988"/>
      <c r="E83" s="2988"/>
      <c r="F83" s="2988"/>
      <c r="G83" s="2989"/>
      <c r="H83" s="2977">
        <f>DASHBOARD!DB283</f>
        <v>0</v>
      </c>
      <c r="I83" s="2852"/>
      <c r="J83" s="2852"/>
      <c r="K83" s="2852">
        <f>DASHBOARD!DC283</f>
        <v>0</v>
      </c>
      <c r="L83" s="2852"/>
      <c r="M83" s="2852"/>
      <c r="N83" s="2852">
        <f>DASHBOARD!DD283</f>
        <v>0</v>
      </c>
      <c r="O83" s="2852"/>
      <c r="P83" s="2852"/>
      <c r="Q83" s="2955">
        <f>DASHBOARD!DE283</f>
        <v>0</v>
      </c>
      <c r="R83" s="2955"/>
      <c r="S83" s="2955"/>
      <c r="T83" s="2852">
        <f>DASHBOARD!DF283</f>
        <v>0</v>
      </c>
      <c r="U83" s="2852"/>
      <c r="V83" s="2852"/>
      <c r="W83" s="2852">
        <f>DASHBOARD!DG283</f>
        <v>0</v>
      </c>
      <c r="X83" s="2852"/>
      <c r="Y83" s="2852"/>
      <c r="Z83" s="2852">
        <f>DASHBOARD!DH283</f>
        <v>0</v>
      </c>
      <c r="AA83" s="2852"/>
      <c r="AB83" s="2852"/>
      <c r="AC83" s="44"/>
      <c r="AD83" s="44"/>
      <c r="AE83" s="44"/>
      <c r="AF83" s="2988">
        <f t="shared" ref="AF83:AF88" si="5">AF72</f>
        <v>0</v>
      </c>
      <c r="AG83" s="2988"/>
      <c r="AH83" s="2988"/>
      <c r="AI83" s="2988"/>
      <c r="AJ83" s="2988"/>
      <c r="AK83" s="2989"/>
      <c r="AL83" s="2977">
        <f>DASHBOARD!CJ283</f>
        <v>1122.6377597675421</v>
      </c>
      <c r="AM83" s="2852"/>
      <c r="AN83" s="2852"/>
      <c r="AO83" s="2852">
        <f>DASHBOARD!CK283</f>
        <v>1122.6377597675421</v>
      </c>
      <c r="AP83" s="2852"/>
      <c r="AQ83" s="2852"/>
      <c r="AR83" s="2852">
        <f>DASHBOARD!CL283</f>
        <v>1122.6377597675421</v>
      </c>
      <c r="AS83" s="2852"/>
      <c r="AT83" s="2852"/>
      <c r="AU83" s="2955">
        <f>DASHBOARD!CM283</f>
        <v>1122.6377597675421</v>
      </c>
      <c r="AV83" s="2955"/>
      <c r="AW83" s="2955"/>
      <c r="AX83" s="2852">
        <f>DASHBOARD!CN283</f>
        <v>1122.6377597675421</v>
      </c>
      <c r="AY83" s="2852"/>
      <c r="AZ83" s="2852"/>
      <c r="BA83" s="2852">
        <f>DASHBOARD!CO283</f>
        <v>1122.6377597675421</v>
      </c>
      <c r="BB83" s="2852"/>
      <c r="BC83" s="2852"/>
      <c r="BD83" s="2852">
        <f>DASHBOARD!CP283</f>
        <v>1122.6377597675421</v>
      </c>
      <c r="BE83" s="2852"/>
      <c r="BF83" s="2852"/>
      <c r="BG83" s="160"/>
    </row>
    <row r="84" spans="1:59" ht="16.5" customHeight="1" x14ac:dyDescent="0.3">
      <c r="A84" s="160"/>
      <c r="B84" s="2988">
        <f t="shared" si="4"/>
        <v>0</v>
      </c>
      <c r="C84" s="2988"/>
      <c r="D84" s="2988"/>
      <c r="E84" s="2988"/>
      <c r="F84" s="2988"/>
      <c r="G84" s="2989"/>
      <c r="H84" s="2977">
        <f>DASHBOARD!DB284</f>
        <v>0</v>
      </c>
      <c r="I84" s="2852"/>
      <c r="J84" s="2852"/>
      <c r="K84" s="2852">
        <f>DASHBOARD!DC284</f>
        <v>0</v>
      </c>
      <c r="L84" s="2852"/>
      <c r="M84" s="2852"/>
      <c r="N84" s="2852">
        <f>DASHBOARD!DD284</f>
        <v>0</v>
      </c>
      <c r="O84" s="2852"/>
      <c r="P84" s="2852"/>
      <c r="Q84" s="2955">
        <f>DASHBOARD!DE284</f>
        <v>0</v>
      </c>
      <c r="R84" s="2955"/>
      <c r="S84" s="2955"/>
      <c r="T84" s="2852">
        <f>DASHBOARD!DF284</f>
        <v>0</v>
      </c>
      <c r="U84" s="2852"/>
      <c r="V84" s="2852"/>
      <c r="W84" s="2852">
        <f>DASHBOARD!DG284</f>
        <v>0</v>
      </c>
      <c r="X84" s="2852"/>
      <c r="Y84" s="2852"/>
      <c r="Z84" s="2852">
        <f>DASHBOARD!DH284</f>
        <v>0</v>
      </c>
      <c r="AA84" s="2852"/>
      <c r="AB84" s="2852"/>
      <c r="AC84" s="44"/>
      <c r="AD84" s="44"/>
      <c r="AE84" s="44"/>
      <c r="AF84" s="2988">
        <f t="shared" si="5"/>
        <v>0</v>
      </c>
      <c r="AG84" s="2988"/>
      <c r="AH84" s="2988"/>
      <c r="AI84" s="2988"/>
      <c r="AJ84" s="2988"/>
      <c r="AK84" s="2989"/>
      <c r="AL84" s="2977">
        <f>DASHBOARD!CJ284</f>
        <v>1122.6377597675421</v>
      </c>
      <c r="AM84" s="2852"/>
      <c r="AN84" s="2852"/>
      <c r="AO84" s="2852">
        <f>DASHBOARD!CK284</f>
        <v>1122.6377597675421</v>
      </c>
      <c r="AP84" s="2852"/>
      <c r="AQ84" s="2852"/>
      <c r="AR84" s="2852">
        <f>DASHBOARD!CL284</f>
        <v>1122.6377597675421</v>
      </c>
      <c r="AS84" s="2852"/>
      <c r="AT84" s="2852"/>
      <c r="AU84" s="2955">
        <f>DASHBOARD!CM284</f>
        <v>1122.6377597675421</v>
      </c>
      <c r="AV84" s="2955"/>
      <c r="AW84" s="2955"/>
      <c r="AX84" s="2852">
        <f>DASHBOARD!CN284</f>
        <v>1122.6377597675421</v>
      </c>
      <c r="AY84" s="2852"/>
      <c r="AZ84" s="2852"/>
      <c r="BA84" s="2852">
        <f>DASHBOARD!CO284</f>
        <v>1122.6377597675421</v>
      </c>
      <c r="BB84" s="2852"/>
      <c r="BC84" s="2852"/>
      <c r="BD84" s="2852">
        <f>DASHBOARD!CP284</f>
        <v>1122.6377597675421</v>
      </c>
      <c r="BE84" s="2852"/>
      <c r="BF84" s="2852"/>
      <c r="BG84" s="160"/>
    </row>
    <row r="85" spans="1:59" ht="16.5" customHeight="1" x14ac:dyDescent="0.3">
      <c r="A85" s="160"/>
      <c r="B85" s="2990">
        <f t="shared" si="4"/>
        <v>0</v>
      </c>
      <c r="C85" s="2990"/>
      <c r="D85" s="2990"/>
      <c r="E85" s="2990"/>
      <c r="F85" s="2990"/>
      <c r="G85" s="2991"/>
      <c r="H85" s="2979">
        <f>DASHBOARD!DB285</f>
        <v>0</v>
      </c>
      <c r="I85" s="2955"/>
      <c r="J85" s="2955"/>
      <c r="K85" s="2955">
        <f>DASHBOARD!DC285</f>
        <v>0</v>
      </c>
      <c r="L85" s="2955"/>
      <c r="M85" s="2955"/>
      <c r="N85" s="2955">
        <f>DASHBOARD!DD285</f>
        <v>0</v>
      </c>
      <c r="O85" s="2955"/>
      <c r="P85" s="2955"/>
      <c r="Q85" s="2955">
        <f>DASHBOARD!DE285</f>
        <v>0</v>
      </c>
      <c r="R85" s="2955"/>
      <c r="S85" s="2955"/>
      <c r="T85" s="2955">
        <f>DASHBOARD!DF285</f>
        <v>0</v>
      </c>
      <c r="U85" s="2955"/>
      <c r="V85" s="2955"/>
      <c r="W85" s="2955">
        <f>DASHBOARD!DG285</f>
        <v>0</v>
      </c>
      <c r="X85" s="2955"/>
      <c r="Y85" s="2955"/>
      <c r="Z85" s="2955">
        <f>DASHBOARD!DH285</f>
        <v>0</v>
      </c>
      <c r="AA85" s="2955"/>
      <c r="AB85" s="2955"/>
      <c r="AC85" s="44"/>
      <c r="AD85" s="44"/>
      <c r="AE85" s="44"/>
      <c r="AF85" s="2990">
        <f t="shared" si="5"/>
        <v>0</v>
      </c>
      <c r="AG85" s="2990"/>
      <c r="AH85" s="2990"/>
      <c r="AI85" s="2990"/>
      <c r="AJ85" s="2990"/>
      <c r="AK85" s="2991"/>
      <c r="AL85" s="2979">
        <f>DASHBOARD!CJ285</f>
        <v>1122.6377597675421</v>
      </c>
      <c r="AM85" s="2955"/>
      <c r="AN85" s="2955"/>
      <c r="AO85" s="2955">
        <f>DASHBOARD!CK285</f>
        <v>1122.6377597675421</v>
      </c>
      <c r="AP85" s="2955"/>
      <c r="AQ85" s="2955"/>
      <c r="AR85" s="2955">
        <f>DASHBOARD!CL285</f>
        <v>1122.6377597675421</v>
      </c>
      <c r="AS85" s="2955"/>
      <c r="AT85" s="2955"/>
      <c r="AU85" s="2955">
        <f>DASHBOARD!CM285</f>
        <v>1122.6377597675421</v>
      </c>
      <c r="AV85" s="2955"/>
      <c r="AW85" s="2955"/>
      <c r="AX85" s="2955">
        <f>DASHBOARD!CN285</f>
        <v>1122.6377597675421</v>
      </c>
      <c r="AY85" s="2955"/>
      <c r="AZ85" s="2955"/>
      <c r="BA85" s="2955">
        <f>DASHBOARD!CO285</f>
        <v>1122.6377597675421</v>
      </c>
      <c r="BB85" s="2955"/>
      <c r="BC85" s="2955"/>
      <c r="BD85" s="2955">
        <f>DASHBOARD!CP285</f>
        <v>1122.6377597675421</v>
      </c>
      <c r="BE85" s="2955"/>
      <c r="BF85" s="2955"/>
      <c r="BG85" s="160"/>
    </row>
    <row r="86" spans="1:59" ht="16.5" customHeight="1" x14ac:dyDescent="0.3">
      <c r="A86" s="160"/>
      <c r="B86" s="2988">
        <f t="shared" si="4"/>
        <v>0</v>
      </c>
      <c r="C86" s="2988"/>
      <c r="D86" s="2988"/>
      <c r="E86" s="2988"/>
      <c r="F86" s="2988"/>
      <c r="G86" s="2989"/>
      <c r="H86" s="2977">
        <f>DASHBOARD!DB286</f>
        <v>0</v>
      </c>
      <c r="I86" s="2852"/>
      <c r="J86" s="2852"/>
      <c r="K86" s="2852">
        <f>DASHBOARD!DC286</f>
        <v>0</v>
      </c>
      <c r="L86" s="2852"/>
      <c r="M86" s="2852"/>
      <c r="N86" s="2852">
        <f>DASHBOARD!DD286</f>
        <v>0</v>
      </c>
      <c r="O86" s="2852"/>
      <c r="P86" s="2852"/>
      <c r="Q86" s="2955">
        <f>DASHBOARD!DE286</f>
        <v>0</v>
      </c>
      <c r="R86" s="2955"/>
      <c r="S86" s="2955"/>
      <c r="T86" s="2852">
        <f>DASHBOARD!DF286</f>
        <v>0</v>
      </c>
      <c r="U86" s="2852"/>
      <c r="V86" s="2852"/>
      <c r="W86" s="2852">
        <f>DASHBOARD!DG286</f>
        <v>0</v>
      </c>
      <c r="X86" s="2852"/>
      <c r="Y86" s="2852"/>
      <c r="Z86" s="2852">
        <f>DASHBOARD!DH286</f>
        <v>0</v>
      </c>
      <c r="AA86" s="2852"/>
      <c r="AB86" s="2852"/>
      <c r="AC86" s="44"/>
      <c r="AD86" s="44"/>
      <c r="AE86" s="44"/>
      <c r="AF86" s="2988">
        <f t="shared" si="5"/>
        <v>0</v>
      </c>
      <c r="AG86" s="2988"/>
      <c r="AH86" s="2988"/>
      <c r="AI86" s="2988"/>
      <c r="AJ86" s="2988"/>
      <c r="AK86" s="2989"/>
      <c r="AL86" s="2977">
        <f>DASHBOARD!CJ286</f>
        <v>1122.6377597675421</v>
      </c>
      <c r="AM86" s="2852"/>
      <c r="AN86" s="2852"/>
      <c r="AO86" s="2852">
        <f>DASHBOARD!CK286</f>
        <v>1122.6377597675421</v>
      </c>
      <c r="AP86" s="2852"/>
      <c r="AQ86" s="2852"/>
      <c r="AR86" s="2852">
        <f>DASHBOARD!CL286</f>
        <v>1122.6377597675421</v>
      </c>
      <c r="AS86" s="2852"/>
      <c r="AT86" s="2852"/>
      <c r="AU86" s="2955">
        <f>DASHBOARD!CM286</f>
        <v>1122.6377597675421</v>
      </c>
      <c r="AV86" s="2955"/>
      <c r="AW86" s="2955"/>
      <c r="AX86" s="2852">
        <f>DASHBOARD!CN286</f>
        <v>1122.6377597675421</v>
      </c>
      <c r="AY86" s="2852"/>
      <c r="AZ86" s="2852"/>
      <c r="BA86" s="2852">
        <f>DASHBOARD!CO286</f>
        <v>1122.6377597675421</v>
      </c>
      <c r="BB86" s="2852"/>
      <c r="BC86" s="2852"/>
      <c r="BD86" s="2852">
        <f>DASHBOARD!CP286</f>
        <v>1122.6377597675421</v>
      </c>
      <c r="BE86" s="2852"/>
      <c r="BF86" s="2852"/>
      <c r="BG86" s="160"/>
    </row>
    <row r="87" spans="1:59" ht="16.5" customHeight="1" x14ac:dyDescent="0.3">
      <c r="A87" s="160"/>
      <c r="B87" s="2988">
        <f t="shared" si="4"/>
        <v>0</v>
      </c>
      <c r="C87" s="2988"/>
      <c r="D87" s="2988"/>
      <c r="E87" s="2988"/>
      <c r="F87" s="2988"/>
      <c r="G87" s="2989"/>
      <c r="H87" s="2977">
        <f>DASHBOARD!DB287</f>
        <v>0</v>
      </c>
      <c r="I87" s="2852"/>
      <c r="J87" s="2852"/>
      <c r="K87" s="2852">
        <f>DASHBOARD!DC287</f>
        <v>0</v>
      </c>
      <c r="L87" s="2852"/>
      <c r="M87" s="2852"/>
      <c r="N87" s="2852">
        <f>DASHBOARD!DD287</f>
        <v>0</v>
      </c>
      <c r="O87" s="2852"/>
      <c r="P87" s="2852"/>
      <c r="Q87" s="2955">
        <f>DASHBOARD!DE287</f>
        <v>0</v>
      </c>
      <c r="R87" s="2955"/>
      <c r="S87" s="2955"/>
      <c r="T87" s="2852">
        <f>DASHBOARD!DF287</f>
        <v>0</v>
      </c>
      <c r="U87" s="2852"/>
      <c r="V87" s="2852"/>
      <c r="W87" s="2852">
        <f>DASHBOARD!DG287</f>
        <v>0</v>
      </c>
      <c r="X87" s="2852"/>
      <c r="Y87" s="2852"/>
      <c r="Z87" s="2852">
        <f>DASHBOARD!DH287</f>
        <v>0</v>
      </c>
      <c r="AA87" s="2852"/>
      <c r="AB87" s="2852"/>
      <c r="AC87" s="44"/>
      <c r="AD87" s="44"/>
      <c r="AE87" s="44"/>
      <c r="AF87" s="2988">
        <f t="shared" si="5"/>
        <v>0</v>
      </c>
      <c r="AG87" s="2988"/>
      <c r="AH87" s="2988"/>
      <c r="AI87" s="2988"/>
      <c r="AJ87" s="2988"/>
      <c r="AK87" s="2989"/>
      <c r="AL87" s="2977">
        <f>DASHBOARD!CJ287</f>
        <v>1122.6377597675421</v>
      </c>
      <c r="AM87" s="2852"/>
      <c r="AN87" s="2852"/>
      <c r="AO87" s="2852">
        <f>DASHBOARD!CK287</f>
        <v>1122.6377597675421</v>
      </c>
      <c r="AP87" s="2852"/>
      <c r="AQ87" s="2852"/>
      <c r="AR87" s="2852">
        <f>DASHBOARD!CL287</f>
        <v>1122.6377597675421</v>
      </c>
      <c r="AS87" s="2852"/>
      <c r="AT87" s="2852"/>
      <c r="AU87" s="2955">
        <f>DASHBOARD!CM287</f>
        <v>1122.6377597675421</v>
      </c>
      <c r="AV87" s="2955"/>
      <c r="AW87" s="2955"/>
      <c r="AX87" s="2852">
        <f>DASHBOARD!CN287</f>
        <v>1122.6377597675421</v>
      </c>
      <c r="AY87" s="2852"/>
      <c r="AZ87" s="2852"/>
      <c r="BA87" s="2852">
        <f>DASHBOARD!CO287</f>
        <v>1122.6377597675421</v>
      </c>
      <c r="BB87" s="2852"/>
      <c r="BC87" s="2852"/>
      <c r="BD87" s="2852">
        <f>DASHBOARD!CP287</f>
        <v>1122.6377597675421</v>
      </c>
      <c r="BE87" s="2852"/>
      <c r="BF87" s="2852"/>
      <c r="BG87" s="160"/>
    </row>
    <row r="88" spans="1:59" ht="16.5" customHeight="1" x14ac:dyDescent="0.3">
      <c r="A88" s="160"/>
      <c r="B88" s="2988">
        <f t="shared" si="4"/>
        <v>0</v>
      </c>
      <c r="C88" s="2988"/>
      <c r="D88" s="2988"/>
      <c r="E88" s="2988"/>
      <c r="F88" s="2988"/>
      <c r="G88" s="2989"/>
      <c r="H88" s="2977">
        <f>DASHBOARD!DB288</f>
        <v>0</v>
      </c>
      <c r="I88" s="2852"/>
      <c r="J88" s="2852"/>
      <c r="K88" s="2852">
        <f>DASHBOARD!DC288</f>
        <v>0</v>
      </c>
      <c r="L88" s="2852"/>
      <c r="M88" s="2852"/>
      <c r="N88" s="2852">
        <f>DASHBOARD!DD288</f>
        <v>0</v>
      </c>
      <c r="O88" s="2852"/>
      <c r="P88" s="2852"/>
      <c r="Q88" s="2955">
        <f>DASHBOARD!DE288</f>
        <v>0</v>
      </c>
      <c r="R88" s="2955"/>
      <c r="S88" s="2955"/>
      <c r="T88" s="2852">
        <f>DASHBOARD!DF288</f>
        <v>0</v>
      </c>
      <c r="U88" s="2852"/>
      <c r="V88" s="2852"/>
      <c r="W88" s="2852">
        <f>DASHBOARD!DG288</f>
        <v>0</v>
      </c>
      <c r="X88" s="2852"/>
      <c r="Y88" s="2852"/>
      <c r="Z88" s="2852">
        <f>DASHBOARD!DH288</f>
        <v>0</v>
      </c>
      <c r="AA88" s="2852"/>
      <c r="AB88" s="2852"/>
      <c r="AC88" s="44"/>
      <c r="AD88" s="44"/>
      <c r="AE88" s="44"/>
      <c r="AF88" s="2988">
        <f t="shared" si="5"/>
        <v>0</v>
      </c>
      <c r="AG88" s="2988"/>
      <c r="AH88" s="2988"/>
      <c r="AI88" s="2988"/>
      <c r="AJ88" s="2988"/>
      <c r="AK88" s="2989"/>
      <c r="AL88" s="2977">
        <f>DASHBOARD!CJ288</f>
        <v>1122.6377597675421</v>
      </c>
      <c r="AM88" s="2852"/>
      <c r="AN88" s="2852"/>
      <c r="AO88" s="2963">
        <f>DASHBOARD!CK288</f>
        <v>1122.6377597675421</v>
      </c>
      <c r="AP88" s="2963"/>
      <c r="AQ88" s="2963"/>
      <c r="AR88" s="2963">
        <f>DASHBOARD!CL288</f>
        <v>1122.6377597675421</v>
      </c>
      <c r="AS88" s="2963"/>
      <c r="AT88" s="2963"/>
      <c r="AU88" s="2956">
        <f>DASHBOARD!CM288</f>
        <v>1122.6377597675421</v>
      </c>
      <c r="AV88" s="2956"/>
      <c r="AW88" s="2956"/>
      <c r="AX88" s="2963">
        <f>DASHBOARD!CN288</f>
        <v>1122.6377597675421</v>
      </c>
      <c r="AY88" s="2963"/>
      <c r="AZ88" s="2963"/>
      <c r="BA88" s="2963">
        <f>DASHBOARD!CO288</f>
        <v>1122.6377597675421</v>
      </c>
      <c r="BB88" s="2963"/>
      <c r="BC88" s="2963"/>
      <c r="BD88" s="2963">
        <f>DASHBOARD!CP288</f>
        <v>1122.6377597675421</v>
      </c>
      <c r="BE88" s="2963"/>
      <c r="BF88" s="2963"/>
      <c r="BG88" s="160"/>
    </row>
    <row r="89" spans="1:59" ht="16.5" customHeight="1" x14ac:dyDescent="0.3">
      <c r="A89" s="160"/>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160"/>
    </row>
    <row r="90" spans="1:59" ht="14.25" customHeight="1" x14ac:dyDescent="0.3">
      <c r="A90" s="160"/>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160"/>
    </row>
    <row r="91" spans="1:59" ht="16.5" customHeight="1" x14ac:dyDescent="0.3">
      <c r="A91" s="120"/>
      <c r="B91" s="178" t="s">
        <v>322</v>
      </c>
      <c r="C91" s="178"/>
      <c r="D91" s="178"/>
      <c r="E91" s="178"/>
      <c r="F91" s="178"/>
      <c r="G91" s="178"/>
      <c r="H91" s="119"/>
      <c r="I91" s="119"/>
      <c r="J91" s="119"/>
      <c r="K91" s="119"/>
      <c r="L91" s="119"/>
      <c r="M91" s="119"/>
      <c r="N91" s="119"/>
      <c r="O91" s="119"/>
      <c r="P91" s="119"/>
      <c r="Q91" s="43"/>
      <c r="R91" s="43"/>
      <c r="S91" s="43"/>
      <c r="T91" s="119"/>
      <c r="U91" s="119"/>
      <c r="V91" s="119"/>
      <c r="W91" s="119"/>
      <c r="X91" s="119"/>
      <c r="Y91" s="119"/>
      <c r="Z91" s="119"/>
      <c r="AA91" s="119"/>
      <c r="AB91" s="119"/>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120"/>
    </row>
    <row r="92" spans="1:59" ht="16.5" customHeight="1" x14ac:dyDescent="0.3">
      <c r="A92" s="160"/>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160"/>
    </row>
    <row r="93" spans="1:59" ht="16.5" customHeight="1" x14ac:dyDescent="0.3">
      <c r="A93" s="160"/>
      <c r="B93" s="271"/>
      <c r="C93" s="271"/>
      <c r="D93" s="271"/>
      <c r="E93" s="271"/>
      <c r="F93" s="271"/>
      <c r="G93" s="271"/>
      <c r="H93" s="271"/>
      <c r="I93" s="271"/>
      <c r="J93" s="271"/>
      <c r="K93" s="263" t="s">
        <v>307</v>
      </c>
      <c r="L93" s="2947"/>
      <c r="M93" s="2948"/>
      <c r="N93" s="2949"/>
      <c r="O93" s="44"/>
      <c r="P93" s="44"/>
      <c r="Q93" s="263"/>
      <c r="R93" s="263"/>
      <c r="S93" s="263"/>
      <c r="T93" s="271"/>
      <c r="U93" s="271"/>
      <c r="V93" s="271"/>
      <c r="W93" s="263" t="s">
        <v>308</v>
      </c>
      <c r="X93" s="2947"/>
      <c r="Y93" s="2948"/>
      <c r="Z93" s="2949"/>
      <c r="AA93" s="263"/>
      <c r="AB93" s="263"/>
      <c r="AC93" s="271"/>
      <c r="AD93" s="271"/>
      <c r="AE93" s="271"/>
      <c r="AF93" s="271"/>
      <c r="AG93" s="271"/>
      <c r="AH93" s="271"/>
      <c r="AI93" s="271"/>
      <c r="AJ93" s="271"/>
      <c r="AK93" s="271"/>
      <c r="AL93" s="271"/>
      <c r="AM93" s="271"/>
      <c r="AN93" s="271"/>
      <c r="AO93" s="271"/>
      <c r="AP93" s="271"/>
      <c r="AQ93" s="271"/>
      <c r="AR93" s="271"/>
      <c r="AS93" s="271"/>
      <c r="AT93" s="271"/>
      <c r="AU93" s="271"/>
      <c r="AV93" s="271"/>
      <c r="AW93" s="271"/>
      <c r="AX93" s="271"/>
      <c r="AY93" s="271"/>
      <c r="AZ93" s="271"/>
      <c r="BA93" s="271"/>
      <c r="BB93" s="271"/>
      <c r="BC93" s="271"/>
      <c r="BD93" s="271"/>
      <c r="BE93" s="271"/>
      <c r="BF93" s="271"/>
      <c r="BG93" s="160"/>
    </row>
    <row r="94" spans="1:59" ht="16.5" customHeight="1" x14ac:dyDescent="0.3">
      <c r="A94" s="160"/>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160"/>
    </row>
    <row r="95" spans="1:59" ht="16.5" customHeight="1" x14ac:dyDescent="0.3">
      <c r="A95" s="160"/>
      <c r="B95" s="262" t="s">
        <v>103</v>
      </c>
      <c r="C95" s="262"/>
      <c r="D95" s="262"/>
      <c r="E95" s="262"/>
      <c r="F95" s="262"/>
      <c r="G95" s="262"/>
      <c r="H95" s="254" t="s">
        <v>321</v>
      </c>
      <c r="I95" s="254"/>
      <c r="J95" s="254"/>
      <c r="K95" s="254"/>
      <c r="L95" s="254"/>
      <c r="M95" s="254"/>
      <c r="N95" s="254"/>
      <c r="O95" s="254"/>
      <c r="P95" s="254"/>
      <c r="Q95" s="254"/>
      <c r="R95" s="254"/>
      <c r="S95" s="254"/>
      <c r="T95" s="254"/>
      <c r="U95" s="254"/>
      <c r="V95" s="254"/>
      <c r="W95" s="254"/>
      <c r="X95" s="254"/>
      <c r="Y95" s="254"/>
      <c r="Z95" s="254"/>
      <c r="AA95" s="254"/>
      <c r="AB95" s="254"/>
      <c r="AC95" s="44"/>
      <c r="AD95" s="44"/>
      <c r="AE95" s="44"/>
      <c r="AF95" s="262" t="str">
        <f>AF17</f>
        <v>Cap Rate</v>
      </c>
      <c r="AG95" s="262"/>
      <c r="AH95" s="262"/>
      <c r="AI95" s="262"/>
      <c r="AJ95" s="262"/>
      <c r="AK95" s="262"/>
      <c r="AL95" s="254" t="s">
        <v>321</v>
      </c>
      <c r="AM95" s="254"/>
      <c r="AN95" s="254"/>
      <c r="AO95" s="254"/>
      <c r="AP95" s="254"/>
      <c r="AQ95" s="254"/>
      <c r="AR95" s="254"/>
      <c r="AS95" s="254"/>
      <c r="AT95" s="254"/>
      <c r="AU95" s="254"/>
      <c r="AV95" s="254"/>
      <c r="AW95" s="254"/>
      <c r="AX95" s="254"/>
      <c r="AY95" s="254"/>
      <c r="AZ95" s="254"/>
      <c r="BA95" s="254"/>
      <c r="BB95" s="254"/>
      <c r="BC95" s="254"/>
      <c r="BD95" s="254"/>
      <c r="BE95" s="254"/>
      <c r="BF95" s="254"/>
      <c r="BG95" s="160"/>
    </row>
    <row r="96" spans="1:59" ht="16.5" customHeight="1" x14ac:dyDescent="0.3">
      <c r="A96" s="160"/>
      <c r="B96" s="254" t="s">
        <v>319</v>
      </c>
      <c r="C96" s="254"/>
      <c r="D96" s="254"/>
      <c r="E96" s="254"/>
      <c r="F96" s="254"/>
      <c r="G96" s="254"/>
      <c r="H96" s="2965">
        <f>DASHBOARD!CA291</f>
        <v>0</v>
      </c>
      <c r="I96" s="2965"/>
      <c r="J96" s="2965"/>
      <c r="K96" s="2965">
        <f>DASHBOARD!CB291</f>
        <v>0</v>
      </c>
      <c r="L96" s="2965"/>
      <c r="M96" s="2965"/>
      <c r="N96" s="2965">
        <f>DASHBOARD!CC291</f>
        <v>0</v>
      </c>
      <c r="O96" s="2965"/>
      <c r="P96" s="2965"/>
      <c r="Q96" s="2962">
        <f>DASHBOARD!CD291</f>
        <v>0</v>
      </c>
      <c r="R96" s="2962"/>
      <c r="S96" s="2962"/>
      <c r="T96" s="2965">
        <f>DASHBOARD!CE291</f>
        <v>0</v>
      </c>
      <c r="U96" s="2965"/>
      <c r="V96" s="2965"/>
      <c r="W96" s="2965">
        <f>DASHBOARD!CF291</f>
        <v>0</v>
      </c>
      <c r="X96" s="2965"/>
      <c r="Y96" s="2965"/>
      <c r="Z96" s="2965">
        <f>DASHBOARD!CG291</f>
        <v>0</v>
      </c>
      <c r="AA96" s="2965"/>
      <c r="AB96" s="2965"/>
      <c r="AC96" s="44"/>
      <c r="AD96" s="44"/>
      <c r="AE96" s="44"/>
      <c r="AF96" s="254" t="s">
        <v>319</v>
      </c>
      <c r="AG96" s="254"/>
      <c r="AH96" s="254"/>
      <c r="AI96" s="254"/>
      <c r="AJ96" s="254"/>
      <c r="AK96" s="254"/>
      <c r="AL96" s="2965">
        <f>H96</f>
        <v>0</v>
      </c>
      <c r="AM96" s="2965"/>
      <c r="AN96" s="2965"/>
      <c r="AO96" s="2965">
        <f>K96</f>
        <v>0</v>
      </c>
      <c r="AP96" s="2965"/>
      <c r="AQ96" s="2965"/>
      <c r="AR96" s="2965">
        <f>N96</f>
        <v>0</v>
      </c>
      <c r="AS96" s="2965"/>
      <c r="AT96" s="2965"/>
      <c r="AU96" s="2962">
        <f>Q96</f>
        <v>0</v>
      </c>
      <c r="AV96" s="2962"/>
      <c r="AW96" s="2962"/>
      <c r="AX96" s="2965">
        <f>T96</f>
        <v>0</v>
      </c>
      <c r="AY96" s="2965"/>
      <c r="AZ96" s="2965"/>
      <c r="BA96" s="2965">
        <f>W96</f>
        <v>0</v>
      </c>
      <c r="BB96" s="2965"/>
      <c r="BC96" s="2965"/>
      <c r="BD96" s="2965">
        <f>Z96</f>
        <v>0</v>
      </c>
      <c r="BE96" s="2965"/>
      <c r="BF96" s="2965"/>
      <c r="BG96" s="160"/>
    </row>
    <row r="97" spans="1:64" ht="16.5" customHeight="1" x14ac:dyDescent="0.3">
      <c r="A97" s="160"/>
      <c r="B97" s="2984">
        <v>0.4</v>
      </c>
      <c r="C97" s="2984"/>
      <c r="D97" s="2984"/>
      <c r="E97" s="2984"/>
      <c r="F97" s="2984"/>
      <c r="G97" s="2985"/>
      <c r="H97" s="2980" t="str">
        <f>DASHBOARD!CA292</f>
        <v>n.a</v>
      </c>
      <c r="I97" s="2967"/>
      <c r="J97" s="2967"/>
      <c r="K97" s="2967" t="str">
        <f>DASHBOARD!CB292</f>
        <v>n.a</v>
      </c>
      <c r="L97" s="2967"/>
      <c r="M97" s="2967"/>
      <c r="N97" s="2967" t="str">
        <f>DASHBOARD!CC292</f>
        <v>n.a</v>
      </c>
      <c r="O97" s="2967"/>
      <c r="P97" s="2967"/>
      <c r="Q97" s="2958" t="str">
        <f>DASHBOARD!CD292</f>
        <v>n.a</v>
      </c>
      <c r="R97" s="2958"/>
      <c r="S97" s="2958"/>
      <c r="T97" s="2967" t="str">
        <f>DASHBOARD!CE292</f>
        <v>n.a</v>
      </c>
      <c r="U97" s="2967"/>
      <c r="V97" s="2967"/>
      <c r="W97" s="2967" t="str">
        <f>DASHBOARD!CF292</f>
        <v>n.a</v>
      </c>
      <c r="X97" s="2967"/>
      <c r="Y97" s="2967"/>
      <c r="Z97" s="2967" t="str">
        <f>DASHBOARD!CG292</f>
        <v>n.a</v>
      </c>
      <c r="AA97" s="2967"/>
      <c r="AB97" s="2967"/>
      <c r="AC97" s="44"/>
      <c r="AD97" s="44"/>
      <c r="AE97" s="44"/>
      <c r="AF97" s="2984">
        <f>B97</f>
        <v>0.4</v>
      </c>
      <c r="AG97" s="2984"/>
      <c r="AH97" s="2984"/>
      <c r="AI97" s="2984"/>
      <c r="AJ97" s="2984"/>
      <c r="AK97" s="2985"/>
      <c r="AL97" s="2980">
        <f>DASHBOARD!CJ292</f>
        <v>0</v>
      </c>
      <c r="AM97" s="2967"/>
      <c r="AN97" s="2967"/>
      <c r="AO97" s="2967">
        <f>DASHBOARD!CK292</f>
        <v>0</v>
      </c>
      <c r="AP97" s="2967"/>
      <c r="AQ97" s="2967"/>
      <c r="AR97" s="2967">
        <f>DASHBOARD!CL292</f>
        <v>0</v>
      </c>
      <c r="AS97" s="2967"/>
      <c r="AT97" s="2967"/>
      <c r="AU97" s="2958">
        <f>DASHBOARD!CM292</f>
        <v>0</v>
      </c>
      <c r="AV97" s="2958"/>
      <c r="AW97" s="2958"/>
      <c r="AX97" s="2967">
        <f>DASHBOARD!CN292</f>
        <v>0</v>
      </c>
      <c r="AY97" s="2967"/>
      <c r="AZ97" s="2967"/>
      <c r="BA97" s="2967">
        <f>DASHBOARD!CO292</f>
        <v>0</v>
      </c>
      <c r="BB97" s="2967"/>
      <c r="BC97" s="2967"/>
      <c r="BD97" s="2967">
        <f>DASHBOARD!CP292</f>
        <v>0</v>
      </c>
      <c r="BE97" s="2967"/>
      <c r="BF97" s="2967"/>
      <c r="BG97" s="160"/>
    </row>
    <row r="98" spans="1:64" ht="16.5" customHeight="1" x14ac:dyDescent="0.3">
      <c r="A98" s="160"/>
      <c r="B98" s="2984">
        <v>0.45</v>
      </c>
      <c r="C98" s="2984"/>
      <c r="D98" s="2984"/>
      <c r="E98" s="2984"/>
      <c r="F98" s="2984"/>
      <c r="G98" s="2985"/>
      <c r="H98" s="2981" t="str">
        <f>DASHBOARD!CA293</f>
        <v>n.a</v>
      </c>
      <c r="I98" s="2968"/>
      <c r="J98" s="2968"/>
      <c r="K98" s="2968" t="str">
        <f>DASHBOARD!CB293</f>
        <v>n.a</v>
      </c>
      <c r="L98" s="2968"/>
      <c r="M98" s="2968"/>
      <c r="N98" s="2968" t="str">
        <f>DASHBOARD!CC293</f>
        <v>n.a</v>
      </c>
      <c r="O98" s="2968"/>
      <c r="P98" s="2968"/>
      <c r="Q98" s="2959" t="str">
        <f>DASHBOARD!CD293</f>
        <v>n.a</v>
      </c>
      <c r="R98" s="2959"/>
      <c r="S98" s="2959"/>
      <c r="T98" s="2968" t="str">
        <f>DASHBOARD!CE293</f>
        <v>n.a</v>
      </c>
      <c r="U98" s="2968"/>
      <c r="V98" s="2968"/>
      <c r="W98" s="2968" t="str">
        <f>DASHBOARD!CF293</f>
        <v>n.a</v>
      </c>
      <c r="X98" s="2968"/>
      <c r="Y98" s="2968"/>
      <c r="Z98" s="2968" t="str">
        <f>DASHBOARD!CG293</f>
        <v>n.a</v>
      </c>
      <c r="AA98" s="2968"/>
      <c r="AB98" s="2968"/>
      <c r="AC98" s="44"/>
      <c r="AD98" s="44"/>
      <c r="AE98" s="44"/>
      <c r="AF98" s="2984">
        <f>B98</f>
        <v>0.45</v>
      </c>
      <c r="AG98" s="2984"/>
      <c r="AH98" s="2984"/>
      <c r="AI98" s="2984"/>
      <c r="AJ98" s="2984"/>
      <c r="AK98" s="2985"/>
      <c r="AL98" s="2981">
        <f>DASHBOARD!CJ293</f>
        <v>0</v>
      </c>
      <c r="AM98" s="2968"/>
      <c r="AN98" s="2968"/>
      <c r="AO98" s="2968">
        <f>DASHBOARD!CK293</f>
        <v>0</v>
      </c>
      <c r="AP98" s="2968"/>
      <c r="AQ98" s="2968"/>
      <c r="AR98" s="2968">
        <f>DASHBOARD!CL293</f>
        <v>0</v>
      </c>
      <c r="AS98" s="2968"/>
      <c r="AT98" s="2968"/>
      <c r="AU98" s="2959">
        <f>DASHBOARD!CM293</f>
        <v>0</v>
      </c>
      <c r="AV98" s="2959"/>
      <c r="AW98" s="2959"/>
      <c r="AX98" s="2968">
        <f>DASHBOARD!CN293</f>
        <v>0</v>
      </c>
      <c r="AY98" s="2968"/>
      <c r="AZ98" s="2968"/>
      <c r="BA98" s="2968">
        <f>DASHBOARD!CO293</f>
        <v>0</v>
      </c>
      <c r="BB98" s="2968"/>
      <c r="BC98" s="2968"/>
      <c r="BD98" s="2968">
        <f>DASHBOARD!CP293</f>
        <v>0</v>
      </c>
      <c r="BE98" s="2968"/>
      <c r="BF98" s="2968"/>
      <c r="BG98" s="160"/>
    </row>
    <row r="99" spans="1:64" ht="16.5" customHeight="1" x14ac:dyDescent="0.3">
      <c r="A99" s="160"/>
      <c r="B99" s="2986">
        <v>0.5</v>
      </c>
      <c r="C99" s="2986"/>
      <c r="D99" s="2986"/>
      <c r="E99" s="2986"/>
      <c r="F99" s="2986"/>
      <c r="G99" s="2987"/>
      <c r="H99" s="2982" t="str">
        <f>DASHBOARD!CA294</f>
        <v>n.a</v>
      </c>
      <c r="I99" s="2959"/>
      <c r="J99" s="2959"/>
      <c r="K99" s="2959" t="str">
        <f>DASHBOARD!CB294</f>
        <v>n.a</v>
      </c>
      <c r="L99" s="2959"/>
      <c r="M99" s="2959"/>
      <c r="N99" s="2959" t="str">
        <f>DASHBOARD!CC294</f>
        <v>n.a</v>
      </c>
      <c r="O99" s="2959"/>
      <c r="P99" s="2959"/>
      <c r="Q99" s="2959" t="str">
        <f>DASHBOARD!CD294</f>
        <v>n.a</v>
      </c>
      <c r="R99" s="2959"/>
      <c r="S99" s="2959"/>
      <c r="T99" s="2959" t="str">
        <f>DASHBOARD!CE294</f>
        <v>n.a</v>
      </c>
      <c r="U99" s="2959"/>
      <c r="V99" s="2959"/>
      <c r="W99" s="2959" t="str">
        <f>DASHBOARD!CF294</f>
        <v>n.a</v>
      </c>
      <c r="X99" s="2959"/>
      <c r="Y99" s="2959"/>
      <c r="Z99" s="2959" t="str">
        <f>DASHBOARD!CG294</f>
        <v>n.a</v>
      </c>
      <c r="AA99" s="2959"/>
      <c r="AB99" s="2959"/>
      <c r="AC99" s="44"/>
      <c r="AD99" s="44"/>
      <c r="AE99" s="44"/>
      <c r="AF99" s="2986">
        <f>B99</f>
        <v>0.5</v>
      </c>
      <c r="AG99" s="2986"/>
      <c r="AH99" s="2986"/>
      <c r="AI99" s="2986"/>
      <c r="AJ99" s="2986"/>
      <c r="AK99" s="2987"/>
      <c r="AL99" s="2982">
        <f>DASHBOARD!CJ294</f>
        <v>0</v>
      </c>
      <c r="AM99" s="2959"/>
      <c r="AN99" s="2959"/>
      <c r="AO99" s="2959">
        <f>DASHBOARD!CK294</f>
        <v>0</v>
      </c>
      <c r="AP99" s="2959"/>
      <c r="AQ99" s="2959"/>
      <c r="AR99" s="2959">
        <f>DASHBOARD!CL294</f>
        <v>0</v>
      </c>
      <c r="AS99" s="2959"/>
      <c r="AT99" s="2959"/>
      <c r="AU99" s="2959">
        <f>DASHBOARD!CM294</f>
        <v>0</v>
      </c>
      <c r="AV99" s="2959"/>
      <c r="AW99" s="2959"/>
      <c r="AX99" s="2959">
        <f>DASHBOARD!CN294</f>
        <v>0</v>
      </c>
      <c r="AY99" s="2959"/>
      <c r="AZ99" s="2959"/>
      <c r="BA99" s="2959">
        <f>DASHBOARD!CO294</f>
        <v>0</v>
      </c>
      <c r="BB99" s="2959"/>
      <c r="BC99" s="2959"/>
      <c r="BD99" s="2959">
        <f>DASHBOARD!CP294</f>
        <v>0</v>
      </c>
      <c r="BE99" s="2959"/>
      <c r="BF99" s="2959"/>
      <c r="BG99" s="160"/>
    </row>
    <row r="100" spans="1:64" ht="16.5" customHeight="1" x14ac:dyDescent="0.3">
      <c r="A100" s="160"/>
      <c r="B100" s="2984">
        <v>0.55000000000000004</v>
      </c>
      <c r="C100" s="2984"/>
      <c r="D100" s="2984"/>
      <c r="E100" s="2984"/>
      <c r="F100" s="2984"/>
      <c r="G100" s="2985"/>
      <c r="H100" s="2981" t="str">
        <f>DASHBOARD!CA295</f>
        <v>n.a</v>
      </c>
      <c r="I100" s="2968"/>
      <c r="J100" s="2968"/>
      <c r="K100" s="2968" t="str">
        <f>DASHBOARD!CB295</f>
        <v>n.a</v>
      </c>
      <c r="L100" s="2968"/>
      <c r="M100" s="2968"/>
      <c r="N100" s="2968" t="str">
        <f>DASHBOARD!CC295</f>
        <v>n.a</v>
      </c>
      <c r="O100" s="2968"/>
      <c r="P100" s="2968"/>
      <c r="Q100" s="2959" t="str">
        <f>DASHBOARD!CD295</f>
        <v>n.a</v>
      </c>
      <c r="R100" s="2959"/>
      <c r="S100" s="2959"/>
      <c r="T100" s="2968" t="str">
        <f>DASHBOARD!CE295</f>
        <v>n.a</v>
      </c>
      <c r="U100" s="2968"/>
      <c r="V100" s="2968"/>
      <c r="W100" s="2968" t="str">
        <f>DASHBOARD!CF295</f>
        <v>n.a</v>
      </c>
      <c r="X100" s="2968"/>
      <c r="Y100" s="2968"/>
      <c r="Z100" s="2968" t="str">
        <f>DASHBOARD!CG295</f>
        <v>n.a</v>
      </c>
      <c r="AA100" s="2968"/>
      <c r="AB100" s="2968"/>
      <c r="AC100" s="44"/>
      <c r="AD100" s="44"/>
      <c r="AE100" s="44"/>
      <c r="AF100" s="2984">
        <f>B100</f>
        <v>0.55000000000000004</v>
      </c>
      <c r="AG100" s="2984"/>
      <c r="AH100" s="2984"/>
      <c r="AI100" s="2984"/>
      <c r="AJ100" s="2984"/>
      <c r="AK100" s="2985"/>
      <c r="AL100" s="2981">
        <f>DASHBOARD!CJ295</f>
        <v>0</v>
      </c>
      <c r="AM100" s="2968"/>
      <c r="AN100" s="2968"/>
      <c r="AO100" s="2968">
        <f>DASHBOARD!CK295</f>
        <v>0</v>
      </c>
      <c r="AP100" s="2968"/>
      <c r="AQ100" s="2968"/>
      <c r="AR100" s="2968">
        <f>DASHBOARD!CL295</f>
        <v>0</v>
      </c>
      <c r="AS100" s="2968"/>
      <c r="AT100" s="2968"/>
      <c r="AU100" s="2959">
        <f>DASHBOARD!CM295</f>
        <v>0</v>
      </c>
      <c r="AV100" s="2959"/>
      <c r="AW100" s="2959"/>
      <c r="AX100" s="2968">
        <f>DASHBOARD!CN295</f>
        <v>0</v>
      </c>
      <c r="AY100" s="2968"/>
      <c r="AZ100" s="2968"/>
      <c r="BA100" s="2968">
        <f>DASHBOARD!CO295</f>
        <v>0</v>
      </c>
      <c r="BB100" s="2968"/>
      <c r="BC100" s="2968"/>
      <c r="BD100" s="2968">
        <f>DASHBOARD!CP295</f>
        <v>0</v>
      </c>
      <c r="BE100" s="2968"/>
      <c r="BF100" s="2968"/>
      <c r="BG100" s="160"/>
    </row>
    <row r="101" spans="1:64" ht="16.5" customHeight="1" x14ac:dyDescent="0.3">
      <c r="A101" s="160"/>
      <c r="B101" s="2984">
        <v>0.6</v>
      </c>
      <c r="C101" s="2984"/>
      <c r="D101" s="2984"/>
      <c r="E101" s="2984"/>
      <c r="F101" s="2984"/>
      <c r="G101" s="2985"/>
      <c r="H101" s="2981" t="str">
        <f>DASHBOARD!CA296</f>
        <v>n.a</v>
      </c>
      <c r="I101" s="2968"/>
      <c r="J101" s="2968"/>
      <c r="K101" s="2968" t="str">
        <f>DASHBOARD!CB296</f>
        <v>n.a</v>
      </c>
      <c r="L101" s="2968"/>
      <c r="M101" s="2968"/>
      <c r="N101" s="2968" t="str">
        <f>DASHBOARD!CC296</f>
        <v>n.a</v>
      </c>
      <c r="O101" s="2968"/>
      <c r="P101" s="2968"/>
      <c r="Q101" s="2959" t="str">
        <f>DASHBOARD!CD296</f>
        <v>n.a</v>
      </c>
      <c r="R101" s="2959"/>
      <c r="S101" s="2959"/>
      <c r="T101" s="2968" t="str">
        <f>DASHBOARD!CE296</f>
        <v>n.a</v>
      </c>
      <c r="U101" s="2968"/>
      <c r="V101" s="2968"/>
      <c r="W101" s="2968" t="str">
        <f>DASHBOARD!CF296</f>
        <v>n.a</v>
      </c>
      <c r="X101" s="2968"/>
      <c r="Y101" s="2968"/>
      <c r="Z101" s="2968" t="str">
        <f>DASHBOARD!CG296</f>
        <v>n.a</v>
      </c>
      <c r="AA101" s="2968"/>
      <c r="AB101" s="2968"/>
      <c r="AC101" s="44"/>
      <c r="AD101" s="44"/>
      <c r="AE101" s="44"/>
      <c r="AF101" s="2984">
        <f>B101</f>
        <v>0.6</v>
      </c>
      <c r="AG101" s="2984"/>
      <c r="AH101" s="2984"/>
      <c r="AI101" s="2984"/>
      <c r="AJ101" s="2984"/>
      <c r="AK101" s="2985"/>
      <c r="AL101" s="2981">
        <f>DASHBOARD!CJ296</f>
        <v>0</v>
      </c>
      <c r="AM101" s="2968"/>
      <c r="AN101" s="2968"/>
      <c r="AO101" s="2964">
        <f>DASHBOARD!CK296</f>
        <v>0</v>
      </c>
      <c r="AP101" s="2964"/>
      <c r="AQ101" s="2964"/>
      <c r="AR101" s="2964">
        <f>DASHBOARD!CL296</f>
        <v>0</v>
      </c>
      <c r="AS101" s="2964"/>
      <c r="AT101" s="2964"/>
      <c r="AU101" s="2961">
        <f>DASHBOARD!CM296</f>
        <v>0</v>
      </c>
      <c r="AV101" s="2961"/>
      <c r="AW101" s="2961"/>
      <c r="AX101" s="2964">
        <f>DASHBOARD!CN296</f>
        <v>0</v>
      </c>
      <c r="AY101" s="2964"/>
      <c r="AZ101" s="2964"/>
      <c r="BA101" s="2964">
        <f>DASHBOARD!CO296</f>
        <v>0</v>
      </c>
      <c r="BB101" s="2964"/>
      <c r="BC101" s="2964"/>
      <c r="BD101" s="2964">
        <f>DASHBOARD!CP296</f>
        <v>0</v>
      </c>
      <c r="BE101" s="2964"/>
      <c r="BF101" s="2964"/>
      <c r="BG101" s="160"/>
    </row>
    <row r="102" spans="1:64" ht="16.5" customHeight="1" x14ac:dyDescent="0.3">
      <c r="A102" s="160"/>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160"/>
    </row>
    <row r="103" spans="1:64" ht="16.5" customHeight="1" x14ac:dyDescent="0.3">
      <c r="A103" s="160"/>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160"/>
    </row>
    <row r="104" spans="1:64" ht="16.5" customHeight="1" x14ac:dyDescent="0.3">
      <c r="A104" s="160"/>
      <c r="B104" s="262" t="str">
        <f>B28</f>
        <v>Cash on Cash</v>
      </c>
      <c r="C104" s="262"/>
      <c r="D104" s="262"/>
      <c r="E104" s="262"/>
      <c r="F104" s="262"/>
      <c r="G104" s="262"/>
      <c r="H104" s="254" t="s">
        <v>321</v>
      </c>
      <c r="I104" s="254"/>
      <c r="J104" s="254"/>
      <c r="K104" s="254"/>
      <c r="L104" s="254"/>
      <c r="M104" s="254"/>
      <c r="N104" s="254"/>
      <c r="O104" s="254"/>
      <c r="P104" s="254"/>
      <c r="Q104" s="254"/>
      <c r="R104" s="254"/>
      <c r="S104" s="254"/>
      <c r="T104" s="254"/>
      <c r="U104" s="254"/>
      <c r="V104" s="254"/>
      <c r="W104" s="254"/>
      <c r="X104" s="254"/>
      <c r="Y104" s="254"/>
      <c r="Z104" s="254"/>
      <c r="AA104" s="254"/>
      <c r="AB104" s="254"/>
      <c r="AC104" s="44"/>
      <c r="AD104" s="44"/>
      <c r="AE104" s="44"/>
      <c r="AF104" s="262" t="str">
        <f>AF28</f>
        <v>Cash Flow #1</v>
      </c>
      <c r="AG104" s="262"/>
      <c r="AH104" s="262"/>
      <c r="AI104" s="262"/>
      <c r="AJ104" s="262"/>
      <c r="AK104" s="262"/>
      <c r="AL104" s="254" t="s">
        <v>321</v>
      </c>
      <c r="AM104" s="254"/>
      <c r="AN104" s="254"/>
      <c r="AO104" s="254"/>
      <c r="AP104" s="254"/>
      <c r="AQ104" s="254"/>
      <c r="AR104" s="254"/>
      <c r="AS104" s="254"/>
      <c r="AT104" s="254"/>
      <c r="AU104" s="254"/>
      <c r="AV104" s="254"/>
      <c r="AW104" s="254"/>
      <c r="AX104" s="254"/>
      <c r="AY104" s="254"/>
      <c r="AZ104" s="254"/>
      <c r="BA104" s="254"/>
      <c r="BB104" s="254"/>
      <c r="BC104" s="254"/>
      <c r="BD104" s="254"/>
      <c r="BE104" s="254"/>
      <c r="BF104" s="254"/>
      <c r="BG104" s="160"/>
    </row>
    <row r="105" spans="1:64" ht="16.5" customHeight="1" x14ac:dyDescent="0.3">
      <c r="A105" s="160"/>
      <c r="B105" s="254" t="s">
        <v>319</v>
      </c>
      <c r="C105" s="254"/>
      <c r="D105" s="254"/>
      <c r="E105" s="254"/>
      <c r="F105" s="254"/>
      <c r="G105" s="254"/>
      <c r="H105" s="2965">
        <f>H96</f>
        <v>0</v>
      </c>
      <c r="I105" s="2965"/>
      <c r="J105" s="2965"/>
      <c r="K105" s="2965">
        <f>K96</f>
        <v>0</v>
      </c>
      <c r="L105" s="2965"/>
      <c r="M105" s="2965"/>
      <c r="N105" s="2965">
        <f>N96</f>
        <v>0</v>
      </c>
      <c r="O105" s="2965"/>
      <c r="P105" s="2965"/>
      <c r="Q105" s="2962">
        <f>Q96</f>
        <v>0</v>
      </c>
      <c r="R105" s="2962"/>
      <c r="S105" s="2962"/>
      <c r="T105" s="2965">
        <f>T96</f>
        <v>0</v>
      </c>
      <c r="U105" s="2965"/>
      <c r="V105" s="2965"/>
      <c r="W105" s="2965">
        <f>W96</f>
        <v>0</v>
      </c>
      <c r="X105" s="2965"/>
      <c r="Y105" s="2965"/>
      <c r="Z105" s="2965">
        <f>Z96</f>
        <v>0</v>
      </c>
      <c r="AA105" s="2965"/>
      <c r="AB105" s="2965"/>
      <c r="AC105" s="44"/>
      <c r="AD105" s="44"/>
      <c r="AE105" s="44"/>
      <c r="AF105" s="254" t="s">
        <v>319</v>
      </c>
      <c r="AG105" s="254"/>
      <c r="AH105" s="254"/>
      <c r="AI105" s="254"/>
      <c r="AJ105" s="254"/>
      <c r="AK105" s="254"/>
      <c r="AL105" s="2965">
        <f>AL96</f>
        <v>0</v>
      </c>
      <c r="AM105" s="2965"/>
      <c r="AN105" s="2965"/>
      <c r="AO105" s="2965">
        <f>AO96</f>
        <v>0</v>
      </c>
      <c r="AP105" s="2965"/>
      <c r="AQ105" s="2965"/>
      <c r="AR105" s="2965">
        <f>AR96</f>
        <v>0</v>
      </c>
      <c r="AS105" s="2965"/>
      <c r="AT105" s="2965"/>
      <c r="AU105" s="2962">
        <f>AU96</f>
        <v>0</v>
      </c>
      <c r="AV105" s="2962"/>
      <c r="AW105" s="2962"/>
      <c r="AX105" s="2965">
        <f>AX96</f>
        <v>0</v>
      </c>
      <c r="AY105" s="2965"/>
      <c r="AZ105" s="2965"/>
      <c r="BA105" s="2965">
        <f>BA96</f>
        <v>0</v>
      </c>
      <c r="BB105" s="2965"/>
      <c r="BC105" s="2965"/>
      <c r="BD105" s="2965">
        <f>BD96</f>
        <v>0</v>
      </c>
      <c r="BE105" s="2965"/>
      <c r="BF105" s="2965"/>
      <c r="BG105" s="160"/>
    </row>
    <row r="106" spans="1:64" ht="16.5" customHeight="1" x14ac:dyDescent="0.3">
      <c r="A106" s="160"/>
      <c r="B106" s="2984">
        <f>B97</f>
        <v>0.4</v>
      </c>
      <c r="C106" s="2984"/>
      <c r="D106" s="2984"/>
      <c r="E106" s="2984"/>
      <c r="F106" s="2984"/>
      <c r="G106" s="2985"/>
      <c r="H106" s="2980">
        <f>DASHBOARD!CS292</f>
        <v>0</v>
      </c>
      <c r="I106" s="2967"/>
      <c r="J106" s="2967"/>
      <c r="K106" s="2967">
        <f>DASHBOARD!CT292</f>
        <v>0</v>
      </c>
      <c r="L106" s="2967"/>
      <c r="M106" s="2967"/>
      <c r="N106" s="2967">
        <f>DASHBOARD!CU292</f>
        <v>0</v>
      </c>
      <c r="O106" s="2967"/>
      <c r="P106" s="2967"/>
      <c r="Q106" s="2958">
        <f>DASHBOARD!CV292</f>
        <v>0</v>
      </c>
      <c r="R106" s="2958"/>
      <c r="S106" s="2958"/>
      <c r="T106" s="2967">
        <f>DASHBOARD!CW292</f>
        <v>0</v>
      </c>
      <c r="U106" s="2967"/>
      <c r="V106" s="2967"/>
      <c r="W106" s="2967">
        <f>DASHBOARD!CX292</f>
        <v>0</v>
      </c>
      <c r="X106" s="2967"/>
      <c r="Y106" s="2967"/>
      <c r="Z106" s="2967">
        <f>DASHBOARD!CY292</f>
        <v>0</v>
      </c>
      <c r="AA106" s="2967"/>
      <c r="AB106" s="2967"/>
      <c r="AC106" s="44"/>
      <c r="AD106" s="44"/>
      <c r="AE106" s="44"/>
      <c r="AF106" s="2984">
        <f>B106</f>
        <v>0.4</v>
      </c>
      <c r="AG106" s="2984"/>
      <c r="AH106" s="2984"/>
      <c r="AI106" s="2984"/>
      <c r="AJ106" s="2984"/>
      <c r="AK106" s="2985"/>
      <c r="AL106" s="2978">
        <f>DASHBOARD!DB292</f>
        <v>0</v>
      </c>
      <c r="AM106" s="2966"/>
      <c r="AN106" s="2966"/>
      <c r="AO106" s="2966">
        <f>DASHBOARD!DC292</f>
        <v>0</v>
      </c>
      <c r="AP106" s="2966"/>
      <c r="AQ106" s="2966"/>
      <c r="AR106" s="2966">
        <f>DASHBOARD!DD292</f>
        <v>0</v>
      </c>
      <c r="AS106" s="2966"/>
      <c r="AT106" s="2966"/>
      <c r="AU106" s="2954">
        <f>DASHBOARD!DE292</f>
        <v>0</v>
      </c>
      <c r="AV106" s="2954"/>
      <c r="AW106" s="2954"/>
      <c r="AX106" s="2966">
        <f>DASHBOARD!DF292</f>
        <v>0</v>
      </c>
      <c r="AY106" s="2966"/>
      <c r="AZ106" s="2966"/>
      <c r="BA106" s="2966">
        <f>DASHBOARD!DG292</f>
        <v>0</v>
      </c>
      <c r="BB106" s="2966"/>
      <c r="BC106" s="2966"/>
      <c r="BD106" s="2966">
        <f>DASHBOARD!DH292</f>
        <v>0</v>
      </c>
      <c r="BE106" s="2966"/>
      <c r="BF106" s="2966"/>
      <c r="BG106" s="160"/>
    </row>
    <row r="107" spans="1:64" ht="16.5" customHeight="1" x14ac:dyDescent="0.3">
      <c r="A107" s="160"/>
      <c r="B107" s="2984">
        <f>B98</f>
        <v>0.45</v>
      </c>
      <c r="C107" s="2984"/>
      <c r="D107" s="2984"/>
      <c r="E107" s="2984"/>
      <c r="F107" s="2984"/>
      <c r="G107" s="2985"/>
      <c r="H107" s="2981">
        <f>DASHBOARD!CS293</f>
        <v>0</v>
      </c>
      <c r="I107" s="2968"/>
      <c r="J107" s="2968"/>
      <c r="K107" s="2968">
        <f>DASHBOARD!CT293</f>
        <v>0</v>
      </c>
      <c r="L107" s="2968"/>
      <c r="M107" s="2968"/>
      <c r="N107" s="2968">
        <f>DASHBOARD!CU293</f>
        <v>0</v>
      </c>
      <c r="O107" s="2968"/>
      <c r="P107" s="2968"/>
      <c r="Q107" s="2959">
        <f>DASHBOARD!CV293</f>
        <v>0</v>
      </c>
      <c r="R107" s="2959"/>
      <c r="S107" s="2959"/>
      <c r="T107" s="2968">
        <f>DASHBOARD!CW293</f>
        <v>0</v>
      </c>
      <c r="U107" s="2968"/>
      <c r="V107" s="2968"/>
      <c r="W107" s="2968">
        <f>DASHBOARD!CX293</f>
        <v>0</v>
      </c>
      <c r="X107" s="2968"/>
      <c r="Y107" s="2968"/>
      <c r="Z107" s="2968">
        <f>DASHBOARD!CY293</f>
        <v>0</v>
      </c>
      <c r="AA107" s="2968"/>
      <c r="AB107" s="2968"/>
      <c r="AC107" s="44"/>
      <c r="AD107" s="44"/>
      <c r="AE107" s="44"/>
      <c r="AF107" s="2984">
        <f>B107</f>
        <v>0.45</v>
      </c>
      <c r="AG107" s="2984"/>
      <c r="AH107" s="2984"/>
      <c r="AI107" s="2984"/>
      <c r="AJ107" s="2984"/>
      <c r="AK107" s="2985"/>
      <c r="AL107" s="2977">
        <f>DASHBOARD!DB293</f>
        <v>0</v>
      </c>
      <c r="AM107" s="2852"/>
      <c r="AN107" s="2852"/>
      <c r="AO107" s="2852">
        <f>DASHBOARD!DC293</f>
        <v>0</v>
      </c>
      <c r="AP107" s="2852"/>
      <c r="AQ107" s="2852"/>
      <c r="AR107" s="2852">
        <f>DASHBOARD!DD293</f>
        <v>0</v>
      </c>
      <c r="AS107" s="2852"/>
      <c r="AT107" s="2852"/>
      <c r="AU107" s="2955">
        <f>DASHBOARD!DE293</f>
        <v>0</v>
      </c>
      <c r="AV107" s="2955"/>
      <c r="AW107" s="2955"/>
      <c r="AX107" s="2852">
        <f>DASHBOARD!DF293</f>
        <v>0</v>
      </c>
      <c r="AY107" s="2852"/>
      <c r="AZ107" s="2852"/>
      <c r="BA107" s="2852">
        <f>DASHBOARD!DG293</f>
        <v>0</v>
      </c>
      <c r="BB107" s="2852"/>
      <c r="BC107" s="2852"/>
      <c r="BD107" s="2852">
        <f>DASHBOARD!DH293</f>
        <v>0</v>
      </c>
      <c r="BE107" s="2852"/>
      <c r="BF107" s="2852"/>
      <c r="BG107" s="160"/>
    </row>
    <row r="108" spans="1:64" ht="16.5" customHeight="1" x14ac:dyDescent="0.3">
      <c r="A108" s="160"/>
      <c r="B108" s="2986">
        <f>B99</f>
        <v>0.5</v>
      </c>
      <c r="C108" s="2986"/>
      <c r="D108" s="2986"/>
      <c r="E108" s="2986"/>
      <c r="F108" s="2986"/>
      <c r="G108" s="2987"/>
      <c r="H108" s="2982">
        <f>DASHBOARD!CS294</f>
        <v>0</v>
      </c>
      <c r="I108" s="2959"/>
      <c r="J108" s="2959"/>
      <c r="K108" s="2959">
        <f>DASHBOARD!CT294</f>
        <v>0</v>
      </c>
      <c r="L108" s="2959"/>
      <c r="M108" s="2959"/>
      <c r="N108" s="2959">
        <f>DASHBOARD!CU294</f>
        <v>0</v>
      </c>
      <c r="O108" s="2959"/>
      <c r="P108" s="2959"/>
      <c r="Q108" s="2959">
        <f>DASHBOARD!CV294</f>
        <v>0</v>
      </c>
      <c r="R108" s="2959"/>
      <c r="S108" s="2959"/>
      <c r="T108" s="2959">
        <f>DASHBOARD!CW294</f>
        <v>0</v>
      </c>
      <c r="U108" s="2959"/>
      <c r="V108" s="2959"/>
      <c r="W108" s="2959">
        <f>DASHBOARD!CX294</f>
        <v>0</v>
      </c>
      <c r="X108" s="2959"/>
      <c r="Y108" s="2959"/>
      <c r="Z108" s="2959">
        <f>DASHBOARD!CY294</f>
        <v>0</v>
      </c>
      <c r="AA108" s="2959"/>
      <c r="AB108" s="2959"/>
      <c r="AC108" s="44"/>
      <c r="AD108" s="44"/>
      <c r="AE108" s="44"/>
      <c r="AF108" s="2986">
        <f>B108</f>
        <v>0.5</v>
      </c>
      <c r="AG108" s="2986"/>
      <c r="AH108" s="2986"/>
      <c r="AI108" s="2986"/>
      <c r="AJ108" s="2986"/>
      <c r="AK108" s="2987"/>
      <c r="AL108" s="2979">
        <f>DASHBOARD!DB294</f>
        <v>0</v>
      </c>
      <c r="AM108" s="2955"/>
      <c r="AN108" s="2955"/>
      <c r="AO108" s="2955">
        <f>DASHBOARD!DC294</f>
        <v>0</v>
      </c>
      <c r="AP108" s="2955"/>
      <c r="AQ108" s="2955"/>
      <c r="AR108" s="2955">
        <f>DASHBOARD!DD294</f>
        <v>0</v>
      </c>
      <c r="AS108" s="2955"/>
      <c r="AT108" s="2955"/>
      <c r="AU108" s="2955">
        <f>DASHBOARD!DE294</f>
        <v>0</v>
      </c>
      <c r="AV108" s="2955"/>
      <c r="AW108" s="2955"/>
      <c r="AX108" s="2955">
        <f>DASHBOARD!DF294</f>
        <v>0</v>
      </c>
      <c r="AY108" s="2955"/>
      <c r="AZ108" s="2955"/>
      <c r="BA108" s="2955">
        <f>DASHBOARD!DG294</f>
        <v>0</v>
      </c>
      <c r="BB108" s="2955"/>
      <c r="BC108" s="2955"/>
      <c r="BD108" s="2955">
        <f>DASHBOARD!DH294</f>
        <v>0</v>
      </c>
      <c r="BE108" s="2955"/>
      <c r="BF108" s="2955"/>
      <c r="BG108" s="160"/>
    </row>
    <row r="109" spans="1:64" ht="16.5" customHeight="1" x14ac:dyDescent="0.3">
      <c r="A109" s="160"/>
      <c r="B109" s="2984">
        <f>B100</f>
        <v>0.55000000000000004</v>
      </c>
      <c r="C109" s="2984"/>
      <c r="D109" s="2984"/>
      <c r="E109" s="2984"/>
      <c r="F109" s="2984"/>
      <c r="G109" s="2985"/>
      <c r="H109" s="2981">
        <f>DASHBOARD!CS295</f>
        <v>0</v>
      </c>
      <c r="I109" s="2968"/>
      <c r="J109" s="2968"/>
      <c r="K109" s="2968">
        <f>DASHBOARD!CT295</f>
        <v>0</v>
      </c>
      <c r="L109" s="2968"/>
      <c r="M109" s="2968"/>
      <c r="N109" s="2968">
        <f>DASHBOARD!CU295</f>
        <v>0</v>
      </c>
      <c r="O109" s="2968"/>
      <c r="P109" s="2968"/>
      <c r="Q109" s="2959">
        <f>DASHBOARD!CV295</f>
        <v>0</v>
      </c>
      <c r="R109" s="2959"/>
      <c r="S109" s="2959"/>
      <c r="T109" s="2968">
        <f>DASHBOARD!CW295</f>
        <v>0</v>
      </c>
      <c r="U109" s="2968"/>
      <c r="V109" s="2968"/>
      <c r="W109" s="2968">
        <f>DASHBOARD!CX295</f>
        <v>0</v>
      </c>
      <c r="X109" s="2968"/>
      <c r="Y109" s="2968"/>
      <c r="Z109" s="2968">
        <f>DASHBOARD!CY295</f>
        <v>0</v>
      </c>
      <c r="AA109" s="2968"/>
      <c r="AB109" s="2968"/>
      <c r="AC109" s="44"/>
      <c r="AD109" s="44"/>
      <c r="AE109" s="44"/>
      <c r="AF109" s="2984">
        <f>B109</f>
        <v>0.55000000000000004</v>
      </c>
      <c r="AG109" s="2984"/>
      <c r="AH109" s="2984"/>
      <c r="AI109" s="2984"/>
      <c r="AJ109" s="2984"/>
      <c r="AK109" s="2985"/>
      <c r="AL109" s="2977">
        <f>DASHBOARD!DB295</f>
        <v>0</v>
      </c>
      <c r="AM109" s="2852"/>
      <c r="AN109" s="2852"/>
      <c r="AO109" s="2852">
        <f>DASHBOARD!DC295</f>
        <v>0</v>
      </c>
      <c r="AP109" s="2852"/>
      <c r="AQ109" s="2852"/>
      <c r="AR109" s="2852">
        <f>DASHBOARD!DD295</f>
        <v>0</v>
      </c>
      <c r="AS109" s="2852"/>
      <c r="AT109" s="2852"/>
      <c r="AU109" s="2955">
        <f>DASHBOARD!DE295</f>
        <v>0</v>
      </c>
      <c r="AV109" s="2955"/>
      <c r="AW109" s="2955"/>
      <c r="AX109" s="2852">
        <f>DASHBOARD!DF295</f>
        <v>0</v>
      </c>
      <c r="AY109" s="2852"/>
      <c r="AZ109" s="2852"/>
      <c r="BA109" s="2852">
        <f>DASHBOARD!DG295</f>
        <v>0</v>
      </c>
      <c r="BB109" s="2852"/>
      <c r="BC109" s="2852"/>
      <c r="BD109" s="2852">
        <f>DASHBOARD!DH295</f>
        <v>0</v>
      </c>
      <c r="BE109" s="2852"/>
      <c r="BF109" s="2852"/>
      <c r="BG109" s="160"/>
    </row>
    <row r="110" spans="1:64" ht="16.5" customHeight="1" x14ac:dyDescent="0.3">
      <c r="A110" s="160"/>
      <c r="B110" s="2984">
        <f>B101</f>
        <v>0.6</v>
      </c>
      <c r="C110" s="2984"/>
      <c r="D110" s="2984"/>
      <c r="E110" s="2984"/>
      <c r="F110" s="2984"/>
      <c r="G110" s="2985"/>
      <c r="H110" s="2981">
        <f>DASHBOARD!CS296</f>
        <v>0</v>
      </c>
      <c r="I110" s="2968"/>
      <c r="J110" s="2968"/>
      <c r="K110" s="2968">
        <f>DASHBOARD!CT296</f>
        <v>0</v>
      </c>
      <c r="L110" s="2968"/>
      <c r="M110" s="2968"/>
      <c r="N110" s="2968">
        <f>DASHBOARD!CU296</f>
        <v>0</v>
      </c>
      <c r="O110" s="2968"/>
      <c r="P110" s="2968"/>
      <c r="Q110" s="2959">
        <f>DASHBOARD!CV296</f>
        <v>0</v>
      </c>
      <c r="R110" s="2959"/>
      <c r="S110" s="2959"/>
      <c r="T110" s="2968">
        <f>DASHBOARD!CW296</f>
        <v>0</v>
      </c>
      <c r="U110" s="2968"/>
      <c r="V110" s="2968"/>
      <c r="W110" s="2968">
        <f>DASHBOARD!CX296</f>
        <v>0</v>
      </c>
      <c r="X110" s="2968"/>
      <c r="Y110" s="2968"/>
      <c r="Z110" s="2968">
        <f>DASHBOARD!CY296</f>
        <v>0</v>
      </c>
      <c r="AA110" s="2968"/>
      <c r="AB110" s="2968"/>
      <c r="AC110" s="44"/>
      <c r="AD110" s="44"/>
      <c r="AE110" s="44"/>
      <c r="AF110" s="2984">
        <f>B110</f>
        <v>0.6</v>
      </c>
      <c r="AG110" s="2984"/>
      <c r="AH110" s="2984"/>
      <c r="AI110" s="2984"/>
      <c r="AJ110" s="2984"/>
      <c r="AK110" s="2985"/>
      <c r="AL110" s="2977">
        <f>DASHBOARD!DB296</f>
        <v>0</v>
      </c>
      <c r="AM110" s="2852"/>
      <c r="AN110" s="2852"/>
      <c r="AO110" s="2963">
        <f>DASHBOARD!DC296</f>
        <v>0</v>
      </c>
      <c r="AP110" s="2963"/>
      <c r="AQ110" s="2963"/>
      <c r="AR110" s="2963">
        <f>DASHBOARD!DD296</f>
        <v>0</v>
      </c>
      <c r="AS110" s="2963"/>
      <c r="AT110" s="2963"/>
      <c r="AU110" s="2956">
        <f>DASHBOARD!DE296</f>
        <v>0</v>
      </c>
      <c r="AV110" s="2956"/>
      <c r="AW110" s="2956"/>
      <c r="AX110" s="2963">
        <f>DASHBOARD!DF296</f>
        <v>0</v>
      </c>
      <c r="AY110" s="2963"/>
      <c r="AZ110" s="2963"/>
      <c r="BA110" s="2963">
        <f>DASHBOARD!DG296</f>
        <v>0</v>
      </c>
      <c r="BB110" s="2963"/>
      <c r="BC110" s="2963"/>
      <c r="BD110" s="2963">
        <f>DASHBOARD!DH296</f>
        <v>0</v>
      </c>
      <c r="BE110" s="2963"/>
      <c r="BF110" s="2963"/>
      <c r="BG110" s="160"/>
    </row>
    <row r="111" spans="1:64" ht="15" customHeight="1" x14ac:dyDescent="0.3">
      <c r="A111" s="160"/>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160"/>
    </row>
    <row r="112" spans="1:64" s="353" customFormat="1" ht="15" customHeight="1" x14ac:dyDescent="0.3">
      <c r="A112" s="168"/>
      <c r="B112" s="168"/>
      <c r="C112" s="168"/>
      <c r="D112" s="168"/>
      <c r="E112" s="168"/>
      <c r="F112" s="168"/>
      <c r="G112" s="168"/>
      <c r="H112" s="168"/>
      <c r="I112" s="168"/>
      <c r="J112" s="168"/>
      <c r="K112" s="168"/>
      <c r="L112" s="168"/>
      <c r="M112" s="168"/>
      <c r="N112" s="457"/>
      <c r="O112" s="457"/>
      <c r="P112" s="457"/>
      <c r="Q112" s="457"/>
      <c r="R112" s="457"/>
      <c r="S112" s="457"/>
      <c r="T112" s="457"/>
      <c r="U112" s="457"/>
      <c r="V112" s="457"/>
      <c r="W112" s="457"/>
      <c r="X112" s="457"/>
      <c r="Y112" s="457"/>
      <c r="Z112" s="457"/>
      <c r="AA112" s="457"/>
      <c r="AB112" s="457"/>
      <c r="AC112" s="457"/>
      <c r="AD112" s="457"/>
      <c r="AE112" s="457"/>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168"/>
      <c r="BH112" s="272"/>
      <c r="BI112" s="272"/>
      <c r="BJ112" s="272"/>
      <c r="BK112" s="272"/>
      <c r="BL112" s="272"/>
    </row>
    <row r="113" spans="1:64" ht="15" customHeight="1" x14ac:dyDescent="0.3">
      <c r="A113" s="173" t="str">
        <f>DISCLAIMER!$A$35</f>
        <v>© 2025 by WinsWithMike.com or Michael Forsberg Nampa, Idaho. All rights reserved</v>
      </c>
      <c r="B113" s="174"/>
      <c r="C113" s="174"/>
      <c r="D113" s="174"/>
      <c r="E113" s="174"/>
      <c r="F113" s="174"/>
      <c r="G113" s="174"/>
      <c r="H113" s="174"/>
      <c r="I113" s="174"/>
      <c r="J113" s="174"/>
      <c r="K113" s="174"/>
      <c r="L113" s="174"/>
      <c r="M113" s="174"/>
      <c r="N113" s="174"/>
      <c r="O113" s="174"/>
      <c r="P113" s="174"/>
      <c r="Q113" s="174"/>
      <c r="R113" s="174"/>
      <c r="S113" s="174"/>
      <c r="T113" s="174"/>
      <c r="U113" s="174"/>
      <c r="V113" s="174"/>
      <c r="W113" s="174"/>
      <c r="X113" s="174"/>
      <c r="Y113" s="174"/>
      <c r="Z113" s="174"/>
      <c r="AA113" s="174"/>
      <c r="AB113" s="174"/>
      <c r="AC113" s="174"/>
      <c r="AD113" s="174"/>
      <c r="AE113" s="174"/>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353"/>
      <c r="BI113" s="353"/>
      <c r="BJ113" s="353"/>
      <c r="BK113" s="353"/>
      <c r="BL113" s="353"/>
    </row>
  </sheetData>
  <sheetProtection sheet="1" objects="1" scenarios="1" selectLockedCells="1"/>
  <dataConsolidate/>
  <mergeCells count="965">
    <mergeCell ref="BA61:BC61"/>
    <mergeCell ref="BD61:BF61"/>
    <mergeCell ref="B62:G62"/>
    <mergeCell ref="H62:J62"/>
    <mergeCell ref="K62:M62"/>
    <mergeCell ref="N62:P62"/>
    <mergeCell ref="Q62:S62"/>
    <mergeCell ref="T62:V62"/>
    <mergeCell ref="W62:Y62"/>
    <mergeCell ref="Z62:AB62"/>
    <mergeCell ref="AF62:AK62"/>
    <mergeCell ref="AL62:AN62"/>
    <mergeCell ref="AO62:AQ62"/>
    <mergeCell ref="AR62:AT62"/>
    <mergeCell ref="AU62:AW62"/>
    <mergeCell ref="AX62:AZ62"/>
    <mergeCell ref="BA62:BC62"/>
    <mergeCell ref="BD62:BF62"/>
    <mergeCell ref="B61:G61"/>
    <mergeCell ref="H61:J61"/>
    <mergeCell ref="K61:M61"/>
    <mergeCell ref="N61:P61"/>
    <mergeCell ref="Q61:S61"/>
    <mergeCell ref="T61:V61"/>
    <mergeCell ref="W61:Y61"/>
    <mergeCell ref="Z61:AB61"/>
    <mergeCell ref="AF61:AK61"/>
    <mergeCell ref="BA59:BC59"/>
    <mergeCell ref="BD59:BF59"/>
    <mergeCell ref="B60:G60"/>
    <mergeCell ref="H60:J60"/>
    <mergeCell ref="K60:M60"/>
    <mergeCell ref="N60:P60"/>
    <mergeCell ref="Q60:S60"/>
    <mergeCell ref="T60:V60"/>
    <mergeCell ref="W60:Y60"/>
    <mergeCell ref="Z60:AB60"/>
    <mergeCell ref="AF60:AK60"/>
    <mergeCell ref="AL60:AN60"/>
    <mergeCell ref="AO60:AQ60"/>
    <mergeCell ref="AR60:AT60"/>
    <mergeCell ref="AU60:AW60"/>
    <mergeCell ref="AX60:AZ60"/>
    <mergeCell ref="BA60:BC60"/>
    <mergeCell ref="BD60:BF60"/>
    <mergeCell ref="B59:G59"/>
    <mergeCell ref="H59:J59"/>
    <mergeCell ref="K59:M59"/>
    <mergeCell ref="W59:Y59"/>
    <mergeCell ref="Z59:AB59"/>
    <mergeCell ref="AF59:AK59"/>
    <mergeCell ref="BA57:BC57"/>
    <mergeCell ref="BD57:BF57"/>
    <mergeCell ref="B58:G58"/>
    <mergeCell ref="H58:J58"/>
    <mergeCell ref="K58:M58"/>
    <mergeCell ref="N58:P58"/>
    <mergeCell ref="Q58:S58"/>
    <mergeCell ref="T58:V58"/>
    <mergeCell ref="W58:Y58"/>
    <mergeCell ref="Z58:AB58"/>
    <mergeCell ref="AF58:AK58"/>
    <mergeCell ref="AL58:AN58"/>
    <mergeCell ref="AO58:AQ58"/>
    <mergeCell ref="AR58:AT58"/>
    <mergeCell ref="AU58:AW58"/>
    <mergeCell ref="AX58:AZ58"/>
    <mergeCell ref="BA58:BC58"/>
    <mergeCell ref="BD58:BF58"/>
    <mergeCell ref="B57:G57"/>
    <mergeCell ref="H57:J57"/>
    <mergeCell ref="K57:M57"/>
    <mergeCell ref="W57:Y57"/>
    <mergeCell ref="Z57:AB57"/>
    <mergeCell ref="AF57:AK57"/>
    <mergeCell ref="B56:G56"/>
    <mergeCell ref="H56:J56"/>
    <mergeCell ref="K56:M56"/>
    <mergeCell ref="N56:P56"/>
    <mergeCell ref="Q56:S56"/>
    <mergeCell ref="T56:V56"/>
    <mergeCell ref="W56:Y56"/>
    <mergeCell ref="Z56:AB56"/>
    <mergeCell ref="AF56:AK56"/>
    <mergeCell ref="B51:G51"/>
    <mergeCell ref="H51:J51"/>
    <mergeCell ref="K51:M51"/>
    <mergeCell ref="N51:P51"/>
    <mergeCell ref="Q51:S51"/>
    <mergeCell ref="T51:V51"/>
    <mergeCell ref="W51:Y51"/>
    <mergeCell ref="Z51:AB51"/>
    <mergeCell ref="AF51:AK51"/>
    <mergeCell ref="B50:G50"/>
    <mergeCell ref="H50:J50"/>
    <mergeCell ref="K50:M50"/>
    <mergeCell ref="N50:P50"/>
    <mergeCell ref="Q50:S50"/>
    <mergeCell ref="T50:V50"/>
    <mergeCell ref="W50:Y50"/>
    <mergeCell ref="Z50:AB50"/>
    <mergeCell ref="AF50:AK50"/>
    <mergeCell ref="B49:G49"/>
    <mergeCell ref="H49:J49"/>
    <mergeCell ref="K49:M49"/>
    <mergeCell ref="N49:P49"/>
    <mergeCell ref="Q49:S49"/>
    <mergeCell ref="T49:V49"/>
    <mergeCell ref="W49:Y49"/>
    <mergeCell ref="Z49:AB49"/>
    <mergeCell ref="AF49:AK49"/>
    <mergeCell ref="AF47:AK47"/>
    <mergeCell ref="AL47:AN47"/>
    <mergeCell ref="AO47:AQ47"/>
    <mergeCell ref="AR47:AT47"/>
    <mergeCell ref="AU47:AW47"/>
    <mergeCell ref="AX47:AZ47"/>
    <mergeCell ref="BA47:BC47"/>
    <mergeCell ref="BD47:BF47"/>
    <mergeCell ref="B48:G48"/>
    <mergeCell ref="H48:J48"/>
    <mergeCell ref="K48:M48"/>
    <mergeCell ref="N48:P48"/>
    <mergeCell ref="Q48:S48"/>
    <mergeCell ref="T48:V48"/>
    <mergeCell ref="W48:Y48"/>
    <mergeCell ref="Z48:AB48"/>
    <mergeCell ref="AF48:AK48"/>
    <mergeCell ref="AL48:AN48"/>
    <mergeCell ref="AO48:AQ48"/>
    <mergeCell ref="AR48:AT48"/>
    <mergeCell ref="AU48:AW48"/>
    <mergeCell ref="AX48:AZ48"/>
    <mergeCell ref="BA48:BC48"/>
    <mergeCell ref="BD48:BF48"/>
    <mergeCell ref="AF45:AK45"/>
    <mergeCell ref="AL45:AN45"/>
    <mergeCell ref="AO45:AQ45"/>
    <mergeCell ref="AR45:AT45"/>
    <mergeCell ref="AU45:AW45"/>
    <mergeCell ref="AX45:AZ45"/>
    <mergeCell ref="BA45:BC45"/>
    <mergeCell ref="BD45:BF45"/>
    <mergeCell ref="B46:G46"/>
    <mergeCell ref="H46:J46"/>
    <mergeCell ref="K46:M46"/>
    <mergeCell ref="N46:P46"/>
    <mergeCell ref="Q46:S46"/>
    <mergeCell ref="T46:V46"/>
    <mergeCell ref="W46:Y46"/>
    <mergeCell ref="Z46:AB46"/>
    <mergeCell ref="AF46:AK46"/>
    <mergeCell ref="AL46:AN46"/>
    <mergeCell ref="AO46:AQ46"/>
    <mergeCell ref="AR46:AT46"/>
    <mergeCell ref="AU46:AW46"/>
    <mergeCell ref="AX46:AZ46"/>
    <mergeCell ref="BA46:BC46"/>
    <mergeCell ref="BD46:BF46"/>
    <mergeCell ref="B21:G21"/>
    <mergeCell ref="B22:G22"/>
    <mergeCell ref="B23:G23"/>
    <mergeCell ref="B24:G24"/>
    <mergeCell ref="BC5:BF5"/>
    <mergeCell ref="B19:G19"/>
    <mergeCell ref="B20:G20"/>
    <mergeCell ref="N18:P18"/>
    <mergeCell ref="N19:P19"/>
    <mergeCell ref="N20:P20"/>
    <mergeCell ref="V15:X15"/>
    <mergeCell ref="Q18:S18"/>
    <mergeCell ref="Q19:S19"/>
    <mergeCell ref="Q20:S20"/>
    <mergeCell ref="T18:V18"/>
    <mergeCell ref="T19:V19"/>
    <mergeCell ref="T20:V20"/>
    <mergeCell ref="AL18:AN18"/>
    <mergeCell ref="Z18:AB18"/>
    <mergeCell ref="Z19:AB19"/>
    <mergeCell ref="Z20:AB20"/>
    <mergeCell ref="Z21:AB21"/>
    <mergeCell ref="Z22:AB22"/>
    <mergeCell ref="Z23:AB23"/>
    <mergeCell ref="B71:G71"/>
    <mergeCell ref="B72:G72"/>
    <mergeCell ref="B25:G25"/>
    <mergeCell ref="B30:G30"/>
    <mergeCell ref="B31:G31"/>
    <mergeCell ref="B32:G32"/>
    <mergeCell ref="B33:G33"/>
    <mergeCell ref="B98:G98"/>
    <mergeCell ref="B99:G99"/>
    <mergeCell ref="B82:G82"/>
    <mergeCell ref="B83:G83"/>
    <mergeCell ref="B84:G84"/>
    <mergeCell ref="B85:G85"/>
    <mergeCell ref="B86:G86"/>
    <mergeCell ref="B73:G73"/>
    <mergeCell ref="B74:G74"/>
    <mergeCell ref="B75:G75"/>
    <mergeCell ref="B76:G76"/>
    <mergeCell ref="B77:G77"/>
    <mergeCell ref="B34:G34"/>
    <mergeCell ref="B35:G35"/>
    <mergeCell ref="B36:G36"/>
    <mergeCell ref="B45:G45"/>
    <mergeCell ref="B47:G47"/>
    <mergeCell ref="B109:G109"/>
    <mergeCell ref="B110:G110"/>
    <mergeCell ref="H18:J18"/>
    <mergeCell ref="H19:J19"/>
    <mergeCell ref="H20:J20"/>
    <mergeCell ref="H21:J21"/>
    <mergeCell ref="H22:J22"/>
    <mergeCell ref="H23:J23"/>
    <mergeCell ref="H24:J24"/>
    <mergeCell ref="H25:J25"/>
    <mergeCell ref="H30:J30"/>
    <mergeCell ref="H29:J29"/>
    <mergeCell ref="H31:J31"/>
    <mergeCell ref="H32:J32"/>
    <mergeCell ref="H33:J33"/>
    <mergeCell ref="H34:J34"/>
    <mergeCell ref="B100:G100"/>
    <mergeCell ref="B101:G101"/>
    <mergeCell ref="B106:G106"/>
    <mergeCell ref="B107:G107"/>
    <mergeCell ref="B108:G108"/>
    <mergeCell ref="B87:G87"/>
    <mergeCell ref="B88:G88"/>
    <mergeCell ref="B97:G97"/>
    <mergeCell ref="H73:J73"/>
    <mergeCell ref="H74:J74"/>
    <mergeCell ref="H75:J75"/>
    <mergeCell ref="H76:J76"/>
    <mergeCell ref="H77:J77"/>
    <mergeCell ref="H35:J35"/>
    <mergeCell ref="H36:J36"/>
    <mergeCell ref="H70:J70"/>
    <mergeCell ref="H71:J71"/>
    <mergeCell ref="H72:J72"/>
    <mergeCell ref="H44:J44"/>
    <mergeCell ref="H45:J45"/>
    <mergeCell ref="H47:J47"/>
    <mergeCell ref="H55:J55"/>
    <mergeCell ref="H100:J100"/>
    <mergeCell ref="H101:J101"/>
    <mergeCell ref="H86:J86"/>
    <mergeCell ref="H87:J87"/>
    <mergeCell ref="H88:J88"/>
    <mergeCell ref="H96:J96"/>
    <mergeCell ref="H81:J81"/>
    <mergeCell ref="H82:J82"/>
    <mergeCell ref="H83:J83"/>
    <mergeCell ref="H84:J84"/>
    <mergeCell ref="H85:J85"/>
    <mergeCell ref="H110:J110"/>
    <mergeCell ref="J15:L15"/>
    <mergeCell ref="K18:M18"/>
    <mergeCell ref="K19:M19"/>
    <mergeCell ref="K20:M20"/>
    <mergeCell ref="K21:M21"/>
    <mergeCell ref="K22:M22"/>
    <mergeCell ref="K23:M23"/>
    <mergeCell ref="K24:M24"/>
    <mergeCell ref="K25:M25"/>
    <mergeCell ref="K29:M29"/>
    <mergeCell ref="K30:M30"/>
    <mergeCell ref="K31:M31"/>
    <mergeCell ref="K32:M32"/>
    <mergeCell ref="K33:M33"/>
    <mergeCell ref="K34:M34"/>
    <mergeCell ref="H105:J105"/>
    <mergeCell ref="H106:J106"/>
    <mergeCell ref="H107:J107"/>
    <mergeCell ref="H108:J108"/>
    <mergeCell ref="H109:J109"/>
    <mergeCell ref="H97:J97"/>
    <mergeCell ref="H98:J98"/>
    <mergeCell ref="H99:J99"/>
    <mergeCell ref="K73:M73"/>
    <mergeCell ref="K74:M74"/>
    <mergeCell ref="K75:M75"/>
    <mergeCell ref="K76:M76"/>
    <mergeCell ref="K77:M77"/>
    <mergeCell ref="K35:M35"/>
    <mergeCell ref="K36:M36"/>
    <mergeCell ref="K70:M70"/>
    <mergeCell ref="K71:M71"/>
    <mergeCell ref="K72:M72"/>
    <mergeCell ref="K67:M67"/>
    <mergeCell ref="K41:M41"/>
    <mergeCell ref="K44:M44"/>
    <mergeCell ref="K45:M45"/>
    <mergeCell ref="K47:M47"/>
    <mergeCell ref="K55:M55"/>
    <mergeCell ref="K86:M86"/>
    <mergeCell ref="K87:M87"/>
    <mergeCell ref="K88:M88"/>
    <mergeCell ref="K96:M96"/>
    <mergeCell ref="K97:M97"/>
    <mergeCell ref="K81:M81"/>
    <mergeCell ref="K82:M82"/>
    <mergeCell ref="K83:M83"/>
    <mergeCell ref="K84:M84"/>
    <mergeCell ref="K85:M85"/>
    <mergeCell ref="K106:M106"/>
    <mergeCell ref="K107:M107"/>
    <mergeCell ref="K108:M108"/>
    <mergeCell ref="K109:M109"/>
    <mergeCell ref="K110:M110"/>
    <mergeCell ref="K98:M98"/>
    <mergeCell ref="K99:M99"/>
    <mergeCell ref="K100:M100"/>
    <mergeCell ref="K101:M101"/>
    <mergeCell ref="K105:M105"/>
    <mergeCell ref="N29:P29"/>
    <mergeCell ref="N30:P30"/>
    <mergeCell ref="N31:P31"/>
    <mergeCell ref="N32:P32"/>
    <mergeCell ref="N33:P33"/>
    <mergeCell ref="N21:P21"/>
    <mergeCell ref="N22:P22"/>
    <mergeCell ref="N23:P23"/>
    <mergeCell ref="N24:P24"/>
    <mergeCell ref="N25:P25"/>
    <mergeCell ref="N72:P72"/>
    <mergeCell ref="N73:P73"/>
    <mergeCell ref="N74:P74"/>
    <mergeCell ref="N75:P75"/>
    <mergeCell ref="N76:P76"/>
    <mergeCell ref="N34:P34"/>
    <mergeCell ref="N35:P35"/>
    <mergeCell ref="N36:P36"/>
    <mergeCell ref="N70:P70"/>
    <mergeCell ref="N71:P71"/>
    <mergeCell ref="N44:P44"/>
    <mergeCell ref="N45:P45"/>
    <mergeCell ref="N47:P47"/>
    <mergeCell ref="N55:P55"/>
    <mergeCell ref="N59:P59"/>
    <mergeCell ref="N57:P57"/>
    <mergeCell ref="N86:P86"/>
    <mergeCell ref="N87:P87"/>
    <mergeCell ref="N88:P88"/>
    <mergeCell ref="N96:P96"/>
    <mergeCell ref="N77:P77"/>
    <mergeCell ref="N81:P81"/>
    <mergeCell ref="N82:P82"/>
    <mergeCell ref="N83:P83"/>
    <mergeCell ref="N84:P84"/>
    <mergeCell ref="N110:P110"/>
    <mergeCell ref="L93:N93"/>
    <mergeCell ref="Q72:S72"/>
    <mergeCell ref="Q73:S73"/>
    <mergeCell ref="Q74:S74"/>
    <mergeCell ref="Q75:S75"/>
    <mergeCell ref="Q76:S76"/>
    <mergeCell ref="Q77:S77"/>
    <mergeCell ref="Q81:S81"/>
    <mergeCell ref="Q82:S82"/>
    <mergeCell ref="Q83:S83"/>
    <mergeCell ref="Q84:S84"/>
    <mergeCell ref="Q85:S85"/>
    <mergeCell ref="N105:P105"/>
    <mergeCell ref="N106:P106"/>
    <mergeCell ref="N107:P107"/>
    <mergeCell ref="N108:P108"/>
    <mergeCell ref="N109:P109"/>
    <mergeCell ref="N97:P97"/>
    <mergeCell ref="N98:P98"/>
    <mergeCell ref="N99:P99"/>
    <mergeCell ref="N100:P100"/>
    <mergeCell ref="N101:P101"/>
    <mergeCell ref="N85:P85"/>
    <mergeCell ref="Q29:S29"/>
    <mergeCell ref="Q30:S30"/>
    <mergeCell ref="Q31:S31"/>
    <mergeCell ref="Q32:S32"/>
    <mergeCell ref="Q33:S33"/>
    <mergeCell ref="Q21:S21"/>
    <mergeCell ref="Q22:S22"/>
    <mergeCell ref="Q23:S23"/>
    <mergeCell ref="Q24:S24"/>
    <mergeCell ref="Q25:S25"/>
    <mergeCell ref="Q86:S86"/>
    <mergeCell ref="Q87:S87"/>
    <mergeCell ref="Q88:S88"/>
    <mergeCell ref="Q96:S96"/>
    <mergeCell ref="Q97:S97"/>
    <mergeCell ref="Q34:S34"/>
    <mergeCell ref="Q35:S35"/>
    <mergeCell ref="Q36:S36"/>
    <mergeCell ref="Q70:S70"/>
    <mergeCell ref="Q71:S71"/>
    <mergeCell ref="Q44:S44"/>
    <mergeCell ref="Q45:S45"/>
    <mergeCell ref="Q47:S47"/>
    <mergeCell ref="Q55:S55"/>
    <mergeCell ref="Q59:S59"/>
    <mergeCell ref="Q57:S57"/>
    <mergeCell ref="Q106:S106"/>
    <mergeCell ref="Q107:S107"/>
    <mergeCell ref="Q108:S108"/>
    <mergeCell ref="Q109:S109"/>
    <mergeCell ref="Q110:S110"/>
    <mergeCell ref="Q98:S98"/>
    <mergeCell ref="Q99:S99"/>
    <mergeCell ref="Q100:S100"/>
    <mergeCell ref="Q101:S101"/>
    <mergeCell ref="Q105:S105"/>
    <mergeCell ref="T29:V29"/>
    <mergeCell ref="T30:V30"/>
    <mergeCell ref="T31:V31"/>
    <mergeCell ref="T32:V32"/>
    <mergeCell ref="T33:V33"/>
    <mergeCell ref="T21:V21"/>
    <mergeCell ref="T22:V22"/>
    <mergeCell ref="T23:V23"/>
    <mergeCell ref="T24:V24"/>
    <mergeCell ref="T25:V25"/>
    <mergeCell ref="T72:V72"/>
    <mergeCell ref="T73:V73"/>
    <mergeCell ref="T74:V74"/>
    <mergeCell ref="T75:V75"/>
    <mergeCell ref="T76:V76"/>
    <mergeCell ref="T34:V34"/>
    <mergeCell ref="T35:V35"/>
    <mergeCell ref="T36:V36"/>
    <mergeCell ref="T70:V70"/>
    <mergeCell ref="T71:V71"/>
    <mergeCell ref="T44:V44"/>
    <mergeCell ref="T45:V45"/>
    <mergeCell ref="T47:V47"/>
    <mergeCell ref="T55:V55"/>
    <mergeCell ref="T59:V59"/>
    <mergeCell ref="T57:V57"/>
    <mergeCell ref="T100:V100"/>
    <mergeCell ref="T101:V101"/>
    <mergeCell ref="T85:V85"/>
    <mergeCell ref="T86:V86"/>
    <mergeCell ref="T87:V87"/>
    <mergeCell ref="T88:V88"/>
    <mergeCell ref="T96:V96"/>
    <mergeCell ref="T77:V77"/>
    <mergeCell ref="T81:V81"/>
    <mergeCell ref="T82:V82"/>
    <mergeCell ref="T83:V83"/>
    <mergeCell ref="T84:V84"/>
    <mergeCell ref="T110:V110"/>
    <mergeCell ref="W18:Y18"/>
    <mergeCell ref="W19:Y19"/>
    <mergeCell ref="W20:Y20"/>
    <mergeCell ref="W21:Y21"/>
    <mergeCell ref="W22:Y22"/>
    <mergeCell ref="W23:Y23"/>
    <mergeCell ref="W24:Y24"/>
    <mergeCell ref="W25:Y25"/>
    <mergeCell ref="W29:Y29"/>
    <mergeCell ref="W30:Y30"/>
    <mergeCell ref="W31:Y31"/>
    <mergeCell ref="W32:Y32"/>
    <mergeCell ref="W33:Y33"/>
    <mergeCell ref="W34:Y34"/>
    <mergeCell ref="W35:Y35"/>
    <mergeCell ref="T105:V105"/>
    <mergeCell ref="T106:V106"/>
    <mergeCell ref="T107:V107"/>
    <mergeCell ref="T108:V108"/>
    <mergeCell ref="T109:V109"/>
    <mergeCell ref="T97:V97"/>
    <mergeCell ref="T98:V98"/>
    <mergeCell ref="T99:V99"/>
    <mergeCell ref="Z30:AB30"/>
    <mergeCell ref="Z31:AB31"/>
    <mergeCell ref="Z32:AB32"/>
    <mergeCell ref="W99:Y99"/>
    <mergeCell ref="W100:Y100"/>
    <mergeCell ref="W101:Y101"/>
    <mergeCell ref="W105:Y105"/>
    <mergeCell ref="W106:Y106"/>
    <mergeCell ref="W87:Y87"/>
    <mergeCell ref="W88:Y88"/>
    <mergeCell ref="W96:Y96"/>
    <mergeCell ref="W97:Y97"/>
    <mergeCell ref="W98:Y98"/>
    <mergeCell ref="W82:Y82"/>
    <mergeCell ref="W83:Y83"/>
    <mergeCell ref="W84:Y84"/>
    <mergeCell ref="W85:Y85"/>
    <mergeCell ref="W86:Y86"/>
    <mergeCell ref="W74:Y74"/>
    <mergeCell ref="W75:Y75"/>
    <mergeCell ref="W76:Y76"/>
    <mergeCell ref="W77:Y77"/>
    <mergeCell ref="W81:Y81"/>
    <mergeCell ref="W36:Y36"/>
    <mergeCell ref="Z24:AB24"/>
    <mergeCell ref="Z25:AB25"/>
    <mergeCell ref="Z29:AB29"/>
    <mergeCell ref="Z33:AB33"/>
    <mergeCell ref="Z34:AB34"/>
    <mergeCell ref="Z35:AB35"/>
    <mergeCell ref="Z36:AB36"/>
    <mergeCell ref="Z70:AB70"/>
    <mergeCell ref="W107:Y107"/>
    <mergeCell ref="Z100:AB100"/>
    <mergeCell ref="Z84:AB84"/>
    <mergeCell ref="Z85:AB85"/>
    <mergeCell ref="Z86:AB86"/>
    <mergeCell ref="Z87:AB87"/>
    <mergeCell ref="Z88:AB88"/>
    <mergeCell ref="X93:Z93"/>
    <mergeCell ref="W41:Y41"/>
    <mergeCell ref="W44:Y44"/>
    <mergeCell ref="Z44:AB44"/>
    <mergeCell ref="W45:Y45"/>
    <mergeCell ref="Z45:AB45"/>
    <mergeCell ref="W47:Y47"/>
    <mergeCell ref="Z47:AB47"/>
    <mergeCell ref="W55:Y55"/>
    <mergeCell ref="W108:Y108"/>
    <mergeCell ref="W109:Y109"/>
    <mergeCell ref="W110:Y110"/>
    <mergeCell ref="W70:Y70"/>
    <mergeCell ref="W71:Y71"/>
    <mergeCell ref="W72:Y72"/>
    <mergeCell ref="W73:Y73"/>
    <mergeCell ref="W67:Y67"/>
    <mergeCell ref="Z76:AB76"/>
    <mergeCell ref="Z77:AB77"/>
    <mergeCell ref="Z81:AB81"/>
    <mergeCell ref="Z82:AB82"/>
    <mergeCell ref="Z83:AB83"/>
    <mergeCell ref="Z71:AB71"/>
    <mergeCell ref="Z72:AB72"/>
    <mergeCell ref="Z73:AB73"/>
    <mergeCell ref="Z74:AB74"/>
    <mergeCell ref="Z75:AB75"/>
    <mergeCell ref="Z107:AB107"/>
    <mergeCell ref="Z108:AB108"/>
    <mergeCell ref="Z96:AB96"/>
    <mergeCell ref="Z97:AB97"/>
    <mergeCell ref="Z98:AB98"/>
    <mergeCell ref="Z99:AB99"/>
    <mergeCell ref="Z55:AB55"/>
    <mergeCell ref="AF36:AK36"/>
    <mergeCell ref="AF71:AK71"/>
    <mergeCell ref="AF72:AK72"/>
    <mergeCell ref="AF73:AK73"/>
    <mergeCell ref="AF74:AK74"/>
    <mergeCell ref="Z109:AB109"/>
    <mergeCell ref="Z110:AB110"/>
    <mergeCell ref="AO15:AQ15"/>
    <mergeCell ref="AF19:AK19"/>
    <mergeCell ref="AF20:AK20"/>
    <mergeCell ref="AF21:AK21"/>
    <mergeCell ref="AF22:AK22"/>
    <mergeCell ref="AF23:AK23"/>
    <mergeCell ref="AF24:AK24"/>
    <mergeCell ref="AF25:AK25"/>
    <mergeCell ref="AF30:AK30"/>
    <mergeCell ref="AF31:AK31"/>
    <mergeCell ref="AF32:AK32"/>
    <mergeCell ref="AF33:AK33"/>
    <mergeCell ref="AF34:AK34"/>
    <mergeCell ref="AF35:AK35"/>
    <mergeCell ref="Z101:AB101"/>
    <mergeCell ref="Z105:AB105"/>
    <mergeCell ref="Z106:AB106"/>
    <mergeCell ref="AF84:AK84"/>
    <mergeCell ref="AF85:AK85"/>
    <mergeCell ref="AF86:AK86"/>
    <mergeCell ref="AF87:AK87"/>
    <mergeCell ref="AF88:AK88"/>
    <mergeCell ref="AF75:AK75"/>
    <mergeCell ref="AF76:AK76"/>
    <mergeCell ref="AF77:AK77"/>
    <mergeCell ref="AF82:AK82"/>
    <mergeCell ref="AF83:AK83"/>
    <mergeCell ref="AF106:AK106"/>
    <mergeCell ref="AF107:AK107"/>
    <mergeCell ref="AF108:AK108"/>
    <mergeCell ref="AF109:AK109"/>
    <mergeCell ref="AF110:AK110"/>
    <mergeCell ref="AF97:AK97"/>
    <mergeCell ref="AF98:AK98"/>
    <mergeCell ref="AF99:AK99"/>
    <mergeCell ref="AF100:AK100"/>
    <mergeCell ref="AF101:AK101"/>
    <mergeCell ref="AL24:AN24"/>
    <mergeCell ref="AL25:AN25"/>
    <mergeCell ref="AL29:AN29"/>
    <mergeCell ref="AL30:AN30"/>
    <mergeCell ref="AL19:AN19"/>
    <mergeCell ref="AL20:AN20"/>
    <mergeCell ref="AL21:AN21"/>
    <mergeCell ref="AL22:AN22"/>
    <mergeCell ref="AL23:AN23"/>
    <mergeCell ref="AL35:AN35"/>
    <mergeCell ref="AL36:AN36"/>
    <mergeCell ref="AL70:AN70"/>
    <mergeCell ref="AL71:AN71"/>
    <mergeCell ref="AL72:AN72"/>
    <mergeCell ref="AL31:AN31"/>
    <mergeCell ref="AL32:AN32"/>
    <mergeCell ref="AL33:AN33"/>
    <mergeCell ref="AL34:AN34"/>
    <mergeCell ref="AL44:AN44"/>
    <mergeCell ref="AL49:AN49"/>
    <mergeCell ref="AL50:AN50"/>
    <mergeCell ref="AL51:AN51"/>
    <mergeCell ref="AL55:AN55"/>
    <mergeCell ref="AL56:AN56"/>
    <mergeCell ref="AL57:AN57"/>
    <mergeCell ref="AL59:AN59"/>
    <mergeCell ref="AL61:AN61"/>
    <mergeCell ref="AL81:AN81"/>
    <mergeCell ref="AL82:AN82"/>
    <mergeCell ref="AL83:AN83"/>
    <mergeCell ref="AL84:AN84"/>
    <mergeCell ref="AL73:AN73"/>
    <mergeCell ref="AL74:AN74"/>
    <mergeCell ref="AL75:AN75"/>
    <mergeCell ref="AL76:AN76"/>
    <mergeCell ref="AL77:AN77"/>
    <mergeCell ref="AL108:AN108"/>
    <mergeCell ref="AL109:AN109"/>
    <mergeCell ref="AL97:AN97"/>
    <mergeCell ref="AL98:AN98"/>
    <mergeCell ref="AL99:AN99"/>
    <mergeCell ref="AL100:AN100"/>
    <mergeCell ref="AL101:AN101"/>
    <mergeCell ref="AL85:AN85"/>
    <mergeCell ref="AL86:AN86"/>
    <mergeCell ref="AL87:AN87"/>
    <mergeCell ref="AL88:AN88"/>
    <mergeCell ref="AL96:AN96"/>
    <mergeCell ref="AO36:AQ36"/>
    <mergeCell ref="AO70:AQ70"/>
    <mergeCell ref="AO71:AQ71"/>
    <mergeCell ref="AO72:AQ72"/>
    <mergeCell ref="AO73:AQ73"/>
    <mergeCell ref="AL110:AN110"/>
    <mergeCell ref="AO18:AQ18"/>
    <mergeCell ref="AO19:AQ19"/>
    <mergeCell ref="AO20:AQ20"/>
    <mergeCell ref="AO21:AQ21"/>
    <mergeCell ref="AO22:AQ22"/>
    <mergeCell ref="AO23:AQ23"/>
    <mergeCell ref="AO24:AQ24"/>
    <mergeCell ref="AO25:AQ25"/>
    <mergeCell ref="AO29:AQ29"/>
    <mergeCell ref="AO30:AQ30"/>
    <mergeCell ref="AO31:AQ31"/>
    <mergeCell ref="AO32:AQ32"/>
    <mergeCell ref="AO33:AQ33"/>
    <mergeCell ref="AO34:AQ34"/>
    <mergeCell ref="AO35:AQ35"/>
    <mergeCell ref="AL105:AN105"/>
    <mergeCell ref="AL106:AN106"/>
    <mergeCell ref="AL107:AN107"/>
    <mergeCell ref="AO97:AQ97"/>
    <mergeCell ref="AO98:AQ98"/>
    <mergeCell ref="AO82:AQ82"/>
    <mergeCell ref="AO83:AQ83"/>
    <mergeCell ref="AO84:AQ84"/>
    <mergeCell ref="AO85:AQ85"/>
    <mergeCell ref="AO86:AQ86"/>
    <mergeCell ref="AO74:AQ74"/>
    <mergeCell ref="AO75:AQ75"/>
    <mergeCell ref="AO76:AQ76"/>
    <mergeCell ref="AO77:AQ77"/>
    <mergeCell ref="AO81:AQ81"/>
    <mergeCell ref="AO44:AQ44"/>
    <mergeCell ref="AO49:AQ49"/>
    <mergeCell ref="AO50:AQ50"/>
    <mergeCell ref="AO51:AQ51"/>
    <mergeCell ref="AO55:AQ55"/>
    <mergeCell ref="AO56:AQ56"/>
    <mergeCell ref="AO57:AQ57"/>
    <mergeCell ref="AO59:AQ59"/>
    <mergeCell ref="AO61:AQ61"/>
    <mergeCell ref="AO107:AQ107"/>
    <mergeCell ref="AO108:AQ108"/>
    <mergeCell ref="AO109:AQ109"/>
    <mergeCell ref="AO110:AQ110"/>
    <mergeCell ref="AR18:AT18"/>
    <mergeCell ref="AR19:AT19"/>
    <mergeCell ref="AR20:AT20"/>
    <mergeCell ref="AR21:AT21"/>
    <mergeCell ref="AR22:AT22"/>
    <mergeCell ref="AR23:AT23"/>
    <mergeCell ref="AR24:AT24"/>
    <mergeCell ref="AR25:AT25"/>
    <mergeCell ref="AR29:AT29"/>
    <mergeCell ref="AR30:AT30"/>
    <mergeCell ref="AR31:AT31"/>
    <mergeCell ref="AR32:AT32"/>
    <mergeCell ref="AO99:AQ99"/>
    <mergeCell ref="AO100:AQ100"/>
    <mergeCell ref="AO101:AQ101"/>
    <mergeCell ref="AO105:AQ105"/>
    <mergeCell ref="AO106:AQ106"/>
    <mergeCell ref="AO87:AQ87"/>
    <mergeCell ref="AO88:AQ88"/>
    <mergeCell ref="AO96:AQ96"/>
    <mergeCell ref="AR71:AT71"/>
    <mergeCell ref="AR72:AT72"/>
    <mergeCell ref="AR73:AT73"/>
    <mergeCell ref="AR74:AT74"/>
    <mergeCell ref="AR75:AT75"/>
    <mergeCell ref="AR33:AT33"/>
    <mergeCell ref="AR34:AT34"/>
    <mergeCell ref="AR35:AT35"/>
    <mergeCell ref="AR36:AT36"/>
    <mergeCell ref="AR70:AT70"/>
    <mergeCell ref="AR67:AT67"/>
    <mergeCell ref="AR41:AT41"/>
    <mergeCell ref="AR44:AT44"/>
    <mergeCell ref="AR49:AT49"/>
    <mergeCell ref="AR50:AT50"/>
    <mergeCell ref="AR51:AT51"/>
    <mergeCell ref="AR55:AT55"/>
    <mergeCell ref="AR56:AT56"/>
    <mergeCell ref="AR57:AT57"/>
    <mergeCell ref="AR59:AT59"/>
    <mergeCell ref="AR61:AT61"/>
    <mergeCell ref="AR99:AT99"/>
    <mergeCell ref="AR100:AT100"/>
    <mergeCell ref="AR84:AT84"/>
    <mergeCell ref="AR85:AT85"/>
    <mergeCell ref="AR86:AT86"/>
    <mergeCell ref="AR87:AT87"/>
    <mergeCell ref="AR88:AT88"/>
    <mergeCell ref="AR76:AT76"/>
    <mergeCell ref="AR77:AT77"/>
    <mergeCell ref="AR81:AT81"/>
    <mergeCell ref="AR82:AT82"/>
    <mergeCell ref="AR83:AT83"/>
    <mergeCell ref="AR109:AT109"/>
    <mergeCell ref="AR110:AT110"/>
    <mergeCell ref="AX18:AZ18"/>
    <mergeCell ref="AX19:AZ19"/>
    <mergeCell ref="AX20:AZ20"/>
    <mergeCell ref="AX21:AZ21"/>
    <mergeCell ref="AX22:AZ22"/>
    <mergeCell ref="AX23:AZ23"/>
    <mergeCell ref="AX24:AZ24"/>
    <mergeCell ref="AX25:AZ25"/>
    <mergeCell ref="AX29:AZ29"/>
    <mergeCell ref="AX30:AZ30"/>
    <mergeCell ref="AX31:AZ31"/>
    <mergeCell ref="AX32:AZ32"/>
    <mergeCell ref="AX33:AZ33"/>
    <mergeCell ref="AX34:AZ34"/>
    <mergeCell ref="AR101:AT101"/>
    <mergeCell ref="AR105:AT105"/>
    <mergeCell ref="AR106:AT106"/>
    <mergeCell ref="AR107:AT107"/>
    <mergeCell ref="AR108:AT108"/>
    <mergeCell ref="AR96:AT96"/>
    <mergeCell ref="AR97:AT97"/>
    <mergeCell ref="AR98:AT98"/>
    <mergeCell ref="AX73:AZ73"/>
    <mergeCell ref="AX74:AZ74"/>
    <mergeCell ref="AX75:AZ75"/>
    <mergeCell ref="AX76:AZ76"/>
    <mergeCell ref="AX77:AZ77"/>
    <mergeCell ref="AX35:AZ35"/>
    <mergeCell ref="AX36:AZ36"/>
    <mergeCell ref="AX70:AZ70"/>
    <mergeCell ref="AX71:AZ71"/>
    <mergeCell ref="AX72:AZ72"/>
    <mergeCell ref="AX44:AZ44"/>
    <mergeCell ref="AX49:AZ49"/>
    <mergeCell ref="AX50:AZ50"/>
    <mergeCell ref="AX51:AZ51"/>
    <mergeCell ref="AX55:AZ55"/>
    <mergeCell ref="AX56:AZ56"/>
    <mergeCell ref="AX57:AZ57"/>
    <mergeCell ref="AX59:AZ59"/>
    <mergeCell ref="AX61:AZ61"/>
    <mergeCell ref="AX86:AZ86"/>
    <mergeCell ref="AX87:AZ87"/>
    <mergeCell ref="AX88:AZ88"/>
    <mergeCell ref="AX96:AZ96"/>
    <mergeCell ref="AX97:AZ97"/>
    <mergeCell ref="AX81:AZ81"/>
    <mergeCell ref="AX82:AZ82"/>
    <mergeCell ref="AX83:AZ83"/>
    <mergeCell ref="AX84:AZ84"/>
    <mergeCell ref="AX85:AZ85"/>
    <mergeCell ref="AX106:AZ106"/>
    <mergeCell ref="AX107:AZ107"/>
    <mergeCell ref="AX108:AZ108"/>
    <mergeCell ref="AX109:AZ109"/>
    <mergeCell ref="AX110:AZ110"/>
    <mergeCell ref="AX98:AZ98"/>
    <mergeCell ref="AX99:AZ99"/>
    <mergeCell ref="AX100:AZ100"/>
    <mergeCell ref="AX101:AZ101"/>
    <mergeCell ref="AX105:AZ105"/>
    <mergeCell ref="BA23:BC23"/>
    <mergeCell ref="BA24:BC24"/>
    <mergeCell ref="BA25:BC25"/>
    <mergeCell ref="BA29:BC29"/>
    <mergeCell ref="BA30:BC30"/>
    <mergeCell ref="BA18:BC18"/>
    <mergeCell ref="BA19:BC19"/>
    <mergeCell ref="BA20:BC20"/>
    <mergeCell ref="BA21:BC21"/>
    <mergeCell ref="BA22:BC22"/>
    <mergeCell ref="BA36:BC36"/>
    <mergeCell ref="BA70:BC70"/>
    <mergeCell ref="BA71:BC71"/>
    <mergeCell ref="BA72:BC72"/>
    <mergeCell ref="BA73:BC73"/>
    <mergeCell ref="BA31:BC31"/>
    <mergeCell ref="BA32:BC32"/>
    <mergeCell ref="BA33:BC33"/>
    <mergeCell ref="BA34:BC34"/>
    <mergeCell ref="BA35:BC35"/>
    <mergeCell ref="BC67:BE67"/>
    <mergeCell ref="BC41:BE41"/>
    <mergeCell ref="BA44:BC44"/>
    <mergeCell ref="BD44:BF44"/>
    <mergeCell ref="BA49:BC49"/>
    <mergeCell ref="BD49:BF49"/>
    <mergeCell ref="BA50:BC50"/>
    <mergeCell ref="BD50:BF50"/>
    <mergeCell ref="BA51:BC51"/>
    <mergeCell ref="BD51:BF51"/>
    <mergeCell ref="BA55:BC55"/>
    <mergeCell ref="BD55:BF55"/>
    <mergeCell ref="BA56:BC56"/>
    <mergeCell ref="BD71:BF71"/>
    <mergeCell ref="BA97:BC97"/>
    <mergeCell ref="BA98:BC98"/>
    <mergeCell ref="BA82:BC82"/>
    <mergeCell ref="BA83:BC83"/>
    <mergeCell ref="BA84:BC84"/>
    <mergeCell ref="BA85:BC85"/>
    <mergeCell ref="BA86:BC86"/>
    <mergeCell ref="BA74:BC74"/>
    <mergeCell ref="BA75:BC75"/>
    <mergeCell ref="BA76:BC76"/>
    <mergeCell ref="BA77:BC77"/>
    <mergeCell ref="BA81:BC81"/>
    <mergeCell ref="BA107:BC107"/>
    <mergeCell ref="BA108:BC108"/>
    <mergeCell ref="BA109:BC109"/>
    <mergeCell ref="BA110:BC110"/>
    <mergeCell ref="BD18:BF18"/>
    <mergeCell ref="BD19:BF19"/>
    <mergeCell ref="BD20:BF20"/>
    <mergeCell ref="BD21:BF21"/>
    <mergeCell ref="BD22:BF22"/>
    <mergeCell ref="BD23:BF23"/>
    <mergeCell ref="BD24:BF24"/>
    <mergeCell ref="BD25:BF25"/>
    <mergeCell ref="BD29:BF29"/>
    <mergeCell ref="BD30:BF30"/>
    <mergeCell ref="BD31:BF31"/>
    <mergeCell ref="BD32:BF32"/>
    <mergeCell ref="BA99:BC99"/>
    <mergeCell ref="BA100:BC100"/>
    <mergeCell ref="BA101:BC101"/>
    <mergeCell ref="BA105:BC105"/>
    <mergeCell ref="BA106:BC106"/>
    <mergeCell ref="BA87:BC87"/>
    <mergeCell ref="BA88:BC88"/>
    <mergeCell ref="BA96:BC96"/>
    <mergeCell ref="BD72:BF72"/>
    <mergeCell ref="BD73:BF73"/>
    <mergeCell ref="BD74:BF74"/>
    <mergeCell ref="BD75:BF75"/>
    <mergeCell ref="BD33:BF33"/>
    <mergeCell ref="BD34:BF34"/>
    <mergeCell ref="BD35:BF35"/>
    <mergeCell ref="BD36:BF36"/>
    <mergeCell ref="BD70:BF70"/>
    <mergeCell ref="BD56:BF56"/>
    <mergeCell ref="BD100:BF100"/>
    <mergeCell ref="BD84:BF84"/>
    <mergeCell ref="BD85:BF85"/>
    <mergeCell ref="BD86:BF86"/>
    <mergeCell ref="BD87:BF87"/>
    <mergeCell ref="BD88:BF88"/>
    <mergeCell ref="BD76:BF76"/>
    <mergeCell ref="BD77:BF77"/>
    <mergeCell ref="BD81:BF81"/>
    <mergeCell ref="BD82:BF82"/>
    <mergeCell ref="BD83:BF83"/>
    <mergeCell ref="BD109:BF109"/>
    <mergeCell ref="BD110:BF110"/>
    <mergeCell ref="AU18:AW18"/>
    <mergeCell ref="AU19:AW19"/>
    <mergeCell ref="AU20:AW20"/>
    <mergeCell ref="AU21:AW21"/>
    <mergeCell ref="AU22:AW22"/>
    <mergeCell ref="AU23:AW23"/>
    <mergeCell ref="AU24:AW24"/>
    <mergeCell ref="AU25:AW25"/>
    <mergeCell ref="AU29:AW29"/>
    <mergeCell ref="AU30:AW30"/>
    <mergeCell ref="AU31:AW31"/>
    <mergeCell ref="AU32:AW32"/>
    <mergeCell ref="AU33:AW33"/>
    <mergeCell ref="AU34:AW34"/>
    <mergeCell ref="BD101:BF101"/>
    <mergeCell ref="BD105:BF105"/>
    <mergeCell ref="BD106:BF106"/>
    <mergeCell ref="BD107:BF107"/>
    <mergeCell ref="BD108:BF108"/>
    <mergeCell ref="BD96:BF96"/>
    <mergeCell ref="BD97:BF97"/>
    <mergeCell ref="BD98:BF98"/>
    <mergeCell ref="AU110:AW110"/>
    <mergeCell ref="AU98:AW98"/>
    <mergeCell ref="AU99:AW99"/>
    <mergeCell ref="AU100:AW100"/>
    <mergeCell ref="AU101:AW101"/>
    <mergeCell ref="AU105:AW105"/>
    <mergeCell ref="AU86:AW86"/>
    <mergeCell ref="AU87:AW87"/>
    <mergeCell ref="AU88:AW88"/>
    <mergeCell ref="AU96:AW96"/>
    <mergeCell ref="AU97:AW97"/>
    <mergeCell ref="AU108:AW108"/>
    <mergeCell ref="AU109:AW109"/>
    <mergeCell ref="AU81:AW81"/>
    <mergeCell ref="AU82:AW82"/>
    <mergeCell ref="AU83:AW83"/>
    <mergeCell ref="AU84:AW84"/>
    <mergeCell ref="AU85:AW85"/>
    <mergeCell ref="AU73:AW73"/>
    <mergeCell ref="AU74:AW74"/>
    <mergeCell ref="AU75:AW75"/>
    <mergeCell ref="AU76:AW76"/>
    <mergeCell ref="AU77:AW77"/>
    <mergeCell ref="BC7:BF7"/>
    <mergeCell ref="BC8:BF8"/>
    <mergeCell ref="BB15:BD15"/>
    <mergeCell ref="AA7:AF7"/>
    <mergeCell ref="AA8:AF8"/>
    <mergeCell ref="AQ7:AU7"/>
    <mergeCell ref="AQ8:AU8"/>
    <mergeCell ref="AU106:AW106"/>
    <mergeCell ref="AU107:AW107"/>
    <mergeCell ref="AU35:AW35"/>
    <mergeCell ref="AU36:AW36"/>
    <mergeCell ref="AU70:AW70"/>
    <mergeCell ref="AU71:AW71"/>
    <mergeCell ref="AU72:AW72"/>
    <mergeCell ref="AU44:AW44"/>
    <mergeCell ref="AU49:AW49"/>
    <mergeCell ref="AU50:AW50"/>
    <mergeCell ref="AU51:AW51"/>
    <mergeCell ref="AU55:AW55"/>
    <mergeCell ref="AU56:AW56"/>
    <mergeCell ref="AU57:AW57"/>
    <mergeCell ref="AU59:AW59"/>
    <mergeCell ref="AU61:AW61"/>
    <mergeCell ref="BD99:BF99"/>
  </mergeCells>
  <dataValidations count="10">
    <dataValidation type="whole" operator="greaterThanOrEqual" allowBlank="1" showInputMessage="1" showErrorMessage="1" promptTitle="Interval Purchase Price" prompt="Enter value manually, do not link it to another cell of the spreadsheet." sqref="X93 BB15" xr:uid="{44CDBC2B-4F45-4D16-BEA3-3E22FC3ABD17}">
      <formula1>0</formula1>
    </dataValidation>
    <dataValidation type="decimal" operator="greaterThanOrEqual" allowBlank="1" showInputMessage="1" showErrorMessage="1" promptTitle="Interval Interest Rate" prompt="Enter value manually, do not link it to another cell of the spreadsheet." sqref="BC67:BE67" xr:uid="{AFD33FA6-0FA8-4143-99BF-A570255681B2}">
      <formula1>0</formula1>
    </dataValidation>
    <dataValidation type="whole" operator="greaterThanOrEqual" allowBlank="1" showInputMessage="1" showErrorMessage="1" promptTitle="Mid-Value Purchase Price" prompt="Enter value manually, do not link it to another cell of the spreadsheet." sqref="AO15 L93" xr:uid="{35686458-347A-4605-94A1-928F616DD69F}">
      <formula1>0</formula1>
    </dataValidation>
    <dataValidation type="decimal" operator="greaterThanOrEqual" allowBlank="1" showInputMessage="1" showErrorMessage="1" promptTitle="Mid-Value Down Payment" prompt="Enter value manually, do not link it to another cell of the spreadsheet." sqref="K67:M67" xr:uid="{BDCCE1BF-CFAB-408D-82C1-0E14979220B6}">
      <formula1>0</formula1>
    </dataValidation>
    <dataValidation type="decimal" operator="greaterThanOrEqual" allowBlank="1" showInputMessage="1" showErrorMessage="1" promptTitle="Interval Down Payment" prompt="Enter value manually, do not link it to another cell of the spreadsheet." sqref="W67" xr:uid="{CE0D2A5A-068D-46C3-AD72-75230024E657}">
      <formula1>0</formula1>
    </dataValidation>
    <dataValidation type="decimal" operator="greaterThanOrEqual" allowBlank="1" showInputMessage="1" showErrorMessage="1" promptTitle="Mid-Value Interest Rate" prompt="Enter value manually, do not link it to another cell of the spreadsheet." sqref="AR67" xr:uid="{F2269DC2-DC0A-4E96-811D-C0AED673C743}">
      <formula1>0</formula1>
    </dataValidation>
    <dataValidation type="whole" operator="greaterThanOrEqual" allowBlank="1" showInputMessage="1" showErrorMessage="1" promptTitle="Mid-Value Nightly Rate" prompt="Enter value manually, do not link it to another cell of the spreadsheet." sqref="J15:L15 K41:M41" xr:uid="{82D8C7C6-D2FD-4469-B6F2-FB90C52A4C66}">
      <formula1>0</formula1>
    </dataValidation>
    <dataValidation type="whole" operator="greaterThanOrEqual" allowBlank="1" showInputMessage="1" showErrorMessage="1" promptTitle="Interval Nightly Rate" prompt="Enter value manually, do not link it to another cell of the spreadsheet." sqref="V15:X15 W41:Y41" xr:uid="{C7B2C1EB-E6A7-49F9-92A4-067CD13282BD}">
      <formula1>0</formula1>
    </dataValidation>
    <dataValidation type="decimal" operator="greaterThanOrEqual" allowBlank="1" showInputMessage="1" showErrorMessage="1" promptTitle="Mid-Value Occupancy Rate" prompt="Enter value manually, do not link it to another cell of the spreadsheet." sqref="AR41:AT41" xr:uid="{A8012F2E-283A-4120-A940-14BDBBA453FF}">
      <formula1>0</formula1>
    </dataValidation>
    <dataValidation type="decimal" operator="greaterThanOrEqual" allowBlank="1" showInputMessage="1" showErrorMessage="1" promptTitle="Interval Occupancy Rate" prompt="Enter value manually, do not link it to another cell of the spreadsheet." sqref="BC41:BE41" xr:uid="{7DADF9F1-A9CF-4DA8-AA8C-CB3885239B59}">
      <formula1>0</formula1>
    </dataValidation>
  </dataValidations>
  <pageMargins left="0.25" right="0.25" top="0.75" bottom="0.75" header="0.3" footer="0.3"/>
  <pageSetup scale="60" fitToHeight="0" orientation="portrait" r:id="rId1"/>
  <rowBreaks count="1" manualBreakCount="1">
    <brk id="63" max="58" man="1"/>
  </rowBreaks>
  <colBreaks count="1" manualBreakCount="1">
    <brk id="7" min="3" max="112" man="1"/>
  </colBreaks>
  <drawing r:id="rId2"/>
  <extLst>
    <ext xmlns:x14="http://schemas.microsoft.com/office/spreadsheetml/2009/9/main" uri="{78C0D931-6437-407d-A8EE-F0AAD7539E65}">
      <x14:conditionalFormattings>
        <x14:conditionalFormatting xmlns:xm="http://schemas.microsoft.com/office/excel/2006/main">
          <x14:cfRule type="expression" priority="2139" id="{F826A40B-782F-4517-B4D3-DAAB755EF475}">
            <xm:f>DASHBOARD!$L$140&lt;&gt;0</xm:f>
            <x14:dxf>
              <font>
                <b val="0"/>
                <i/>
                <color theme="1" tint="0.499984740745262"/>
              </font>
            </x14:dxf>
          </x14:cfRule>
          <xm:sqref>B42:BF42 AC43:AE44 B52:BF53 AC54:AE55 B63:BF64 B68:BF68 AC69:AE70 B78:BF79 AC80:AE81 B89:BF90 B92:BF92 B94:BF94 AC95:AE101 B102:BF103 AC104:AE110 B111:AE111 AF111:BF112</xm:sqref>
        </x14:conditionalFormatting>
        <x14:conditionalFormatting xmlns:xm="http://schemas.microsoft.com/office/excel/2006/main">
          <x14:cfRule type="expression" priority="1" id="{5756BB02-CD71-4876-8070-F3E61AB85BB2}">
            <xm:f>DASHBOARD!$L$140&lt;&gt;0</xm:f>
            <x14:dxf>
              <font>
                <b val="0"/>
                <i/>
                <color theme="1" tint="0.499984740745262"/>
              </font>
            </x14:dxf>
          </x14:cfRule>
          <xm:sqref>O93:P93</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8F7E-4287-4411-9295-8DE738EEC865}">
  <sheetPr codeName="Sheet19">
    <tabColor theme="5" tint="0.79998168889431442"/>
    <pageSetUpPr autoPageBreaks="0" fitToPage="1"/>
  </sheetPr>
  <dimension ref="A1:ED45"/>
  <sheetViews>
    <sheetView showGridLines="0" showRowColHeaders="0" zoomScaleNormal="100" zoomScaleSheetLayoutView="100" workbookViewId="0">
      <pane ySplit="10" topLeftCell="A21" activePane="bottomLeft" state="frozen"/>
      <selection pane="bottomLeft" activeCell="A10" sqref="A10"/>
    </sheetView>
  </sheetViews>
  <sheetFormatPr defaultColWidth="9.109375" defaultRowHeight="15" customHeight="1" x14ac:dyDescent="0.25"/>
  <cols>
    <col min="1" max="1" width="3.44140625" style="353" customWidth="1"/>
    <col min="2" max="43" width="2.88671875" style="331" customWidth="1"/>
    <col min="44" max="46" width="2.88671875" style="353" customWidth="1"/>
    <col min="47" max="47" width="3.44140625" style="353" customWidth="1"/>
    <col min="48" max="51" width="9.109375" style="331" customWidth="1"/>
    <col min="52" max="52" width="15" style="331" customWidth="1"/>
    <col min="53" max="54" width="9.109375" style="331" customWidth="1"/>
    <col min="55" max="55" width="14" style="331" customWidth="1"/>
    <col min="56" max="56" width="9.109375" style="331" customWidth="1"/>
    <col min="57" max="57" width="14" style="331" customWidth="1"/>
    <col min="58" max="16384" width="9.109375" style="331"/>
  </cols>
  <sheetData>
    <row r="1" spans="1:134" s="1244" customFormat="1" ht="30" customHeight="1" x14ac:dyDescent="0.25">
      <c r="A1" s="1685" t="s">
        <v>1144</v>
      </c>
      <c r="AS1" s="1292"/>
      <c r="AT1" s="1292"/>
      <c r="AU1" s="1292"/>
      <c r="AY1" s="1264"/>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row>
    <row r="2" spans="1:134" s="673" customFormat="1" ht="18.75" customHeight="1" x14ac:dyDescent="0.25">
      <c r="A2" s="1685"/>
      <c r="B2" s="1244"/>
      <c r="C2" s="1244"/>
      <c r="D2" s="1244"/>
      <c r="E2" s="1244"/>
      <c r="F2" s="1244"/>
      <c r="G2" s="1244"/>
      <c r="H2" s="1244"/>
      <c r="I2" s="1244"/>
      <c r="J2" s="1244"/>
      <c r="K2" s="1244"/>
      <c r="L2" s="1244"/>
      <c r="M2" s="1244"/>
      <c r="N2" s="1244"/>
      <c r="O2" s="1244"/>
      <c r="P2" s="1244"/>
      <c r="Q2" s="1244"/>
      <c r="R2" s="1244"/>
      <c r="S2" s="1244"/>
      <c r="T2" s="1244"/>
      <c r="U2" s="1244"/>
      <c r="V2" s="1244"/>
      <c r="W2" s="1244"/>
      <c r="X2" s="1244"/>
      <c r="Y2" s="1244"/>
      <c r="Z2" s="1244"/>
      <c r="AA2" s="1244"/>
      <c r="AB2" s="1244"/>
      <c r="AC2" s="1244"/>
      <c r="AD2" s="1244"/>
      <c r="AE2" s="1244"/>
      <c r="AF2" s="1244"/>
      <c r="AG2" s="1244"/>
      <c r="AH2" s="1244"/>
      <c r="AI2" s="1244"/>
      <c r="AJ2" s="1244"/>
      <c r="AK2" s="1244"/>
      <c r="AL2" s="1244"/>
      <c r="AM2" s="1244"/>
      <c r="AN2" s="1244"/>
      <c r="AO2" s="1244"/>
      <c r="AP2" s="1244"/>
      <c r="AQ2" s="1244"/>
      <c r="AR2" s="1244"/>
      <c r="AS2" s="1292"/>
      <c r="AT2" s="1292"/>
      <c r="AU2" s="1292"/>
      <c r="AV2" s="1244"/>
      <c r="AW2" s="1244"/>
      <c r="AX2" s="1244"/>
      <c r="AY2" s="1264"/>
      <c r="AZ2" s="1244"/>
      <c r="BA2" s="1244"/>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row>
    <row r="3" spans="1:134" ht="15" customHeight="1" x14ac:dyDescent="0.25">
      <c r="A3" s="1685"/>
      <c r="B3" s="1244"/>
      <c r="C3" s="1244"/>
      <c r="D3" s="1244"/>
      <c r="E3" s="1244"/>
      <c r="F3" s="1244"/>
      <c r="G3" s="1244"/>
      <c r="H3" s="1244"/>
      <c r="I3" s="1244"/>
      <c r="J3" s="1244"/>
      <c r="K3" s="1244"/>
      <c r="L3" s="1244"/>
      <c r="M3" s="1244"/>
      <c r="N3" s="1244"/>
      <c r="O3" s="1244"/>
      <c r="P3" s="1244"/>
      <c r="Q3" s="1244"/>
      <c r="R3" s="1244"/>
      <c r="S3" s="1244"/>
      <c r="T3" s="1244"/>
      <c r="U3" s="1244"/>
      <c r="V3" s="1244"/>
      <c r="W3" s="1244"/>
      <c r="X3" s="1244"/>
      <c r="Y3" s="1244"/>
      <c r="Z3" s="1244"/>
      <c r="AA3" s="1244"/>
      <c r="AB3" s="1244"/>
      <c r="AC3" s="1244"/>
      <c r="AD3" s="1244"/>
      <c r="AE3" s="1244"/>
      <c r="AF3" s="1244"/>
      <c r="AG3" s="1244"/>
      <c r="AH3" s="1244"/>
      <c r="AI3" s="1244"/>
      <c r="AJ3" s="1244"/>
      <c r="AK3" s="1244"/>
      <c r="AL3" s="1244"/>
      <c r="AM3" s="1244"/>
      <c r="AN3" s="1244"/>
      <c r="AO3" s="1244"/>
      <c r="AP3" s="1244"/>
      <c r="AQ3" s="1244"/>
      <c r="AR3" s="1244"/>
      <c r="AS3" s="1292"/>
      <c r="AT3" s="1292"/>
      <c r="AU3" s="1292"/>
      <c r="AV3" s="1244"/>
      <c r="AW3" s="1244"/>
      <c r="AX3" s="1244"/>
      <c r="AY3" s="1264"/>
      <c r="AZ3" s="1244"/>
      <c r="BA3" s="1244"/>
    </row>
    <row r="4" spans="1:134" ht="15" customHeight="1" x14ac:dyDescent="0.25">
      <c r="A4" s="377"/>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377"/>
      <c r="AS4" s="377"/>
      <c r="AT4" s="377"/>
      <c r="AU4" s="377"/>
    </row>
    <row r="5" spans="1:134" ht="15" customHeight="1" thickBot="1" x14ac:dyDescent="0.3">
      <c r="A5" s="156"/>
      <c r="B5" s="1237" t="s">
        <v>1148</v>
      </c>
      <c r="C5" s="1358"/>
      <c r="D5" s="1358"/>
      <c r="E5" s="1358"/>
      <c r="F5" s="1358"/>
      <c r="G5" s="1358"/>
      <c r="H5" s="1358"/>
      <c r="I5" s="1358"/>
      <c r="J5" s="1358"/>
      <c r="K5" s="1359"/>
      <c r="L5" s="1359"/>
      <c r="M5" s="1359"/>
      <c r="N5" s="1358"/>
      <c r="O5" s="1358"/>
      <c r="P5" s="1358"/>
      <c r="Q5" s="1359"/>
      <c r="R5" s="1359"/>
      <c r="S5" s="1359"/>
      <c r="T5" s="1180"/>
      <c r="U5" s="1180"/>
      <c r="V5" s="1180"/>
      <c r="W5" s="1180"/>
      <c r="X5" s="1180"/>
      <c r="Y5" s="1180"/>
      <c r="Z5" s="1180"/>
      <c r="AA5" s="1180"/>
      <c r="AB5" s="1180"/>
      <c r="AC5" s="1180"/>
      <c r="AD5" s="1180"/>
      <c r="AE5" s="1180"/>
      <c r="AF5" s="1180"/>
      <c r="AG5" s="1180"/>
      <c r="AH5" s="1180"/>
      <c r="AI5" s="1180"/>
      <c r="AJ5" s="1180"/>
      <c r="AK5" s="1180"/>
      <c r="AL5" s="1180"/>
      <c r="AM5" s="1180"/>
      <c r="AN5" s="1180"/>
      <c r="AO5" s="1180" t="s">
        <v>96</v>
      </c>
      <c r="AP5" s="1180"/>
      <c r="AQ5" s="2650">
        <f ca="1">TODAY()</f>
        <v>45920</v>
      </c>
      <c r="AR5" s="2650"/>
      <c r="AS5" s="2650"/>
      <c r="AT5" s="2650"/>
      <c r="AU5" s="156"/>
    </row>
    <row r="6" spans="1:134" ht="15" customHeight="1" thickTop="1" x14ac:dyDescent="0.25">
      <c r="A6" s="156"/>
      <c r="B6" s="198"/>
      <c r="C6" s="198"/>
      <c r="D6" s="198"/>
      <c r="E6" s="198"/>
      <c r="F6" s="198"/>
      <c r="G6" s="198"/>
      <c r="H6" s="9"/>
      <c r="I6" s="9"/>
      <c r="J6" s="9"/>
      <c r="K6" s="198"/>
      <c r="L6" s="198"/>
      <c r="M6" s="198"/>
      <c r="N6" s="9"/>
      <c r="O6" s="9"/>
      <c r="P6" s="9"/>
      <c r="Q6" s="9"/>
      <c r="R6" s="9"/>
      <c r="S6" s="9"/>
      <c r="T6" s="1555"/>
      <c r="U6" s="1555"/>
      <c r="V6" s="1555"/>
      <c r="W6" s="9"/>
      <c r="X6" s="9"/>
      <c r="Y6" s="9"/>
      <c r="Z6" s="9"/>
      <c r="AA6" s="9"/>
      <c r="AB6" s="9"/>
      <c r="AC6" s="9"/>
      <c r="AD6" s="9"/>
      <c r="AE6" s="9"/>
      <c r="AF6" s="9"/>
      <c r="AG6" s="9"/>
      <c r="AH6" s="9"/>
      <c r="AI6" s="9"/>
      <c r="AJ6" s="9"/>
      <c r="AK6" s="9"/>
      <c r="AL6" s="9"/>
      <c r="AM6" s="9"/>
      <c r="AN6" s="9"/>
      <c r="AO6" s="9"/>
      <c r="AP6" s="9"/>
      <c r="AQ6" s="9"/>
      <c r="AR6" s="454"/>
      <c r="AS6" s="454"/>
      <c r="AT6" s="454"/>
      <c r="AU6" s="156"/>
    </row>
    <row r="7" spans="1:134" ht="15" customHeight="1" x14ac:dyDescent="0.25">
      <c r="A7" s="377"/>
      <c r="B7" s="458" t="s">
        <v>350</v>
      </c>
      <c r="C7" s="458"/>
      <c r="D7" s="458"/>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377"/>
      <c r="AS7" s="377"/>
      <c r="AT7" s="377"/>
      <c r="AU7" s="377"/>
    </row>
    <row r="8" spans="1:134" ht="15" customHeight="1" x14ac:dyDescent="0.25">
      <c r="A8" s="377"/>
      <c r="B8" s="1522"/>
      <c r="C8" s="1523"/>
      <c r="D8" s="1523"/>
      <c r="E8" s="1524"/>
      <c r="F8" s="1524"/>
      <c r="G8" s="1524"/>
      <c r="H8" s="1524"/>
      <c r="I8" s="1525" t="s">
        <v>355</v>
      </c>
      <c r="J8" s="3003">
        <f>DASHBOARD!AE13</f>
        <v>0</v>
      </c>
      <c r="K8" s="3003"/>
      <c r="L8" s="3003"/>
      <c r="M8" s="1527"/>
      <c r="N8" s="1528"/>
      <c r="O8" s="1528"/>
      <c r="P8" s="1528"/>
      <c r="Q8" s="1524"/>
      <c r="R8" s="1529" t="s">
        <v>5</v>
      </c>
      <c r="S8" s="3006">
        <f>DASHBOARD!K80</f>
        <v>0.03</v>
      </c>
      <c r="T8" s="3006"/>
      <c r="U8" s="3006"/>
      <c r="V8" s="1530"/>
      <c r="W8" s="1524"/>
      <c r="X8" s="1529"/>
      <c r="Y8" s="1529" t="s">
        <v>108</v>
      </c>
      <c r="Z8" s="3012">
        <f>tenor</f>
        <v>0</v>
      </c>
      <c r="AA8" s="3012"/>
      <c r="AB8" s="3012"/>
      <c r="AC8" s="1526"/>
      <c r="AD8" s="1526"/>
      <c r="AE8" s="1526"/>
      <c r="AF8" s="1531"/>
      <c r="AG8" s="1531"/>
      <c r="AH8" s="1531"/>
      <c r="AI8" s="1524"/>
      <c r="AJ8" s="1532" t="s">
        <v>197</v>
      </c>
      <c r="AK8" s="3003">
        <f>DASHBOARD!BM192</f>
        <v>0</v>
      </c>
      <c r="AL8" s="3003"/>
      <c r="AM8" s="3003"/>
      <c r="AN8" s="1528"/>
      <c r="AO8" s="1524"/>
      <c r="AP8" s="1525"/>
      <c r="AQ8" s="1525" t="s">
        <v>357</v>
      </c>
      <c r="AR8" s="3003">
        <f>DASHBOARD!K246</f>
        <v>0</v>
      </c>
      <c r="AS8" s="3003"/>
      <c r="AT8" s="3016"/>
      <c r="AU8" s="377"/>
    </row>
    <row r="9" spans="1:134" ht="15" customHeight="1" x14ac:dyDescent="0.25">
      <c r="A9" s="377"/>
      <c r="B9" s="1533"/>
      <c r="C9" s="1534"/>
      <c r="D9" s="1534"/>
      <c r="E9" s="1535"/>
      <c r="F9" s="1535"/>
      <c r="G9" s="1535"/>
      <c r="H9" s="1535"/>
      <c r="I9" s="1536" t="s">
        <v>359</v>
      </c>
      <c r="J9" s="3004">
        <f>DASHBOARD!AE15</f>
        <v>0</v>
      </c>
      <c r="K9" s="3004"/>
      <c r="L9" s="3004"/>
      <c r="M9" s="1537"/>
      <c r="N9" s="1538"/>
      <c r="O9" s="1538"/>
      <c r="P9" s="1538"/>
      <c r="Q9" s="1535"/>
      <c r="R9" s="1539" t="str">
        <f>DASHBOARD!C88</f>
        <v>Loan Interest Rate :</v>
      </c>
      <c r="S9" s="3002">
        <f>interest_rate</f>
        <v>0</v>
      </c>
      <c r="T9" s="3002"/>
      <c r="U9" s="3002"/>
      <c r="V9" s="1540"/>
      <c r="W9" s="1535"/>
      <c r="X9" s="1536"/>
      <c r="Y9" s="1536" t="s">
        <v>356</v>
      </c>
      <c r="Z9" s="3002">
        <f>DASHBOARD!AD80</f>
        <v>2.9999965116319631E-2</v>
      </c>
      <c r="AA9" s="3002"/>
      <c r="AB9" s="3002"/>
      <c r="AC9" s="1541"/>
      <c r="AD9" s="1541"/>
      <c r="AE9" s="1541"/>
      <c r="AF9" s="1542"/>
      <c r="AG9" s="1542"/>
      <c r="AH9" s="1542"/>
      <c r="AI9" s="1535"/>
      <c r="AJ9" s="1543" t="s">
        <v>360</v>
      </c>
      <c r="AK9" s="3005">
        <f>DASHBOARD!$K$245</f>
        <v>0</v>
      </c>
      <c r="AL9" s="3005"/>
      <c r="AM9" s="3005"/>
      <c r="AN9" s="1544"/>
      <c r="AO9" s="1535"/>
      <c r="AP9" s="1536"/>
      <c r="AQ9" s="1536" t="s">
        <v>358</v>
      </c>
      <c r="AR9" s="3004">
        <f>DASHBOARD!O246</f>
        <v>0</v>
      </c>
      <c r="AS9" s="3004"/>
      <c r="AT9" s="3017"/>
      <c r="AU9" s="377"/>
    </row>
    <row r="10" spans="1:134" ht="15" customHeight="1" x14ac:dyDescent="0.25">
      <c r="A10" s="1867"/>
      <c r="B10" s="1556"/>
      <c r="C10" s="1556"/>
      <c r="D10" s="1556"/>
      <c r="E10" s="1361"/>
      <c r="F10" s="1361"/>
      <c r="G10" s="1361"/>
      <c r="H10" s="1361"/>
      <c r="I10" s="1361"/>
      <c r="J10" s="1361"/>
      <c r="K10" s="1361"/>
      <c r="L10" s="1361"/>
      <c r="M10" s="1361"/>
      <c r="N10" s="1361"/>
      <c r="O10" s="1361"/>
      <c r="P10" s="1361"/>
      <c r="Q10" s="1361"/>
      <c r="R10" s="1361"/>
      <c r="S10" s="1361"/>
      <c r="T10" s="1361"/>
      <c r="U10" s="1361"/>
      <c r="V10" s="1361"/>
      <c r="W10" s="1361"/>
      <c r="X10" s="1361"/>
      <c r="Y10" s="1361"/>
      <c r="Z10" s="1361"/>
      <c r="AA10" s="1361"/>
      <c r="AB10" s="1361"/>
      <c r="AC10" s="1361"/>
      <c r="AD10" s="1361"/>
      <c r="AE10" s="1361"/>
      <c r="AF10" s="1361"/>
      <c r="AG10" s="1361"/>
      <c r="AH10" s="1361"/>
      <c r="AI10" s="1361"/>
      <c r="AJ10" s="1361"/>
      <c r="AK10" s="1361"/>
      <c r="AL10" s="1361"/>
      <c r="AM10" s="1361"/>
      <c r="AN10" s="1361"/>
      <c r="AO10" s="1361"/>
      <c r="AP10" s="1361"/>
      <c r="AQ10" s="1361"/>
      <c r="AR10" s="1361"/>
      <c r="AS10" s="1361"/>
      <c r="AT10" s="1361"/>
      <c r="AU10" s="377"/>
    </row>
    <row r="11" spans="1:134" ht="15" customHeight="1" x14ac:dyDescent="0.25">
      <c r="A11" s="377"/>
      <c r="B11" s="675" t="s">
        <v>361</v>
      </c>
      <c r="C11" s="675"/>
      <c r="D11" s="675"/>
      <c r="E11" s="1557"/>
      <c r="F11" s="1557"/>
      <c r="G11" s="1557"/>
      <c r="H11" s="675"/>
      <c r="I11" s="675"/>
      <c r="J11" s="675"/>
      <c r="K11" s="675"/>
      <c r="L11" s="675"/>
      <c r="M11" s="675"/>
      <c r="N11" s="675"/>
      <c r="O11" s="675"/>
      <c r="P11" s="675"/>
      <c r="Q11" s="675"/>
      <c r="R11" s="675"/>
      <c r="S11" s="675"/>
      <c r="T11" s="675"/>
      <c r="U11" s="675"/>
      <c r="V11" s="675"/>
      <c r="W11" s="675"/>
      <c r="X11" s="675"/>
      <c r="Y11" s="675"/>
      <c r="Z11" s="675"/>
      <c r="AA11" s="675"/>
      <c r="AB11" s="675"/>
      <c r="AC11" s="675"/>
      <c r="AD11" s="675"/>
      <c r="AE11" s="675"/>
      <c r="AF11" s="675"/>
      <c r="AG11" s="675"/>
      <c r="AH11" s="675"/>
      <c r="AI11" s="675"/>
      <c r="AJ11" s="675"/>
      <c r="AK11" s="675"/>
      <c r="AL11" s="675"/>
      <c r="AM11" s="675"/>
      <c r="AN11" s="675"/>
      <c r="AO11" s="675"/>
      <c r="AP11" s="675"/>
      <c r="AQ11" s="675"/>
      <c r="AR11" s="675"/>
      <c r="AS11" s="675"/>
      <c r="AT11" s="675"/>
      <c r="AU11" s="377"/>
    </row>
    <row r="12" spans="1:134" ht="15" customHeight="1" x14ac:dyDescent="0.25">
      <c r="A12" s="377"/>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377"/>
      <c r="AS12" s="377"/>
      <c r="AT12" s="377"/>
      <c r="AU12" s="377"/>
    </row>
    <row r="13" spans="1:134" ht="15" customHeight="1" x14ac:dyDescent="0.25">
      <c r="A13" s="377"/>
      <c r="B13" s="2833" t="s">
        <v>343</v>
      </c>
      <c r="C13" s="2833"/>
      <c r="D13" s="2833"/>
      <c r="E13" s="2833"/>
      <c r="F13" s="2833"/>
      <c r="G13" s="3015"/>
      <c r="H13" s="2973"/>
      <c r="I13" s="2974"/>
      <c r="J13" s="2975"/>
      <c r="K13" s="3021" t="s">
        <v>340</v>
      </c>
      <c r="L13" s="2833"/>
      <c r="M13" s="2833"/>
      <c r="N13" s="2833"/>
      <c r="O13" s="2833"/>
      <c r="P13" s="3015"/>
      <c r="Q13" s="2973"/>
      <c r="R13" s="2974"/>
      <c r="S13" s="2975"/>
      <c r="T13" s="9"/>
      <c r="U13" s="9"/>
      <c r="V13" s="9"/>
      <c r="W13" s="44"/>
      <c r="X13" s="44"/>
      <c r="Y13" s="44"/>
      <c r="Z13" s="2833" t="s">
        <v>342</v>
      </c>
      <c r="AA13" s="2833"/>
      <c r="AB13" s="2833"/>
      <c r="AC13" s="2833"/>
      <c r="AD13" s="2833"/>
      <c r="AE13" s="3015"/>
      <c r="AF13" s="2973"/>
      <c r="AG13" s="2974"/>
      <c r="AH13" s="2975"/>
      <c r="AI13" s="3021" t="s">
        <v>341</v>
      </c>
      <c r="AJ13" s="2833"/>
      <c r="AK13" s="2833"/>
      <c r="AL13" s="2833"/>
      <c r="AM13" s="2833"/>
      <c r="AN13" s="3015"/>
      <c r="AO13" s="2973"/>
      <c r="AP13" s="2974"/>
      <c r="AQ13" s="2975"/>
      <c r="AR13" s="44"/>
      <c r="AS13" s="44"/>
      <c r="AT13" s="44"/>
      <c r="AU13" s="377"/>
    </row>
    <row r="14" spans="1:134" ht="15" customHeight="1" x14ac:dyDescent="0.25">
      <c r="A14" s="377"/>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377"/>
      <c r="AS14" s="377"/>
      <c r="AT14" s="377"/>
      <c r="AU14" s="377"/>
    </row>
    <row r="15" spans="1:134" ht="15" customHeight="1" x14ac:dyDescent="0.25">
      <c r="A15" s="377"/>
      <c r="B15" s="1545" t="s">
        <v>39</v>
      </c>
      <c r="C15" s="1546"/>
      <c r="D15" s="1546"/>
      <c r="E15" s="1547"/>
      <c r="F15" s="1547"/>
      <c r="G15" s="1547"/>
      <c r="H15" s="1547"/>
      <c r="I15" s="1547"/>
      <c r="J15" s="1547"/>
      <c r="K15" s="1547"/>
      <c r="L15" s="1547"/>
      <c r="M15" s="1547"/>
      <c r="N15" s="1547"/>
      <c r="O15" s="1547"/>
      <c r="P15" s="1547"/>
      <c r="Q15" s="1547"/>
      <c r="R15" s="1547"/>
      <c r="S15" s="1547"/>
      <c r="T15" s="1558" t="s">
        <v>368</v>
      </c>
      <c r="U15" s="1559"/>
      <c r="V15" s="1560"/>
      <c r="W15" s="159"/>
      <c r="X15" s="160"/>
      <c r="Y15" s="160"/>
      <c r="Z15" s="1548" t="s">
        <v>349</v>
      </c>
      <c r="AA15" s="1549"/>
      <c r="AB15" s="1549"/>
      <c r="AC15" s="1547"/>
      <c r="AD15" s="1547"/>
      <c r="AE15" s="1547"/>
      <c r="AF15" s="1547"/>
      <c r="AG15" s="1547"/>
      <c r="AH15" s="1547"/>
      <c r="AI15" s="1547"/>
      <c r="AJ15" s="1547"/>
      <c r="AK15" s="1547"/>
      <c r="AL15" s="1547"/>
      <c r="AM15" s="1547"/>
      <c r="AN15" s="1547"/>
      <c r="AO15" s="1547"/>
      <c r="AP15" s="1547"/>
      <c r="AQ15" s="1547"/>
      <c r="AR15" s="1558" t="s">
        <v>368</v>
      </c>
      <c r="AS15" s="1559"/>
      <c r="AT15" s="1560"/>
      <c r="AU15" s="377"/>
    </row>
    <row r="16" spans="1:134" ht="15" customHeight="1" x14ac:dyDescent="0.25">
      <c r="A16" s="377"/>
      <c r="B16" s="3025">
        <f>E16-$Q$13</f>
        <v>0</v>
      </c>
      <c r="C16" s="3007"/>
      <c r="D16" s="3007"/>
      <c r="E16" s="3007">
        <f>H16-$Q$13</f>
        <v>0</v>
      </c>
      <c r="F16" s="3007"/>
      <c r="G16" s="3007"/>
      <c r="H16" s="3007">
        <f>K16-$Q$13</f>
        <v>0</v>
      </c>
      <c r="I16" s="3007"/>
      <c r="J16" s="3007"/>
      <c r="K16" s="3009">
        <f>H13</f>
        <v>0</v>
      </c>
      <c r="L16" s="3009"/>
      <c r="M16" s="3009"/>
      <c r="N16" s="3007">
        <f>K16+$Q$13</f>
        <v>0</v>
      </c>
      <c r="O16" s="3007"/>
      <c r="P16" s="3007"/>
      <c r="Q16" s="3007">
        <f>N16+$Q$13</f>
        <v>0</v>
      </c>
      <c r="R16" s="3007"/>
      <c r="S16" s="3007"/>
      <c r="T16" s="3007">
        <f>Q16+$Q$13</f>
        <v>0</v>
      </c>
      <c r="U16" s="3007"/>
      <c r="V16" s="3027"/>
      <c r="W16" s="159"/>
      <c r="X16" s="453"/>
      <c r="Y16" s="453"/>
      <c r="Z16" s="3025">
        <f>AC16-$AO$13</f>
        <v>0</v>
      </c>
      <c r="AA16" s="3007"/>
      <c r="AB16" s="3007"/>
      <c r="AC16" s="3007">
        <f>AF16-$AO$13</f>
        <v>0</v>
      </c>
      <c r="AD16" s="3007"/>
      <c r="AE16" s="3007"/>
      <c r="AF16" s="3007">
        <f>AI16-$AO$13</f>
        <v>0</v>
      </c>
      <c r="AG16" s="3007"/>
      <c r="AH16" s="3007"/>
      <c r="AI16" s="3009">
        <f>AF13</f>
        <v>0</v>
      </c>
      <c r="AJ16" s="3009"/>
      <c r="AK16" s="3009"/>
      <c r="AL16" s="3007">
        <f>AI16+$AO$13</f>
        <v>0</v>
      </c>
      <c r="AM16" s="3007"/>
      <c r="AN16" s="3007"/>
      <c r="AO16" s="3007">
        <f>AL16+$AO$13</f>
        <v>0</v>
      </c>
      <c r="AP16" s="3007"/>
      <c r="AQ16" s="3007"/>
      <c r="AR16" s="2988">
        <f>AO16+$AO$13</f>
        <v>0</v>
      </c>
      <c r="AS16" s="2988"/>
      <c r="AT16" s="3011"/>
      <c r="AU16" s="377"/>
    </row>
    <row r="17" spans="1:47" ht="15" hidden="1" customHeight="1" x14ac:dyDescent="0.25">
      <c r="A17" s="377"/>
      <c r="B17" s="3026" t="str">
        <f>IFERROR(ROUND(B18/10000,2)*10000,"-")</f>
        <v>-</v>
      </c>
      <c r="C17" s="3008"/>
      <c r="D17" s="3008"/>
      <c r="E17" s="3008" t="str">
        <f>IFERROR(ROUND(E18/10000,2)*10000,"-")</f>
        <v>-</v>
      </c>
      <c r="F17" s="3008"/>
      <c r="G17" s="3008"/>
      <c r="H17" s="3008" t="str">
        <f>IFERROR(ROUND(H18/10000,2)*10000,"-")</f>
        <v>-</v>
      </c>
      <c r="I17" s="3008"/>
      <c r="J17" s="3008"/>
      <c r="K17" s="3008" t="str">
        <f>IFERROR(ROUND(K18/10000,2)*10000,"-")</f>
        <v>-</v>
      </c>
      <c r="L17" s="3008"/>
      <c r="M17" s="3008"/>
      <c r="N17" s="3008" t="str">
        <f>IFERROR(ROUND(N18/10000,2)*10000,"-")</f>
        <v>-</v>
      </c>
      <c r="O17" s="3008"/>
      <c r="P17" s="3008"/>
      <c r="Q17" s="3008" t="str">
        <f>IFERROR(ROUND(Q18/10000,2)*10000,"-")</f>
        <v>-</v>
      </c>
      <c r="R17" s="3008"/>
      <c r="S17" s="3008"/>
      <c r="T17" s="3008" t="str">
        <f>IFERROR(ROUND(T18/10000,2)*10000,"-")</f>
        <v>-</v>
      </c>
      <c r="U17" s="3008"/>
      <c r="V17" s="3010"/>
      <c r="W17" s="159"/>
      <c r="X17" s="160"/>
      <c r="Y17" s="160"/>
      <c r="Z17" s="3026">
        <f>ROUND(Z18/10000,2)*10000</f>
        <v>0</v>
      </c>
      <c r="AA17" s="3008"/>
      <c r="AB17" s="3008"/>
      <c r="AC17" s="3008">
        <f>ROUND(AC18/10000,2)*10000</f>
        <v>0</v>
      </c>
      <c r="AD17" s="3008"/>
      <c r="AE17" s="3008"/>
      <c r="AF17" s="3008">
        <f>ROUND(AF18/10000,2)*10000</f>
        <v>0</v>
      </c>
      <c r="AG17" s="3008"/>
      <c r="AH17" s="3008"/>
      <c r="AI17" s="3008">
        <f>ROUND(AI18/10000,2)*10000</f>
        <v>0</v>
      </c>
      <c r="AJ17" s="3008"/>
      <c r="AK17" s="3008"/>
      <c r="AL17" s="3008">
        <f>ROUND(AL18/10000,2)*10000</f>
        <v>0</v>
      </c>
      <c r="AM17" s="3008"/>
      <c r="AN17" s="3008"/>
      <c r="AO17" s="3008">
        <f>ROUND(AO18/10000,2)*10000</f>
        <v>0</v>
      </c>
      <c r="AP17" s="3008"/>
      <c r="AQ17" s="3008"/>
      <c r="AR17" s="3008">
        <f>ROUND(AR18/10000,2)*10000</f>
        <v>0</v>
      </c>
      <c r="AS17" s="3008"/>
      <c r="AT17" s="3010"/>
      <c r="AU17" s="377"/>
    </row>
    <row r="18" spans="1:47" ht="15" customHeight="1" x14ac:dyDescent="0.25">
      <c r="A18" s="377"/>
      <c r="B18" s="3001" t="str">
        <f>IFERROR((DASHBOARD!$O$246/'MAX PRICE'!B16)-DASHBOARD!$AE$13,"")</f>
        <v/>
      </c>
      <c r="C18" s="2999"/>
      <c r="D18" s="2999"/>
      <c r="E18" s="2999" t="str">
        <f>IFERROR((DASHBOARD!$O$246/'MAX PRICE'!E16)-DASHBOARD!$AE$13,"")</f>
        <v/>
      </c>
      <c r="F18" s="2999"/>
      <c r="G18" s="2999"/>
      <c r="H18" s="2999" t="str">
        <f>IFERROR((DASHBOARD!$O$246/'MAX PRICE'!H16)-DASHBOARD!$AE$13,"")</f>
        <v/>
      </c>
      <c r="I18" s="2999"/>
      <c r="J18" s="2999"/>
      <c r="K18" s="2999" t="str">
        <f>IFERROR((DASHBOARD!$O$246/'MAX PRICE'!K16)-DASHBOARD!$AE$13,"")</f>
        <v/>
      </c>
      <c r="L18" s="2999"/>
      <c r="M18" s="2999"/>
      <c r="N18" s="2999" t="str">
        <f>IFERROR((DASHBOARD!$O$246/'MAX PRICE'!N16)-DASHBOARD!$AE$13,"")</f>
        <v/>
      </c>
      <c r="O18" s="2999"/>
      <c r="P18" s="2999"/>
      <c r="Q18" s="2999" t="str">
        <f>IFERROR((DASHBOARD!$O$246/'MAX PRICE'!Q16)-DASHBOARD!$AE$13,"")</f>
        <v/>
      </c>
      <c r="R18" s="2999"/>
      <c r="S18" s="2999"/>
      <c r="T18" s="3000" t="str">
        <f>IFERROR((DASHBOARD!$O$246/'MAX PRICE'!T16)-DASHBOARD!$AE$13,"")</f>
        <v/>
      </c>
      <c r="U18" s="3000"/>
      <c r="V18" s="3000"/>
      <c r="W18" s="159"/>
      <c r="X18" s="160"/>
      <c r="Y18" s="160"/>
      <c r="Z18" s="3001"/>
      <c r="AA18" s="2999"/>
      <c r="AB18" s="2999"/>
      <c r="AC18" s="2999"/>
      <c r="AD18" s="2999"/>
      <c r="AE18" s="2999"/>
      <c r="AF18" s="2999"/>
      <c r="AG18" s="2999"/>
      <c r="AH18" s="2999"/>
      <c r="AI18" s="2999"/>
      <c r="AJ18" s="2999"/>
      <c r="AK18" s="2999"/>
      <c r="AL18" s="2999"/>
      <c r="AM18" s="2999"/>
      <c r="AN18" s="2999"/>
      <c r="AO18" s="2999"/>
      <c r="AP18" s="2999"/>
      <c r="AQ18" s="2999"/>
      <c r="AR18" s="3000"/>
      <c r="AS18" s="3000"/>
      <c r="AT18" s="3000"/>
      <c r="AU18" s="377"/>
    </row>
    <row r="19" spans="1:47" ht="15" customHeight="1" x14ac:dyDescent="0.25">
      <c r="A19" s="377"/>
      <c r="B19" s="452"/>
      <c r="C19" s="452"/>
      <c r="D19" s="452"/>
      <c r="E19" s="452"/>
      <c r="F19" s="452"/>
      <c r="G19" s="452"/>
      <c r="H19" s="160"/>
      <c r="I19" s="160"/>
      <c r="J19" s="160"/>
      <c r="K19" s="452"/>
      <c r="L19" s="452"/>
      <c r="M19" s="452"/>
      <c r="N19" s="452"/>
      <c r="O19" s="452"/>
      <c r="P19" s="452"/>
      <c r="Q19" s="160"/>
      <c r="R19" s="160"/>
      <c r="S19" s="160"/>
      <c r="T19" s="452"/>
      <c r="U19" s="452"/>
      <c r="V19" s="452"/>
      <c r="W19" s="159"/>
      <c r="X19" s="159"/>
      <c r="Y19" s="159"/>
      <c r="Z19" s="159"/>
      <c r="AA19" s="159"/>
      <c r="AB19" s="159"/>
      <c r="AC19" s="159"/>
      <c r="AD19" s="159"/>
      <c r="AE19" s="159"/>
      <c r="AF19" s="453"/>
      <c r="AG19" s="453"/>
      <c r="AH19" s="453"/>
      <c r="AI19" s="159"/>
      <c r="AJ19" s="159"/>
      <c r="AK19" s="159"/>
      <c r="AL19" s="159"/>
      <c r="AM19" s="159"/>
      <c r="AN19" s="159"/>
      <c r="AO19" s="453"/>
      <c r="AP19" s="453"/>
      <c r="AQ19" s="453"/>
      <c r="AR19" s="159"/>
      <c r="AS19" s="160"/>
      <c r="AT19" s="160"/>
      <c r="AU19" s="377"/>
    </row>
    <row r="20" spans="1:47" ht="15" customHeight="1" x14ac:dyDescent="0.25">
      <c r="A20" s="377"/>
      <c r="B20" s="3013" t="s">
        <v>344</v>
      </c>
      <c r="C20" s="3013"/>
      <c r="D20" s="3013"/>
      <c r="E20" s="3013"/>
      <c r="F20" s="3013"/>
      <c r="G20" s="3014"/>
      <c r="H20" s="3018"/>
      <c r="I20" s="3019"/>
      <c r="J20" s="3020"/>
      <c r="K20" s="3022" t="s">
        <v>345</v>
      </c>
      <c r="L20" s="3013"/>
      <c r="M20" s="3013"/>
      <c r="N20" s="3013"/>
      <c r="O20" s="3013"/>
      <c r="P20" s="3014"/>
      <c r="Q20" s="3018"/>
      <c r="R20" s="3019"/>
      <c r="S20" s="3020"/>
      <c r="T20" s="9"/>
      <c r="U20" s="9"/>
      <c r="V20" s="9"/>
      <c r="W20" s="9"/>
      <c r="X20" s="9"/>
      <c r="Y20" s="9"/>
      <c r="Z20" s="3013" t="s">
        <v>346</v>
      </c>
      <c r="AA20" s="3013"/>
      <c r="AB20" s="3013"/>
      <c r="AC20" s="3013"/>
      <c r="AD20" s="3013"/>
      <c r="AE20" s="3014"/>
      <c r="AF20" s="2973"/>
      <c r="AG20" s="2974"/>
      <c r="AH20" s="2975"/>
      <c r="AI20" s="3022" t="s">
        <v>347</v>
      </c>
      <c r="AJ20" s="3013"/>
      <c r="AK20" s="3013"/>
      <c r="AL20" s="3013"/>
      <c r="AM20" s="3013"/>
      <c r="AN20" s="3014"/>
      <c r="AO20" s="2973"/>
      <c r="AP20" s="2974"/>
      <c r="AQ20" s="2975"/>
      <c r="AR20" s="9"/>
      <c r="AS20" s="9"/>
      <c r="AT20" s="9"/>
      <c r="AU20" s="377"/>
    </row>
    <row r="21" spans="1:47" ht="15" customHeight="1" x14ac:dyDescent="0.25">
      <c r="A21" s="377"/>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377"/>
    </row>
    <row r="22" spans="1:47" ht="15" customHeight="1" x14ac:dyDescent="0.25">
      <c r="A22" s="377"/>
      <c r="B22" s="1552" t="s">
        <v>77</v>
      </c>
      <c r="C22" s="1553"/>
      <c r="D22" s="1553"/>
      <c r="E22" s="1547"/>
      <c r="F22" s="1547"/>
      <c r="G22" s="1547"/>
      <c r="H22" s="1547"/>
      <c r="I22" s="1547"/>
      <c r="J22" s="1547"/>
      <c r="K22" s="1547"/>
      <c r="L22" s="1547"/>
      <c r="M22" s="1547"/>
      <c r="N22" s="1547"/>
      <c r="O22" s="1547"/>
      <c r="P22" s="1547"/>
      <c r="Q22" s="1547"/>
      <c r="R22" s="1547"/>
      <c r="S22" s="1547"/>
      <c r="T22" s="1558" t="s">
        <v>368</v>
      </c>
      <c r="U22" s="1559"/>
      <c r="V22" s="1560"/>
      <c r="W22" s="9"/>
      <c r="X22" s="9"/>
      <c r="Y22" s="9"/>
      <c r="Z22" s="1550" t="s">
        <v>348</v>
      </c>
      <c r="AA22" s="1551"/>
      <c r="AB22" s="1551"/>
      <c r="AC22" s="1547"/>
      <c r="AD22" s="1547"/>
      <c r="AE22" s="1547"/>
      <c r="AF22" s="1547"/>
      <c r="AG22" s="1547"/>
      <c r="AH22" s="1547"/>
      <c r="AI22" s="1547"/>
      <c r="AJ22" s="1547"/>
      <c r="AK22" s="1547"/>
      <c r="AL22" s="1547"/>
      <c r="AM22" s="1547"/>
      <c r="AN22" s="1547"/>
      <c r="AO22" s="1547"/>
      <c r="AP22" s="1547"/>
      <c r="AQ22" s="1547"/>
      <c r="AR22" s="1558" t="s">
        <v>368</v>
      </c>
      <c r="AS22" s="1559"/>
      <c r="AT22" s="1560"/>
      <c r="AU22" s="377"/>
    </row>
    <row r="23" spans="1:47" ht="15" customHeight="1" x14ac:dyDescent="0.25">
      <c r="A23" s="377"/>
      <c r="B23" s="3032">
        <f>E23-$Q$20</f>
        <v>0</v>
      </c>
      <c r="C23" s="3031"/>
      <c r="D23" s="3031"/>
      <c r="E23" s="3031">
        <f>H23-$Q$20</f>
        <v>0</v>
      </c>
      <c r="F23" s="3031"/>
      <c r="G23" s="3031"/>
      <c r="H23" s="3031">
        <f>K23-$Q$20</f>
        <v>0</v>
      </c>
      <c r="I23" s="3031"/>
      <c r="J23" s="3031"/>
      <c r="K23" s="3033">
        <f>H20</f>
        <v>0</v>
      </c>
      <c r="L23" s="3033"/>
      <c r="M23" s="3033"/>
      <c r="N23" s="3031">
        <f>K23+$Q$20</f>
        <v>0</v>
      </c>
      <c r="O23" s="3031"/>
      <c r="P23" s="3031"/>
      <c r="Q23" s="3031">
        <f>N23+$Q$20</f>
        <v>0</v>
      </c>
      <c r="R23" s="3031"/>
      <c r="S23" s="3031"/>
      <c r="T23" s="3023">
        <f>Q23+$Q$20</f>
        <v>0</v>
      </c>
      <c r="U23" s="3023"/>
      <c r="V23" s="3024"/>
      <c r="W23" s="9"/>
      <c r="X23" s="9"/>
      <c r="Y23" s="9"/>
      <c r="Z23" s="3025">
        <f>AC23-$AO$20</f>
        <v>0</v>
      </c>
      <c r="AA23" s="3007"/>
      <c r="AB23" s="3007"/>
      <c r="AC23" s="3007">
        <f>AF23-$AO$20</f>
        <v>0</v>
      </c>
      <c r="AD23" s="3007"/>
      <c r="AE23" s="3007"/>
      <c r="AF23" s="3007">
        <f>AI23-$AO$20</f>
        <v>0</v>
      </c>
      <c r="AG23" s="3007"/>
      <c r="AH23" s="3007"/>
      <c r="AI23" s="3009">
        <f>AF20</f>
        <v>0</v>
      </c>
      <c r="AJ23" s="3009"/>
      <c r="AK23" s="3009"/>
      <c r="AL23" s="3007">
        <f>AI23+$AO$20</f>
        <v>0</v>
      </c>
      <c r="AM23" s="3007"/>
      <c r="AN23" s="3007"/>
      <c r="AO23" s="3007">
        <f>AL23+$AO$20</f>
        <v>0</v>
      </c>
      <c r="AP23" s="3007"/>
      <c r="AQ23" s="3007"/>
      <c r="AR23" s="2988">
        <f>AO23+$AO$20</f>
        <v>0</v>
      </c>
      <c r="AS23" s="2988"/>
      <c r="AT23" s="3011"/>
      <c r="AU23" s="377"/>
    </row>
    <row r="24" spans="1:47" ht="15" hidden="1" customHeight="1" x14ac:dyDescent="0.25">
      <c r="A24" s="377"/>
      <c r="B24" s="3026">
        <f>ROUND(B25/10000,2)*10000</f>
        <v>0</v>
      </c>
      <c r="C24" s="3008"/>
      <c r="D24" s="3008"/>
      <c r="E24" s="3008">
        <f>ROUND(E25/10000,2)*10000</f>
        <v>0</v>
      </c>
      <c r="F24" s="3008"/>
      <c r="G24" s="3008"/>
      <c r="H24" s="3008">
        <f>ROUND(H25/10000,2)*10000</f>
        <v>0</v>
      </c>
      <c r="I24" s="3008"/>
      <c r="J24" s="3008"/>
      <c r="K24" s="3008">
        <f>ROUND(K25/10000,2)*10000</f>
        <v>0</v>
      </c>
      <c r="L24" s="3008"/>
      <c r="M24" s="3008"/>
      <c r="N24" s="3008">
        <f>ROUND(N25/10000,2)*10000</f>
        <v>0</v>
      </c>
      <c r="O24" s="3008"/>
      <c r="P24" s="3008"/>
      <c r="Q24" s="3008">
        <f>ROUND(Q25/10000,2)*10000</f>
        <v>0</v>
      </c>
      <c r="R24" s="3008"/>
      <c r="S24" s="3008"/>
      <c r="T24" s="3008">
        <f>ROUND(T25/10000,2)*10000</f>
        <v>0</v>
      </c>
      <c r="U24" s="3008"/>
      <c r="V24" s="3010"/>
      <c r="W24" s="9"/>
      <c r="X24" s="9"/>
      <c r="Y24" s="9"/>
      <c r="Z24" s="3026">
        <f>ROUND(Z25/10000,2)*10000</f>
        <v>0</v>
      </c>
      <c r="AA24" s="3008"/>
      <c r="AB24" s="3008"/>
      <c r="AC24" s="3008">
        <f>ROUND(AC25/10000,2)*10000</f>
        <v>0</v>
      </c>
      <c r="AD24" s="3008"/>
      <c r="AE24" s="3008"/>
      <c r="AF24" s="3008">
        <f>ROUND(AF25/10000,2)*10000</f>
        <v>0</v>
      </c>
      <c r="AG24" s="3008"/>
      <c r="AH24" s="3008"/>
      <c r="AI24" s="3008">
        <f>ROUND(AI25/10000,2)*10000</f>
        <v>0</v>
      </c>
      <c r="AJ24" s="3008"/>
      <c r="AK24" s="3008"/>
      <c r="AL24" s="3008">
        <f>ROUND(AL25/10000,2)*10000</f>
        <v>0</v>
      </c>
      <c r="AM24" s="3008"/>
      <c r="AN24" s="3008"/>
      <c r="AO24" s="3008">
        <f>ROUND(AO25/10000,2)*10000</f>
        <v>0</v>
      </c>
      <c r="AP24" s="3008"/>
      <c r="AQ24" s="3008"/>
      <c r="AR24" s="3008">
        <f>ROUND(AR25/10000,2)*10000</f>
        <v>0</v>
      </c>
      <c r="AS24" s="3008"/>
      <c r="AT24" s="3010"/>
      <c r="AU24" s="377"/>
    </row>
    <row r="25" spans="1:47" ht="15" customHeight="1" x14ac:dyDescent="0.25">
      <c r="A25" s="377"/>
      <c r="B25" s="3001"/>
      <c r="C25" s="2999"/>
      <c r="D25" s="2999"/>
      <c r="E25" s="2999"/>
      <c r="F25" s="2999"/>
      <c r="G25" s="2999"/>
      <c r="H25" s="2999"/>
      <c r="I25" s="2999"/>
      <c r="J25" s="2999"/>
      <c r="K25" s="2999"/>
      <c r="L25" s="2999"/>
      <c r="M25" s="2999"/>
      <c r="N25" s="2999"/>
      <c r="O25" s="2999"/>
      <c r="P25" s="2999"/>
      <c r="Q25" s="2999"/>
      <c r="R25" s="2999"/>
      <c r="S25" s="2999"/>
      <c r="T25" s="3000"/>
      <c r="U25" s="3000"/>
      <c r="V25" s="3000"/>
      <c r="W25" s="2"/>
      <c r="X25" s="2"/>
      <c r="Y25" s="2"/>
      <c r="Z25" s="3001"/>
      <c r="AA25" s="2999"/>
      <c r="AB25" s="2999"/>
      <c r="AC25" s="2999"/>
      <c r="AD25" s="2999"/>
      <c r="AE25" s="2999"/>
      <c r="AF25" s="2999"/>
      <c r="AG25" s="2999"/>
      <c r="AH25" s="2999"/>
      <c r="AI25" s="2999"/>
      <c r="AJ25" s="2999"/>
      <c r="AK25" s="2999"/>
      <c r="AL25" s="2999"/>
      <c r="AM25" s="2999"/>
      <c r="AN25" s="2999"/>
      <c r="AO25" s="2999"/>
      <c r="AP25" s="2999"/>
      <c r="AQ25" s="2999"/>
      <c r="AR25" s="3000"/>
      <c r="AS25" s="3000"/>
      <c r="AT25" s="3000"/>
      <c r="AU25" s="377"/>
    </row>
    <row r="26" spans="1:47" ht="15" customHeight="1" x14ac:dyDescent="0.25">
      <c r="A26" s="377"/>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377"/>
    </row>
    <row r="27" spans="1:47" ht="15" customHeight="1" x14ac:dyDescent="0.25">
      <c r="A27" s="377"/>
      <c r="B27" s="9"/>
      <c r="C27" s="9"/>
      <c r="D27" s="9"/>
      <c r="E27" s="263" t="s">
        <v>351</v>
      </c>
      <c r="F27" s="263"/>
      <c r="G27" s="263"/>
      <c r="H27" s="3028">
        <v>1</v>
      </c>
      <c r="I27" s="3029"/>
      <c r="J27" s="3030"/>
      <c r="K27" s="9"/>
      <c r="L27" s="9"/>
      <c r="M27" s="9"/>
      <c r="N27" s="1561">
        <v>1</v>
      </c>
      <c r="O27" s="1561"/>
      <c r="P27" s="1561"/>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377"/>
    </row>
    <row r="28" spans="1:47" ht="15" customHeight="1" x14ac:dyDescent="0.25">
      <c r="A28" s="377"/>
      <c r="B28" s="9"/>
      <c r="C28" s="9"/>
      <c r="D28" s="9"/>
      <c r="E28" s="9"/>
      <c r="F28" s="9"/>
      <c r="G28" s="9"/>
      <c r="H28" s="9"/>
      <c r="I28" s="9"/>
      <c r="J28" s="9"/>
      <c r="K28" s="9"/>
      <c r="L28" s="9"/>
      <c r="M28" s="9"/>
      <c r="N28" s="1561">
        <v>2</v>
      </c>
      <c r="O28" s="1561"/>
      <c r="P28" s="1561"/>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377"/>
    </row>
    <row r="29" spans="1:47" ht="15" customHeight="1" x14ac:dyDescent="0.25">
      <c r="A29" s="377"/>
      <c r="B29" s="1561"/>
      <c r="C29" s="1561"/>
      <c r="D29" s="1561"/>
      <c r="E29" s="268" t="s">
        <v>352</v>
      </c>
      <c r="F29" s="268"/>
      <c r="G29" s="268"/>
      <c r="H29" s="268" t="s">
        <v>353</v>
      </c>
      <c r="I29" s="268"/>
      <c r="J29" s="268"/>
      <c r="K29" s="1561"/>
      <c r="L29" s="1561"/>
      <c r="M29" s="1561"/>
      <c r="N29" s="1561">
        <v>3</v>
      </c>
      <c r="O29" s="1561"/>
      <c r="P29" s="1561"/>
      <c r="Q29" s="1561"/>
      <c r="R29" s="277"/>
      <c r="S29" s="277"/>
      <c r="T29" s="277"/>
      <c r="U29" s="277"/>
      <c r="V29" s="277"/>
      <c r="W29" s="277"/>
      <c r="X29" s="277"/>
      <c r="Y29" s="277"/>
      <c r="Z29" s="277"/>
      <c r="AA29" s="277"/>
      <c r="AB29" s="277"/>
      <c r="AC29" s="9"/>
      <c r="AD29" s="9"/>
      <c r="AE29" s="9"/>
      <c r="AF29" s="9"/>
      <c r="AG29" s="9"/>
      <c r="AH29" s="9"/>
      <c r="AI29" s="9"/>
      <c r="AJ29" s="9"/>
      <c r="AK29" s="9"/>
      <c r="AL29" s="9"/>
      <c r="AM29" s="9"/>
      <c r="AN29" s="9"/>
      <c r="AO29" s="9"/>
      <c r="AP29" s="9"/>
      <c r="AQ29" s="9"/>
      <c r="AR29" s="9"/>
      <c r="AS29" s="9"/>
      <c r="AT29" s="9"/>
      <c r="AU29" s="377"/>
    </row>
    <row r="30" spans="1:47" ht="15" customHeight="1" x14ac:dyDescent="0.25">
      <c r="A30" s="377"/>
      <c r="B30" s="269" t="str" cm="1">
        <f t="array" ref="B30">"Cap Rate"&amp;CHAR(10)&amp;"("&amp;INDEX(B16:H16,0,4-H27)*100&amp;"% - "&amp;INDEX(N16:T16,0,H27)*100&amp;"%)"</f>
        <v>Cap Rate
(0% - 0%)</v>
      </c>
      <c r="C30" s="269"/>
      <c r="D30" s="269"/>
      <c r="E30" s="270" t="str">
        <f ca="1">OFFSET(K17,0,-$H$27*3)</f>
        <v>-</v>
      </c>
      <c r="F30" s="270"/>
      <c r="G30" s="270"/>
      <c r="H30" s="270" t="str">
        <f ca="1">OFFSET(K17,0,$H$27*3)</f>
        <v>-</v>
      </c>
      <c r="I30" s="270"/>
      <c r="J30" s="270"/>
      <c r="K30" s="1561"/>
      <c r="L30" s="1561"/>
      <c r="M30" s="1561"/>
      <c r="N30" s="1561"/>
      <c r="O30" s="1561"/>
      <c r="P30" s="1561"/>
      <c r="Q30" s="1561"/>
      <c r="R30" s="277"/>
      <c r="S30" s="277"/>
      <c r="T30" s="277"/>
      <c r="U30" s="277"/>
      <c r="V30" s="277"/>
      <c r="W30" s="277"/>
      <c r="X30" s="277"/>
      <c r="Y30" s="277"/>
      <c r="Z30" s="277"/>
      <c r="AA30" s="277"/>
      <c r="AB30" s="277"/>
      <c r="AC30" s="9"/>
      <c r="AD30" s="9"/>
      <c r="AE30" s="9"/>
      <c r="AF30" s="9"/>
      <c r="AG30" s="9"/>
      <c r="AH30" s="9"/>
      <c r="AI30" s="9"/>
      <c r="AJ30" s="9"/>
      <c r="AK30" s="9"/>
      <c r="AL30" s="9"/>
      <c r="AM30" s="9"/>
      <c r="AN30" s="9"/>
      <c r="AO30" s="9"/>
      <c r="AP30" s="9"/>
      <c r="AQ30" s="9"/>
      <c r="AR30" s="9"/>
      <c r="AS30" s="9"/>
      <c r="AT30" s="9"/>
      <c r="AU30" s="377"/>
    </row>
    <row r="31" spans="1:47" ht="15" customHeight="1" x14ac:dyDescent="0.25">
      <c r="A31" s="377"/>
      <c r="B31" s="269" t="str" cm="1">
        <f t="array" ref="B31">"CoC"&amp;CHAR(10)&amp;"("&amp;INDEX(Z16:AF16,0,4-H27)*100&amp;"% - "&amp;INDEX(AL16:AR16,0,H27)*100&amp;"%)"</f>
        <v>CoC
(0% - 0%)</v>
      </c>
      <c r="C31" s="269"/>
      <c r="D31" s="269"/>
      <c r="E31" s="270">
        <f ca="1">OFFSET(AI17,0,-$H$27*3)</f>
        <v>0</v>
      </c>
      <c r="F31" s="270"/>
      <c r="G31" s="270"/>
      <c r="H31" s="270">
        <f ca="1">OFFSET(AI17,0,$H$27*3)</f>
        <v>0</v>
      </c>
      <c r="I31" s="270"/>
      <c r="J31" s="270"/>
      <c r="K31" s="1561"/>
      <c r="L31" s="1561"/>
      <c r="M31" s="1561"/>
      <c r="N31" s="1561"/>
      <c r="O31" s="1561"/>
      <c r="P31" s="1561"/>
      <c r="Q31" s="1561"/>
      <c r="R31" s="277"/>
      <c r="S31" s="277"/>
      <c r="T31" s="277"/>
      <c r="U31" s="277"/>
      <c r="V31" s="277"/>
      <c r="W31" s="277"/>
      <c r="X31" s="277"/>
      <c r="Y31" s="277"/>
      <c r="Z31" s="277"/>
      <c r="AA31" s="277"/>
      <c r="AB31" s="277"/>
      <c r="AC31" s="9"/>
      <c r="AD31" s="9"/>
      <c r="AE31" s="9"/>
      <c r="AF31" s="9"/>
      <c r="AG31" s="9"/>
      <c r="AH31" s="9"/>
      <c r="AI31" s="9"/>
      <c r="AJ31" s="9"/>
      <c r="AK31" s="9"/>
      <c r="AL31" s="9"/>
      <c r="AM31" s="9"/>
      <c r="AN31" s="9"/>
      <c r="AO31" s="9"/>
      <c r="AP31" s="9"/>
      <c r="AQ31" s="9"/>
      <c r="AR31" s="9"/>
      <c r="AS31" s="9"/>
      <c r="AT31" s="9"/>
      <c r="AU31" s="377"/>
    </row>
    <row r="32" spans="1:47" ht="15" customHeight="1" x14ac:dyDescent="0.25">
      <c r="A32" s="161"/>
      <c r="B32" s="269" t="str" cm="1">
        <f t="array" ref="B32">"Cash Flow"&amp;CHAR(10)&amp;"($"&amp;INDEX(B23:H23,0,4-H27)&amp;" - $"&amp;INDEX(N23:T23,0,H27)&amp;")"</f>
        <v>Cash Flow
($ - $0)</v>
      </c>
      <c r="C32" s="269"/>
      <c r="D32" s="269"/>
      <c r="E32" s="270">
        <f ca="1">OFFSET(K24,0,-$H$27*3)</f>
        <v>0</v>
      </c>
      <c r="F32" s="270"/>
      <c r="G32" s="270"/>
      <c r="H32" s="270">
        <f ca="1">OFFSET(K24,0,$H$27*3)</f>
        <v>0</v>
      </c>
      <c r="I32" s="270"/>
      <c r="J32" s="270"/>
      <c r="K32" s="269"/>
      <c r="L32" s="269"/>
      <c r="M32" s="269"/>
      <c r="N32" s="269"/>
      <c r="O32" s="269"/>
      <c r="P32" s="269"/>
      <c r="Q32" s="269"/>
      <c r="R32" s="1554"/>
      <c r="S32" s="1554"/>
      <c r="T32" s="1554"/>
      <c r="U32" s="1554"/>
      <c r="V32" s="1554"/>
      <c r="W32" s="1554"/>
      <c r="X32" s="1554"/>
      <c r="Y32" s="1554"/>
      <c r="Z32" s="1554"/>
      <c r="AA32" s="1554"/>
      <c r="AB32" s="1554"/>
      <c r="AC32" s="160"/>
      <c r="AD32" s="160"/>
      <c r="AE32" s="160"/>
      <c r="AF32" s="160"/>
      <c r="AG32" s="160"/>
      <c r="AH32" s="160"/>
      <c r="AI32" s="160"/>
      <c r="AJ32" s="160"/>
      <c r="AK32" s="160"/>
      <c r="AL32" s="160"/>
      <c r="AM32" s="160"/>
      <c r="AN32" s="160"/>
      <c r="AO32" s="160"/>
      <c r="AP32" s="160"/>
      <c r="AQ32" s="160"/>
      <c r="AR32" s="160"/>
      <c r="AS32" s="160"/>
      <c r="AT32" s="160"/>
      <c r="AU32" s="161"/>
    </row>
    <row r="33" spans="1:53" ht="15" customHeight="1" x14ac:dyDescent="0.25">
      <c r="A33" s="1562"/>
      <c r="B33" s="269" t="str" cm="1">
        <f t="array" ref="B33">"IRR"&amp;CHAR(10)&amp;"("&amp;INDEX(Z23:AF23,0,4-H27)*100&amp;"% - "&amp;INDEX(AL23:AR23,0,H27)*100&amp;"%)"</f>
        <v>IRR
(0% - 0%)</v>
      </c>
      <c r="C33" s="269"/>
      <c r="D33" s="269"/>
      <c r="E33" s="270">
        <f ca="1">OFFSET(AI24,0,-$H$27*3)</f>
        <v>0</v>
      </c>
      <c r="F33" s="270"/>
      <c r="G33" s="270"/>
      <c r="H33" s="270">
        <f ca="1">OFFSET(AI24,0,$H$27*3)</f>
        <v>0</v>
      </c>
      <c r="I33" s="270"/>
      <c r="J33" s="270"/>
      <c r="K33" s="1561"/>
      <c r="L33" s="1561"/>
      <c r="M33" s="1561"/>
      <c r="N33" s="1561"/>
      <c r="O33" s="1561"/>
      <c r="P33" s="1561"/>
      <c r="Q33" s="1561"/>
      <c r="R33" s="277"/>
      <c r="S33" s="277"/>
      <c r="T33" s="277"/>
      <c r="U33" s="277"/>
      <c r="V33" s="277"/>
      <c r="W33" s="277"/>
      <c r="X33" s="277"/>
      <c r="Y33" s="277"/>
      <c r="Z33" s="277"/>
      <c r="AA33" s="277"/>
      <c r="AB33" s="277"/>
      <c r="AC33" s="9"/>
      <c r="AD33" s="9"/>
      <c r="AE33" s="9"/>
      <c r="AF33" s="9"/>
      <c r="AG33" s="9"/>
      <c r="AH33" s="9"/>
      <c r="AI33" s="9"/>
      <c r="AJ33" s="9"/>
      <c r="AK33" s="9"/>
      <c r="AL33" s="9"/>
      <c r="AM33" s="9"/>
      <c r="AN33" s="9"/>
      <c r="AO33" s="9"/>
      <c r="AP33" s="9"/>
      <c r="AQ33" s="9"/>
      <c r="AR33" s="9"/>
      <c r="AS33" s="9"/>
      <c r="AT33" s="9"/>
      <c r="AU33" s="1562"/>
    </row>
    <row r="34" spans="1:53" ht="15" customHeight="1" x14ac:dyDescent="0.25">
      <c r="A34" s="377"/>
      <c r="B34" s="269" t="s">
        <v>354</v>
      </c>
      <c r="C34" s="269"/>
      <c r="D34" s="269"/>
      <c r="E34" s="270">
        <f ca="1">AVERAGE(E30:E33)</f>
        <v>0</v>
      </c>
      <c r="F34" s="270"/>
      <c r="G34" s="270"/>
      <c r="H34" s="270">
        <f ca="1">AVERAGE(H30:H33)</f>
        <v>0</v>
      </c>
      <c r="I34" s="270"/>
      <c r="J34" s="270"/>
      <c r="K34" s="1561"/>
      <c r="L34" s="1561"/>
      <c r="M34" s="1561"/>
      <c r="N34" s="1561"/>
      <c r="O34" s="1561"/>
      <c r="P34" s="1561"/>
      <c r="Q34" s="1561"/>
      <c r="R34" s="277"/>
      <c r="S34" s="277"/>
      <c r="T34" s="277"/>
      <c r="U34" s="277"/>
      <c r="V34" s="277"/>
      <c r="W34" s="277"/>
      <c r="X34" s="277"/>
      <c r="Y34" s="277"/>
      <c r="Z34" s="277"/>
      <c r="AA34" s="277"/>
      <c r="AB34" s="277"/>
      <c r="AC34" s="9"/>
      <c r="AD34" s="9"/>
      <c r="AE34" s="9"/>
      <c r="AF34" s="9"/>
      <c r="AG34" s="9"/>
      <c r="AH34" s="9"/>
      <c r="AI34" s="9"/>
      <c r="AJ34" s="9"/>
      <c r="AK34" s="9"/>
      <c r="AL34" s="9"/>
      <c r="AM34" s="9"/>
      <c r="AN34" s="9"/>
      <c r="AO34" s="9"/>
      <c r="AP34" s="9"/>
      <c r="AQ34" s="9"/>
      <c r="AR34" s="9"/>
      <c r="AS34" s="9"/>
      <c r="AT34" s="9"/>
      <c r="AU34" s="377"/>
    </row>
    <row r="35" spans="1:53" ht="15" customHeight="1" x14ac:dyDescent="0.25">
      <c r="A35" s="164"/>
      <c r="B35" s="9"/>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9"/>
      <c r="AD35" s="9"/>
      <c r="AE35" s="9"/>
      <c r="AF35" s="9"/>
      <c r="AG35" s="9"/>
      <c r="AH35" s="9"/>
      <c r="AI35" s="9"/>
      <c r="AJ35" s="9"/>
      <c r="AK35" s="9"/>
      <c r="AL35" s="9"/>
      <c r="AM35" s="9"/>
      <c r="AN35" s="9"/>
      <c r="AO35" s="9"/>
      <c r="AP35" s="9"/>
      <c r="AQ35" s="9"/>
      <c r="AR35" s="9"/>
      <c r="AS35" s="9"/>
      <c r="AT35" s="9"/>
      <c r="AU35" s="164"/>
    </row>
    <row r="36" spans="1:53" ht="15" customHeight="1" x14ac:dyDescent="0.25">
      <c r="A36" s="377"/>
      <c r="B36" s="9"/>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9"/>
      <c r="AD36" s="9"/>
      <c r="AE36" s="9"/>
      <c r="AF36" s="9"/>
      <c r="AG36" s="9"/>
      <c r="AH36" s="9"/>
      <c r="AI36" s="9"/>
      <c r="AJ36" s="9"/>
      <c r="AK36" s="9"/>
      <c r="AL36" s="9"/>
      <c r="AM36" s="9"/>
      <c r="AN36" s="9"/>
      <c r="AO36" s="9"/>
      <c r="AP36" s="9"/>
      <c r="AQ36" s="9"/>
      <c r="AR36" s="9"/>
      <c r="AS36" s="9"/>
      <c r="AT36" s="9"/>
      <c r="AU36" s="377"/>
    </row>
    <row r="37" spans="1:53" ht="15" customHeight="1" x14ac:dyDescent="0.25">
      <c r="A37" s="165"/>
      <c r="B37" s="9"/>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9"/>
      <c r="AD37" s="9"/>
      <c r="AE37" s="9"/>
      <c r="AF37" s="9"/>
      <c r="AG37" s="9"/>
      <c r="AH37" s="9"/>
      <c r="AI37" s="9"/>
      <c r="AJ37" s="9"/>
      <c r="AK37" s="9"/>
      <c r="AL37" s="9"/>
      <c r="AM37" s="9"/>
      <c r="AN37" s="9"/>
      <c r="AO37" s="9"/>
      <c r="AP37" s="9"/>
      <c r="AQ37" s="9"/>
      <c r="AR37" s="9"/>
      <c r="AS37" s="9"/>
      <c r="AT37" s="9"/>
      <c r="AU37" s="165"/>
    </row>
    <row r="38" spans="1:53" ht="15" customHeight="1" x14ac:dyDescent="0.25">
      <c r="A38" s="165"/>
      <c r="B38" s="9"/>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9"/>
      <c r="AD38" s="9"/>
      <c r="AE38" s="9"/>
      <c r="AF38" s="9"/>
      <c r="AG38" s="9"/>
      <c r="AH38" s="9"/>
      <c r="AI38" s="9"/>
      <c r="AJ38" s="9"/>
      <c r="AK38" s="9"/>
      <c r="AL38" s="9"/>
      <c r="AM38" s="9"/>
      <c r="AN38" s="9"/>
      <c r="AO38" s="9"/>
      <c r="AP38" s="9"/>
      <c r="AQ38" s="9"/>
      <c r="AR38" s="9"/>
      <c r="AS38" s="9"/>
      <c r="AT38" s="9"/>
      <c r="AU38" s="165"/>
    </row>
    <row r="39" spans="1:53" ht="15" customHeight="1" x14ac:dyDescent="0.25">
      <c r="A39" s="165"/>
      <c r="B39" s="9"/>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9"/>
      <c r="AD39" s="9"/>
      <c r="AE39" s="9"/>
      <c r="AF39" s="9"/>
      <c r="AG39" s="9"/>
      <c r="AH39" s="9"/>
      <c r="AI39" s="9"/>
      <c r="AJ39" s="9"/>
      <c r="AK39" s="9"/>
      <c r="AL39" s="9"/>
      <c r="AM39" s="9"/>
      <c r="AN39" s="9"/>
      <c r="AO39" s="9"/>
      <c r="AP39" s="9"/>
      <c r="AQ39" s="9"/>
      <c r="AR39" s="9"/>
      <c r="AS39" s="9"/>
      <c r="AT39" s="9"/>
      <c r="AU39" s="165"/>
    </row>
    <row r="40" spans="1:53" ht="15" customHeight="1" x14ac:dyDescent="0.25">
      <c r="A40" s="160"/>
      <c r="B40" s="9"/>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9"/>
      <c r="AD40" s="9"/>
      <c r="AE40" s="9"/>
      <c r="AF40" s="9"/>
      <c r="AG40" s="9"/>
      <c r="AH40" s="9"/>
      <c r="AI40" s="9"/>
      <c r="AJ40" s="9"/>
      <c r="AK40" s="9"/>
      <c r="AL40" s="9"/>
      <c r="AM40" s="9"/>
      <c r="AN40" s="9"/>
      <c r="AO40" s="9"/>
      <c r="AP40" s="9"/>
      <c r="AQ40" s="9"/>
      <c r="AR40" s="9"/>
      <c r="AS40" s="9"/>
      <c r="AT40" s="9"/>
      <c r="AU40" s="160"/>
    </row>
    <row r="41" spans="1:53" ht="15" customHeight="1" x14ac:dyDescent="0.25">
      <c r="A41" s="160"/>
      <c r="B41" s="9"/>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9"/>
      <c r="AD41" s="9"/>
      <c r="AE41" s="9"/>
      <c r="AF41" s="9"/>
      <c r="AG41" s="9"/>
      <c r="AH41" s="9"/>
      <c r="AI41" s="9"/>
      <c r="AJ41" s="9"/>
      <c r="AK41" s="9"/>
      <c r="AL41" s="9"/>
      <c r="AM41" s="9"/>
      <c r="AN41" s="9"/>
      <c r="AO41" s="9"/>
      <c r="AP41" s="9"/>
      <c r="AQ41" s="9"/>
      <c r="AR41" s="9"/>
      <c r="AS41" s="9"/>
      <c r="AT41" s="9"/>
      <c r="AU41" s="160"/>
    </row>
    <row r="42" spans="1:53" ht="15" customHeight="1" x14ac:dyDescent="0.25">
      <c r="A42" s="160"/>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160"/>
    </row>
    <row r="43" spans="1:53" ht="15" customHeight="1" x14ac:dyDescent="0.25">
      <c r="A43" s="160"/>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160"/>
    </row>
    <row r="44" spans="1:53" s="353" customFormat="1" ht="15" customHeight="1" x14ac:dyDescent="0.25">
      <c r="A44" s="168"/>
      <c r="B44" s="168"/>
      <c r="C44" s="168"/>
      <c r="D44" s="168"/>
      <c r="E44" s="168"/>
      <c r="F44" s="168"/>
      <c r="G44" s="168"/>
      <c r="H44" s="168"/>
      <c r="I44" s="168"/>
      <c r="J44" s="168"/>
      <c r="K44" s="457"/>
      <c r="L44" s="457"/>
      <c r="M44" s="457"/>
      <c r="N44" s="457"/>
      <c r="O44" s="457"/>
      <c r="P44" s="457"/>
      <c r="Q44" s="457"/>
      <c r="R44" s="457"/>
      <c r="S44" s="457"/>
      <c r="T44" s="457"/>
      <c r="U44" s="457"/>
      <c r="V44" s="457"/>
      <c r="W44" s="457"/>
      <c r="X44" s="457"/>
      <c r="Y44" s="457"/>
      <c r="Z44" s="457"/>
      <c r="AA44" s="457"/>
      <c r="AB44" s="457"/>
      <c r="AC44" s="44"/>
      <c r="AD44" s="44"/>
      <c r="AE44" s="44"/>
      <c r="AF44" s="44"/>
      <c r="AG44" s="44"/>
      <c r="AH44" s="44"/>
      <c r="AI44" s="44"/>
      <c r="AJ44" s="44"/>
      <c r="AK44" s="44"/>
      <c r="AL44" s="44"/>
      <c r="AM44" s="44"/>
      <c r="AN44" s="44"/>
      <c r="AO44" s="44"/>
      <c r="AP44" s="44"/>
      <c r="AQ44" s="44"/>
      <c r="AR44" s="44"/>
      <c r="AS44" s="44"/>
      <c r="AT44" s="44"/>
      <c r="AU44" s="168"/>
      <c r="AV44" s="331"/>
      <c r="AW44" s="331"/>
      <c r="AX44" s="331"/>
      <c r="AY44" s="331"/>
      <c r="AZ44" s="331"/>
      <c r="BA44" s="331"/>
    </row>
    <row r="45" spans="1:53" ht="15" customHeight="1" x14ac:dyDescent="0.25">
      <c r="A45" s="173" t="str">
        <f>DISCLAIMER!$A$35</f>
        <v>© 2025 by WinsWithMike.com or Michael Forsberg Nampa, Idaho. All rights reserved</v>
      </c>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353"/>
      <c r="AW45" s="353"/>
      <c r="AX45" s="353"/>
      <c r="AY45" s="353"/>
      <c r="AZ45" s="353"/>
      <c r="BA45" s="353"/>
    </row>
  </sheetData>
  <sheetProtection sheet="1" objects="1" scenarios="1" selectLockedCells="1"/>
  <dataConsolidate/>
  <mergeCells count="112">
    <mergeCell ref="N17:P17"/>
    <mergeCell ref="K20:P20"/>
    <mergeCell ref="K13:P13"/>
    <mergeCell ref="K23:M23"/>
    <mergeCell ref="N23:P23"/>
    <mergeCell ref="N24:P24"/>
    <mergeCell ref="K24:M24"/>
    <mergeCell ref="Q23:S23"/>
    <mergeCell ref="H24:J24"/>
    <mergeCell ref="K16:M16"/>
    <mergeCell ref="K17:M17"/>
    <mergeCell ref="N16:P16"/>
    <mergeCell ref="H27:J27"/>
    <mergeCell ref="B13:G13"/>
    <mergeCell ref="B20:G20"/>
    <mergeCell ref="H16:J16"/>
    <mergeCell ref="H17:J17"/>
    <mergeCell ref="H23:J23"/>
    <mergeCell ref="B25:D25"/>
    <mergeCell ref="E25:G25"/>
    <mergeCell ref="H25:J25"/>
    <mergeCell ref="B23:D23"/>
    <mergeCell ref="B24:D24"/>
    <mergeCell ref="E23:G23"/>
    <mergeCell ref="E24:G24"/>
    <mergeCell ref="B16:D16"/>
    <mergeCell ref="E16:G16"/>
    <mergeCell ref="E17:G17"/>
    <mergeCell ref="B17:D17"/>
    <mergeCell ref="H13:J13"/>
    <mergeCell ref="H20:J20"/>
    <mergeCell ref="AL16:AN16"/>
    <mergeCell ref="AL17:AN17"/>
    <mergeCell ref="AO16:AQ16"/>
    <mergeCell ref="AO17:AQ17"/>
    <mergeCell ref="AC24:AE24"/>
    <mergeCell ref="Q13:S13"/>
    <mergeCell ref="Q20:S20"/>
    <mergeCell ref="AF13:AH13"/>
    <mergeCell ref="AI13:AN13"/>
    <mergeCell ref="AF20:AH20"/>
    <mergeCell ref="AI20:AN20"/>
    <mergeCell ref="AF23:AH23"/>
    <mergeCell ref="AF24:AH24"/>
    <mergeCell ref="Q24:S24"/>
    <mergeCell ref="T23:V23"/>
    <mergeCell ref="T24:V24"/>
    <mergeCell ref="Z16:AB16"/>
    <mergeCell ref="Z17:AB17"/>
    <mergeCell ref="Z23:AB23"/>
    <mergeCell ref="Z24:AB24"/>
    <mergeCell ref="Q16:S16"/>
    <mergeCell ref="Q17:S17"/>
    <mergeCell ref="T16:V16"/>
    <mergeCell ref="T17:V17"/>
    <mergeCell ref="AR25:AT25"/>
    <mergeCell ref="AR17:AT17"/>
    <mergeCell ref="AR16:AT16"/>
    <mergeCell ref="Z8:AB8"/>
    <mergeCell ref="Z9:AB9"/>
    <mergeCell ref="AI23:AK23"/>
    <mergeCell ref="AI24:AK24"/>
    <mergeCell ref="AL23:AN23"/>
    <mergeCell ref="AL24:AN24"/>
    <mergeCell ref="AC16:AE16"/>
    <mergeCell ref="AC17:AE17"/>
    <mergeCell ref="Z20:AE20"/>
    <mergeCell ref="Z13:AE13"/>
    <mergeCell ref="AC23:AE23"/>
    <mergeCell ref="Z18:AB18"/>
    <mergeCell ref="Z25:AB25"/>
    <mergeCell ref="AR23:AT23"/>
    <mergeCell ref="AR24:AT24"/>
    <mergeCell ref="AR8:AT8"/>
    <mergeCell ref="AR9:AT9"/>
    <mergeCell ref="AO23:AQ23"/>
    <mergeCell ref="AO24:AQ24"/>
    <mergeCell ref="AO13:AQ13"/>
    <mergeCell ref="AO20:AQ20"/>
    <mergeCell ref="AQ5:AT5"/>
    <mergeCell ref="B18:D18"/>
    <mergeCell ref="E18:G18"/>
    <mergeCell ref="H18:J18"/>
    <mergeCell ref="K18:M18"/>
    <mergeCell ref="N18:P18"/>
    <mergeCell ref="Q18:S18"/>
    <mergeCell ref="T18:V18"/>
    <mergeCell ref="AC18:AE18"/>
    <mergeCell ref="AF18:AH18"/>
    <mergeCell ref="AI18:AK18"/>
    <mergeCell ref="AL18:AN18"/>
    <mergeCell ref="AO18:AQ18"/>
    <mergeCell ref="S9:U9"/>
    <mergeCell ref="J8:L8"/>
    <mergeCell ref="J9:L9"/>
    <mergeCell ref="AK8:AM8"/>
    <mergeCell ref="AK9:AM9"/>
    <mergeCell ref="AR18:AT18"/>
    <mergeCell ref="S8:U8"/>
    <mergeCell ref="AF16:AH16"/>
    <mergeCell ref="AF17:AH17"/>
    <mergeCell ref="AI16:AK16"/>
    <mergeCell ref="AI17:AK17"/>
    <mergeCell ref="AC25:AE25"/>
    <mergeCell ref="AF25:AH25"/>
    <mergeCell ref="AI25:AK25"/>
    <mergeCell ref="AL25:AN25"/>
    <mergeCell ref="AO25:AQ25"/>
    <mergeCell ref="K25:M25"/>
    <mergeCell ref="N25:P25"/>
    <mergeCell ref="Q25:S25"/>
    <mergeCell ref="T25:V25"/>
  </mergeCells>
  <dataValidations count="6">
    <dataValidation type="decimal" operator="greaterThanOrEqual" allowBlank="1" showInputMessage="1" showErrorMessage="1" sqref="AF20 H20 H13 Q13 AF13 AO13 Q20 AO20" xr:uid="{98DA42C2-60C4-4C7B-8F1B-9BFF32044682}">
      <formula1>0</formula1>
    </dataValidation>
    <dataValidation allowBlank="1" showInputMessage="1" showErrorMessage="1" promptTitle="Cap Rate" prompt="= Net Operating Income / (Purchase Price + Repair Costs)_x000a_" sqref="T15:V15" xr:uid="{3DA332D6-BA3A-4714-B718-79FFCEC80673}"/>
    <dataValidation allowBlank="1" showInputMessage="1" showErrorMessage="1" promptTitle="Cash Flow" prompt="Net Cash Flow after CAPEX and debt service (Year 1)_x000a_" sqref="T22:V22" xr:uid="{C8956FF7-7C01-4310-8450-99FAEC044953}"/>
    <dataValidation allowBlank="1" showInputMessage="1" showErrorMessage="1" promptTitle="Cash On Cash Return" prompt="= Annual Cash Flow (Year 1) / Initial Cash Investment" sqref="AR15:AT15" xr:uid="{13F05EEA-51B3-4F2C-92E3-94643A3C04AB}"/>
    <dataValidation allowBlank="1" showInputMessage="1" showErrorMessage="1" promptTitle="Internal Rate of Return" prompt="Internal rate of return of your project based on levered cash flows and investments (i.e. after bank financing and interest expense). It gives an indication of a project's final profitability post-leveraging." sqref="AR22:AT22" xr:uid="{4D038653-E292-4AA3-987A-00B83337F2A6}"/>
    <dataValidation type="list" allowBlank="1" showInputMessage="1" showErrorMessage="1" sqref="H27" xr:uid="{D78788A3-CEB5-4BC5-AF42-734A1D109734}">
      <formula1>N27:N29</formula1>
    </dataValidation>
  </dataValidations>
  <pageMargins left="0.25" right="0.25" top="0.75" bottom="0.75" header="0.3" footer="0.3"/>
  <pageSetup scale="73" fitToHeight="0" orientation="portrait" r:id="rId1"/>
  <colBreaks count="1" manualBreakCount="1">
    <brk id="4" min="3" max="44" man="1"/>
  </colBreaks>
  <drawing r:id="rId2"/>
  <extLst>
    <ext xmlns:x14="http://schemas.microsoft.com/office/spreadsheetml/2009/9/main" uri="{78C0D931-6437-407d-A8EE-F0AAD7539E65}">
      <x14:conditionalFormattings>
        <x14:conditionalFormatting xmlns:xm="http://schemas.microsoft.com/office/excel/2006/main">
          <x14:cfRule type="expression" priority="2148" id="{A0360D31-E7FC-43D1-90E9-A44C34E4BEF8}">
            <xm:f>DASHBOARD!$L$140&lt;&gt;0</xm:f>
            <x14:dxf>
              <font>
                <b val="0"/>
                <i/>
                <color theme="1" tint="0.499984740745262"/>
              </font>
            </x14:dxf>
          </x14:cfRule>
          <xm:sqref>AC44:AT44</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73B69-BF25-41B2-94DB-37DD353D5A06}">
  <sheetPr codeName="Sheet38"/>
  <dimension ref="A1:ALS29"/>
  <sheetViews>
    <sheetView workbookViewId="0">
      <pane ySplit="4" topLeftCell="A5" activePane="bottomLeft" state="frozen"/>
      <selection pane="bottomLeft" activeCell="G1" sqref="G1"/>
    </sheetView>
  </sheetViews>
  <sheetFormatPr defaultRowHeight="14.4" x14ac:dyDescent="0.3"/>
  <cols>
    <col min="1" max="1" width="8.21875" customWidth="1"/>
    <col min="2" max="2" width="6.44140625" bestFit="1" customWidth="1"/>
    <col min="3" max="3" width="10.5546875" bestFit="1" customWidth="1"/>
    <col min="4" max="6" width="9.5546875" bestFit="1" customWidth="1"/>
    <col min="7" max="15" width="7.77734375" bestFit="1" customWidth="1"/>
    <col min="16" max="105" width="8.77734375" bestFit="1" customWidth="1"/>
    <col min="106" max="1005" width="9.77734375" bestFit="1" customWidth="1"/>
    <col min="1006" max="1006" width="10.77734375" bestFit="1" customWidth="1"/>
  </cols>
  <sheetData>
    <row r="1" spans="1:1007" s="1870" customFormat="1" ht="27.6" x14ac:dyDescent="0.3">
      <c r="A1" s="1870" t="s">
        <v>2226</v>
      </c>
      <c r="D1" s="2003" t="s">
        <v>2220</v>
      </c>
      <c r="E1" s="2003" t="s">
        <v>2221</v>
      </c>
      <c r="F1" s="2003" t="s">
        <v>2222</v>
      </c>
    </row>
    <row r="2" spans="1:1007" s="1870" customFormat="1" ht="15.6" x14ac:dyDescent="0.3">
      <c r="C2" s="1874">
        <f>IFERROR(COUNTIF(D5:D997,"&gt;0"),0)</f>
        <v>0</v>
      </c>
      <c r="D2" s="2004">
        <f>IFERROR(SUM($D$5:$D$997)/C2,0)</f>
        <v>0</v>
      </c>
      <c r="E2" s="2004">
        <f>IFERROR(SUM($E$5:$E$997)/C2,0)</f>
        <v>0</v>
      </c>
      <c r="F2" s="2004">
        <f>IFERROR(SUM($F$5:$F$997)/C2,0)</f>
        <v>0</v>
      </c>
    </row>
    <row r="3" spans="1:1007" s="1870" customFormat="1" ht="15.6" x14ac:dyDescent="0.3"/>
    <row r="4" spans="1:1007" s="1856" customFormat="1" x14ac:dyDescent="0.3">
      <c r="A4" s="1851" t="s">
        <v>1220</v>
      </c>
      <c r="B4" s="1851" t="s">
        <v>1215</v>
      </c>
      <c r="C4" s="1851" t="s">
        <v>1217</v>
      </c>
      <c r="D4" s="1851" t="s">
        <v>570</v>
      </c>
      <c r="E4" s="1851" t="s">
        <v>352</v>
      </c>
      <c r="F4" s="1851" t="s">
        <v>353</v>
      </c>
      <c r="G4" s="1851" t="s">
        <v>1219</v>
      </c>
      <c r="H4" s="1851" t="s">
        <v>1221</v>
      </c>
      <c r="I4" s="1851" t="s">
        <v>1222</v>
      </c>
      <c r="J4" s="1851" t="s">
        <v>1223</v>
      </c>
      <c r="K4" s="1851" t="s">
        <v>1224</v>
      </c>
      <c r="L4" s="1851" t="s">
        <v>1225</v>
      </c>
      <c r="M4" s="1851" t="s">
        <v>1226</v>
      </c>
      <c r="N4" s="1851" t="s">
        <v>1227</v>
      </c>
      <c r="O4" s="1851" t="s">
        <v>1228</v>
      </c>
      <c r="P4" s="1851" t="s">
        <v>1229</v>
      </c>
      <c r="Q4" s="1851" t="s">
        <v>1230</v>
      </c>
      <c r="R4" s="1851" t="s">
        <v>1231</v>
      </c>
      <c r="S4" s="1851" t="s">
        <v>1232</v>
      </c>
      <c r="T4" s="1851" t="s">
        <v>1233</v>
      </c>
      <c r="U4" s="1851" t="s">
        <v>1234</v>
      </c>
      <c r="V4" s="1851" t="s">
        <v>1235</v>
      </c>
      <c r="W4" s="1851" t="s">
        <v>1236</v>
      </c>
      <c r="X4" s="1851" t="s">
        <v>1237</v>
      </c>
      <c r="Y4" s="1851" t="s">
        <v>1238</v>
      </c>
      <c r="Z4" s="1851" t="s">
        <v>1239</v>
      </c>
      <c r="AA4" s="1851" t="s">
        <v>1240</v>
      </c>
      <c r="AB4" s="1851" t="s">
        <v>1241</v>
      </c>
      <c r="AC4" s="1851" t="s">
        <v>1242</v>
      </c>
      <c r="AD4" s="1851" t="s">
        <v>1243</v>
      </c>
      <c r="AE4" s="1851" t="s">
        <v>1244</v>
      </c>
      <c r="AF4" s="1851" t="s">
        <v>1245</v>
      </c>
      <c r="AG4" s="1851" t="s">
        <v>1246</v>
      </c>
      <c r="AH4" s="1851" t="s">
        <v>1247</v>
      </c>
      <c r="AI4" s="1851" t="s">
        <v>1248</v>
      </c>
      <c r="AJ4" s="1851" t="s">
        <v>1249</v>
      </c>
      <c r="AK4" s="1851" t="s">
        <v>1250</v>
      </c>
      <c r="AL4" s="1851" t="s">
        <v>1251</v>
      </c>
      <c r="AM4" s="1851" t="s">
        <v>1252</v>
      </c>
      <c r="AN4" s="1851" t="s">
        <v>1253</v>
      </c>
      <c r="AO4" s="1851" t="s">
        <v>1254</v>
      </c>
      <c r="AP4" s="1851" t="s">
        <v>1255</v>
      </c>
      <c r="AQ4" s="1851" t="s">
        <v>1256</v>
      </c>
      <c r="AR4" s="1851" t="s">
        <v>1257</v>
      </c>
      <c r="AS4" s="1851" t="s">
        <v>1258</v>
      </c>
      <c r="AT4" s="1851" t="s">
        <v>1259</v>
      </c>
      <c r="AU4" s="1851" t="s">
        <v>1260</v>
      </c>
      <c r="AV4" s="1851" t="s">
        <v>1261</v>
      </c>
      <c r="AW4" s="1851" t="s">
        <v>1262</v>
      </c>
      <c r="AX4" s="1851" t="s">
        <v>1263</v>
      </c>
      <c r="AY4" s="1851" t="s">
        <v>1264</v>
      </c>
      <c r="AZ4" s="1851" t="s">
        <v>1265</v>
      </c>
      <c r="BA4" s="1851" t="s">
        <v>1266</v>
      </c>
      <c r="BB4" s="1851" t="s">
        <v>1267</v>
      </c>
      <c r="BC4" s="1851" t="s">
        <v>1268</v>
      </c>
      <c r="BD4" s="1851" t="s">
        <v>1269</v>
      </c>
      <c r="BE4" s="1851" t="s">
        <v>1270</v>
      </c>
      <c r="BF4" s="1851" t="s">
        <v>1271</v>
      </c>
      <c r="BG4" s="1851" t="s">
        <v>1272</v>
      </c>
      <c r="BH4" s="1851" t="s">
        <v>1273</v>
      </c>
      <c r="BI4" s="1851" t="s">
        <v>1274</v>
      </c>
      <c r="BJ4" s="1851" t="s">
        <v>1275</v>
      </c>
      <c r="BK4" s="1851" t="s">
        <v>1276</v>
      </c>
      <c r="BL4" s="1851" t="s">
        <v>1277</v>
      </c>
      <c r="BM4" s="1851" t="s">
        <v>1278</v>
      </c>
      <c r="BN4" s="1851" t="s">
        <v>1279</v>
      </c>
      <c r="BO4" s="1851" t="s">
        <v>1280</v>
      </c>
      <c r="BP4" s="1851" t="s">
        <v>1281</v>
      </c>
      <c r="BQ4" s="1851" t="s">
        <v>1282</v>
      </c>
      <c r="BR4" s="1851" t="s">
        <v>1283</v>
      </c>
      <c r="BS4" s="1851" t="s">
        <v>1284</v>
      </c>
      <c r="BT4" s="1851" t="s">
        <v>1285</v>
      </c>
      <c r="BU4" s="1851" t="s">
        <v>1286</v>
      </c>
      <c r="BV4" s="1851" t="s">
        <v>1287</v>
      </c>
      <c r="BW4" s="1851" t="s">
        <v>1288</v>
      </c>
      <c r="BX4" s="1851" t="s">
        <v>1289</v>
      </c>
      <c r="BY4" s="1851" t="s">
        <v>1290</v>
      </c>
      <c r="BZ4" s="1851" t="s">
        <v>1291</v>
      </c>
      <c r="CA4" s="1851" t="s">
        <v>1292</v>
      </c>
      <c r="CB4" s="1851" t="s">
        <v>1293</v>
      </c>
      <c r="CC4" s="1851" t="s">
        <v>1294</v>
      </c>
      <c r="CD4" s="1851" t="s">
        <v>1295</v>
      </c>
      <c r="CE4" s="1851" t="s">
        <v>1296</v>
      </c>
      <c r="CF4" s="1851" t="s">
        <v>1297</v>
      </c>
      <c r="CG4" s="1851" t="s">
        <v>1298</v>
      </c>
      <c r="CH4" s="1851" t="s">
        <v>1299</v>
      </c>
      <c r="CI4" s="1851" t="s">
        <v>1300</v>
      </c>
      <c r="CJ4" s="1851" t="s">
        <v>1301</v>
      </c>
      <c r="CK4" s="1851" t="s">
        <v>1302</v>
      </c>
      <c r="CL4" s="1851" t="s">
        <v>1303</v>
      </c>
      <c r="CM4" s="1851" t="s">
        <v>1304</v>
      </c>
      <c r="CN4" s="1851" t="s">
        <v>1305</v>
      </c>
      <c r="CO4" s="1851" t="s">
        <v>1306</v>
      </c>
      <c r="CP4" s="1851" t="s">
        <v>1307</v>
      </c>
      <c r="CQ4" s="1851" t="s">
        <v>1308</v>
      </c>
      <c r="CR4" s="1851" t="s">
        <v>1309</v>
      </c>
      <c r="CS4" s="1851" t="s">
        <v>1310</v>
      </c>
      <c r="CT4" s="1851" t="s">
        <v>1311</v>
      </c>
      <c r="CU4" s="1851" t="s">
        <v>1312</v>
      </c>
      <c r="CV4" s="1851" t="s">
        <v>1313</v>
      </c>
      <c r="CW4" s="1851" t="s">
        <v>1314</v>
      </c>
      <c r="CX4" s="1851" t="s">
        <v>1315</v>
      </c>
      <c r="CY4" s="1851" t="s">
        <v>1316</v>
      </c>
      <c r="CZ4" s="1851" t="s">
        <v>1317</v>
      </c>
      <c r="DA4" s="1851" t="s">
        <v>1318</v>
      </c>
      <c r="DB4" s="1851" t="s">
        <v>1319</v>
      </c>
      <c r="DC4" s="1851" t="s">
        <v>1320</v>
      </c>
      <c r="DD4" s="1851" t="s">
        <v>1321</v>
      </c>
      <c r="DE4" s="1851" t="s">
        <v>1322</v>
      </c>
      <c r="DF4" s="1851" t="s">
        <v>1323</v>
      </c>
      <c r="DG4" s="1851" t="s">
        <v>1324</v>
      </c>
      <c r="DH4" s="1851" t="s">
        <v>1325</v>
      </c>
      <c r="DI4" s="1851" t="s">
        <v>1326</v>
      </c>
      <c r="DJ4" s="1851" t="s">
        <v>1327</v>
      </c>
      <c r="DK4" s="1851" t="s">
        <v>1328</v>
      </c>
      <c r="DL4" s="1851" t="s">
        <v>1329</v>
      </c>
      <c r="DM4" s="1851" t="s">
        <v>1330</v>
      </c>
      <c r="DN4" s="1851" t="s">
        <v>1331</v>
      </c>
      <c r="DO4" s="1851" t="s">
        <v>1332</v>
      </c>
      <c r="DP4" s="1851" t="s">
        <v>1333</v>
      </c>
      <c r="DQ4" s="1851" t="s">
        <v>1334</v>
      </c>
      <c r="DR4" s="1851" t="s">
        <v>1335</v>
      </c>
      <c r="DS4" s="1851" t="s">
        <v>1336</v>
      </c>
      <c r="DT4" s="1851" t="s">
        <v>1337</v>
      </c>
      <c r="DU4" s="1851" t="s">
        <v>1338</v>
      </c>
      <c r="DV4" s="1851" t="s">
        <v>1339</v>
      </c>
      <c r="DW4" s="1851" t="s">
        <v>1340</v>
      </c>
      <c r="DX4" s="1851" t="s">
        <v>1341</v>
      </c>
      <c r="DY4" s="1851" t="s">
        <v>1342</v>
      </c>
      <c r="DZ4" s="1851" t="s">
        <v>1343</v>
      </c>
      <c r="EA4" s="1851" t="s">
        <v>1344</v>
      </c>
      <c r="EB4" s="1851" t="s">
        <v>1345</v>
      </c>
      <c r="EC4" s="1851" t="s">
        <v>1346</v>
      </c>
      <c r="ED4" s="1851" t="s">
        <v>1347</v>
      </c>
      <c r="EE4" s="1851" t="s">
        <v>1348</v>
      </c>
      <c r="EF4" s="1851" t="s">
        <v>1349</v>
      </c>
      <c r="EG4" s="1851" t="s">
        <v>1350</v>
      </c>
      <c r="EH4" s="1851" t="s">
        <v>1351</v>
      </c>
      <c r="EI4" s="1851" t="s">
        <v>1352</v>
      </c>
      <c r="EJ4" s="1851" t="s">
        <v>1353</v>
      </c>
      <c r="EK4" s="1851" t="s">
        <v>1354</v>
      </c>
      <c r="EL4" s="1851" t="s">
        <v>1355</v>
      </c>
      <c r="EM4" s="1851" t="s">
        <v>1356</v>
      </c>
      <c r="EN4" s="1851" t="s">
        <v>1357</v>
      </c>
      <c r="EO4" s="1851" t="s">
        <v>1358</v>
      </c>
      <c r="EP4" s="1851" t="s">
        <v>1359</v>
      </c>
      <c r="EQ4" s="1851" t="s">
        <v>1360</v>
      </c>
      <c r="ER4" s="1851" t="s">
        <v>1361</v>
      </c>
      <c r="ES4" s="1851" t="s">
        <v>1362</v>
      </c>
      <c r="ET4" s="1851" t="s">
        <v>1363</v>
      </c>
      <c r="EU4" s="1851" t="s">
        <v>1364</v>
      </c>
      <c r="EV4" s="1851" t="s">
        <v>1365</v>
      </c>
      <c r="EW4" s="1851" t="s">
        <v>1366</v>
      </c>
      <c r="EX4" s="1851" t="s">
        <v>1367</v>
      </c>
      <c r="EY4" s="1851" t="s">
        <v>1368</v>
      </c>
      <c r="EZ4" s="1851" t="s">
        <v>1369</v>
      </c>
      <c r="FA4" s="1851" t="s">
        <v>1370</v>
      </c>
      <c r="FB4" s="1851" t="s">
        <v>1371</v>
      </c>
      <c r="FC4" s="1851" t="s">
        <v>1372</v>
      </c>
      <c r="FD4" s="1851" t="s">
        <v>1373</v>
      </c>
      <c r="FE4" s="1851" t="s">
        <v>1374</v>
      </c>
      <c r="FF4" s="1851" t="s">
        <v>1375</v>
      </c>
      <c r="FG4" s="1851" t="s">
        <v>1376</v>
      </c>
      <c r="FH4" s="1851" t="s">
        <v>1377</v>
      </c>
      <c r="FI4" s="1851" t="s">
        <v>1378</v>
      </c>
      <c r="FJ4" s="1851" t="s">
        <v>1379</v>
      </c>
      <c r="FK4" s="1851" t="s">
        <v>1380</v>
      </c>
      <c r="FL4" s="1851" t="s">
        <v>1381</v>
      </c>
      <c r="FM4" s="1851" t="s">
        <v>1382</v>
      </c>
      <c r="FN4" s="1851" t="s">
        <v>1383</v>
      </c>
      <c r="FO4" s="1851" t="s">
        <v>1384</v>
      </c>
      <c r="FP4" s="1851" t="s">
        <v>1385</v>
      </c>
      <c r="FQ4" s="1851" t="s">
        <v>1386</v>
      </c>
      <c r="FR4" s="1851" t="s">
        <v>1387</v>
      </c>
      <c r="FS4" s="1851" t="s">
        <v>1388</v>
      </c>
      <c r="FT4" s="1851" t="s">
        <v>1389</v>
      </c>
      <c r="FU4" s="1851" t="s">
        <v>1390</v>
      </c>
      <c r="FV4" s="1851" t="s">
        <v>1391</v>
      </c>
      <c r="FW4" s="1851" t="s">
        <v>1392</v>
      </c>
      <c r="FX4" s="1851" t="s">
        <v>1393</v>
      </c>
      <c r="FY4" s="1851" t="s">
        <v>1394</v>
      </c>
      <c r="FZ4" s="1851" t="s">
        <v>1395</v>
      </c>
      <c r="GA4" s="1851" t="s">
        <v>1396</v>
      </c>
      <c r="GB4" s="1851" t="s">
        <v>1397</v>
      </c>
      <c r="GC4" s="1851" t="s">
        <v>1398</v>
      </c>
      <c r="GD4" s="1851" t="s">
        <v>1399</v>
      </c>
      <c r="GE4" s="1851" t="s">
        <v>1400</v>
      </c>
      <c r="GF4" s="1851" t="s">
        <v>1401</v>
      </c>
      <c r="GG4" s="1851" t="s">
        <v>1402</v>
      </c>
      <c r="GH4" s="1851" t="s">
        <v>1403</v>
      </c>
      <c r="GI4" s="1851" t="s">
        <v>1404</v>
      </c>
      <c r="GJ4" s="1851" t="s">
        <v>1405</v>
      </c>
      <c r="GK4" s="1851" t="s">
        <v>1406</v>
      </c>
      <c r="GL4" s="1851" t="s">
        <v>1407</v>
      </c>
      <c r="GM4" s="1851" t="s">
        <v>1408</v>
      </c>
      <c r="GN4" s="1851" t="s">
        <v>1409</v>
      </c>
      <c r="GO4" s="1851" t="s">
        <v>1410</v>
      </c>
      <c r="GP4" s="1851" t="s">
        <v>1411</v>
      </c>
      <c r="GQ4" s="1851" t="s">
        <v>1412</v>
      </c>
      <c r="GR4" s="1851" t="s">
        <v>1413</v>
      </c>
      <c r="GS4" s="1851" t="s">
        <v>1414</v>
      </c>
      <c r="GT4" s="1851" t="s">
        <v>1415</v>
      </c>
      <c r="GU4" s="1851" t="s">
        <v>1416</v>
      </c>
      <c r="GV4" s="1851" t="s">
        <v>1417</v>
      </c>
      <c r="GW4" s="1851" t="s">
        <v>1418</v>
      </c>
      <c r="GX4" s="1851" t="s">
        <v>1419</v>
      </c>
      <c r="GY4" s="1851" t="s">
        <v>1420</v>
      </c>
      <c r="GZ4" s="1851" t="s">
        <v>1421</v>
      </c>
      <c r="HA4" s="1851" t="s">
        <v>1422</v>
      </c>
      <c r="HB4" s="1851" t="s">
        <v>1423</v>
      </c>
      <c r="HC4" s="1851" t="s">
        <v>1424</v>
      </c>
      <c r="HD4" s="1851" t="s">
        <v>1425</v>
      </c>
      <c r="HE4" s="1851" t="s">
        <v>1426</v>
      </c>
      <c r="HF4" s="1851" t="s">
        <v>1427</v>
      </c>
      <c r="HG4" s="1851" t="s">
        <v>1428</v>
      </c>
      <c r="HH4" s="1851" t="s">
        <v>1429</v>
      </c>
      <c r="HI4" s="1851" t="s">
        <v>1430</v>
      </c>
      <c r="HJ4" s="1851" t="s">
        <v>1431</v>
      </c>
      <c r="HK4" s="1851" t="s">
        <v>1432</v>
      </c>
      <c r="HL4" s="1851" t="s">
        <v>1433</v>
      </c>
      <c r="HM4" s="1851" t="s">
        <v>1434</v>
      </c>
      <c r="HN4" s="1851" t="s">
        <v>1435</v>
      </c>
      <c r="HO4" s="1851" t="s">
        <v>1436</v>
      </c>
      <c r="HP4" s="1851" t="s">
        <v>1437</v>
      </c>
      <c r="HQ4" s="1851" t="s">
        <v>1438</v>
      </c>
      <c r="HR4" s="1851" t="s">
        <v>1439</v>
      </c>
      <c r="HS4" s="1851" t="s">
        <v>1440</v>
      </c>
      <c r="HT4" s="1851" t="s">
        <v>1441</v>
      </c>
      <c r="HU4" s="1851" t="s">
        <v>1442</v>
      </c>
      <c r="HV4" s="1851" t="s">
        <v>1443</v>
      </c>
      <c r="HW4" s="1851" t="s">
        <v>1444</v>
      </c>
      <c r="HX4" s="1851" t="s">
        <v>1445</v>
      </c>
      <c r="HY4" s="1851" t="s">
        <v>1446</v>
      </c>
      <c r="HZ4" s="1851" t="s">
        <v>1447</v>
      </c>
      <c r="IA4" s="1851" t="s">
        <v>1448</v>
      </c>
      <c r="IB4" s="1851" t="s">
        <v>1449</v>
      </c>
      <c r="IC4" s="1851" t="s">
        <v>1450</v>
      </c>
      <c r="ID4" s="1851" t="s">
        <v>1451</v>
      </c>
      <c r="IE4" s="1851" t="s">
        <v>1452</v>
      </c>
      <c r="IF4" s="1851" t="s">
        <v>1453</v>
      </c>
      <c r="IG4" s="1851" t="s">
        <v>1454</v>
      </c>
      <c r="IH4" s="1851" t="s">
        <v>1455</v>
      </c>
      <c r="II4" s="1851" t="s">
        <v>1456</v>
      </c>
      <c r="IJ4" s="1851" t="s">
        <v>1457</v>
      </c>
      <c r="IK4" s="1851" t="s">
        <v>1458</v>
      </c>
      <c r="IL4" s="1851" t="s">
        <v>1459</v>
      </c>
      <c r="IM4" s="1851" t="s">
        <v>1460</v>
      </c>
      <c r="IN4" s="1851" t="s">
        <v>1461</v>
      </c>
      <c r="IO4" s="1851" t="s">
        <v>1462</v>
      </c>
      <c r="IP4" s="1851" t="s">
        <v>1463</v>
      </c>
      <c r="IQ4" s="1851" t="s">
        <v>1464</v>
      </c>
      <c r="IR4" s="1851" t="s">
        <v>1465</v>
      </c>
      <c r="IS4" s="1851" t="s">
        <v>1466</v>
      </c>
      <c r="IT4" s="1851" t="s">
        <v>1467</v>
      </c>
      <c r="IU4" s="1851" t="s">
        <v>1468</v>
      </c>
      <c r="IV4" s="1851" t="s">
        <v>1469</v>
      </c>
      <c r="IW4" s="1851" t="s">
        <v>1470</v>
      </c>
      <c r="IX4" s="1851" t="s">
        <v>1471</v>
      </c>
      <c r="IY4" s="1851" t="s">
        <v>1472</v>
      </c>
      <c r="IZ4" s="1851" t="s">
        <v>1473</v>
      </c>
      <c r="JA4" s="1851" t="s">
        <v>1474</v>
      </c>
      <c r="JB4" s="1851" t="s">
        <v>1475</v>
      </c>
      <c r="JC4" s="1851" t="s">
        <v>1476</v>
      </c>
      <c r="JD4" s="1851" t="s">
        <v>1477</v>
      </c>
      <c r="JE4" s="1851" t="s">
        <v>1478</v>
      </c>
      <c r="JF4" s="1851" t="s">
        <v>1479</v>
      </c>
      <c r="JG4" s="1851" t="s">
        <v>1480</v>
      </c>
      <c r="JH4" s="1851" t="s">
        <v>1481</v>
      </c>
      <c r="JI4" s="1851" t="s">
        <v>1482</v>
      </c>
      <c r="JJ4" s="1851" t="s">
        <v>1483</v>
      </c>
      <c r="JK4" s="1851" t="s">
        <v>1484</v>
      </c>
      <c r="JL4" s="1851" t="s">
        <v>1485</v>
      </c>
      <c r="JM4" s="1851" t="s">
        <v>1486</v>
      </c>
      <c r="JN4" s="1851" t="s">
        <v>1487</v>
      </c>
      <c r="JO4" s="1851" t="s">
        <v>1488</v>
      </c>
      <c r="JP4" s="1851" t="s">
        <v>1489</v>
      </c>
      <c r="JQ4" s="1851" t="s">
        <v>1490</v>
      </c>
      <c r="JR4" s="1851" t="s">
        <v>1491</v>
      </c>
      <c r="JS4" s="1851" t="s">
        <v>1492</v>
      </c>
      <c r="JT4" s="1851" t="s">
        <v>1493</v>
      </c>
      <c r="JU4" s="1851" t="s">
        <v>1494</v>
      </c>
      <c r="JV4" s="1851" t="s">
        <v>1495</v>
      </c>
      <c r="JW4" s="1851" t="s">
        <v>1496</v>
      </c>
      <c r="JX4" s="1851" t="s">
        <v>1497</v>
      </c>
      <c r="JY4" s="1851" t="s">
        <v>1498</v>
      </c>
      <c r="JZ4" s="1851" t="s">
        <v>1499</v>
      </c>
      <c r="KA4" s="1851" t="s">
        <v>1500</v>
      </c>
      <c r="KB4" s="1851" t="s">
        <v>1501</v>
      </c>
      <c r="KC4" s="1851" t="s">
        <v>1502</v>
      </c>
      <c r="KD4" s="1851" t="s">
        <v>1503</v>
      </c>
      <c r="KE4" s="1851" t="s">
        <v>1504</v>
      </c>
      <c r="KF4" s="1851" t="s">
        <v>1505</v>
      </c>
      <c r="KG4" s="1851" t="s">
        <v>1506</v>
      </c>
      <c r="KH4" s="1851" t="s">
        <v>1507</v>
      </c>
      <c r="KI4" s="1851" t="s">
        <v>1508</v>
      </c>
      <c r="KJ4" s="1851" t="s">
        <v>1509</v>
      </c>
      <c r="KK4" s="1851" t="s">
        <v>1510</v>
      </c>
      <c r="KL4" s="1851" t="s">
        <v>1511</v>
      </c>
      <c r="KM4" s="1851" t="s">
        <v>1512</v>
      </c>
      <c r="KN4" s="1851" t="s">
        <v>1513</v>
      </c>
      <c r="KO4" s="1851" t="s">
        <v>1514</v>
      </c>
      <c r="KP4" s="1851" t="s">
        <v>1515</v>
      </c>
      <c r="KQ4" s="1851" t="s">
        <v>1516</v>
      </c>
      <c r="KR4" s="1851" t="s">
        <v>1517</v>
      </c>
      <c r="KS4" s="1851" t="s">
        <v>1518</v>
      </c>
      <c r="KT4" s="1851" t="s">
        <v>1519</v>
      </c>
      <c r="KU4" s="1851" t="s">
        <v>1520</v>
      </c>
      <c r="KV4" s="1851" t="s">
        <v>1521</v>
      </c>
      <c r="KW4" s="1851" t="s">
        <v>1522</v>
      </c>
      <c r="KX4" s="1851" t="s">
        <v>1523</v>
      </c>
      <c r="KY4" s="1851" t="s">
        <v>1524</v>
      </c>
      <c r="KZ4" s="1851" t="s">
        <v>1525</v>
      </c>
      <c r="LA4" s="1851" t="s">
        <v>1526</v>
      </c>
      <c r="LB4" s="1851" t="s">
        <v>1527</v>
      </c>
      <c r="LC4" s="1851" t="s">
        <v>1528</v>
      </c>
      <c r="LD4" s="1851" t="s">
        <v>1529</v>
      </c>
      <c r="LE4" s="1851" t="s">
        <v>1530</v>
      </c>
      <c r="LF4" s="1851" t="s">
        <v>1531</v>
      </c>
      <c r="LG4" s="1851" t="s">
        <v>1532</v>
      </c>
      <c r="LH4" s="1851" t="s">
        <v>1533</v>
      </c>
      <c r="LI4" s="1851" t="s">
        <v>1534</v>
      </c>
      <c r="LJ4" s="1851" t="s">
        <v>1535</v>
      </c>
      <c r="LK4" s="1851" t="s">
        <v>1536</v>
      </c>
      <c r="LL4" s="1851" t="s">
        <v>1537</v>
      </c>
      <c r="LM4" s="1851" t="s">
        <v>1538</v>
      </c>
      <c r="LN4" s="1851" t="s">
        <v>1539</v>
      </c>
      <c r="LO4" s="1851" t="s">
        <v>1540</v>
      </c>
      <c r="LP4" s="1851" t="s">
        <v>1541</v>
      </c>
      <c r="LQ4" s="1851" t="s">
        <v>1542</v>
      </c>
      <c r="LR4" s="1851" t="s">
        <v>1543</v>
      </c>
      <c r="LS4" s="1851" t="s">
        <v>1544</v>
      </c>
      <c r="LT4" s="1851" t="s">
        <v>1545</v>
      </c>
      <c r="LU4" s="1851" t="s">
        <v>1546</v>
      </c>
      <c r="LV4" s="1851" t="s">
        <v>1547</v>
      </c>
      <c r="LW4" s="1851" t="s">
        <v>1548</v>
      </c>
      <c r="LX4" s="1851" t="s">
        <v>1549</v>
      </c>
      <c r="LY4" s="1851" t="s">
        <v>1550</v>
      </c>
      <c r="LZ4" s="1851" t="s">
        <v>1551</v>
      </c>
      <c r="MA4" s="1851" t="s">
        <v>1552</v>
      </c>
      <c r="MB4" s="1851" t="s">
        <v>1553</v>
      </c>
      <c r="MC4" s="1851" t="s">
        <v>1554</v>
      </c>
      <c r="MD4" s="1851" t="s">
        <v>1555</v>
      </c>
      <c r="ME4" s="1851" t="s">
        <v>1556</v>
      </c>
      <c r="MF4" s="1851" t="s">
        <v>1557</v>
      </c>
      <c r="MG4" s="1851" t="s">
        <v>1558</v>
      </c>
      <c r="MH4" s="1851" t="s">
        <v>1559</v>
      </c>
      <c r="MI4" s="1851" t="s">
        <v>1560</v>
      </c>
      <c r="MJ4" s="1851" t="s">
        <v>1561</v>
      </c>
      <c r="MK4" s="1851" t="s">
        <v>1562</v>
      </c>
      <c r="ML4" s="1851" t="s">
        <v>1563</v>
      </c>
      <c r="MM4" s="1851" t="s">
        <v>1564</v>
      </c>
      <c r="MN4" s="1851" t="s">
        <v>1565</v>
      </c>
      <c r="MO4" s="1851" t="s">
        <v>1566</v>
      </c>
      <c r="MP4" s="1851" t="s">
        <v>1567</v>
      </c>
      <c r="MQ4" s="1851" t="s">
        <v>1568</v>
      </c>
      <c r="MR4" s="1851" t="s">
        <v>1569</v>
      </c>
      <c r="MS4" s="1851" t="s">
        <v>1570</v>
      </c>
      <c r="MT4" s="1851" t="s">
        <v>1571</v>
      </c>
      <c r="MU4" s="1851" t="s">
        <v>1572</v>
      </c>
      <c r="MV4" s="1851" t="s">
        <v>1573</v>
      </c>
      <c r="MW4" s="1851" t="s">
        <v>1574</v>
      </c>
      <c r="MX4" s="1851" t="s">
        <v>1575</v>
      </c>
      <c r="MY4" s="1851" t="s">
        <v>1576</v>
      </c>
      <c r="MZ4" s="1851" t="s">
        <v>1577</v>
      </c>
      <c r="NA4" s="1851" t="s">
        <v>1578</v>
      </c>
      <c r="NB4" s="1851" t="s">
        <v>1579</v>
      </c>
      <c r="NC4" s="1851" t="s">
        <v>1580</v>
      </c>
      <c r="ND4" s="1851" t="s">
        <v>1581</v>
      </c>
      <c r="NE4" s="1851" t="s">
        <v>1582</v>
      </c>
      <c r="NF4" s="1851" t="s">
        <v>1583</v>
      </c>
      <c r="NG4" s="1851" t="s">
        <v>1584</v>
      </c>
      <c r="NH4" s="1851" t="s">
        <v>1585</v>
      </c>
      <c r="NI4" s="1851" t="s">
        <v>1586</v>
      </c>
      <c r="NJ4" s="1851" t="s">
        <v>1587</v>
      </c>
      <c r="NK4" s="1851" t="s">
        <v>1588</v>
      </c>
      <c r="NL4" s="1851" t="s">
        <v>1589</v>
      </c>
      <c r="NM4" s="1851" t="s">
        <v>1590</v>
      </c>
      <c r="NN4" s="1851" t="s">
        <v>1591</v>
      </c>
      <c r="NO4" s="1851" t="s">
        <v>1592</v>
      </c>
      <c r="NP4" s="1851" t="s">
        <v>1593</v>
      </c>
      <c r="NQ4" s="1851" t="s">
        <v>1594</v>
      </c>
      <c r="NR4" s="1851" t="s">
        <v>1595</v>
      </c>
      <c r="NS4" s="1851" t="s">
        <v>1596</v>
      </c>
      <c r="NT4" s="1851" t="s">
        <v>1597</v>
      </c>
      <c r="NU4" s="1851" t="s">
        <v>1598</v>
      </c>
      <c r="NV4" s="1851" t="s">
        <v>1599</v>
      </c>
      <c r="NW4" s="1851" t="s">
        <v>1600</v>
      </c>
      <c r="NX4" s="1851" t="s">
        <v>1601</v>
      </c>
      <c r="NY4" s="1851" t="s">
        <v>1602</v>
      </c>
      <c r="NZ4" s="1851" t="s">
        <v>1603</v>
      </c>
      <c r="OA4" s="1851" t="s">
        <v>1604</v>
      </c>
      <c r="OB4" s="1851" t="s">
        <v>1605</v>
      </c>
      <c r="OC4" s="1851" t="s">
        <v>1606</v>
      </c>
      <c r="OD4" s="1851" t="s">
        <v>1607</v>
      </c>
      <c r="OE4" s="1851" t="s">
        <v>1608</v>
      </c>
      <c r="OF4" s="1851" t="s">
        <v>1609</v>
      </c>
      <c r="OG4" s="1851" t="s">
        <v>1610</v>
      </c>
      <c r="OH4" s="1851" t="s">
        <v>1611</v>
      </c>
      <c r="OI4" s="1851" t="s">
        <v>1612</v>
      </c>
      <c r="OJ4" s="1851" t="s">
        <v>1613</v>
      </c>
      <c r="OK4" s="1851" t="s">
        <v>1614</v>
      </c>
      <c r="OL4" s="1851" t="s">
        <v>1615</v>
      </c>
      <c r="OM4" s="1851" t="s">
        <v>1616</v>
      </c>
      <c r="ON4" s="1851" t="s">
        <v>1617</v>
      </c>
      <c r="OO4" s="1851" t="s">
        <v>1618</v>
      </c>
      <c r="OP4" s="1851" t="s">
        <v>1619</v>
      </c>
      <c r="OQ4" s="1851" t="s">
        <v>1620</v>
      </c>
      <c r="OR4" s="1851" t="s">
        <v>1621</v>
      </c>
      <c r="OS4" s="1851" t="s">
        <v>1622</v>
      </c>
      <c r="OT4" s="1851" t="s">
        <v>1623</v>
      </c>
      <c r="OU4" s="1851" t="s">
        <v>1624</v>
      </c>
      <c r="OV4" s="1851" t="s">
        <v>1625</v>
      </c>
      <c r="OW4" s="1851" t="s">
        <v>1626</v>
      </c>
      <c r="OX4" s="1851" t="s">
        <v>1627</v>
      </c>
      <c r="OY4" s="1851" t="s">
        <v>1628</v>
      </c>
      <c r="OZ4" s="1851" t="s">
        <v>1629</v>
      </c>
      <c r="PA4" s="1851" t="s">
        <v>1630</v>
      </c>
      <c r="PB4" s="1851" t="s">
        <v>1631</v>
      </c>
      <c r="PC4" s="1851" t="s">
        <v>1632</v>
      </c>
      <c r="PD4" s="1851" t="s">
        <v>1633</v>
      </c>
      <c r="PE4" s="1851" t="s">
        <v>1634</v>
      </c>
      <c r="PF4" s="1851" t="s">
        <v>1635</v>
      </c>
      <c r="PG4" s="1851" t="s">
        <v>1636</v>
      </c>
      <c r="PH4" s="1851" t="s">
        <v>1637</v>
      </c>
      <c r="PI4" s="1851" t="s">
        <v>1638</v>
      </c>
      <c r="PJ4" s="1851" t="s">
        <v>1639</v>
      </c>
      <c r="PK4" s="1851" t="s">
        <v>1640</v>
      </c>
      <c r="PL4" s="1851" t="s">
        <v>1641</v>
      </c>
      <c r="PM4" s="1851" t="s">
        <v>1642</v>
      </c>
      <c r="PN4" s="1851" t="s">
        <v>1643</v>
      </c>
      <c r="PO4" s="1851" t="s">
        <v>1644</v>
      </c>
      <c r="PP4" s="1851" t="s">
        <v>1645</v>
      </c>
      <c r="PQ4" s="1851" t="s">
        <v>1646</v>
      </c>
      <c r="PR4" s="1851" t="s">
        <v>1647</v>
      </c>
      <c r="PS4" s="1851" t="s">
        <v>1648</v>
      </c>
      <c r="PT4" s="1851" t="s">
        <v>1649</v>
      </c>
      <c r="PU4" s="1851" t="s">
        <v>1650</v>
      </c>
      <c r="PV4" s="1851" t="s">
        <v>1651</v>
      </c>
      <c r="PW4" s="1851" t="s">
        <v>1652</v>
      </c>
      <c r="PX4" s="1851" t="s">
        <v>1653</v>
      </c>
      <c r="PY4" s="1851" t="s">
        <v>1654</v>
      </c>
      <c r="PZ4" s="1851" t="s">
        <v>1655</v>
      </c>
      <c r="QA4" s="1851" t="s">
        <v>1656</v>
      </c>
      <c r="QB4" s="1851" t="s">
        <v>1657</v>
      </c>
      <c r="QC4" s="1851" t="s">
        <v>1658</v>
      </c>
      <c r="QD4" s="1851" t="s">
        <v>1659</v>
      </c>
      <c r="QE4" s="1851" t="s">
        <v>1660</v>
      </c>
      <c r="QF4" s="1851" t="s">
        <v>1661</v>
      </c>
      <c r="QG4" s="1851" t="s">
        <v>1662</v>
      </c>
      <c r="QH4" s="1851" t="s">
        <v>1663</v>
      </c>
      <c r="QI4" s="1851" t="s">
        <v>1664</v>
      </c>
      <c r="QJ4" s="1851" t="s">
        <v>1665</v>
      </c>
      <c r="QK4" s="1851" t="s">
        <v>1666</v>
      </c>
      <c r="QL4" s="1851" t="s">
        <v>1667</v>
      </c>
      <c r="QM4" s="1851" t="s">
        <v>1668</v>
      </c>
      <c r="QN4" s="1851" t="s">
        <v>1669</v>
      </c>
      <c r="QO4" s="1851" t="s">
        <v>1670</v>
      </c>
      <c r="QP4" s="1851" t="s">
        <v>1671</v>
      </c>
      <c r="QQ4" s="1851" t="s">
        <v>1672</v>
      </c>
      <c r="QR4" s="1851" t="s">
        <v>1673</v>
      </c>
      <c r="QS4" s="1851" t="s">
        <v>1674</v>
      </c>
      <c r="QT4" s="1851" t="s">
        <v>1675</v>
      </c>
      <c r="QU4" s="1851" t="s">
        <v>1676</v>
      </c>
      <c r="QV4" s="1851" t="s">
        <v>1677</v>
      </c>
      <c r="QW4" s="1851" t="s">
        <v>1678</v>
      </c>
      <c r="QX4" s="1851" t="s">
        <v>1679</v>
      </c>
      <c r="QY4" s="1851" t="s">
        <v>1680</v>
      </c>
      <c r="QZ4" s="1851" t="s">
        <v>1681</v>
      </c>
      <c r="RA4" s="1851" t="s">
        <v>1682</v>
      </c>
      <c r="RB4" s="1851" t="s">
        <v>1683</v>
      </c>
      <c r="RC4" s="1851" t="s">
        <v>1684</v>
      </c>
      <c r="RD4" s="1851" t="s">
        <v>1685</v>
      </c>
      <c r="RE4" s="1851" t="s">
        <v>1686</v>
      </c>
      <c r="RF4" s="1851" t="s">
        <v>1687</v>
      </c>
      <c r="RG4" s="1851" t="s">
        <v>1688</v>
      </c>
      <c r="RH4" s="1851" t="s">
        <v>1689</v>
      </c>
      <c r="RI4" s="1851" t="s">
        <v>1690</v>
      </c>
      <c r="RJ4" s="1851" t="s">
        <v>1691</v>
      </c>
      <c r="RK4" s="1851" t="s">
        <v>1692</v>
      </c>
      <c r="RL4" s="1851" t="s">
        <v>1693</v>
      </c>
      <c r="RM4" s="1851" t="s">
        <v>1694</v>
      </c>
      <c r="RN4" s="1851" t="s">
        <v>1695</v>
      </c>
      <c r="RO4" s="1851" t="s">
        <v>1696</v>
      </c>
      <c r="RP4" s="1851" t="s">
        <v>1697</v>
      </c>
      <c r="RQ4" s="1851" t="s">
        <v>1698</v>
      </c>
      <c r="RR4" s="1851" t="s">
        <v>1699</v>
      </c>
      <c r="RS4" s="1851" t="s">
        <v>1700</v>
      </c>
      <c r="RT4" s="1851" t="s">
        <v>1701</v>
      </c>
      <c r="RU4" s="1851" t="s">
        <v>1702</v>
      </c>
      <c r="RV4" s="1851" t="s">
        <v>1703</v>
      </c>
      <c r="RW4" s="1851" t="s">
        <v>1704</v>
      </c>
      <c r="RX4" s="1851" t="s">
        <v>1705</v>
      </c>
      <c r="RY4" s="1851" t="s">
        <v>1706</v>
      </c>
      <c r="RZ4" s="1851" t="s">
        <v>1707</v>
      </c>
      <c r="SA4" s="1851" t="s">
        <v>1708</v>
      </c>
      <c r="SB4" s="1851" t="s">
        <v>1709</v>
      </c>
      <c r="SC4" s="1851" t="s">
        <v>1710</v>
      </c>
      <c r="SD4" s="1851" t="s">
        <v>1711</v>
      </c>
      <c r="SE4" s="1851" t="s">
        <v>1712</v>
      </c>
      <c r="SF4" s="1851" t="s">
        <v>1713</v>
      </c>
      <c r="SG4" s="1851" t="s">
        <v>1714</v>
      </c>
      <c r="SH4" s="1851" t="s">
        <v>1715</v>
      </c>
      <c r="SI4" s="1851" t="s">
        <v>1716</v>
      </c>
      <c r="SJ4" s="1851" t="s">
        <v>1717</v>
      </c>
      <c r="SK4" s="1851" t="s">
        <v>1718</v>
      </c>
      <c r="SL4" s="1851" t="s">
        <v>1719</v>
      </c>
      <c r="SM4" s="1851" t="s">
        <v>1720</v>
      </c>
      <c r="SN4" s="1851" t="s">
        <v>1721</v>
      </c>
      <c r="SO4" s="1851" t="s">
        <v>1722</v>
      </c>
      <c r="SP4" s="1851" t="s">
        <v>1723</v>
      </c>
      <c r="SQ4" s="1851" t="s">
        <v>1724</v>
      </c>
      <c r="SR4" s="1851" t="s">
        <v>1725</v>
      </c>
      <c r="SS4" s="1851" t="s">
        <v>1726</v>
      </c>
      <c r="ST4" s="1851" t="s">
        <v>1727</v>
      </c>
      <c r="SU4" s="1851" t="s">
        <v>1728</v>
      </c>
      <c r="SV4" s="1851" t="s">
        <v>1729</v>
      </c>
      <c r="SW4" s="1851" t="s">
        <v>1730</v>
      </c>
      <c r="SX4" s="1851" t="s">
        <v>1731</v>
      </c>
      <c r="SY4" s="1851" t="s">
        <v>1732</v>
      </c>
      <c r="SZ4" s="1851" t="s">
        <v>1733</v>
      </c>
      <c r="TA4" s="1851" t="s">
        <v>1734</v>
      </c>
      <c r="TB4" s="1851" t="s">
        <v>1735</v>
      </c>
      <c r="TC4" s="1851" t="s">
        <v>1736</v>
      </c>
      <c r="TD4" s="1851" t="s">
        <v>1737</v>
      </c>
      <c r="TE4" s="1851" t="s">
        <v>1738</v>
      </c>
      <c r="TF4" s="1851" t="s">
        <v>1739</v>
      </c>
      <c r="TG4" s="1851" t="s">
        <v>1740</v>
      </c>
      <c r="TH4" s="1851" t="s">
        <v>1741</v>
      </c>
      <c r="TI4" s="1851" t="s">
        <v>1742</v>
      </c>
      <c r="TJ4" s="1851" t="s">
        <v>1743</v>
      </c>
      <c r="TK4" s="1851" t="s">
        <v>1744</v>
      </c>
      <c r="TL4" s="1851" t="s">
        <v>1745</v>
      </c>
      <c r="TM4" s="1851" t="s">
        <v>1746</v>
      </c>
      <c r="TN4" s="1851" t="s">
        <v>1747</v>
      </c>
      <c r="TO4" s="1851" t="s">
        <v>1748</v>
      </c>
      <c r="TP4" s="1851" t="s">
        <v>1749</v>
      </c>
      <c r="TQ4" s="1851" t="s">
        <v>1750</v>
      </c>
      <c r="TR4" s="1851" t="s">
        <v>1751</v>
      </c>
      <c r="TS4" s="1851" t="s">
        <v>1752</v>
      </c>
      <c r="TT4" s="1851" t="s">
        <v>1753</v>
      </c>
      <c r="TU4" s="1851" t="s">
        <v>1754</v>
      </c>
      <c r="TV4" s="1851" t="s">
        <v>1755</v>
      </c>
      <c r="TW4" s="1851" t="s">
        <v>1756</v>
      </c>
      <c r="TX4" s="1851" t="s">
        <v>1757</v>
      </c>
      <c r="TY4" s="1851" t="s">
        <v>1758</v>
      </c>
      <c r="TZ4" s="1851" t="s">
        <v>1759</v>
      </c>
      <c r="UA4" s="1851" t="s">
        <v>1760</v>
      </c>
      <c r="UB4" s="1851" t="s">
        <v>1761</v>
      </c>
      <c r="UC4" s="1851" t="s">
        <v>1762</v>
      </c>
      <c r="UD4" s="1851" t="s">
        <v>1763</v>
      </c>
      <c r="UE4" s="1851" t="s">
        <v>1764</v>
      </c>
      <c r="UF4" s="1851" t="s">
        <v>1765</v>
      </c>
      <c r="UG4" s="1851" t="s">
        <v>1766</v>
      </c>
      <c r="UH4" s="1851" t="s">
        <v>1767</v>
      </c>
      <c r="UI4" s="1851" t="s">
        <v>1768</v>
      </c>
      <c r="UJ4" s="1851" t="s">
        <v>1769</v>
      </c>
      <c r="UK4" s="1851" t="s">
        <v>1770</v>
      </c>
      <c r="UL4" s="1851" t="s">
        <v>1771</v>
      </c>
      <c r="UM4" s="1851" t="s">
        <v>1772</v>
      </c>
      <c r="UN4" s="1851" t="s">
        <v>1773</v>
      </c>
      <c r="UO4" s="1851" t="s">
        <v>1774</v>
      </c>
      <c r="UP4" s="1851" t="s">
        <v>1775</v>
      </c>
      <c r="UQ4" s="1851" t="s">
        <v>1776</v>
      </c>
      <c r="UR4" s="1851" t="s">
        <v>1777</v>
      </c>
      <c r="US4" s="1851" t="s">
        <v>1778</v>
      </c>
      <c r="UT4" s="1851" t="s">
        <v>1779</v>
      </c>
      <c r="UU4" s="1851" t="s">
        <v>1780</v>
      </c>
      <c r="UV4" s="1851" t="s">
        <v>1781</v>
      </c>
      <c r="UW4" s="1851" t="s">
        <v>1782</v>
      </c>
      <c r="UX4" s="1851" t="s">
        <v>1783</v>
      </c>
      <c r="UY4" s="1851" t="s">
        <v>1784</v>
      </c>
      <c r="UZ4" s="1851" t="s">
        <v>1785</v>
      </c>
      <c r="VA4" s="1851" t="s">
        <v>1786</v>
      </c>
      <c r="VB4" s="1851" t="s">
        <v>1787</v>
      </c>
      <c r="VC4" s="1851" t="s">
        <v>1788</v>
      </c>
      <c r="VD4" s="1851" t="s">
        <v>1789</v>
      </c>
      <c r="VE4" s="1851" t="s">
        <v>1790</v>
      </c>
      <c r="VF4" s="1851" t="s">
        <v>1791</v>
      </c>
      <c r="VG4" s="1851" t="s">
        <v>1792</v>
      </c>
      <c r="VH4" s="1851" t="s">
        <v>1793</v>
      </c>
      <c r="VI4" s="1851" t="s">
        <v>1794</v>
      </c>
      <c r="VJ4" s="1851" t="s">
        <v>1795</v>
      </c>
      <c r="VK4" s="1851" t="s">
        <v>1796</v>
      </c>
      <c r="VL4" s="1851" t="s">
        <v>1797</v>
      </c>
      <c r="VM4" s="1851" t="s">
        <v>1798</v>
      </c>
      <c r="VN4" s="1851" t="s">
        <v>1799</v>
      </c>
      <c r="VO4" s="1851" t="s">
        <v>1800</v>
      </c>
      <c r="VP4" s="1851" t="s">
        <v>1801</v>
      </c>
      <c r="VQ4" s="1851" t="s">
        <v>1802</v>
      </c>
      <c r="VR4" s="1851" t="s">
        <v>1803</v>
      </c>
      <c r="VS4" s="1851" t="s">
        <v>1804</v>
      </c>
      <c r="VT4" s="1851" t="s">
        <v>1805</v>
      </c>
      <c r="VU4" s="1851" t="s">
        <v>1806</v>
      </c>
      <c r="VV4" s="1851" t="s">
        <v>1807</v>
      </c>
      <c r="VW4" s="1851" t="s">
        <v>1808</v>
      </c>
      <c r="VX4" s="1851" t="s">
        <v>1809</v>
      </c>
      <c r="VY4" s="1851" t="s">
        <v>1810</v>
      </c>
      <c r="VZ4" s="1851" t="s">
        <v>1811</v>
      </c>
      <c r="WA4" s="1851" t="s">
        <v>1812</v>
      </c>
      <c r="WB4" s="1851" t="s">
        <v>1813</v>
      </c>
      <c r="WC4" s="1851" t="s">
        <v>1814</v>
      </c>
      <c r="WD4" s="1851" t="s">
        <v>1815</v>
      </c>
      <c r="WE4" s="1851" t="s">
        <v>1816</v>
      </c>
      <c r="WF4" s="1851" t="s">
        <v>1817</v>
      </c>
      <c r="WG4" s="1851" t="s">
        <v>1818</v>
      </c>
      <c r="WH4" s="1851" t="s">
        <v>1819</v>
      </c>
      <c r="WI4" s="1851" t="s">
        <v>1820</v>
      </c>
      <c r="WJ4" s="1851" t="s">
        <v>1821</v>
      </c>
      <c r="WK4" s="1851" t="s">
        <v>1822</v>
      </c>
      <c r="WL4" s="1851" t="s">
        <v>1823</v>
      </c>
      <c r="WM4" s="1851" t="s">
        <v>1824</v>
      </c>
      <c r="WN4" s="1851" t="s">
        <v>1825</v>
      </c>
      <c r="WO4" s="1851" t="s">
        <v>1826</v>
      </c>
      <c r="WP4" s="1851" t="s">
        <v>1827</v>
      </c>
      <c r="WQ4" s="1851" t="s">
        <v>1828</v>
      </c>
      <c r="WR4" s="1851" t="s">
        <v>1829</v>
      </c>
      <c r="WS4" s="1851" t="s">
        <v>1830</v>
      </c>
      <c r="WT4" s="1851" t="s">
        <v>1831</v>
      </c>
      <c r="WU4" s="1851" t="s">
        <v>1832</v>
      </c>
      <c r="WV4" s="1851" t="s">
        <v>1833</v>
      </c>
      <c r="WW4" s="1851" t="s">
        <v>1834</v>
      </c>
      <c r="WX4" s="1851" t="s">
        <v>1835</v>
      </c>
      <c r="WY4" s="1851" t="s">
        <v>1836</v>
      </c>
      <c r="WZ4" s="1851" t="s">
        <v>1837</v>
      </c>
      <c r="XA4" s="1851" t="s">
        <v>1838</v>
      </c>
      <c r="XB4" s="1851" t="s">
        <v>1839</v>
      </c>
      <c r="XC4" s="1851" t="s">
        <v>1840</v>
      </c>
      <c r="XD4" s="1851" t="s">
        <v>1841</v>
      </c>
      <c r="XE4" s="1851" t="s">
        <v>1842</v>
      </c>
      <c r="XF4" s="1851" t="s">
        <v>1843</v>
      </c>
      <c r="XG4" s="1851" t="s">
        <v>1844</v>
      </c>
      <c r="XH4" s="1851" t="s">
        <v>1845</v>
      </c>
      <c r="XI4" s="1851" t="s">
        <v>1846</v>
      </c>
      <c r="XJ4" s="1851" t="s">
        <v>1847</v>
      </c>
      <c r="XK4" s="1851" t="s">
        <v>1848</v>
      </c>
      <c r="XL4" s="1851" t="s">
        <v>1849</v>
      </c>
      <c r="XM4" s="1851" t="s">
        <v>1850</v>
      </c>
      <c r="XN4" s="1851" t="s">
        <v>1851</v>
      </c>
      <c r="XO4" s="1851" t="s">
        <v>1852</v>
      </c>
      <c r="XP4" s="1851" t="s">
        <v>1853</v>
      </c>
      <c r="XQ4" s="1851" t="s">
        <v>1854</v>
      </c>
      <c r="XR4" s="1851" t="s">
        <v>1855</v>
      </c>
      <c r="XS4" s="1851" t="s">
        <v>1856</v>
      </c>
      <c r="XT4" s="1851" t="s">
        <v>1857</v>
      </c>
      <c r="XU4" s="1851" t="s">
        <v>1858</v>
      </c>
      <c r="XV4" s="1851" t="s">
        <v>1859</v>
      </c>
      <c r="XW4" s="1851" t="s">
        <v>1860</v>
      </c>
      <c r="XX4" s="1851" t="s">
        <v>1861</v>
      </c>
      <c r="XY4" s="1851" t="s">
        <v>1862</v>
      </c>
      <c r="XZ4" s="1851" t="s">
        <v>1863</v>
      </c>
      <c r="YA4" s="1851" t="s">
        <v>1864</v>
      </c>
      <c r="YB4" s="1851" t="s">
        <v>1865</v>
      </c>
      <c r="YC4" s="1851" t="s">
        <v>1866</v>
      </c>
      <c r="YD4" s="1851" t="s">
        <v>1867</v>
      </c>
      <c r="YE4" s="1851" t="s">
        <v>1868</v>
      </c>
      <c r="YF4" s="1851" t="s">
        <v>1869</v>
      </c>
      <c r="YG4" s="1851" t="s">
        <v>1870</v>
      </c>
      <c r="YH4" s="1851" t="s">
        <v>1871</v>
      </c>
      <c r="YI4" s="1851" t="s">
        <v>1872</v>
      </c>
      <c r="YJ4" s="1851" t="s">
        <v>1873</v>
      </c>
      <c r="YK4" s="1851" t="s">
        <v>1874</v>
      </c>
      <c r="YL4" s="1851" t="s">
        <v>1875</v>
      </c>
      <c r="YM4" s="1851" t="s">
        <v>1876</v>
      </c>
      <c r="YN4" s="1851" t="s">
        <v>1877</v>
      </c>
      <c r="YO4" s="1851" t="s">
        <v>1878</v>
      </c>
      <c r="YP4" s="1851" t="s">
        <v>1879</v>
      </c>
      <c r="YQ4" s="1851" t="s">
        <v>1880</v>
      </c>
      <c r="YR4" s="1851" t="s">
        <v>1881</v>
      </c>
      <c r="YS4" s="1851" t="s">
        <v>1882</v>
      </c>
      <c r="YT4" s="1851" t="s">
        <v>1883</v>
      </c>
      <c r="YU4" s="1851" t="s">
        <v>1884</v>
      </c>
      <c r="YV4" s="1851" t="s">
        <v>1885</v>
      </c>
      <c r="YW4" s="1851" t="s">
        <v>1886</v>
      </c>
      <c r="YX4" s="1851" t="s">
        <v>1887</v>
      </c>
      <c r="YY4" s="1851" t="s">
        <v>1888</v>
      </c>
      <c r="YZ4" s="1851" t="s">
        <v>1889</v>
      </c>
      <c r="ZA4" s="1851" t="s">
        <v>1890</v>
      </c>
      <c r="ZB4" s="1851" t="s">
        <v>1891</v>
      </c>
      <c r="ZC4" s="1851" t="s">
        <v>1892</v>
      </c>
      <c r="ZD4" s="1851" t="s">
        <v>1893</v>
      </c>
      <c r="ZE4" s="1851" t="s">
        <v>1894</v>
      </c>
      <c r="ZF4" s="1851" t="s">
        <v>1895</v>
      </c>
      <c r="ZG4" s="1851" t="s">
        <v>1896</v>
      </c>
      <c r="ZH4" s="1851" t="s">
        <v>1897</v>
      </c>
      <c r="ZI4" s="1851" t="s">
        <v>1898</v>
      </c>
      <c r="ZJ4" s="1851" t="s">
        <v>1899</v>
      </c>
      <c r="ZK4" s="1851" t="s">
        <v>1900</v>
      </c>
      <c r="ZL4" s="1851" t="s">
        <v>1901</v>
      </c>
      <c r="ZM4" s="1851" t="s">
        <v>1902</v>
      </c>
      <c r="ZN4" s="1851" t="s">
        <v>1903</v>
      </c>
      <c r="ZO4" s="1851" t="s">
        <v>1904</v>
      </c>
      <c r="ZP4" s="1851" t="s">
        <v>1905</v>
      </c>
      <c r="ZQ4" s="1851" t="s">
        <v>1906</v>
      </c>
      <c r="ZR4" s="1851" t="s">
        <v>1907</v>
      </c>
      <c r="ZS4" s="1851" t="s">
        <v>1908</v>
      </c>
      <c r="ZT4" s="1851" t="s">
        <v>1909</v>
      </c>
      <c r="ZU4" s="1851" t="s">
        <v>1910</v>
      </c>
      <c r="ZV4" s="1851" t="s">
        <v>1911</v>
      </c>
      <c r="ZW4" s="1851" t="s">
        <v>1912</v>
      </c>
      <c r="ZX4" s="1851" t="s">
        <v>1913</v>
      </c>
      <c r="ZY4" s="1851" t="s">
        <v>1914</v>
      </c>
      <c r="ZZ4" s="1851" t="s">
        <v>1915</v>
      </c>
      <c r="AAA4" s="1851" t="s">
        <v>1916</v>
      </c>
      <c r="AAB4" s="1851" t="s">
        <v>1917</v>
      </c>
      <c r="AAC4" s="1851" t="s">
        <v>1918</v>
      </c>
      <c r="AAD4" s="1851" t="s">
        <v>1919</v>
      </c>
      <c r="AAE4" s="1851" t="s">
        <v>1920</v>
      </c>
      <c r="AAF4" s="1851" t="s">
        <v>1921</v>
      </c>
      <c r="AAG4" s="1851" t="s">
        <v>1922</v>
      </c>
      <c r="AAH4" s="1851" t="s">
        <v>1923</v>
      </c>
      <c r="AAI4" s="1851" t="s">
        <v>1924</v>
      </c>
      <c r="AAJ4" s="1851" t="s">
        <v>1925</v>
      </c>
      <c r="AAK4" s="1851" t="s">
        <v>1926</v>
      </c>
      <c r="AAL4" s="1851" t="s">
        <v>1927</v>
      </c>
      <c r="AAM4" s="1851" t="s">
        <v>1928</v>
      </c>
      <c r="AAN4" s="1851" t="s">
        <v>1929</v>
      </c>
      <c r="AAO4" s="1851" t="s">
        <v>1930</v>
      </c>
      <c r="AAP4" s="1851" t="s">
        <v>1931</v>
      </c>
      <c r="AAQ4" s="1851" t="s">
        <v>1932</v>
      </c>
      <c r="AAR4" s="1851" t="s">
        <v>1933</v>
      </c>
      <c r="AAS4" s="1851" t="s">
        <v>1934</v>
      </c>
      <c r="AAT4" s="1851" t="s">
        <v>1935</v>
      </c>
      <c r="AAU4" s="1851" t="s">
        <v>1936</v>
      </c>
      <c r="AAV4" s="1851" t="s">
        <v>1937</v>
      </c>
      <c r="AAW4" s="1851" t="s">
        <v>1938</v>
      </c>
      <c r="AAX4" s="1851" t="s">
        <v>1939</v>
      </c>
      <c r="AAY4" s="1851" t="s">
        <v>1940</v>
      </c>
      <c r="AAZ4" s="1851" t="s">
        <v>1941</v>
      </c>
      <c r="ABA4" s="1851" t="s">
        <v>1942</v>
      </c>
      <c r="ABB4" s="1851" t="s">
        <v>1943</v>
      </c>
      <c r="ABC4" s="1851" t="s">
        <v>1944</v>
      </c>
      <c r="ABD4" s="1851" t="s">
        <v>1945</v>
      </c>
      <c r="ABE4" s="1851" t="s">
        <v>1946</v>
      </c>
      <c r="ABF4" s="1851" t="s">
        <v>1947</v>
      </c>
      <c r="ABG4" s="1851" t="s">
        <v>1948</v>
      </c>
      <c r="ABH4" s="1851" t="s">
        <v>1949</v>
      </c>
      <c r="ABI4" s="1851" t="s">
        <v>1950</v>
      </c>
      <c r="ABJ4" s="1851" t="s">
        <v>1951</v>
      </c>
      <c r="ABK4" s="1851" t="s">
        <v>1952</v>
      </c>
      <c r="ABL4" s="1851" t="s">
        <v>1953</v>
      </c>
      <c r="ABM4" s="1851" t="s">
        <v>1954</v>
      </c>
      <c r="ABN4" s="1851" t="s">
        <v>1955</v>
      </c>
      <c r="ABO4" s="1851" t="s">
        <v>1956</v>
      </c>
      <c r="ABP4" s="1851" t="s">
        <v>1957</v>
      </c>
      <c r="ABQ4" s="1851" t="s">
        <v>1958</v>
      </c>
      <c r="ABR4" s="1851" t="s">
        <v>1959</v>
      </c>
      <c r="ABS4" s="1851" t="s">
        <v>1960</v>
      </c>
      <c r="ABT4" s="1851" t="s">
        <v>1961</v>
      </c>
      <c r="ABU4" s="1851" t="s">
        <v>1962</v>
      </c>
      <c r="ABV4" s="1851" t="s">
        <v>1963</v>
      </c>
      <c r="ABW4" s="1851" t="s">
        <v>1964</v>
      </c>
      <c r="ABX4" s="1851" t="s">
        <v>1965</v>
      </c>
      <c r="ABY4" s="1851" t="s">
        <v>1966</v>
      </c>
      <c r="ABZ4" s="1851" t="s">
        <v>1967</v>
      </c>
      <c r="ACA4" s="1851" t="s">
        <v>1968</v>
      </c>
      <c r="ACB4" s="1851" t="s">
        <v>1969</v>
      </c>
      <c r="ACC4" s="1851" t="s">
        <v>1970</v>
      </c>
      <c r="ACD4" s="1851" t="s">
        <v>1971</v>
      </c>
      <c r="ACE4" s="1851" t="s">
        <v>1972</v>
      </c>
      <c r="ACF4" s="1851" t="s">
        <v>1973</v>
      </c>
      <c r="ACG4" s="1851" t="s">
        <v>1974</v>
      </c>
      <c r="ACH4" s="1851" t="s">
        <v>1975</v>
      </c>
      <c r="ACI4" s="1851" t="s">
        <v>1976</v>
      </c>
      <c r="ACJ4" s="1851" t="s">
        <v>1977</v>
      </c>
      <c r="ACK4" s="1851" t="s">
        <v>1978</v>
      </c>
      <c r="ACL4" s="1851" t="s">
        <v>1979</v>
      </c>
      <c r="ACM4" s="1851" t="s">
        <v>1980</v>
      </c>
      <c r="ACN4" s="1851" t="s">
        <v>1981</v>
      </c>
      <c r="ACO4" s="1851" t="s">
        <v>1982</v>
      </c>
      <c r="ACP4" s="1851" t="s">
        <v>1983</v>
      </c>
      <c r="ACQ4" s="1851" t="s">
        <v>1984</v>
      </c>
      <c r="ACR4" s="1851" t="s">
        <v>1985</v>
      </c>
      <c r="ACS4" s="1851" t="s">
        <v>1986</v>
      </c>
      <c r="ACT4" s="1851" t="s">
        <v>1987</v>
      </c>
      <c r="ACU4" s="1851" t="s">
        <v>1988</v>
      </c>
      <c r="ACV4" s="1851" t="s">
        <v>1989</v>
      </c>
      <c r="ACW4" s="1851" t="s">
        <v>1990</v>
      </c>
      <c r="ACX4" s="1851" t="s">
        <v>1991</v>
      </c>
      <c r="ACY4" s="1851" t="s">
        <v>1992</v>
      </c>
      <c r="ACZ4" s="1851" t="s">
        <v>1993</v>
      </c>
      <c r="ADA4" s="1851" t="s">
        <v>1994</v>
      </c>
      <c r="ADB4" s="1851" t="s">
        <v>1995</v>
      </c>
      <c r="ADC4" s="1851" t="s">
        <v>1996</v>
      </c>
      <c r="ADD4" s="1851" t="s">
        <v>1997</v>
      </c>
      <c r="ADE4" s="1851" t="s">
        <v>1998</v>
      </c>
      <c r="ADF4" s="1851" t="s">
        <v>1999</v>
      </c>
      <c r="ADG4" s="1851" t="s">
        <v>2000</v>
      </c>
      <c r="ADH4" s="1851" t="s">
        <v>2001</v>
      </c>
      <c r="ADI4" s="1851" t="s">
        <v>2002</v>
      </c>
      <c r="ADJ4" s="1851" t="s">
        <v>2003</v>
      </c>
      <c r="ADK4" s="1851" t="s">
        <v>2004</v>
      </c>
      <c r="ADL4" s="1851" t="s">
        <v>2005</v>
      </c>
      <c r="ADM4" s="1851" t="s">
        <v>2006</v>
      </c>
      <c r="ADN4" s="1851" t="s">
        <v>2007</v>
      </c>
      <c r="ADO4" s="1851" t="s">
        <v>2008</v>
      </c>
      <c r="ADP4" s="1851" t="s">
        <v>2009</v>
      </c>
      <c r="ADQ4" s="1851" t="s">
        <v>2010</v>
      </c>
      <c r="ADR4" s="1851" t="s">
        <v>2011</v>
      </c>
      <c r="ADS4" s="1851" t="s">
        <v>2012</v>
      </c>
      <c r="ADT4" s="1851" t="s">
        <v>2013</v>
      </c>
      <c r="ADU4" s="1851" t="s">
        <v>2014</v>
      </c>
      <c r="ADV4" s="1851" t="s">
        <v>2015</v>
      </c>
      <c r="ADW4" s="1851" t="s">
        <v>2016</v>
      </c>
      <c r="ADX4" s="1851" t="s">
        <v>2017</v>
      </c>
      <c r="ADY4" s="1851" t="s">
        <v>2018</v>
      </c>
      <c r="ADZ4" s="1851" t="s">
        <v>2019</v>
      </c>
      <c r="AEA4" s="1851" t="s">
        <v>2020</v>
      </c>
      <c r="AEB4" s="1851" t="s">
        <v>2021</v>
      </c>
      <c r="AEC4" s="1851" t="s">
        <v>2022</v>
      </c>
      <c r="AED4" s="1851" t="s">
        <v>2023</v>
      </c>
      <c r="AEE4" s="1851" t="s">
        <v>2024</v>
      </c>
      <c r="AEF4" s="1851" t="s">
        <v>2025</v>
      </c>
      <c r="AEG4" s="1851" t="s">
        <v>2026</v>
      </c>
      <c r="AEH4" s="1851" t="s">
        <v>2027</v>
      </c>
      <c r="AEI4" s="1851" t="s">
        <v>2028</v>
      </c>
      <c r="AEJ4" s="1851" t="s">
        <v>2029</v>
      </c>
      <c r="AEK4" s="1851" t="s">
        <v>2030</v>
      </c>
      <c r="AEL4" s="1851" t="s">
        <v>2031</v>
      </c>
      <c r="AEM4" s="1851" t="s">
        <v>2032</v>
      </c>
      <c r="AEN4" s="1851" t="s">
        <v>2033</v>
      </c>
      <c r="AEO4" s="1851" t="s">
        <v>2034</v>
      </c>
      <c r="AEP4" s="1851" t="s">
        <v>2035</v>
      </c>
      <c r="AEQ4" s="1851" t="s">
        <v>2036</v>
      </c>
      <c r="AER4" s="1851" t="s">
        <v>2037</v>
      </c>
      <c r="AES4" s="1851" t="s">
        <v>2038</v>
      </c>
      <c r="AET4" s="1851" t="s">
        <v>2039</v>
      </c>
      <c r="AEU4" s="1851" t="s">
        <v>2040</v>
      </c>
      <c r="AEV4" s="1851" t="s">
        <v>2041</v>
      </c>
      <c r="AEW4" s="1851" t="s">
        <v>2042</v>
      </c>
      <c r="AEX4" s="1851" t="s">
        <v>2043</v>
      </c>
      <c r="AEY4" s="1851" t="s">
        <v>2044</v>
      </c>
      <c r="AEZ4" s="1851" t="s">
        <v>2045</v>
      </c>
      <c r="AFA4" s="1851" t="s">
        <v>2046</v>
      </c>
      <c r="AFB4" s="1851" t="s">
        <v>2047</v>
      </c>
      <c r="AFC4" s="1851" t="s">
        <v>2048</v>
      </c>
      <c r="AFD4" s="1851" t="s">
        <v>2049</v>
      </c>
      <c r="AFE4" s="1851" t="s">
        <v>2050</v>
      </c>
      <c r="AFF4" s="1851" t="s">
        <v>2051</v>
      </c>
      <c r="AFG4" s="1851" t="s">
        <v>2052</v>
      </c>
      <c r="AFH4" s="1851" t="s">
        <v>2053</v>
      </c>
      <c r="AFI4" s="1851" t="s">
        <v>2054</v>
      </c>
      <c r="AFJ4" s="1851" t="s">
        <v>2055</v>
      </c>
      <c r="AFK4" s="1851" t="s">
        <v>2056</v>
      </c>
      <c r="AFL4" s="1851" t="s">
        <v>2057</v>
      </c>
      <c r="AFM4" s="1851" t="s">
        <v>2058</v>
      </c>
      <c r="AFN4" s="1851" t="s">
        <v>2059</v>
      </c>
      <c r="AFO4" s="1851" t="s">
        <v>2060</v>
      </c>
      <c r="AFP4" s="1851" t="s">
        <v>2061</v>
      </c>
      <c r="AFQ4" s="1851" t="s">
        <v>2062</v>
      </c>
      <c r="AFR4" s="1851" t="s">
        <v>2063</v>
      </c>
      <c r="AFS4" s="1851" t="s">
        <v>2064</v>
      </c>
      <c r="AFT4" s="1851" t="s">
        <v>2065</v>
      </c>
      <c r="AFU4" s="1851" t="s">
        <v>2066</v>
      </c>
      <c r="AFV4" s="1851" t="s">
        <v>2067</v>
      </c>
      <c r="AFW4" s="1851" t="s">
        <v>2068</v>
      </c>
      <c r="AFX4" s="1851" t="s">
        <v>2069</v>
      </c>
      <c r="AFY4" s="1851" t="s">
        <v>2070</v>
      </c>
      <c r="AFZ4" s="1851" t="s">
        <v>2071</v>
      </c>
      <c r="AGA4" s="1851" t="s">
        <v>2072</v>
      </c>
      <c r="AGB4" s="1851" t="s">
        <v>2073</v>
      </c>
      <c r="AGC4" s="1851" t="s">
        <v>2074</v>
      </c>
      <c r="AGD4" s="1851" t="s">
        <v>2075</v>
      </c>
      <c r="AGE4" s="1851" t="s">
        <v>2076</v>
      </c>
      <c r="AGF4" s="1851" t="s">
        <v>2077</v>
      </c>
      <c r="AGG4" s="1851" t="s">
        <v>2078</v>
      </c>
      <c r="AGH4" s="1851" t="s">
        <v>2079</v>
      </c>
      <c r="AGI4" s="1851" t="s">
        <v>2080</v>
      </c>
      <c r="AGJ4" s="1851" t="s">
        <v>2081</v>
      </c>
      <c r="AGK4" s="1851" t="s">
        <v>2082</v>
      </c>
      <c r="AGL4" s="1851" t="s">
        <v>2083</v>
      </c>
      <c r="AGM4" s="1851" t="s">
        <v>2084</v>
      </c>
      <c r="AGN4" s="1851" t="s">
        <v>2085</v>
      </c>
      <c r="AGO4" s="1851" t="s">
        <v>2086</v>
      </c>
      <c r="AGP4" s="1851" t="s">
        <v>2087</v>
      </c>
      <c r="AGQ4" s="1851" t="s">
        <v>2088</v>
      </c>
      <c r="AGR4" s="1851" t="s">
        <v>2089</v>
      </c>
      <c r="AGS4" s="1851" t="s">
        <v>2090</v>
      </c>
      <c r="AGT4" s="1851" t="s">
        <v>2091</v>
      </c>
      <c r="AGU4" s="1851" t="s">
        <v>2092</v>
      </c>
      <c r="AGV4" s="1851" t="s">
        <v>2093</v>
      </c>
      <c r="AGW4" s="1851" t="s">
        <v>2094</v>
      </c>
      <c r="AGX4" s="1851" t="s">
        <v>2095</v>
      </c>
      <c r="AGY4" s="1851" t="s">
        <v>2096</v>
      </c>
      <c r="AGZ4" s="1851" t="s">
        <v>2097</v>
      </c>
      <c r="AHA4" s="1851" t="s">
        <v>2098</v>
      </c>
      <c r="AHB4" s="1851" t="s">
        <v>2099</v>
      </c>
      <c r="AHC4" s="1851" t="s">
        <v>2100</v>
      </c>
      <c r="AHD4" s="1851" t="s">
        <v>2101</v>
      </c>
      <c r="AHE4" s="1851" t="s">
        <v>2102</v>
      </c>
      <c r="AHF4" s="1851" t="s">
        <v>2103</v>
      </c>
      <c r="AHG4" s="1851" t="s">
        <v>2104</v>
      </c>
      <c r="AHH4" s="1851" t="s">
        <v>2105</v>
      </c>
      <c r="AHI4" s="1851" t="s">
        <v>2106</v>
      </c>
      <c r="AHJ4" s="1851" t="s">
        <v>2107</v>
      </c>
      <c r="AHK4" s="1851" t="s">
        <v>2108</v>
      </c>
      <c r="AHL4" s="1851" t="s">
        <v>2109</v>
      </c>
      <c r="AHM4" s="1851" t="s">
        <v>2110</v>
      </c>
      <c r="AHN4" s="1851" t="s">
        <v>2111</v>
      </c>
      <c r="AHO4" s="1851" t="s">
        <v>2112</v>
      </c>
      <c r="AHP4" s="1851" t="s">
        <v>2113</v>
      </c>
      <c r="AHQ4" s="1851" t="s">
        <v>2114</v>
      </c>
      <c r="AHR4" s="1851" t="s">
        <v>2115</v>
      </c>
      <c r="AHS4" s="1851" t="s">
        <v>2116</v>
      </c>
      <c r="AHT4" s="1851" t="s">
        <v>2117</v>
      </c>
      <c r="AHU4" s="1851" t="s">
        <v>2118</v>
      </c>
      <c r="AHV4" s="1851" t="s">
        <v>2119</v>
      </c>
      <c r="AHW4" s="1851" t="s">
        <v>2120</v>
      </c>
      <c r="AHX4" s="1851" t="s">
        <v>2121</v>
      </c>
      <c r="AHY4" s="1851" t="s">
        <v>2122</v>
      </c>
      <c r="AHZ4" s="1851" t="s">
        <v>2123</v>
      </c>
      <c r="AIA4" s="1851" t="s">
        <v>2124</v>
      </c>
      <c r="AIB4" s="1851" t="s">
        <v>2125</v>
      </c>
      <c r="AIC4" s="1851" t="s">
        <v>2126</v>
      </c>
      <c r="AID4" s="1851" t="s">
        <v>2127</v>
      </c>
      <c r="AIE4" s="1851" t="s">
        <v>2128</v>
      </c>
      <c r="AIF4" s="1851" t="s">
        <v>2129</v>
      </c>
      <c r="AIG4" s="1851" t="s">
        <v>2130</v>
      </c>
      <c r="AIH4" s="1851" t="s">
        <v>2131</v>
      </c>
      <c r="AII4" s="1851" t="s">
        <v>2132</v>
      </c>
      <c r="AIJ4" s="1851" t="s">
        <v>2133</v>
      </c>
      <c r="AIK4" s="1851" t="s">
        <v>2134</v>
      </c>
      <c r="AIL4" s="1851" t="s">
        <v>2135</v>
      </c>
      <c r="AIM4" s="1851" t="s">
        <v>2136</v>
      </c>
      <c r="AIN4" s="1851" t="s">
        <v>2137</v>
      </c>
      <c r="AIO4" s="1851" t="s">
        <v>2138</v>
      </c>
      <c r="AIP4" s="1851" t="s">
        <v>2139</v>
      </c>
      <c r="AIQ4" s="1851" t="s">
        <v>2140</v>
      </c>
      <c r="AIR4" s="1851" t="s">
        <v>2141</v>
      </c>
      <c r="AIS4" s="1851" t="s">
        <v>2142</v>
      </c>
      <c r="AIT4" s="1851" t="s">
        <v>2143</v>
      </c>
      <c r="AIU4" s="1851" t="s">
        <v>2144</v>
      </c>
      <c r="AIV4" s="1851" t="s">
        <v>2145</v>
      </c>
      <c r="AIW4" s="1851" t="s">
        <v>2146</v>
      </c>
      <c r="AIX4" s="1851" t="s">
        <v>2147</v>
      </c>
      <c r="AIY4" s="1851" t="s">
        <v>2148</v>
      </c>
      <c r="AIZ4" s="1851" t="s">
        <v>2149</v>
      </c>
      <c r="AJA4" s="1851" t="s">
        <v>2150</v>
      </c>
      <c r="AJB4" s="1851" t="s">
        <v>2151</v>
      </c>
      <c r="AJC4" s="1851" t="s">
        <v>2152</v>
      </c>
      <c r="AJD4" s="1851" t="s">
        <v>2153</v>
      </c>
      <c r="AJE4" s="1851" t="s">
        <v>2154</v>
      </c>
      <c r="AJF4" s="1851" t="s">
        <v>2155</v>
      </c>
      <c r="AJG4" s="1851" t="s">
        <v>2156</v>
      </c>
      <c r="AJH4" s="1851" t="s">
        <v>2157</v>
      </c>
      <c r="AJI4" s="1851" t="s">
        <v>2158</v>
      </c>
      <c r="AJJ4" s="1851" t="s">
        <v>2159</v>
      </c>
      <c r="AJK4" s="1851" t="s">
        <v>2160</v>
      </c>
      <c r="AJL4" s="1851" t="s">
        <v>2161</v>
      </c>
      <c r="AJM4" s="1851" t="s">
        <v>2162</v>
      </c>
      <c r="AJN4" s="1851" t="s">
        <v>2163</v>
      </c>
      <c r="AJO4" s="1851" t="s">
        <v>2164</v>
      </c>
      <c r="AJP4" s="1851" t="s">
        <v>2165</v>
      </c>
      <c r="AJQ4" s="1851" t="s">
        <v>2166</v>
      </c>
      <c r="AJR4" s="1851" t="s">
        <v>2167</v>
      </c>
      <c r="AJS4" s="1851" t="s">
        <v>2168</v>
      </c>
      <c r="AJT4" s="1851" t="s">
        <v>2169</v>
      </c>
      <c r="AJU4" s="1851" t="s">
        <v>2170</v>
      </c>
      <c r="AJV4" s="1851" t="s">
        <v>2171</v>
      </c>
      <c r="AJW4" s="1851" t="s">
        <v>2172</v>
      </c>
      <c r="AJX4" s="1851" t="s">
        <v>2173</v>
      </c>
      <c r="AJY4" s="1851" t="s">
        <v>2174</v>
      </c>
      <c r="AJZ4" s="1851" t="s">
        <v>2175</v>
      </c>
      <c r="AKA4" s="1851" t="s">
        <v>2176</v>
      </c>
      <c r="AKB4" s="1851" t="s">
        <v>2177</v>
      </c>
      <c r="AKC4" s="1851" t="s">
        <v>2178</v>
      </c>
      <c r="AKD4" s="1851" t="s">
        <v>2179</v>
      </c>
      <c r="AKE4" s="1851" t="s">
        <v>2180</v>
      </c>
      <c r="AKF4" s="1851" t="s">
        <v>2181</v>
      </c>
      <c r="AKG4" s="1851" t="s">
        <v>2182</v>
      </c>
      <c r="AKH4" s="1851" t="s">
        <v>2183</v>
      </c>
      <c r="AKI4" s="1851" t="s">
        <v>2184</v>
      </c>
      <c r="AKJ4" s="1851" t="s">
        <v>2185</v>
      </c>
      <c r="AKK4" s="1851" t="s">
        <v>2186</v>
      </c>
      <c r="AKL4" s="1851" t="s">
        <v>2187</v>
      </c>
      <c r="AKM4" s="1851" t="s">
        <v>2188</v>
      </c>
      <c r="AKN4" s="1851" t="s">
        <v>2189</v>
      </c>
      <c r="AKO4" s="1851" t="s">
        <v>2190</v>
      </c>
      <c r="AKP4" s="1851" t="s">
        <v>2191</v>
      </c>
      <c r="AKQ4" s="1851" t="s">
        <v>2192</v>
      </c>
      <c r="AKR4" s="1851" t="s">
        <v>2193</v>
      </c>
      <c r="AKS4" s="1851" t="s">
        <v>2194</v>
      </c>
      <c r="AKT4" s="1851" t="s">
        <v>2195</v>
      </c>
      <c r="AKU4" s="1851" t="s">
        <v>2196</v>
      </c>
      <c r="AKV4" s="1851" t="s">
        <v>2197</v>
      </c>
      <c r="AKW4" s="1851" t="s">
        <v>2198</v>
      </c>
      <c r="AKX4" s="1851" t="s">
        <v>2199</v>
      </c>
      <c r="AKY4" s="1851" t="s">
        <v>2200</v>
      </c>
      <c r="AKZ4" s="1851" t="s">
        <v>2201</v>
      </c>
      <c r="ALA4" s="1851" t="s">
        <v>2202</v>
      </c>
      <c r="ALB4" s="1851" t="s">
        <v>2203</v>
      </c>
      <c r="ALC4" s="1851" t="s">
        <v>2204</v>
      </c>
      <c r="ALD4" s="1851" t="s">
        <v>2205</v>
      </c>
      <c r="ALE4" s="1851" t="s">
        <v>2206</v>
      </c>
      <c r="ALF4" s="1851" t="s">
        <v>2207</v>
      </c>
      <c r="ALG4" s="1851" t="s">
        <v>2208</v>
      </c>
      <c r="ALH4" s="1851" t="s">
        <v>2209</v>
      </c>
      <c r="ALI4" s="1851" t="s">
        <v>2210</v>
      </c>
      <c r="ALJ4" s="1851" t="s">
        <v>2211</v>
      </c>
      <c r="ALK4" s="1851" t="s">
        <v>2212</v>
      </c>
      <c r="ALL4" s="1851" t="s">
        <v>2213</v>
      </c>
      <c r="ALM4" s="1851" t="s">
        <v>2214</v>
      </c>
      <c r="ALN4" s="1851" t="s">
        <v>2215</v>
      </c>
      <c r="ALO4" s="1851" t="s">
        <v>2216</v>
      </c>
      <c r="ALP4" s="1851" t="s">
        <v>2217</v>
      </c>
      <c r="ALQ4" s="1851" t="s">
        <v>2218</v>
      </c>
      <c r="ALR4" s="1851" t="s">
        <v>2219</v>
      </c>
      <c r="ALS4" s="1851"/>
    </row>
    <row r="5" spans="1:1007" s="1851" customFormat="1" x14ac:dyDescent="0.3">
      <c r="A5" s="1854"/>
      <c r="B5" t="s">
        <v>1216</v>
      </c>
      <c r="C5" s="1853" t="s">
        <v>1218</v>
      </c>
      <c r="D5" s="1855">
        <f>IFERROR(AVERAGE(G5:ALS5),0)</f>
        <v>0</v>
      </c>
      <c r="E5" s="1855">
        <f>MIN(G5:ALS5)</f>
        <v>0</v>
      </c>
      <c r="F5" s="1855">
        <f>MAX(G5:ALS5)</f>
        <v>0</v>
      </c>
      <c r="G5" s="1852"/>
      <c r="H5" s="1852"/>
      <c r="I5" s="1852"/>
      <c r="J5" s="1852"/>
      <c r="K5" s="1852"/>
      <c r="L5" s="1852"/>
      <c r="M5" s="1852"/>
      <c r="N5" s="1852"/>
      <c r="O5" s="1852"/>
      <c r="P5" s="1852"/>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c r="AT5" s="1852"/>
      <c r="AU5" s="1852"/>
      <c r="AV5" s="1852"/>
      <c r="AW5" s="1852"/>
      <c r="AX5" s="1852"/>
      <c r="AY5" s="1852"/>
      <c r="AZ5" s="1852"/>
      <c r="BA5" s="1852"/>
      <c r="BB5" s="1852"/>
      <c r="BC5" s="1852"/>
      <c r="BD5" s="1852"/>
      <c r="BE5" s="1852"/>
      <c r="BF5" s="1852"/>
      <c r="BG5" s="1852"/>
      <c r="BH5" s="1852"/>
      <c r="BI5" s="1852"/>
      <c r="BJ5" s="1852"/>
      <c r="BK5" s="1852"/>
      <c r="BL5" s="1852"/>
      <c r="BM5" s="1852"/>
      <c r="BN5" s="1852"/>
      <c r="BO5" s="1852"/>
      <c r="BP5" s="1852"/>
      <c r="BQ5" s="1852"/>
      <c r="BR5" s="1852"/>
      <c r="BS5" s="1852"/>
      <c r="BT5" s="1852"/>
      <c r="BU5" s="1852"/>
      <c r="BV5" s="1852"/>
      <c r="BW5" s="1852"/>
      <c r="BX5" s="1852"/>
      <c r="BY5" s="1852"/>
      <c r="BZ5" s="1852"/>
      <c r="CA5" s="1852"/>
      <c r="CB5" s="1852"/>
      <c r="CC5" s="1852"/>
      <c r="CD5" s="1852"/>
      <c r="CE5" s="1852"/>
      <c r="CF5" s="1852"/>
      <c r="CG5" s="1852"/>
      <c r="CH5" s="1852"/>
      <c r="CI5" s="1852"/>
      <c r="CJ5" s="1852"/>
      <c r="CK5" s="1852"/>
      <c r="CL5" s="1852"/>
      <c r="CM5" s="1852"/>
      <c r="CN5" s="1852"/>
      <c r="CO5" s="1852"/>
      <c r="CP5" s="1852"/>
      <c r="CQ5" s="1852"/>
      <c r="CR5" s="1852"/>
      <c r="CS5" s="1852"/>
      <c r="CT5" s="1852"/>
      <c r="CU5" s="1852"/>
      <c r="CV5" s="1852"/>
      <c r="CW5" s="1852"/>
      <c r="CX5" s="1852"/>
      <c r="CY5" s="1852"/>
      <c r="CZ5" s="1852"/>
      <c r="DA5" s="1852"/>
      <c r="DB5" s="1852"/>
      <c r="DC5" s="1852"/>
      <c r="DD5" s="1852"/>
      <c r="DE5" s="1852"/>
      <c r="DF5" s="1852"/>
      <c r="DG5" s="1852"/>
      <c r="DH5" s="1852"/>
      <c r="DI5" s="1852"/>
      <c r="DJ5" s="1852"/>
      <c r="DK5" s="1852"/>
      <c r="DL5" s="1852"/>
      <c r="DM5" s="1852"/>
      <c r="DN5" s="1852"/>
      <c r="DO5" s="1852"/>
      <c r="DP5" s="1852"/>
      <c r="DQ5" s="1852"/>
      <c r="DR5" s="1852"/>
      <c r="DS5" s="1852"/>
      <c r="DT5" s="1852"/>
      <c r="DU5" s="1852"/>
      <c r="DV5" s="1852"/>
      <c r="DW5" s="1852"/>
      <c r="DX5" s="1852"/>
      <c r="DY5" s="1852"/>
      <c r="DZ5" s="1852"/>
      <c r="EA5" s="1852"/>
      <c r="EB5" s="1852"/>
      <c r="EC5" s="1852"/>
      <c r="ED5" s="1852"/>
      <c r="EE5" s="1852"/>
      <c r="EF5" s="1852"/>
      <c r="EG5" s="1852"/>
      <c r="EH5" s="1852"/>
      <c r="EI5" s="1852"/>
      <c r="EJ5" s="1852"/>
      <c r="EK5" s="1852"/>
      <c r="EL5" s="1852"/>
      <c r="EM5" s="1852"/>
      <c r="EN5" s="1852"/>
      <c r="EO5" s="1852"/>
      <c r="EP5" s="1852"/>
      <c r="EQ5" s="1852"/>
      <c r="ER5" s="1852"/>
      <c r="ES5" s="1852"/>
      <c r="ET5" s="1852"/>
      <c r="EU5" s="1852"/>
      <c r="EV5" s="1852"/>
      <c r="EW5" s="1852"/>
      <c r="EX5" s="1852"/>
      <c r="EY5" s="1852"/>
      <c r="EZ5" s="1852"/>
      <c r="FA5" s="1852"/>
      <c r="FB5" s="1852"/>
      <c r="FC5" s="1852"/>
      <c r="FD5" s="1852"/>
      <c r="FE5" s="1852"/>
      <c r="FF5" s="1852"/>
      <c r="FG5" s="1852"/>
      <c r="FH5" s="1852"/>
      <c r="FI5" s="1852"/>
      <c r="FJ5" s="1852"/>
      <c r="FK5" s="1852"/>
      <c r="FL5" s="1852"/>
      <c r="FM5" s="1852"/>
      <c r="FN5" s="1852"/>
      <c r="FO5" s="1852"/>
      <c r="FP5" s="1852"/>
      <c r="FQ5" s="1852"/>
      <c r="FR5" s="1852"/>
      <c r="FS5" s="1852"/>
      <c r="FT5" s="1852"/>
      <c r="FU5" s="1852"/>
      <c r="FV5" s="1852"/>
      <c r="FW5" s="1852"/>
      <c r="FX5" s="1852"/>
      <c r="FY5" s="1852"/>
      <c r="FZ5" s="1852"/>
      <c r="GA5" s="1852"/>
      <c r="GB5" s="1852"/>
      <c r="GC5" s="1852"/>
      <c r="GD5" s="1852"/>
      <c r="GE5" s="1852"/>
      <c r="GF5" s="1852"/>
      <c r="GG5" s="1852"/>
      <c r="GH5" s="1852"/>
      <c r="GI5" s="1852"/>
      <c r="GJ5" s="1852"/>
      <c r="GK5" s="1852"/>
      <c r="GL5" s="1852"/>
      <c r="GM5" s="1852"/>
      <c r="GN5" s="1852"/>
      <c r="GO5" s="1852"/>
      <c r="GP5" s="1852"/>
      <c r="GQ5" s="1852"/>
      <c r="GR5" s="1852"/>
      <c r="GS5" s="1852"/>
      <c r="GT5" s="1852"/>
      <c r="GU5" s="1852"/>
      <c r="GV5" s="1852"/>
      <c r="GW5" s="1852"/>
      <c r="GX5" s="1852"/>
      <c r="GY5" s="1852"/>
      <c r="GZ5" s="1852"/>
      <c r="HA5" s="1852"/>
      <c r="HB5" s="1852"/>
      <c r="HC5" s="1852"/>
      <c r="HD5" s="1852"/>
      <c r="HE5" s="1852"/>
      <c r="HF5" s="1852"/>
      <c r="HG5" s="1852"/>
      <c r="HH5" s="1852"/>
      <c r="HI5" s="1852"/>
      <c r="HJ5" s="1852"/>
      <c r="HK5" s="1852"/>
      <c r="HL5" s="1852"/>
      <c r="HM5" s="1852"/>
      <c r="HN5" s="1852"/>
      <c r="HO5" s="1852"/>
      <c r="HP5" s="1852"/>
      <c r="HQ5" s="1852"/>
      <c r="HR5" s="1852"/>
      <c r="HS5" s="1852"/>
      <c r="HT5" s="1852"/>
      <c r="HU5" s="1852"/>
      <c r="HV5" s="1852"/>
      <c r="HW5" s="1852"/>
      <c r="HX5" s="1852"/>
      <c r="HY5" s="1852"/>
      <c r="HZ5" s="1852"/>
      <c r="IA5" s="1852"/>
      <c r="IB5" s="1852"/>
      <c r="IC5" s="1852"/>
      <c r="ID5" s="1852"/>
      <c r="IE5" s="1852"/>
      <c r="IF5" s="1852"/>
      <c r="IG5" s="1852"/>
      <c r="IH5" s="1852"/>
      <c r="II5" s="1852"/>
      <c r="IJ5" s="1852"/>
      <c r="IK5" s="1852"/>
      <c r="IL5" s="1852"/>
      <c r="IM5" s="1852"/>
      <c r="IN5" s="1852"/>
      <c r="IO5" s="1852"/>
      <c r="IP5" s="1852"/>
      <c r="IQ5" s="1852"/>
      <c r="IR5" s="1852"/>
      <c r="IS5" s="1852"/>
      <c r="IT5" s="1852"/>
      <c r="IU5" s="1852"/>
      <c r="IV5" s="1852"/>
      <c r="IW5" s="1852"/>
      <c r="IX5" s="1852"/>
      <c r="IY5" s="1852"/>
      <c r="IZ5" s="1852"/>
      <c r="JA5" s="1852"/>
      <c r="JB5" s="1852"/>
      <c r="JC5" s="1852"/>
      <c r="JD5" s="1852"/>
      <c r="JE5" s="1852"/>
      <c r="JF5" s="1852"/>
      <c r="JG5" s="1852"/>
      <c r="JH5" s="1852"/>
      <c r="JI5" s="1852"/>
      <c r="JJ5" s="1852"/>
      <c r="JK5" s="1852"/>
      <c r="JL5" s="1852"/>
      <c r="JM5" s="1852"/>
      <c r="JN5" s="1852"/>
      <c r="JO5" s="1852"/>
      <c r="JP5" s="1852"/>
      <c r="JQ5" s="1852"/>
      <c r="JR5" s="1852"/>
      <c r="JS5" s="1852"/>
      <c r="JT5" s="1852"/>
      <c r="JU5" s="1852"/>
      <c r="JV5" s="1852"/>
      <c r="JW5" s="1852"/>
      <c r="JX5" s="1852"/>
      <c r="JY5" s="1852"/>
      <c r="JZ5" s="1852"/>
      <c r="KA5" s="1852"/>
      <c r="KB5" s="1852"/>
      <c r="KC5" s="1852"/>
      <c r="KD5" s="1852"/>
      <c r="KE5" s="1852"/>
      <c r="KF5" s="1852"/>
      <c r="KG5" s="1852"/>
      <c r="KH5" s="1852"/>
      <c r="KI5" s="1852"/>
      <c r="KJ5" s="1852"/>
      <c r="KK5" s="1852"/>
      <c r="KL5" s="1852"/>
      <c r="KM5" s="1852"/>
      <c r="KN5" s="1852"/>
      <c r="KO5" s="1852"/>
      <c r="KP5" s="1852"/>
      <c r="KQ5" s="1852"/>
      <c r="KR5" s="1852"/>
      <c r="KS5" s="1852"/>
      <c r="KT5" s="1852"/>
      <c r="KU5" s="1852"/>
      <c r="KV5" s="1852"/>
      <c r="KW5" s="1852"/>
      <c r="KX5" s="1852"/>
      <c r="KY5" s="1852"/>
      <c r="KZ5" s="1852"/>
      <c r="LA5" s="1852"/>
      <c r="LB5" s="1852"/>
      <c r="LC5" s="1852"/>
      <c r="LD5" s="1852"/>
      <c r="LE5" s="1852"/>
      <c r="LF5" s="1852"/>
      <c r="LG5" s="1852"/>
      <c r="LH5" s="1852"/>
      <c r="LI5" s="1852"/>
      <c r="LJ5" s="1852"/>
      <c r="LK5" s="1852"/>
      <c r="LL5" s="1852"/>
      <c r="LM5" s="1852"/>
      <c r="LN5" s="1852"/>
      <c r="LO5" s="1852"/>
      <c r="LP5" s="1852"/>
      <c r="LQ5" s="1852"/>
      <c r="LR5" s="1852"/>
      <c r="LS5" s="1852"/>
      <c r="LT5" s="1852"/>
      <c r="LU5" s="1852"/>
      <c r="LV5" s="1852"/>
      <c r="LW5" s="1852"/>
      <c r="LX5" s="1852"/>
      <c r="LY5" s="1852"/>
      <c r="LZ5" s="1852"/>
      <c r="MA5" s="1852"/>
      <c r="MB5" s="1852"/>
      <c r="MC5" s="1852"/>
      <c r="MD5" s="1852"/>
      <c r="ME5" s="1852"/>
      <c r="MF5" s="1852"/>
      <c r="MG5" s="1852"/>
      <c r="MH5" s="1852"/>
      <c r="MI5" s="1852"/>
      <c r="MJ5" s="1852"/>
      <c r="MK5" s="1852"/>
      <c r="ML5" s="1852"/>
      <c r="MM5" s="1852"/>
      <c r="MN5" s="1852"/>
      <c r="MO5" s="1852"/>
      <c r="MP5" s="1852"/>
      <c r="MQ5" s="1852"/>
      <c r="MR5" s="1852"/>
      <c r="MS5" s="1852"/>
      <c r="MT5" s="1852"/>
      <c r="MU5" s="1852"/>
      <c r="MV5" s="1852"/>
      <c r="MW5" s="1852"/>
      <c r="MX5" s="1852"/>
      <c r="MY5" s="1852"/>
      <c r="MZ5" s="1852"/>
      <c r="NA5" s="1852"/>
      <c r="NB5" s="1852"/>
      <c r="NC5" s="1852"/>
      <c r="ND5" s="1852"/>
      <c r="NE5" s="1852"/>
      <c r="NF5" s="1852"/>
      <c r="NG5" s="1852"/>
      <c r="NH5" s="1852"/>
      <c r="NI5" s="1852"/>
      <c r="NJ5" s="1852"/>
      <c r="NK5" s="1852"/>
      <c r="NL5" s="1852"/>
      <c r="NM5" s="1852"/>
      <c r="NN5" s="1852"/>
      <c r="NO5" s="1852"/>
      <c r="NP5" s="1852"/>
      <c r="NQ5" s="1852"/>
      <c r="NR5" s="1852"/>
      <c r="NS5" s="1852"/>
      <c r="NT5" s="1852"/>
      <c r="NU5" s="1852"/>
      <c r="NV5" s="1852"/>
      <c r="NW5" s="1852"/>
      <c r="NX5" s="1852"/>
      <c r="NY5" s="1852"/>
      <c r="NZ5" s="1852"/>
      <c r="OA5" s="1852"/>
      <c r="OB5" s="1852"/>
      <c r="OC5" s="1852"/>
      <c r="OD5" s="1852"/>
      <c r="OE5" s="1852"/>
      <c r="OF5" s="1852"/>
      <c r="OG5" s="1852"/>
      <c r="OH5" s="1852"/>
      <c r="OI5" s="1852"/>
      <c r="OJ5" s="1852"/>
      <c r="OK5" s="1852"/>
      <c r="OL5" s="1852"/>
      <c r="OM5" s="1852"/>
      <c r="ON5" s="1852"/>
      <c r="OO5" s="1852"/>
      <c r="OP5" s="1852"/>
      <c r="OQ5" s="1852"/>
      <c r="OR5" s="1852"/>
      <c r="OS5" s="1852"/>
      <c r="OT5" s="1852"/>
      <c r="OU5" s="1852"/>
      <c r="OV5" s="1852"/>
      <c r="OW5" s="1852"/>
      <c r="OX5" s="1852"/>
      <c r="OY5" s="1852"/>
      <c r="OZ5" s="1852"/>
      <c r="PA5" s="1852"/>
      <c r="PB5" s="1852"/>
      <c r="PC5" s="1852"/>
      <c r="PD5" s="1852"/>
      <c r="PE5" s="1852"/>
      <c r="PF5" s="1852"/>
      <c r="PG5" s="1852"/>
      <c r="PH5" s="1852"/>
      <c r="PI5" s="1852"/>
      <c r="PJ5" s="1852"/>
      <c r="PK5" s="1852"/>
      <c r="PL5" s="1852"/>
      <c r="PM5" s="1852"/>
      <c r="PN5" s="1852"/>
      <c r="PO5" s="1852"/>
      <c r="PP5" s="1852"/>
      <c r="PQ5" s="1852"/>
      <c r="PR5" s="1852"/>
      <c r="PS5" s="1852"/>
      <c r="PT5" s="1852"/>
      <c r="PU5" s="1852"/>
      <c r="PV5" s="1852"/>
      <c r="PW5" s="1852"/>
      <c r="PX5" s="1852"/>
      <c r="PY5" s="1852"/>
      <c r="PZ5" s="1852"/>
      <c r="QA5" s="1852"/>
      <c r="QB5" s="1852"/>
      <c r="QC5" s="1852"/>
      <c r="QD5" s="1852"/>
      <c r="QE5" s="1852"/>
      <c r="QF5" s="1852"/>
      <c r="QG5" s="1852"/>
      <c r="QH5" s="1852"/>
      <c r="QI5" s="1852"/>
      <c r="QJ5" s="1852"/>
      <c r="QK5" s="1852"/>
      <c r="QL5" s="1852"/>
      <c r="QM5" s="1852"/>
      <c r="QN5" s="1852"/>
      <c r="QO5" s="1852"/>
      <c r="QP5" s="1852"/>
      <c r="QQ5" s="1852"/>
      <c r="QR5" s="1852"/>
      <c r="QS5" s="1852"/>
      <c r="QT5" s="1852"/>
      <c r="QU5" s="1852"/>
      <c r="QV5" s="1852"/>
      <c r="QW5" s="1852"/>
      <c r="QX5" s="1852"/>
      <c r="QY5" s="1852"/>
      <c r="QZ5" s="1852"/>
      <c r="RA5" s="1852"/>
      <c r="RB5" s="1852"/>
      <c r="RC5" s="1852"/>
      <c r="RD5" s="1852"/>
      <c r="RE5" s="1852"/>
      <c r="RF5" s="1852"/>
      <c r="RG5" s="1852"/>
      <c r="RH5" s="1852"/>
      <c r="RI5" s="1852"/>
      <c r="RJ5" s="1852"/>
      <c r="RK5" s="1852"/>
      <c r="RL5" s="1852"/>
      <c r="RM5" s="1852"/>
      <c r="RN5" s="1852"/>
      <c r="RO5" s="1852"/>
      <c r="RP5" s="1852"/>
      <c r="RQ5" s="1852"/>
      <c r="RR5" s="1852"/>
      <c r="RS5" s="1852"/>
      <c r="RT5" s="1852"/>
      <c r="RU5" s="1852"/>
      <c r="RV5" s="1852"/>
      <c r="RW5" s="1852"/>
      <c r="RX5" s="1852"/>
      <c r="RY5" s="1852"/>
      <c r="RZ5" s="1852"/>
      <c r="SA5" s="1852"/>
      <c r="SB5" s="1852"/>
      <c r="SC5" s="1852"/>
      <c r="SD5" s="1852"/>
      <c r="SE5" s="1852"/>
      <c r="SF5" s="1852"/>
      <c r="SG5" s="1852"/>
      <c r="SH5" s="1852"/>
      <c r="SI5" s="1852"/>
      <c r="SJ5" s="1852"/>
      <c r="SK5" s="1852"/>
      <c r="SL5" s="1852"/>
      <c r="SM5" s="1852"/>
      <c r="SN5" s="1852"/>
      <c r="SO5" s="1852"/>
      <c r="SP5" s="1852"/>
      <c r="SQ5" s="1852"/>
      <c r="SR5" s="1852"/>
      <c r="SS5" s="1852"/>
      <c r="ST5" s="1852"/>
      <c r="SU5" s="1852"/>
      <c r="SV5" s="1852"/>
      <c r="SW5" s="1852"/>
      <c r="SX5" s="1852"/>
      <c r="SY5" s="1852"/>
      <c r="SZ5" s="1852"/>
      <c r="TA5" s="1852"/>
      <c r="TB5" s="1852"/>
      <c r="TC5" s="1852"/>
      <c r="TD5" s="1852"/>
      <c r="TE5" s="1852"/>
      <c r="TF5" s="1852"/>
      <c r="TG5" s="1852"/>
      <c r="TH5" s="1852"/>
      <c r="TI5" s="1852"/>
      <c r="TJ5" s="1852"/>
      <c r="TK5" s="1852"/>
      <c r="TL5" s="1852"/>
      <c r="TM5" s="1852"/>
      <c r="TN5" s="1852"/>
      <c r="TO5" s="1852"/>
      <c r="TP5" s="1852"/>
      <c r="TQ5" s="1852"/>
      <c r="TR5" s="1852"/>
      <c r="TS5" s="1852"/>
      <c r="TT5" s="1852"/>
      <c r="TU5" s="1852"/>
      <c r="TV5" s="1852"/>
      <c r="TW5" s="1852"/>
      <c r="TX5" s="1852"/>
      <c r="TY5" s="1852"/>
      <c r="TZ5" s="1852"/>
      <c r="UA5" s="1852"/>
      <c r="UB5" s="1852"/>
      <c r="UC5" s="1852"/>
      <c r="UD5" s="1852"/>
      <c r="UE5" s="1852"/>
      <c r="UF5" s="1852"/>
      <c r="UG5" s="1852"/>
      <c r="UH5" s="1852"/>
      <c r="UI5" s="1852"/>
      <c r="UJ5" s="1852"/>
      <c r="UK5" s="1852"/>
      <c r="UL5" s="1852"/>
      <c r="UM5" s="1852"/>
      <c r="UN5" s="1852"/>
      <c r="UO5" s="1852"/>
      <c r="UP5" s="1852"/>
      <c r="UQ5" s="1852"/>
      <c r="UR5" s="1852"/>
      <c r="US5" s="1852"/>
      <c r="UT5" s="1852"/>
      <c r="UU5" s="1852"/>
      <c r="UV5" s="1852"/>
      <c r="UW5" s="1852"/>
      <c r="UX5" s="1852"/>
      <c r="UY5" s="1852"/>
      <c r="UZ5" s="1852"/>
      <c r="VA5" s="1852"/>
      <c r="VB5" s="1852"/>
      <c r="VC5" s="1852"/>
      <c r="VD5" s="1852"/>
      <c r="VE5" s="1852"/>
      <c r="VF5" s="1852"/>
      <c r="VG5" s="1852"/>
      <c r="VH5" s="1852"/>
      <c r="VI5" s="1852"/>
      <c r="VJ5" s="1852"/>
      <c r="VK5" s="1852"/>
      <c r="VL5" s="1852"/>
      <c r="VM5" s="1852"/>
      <c r="VN5" s="1852"/>
      <c r="VO5" s="1852"/>
      <c r="VP5" s="1852"/>
      <c r="VQ5" s="1852"/>
      <c r="VR5" s="1852"/>
      <c r="VS5" s="1852"/>
      <c r="VT5" s="1852"/>
      <c r="VU5" s="1852"/>
      <c r="VV5" s="1852"/>
      <c r="VW5" s="1852"/>
      <c r="VX5" s="1852"/>
      <c r="VY5" s="1852"/>
      <c r="VZ5" s="1852"/>
      <c r="WA5" s="1852"/>
      <c r="WB5" s="1852"/>
      <c r="WC5" s="1852"/>
      <c r="WD5" s="1852"/>
      <c r="WE5" s="1852"/>
      <c r="WF5" s="1852"/>
      <c r="WG5" s="1852"/>
      <c r="WH5" s="1852"/>
      <c r="WI5" s="1852"/>
      <c r="WJ5" s="1852"/>
      <c r="WK5" s="1852"/>
      <c r="WL5" s="1852"/>
      <c r="WM5" s="1852"/>
      <c r="WN5" s="1852"/>
      <c r="WO5" s="1852"/>
      <c r="WP5" s="1852"/>
      <c r="WQ5" s="1852"/>
      <c r="WR5" s="1852"/>
      <c r="WS5" s="1852"/>
      <c r="WT5" s="1852"/>
      <c r="WU5" s="1852"/>
      <c r="WV5" s="1852"/>
      <c r="WW5" s="1852"/>
      <c r="WX5" s="1852"/>
      <c r="WY5" s="1852"/>
      <c r="WZ5" s="1852"/>
      <c r="XA5" s="1852"/>
      <c r="XB5" s="1852"/>
      <c r="XC5" s="1852"/>
      <c r="XD5" s="1852"/>
      <c r="XE5" s="1852"/>
      <c r="XF5" s="1852"/>
      <c r="XG5" s="1852"/>
      <c r="XH5" s="1852"/>
      <c r="XI5" s="1852"/>
      <c r="XJ5" s="1852"/>
      <c r="XK5" s="1852"/>
      <c r="XL5" s="1852"/>
      <c r="XM5" s="1852"/>
      <c r="XN5" s="1852"/>
      <c r="XO5" s="1852"/>
      <c r="XP5" s="1852"/>
      <c r="XQ5" s="1852"/>
      <c r="XR5" s="1852"/>
      <c r="XS5" s="1852"/>
      <c r="XT5" s="1852"/>
      <c r="XU5" s="1852"/>
      <c r="XV5" s="1852"/>
      <c r="XW5" s="1852"/>
      <c r="XX5" s="1852"/>
      <c r="XY5" s="1852"/>
      <c r="XZ5" s="1852"/>
      <c r="YA5" s="1852"/>
      <c r="YB5" s="1852"/>
      <c r="YC5" s="1852"/>
      <c r="YD5" s="1852"/>
      <c r="YE5" s="1852"/>
      <c r="YF5" s="1852"/>
      <c r="YG5" s="1852"/>
      <c r="YH5" s="1852"/>
      <c r="YI5" s="1852"/>
      <c r="YJ5" s="1852"/>
      <c r="YK5" s="1852"/>
      <c r="YL5" s="1852"/>
      <c r="YM5" s="1852"/>
      <c r="YN5" s="1852"/>
      <c r="YO5" s="1852"/>
      <c r="YP5" s="1852"/>
      <c r="YQ5" s="1852"/>
      <c r="YR5" s="1852"/>
      <c r="YS5" s="1852"/>
      <c r="YT5" s="1852"/>
      <c r="YU5" s="1852"/>
      <c r="YV5" s="1852"/>
      <c r="YW5" s="1852"/>
      <c r="YX5" s="1852"/>
      <c r="YY5" s="1852"/>
      <c r="YZ5" s="1852"/>
      <c r="ZA5" s="1852"/>
      <c r="ZB5" s="1852"/>
      <c r="ZC5" s="1852"/>
      <c r="ZD5" s="1852"/>
      <c r="ZE5" s="1852"/>
      <c r="ZF5" s="1852"/>
      <c r="ZG5" s="1852"/>
      <c r="ZH5" s="1852"/>
      <c r="ZI5" s="1852"/>
      <c r="ZJ5" s="1852"/>
      <c r="ZK5" s="1852"/>
      <c r="ZL5" s="1852"/>
      <c r="ZM5" s="1852"/>
      <c r="ZN5" s="1852"/>
      <c r="ZO5" s="1852"/>
      <c r="ZP5" s="1852"/>
      <c r="ZQ5" s="1852"/>
      <c r="ZR5" s="1852"/>
      <c r="ZS5" s="1852"/>
      <c r="ZT5" s="1852"/>
      <c r="ZU5" s="1852"/>
      <c r="ZV5" s="1852"/>
      <c r="ZW5" s="1852"/>
      <c r="ZX5" s="1852"/>
      <c r="ZY5" s="1852"/>
      <c r="ZZ5" s="1852"/>
      <c r="AAA5" s="1852"/>
      <c r="AAB5" s="1852"/>
      <c r="AAC5" s="1852"/>
      <c r="AAD5" s="1852"/>
      <c r="AAE5" s="1852"/>
      <c r="AAF5" s="1852"/>
      <c r="AAG5" s="1852"/>
      <c r="AAH5" s="1852"/>
      <c r="AAI5" s="1852"/>
      <c r="AAJ5" s="1852"/>
      <c r="AAK5" s="1852"/>
      <c r="AAL5" s="1852"/>
      <c r="AAM5" s="1852"/>
      <c r="AAN5" s="1852"/>
      <c r="AAO5" s="1852"/>
      <c r="AAP5" s="1852"/>
      <c r="AAQ5" s="1852"/>
      <c r="AAR5" s="1852"/>
      <c r="AAS5" s="1852"/>
      <c r="AAT5" s="1852"/>
      <c r="AAU5" s="1852"/>
      <c r="AAV5" s="1852"/>
      <c r="AAW5" s="1852"/>
      <c r="AAX5" s="1852"/>
      <c r="AAY5" s="1852"/>
      <c r="AAZ5" s="1852"/>
      <c r="ABA5" s="1852"/>
      <c r="ABB5" s="1852"/>
      <c r="ABC5" s="1852"/>
      <c r="ABD5" s="1852"/>
      <c r="ABE5" s="1852"/>
      <c r="ABF5" s="1852"/>
      <c r="ABG5" s="1852"/>
      <c r="ABH5" s="1852"/>
      <c r="ABI5" s="1852"/>
      <c r="ABJ5" s="1852"/>
      <c r="ABK5" s="1852"/>
      <c r="ABL5" s="1852"/>
      <c r="ABM5" s="1852"/>
      <c r="ABN5" s="1852"/>
      <c r="ABO5" s="1852"/>
      <c r="ABP5" s="1852"/>
      <c r="ABQ5" s="1852"/>
      <c r="ABR5" s="1852"/>
      <c r="ABS5" s="1852"/>
      <c r="ABT5" s="1852"/>
      <c r="ABU5" s="1852"/>
      <c r="ABV5" s="1852"/>
      <c r="ABW5" s="1852"/>
      <c r="ABX5" s="1852"/>
      <c r="ABY5" s="1852"/>
      <c r="ABZ5" s="1852"/>
      <c r="ACA5" s="1852"/>
      <c r="ACB5" s="1852"/>
      <c r="ACC5" s="1852"/>
      <c r="ACD5" s="1852"/>
      <c r="ACE5" s="1852"/>
      <c r="ACF5" s="1852"/>
      <c r="ACG5" s="1852"/>
      <c r="ACH5" s="1852"/>
      <c r="ACI5" s="1852"/>
      <c r="ACJ5" s="1852"/>
      <c r="ACK5" s="1852"/>
      <c r="ACL5" s="1852"/>
      <c r="ACM5" s="1852"/>
      <c r="ACN5" s="1852"/>
      <c r="ACO5" s="1852"/>
      <c r="ACP5" s="1852"/>
      <c r="ACQ5" s="1852"/>
      <c r="ACR5" s="1852"/>
      <c r="ACS5" s="1852"/>
      <c r="ACT5" s="1852"/>
      <c r="ACU5" s="1852"/>
      <c r="ACV5" s="1852"/>
      <c r="ACW5" s="1852"/>
      <c r="ACX5" s="1852"/>
      <c r="ACY5" s="1852"/>
      <c r="ACZ5" s="1852"/>
      <c r="ADA5" s="1852"/>
      <c r="ADB5" s="1852"/>
      <c r="ADC5" s="1852"/>
      <c r="ADD5" s="1852"/>
      <c r="ADE5" s="1852"/>
      <c r="ADF5" s="1852"/>
      <c r="ADG5" s="1852"/>
      <c r="ADH5" s="1852"/>
      <c r="ADI5" s="1852"/>
      <c r="ADJ5" s="1852"/>
      <c r="ADK5" s="1852"/>
      <c r="ADL5" s="1852"/>
      <c r="ADM5" s="1852"/>
      <c r="ADN5" s="1852"/>
      <c r="ADO5" s="1852"/>
      <c r="ADP5" s="1852"/>
      <c r="ADQ5" s="1852"/>
      <c r="ADR5" s="1852"/>
      <c r="ADS5" s="1852"/>
      <c r="ADT5" s="1852"/>
      <c r="ADU5" s="1852"/>
      <c r="ADV5" s="1852"/>
      <c r="ADW5" s="1852"/>
      <c r="ADX5" s="1852"/>
      <c r="ADY5" s="1852"/>
      <c r="ADZ5" s="1852"/>
      <c r="AEA5" s="1852"/>
      <c r="AEB5" s="1852"/>
      <c r="AEC5" s="1852"/>
      <c r="AED5" s="1852"/>
      <c r="AEE5" s="1852"/>
      <c r="AEF5" s="1852"/>
      <c r="AEG5" s="1852"/>
      <c r="AEH5" s="1852"/>
      <c r="AEI5" s="1852"/>
      <c r="AEJ5" s="1852"/>
      <c r="AEK5" s="1852"/>
      <c r="AEL5" s="1852"/>
      <c r="AEM5" s="1852"/>
      <c r="AEN5" s="1852"/>
      <c r="AEO5" s="1852"/>
      <c r="AEP5" s="1852"/>
      <c r="AEQ5" s="1852"/>
      <c r="AER5" s="1852"/>
      <c r="AES5" s="1852"/>
      <c r="AET5" s="1852"/>
      <c r="AEU5" s="1852"/>
      <c r="AEV5" s="1852"/>
      <c r="AEW5" s="1852"/>
      <c r="AEX5" s="1852"/>
      <c r="AEY5" s="1852"/>
      <c r="AEZ5" s="1852"/>
      <c r="AFA5" s="1852"/>
      <c r="AFB5" s="1852"/>
      <c r="AFC5" s="1852"/>
      <c r="AFD5" s="1852"/>
      <c r="AFE5" s="1852"/>
      <c r="AFF5" s="1852"/>
      <c r="AFG5" s="1852"/>
      <c r="AFH5" s="1852"/>
      <c r="AFI5" s="1852"/>
      <c r="AFJ5" s="1852"/>
      <c r="AFK5" s="1852"/>
      <c r="AFL5" s="1852"/>
      <c r="AFM5" s="1852"/>
      <c r="AFN5" s="1852"/>
      <c r="AFO5" s="1852"/>
      <c r="AFP5" s="1852"/>
      <c r="AFQ5" s="1852"/>
      <c r="AFR5" s="1852"/>
      <c r="AFS5" s="1852"/>
      <c r="AFT5" s="1852"/>
      <c r="AFU5" s="1852"/>
      <c r="AFV5" s="1852"/>
      <c r="AFW5" s="1852"/>
      <c r="AFX5" s="1852"/>
      <c r="AFY5" s="1852"/>
      <c r="AFZ5" s="1852"/>
      <c r="AGA5" s="1852"/>
      <c r="AGB5" s="1852"/>
      <c r="AGC5" s="1852"/>
      <c r="AGD5" s="1852"/>
      <c r="AGE5" s="1852"/>
      <c r="AGF5" s="1852"/>
      <c r="AGG5" s="1852"/>
      <c r="AGH5" s="1852"/>
      <c r="AGI5" s="1852"/>
      <c r="AGJ5" s="1852"/>
      <c r="AGK5" s="1852"/>
      <c r="AGL5" s="1852"/>
      <c r="AGM5" s="1852"/>
      <c r="AGN5" s="1852"/>
      <c r="AGO5" s="1852"/>
      <c r="AGP5" s="1852"/>
      <c r="AGQ5" s="1852"/>
      <c r="AGR5" s="1852"/>
      <c r="AGS5" s="1852"/>
      <c r="AGT5" s="1852"/>
      <c r="AGU5" s="1852"/>
      <c r="AGV5" s="1852"/>
      <c r="AGW5" s="1852"/>
      <c r="AGX5" s="1852"/>
      <c r="AGY5" s="1852"/>
      <c r="AGZ5" s="1852"/>
      <c r="AHA5" s="1852"/>
      <c r="AHB5" s="1852"/>
      <c r="AHC5" s="1852"/>
      <c r="AHD5" s="1852"/>
      <c r="AHE5" s="1852"/>
      <c r="AHF5" s="1852"/>
      <c r="AHG5" s="1852"/>
      <c r="AHH5" s="1852"/>
      <c r="AHI5" s="1852"/>
      <c r="AHJ5" s="1852"/>
      <c r="AHK5" s="1852"/>
      <c r="AHL5" s="1852"/>
      <c r="AHM5" s="1852"/>
      <c r="AHN5" s="1852"/>
      <c r="AHO5" s="1852"/>
      <c r="AHP5" s="1852"/>
      <c r="AHQ5" s="1852"/>
      <c r="AHR5" s="1852"/>
      <c r="AHS5" s="1852"/>
      <c r="AHT5" s="1852"/>
      <c r="AHU5" s="1852"/>
      <c r="AHV5" s="1852"/>
      <c r="AHW5" s="1852"/>
      <c r="AHX5" s="1852"/>
      <c r="AHY5" s="1852"/>
      <c r="AHZ5" s="1852"/>
      <c r="AIA5" s="1852"/>
      <c r="AIB5" s="1852"/>
      <c r="AIC5" s="1852"/>
      <c r="AID5" s="1852"/>
      <c r="AIE5" s="1852"/>
      <c r="AIF5" s="1852"/>
      <c r="AIG5" s="1852"/>
      <c r="AIH5" s="1852"/>
      <c r="AII5" s="1852"/>
      <c r="AIJ5" s="1852"/>
      <c r="AIK5" s="1852"/>
      <c r="AIL5" s="1852"/>
      <c r="AIM5" s="1852"/>
      <c r="AIN5" s="1852"/>
      <c r="AIO5" s="1852"/>
      <c r="AIP5" s="1852"/>
      <c r="AIQ5" s="1852"/>
      <c r="AIR5" s="1852"/>
      <c r="AIS5" s="1852"/>
      <c r="AIT5" s="1852"/>
      <c r="AIU5" s="1852"/>
      <c r="AIV5" s="1852"/>
      <c r="AIW5" s="1852"/>
      <c r="AIX5" s="1852"/>
      <c r="AIY5" s="1852"/>
      <c r="AIZ5" s="1852"/>
      <c r="AJA5" s="1852"/>
      <c r="AJB5" s="1852"/>
      <c r="AJC5" s="1852"/>
      <c r="AJD5" s="1852"/>
      <c r="AJE5" s="1852"/>
      <c r="AJF5" s="1852"/>
      <c r="AJG5" s="1852"/>
      <c r="AJH5" s="1852"/>
      <c r="AJI5" s="1852"/>
      <c r="AJJ5" s="1852"/>
      <c r="AJK5" s="1852"/>
      <c r="AJL5" s="1852"/>
      <c r="AJM5" s="1852"/>
      <c r="AJN5" s="1852"/>
      <c r="AJO5" s="1852"/>
      <c r="AJP5" s="1852"/>
      <c r="AJQ5" s="1852"/>
      <c r="AJR5" s="1852"/>
      <c r="AJS5" s="1852"/>
      <c r="AJT5" s="1852"/>
      <c r="AJU5" s="1852"/>
      <c r="AJV5" s="1852"/>
      <c r="AJW5" s="1852"/>
      <c r="AJX5" s="1852"/>
      <c r="AJY5" s="1852"/>
      <c r="AJZ5" s="1852"/>
      <c r="AKA5" s="1852"/>
      <c r="AKB5" s="1852"/>
      <c r="AKC5" s="1852"/>
      <c r="AKD5" s="1852"/>
      <c r="AKE5" s="1852"/>
      <c r="AKF5" s="1852"/>
      <c r="AKG5" s="1852"/>
      <c r="AKH5" s="1852"/>
      <c r="AKI5" s="1852"/>
      <c r="AKJ5" s="1852"/>
      <c r="AKK5" s="1852"/>
      <c r="AKL5" s="1852"/>
      <c r="AKM5" s="1852"/>
      <c r="AKN5" s="1852"/>
      <c r="AKO5" s="1852"/>
      <c r="AKP5" s="1852"/>
      <c r="AKQ5" s="1852"/>
      <c r="AKR5" s="1852"/>
      <c r="AKS5" s="1852"/>
      <c r="AKT5" s="1852"/>
      <c r="AKU5" s="1852"/>
      <c r="AKV5" s="1852"/>
      <c r="AKW5" s="1852"/>
      <c r="AKX5" s="1852"/>
      <c r="AKY5" s="1852"/>
      <c r="AKZ5" s="1852"/>
      <c r="ALA5" s="1852"/>
      <c r="ALB5" s="1852"/>
      <c r="ALC5" s="1852"/>
      <c r="ALD5" s="1852"/>
      <c r="ALE5" s="1852"/>
      <c r="ALF5" s="1852"/>
      <c r="ALG5" s="1852"/>
      <c r="ALH5" s="1852"/>
      <c r="ALI5" s="1852"/>
      <c r="ALJ5" s="1852"/>
      <c r="ALK5" s="1852"/>
      <c r="ALL5" s="1852"/>
      <c r="ALM5" s="1852"/>
      <c r="ALN5" s="1852"/>
      <c r="ALO5" s="1852"/>
      <c r="ALP5" s="1852"/>
      <c r="ALQ5" s="1852"/>
      <c r="ALR5" s="1852"/>
      <c r="ALS5"/>
    </row>
    <row r="6" spans="1:1007" x14ac:dyDescent="0.3">
      <c r="A6" s="1854"/>
      <c r="B6" t="s">
        <v>1216</v>
      </c>
      <c r="C6" s="1853" t="s">
        <v>1218</v>
      </c>
      <c r="D6" s="1855">
        <f>IFERROR(AVERAGE(G6:ALS6),0)</f>
        <v>0</v>
      </c>
      <c r="E6" s="1855">
        <f>IFERROR(MIN(G6:ALS6),0)</f>
        <v>0</v>
      </c>
      <c r="F6" s="1855">
        <f>IFERROR(MAX(G6:ALS6),0)</f>
        <v>0</v>
      </c>
      <c r="G6" s="1852"/>
      <c r="H6" s="1852"/>
      <c r="I6" s="1852"/>
      <c r="J6" s="1852"/>
      <c r="K6" s="1852"/>
      <c r="L6" s="1852"/>
      <c r="M6" s="1852"/>
      <c r="N6" s="1852"/>
      <c r="O6" s="1852"/>
      <c r="P6" s="1852"/>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c r="AT6" s="1852"/>
      <c r="AU6" s="1852"/>
      <c r="AV6" s="1852"/>
      <c r="AW6" s="1852"/>
      <c r="AX6" s="1852"/>
      <c r="AY6" s="1852"/>
      <c r="AZ6" s="1852"/>
      <c r="BA6" s="1852"/>
      <c r="BB6" s="1852"/>
      <c r="BC6" s="1852"/>
      <c r="BD6" s="1852"/>
      <c r="BE6" s="1852"/>
      <c r="BF6" s="1852"/>
      <c r="BG6" s="1852"/>
      <c r="BH6" s="1852"/>
      <c r="BI6" s="1852"/>
      <c r="BJ6" s="1852"/>
      <c r="BK6" s="1852"/>
      <c r="BL6" s="1852"/>
      <c r="BM6" s="1852"/>
      <c r="BN6" s="1852"/>
      <c r="BO6" s="1852"/>
      <c r="BP6" s="1852"/>
      <c r="BQ6" s="1852"/>
      <c r="BR6" s="1852"/>
      <c r="BS6" s="1852"/>
      <c r="BT6" s="1852"/>
      <c r="BU6" s="1852"/>
      <c r="BV6" s="1852"/>
      <c r="BW6" s="1852"/>
      <c r="BX6" s="1852"/>
      <c r="BY6" s="1852"/>
      <c r="BZ6" s="1852"/>
      <c r="CA6" s="1852"/>
      <c r="CB6" s="1852"/>
      <c r="CC6" s="1852"/>
      <c r="CD6" s="1852"/>
      <c r="CE6" s="1852"/>
      <c r="CF6" s="1852"/>
      <c r="CG6" s="1852"/>
      <c r="CH6" s="1852"/>
      <c r="CI6" s="1852"/>
      <c r="CJ6" s="1852"/>
      <c r="CK6" s="1852"/>
      <c r="CL6" s="1852"/>
      <c r="CM6" s="1852"/>
      <c r="CN6" s="1852"/>
      <c r="CO6" s="1852"/>
      <c r="CP6" s="1852"/>
      <c r="CQ6" s="1852"/>
      <c r="CR6" s="1852"/>
      <c r="CS6" s="1852"/>
      <c r="CT6" s="1852"/>
      <c r="CU6" s="1852"/>
      <c r="CV6" s="1852"/>
      <c r="CW6" s="1852"/>
      <c r="CX6" s="1852"/>
      <c r="CY6" s="1852"/>
      <c r="CZ6" s="1852"/>
      <c r="DA6" s="1852"/>
      <c r="DB6" s="1852"/>
      <c r="DC6" s="1852"/>
      <c r="DD6" s="1852"/>
      <c r="DE6" s="1852"/>
      <c r="DF6" s="1852"/>
      <c r="DG6" s="1852"/>
      <c r="DH6" s="1852"/>
      <c r="DI6" s="1852"/>
      <c r="DJ6" s="1852"/>
      <c r="DK6" s="1852"/>
      <c r="DL6" s="1852"/>
      <c r="DM6" s="1852"/>
      <c r="DN6" s="1852"/>
      <c r="DO6" s="1852"/>
      <c r="DP6" s="1852"/>
      <c r="DQ6" s="1852"/>
      <c r="DR6" s="1852"/>
      <c r="DS6" s="1852"/>
      <c r="DT6" s="1852"/>
      <c r="DU6" s="1852"/>
      <c r="DV6" s="1852"/>
      <c r="DW6" s="1852"/>
      <c r="DX6" s="1852"/>
      <c r="DY6" s="1852"/>
      <c r="DZ6" s="1852"/>
      <c r="EA6" s="1852"/>
      <c r="EB6" s="1852"/>
      <c r="EC6" s="1852"/>
      <c r="ED6" s="1852"/>
      <c r="EE6" s="1852"/>
      <c r="EF6" s="1852"/>
      <c r="EG6" s="1852"/>
      <c r="EH6" s="1852"/>
      <c r="EI6" s="1852"/>
      <c r="EJ6" s="1852"/>
      <c r="EK6" s="1852"/>
      <c r="EL6" s="1852"/>
      <c r="EM6" s="1852"/>
      <c r="EN6" s="1852"/>
      <c r="EO6" s="1852"/>
      <c r="EP6" s="1852"/>
      <c r="EQ6" s="1852"/>
      <c r="ER6" s="1852"/>
      <c r="ES6" s="1852"/>
      <c r="ET6" s="1852"/>
      <c r="EU6" s="1852"/>
      <c r="EV6" s="1852"/>
      <c r="EW6" s="1852"/>
      <c r="EX6" s="1852"/>
      <c r="EY6" s="1852"/>
      <c r="EZ6" s="1852"/>
      <c r="FA6" s="1852"/>
      <c r="FB6" s="1852"/>
      <c r="FC6" s="1852"/>
      <c r="FD6" s="1852"/>
      <c r="FE6" s="1852"/>
      <c r="FF6" s="1852"/>
      <c r="FG6" s="1852"/>
      <c r="FH6" s="1852"/>
      <c r="FI6" s="1852"/>
      <c r="FJ6" s="1852"/>
      <c r="FK6" s="1852"/>
      <c r="FL6" s="1852"/>
      <c r="FM6" s="1852"/>
      <c r="FN6" s="1852"/>
      <c r="FO6" s="1852"/>
      <c r="FP6" s="1852"/>
      <c r="FQ6" s="1852"/>
      <c r="FR6" s="1852"/>
      <c r="FS6" s="1852"/>
      <c r="FT6" s="1852"/>
      <c r="FU6" s="1852"/>
      <c r="FV6" s="1852"/>
      <c r="FW6" s="1852"/>
      <c r="FX6" s="1852"/>
      <c r="FY6" s="1852"/>
      <c r="FZ6" s="1852"/>
      <c r="GA6" s="1852"/>
      <c r="GB6" s="1852"/>
      <c r="GC6" s="1852"/>
      <c r="GD6" s="1852"/>
      <c r="GE6" s="1852"/>
      <c r="GF6" s="1852"/>
      <c r="GG6" s="1852"/>
      <c r="GH6" s="1852"/>
      <c r="GI6" s="1852"/>
      <c r="GJ6" s="1852"/>
      <c r="GK6" s="1852"/>
      <c r="GL6" s="1852"/>
      <c r="GM6" s="1852"/>
      <c r="GN6" s="1852"/>
      <c r="GO6" s="1852"/>
      <c r="GP6" s="1852"/>
      <c r="GQ6" s="1852"/>
      <c r="GR6" s="1852"/>
      <c r="GS6" s="1852"/>
      <c r="GT6" s="1852"/>
      <c r="GU6" s="1852"/>
      <c r="GV6" s="1852"/>
      <c r="GW6" s="1852"/>
      <c r="GX6" s="1852"/>
      <c r="GY6" s="1852"/>
      <c r="GZ6" s="1852"/>
      <c r="HA6" s="1852"/>
      <c r="HB6" s="1852"/>
      <c r="HC6" s="1852"/>
      <c r="HD6" s="1852"/>
      <c r="HE6" s="1852"/>
      <c r="HF6" s="1852"/>
      <c r="HG6" s="1852"/>
      <c r="HH6" s="1852"/>
      <c r="HI6" s="1852"/>
      <c r="HJ6" s="1852"/>
      <c r="HK6" s="1852"/>
      <c r="HL6" s="1852"/>
      <c r="HM6" s="1852"/>
      <c r="HN6" s="1852"/>
      <c r="HO6" s="1852"/>
      <c r="HP6" s="1852"/>
      <c r="HQ6" s="1852"/>
      <c r="HR6" s="1852"/>
      <c r="HS6" s="1852"/>
      <c r="HT6" s="1852"/>
      <c r="HU6" s="1852"/>
      <c r="HV6" s="1852"/>
      <c r="HW6" s="1852"/>
      <c r="HX6" s="1852"/>
      <c r="HY6" s="1852"/>
      <c r="HZ6" s="1852"/>
      <c r="IA6" s="1852"/>
      <c r="IB6" s="1852"/>
      <c r="IC6" s="1852"/>
      <c r="ID6" s="1852"/>
      <c r="IE6" s="1852"/>
      <c r="IF6" s="1852"/>
      <c r="IG6" s="1852"/>
      <c r="IH6" s="1852"/>
      <c r="II6" s="1852"/>
      <c r="IJ6" s="1852"/>
      <c r="IK6" s="1852"/>
      <c r="IL6" s="1852"/>
      <c r="IM6" s="1852"/>
      <c r="IN6" s="1852"/>
      <c r="IO6" s="1852"/>
      <c r="IP6" s="1852"/>
      <c r="IQ6" s="1852"/>
      <c r="IR6" s="1852"/>
      <c r="IS6" s="1852"/>
      <c r="IT6" s="1852"/>
      <c r="IU6" s="1852"/>
      <c r="IV6" s="1852"/>
      <c r="IW6" s="1852"/>
      <c r="IX6" s="1852"/>
      <c r="IY6" s="1852"/>
      <c r="IZ6" s="1852"/>
      <c r="JA6" s="1852"/>
      <c r="JB6" s="1852"/>
      <c r="JC6" s="1852"/>
      <c r="JD6" s="1852"/>
      <c r="JE6" s="1852"/>
      <c r="JF6" s="1852"/>
      <c r="JG6" s="1852"/>
      <c r="JH6" s="1852"/>
      <c r="JI6" s="1852"/>
      <c r="JJ6" s="1852"/>
      <c r="JK6" s="1852"/>
      <c r="JL6" s="1852"/>
      <c r="JM6" s="1852"/>
      <c r="JN6" s="1852"/>
      <c r="JO6" s="1852"/>
      <c r="JP6" s="1852"/>
      <c r="JQ6" s="1852"/>
      <c r="JR6" s="1852"/>
      <c r="JS6" s="1852"/>
      <c r="JT6" s="1852"/>
      <c r="JU6" s="1852"/>
      <c r="JV6" s="1852"/>
      <c r="JW6" s="1852"/>
      <c r="JX6" s="1852"/>
      <c r="JY6" s="1852"/>
      <c r="JZ6" s="1852"/>
      <c r="KA6" s="1852"/>
      <c r="KB6" s="1852"/>
      <c r="KC6" s="1852"/>
      <c r="KD6" s="1852"/>
      <c r="KE6" s="1852"/>
      <c r="KF6" s="1852"/>
      <c r="KG6" s="1852"/>
      <c r="KH6" s="1852"/>
      <c r="KI6" s="1852"/>
      <c r="KJ6" s="1852"/>
      <c r="KK6" s="1852"/>
      <c r="KL6" s="1852"/>
      <c r="KM6" s="1852"/>
      <c r="KN6" s="1852"/>
      <c r="KO6" s="1852"/>
      <c r="KP6" s="1852"/>
      <c r="KQ6" s="1852"/>
      <c r="KR6" s="1852"/>
      <c r="KS6" s="1852"/>
      <c r="KT6" s="1852"/>
      <c r="KU6" s="1852"/>
      <c r="KV6" s="1852"/>
      <c r="KW6" s="1852"/>
      <c r="KX6" s="1852"/>
      <c r="KY6" s="1852"/>
      <c r="KZ6" s="1852"/>
      <c r="LA6" s="1852"/>
      <c r="LB6" s="1852"/>
      <c r="LC6" s="1852"/>
      <c r="LD6" s="1852"/>
      <c r="LE6" s="1852"/>
      <c r="LF6" s="1852"/>
      <c r="LG6" s="1852"/>
      <c r="LH6" s="1852"/>
      <c r="LI6" s="1852"/>
      <c r="LJ6" s="1852"/>
      <c r="LK6" s="1852"/>
      <c r="LL6" s="1852"/>
      <c r="LM6" s="1852"/>
      <c r="LN6" s="1852"/>
      <c r="LO6" s="1852"/>
      <c r="LP6" s="1852"/>
      <c r="LQ6" s="1852"/>
      <c r="LR6" s="1852"/>
      <c r="LS6" s="1852"/>
      <c r="LT6" s="1852"/>
      <c r="LU6" s="1852"/>
      <c r="LV6" s="1852"/>
      <c r="LW6" s="1852"/>
      <c r="LX6" s="1852"/>
      <c r="LY6" s="1852"/>
      <c r="LZ6" s="1852"/>
      <c r="MA6" s="1852"/>
      <c r="MB6" s="1852"/>
      <c r="MC6" s="1852"/>
      <c r="MD6" s="1852"/>
      <c r="ME6" s="1852"/>
      <c r="MF6" s="1852"/>
      <c r="MG6" s="1852"/>
      <c r="MH6" s="1852"/>
      <c r="MI6" s="1852"/>
      <c r="MJ6" s="1852"/>
      <c r="MK6" s="1852"/>
      <c r="ML6" s="1852"/>
      <c r="MM6" s="1852"/>
      <c r="MN6" s="1852"/>
      <c r="MO6" s="1852"/>
      <c r="MP6" s="1852"/>
      <c r="MQ6" s="1852"/>
      <c r="MR6" s="1852"/>
      <c r="MS6" s="1852"/>
      <c r="MT6" s="1852"/>
      <c r="MU6" s="1852"/>
      <c r="MV6" s="1852"/>
      <c r="MW6" s="1852"/>
      <c r="MX6" s="1852"/>
      <c r="MY6" s="1852"/>
      <c r="MZ6" s="1852"/>
      <c r="NA6" s="1852"/>
      <c r="NB6" s="1852"/>
      <c r="NC6" s="1852"/>
      <c r="ND6" s="1852"/>
      <c r="NE6" s="1852"/>
      <c r="NF6" s="1852"/>
      <c r="NG6" s="1852"/>
      <c r="NH6" s="1852"/>
      <c r="NI6" s="1852"/>
      <c r="NJ6" s="1852"/>
      <c r="NK6" s="1852"/>
      <c r="NL6" s="1852"/>
      <c r="NM6" s="1852"/>
      <c r="NN6" s="1852"/>
      <c r="NO6" s="1852"/>
      <c r="NP6" s="1852"/>
      <c r="NQ6" s="1852"/>
      <c r="NR6" s="1852"/>
      <c r="NS6" s="1852"/>
      <c r="NT6" s="1852"/>
      <c r="NU6" s="1852"/>
      <c r="NV6" s="1852"/>
      <c r="NW6" s="1852"/>
      <c r="NX6" s="1852"/>
      <c r="NY6" s="1852"/>
      <c r="NZ6" s="1852"/>
      <c r="OA6" s="1852"/>
      <c r="OB6" s="1852"/>
      <c r="OC6" s="1852"/>
      <c r="OD6" s="1852"/>
      <c r="OE6" s="1852"/>
      <c r="OF6" s="1852"/>
      <c r="OG6" s="1852"/>
      <c r="OH6" s="1852"/>
      <c r="OI6" s="1852"/>
      <c r="OJ6" s="1852"/>
      <c r="OK6" s="1852"/>
      <c r="OL6" s="1852"/>
      <c r="OM6" s="1852"/>
      <c r="ON6" s="1852"/>
      <c r="OO6" s="1852"/>
      <c r="OP6" s="1852"/>
      <c r="OQ6" s="1852"/>
      <c r="OR6" s="1852"/>
      <c r="OS6" s="1852"/>
      <c r="OT6" s="1852"/>
      <c r="OU6" s="1852"/>
      <c r="OV6" s="1852"/>
      <c r="OW6" s="1852"/>
      <c r="OX6" s="1852"/>
      <c r="OY6" s="1852"/>
      <c r="OZ6" s="1852"/>
      <c r="PA6" s="1852"/>
      <c r="PB6" s="1852"/>
      <c r="PC6" s="1852"/>
      <c r="PD6" s="1852"/>
      <c r="PE6" s="1852"/>
      <c r="PF6" s="1852"/>
      <c r="PG6" s="1852"/>
      <c r="PH6" s="1852"/>
      <c r="PI6" s="1852"/>
      <c r="PJ6" s="1852"/>
      <c r="PK6" s="1852"/>
      <c r="PL6" s="1852"/>
      <c r="PM6" s="1852"/>
      <c r="PN6" s="1852"/>
      <c r="PO6" s="1852"/>
      <c r="PP6" s="1852"/>
      <c r="PQ6" s="1852"/>
      <c r="PR6" s="1852"/>
      <c r="PS6" s="1852"/>
      <c r="PT6" s="1852"/>
      <c r="PU6" s="1852"/>
      <c r="PV6" s="1852"/>
      <c r="PW6" s="1852"/>
      <c r="PX6" s="1852"/>
      <c r="PY6" s="1852"/>
      <c r="PZ6" s="1852"/>
      <c r="QA6" s="1852"/>
      <c r="QB6" s="1852"/>
      <c r="QC6" s="1852"/>
      <c r="QD6" s="1852"/>
      <c r="QE6" s="1852"/>
      <c r="QF6" s="1852"/>
      <c r="QG6" s="1852"/>
      <c r="QH6" s="1852"/>
      <c r="QI6" s="1852"/>
      <c r="QJ6" s="1852"/>
      <c r="QK6" s="1852"/>
      <c r="QL6" s="1852"/>
      <c r="QM6" s="1852"/>
      <c r="QN6" s="1852"/>
      <c r="QO6" s="1852"/>
      <c r="QP6" s="1852"/>
      <c r="QQ6" s="1852"/>
      <c r="QR6" s="1852"/>
      <c r="QS6" s="1852"/>
      <c r="QT6" s="1852"/>
      <c r="QU6" s="1852"/>
      <c r="QV6" s="1852"/>
      <c r="QW6" s="1852"/>
      <c r="QX6" s="1852"/>
      <c r="QY6" s="1852"/>
      <c r="QZ6" s="1852"/>
      <c r="RA6" s="1852"/>
      <c r="RB6" s="1852"/>
      <c r="RC6" s="1852"/>
      <c r="RD6" s="1852"/>
      <c r="RE6" s="1852"/>
      <c r="RF6" s="1852"/>
      <c r="RG6" s="1852"/>
      <c r="RH6" s="1852"/>
      <c r="RI6" s="1852"/>
      <c r="RJ6" s="1852"/>
      <c r="RK6" s="1852"/>
      <c r="RL6" s="1852"/>
      <c r="RM6" s="1852"/>
      <c r="RN6" s="1852"/>
      <c r="RO6" s="1852"/>
      <c r="RP6" s="1852"/>
      <c r="RQ6" s="1852"/>
      <c r="RR6" s="1852"/>
      <c r="RS6" s="1852"/>
      <c r="RT6" s="1852"/>
      <c r="RU6" s="1852"/>
      <c r="RV6" s="1852"/>
      <c r="RW6" s="1852"/>
      <c r="RX6" s="1852"/>
      <c r="RY6" s="1852"/>
      <c r="RZ6" s="1852"/>
      <c r="SA6" s="1852"/>
      <c r="SB6" s="1852"/>
      <c r="SC6" s="1852"/>
      <c r="SD6" s="1852"/>
      <c r="SE6" s="1852"/>
      <c r="SF6" s="1852"/>
      <c r="SG6" s="1852"/>
      <c r="SH6" s="1852"/>
      <c r="SI6" s="1852"/>
      <c r="SJ6" s="1852"/>
      <c r="SK6" s="1852"/>
      <c r="SL6" s="1852"/>
      <c r="SM6" s="1852"/>
      <c r="SN6" s="1852"/>
      <c r="SO6" s="1852"/>
      <c r="SP6" s="1852"/>
      <c r="SQ6" s="1852"/>
      <c r="SR6" s="1852"/>
      <c r="SS6" s="1852"/>
      <c r="ST6" s="1852"/>
      <c r="SU6" s="1852"/>
      <c r="SV6" s="1852"/>
      <c r="SW6" s="1852"/>
      <c r="SX6" s="1852"/>
      <c r="SY6" s="1852"/>
      <c r="SZ6" s="1852"/>
      <c r="TA6" s="1852"/>
      <c r="TB6" s="1852"/>
      <c r="TC6" s="1852"/>
      <c r="TD6" s="1852"/>
      <c r="TE6" s="1852"/>
      <c r="TF6" s="1852"/>
      <c r="TG6" s="1852"/>
      <c r="TH6" s="1852"/>
      <c r="TI6" s="1852"/>
      <c r="TJ6" s="1852"/>
      <c r="TK6" s="1852"/>
      <c r="TL6" s="1852"/>
      <c r="TM6" s="1852"/>
      <c r="TN6" s="1852"/>
      <c r="TO6" s="1852"/>
      <c r="TP6" s="1852"/>
      <c r="TQ6" s="1852"/>
      <c r="TR6" s="1852"/>
      <c r="TS6" s="1852"/>
      <c r="TT6" s="1852"/>
      <c r="TU6" s="1852"/>
      <c r="TV6" s="1852"/>
      <c r="TW6" s="1852"/>
      <c r="TX6" s="1852"/>
      <c r="TY6" s="1852"/>
      <c r="TZ6" s="1852"/>
      <c r="UA6" s="1852"/>
      <c r="UB6" s="1852"/>
      <c r="UC6" s="1852"/>
      <c r="UD6" s="1852"/>
      <c r="UE6" s="1852"/>
      <c r="UF6" s="1852"/>
      <c r="UG6" s="1852"/>
      <c r="UH6" s="1852"/>
      <c r="UI6" s="1852"/>
      <c r="UJ6" s="1852"/>
      <c r="UK6" s="1852"/>
      <c r="UL6" s="1852"/>
      <c r="UM6" s="1852"/>
      <c r="UN6" s="1852"/>
      <c r="UO6" s="1852"/>
      <c r="UP6" s="1852"/>
      <c r="UQ6" s="1852"/>
      <c r="UR6" s="1852"/>
      <c r="US6" s="1852"/>
      <c r="UT6" s="1852"/>
      <c r="UU6" s="1852"/>
      <c r="UV6" s="1852"/>
      <c r="UW6" s="1852"/>
      <c r="UX6" s="1852"/>
      <c r="UY6" s="1852"/>
      <c r="UZ6" s="1852"/>
      <c r="VA6" s="1852"/>
      <c r="VB6" s="1852"/>
      <c r="VC6" s="1852"/>
      <c r="VD6" s="1852"/>
      <c r="VE6" s="1852"/>
      <c r="VF6" s="1852"/>
      <c r="VG6" s="1852"/>
      <c r="VH6" s="1852"/>
      <c r="VI6" s="1852"/>
      <c r="VJ6" s="1852"/>
      <c r="VK6" s="1852"/>
      <c r="VL6" s="1852"/>
      <c r="VM6" s="1852"/>
      <c r="VN6" s="1852"/>
      <c r="VO6" s="1852"/>
      <c r="VP6" s="1852"/>
      <c r="VQ6" s="1852"/>
      <c r="VR6" s="1852"/>
      <c r="VS6" s="1852"/>
      <c r="VT6" s="1852"/>
      <c r="VU6" s="1852"/>
      <c r="VV6" s="1852"/>
      <c r="VW6" s="1852"/>
      <c r="VX6" s="1852"/>
      <c r="VY6" s="1852"/>
      <c r="VZ6" s="1852"/>
      <c r="WA6" s="1852"/>
      <c r="WB6" s="1852"/>
      <c r="WC6" s="1852"/>
      <c r="WD6" s="1852"/>
      <c r="WE6" s="1852"/>
      <c r="WF6" s="1852"/>
      <c r="WG6" s="1852"/>
      <c r="WH6" s="1852"/>
      <c r="WI6" s="1852"/>
      <c r="WJ6" s="1852"/>
      <c r="WK6" s="1852"/>
      <c r="WL6" s="1852"/>
      <c r="WM6" s="1852"/>
      <c r="WN6" s="1852"/>
      <c r="WO6" s="1852"/>
      <c r="WP6" s="1852"/>
      <c r="WQ6" s="1852"/>
      <c r="WR6" s="1852"/>
      <c r="WS6" s="1852"/>
      <c r="WT6" s="1852"/>
      <c r="WU6" s="1852"/>
      <c r="WV6" s="1852"/>
      <c r="WW6" s="1852"/>
      <c r="WX6" s="1852"/>
      <c r="WY6" s="1852"/>
      <c r="WZ6" s="1852"/>
      <c r="XA6" s="1852"/>
      <c r="XB6" s="1852"/>
      <c r="XC6" s="1852"/>
      <c r="XD6" s="1852"/>
      <c r="XE6" s="1852"/>
      <c r="XF6" s="1852"/>
      <c r="XG6" s="1852"/>
      <c r="XH6" s="1852"/>
      <c r="XI6" s="1852"/>
      <c r="XJ6" s="1852"/>
      <c r="XK6" s="1852"/>
      <c r="XL6" s="1852"/>
      <c r="XM6" s="1852"/>
      <c r="XN6" s="1852"/>
      <c r="XO6" s="1852"/>
      <c r="XP6" s="1852"/>
      <c r="XQ6" s="1852"/>
      <c r="XR6" s="1852"/>
      <c r="XS6" s="1852"/>
      <c r="XT6" s="1852"/>
      <c r="XU6" s="1852"/>
      <c r="XV6" s="1852"/>
      <c r="XW6" s="1852"/>
      <c r="XX6" s="1852"/>
      <c r="XY6" s="1852"/>
      <c r="XZ6" s="1852"/>
      <c r="YA6" s="1852"/>
      <c r="YB6" s="1852"/>
      <c r="YC6" s="1852"/>
      <c r="YD6" s="1852"/>
      <c r="YE6" s="1852"/>
      <c r="YF6" s="1852"/>
      <c r="YG6" s="1852"/>
      <c r="YH6" s="1852"/>
      <c r="YI6" s="1852"/>
      <c r="YJ6" s="1852"/>
      <c r="YK6" s="1852"/>
      <c r="YL6" s="1852"/>
      <c r="YM6" s="1852"/>
      <c r="YN6" s="1852"/>
      <c r="YO6" s="1852"/>
      <c r="YP6" s="1852"/>
      <c r="YQ6" s="1852"/>
      <c r="YR6" s="1852"/>
      <c r="YS6" s="1852"/>
      <c r="YT6" s="1852"/>
      <c r="YU6" s="1852"/>
      <c r="YV6" s="1852"/>
      <c r="YW6" s="1852"/>
      <c r="YX6" s="1852"/>
      <c r="YY6" s="1852"/>
      <c r="YZ6" s="1852"/>
      <c r="ZA6" s="1852"/>
      <c r="ZB6" s="1852"/>
      <c r="ZC6" s="1852"/>
      <c r="ZD6" s="1852"/>
      <c r="ZE6" s="1852"/>
      <c r="ZF6" s="1852"/>
      <c r="ZG6" s="1852"/>
      <c r="ZH6" s="1852"/>
      <c r="ZI6" s="1852"/>
      <c r="ZJ6" s="1852"/>
      <c r="ZK6" s="1852"/>
      <c r="ZL6" s="1852"/>
      <c r="ZM6" s="1852"/>
      <c r="ZN6" s="1852"/>
      <c r="ZO6" s="1852"/>
      <c r="ZP6" s="1852"/>
      <c r="ZQ6" s="1852"/>
      <c r="ZR6" s="1852"/>
      <c r="ZS6" s="1852"/>
      <c r="ZT6" s="1852"/>
      <c r="ZU6" s="1852"/>
      <c r="ZV6" s="1852"/>
      <c r="ZW6" s="1852"/>
      <c r="ZX6" s="1852"/>
      <c r="ZY6" s="1852"/>
      <c r="ZZ6" s="1852"/>
      <c r="AAA6" s="1852"/>
      <c r="AAB6" s="1852"/>
      <c r="AAC6" s="1852"/>
      <c r="AAD6" s="1852"/>
      <c r="AAE6" s="1852"/>
      <c r="AAF6" s="1852"/>
      <c r="AAG6" s="1852"/>
      <c r="AAH6" s="1852"/>
      <c r="AAI6" s="1852"/>
      <c r="AAJ6" s="1852"/>
      <c r="AAK6" s="1852"/>
      <c r="AAL6" s="1852"/>
      <c r="AAM6" s="1852"/>
      <c r="AAN6" s="1852"/>
      <c r="AAO6" s="1852"/>
      <c r="AAP6" s="1852"/>
      <c r="AAQ6" s="1852"/>
      <c r="AAR6" s="1852"/>
      <c r="AAS6" s="1852"/>
      <c r="AAT6" s="1852"/>
      <c r="AAU6" s="1852"/>
      <c r="AAV6" s="1852"/>
      <c r="AAW6" s="1852"/>
      <c r="AAX6" s="1852"/>
      <c r="AAY6" s="1852"/>
      <c r="AAZ6" s="1852"/>
      <c r="ABA6" s="1852"/>
      <c r="ABB6" s="1852"/>
      <c r="ABC6" s="1852"/>
      <c r="ABD6" s="1852"/>
      <c r="ABE6" s="1852"/>
      <c r="ABF6" s="1852"/>
      <c r="ABG6" s="1852"/>
      <c r="ABH6" s="1852"/>
      <c r="ABI6" s="1852"/>
      <c r="ABJ6" s="1852"/>
      <c r="ABK6" s="1852"/>
      <c r="ABL6" s="1852"/>
      <c r="ABM6" s="1852"/>
      <c r="ABN6" s="1852"/>
      <c r="ABO6" s="1852"/>
      <c r="ABP6" s="1852"/>
      <c r="ABQ6" s="1852"/>
      <c r="ABR6" s="1852"/>
      <c r="ABS6" s="1852"/>
      <c r="ABT6" s="1852"/>
      <c r="ABU6" s="1852"/>
      <c r="ABV6" s="1852"/>
      <c r="ABW6" s="1852"/>
      <c r="ABX6" s="1852"/>
      <c r="ABY6" s="1852"/>
      <c r="ABZ6" s="1852"/>
      <c r="ACA6" s="1852"/>
      <c r="ACB6" s="1852"/>
      <c r="ACC6" s="1852"/>
      <c r="ACD6" s="1852"/>
      <c r="ACE6" s="1852"/>
      <c r="ACF6" s="1852"/>
      <c r="ACG6" s="1852"/>
      <c r="ACH6" s="1852"/>
      <c r="ACI6" s="1852"/>
      <c r="ACJ6" s="1852"/>
      <c r="ACK6" s="1852"/>
      <c r="ACL6" s="1852"/>
      <c r="ACM6" s="1852"/>
      <c r="ACN6" s="1852"/>
      <c r="ACO6" s="1852"/>
      <c r="ACP6" s="1852"/>
      <c r="ACQ6" s="1852"/>
      <c r="ACR6" s="1852"/>
      <c r="ACS6" s="1852"/>
      <c r="ACT6" s="1852"/>
      <c r="ACU6" s="1852"/>
      <c r="ACV6" s="1852"/>
      <c r="ACW6" s="1852"/>
      <c r="ACX6" s="1852"/>
      <c r="ACY6" s="1852"/>
      <c r="ACZ6" s="1852"/>
      <c r="ADA6" s="1852"/>
      <c r="ADB6" s="1852"/>
      <c r="ADC6" s="1852"/>
      <c r="ADD6" s="1852"/>
      <c r="ADE6" s="1852"/>
      <c r="ADF6" s="1852"/>
      <c r="ADG6" s="1852"/>
      <c r="ADH6" s="1852"/>
      <c r="ADI6" s="1852"/>
      <c r="ADJ6" s="1852"/>
      <c r="ADK6" s="1852"/>
      <c r="ADL6" s="1852"/>
      <c r="ADM6" s="1852"/>
      <c r="ADN6" s="1852"/>
      <c r="ADO6" s="1852"/>
      <c r="ADP6" s="1852"/>
      <c r="ADQ6" s="1852"/>
      <c r="ADR6" s="1852"/>
      <c r="ADS6" s="1852"/>
      <c r="ADT6" s="1852"/>
      <c r="ADU6" s="1852"/>
      <c r="ADV6" s="1852"/>
      <c r="ADW6" s="1852"/>
      <c r="ADX6" s="1852"/>
      <c r="ADY6" s="1852"/>
      <c r="ADZ6" s="1852"/>
      <c r="AEA6" s="1852"/>
      <c r="AEB6" s="1852"/>
      <c r="AEC6" s="1852"/>
      <c r="AED6" s="1852"/>
      <c r="AEE6" s="1852"/>
      <c r="AEF6" s="1852"/>
      <c r="AEG6" s="1852"/>
      <c r="AEH6" s="1852"/>
      <c r="AEI6" s="1852"/>
      <c r="AEJ6" s="1852"/>
      <c r="AEK6" s="1852"/>
      <c r="AEL6" s="1852"/>
      <c r="AEM6" s="1852"/>
      <c r="AEN6" s="1852"/>
      <c r="AEO6" s="1852"/>
      <c r="AEP6" s="1852"/>
      <c r="AEQ6" s="1852"/>
      <c r="AER6" s="1852"/>
      <c r="AES6" s="1852"/>
      <c r="AET6" s="1852"/>
      <c r="AEU6" s="1852"/>
      <c r="AEV6" s="1852"/>
      <c r="AEW6" s="1852"/>
      <c r="AEX6" s="1852"/>
      <c r="AEY6" s="1852"/>
      <c r="AEZ6" s="1852"/>
      <c r="AFA6" s="1852"/>
      <c r="AFB6" s="1852"/>
      <c r="AFC6" s="1852"/>
      <c r="AFD6" s="1852"/>
      <c r="AFE6" s="1852"/>
      <c r="AFF6" s="1852"/>
      <c r="AFG6" s="1852"/>
      <c r="AFH6" s="1852"/>
      <c r="AFI6" s="1852"/>
      <c r="AFJ6" s="1852"/>
      <c r="AFK6" s="1852"/>
      <c r="AFL6" s="1852"/>
      <c r="AFM6" s="1852"/>
      <c r="AFN6" s="1852"/>
      <c r="AFO6" s="1852"/>
      <c r="AFP6" s="1852"/>
      <c r="AFQ6" s="1852"/>
      <c r="AFR6" s="1852"/>
      <c r="AFS6" s="1852"/>
      <c r="AFT6" s="1852"/>
      <c r="AFU6" s="1852"/>
      <c r="AFV6" s="1852"/>
      <c r="AFW6" s="1852"/>
      <c r="AFX6" s="1852"/>
      <c r="AFY6" s="1852"/>
      <c r="AFZ6" s="1852"/>
      <c r="AGA6" s="1852"/>
      <c r="AGB6" s="1852"/>
      <c r="AGC6" s="1852"/>
      <c r="AGD6" s="1852"/>
      <c r="AGE6" s="1852"/>
      <c r="AGF6" s="1852"/>
      <c r="AGG6" s="1852"/>
      <c r="AGH6" s="1852"/>
      <c r="AGI6" s="1852"/>
      <c r="AGJ6" s="1852"/>
      <c r="AGK6" s="1852"/>
      <c r="AGL6" s="1852"/>
      <c r="AGM6" s="1852"/>
      <c r="AGN6" s="1852"/>
      <c r="AGO6" s="1852"/>
      <c r="AGP6" s="1852"/>
      <c r="AGQ6" s="1852"/>
      <c r="AGR6" s="1852"/>
      <c r="AGS6" s="1852"/>
      <c r="AGT6" s="1852"/>
      <c r="AGU6" s="1852"/>
      <c r="AGV6" s="1852"/>
      <c r="AGW6" s="1852"/>
      <c r="AGX6" s="1852"/>
      <c r="AGY6" s="1852"/>
      <c r="AGZ6" s="1852"/>
      <c r="AHA6" s="1852"/>
      <c r="AHB6" s="1852"/>
      <c r="AHC6" s="1852"/>
      <c r="AHD6" s="1852"/>
      <c r="AHE6" s="1852"/>
      <c r="AHF6" s="1852"/>
      <c r="AHG6" s="1852"/>
      <c r="AHH6" s="1852"/>
      <c r="AHI6" s="1852"/>
      <c r="AHJ6" s="1852"/>
      <c r="AHK6" s="1852"/>
      <c r="AHL6" s="1852"/>
      <c r="AHM6" s="1852"/>
      <c r="AHN6" s="1852"/>
      <c r="AHO6" s="1852"/>
      <c r="AHP6" s="1852"/>
      <c r="AHQ6" s="1852"/>
      <c r="AHR6" s="1852"/>
      <c r="AHS6" s="1852"/>
      <c r="AHT6" s="1852"/>
      <c r="AHU6" s="1852"/>
      <c r="AHV6" s="1852"/>
      <c r="AHW6" s="1852"/>
      <c r="AHX6" s="1852"/>
      <c r="AHY6" s="1852"/>
      <c r="AHZ6" s="1852"/>
      <c r="AIA6" s="1852"/>
      <c r="AIB6" s="1852"/>
      <c r="AIC6" s="1852"/>
      <c r="AID6" s="1852"/>
      <c r="AIE6" s="1852"/>
      <c r="AIF6" s="1852"/>
      <c r="AIG6" s="1852"/>
      <c r="AIH6" s="1852"/>
      <c r="AII6" s="1852"/>
      <c r="AIJ6" s="1852"/>
      <c r="AIK6" s="1852"/>
      <c r="AIL6" s="1852"/>
      <c r="AIM6" s="1852"/>
      <c r="AIN6" s="1852"/>
      <c r="AIO6" s="1852"/>
      <c r="AIP6" s="1852"/>
      <c r="AIQ6" s="1852"/>
      <c r="AIR6" s="1852"/>
      <c r="AIS6" s="1852"/>
      <c r="AIT6" s="1852"/>
      <c r="AIU6" s="1852"/>
      <c r="AIV6" s="1852"/>
      <c r="AIW6" s="1852"/>
      <c r="AIX6" s="1852"/>
      <c r="AIY6" s="1852"/>
      <c r="AIZ6" s="1852"/>
      <c r="AJA6" s="1852"/>
      <c r="AJB6" s="1852"/>
      <c r="AJC6" s="1852"/>
      <c r="AJD6" s="1852"/>
      <c r="AJE6" s="1852"/>
      <c r="AJF6" s="1852"/>
      <c r="AJG6" s="1852"/>
      <c r="AJH6" s="1852"/>
      <c r="AJI6" s="1852"/>
      <c r="AJJ6" s="1852"/>
      <c r="AJK6" s="1852"/>
      <c r="AJL6" s="1852"/>
      <c r="AJM6" s="1852"/>
      <c r="AJN6" s="1852"/>
      <c r="AJO6" s="1852"/>
      <c r="AJP6" s="1852"/>
      <c r="AJQ6" s="1852"/>
      <c r="AJR6" s="1852"/>
      <c r="AJS6" s="1852"/>
      <c r="AJT6" s="1852"/>
      <c r="AJU6" s="1852"/>
      <c r="AJV6" s="1852"/>
      <c r="AJW6" s="1852"/>
      <c r="AJX6" s="1852"/>
      <c r="AJY6" s="1852"/>
      <c r="AJZ6" s="1852"/>
      <c r="AKA6" s="1852"/>
      <c r="AKB6" s="1852"/>
      <c r="AKC6" s="1852"/>
      <c r="AKD6" s="1852"/>
      <c r="AKE6" s="1852"/>
      <c r="AKF6" s="1852"/>
      <c r="AKG6" s="1852"/>
      <c r="AKH6" s="1852"/>
      <c r="AKI6" s="1852"/>
      <c r="AKJ6" s="1852"/>
      <c r="AKK6" s="1852"/>
      <c r="AKL6" s="1852"/>
      <c r="AKM6" s="1852"/>
      <c r="AKN6" s="1852"/>
      <c r="AKO6" s="1852"/>
      <c r="AKP6" s="1852"/>
      <c r="AKQ6" s="1852"/>
      <c r="AKR6" s="1852"/>
      <c r="AKS6" s="1852"/>
      <c r="AKT6" s="1852"/>
      <c r="AKU6" s="1852"/>
      <c r="AKV6" s="1852"/>
      <c r="AKW6" s="1852"/>
      <c r="AKX6" s="1852"/>
      <c r="AKY6" s="1852"/>
      <c r="AKZ6" s="1852"/>
      <c r="ALA6" s="1852"/>
      <c r="ALB6" s="1852"/>
      <c r="ALC6" s="1852"/>
      <c r="ALD6" s="1852"/>
      <c r="ALE6" s="1852"/>
      <c r="ALF6" s="1852"/>
      <c r="ALG6" s="1852"/>
      <c r="ALH6" s="1852"/>
      <c r="ALI6" s="1852"/>
      <c r="ALJ6" s="1852"/>
      <c r="ALK6" s="1852"/>
      <c r="ALL6" s="1852"/>
      <c r="ALM6" s="1852"/>
      <c r="ALN6" s="1852"/>
      <c r="ALO6" s="1852"/>
      <c r="ALP6" s="1852"/>
      <c r="ALQ6" s="1852"/>
      <c r="ALR6" s="1852"/>
    </row>
    <row r="7" spans="1:1007" x14ac:dyDescent="0.3">
      <c r="A7" s="1854"/>
      <c r="B7" t="s">
        <v>1216</v>
      </c>
      <c r="C7" s="1853" t="s">
        <v>1218</v>
      </c>
      <c r="D7" s="1855">
        <f t="shared" ref="D7:D28" si="0">IFERROR(AVERAGE(G7:ALS7),0)</f>
        <v>0</v>
      </c>
      <c r="E7" s="1855">
        <f t="shared" ref="E7:E28" si="1">IFERROR(MIN(G7:ALS7),0)</f>
        <v>0</v>
      </c>
      <c r="F7" s="1855">
        <f t="shared" ref="F7:F28" si="2">IFERROR(MAX(G7:ALS7),0)</f>
        <v>0</v>
      </c>
      <c r="G7" s="1852"/>
      <c r="H7" s="1852"/>
      <c r="I7" s="1852"/>
      <c r="J7" s="1852"/>
      <c r="K7" s="1852"/>
      <c r="L7" s="1852"/>
      <c r="M7" s="1852"/>
      <c r="N7" s="1852"/>
      <c r="O7" s="1852"/>
      <c r="P7" s="1852"/>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c r="AT7" s="1852"/>
      <c r="AU7" s="1852"/>
      <c r="AV7" s="1852"/>
      <c r="AW7" s="1852"/>
      <c r="AX7" s="1852"/>
      <c r="AY7" s="1852"/>
      <c r="AZ7" s="1852"/>
      <c r="BA7" s="1852"/>
      <c r="BB7" s="1852"/>
      <c r="BC7" s="1852"/>
      <c r="BD7" s="1852"/>
      <c r="BE7" s="1852"/>
      <c r="BF7" s="1852"/>
      <c r="BG7" s="1852"/>
      <c r="BH7" s="1852"/>
      <c r="BI7" s="1852"/>
      <c r="BJ7" s="1852"/>
      <c r="BK7" s="1852"/>
      <c r="BL7" s="1852"/>
      <c r="BM7" s="1852"/>
      <c r="BN7" s="1852"/>
      <c r="BO7" s="1852"/>
      <c r="BP7" s="1852"/>
      <c r="BQ7" s="1852"/>
      <c r="BR7" s="1852"/>
      <c r="BS7" s="1852"/>
      <c r="BT7" s="1852"/>
      <c r="BU7" s="1852"/>
      <c r="BV7" s="1852"/>
      <c r="BW7" s="1852"/>
      <c r="BX7" s="1852"/>
      <c r="BY7" s="1852"/>
      <c r="BZ7" s="1852"/>
      <c r="CA7" s="1852"/>
      <c r="CB7" s="1852"/>
      <c r="CC7" s="1852"/>
      <c r="CD7" s="1852"/>
      <c r="CE7" s="1852"/>
      <c r="CF7" s="1852"/>
      <c r="CG7" s="1852"/>
      <c r="CH7" s="1852"/>
      <c r="CI7" s="1852"/>
      <c r="CJ7" s="1852"/>
      <c r="CK7" s="1852"/>
      <c r="CL7" s="1852"/>
      <c r="CM7" s="1852"/>
      <c r="CN7" s="1852"/>
      <c r="CO7" s="1852"/>
      <c r="CP7" s="1852"/>
      <c r="CQ7" s="1852"/>
      <c r="CR7" s="1852"/>
      <c r="CS7" s="1852"/>
      <c r="CT7" s="1852"/>
      <c r="CU7" s="1852"/>
      <c r="CV7" s="1852"/>
      <c r="CW7" s="1852"/>
      <c r="CX7" s="1852"/>
      <c r="CY7" s="1852"/>
      <c r="CZ7" s="1852"/>
      <c r="DA7" s="1852"/>
      <c r="DB7" s="1852"/>
      <c r="DC7" s="1852"/>
      <c r="DD7" s="1852"/>
      <c r="DE7" s="1852"/>
      <c r="DF7" s="1852"/>
      <c r="DG7" s="1852"/>
      <c r="DH7" s="1852"/>
      <c r="DI7" s="1852"/>
      <c r="DJ7" s="1852"/>
      <c r="DK7" s="1852"/>
      <c r="DL7" s="1852"/>
      <c r="DM7" s="1852"/>
      <c r="DN7" s="1852"/>
      <c r="DO7" s="1852"/>
      <c r="DP7" s="1852"/>
      <c r="DQ7" s="1852"/>
      <c r="DR7" s="1852"/>
      <c r="DS7" s="1852"/>
      <c r="DT7" s="1852"/>
      <c r="DU7" s="1852"/>
      <c r="DV7" s="1852"/>
      <c r="DW7" s="1852"/>
      <c r="DX7" s="1852"/>
      <c r="DY7" s="1852"/>
      <c r="DZ7" s="1852"/>
      <c r="EA7" s="1852"/>
      <c r="EB7" s="1852"/>
      <c r="EC7" s="1852"/>
      <c r="ED7" s="1852"/>
      <c r="EE7" s="1852"/>
      <c r="EF7" s="1852"/>
      <c r="EG7" s="1852"/>
      <c r="EH7" s="1852"/>
      <c r="EI7" s="1852"/>
      <c r="EJ7" s="1852"/>
      <c r="EK7" s="1852"/>
      <c r="EL7" s="1852"/>
      <c r="EM7" s="1852"/>
      <c r="EN7" s="1852"/>
      <c r="EO7" s="1852"/>
      <c r="EP7" s="1852"/>
      <c r="EQ7" s="1852"/>
      <c r="ER7" s="1852"/>
      <c r="ES7" s="1852"/>
      <c r="ET7" s="1852"/>
      <c r="EU7" s="1852"/>
      <c r="EV7" s="1852"/>
      <c r="EW7" s="1852"/>
      <c r="EX7" s="1852"/>
      <c r="EY7" s="1852"/>
      <c r="EZ7" s="1852"/>
      <c r="FA7" s="1852"/>
      <c r="FB7" s="1852"/>
      <c r="FC7" s="1852"/>
      <c r="FD7" s="1852"/>
      <c r="FE7" s="1852"/>
      <c r="FF7" s="1852"/>
      <c r="FG7" s="1852"/>
      <c r="FH7" s="1852"/>
      <c r="FI7" s="1852"/>
      <c r="FJ7" s="1852"/>
      <c r="FK7" s="1852"/>
      <c r="FL7" s="1852"/>
      <c r="FM7" s="1852"/>
      <c r="FN7" s="1852"/>
      <c r="FO7" s="1852"/>
      <c r="FP7" s="1852"/>
      <c r="FQ7" s="1852"/>
      <c r="FR7" s="1852"/>
      <c r="FS7" s="1852"/>
      <c r="FT7" s="1852"/>
      <c r="FU7" s="1852"/>
      <c r="FV7" s="1852"/>
      <c r="FW7" s="1852"/>
      <c r="FX7" s="1852"/>
      <c r="FY7" s="1852"/>
      <c r="FZ7" s="1852"/>
      <c r="GA7" s="1852"/>
      <c r="GB7" s="1852"/>
      <c r="GC7" s="1852"/>
      <c r="GD7" s="1852"/>
      <c r="GE7" s="1852"/>
      <c r="GF7" s="1852"/>
      <c r="GG7" s="1852"/>
      <c r="GH7" s="1852"/>
      <c r="GI7" s="1852"/>
      <c r="GJ7" s="1852"/>
      <c r="GK7" s="1852"/>
      <c r="GL7" s="1852"/>
      <c r="GM7" s="1852"/>
      <c r="GN7" s="1852"/>
      <c r="GO7" s="1852"/>
      <c r="GP7" s="1852"/>
      <c r="GQ7" s="1852"/>
      <c r="GR7" s="1852"/>
      <c r="GS7" s="1852"/>
      <c r="GT7" s="1852"/>
      <c r="GU7" s="1852"/>
      <c r="GV7" s="1852"/>
      <c r="GW7" s="1852"/>
      <c r="GX7" s="1852"/>
      <c r="GY7" s="1852"/>
      <c r="GZ7" s="1852"/>
      <c r="HA7" s="1852"/>
      <c r="HB7" s="1852"/>
      <c r="HC7" s="1852"/>
      <c r="HD7" s="1852"/>
      <c r="HE7" s="1852"/>
      <c r="HF7" s="1852"/>
      <c r="HG7" s="1852"/>
      <c r="HH7" s="1852"/>
      <c r="HI7" s="1852"/>
      <c r="HJ7" s="1852"/>
      <c r="HK7" s="1852"/>
      <c r="HL7" s="1852"/>
      <c r="HM7" s="1852"/>
      <c r="HN7" s="1852"/>
      <c r="HO7" s="1852"/>
      <c r="HP7" s="1852"/>
      <c r="HQ7" s="1852"/>
      <c r="HR7" s="1852"/>
      <c r="HS7" s="1852"/>
      <c r="HT7" s="1852"/>
      <c r="HU7" s="1852"/>
      <c r="HV7" s="1852"/>
      <c r="HW7" s="1852"/>
      <c r="HX7" s="1852"/>
      <c r="HY7" s="1852"/>
      <c r="HZ7" s="1852"/>
      <c r="IA7" s="1852"/>
      <c r="IB7" s="1852"/>
      <c r="IC7" s="1852"/>
      <c r="ID7" s="1852"/>
      <c r="IE7" s="1852"/>
      <c r="IF7" s="1852"/>
      <c r="IG7" s="1852"/>
      <c r="IH7" s="1852"/>
      <c r="II7" s="1852"/>
      <c r="IJ7" s="1852"/>
      <c r="IK7" s="1852"/>
      <c r="IL7" s="1852"/>
      <c r="IM7" s="1852"/>
      <c r="IN7" s="1852"/>
      <c r="IO7" s="1852"/>
      <c r="IP7" s="1852"/>
      <c r="IQ7" s="1852"/>
      <c r="IR7" s="1852"/>
      <c r="IS7" s="1852"/>
      <c r="IT7" s="1852"/>
      <c r="IU7" s="1852"/>
      <c r="IV7" s="1852"/>
      <c r="IW7" s="1852"/>
      <c r="IX7" s="1852"/>
      <c r="IY7" s="1852"/>
      <c r="IZ7" s="1852"/>
      <c r="JA7" s="1852"/>
      <c r="JB7" s="1852"/>
      <c r="JC7" s="1852"/>
      <c r="JD7" s="1852"/>
      <c r="JE7" s="1852"/>
      <c r="JF7" s="1852"/>
      <c r="JG7" s="1852"/>
      <c r="JH7" s="1852"/>
      <c r="JI7" s="1852"/>
      <c r="JJ7" s="1852"/>
      <c r="JK7" s="1852"/>
      <c r="JL7" s="1852"/>
      <c r="JM7" s="1852"/>
      <c r="JN7" s="1852"/>
      <c r="JO7" s="1852"/>
      <c r="JP7" s="1852"/>
      <c r="JQ7" s="1852"/>
      <c r="JR7" s="1852"/>
      <c r="JS7" s="1852"/>
      <c r="JT7" s="1852"/>
      <c r="JU7" s="1852"/>
      <c r="JV7" s="1852"/>
      <c r="JW7" s="1852"/>
      <c r="JX7" s="1852"/>
      <c r="JY7" s="1852"/>
      <c r="JZ7" s="1852"/>
      <c r="KA7" s="1852"/>
      <c r="KB7" s="1852"/>
      <c r="KC7" s="1852"/>
      <c r="KD7" s="1852"/>
      <c r="KE7" s="1852"/>
      <c r="KF7" s="1852"/>
      <c r="KG7" s="1852"/>
      <c r="KH7" s="1852"/>
      <c r="KI7" s="1852"/>
      <c r="KJ7" s="1852"/>
      <c r="KK7" s="1852"/>
      <c r="KL7" s="1852"/>
      <c r="KM7" s="1852"/>
      <c r="KN7" s="1852"/>
      <c r="KO7" s="1852"/>
      <c r="KP7" s="1852"/>
      <c r="KQ7" s="1852"/>
      <c r="KR7" s="1852"/>
      <c r="KS7" s="1852"/>
      <c r="KT7" s="1852"/>
      <c r="KU7" s="1852"/>
      <c r="KV7" s="1852"/>
      <c r="KW7" s="1852"/>
      <c r="KX7" s="1852"/>
      <c r="KY7" s="1852"/>
      <c r="KZ7" s="1852"/>
      <c r="LA7" s="1852"/>
      <c r="LB7" s="1852"/>
      <c r="LC7" s="1852"/>
      <c r="LD7" s="1852"/>
      <c r="LE7" s="1852"/>
      <c r="LF7" s="1852"/>
      <c r="LG7" s="1852"/>
      <c r="LH7" s="1852"/>
      <c r="LI7" s="1852"/>
      <c r="LJ7" s="1852"/>
      <c r="LK7" s="1852"/>
      <c r="LL7" s="1852"/>
      <c r="LM7" s="1852"/>
      <c r="LN7" s="1852"/>
      <c r="LO7" s="1852"/>
      <c r="LP7" s="1852"/>
      <c r="LQ7" s="1852"/>
      <c r="LR7" s="1852"/>
      <c r="LS7" s="1852"/>
      <c r="LT7" s="1852"/>
      <c r="LU7" s="1852"/>
      <c r="LV7" s="1852"/>
      <c r="LW7" s="1852"/>
      <c r="LX7" s="1852"/>
      <c r="LY7" s="1852"/>
      <c r="LZ7" s="1852"/>
      <c r="MA7" s="1852"/>
      <c r="MB7" s="1852"/>
      <c r="MC7" s="1852"/>
      <c r="MD7" s="1852"/>
      <c r="ME7" s="1852"/>
      <c r="MF7" s="1852"/>
      <c r="MG7" s="1852"/>
      <c r="MH7" s="1852"/>
      <c r="MI7" s="1852"/>
      <c r="MJ7" s="1852"/>
      <c r="MK7" s="1852"/>
      <c r="ML7" s="1852"/>
      <c r="MM7" s="1852"/>
      <c r="MN7" s="1852"/>
      <c r="MO7" s="1852"/>
      <c r="MP7" s="1852"/>
      <c r="MQ7" s="1852"/>
      <c r="MR7" s="1852"/>
      <c r="MS7" s="1852"/>
      <c r="MT7" s="1852"/>
      <c r="MU7" s="1852"/>
      <c r="MV7" s="1852"/>
      <c r="MW7" s="1852"/>
      <c r="MX7" s="1852"/>
      <c r="MY7" s="1852"/>
      <c r="MZ7" s="1852"/>
      <c r="NA7" s="1852"/>
      <c r="NB7" s="1852"/>
      <c r="NC7" s="1852"/>
      <c r="ND7" s="1852"/>
      <c r="NE7" s="1852"/>
      <c r="NF7" s="1852"/>
      <c r="NG7" s="1852"/>
      <c r="NH7" s="1852"/>
      <c r="NI7" s="1852"/>
      <c r="NJ7" s="1852"/>
      <c r="NK7" s="1852"/>
      <c r="NL7" s="1852"/>
      <c r="NM7" s="1852"/>
      <c r="NN7" s="1852"/>
      <c r="NO7" s="1852"/>
      <c r="NP7" s="1852"/>
      <c r="NQ7" s="1852"/>
      <c r="NR7" s="1852"/>
      <c r="NS7" s="1852"/>
      <c r="NT7" s="1852"/>
      <c r="NU7" s="1852"/>
      <c r="NV7" s="1852"/>
      <c r="NW7" s="1852"/>
      <c r="NX7" s="1852"/>
      <c r="NY7" s="1852"/>
      <c r="NZ7" s="1852"/>
      <c r="OA7" s="1852"/>
      <c r="OB7" s="1852"/>
      <c r="OC7" s="1852"/>
      <c r="OD7" s="1852"/>
      <c r="OE7" s="1852"/>
      <c r="OF7" s="1852"/>
      <c r="OG7" s="1852"/>
      <c r="OH7" s="1852"/>
      <c r="OI7" s="1852"/>
      <c r="OJ7" s="1852"/>
      <c r="OK7" s="1852"/>
      <c r="OL7" s="1852"/>
      <c r="OM7" s="1852"/>
      <c r="ON7" s="1852"/>
      <c r="OO7" s="1852"/>
      <c r="OP7" s="1852"/>
      <c r="OQ7" s="1852"/>
      <c r="OR7" s="1852"/>
      <c r="OS7" s="1852"/>
      <c r="OT7" s="1852"/>
      <c r="OU7" s="1852"/>
      <c r="OV7" s="1852"/>
      <c r="OW7" s="1852"/>
      <c r="OX7" s="1852"/>
      <c r="OY7" s="1852"/>
      <c r="OZ7" s="1852"/>
      <c r="PA7" s="1852"/>
      <c r="PB7" s="1852"/>
      <c r="PC7" s="1852"/>
      <c r="PD7" s="1852"/>
      <c r="PE7" s="1852"/>
      <c r="PF7" s="1852"/>
      <c r="PG7" s="1852"/>
      <c r="PH7" s="1852"/>
      <c r="PI7" s="1852"/>
      <c r="PJ7" s="1852"/>
      <c r="PK7" s="1852"/>
      <c r="PL7" s="1852"/>
      <c r="PM7" s="1852"/>
      <c r="PN7" s="1852"/>
      <c r="PO7" s="1852"/>
      <c r="PP7" s="1852"/>
      <c r="PQ7" s="1852"/>
      <c r="PR7" s="1852"/>
      <c r="PS7" s="1852"/>
      <c r="PT7" s="1852"/>
      <c r="PU7" s="1852"/>
      <c r="PV7" s="1852"/>
      <c r="PW7" s="1852"/>
      <c r="PX7" s="1852"/>
      <c r="PY7" s="1852"/>
      <c r="PZ7" s="1852"/>
      <c r="QA7" s="1852"/>
      <c r="QB7" s="1852"/>
      <c r="QC7" s="1852"/>
      <c r="QD7" s="1852"/>
      <c r="QE7" s="1852"/>
      <c r="QF7" s="1852"/>
      <c r="QG7" s="1852"/>
      <c r="QH7" s="1852"/>
      <c r="QI7" s="1852"/>
      <c r="QJ7" s="1852"/>
      <c r="QK7" s="1852"/>
      <c r="QL7" s="1852"/>
      <c r="QM7" s="1852"/>
      <c r="QN7" s="1852"/>
      <c r="QO7" s="1852"/>
      <c r="QP7" s="1852"/>
      <c r="QQ7" s="1852"/>
      <c r="QR7" s="1852"/>
      <c r="QS7" s="1852"/>
      <c r="QT7" s="1852"/>
      <c r="QU7" s="1852"/>
      <c r="QV7" s="1852"/>
      <c r="QW7" s="1852"/>
      <c r="QX7" s="1852"/>
      <c r="QY7" s="1852"/>
      <c r="QZ7" s="1852"/>
      <c r="RA7" s="1852"/>
      <c r="RB7" s="1852"/>
      <c r="RC7" s="1852"/>
      <c r="RD7" s="1852"/>
      <c r="RE7" s="1852"/>
      <c r="RF7" s="1852"/>
      <c r="RG7" s="1852"/>
      <c r="RH7" s="1852"/>
      <c r="RI7" s="1852"/>
      <c r="RJ7" s="1852"/>
      <c r="RK7" s="1852"/>
      <c r="RL7" s="1852"/>
      <c r="RM7" s="1852"/>
      <c r="RN7" s="1852"/>
      <c r="RO7" s="1852"/>
      <c r="RP7" s="1852"/>
      <c r="RQ7" s="1852"/>
      <c r="RR7" s="1852"/>
      <c r="RS7" s="1852"/>
      <c r="RT7" s="1852"/>
      <c r="RU7" s="1852"/>
      <c r="RV7" s="1852"/>
      <c r="RW7" s="1852"/>
      <c r="RX7" s="1852"/>
      <c r="RY7" s="1852"/>
      <c r="RZ7" s="1852"/>
      <c r="SA7" s="1852"/>
      <c r="SB7" s="1852"/>
      <c r="SC7" s="1852"/>
      <c r="SD7" s="1852"/>
      <c r="SE7" s="1852"/>
      <c r="SF7" s="1852"/>
      <c r="SG7" s="1852"/>
      <c r="SH7" s="1852"/>
      <c r="SI7" s="1852"/>
      <c r="SJ7" s="1852"/>
      <c r="SK7" s="1852"/>
      <c r="SL7" s="1852"/>
      <c r="SM7" s="1852"/>
      <c r="SN7" s="1852"/>
      <c r="SO7" s="1852"/>
      <c r="SP7" s="1852"/>
      <c r="SQ7" s="1852"/>
      <c r="SR7" s="1852"/>
      <c r="SS7" s="1852"/>
      <c r="ST7" s="1852"/>
      <c r="SU7" s="1852"/>
      <c r="SV7" s="1852"/>
      <c r="SW7" s="1852"/>
      <c r="SX7" s="1852"/>
      <c r="SY7" s="1852"/>
      <c r="SZ7" s="1852"/>
      <c r="TA7" s="1852"/>
      <c r="TB7" s="1852"/>
      <c r="TC7" s="1852"/>
      <c r="TD7" s="1852"/>
      <c r="TE7" s="1852"/>
      <c r="TF7" s="1852"/>
      <c r="TG7" s="1852"/>
      <c r="TH7" s="1852"/>
      <c r="TI7" s="1852"/>
      <c r="TJ7" s="1852"/>
      <c r="TK7" s="1852"/>
      <c r="TL7" s="1852"/>
      <c r="TM7" s="1852"/>
      <c r="TN7" s="1852"/>
      <c r="TO7" s="1852"/>
      <c r="TP7" s="1852"/>
      <c r="TQ7" s="1852"/>
      <c r="TR7" s="1852"/>
      <c r="TS7" s="1852"/>
      <c r="TT7" s="1852"/>
      <c r="TU7" s="1852"/>
      <c r="TV7" s="1852"/>
      <c r="TW7" s="1852"/>
      <c r="TX7" s="1852"/>
      <c r="TY7" s="1852"/>
      <c r="TZ7" s="1852"/>
      <c r="UA7" s="1852"/>
      <c r="UB7" s="1852"/>
      <c r="UC7" s="1852"/>
      <c r="UD7" s="1852"/>
      <c r="UE7" s="1852"/>
      <c r="UF7" s="1852"/>
      <c r="UG7" s="1852"/>
      <c r="UH7" s="1852"/>
      <c r="UI7" s="1852"/>
      <c r="UJ7" s="1852"/>
      <c r="UK7" s="1852"/>
      <c r="UL7" s="1852"/>
      <c r="UM7" s="1852"/>
      <c r="UN7" s="1852"/>
      <c r="UO7" s="1852"/>
      <c r="UP7" s="1852"/>
      <c r="UQ7" s="1852"/>
      <c r="UR7" s="1852"/>
      <c r="US7" s="1852"/>
      <c r="UT7" s="1852"/>
      <c r="UU7" s="1852"/>
      <c r="UV7" s="1852"/>
      <c r="UW7" s="1852"/>
      <c r="UX7" s="1852"/>
      <c r="UY7" s="1852"/>
      <c r="UZ7" s="1852"/>
      <c r="VA7" s="1852"/>
      <c r="VB7" s="1852"/>
      <c r="VC7" s="1852"/>
      <c r="VD7" s="1852"/>
      <c r="VE7" s="1852"/>
      <c r="VF7" s="1852"/>
      <c r="VG7" s="1852"/>
      <c r="VH7" s="1852"/>
      <c r="VI7" s="1852"/>
      <c r="VJ7" s="1852"/>
      <c r="VK7" s="1852"/>
      <c r="VL7" s="1852"/>
      <c r="VM7" s="1852"/>
      <c r="VN7" s="1852"/>
      <c r="VO7" s="1852"/>
      <c r="VP7" s="1852"/>
      <c r="VQ7" s="1852"/>
      <c r="VR7" s="1852"/>
      <c r="VS7" s="1852"/>
      <c r="VT7" s="1852"/>
      <c r="VU7" s="1852"/>
      <c r="VV7" s="1852"/>
      <c r="VW7" s="1852"/>
      <c r="VX7" s="1852"/>
      <c r="VY7" s="1852"/>
      <c r="VZ7" s="1852"/>
      <c r="WA7" s="1852"/>
      <c r="WB7" s="1852"/>
      <c r="WC7" s="1852"/>
      <c r="WD7" s="1852"/>
      <c r="WE7" s="1852"/>
      <c r="WF7" s="1852"/>
      <c r="WG7" s="1852"/>
      <c r="WH7" s="1852"/>
      <c r="WI7" s="1852"/>
      <c r="WJ7" s="1852"/>
      <c r="WK7" s="1852"/>
      <c r="WL7" s="1852"/>
      <c r="WM7" s="1852"/>
      <c r="WN7" s="1852"/>
      <c r="WO7" s="1852"/>
      <c r="WP7" s="1852"/>
      <c r="WQ7" s="1852"/>
      <c r="WR7" s="1852"/>
      <c r="WS7" s="1852"/>
      <c r="WT7" s="1852"/>
      <c r="WU7" s="1852"/>
      <c r="WV7" s="1852"/>
      <c r="WW7" s="1852"/>
      <c r="WX7" s="1852"/>
      <c r="WY7" s="1852"/>
      <c r="WZ7" s="1852"/>
      <c r="XA7" s="1852"/>
      <c r="XB7" s="1852"/>
      <c r="XC7" s="1852"/>
      <c r="XD7" s="1852"/>
      <c r="XE7" s="1852"/>
      <c r="XF7" s="1852"/>
      <c r="XG7" s="1852"/>
      <c r="XH7" s="1852"/>
      <c r="XI7" s="1852"/>
      <c r="XJ7" s="1852"/>
      <c r="XK7" s="1852"/>
      <c r="XL7" s="1852"/>
      <c r="XM7" s="1852"/>
      <c r="XN7" s="1852"/>
      <c r="XO7" s="1852"/>
      <c r="XP7" s="1852"/>
      <c r="XQ7" s="1852"/>
      <c r="XR7" s="1852"/>
      <c r="XS7" s="1852"/>
      <c r="XT7" s="1852"/>
      <c r="XU7" s="1852"/>
      <c r="XV7" s="1852"/>
      <c r="XW7" s="1852"/>
      <c r="XX7" s="1852"/>
      <c r="XY7" s="1852"/>
      <c r="XZ7" s="1852"/>
      <c r="YA7" s="1852"/>
      <c r="YB7" s="1852"/>
      <c r="YC7" s="1852"/>
      <c r="YD7" s="1852"/>
      <c r="YE7" s="1852"/>
      <c r="YF7" s="1852"/>
      <c r="YG7" s="1852"/>
      <c r="YH7" s="1852"/>
      <c r="YI7" s="1852"/>
      <c r="YJ7" s="1852"/>
      <c r="YK7" s="1852"/>
      <c r="YL7" s="1852"/>
      <c r="YM7" s="1852"/>
      <c r="YN7" s="1852"/>
      <c r="YO7" s="1852"/>
      <c r="YP7" s="1852"/>
      <c r="YQ7" s="1852"/>
      <c r="YR7" s="1852"/>
      <c r="YS7" s="1852"/>
      <c r="YT7" s="1852"/>
      <c r="YU7" s="1852"/>
      <c r="YV7" s="1852"/>
      <c r="YW7" s="1852"/>
      <c r="YX7" s="1852"/>
      <c r="YY7" s="1852"/>
      <c r="YZ7" s="1852"/>
      <c r="ZA7" s="1852"/>
      <c r="ZB7" s="1852"/>
      <c r="ZC7" s="1852"/>
      <c r="ZD7" s="1852"/>
      <c r="ZE7" s="1852"/>
      <c r="ZF7" s="1852"/>
      <c r="ZG7" s="1852"/>
      <c r="ZH7" s="1852"/>
      <c r="ZI7" s="1852"/>
      <c r="ZJ7" s="1852"/>
      <c r="ZK7" s="1852"/>
      <c r="ZL7" s="1852"/>
      <c r="ZM7" s="1852"/>
      <c r="ZN7" s="1852"/>
      <c r="ZO7" s="1852"/>
      <c r="ZP7" s="1852"/>
      <c r="ZQ7" s="1852"/>
      <c r="ZR7" s="1852"/>
      <c r="ZS7" s="1852"/>
      <c r="ZT7" s="1852"/>
      <c r="ZU7" s="1852"/>
      <c r="ZV7" s="1852"/>
      <c r="ZW7" s="1852"/>
      <c r="ZX7" s="1852"/>
      <c r="ZY7" s="1852"/>
      <c r="ZZ7" s="1852"/>
      <c r="AAA7" s="1852"/>
      <c r="AAB7" s="1852"/>
      <c r="AAC7" s="1852"/>
      <c r="AAD7" s="1852"/>
      <c r="AAE7" s="1852"/>
      <c r="AAF7" s="1852"/>
      <c r="AAG7" s="1852"/>
      <c r="AAH7" s="1852"/>
      <c r="AAI7" s="1852"/>
      <c r="AAJ7" s="1852"/>
      <c r="AAK7" s="1852"/>
      <c r="AAL7" s="1852"/>
      <c r="AAM7" s="1852"/>
      <c r="AAN7" s="1852"/>
      <c r="AAO7" s="1852"/>
      <c r="AAP7" s="1852"/>
      <c r="AAQ7" s="1852"/>
      <c r="AAR7" s="1852"/>
      <c r="AAS7" s="1852"/>
      <c r="AAT7" s="1852"/>
      <c r="AAU7" s="1852"/>
      <c r="AAV7" s="1852"/>
      <c r="AAW7" s="1852"/>
      <c r="AAX7" s="1852"/>
      <c r="AAY7" s="1852"/>
      <c r="AAZ7" s="1852"/>
      <c r="ABA7" s="1852"/>
      <c r="ABB7" s="1852"/>
      <c r="ABC7" s="1852"/>
      <c r="ABD7" s="1852"/>
      <c r="ABE7" s="1852"/>
      <c r="ABF7" s="1852"/>
      <c r="ABG7" s="1852"/>
      <c r="ABH7" s="1852"/>
      <c r="ABI7" s="1852"/>
      <c r="ABJ7" s="1852"/>
      <c r="ABK7" s="1852"/>
      <c r="ABL7" s="1852"/>
      <c r="ABM7" s="1852"/>
      <c r="ABN7" s="1852"/>
      <c r="ABO7" s="1852"/>
      <c r="ABP7" s="1852"/>
      <c r="ABQ7" s="1852"/>
      <c r="ABR7" s="1852"/>
      <c r="ABS7" s="1852"/>
      <c r="ABT7" s="1852"/>
      <c r="ABU7" s="1852"/>
      <c r="ABV7" s="1852"/>
      <c r="ABW7" s="1852"/>
      <c r="ABX7" s="1852"/>
      <c r="ABY7" s="1852"/>
      <c r="ABZ7" s="1852"/>
      <c r="ACA7" s="1852"/>
      <c r="ACB7" s="1852"/>
      <c r="ACC7" s="1852"/>
      <c r="ACD7" s="1852"/>
      <c r="ACE7" s="1852"/>
      <c r="ACF7" s="1852"/>
      <c r="ACG7" s="1852"/>
      <c r="ACH7" s="1852"/>
      <c r="ACI7" s="1852"/>
      <c r="ACJ7" s="1852"/>
      <c r="ACK7" s="1852"/>
      <c r="ACL7" s="1852"/>
      <c r="ACM7" s="1852"/>
      <c r="ACN7" s="1852"/>
      <c r="ACO7" s="1852"/>
      <c r="ACP7" s="1852"/>
      <c r="ACQ7" s="1852"/>
      <c r="ACR7" s="1852"/>
      <c r="ACS7" s="1852"/>
      <c r="ACT7" s="1852"/>
      <c r="ACU7" s="1852"/>
      <c r="ACV7" s="1852"/>
      <c r="ACW7" s="1852"/>
      <c r="ACX7" s="1852"/>
      <c r="ACY7" s="1852"/>
      <c r="ACZ7" s="1852"/>
      <c r="ADA7" s="1852"/>
      <c r="ADB7" s="1852"/>
      <c r="ADC7" s="1852"/>
      <c r="ADD7" s="1852"/>
      <c r="ADE7" s="1852"/>
      <c r="ADF7" s="1852"/>
      <c r="ADG7" s="1852"/>
      <c r="ADH7" s="1852"/>
      <c r="ADI7" s="1852"/>
      <c r="ADJ7" s="1852"/>
      <c r="ADK7" s="1852"/>
      <c r="ADL7" s="1852"/>
      <c r="ADM7" s="1852"/>
      <c r="ADN7" s="1852"/>
      <c r="ADO7" s="1852"/>
      <c r="ADP7" s="1852"/>
      <c r="ADQ7" s="1852"/>
      <c r="ADR7" s="1852"/>
      <c r="ADS7" s="1852"/>
      <c r="ADT7" s="1852"/>
      <c r="ADU7" s="1852"/>
      <c r="ADV7" s="1852"/>
      <c r="ADW7" s="1852"/>
      <c r="ADX7" s="1852"/>
      <c r="ADY7" s="1852"/>
      <c r="ADZ7" s="1852"/>
      <c r="AEA7" s="1852"/>
      <c r="AEB7" s="1852"/>
      <c r="AEC7" s="1852"/>
      <c r="AED7" s="1852"/>
      <c r="AEE7" s="1852"/>
      <c r="AEF7" s="1852"/>
      <c r="AEG7" s="1852"/>
      <c r="AEH7" s="1852"/>
      <c r="AEI7" s="1852"/>
      <c r="AEJ7" s="1852"/>
      <c r="AEK7" s="1852"/>
      <c r="AEL7" s="1852"/>
      <c r="AEM7" s="1852"/>
      <c r="AEN7" s="1852"/>
      <c r="AEO7" s="1852"/>
      <c r="AEP7" s="1852"/>
      <c r="AEQ7" s="1852"/>
      <c r="AER7" s="1852"/>
      <c r="AES7" s="1852"/>
      <c r="AET7" s="1852"/>
      <c r="AEU7" s="1852"/>
      <c r="AEV7" s="1852"/>
      <c r="AEW7" s="1852"/>
      <c r="AEX7" s="1852"/>
      <c r="AEY7" s="1852"/>
      <c r="AEZ7" s="1852"/>
      <c r="AFA7" s="1852"/>
      <c r="AFB7" s="1852"/>
      <c r="AFC7" s="1852"/>
      <c r="AFD7" s="1852"/>
      <c r="AFE7" s="1852"/>
      <c r="AFF7" s="1852"/>
      <c r="AFG7" s="1852"/>
      <c r="AFH7" s="1852"/>
      <c r="AFI7" s="1852"/>
      <c r="AFJ7" s="1852"/>
      <c r="AFK7" s="1852"/>
      <c r="AFL7" s="1852"/>
      <c r="AFM7" s="1852"/>
      <c r="AFN7" s="1852"/>
      <c r="AFO7" s="1852"/>
      <c r="AFP7" s="1852"/>
      <c r="AFQ7" s="1852"/>
      <c r="AFR7" s="1852"/>
      <c r="AFS7" s="1852"/>
      <c r="AFT7" s="1852"/>
      <c r="AFU7" s="1852"/>
      <c r="AFV7" s="1852"/>
      <c r="AFW7" s="1852"/>
      <c r="AFX7" s="1852"/>
      <c r="AFY7" s="1852"/>
      <c r="AFZ7" s="1852"/>
      <c r="AGA7" s="1852"/>
      <c r="AGB7" s="1852"/>
      <c r="AGC7" s="1852"/>
      <c r="AGD7" s="1852"/>
      <c r="AGE7" s="1852"/>
      <c r="AGF7" s="1852"/>
      <c r="AGG7" s="1852"/>
      <c r="AGH7" s="1852"/>
      <c r="AGI7" s="1852"/>
      <c r="AGJ7" s="1852"/>
      <c r="AGK7" s="1852"/>
      <c r="AGL7" s="1852"/>
      <c r="AGM7" s="1852"/>
      <c r="AGN7" s="1852"/>
      <c r="AGO7" s="1852"/>
      <c r="AGP7" s="1852"/>
      <c r="AGQ7" s="1852"/>
      <c r="AGR7" s="1852"/>
      <c r="AGS7" s="1852"/>
      <c r="AGT7" s="1852"/>
      <c r="AGU7" s="1852"/>
      <c r="AGV7" s="1852"/>
      <c r="AGW7" s="1852"/>
      <c r="AGX7" s="1852"/>
      <c r="AGY7" s="1852"/>
      <c r="AGZ7" s="1852"/>
      <c r="AHA7" s="1852"/>
      <c r="AHB7" s="1852"/>
      <c r="AHC7" s="1852"/>
      <c r="AHD7" s="1852"/>
      <c r="AHE7" s="1852"/>
      <c r="AHF7" s="1852"/>
      <c r="AHG7" s="1852"/>
      <c r="AHH7" s="1852"/>
      <c r="AHI7" s="1852"/>
      <c r="AHJ7" s="1852"/>
      <c r="AHK7" s="1852"/>
      <c r="AHL7" s="1852"/>
      <c r="AHM7" s="1852"/>
      <c r="AHN7" s="1852"/>
      <c r="AHO7" s="1852"/>
      <c r="AHP7" s="1852"/>
      <c r="AHQ7" s="1852"/>
      <c r="AHR7" s="1852"/>
      <c r="AHS7" s="1852"/>
      <c r="AHT7" s="1852"/>
      <c r="AHU7" s="1852"/>
      <c r="AHV7" s="1852"/>
      <c r="AHW7" s="1852"/>
      <c r="AHX7" s="1852"/>
      <c r="AHY7" s="1852"/>
      <c r="AHZ7" s="1852"/>
      <c r="AIA7" s="1852"/>
      <c r="AIB7" s="1852"/>
      <c r="AIC7" s="1852"/>
      <c r="AID7" s="1852"/>
      <c r="AIE7" s="1852"/>
      <c r="AIF7" s="1852"/>
      <c r="AIG7" s="1852"/>
      <c r="AIH7" s="1852"/>
      <c r="AII7" s="1852"/>
      <c r="AIJ7" s="1852"/>
      <c r="AIK7" s="1852"/>
      <c r="AIL7" s="1852"/>
      <c r="AIM7" s="1852"/>
      <c r="AIN7" s="1852"/>
      <c r="AIO7" s="1852"/>
      <c r="AIP7" s="1852"/>
      <c r="AIQ7" s="1852"/>
      <c r="AIR7" s="1852"/>
      <c r="AIS7" s="1852"/>
      <c r="AIT7" s="1852"/>
      <c r="AIU7" s="1852"/>
      <c r="AIV7" s="1852"/>
      <c r="AIW7" s="1852"/>
      <c r="AIX7" s="1852"/>
      <c r="AIY7" s="1852"/>
      <c r="AIZ7" s="1852"/>
      <c r="AJA7" s="1852"/>
      <c r="AJB7" s="1852"/>
      <c r="AJC7" s="1852"/>
      <c r="AJD7" s="1852"/>
      <c r="AJE7" s="1852"/>
      <c r="AJF7" s="1852"/>
      <c r="AJG7" s="1852"/>
      <c r="AJH7" s="1852"/>
      <c r="AJI7" s="1852"/>
      <c r="AJJ7" s="1852"/>
      <c r="AJK7" s="1852"/>
      <c r="AJL7" s="1852"/>
      <c r="AJM7" s="1852"/>
      <c r="AJN7" s="1852"/>
      <c r="AJO7" s="1852"/>
      <c r="AJP7" s="1852"/>
      <c r="AJQ7" s="1852"/>
      <c r="AJR7" s="1852"/>
      <c r="AJS7" s="1852"/>
      <c r="AJT7" s="1852"/>
      <c r="AJU7" s="1852"/>
      <c r="AJV7" s="1852"/>
      <c r="AJW7" s="1852"/>
      <c r="AJX7" s="1852"/>
      <c r="AJY7" s="1852"/>
      <c r="AJZ7" s="1852"/>
      <c r="AKA7" s="1852"/>
      <c r="AKB7" s="1852"/>
      <c r="AKC7" s="1852"/>
      <c r="AKD7" s="1852"/>
      <c r="AKE7" s="1852"/>
      <c r="AKF7" s="1852"/>
      <c r="AKG7" s="1852"/>
      <c r="AKH7" s="1852"/>
      <c r="AKI7" s="1852"/>
      <c r="AKJ7" s="1852"/>
      <c r="AKK7" s="1852"/>
      <c r="AKL7" s="1852"/>
      <c r="AKM7" s="1852"/>
      <c r="AKN7" s="1852"/>
      <c r="AKO7" s="1852"/>
      <c r="AKP7" s="1852"/>
      <c r="AKQ7" s="1852"/>
      <c r="AKR7" s="1852"/>
      <c r="AKS7" s="1852"/>
      <c r="AKT7" s="1852"/>
      <c r="AKU7" s="1852"/>
      <c r="AKV7" s="1852"/>
      <c r="AKW7" s="1852"/>
      <c r="AKX7" s="1852"/>
      <c r="AKY7" s="1852"/>
      <c r="AKZ7" s="1852"/>
      <c r="ALA7" s="1852"/>
      <c r="ALB7" s="1852"/>
      <c r="ALC7" s="1852"/>
      <c r="ALD7" s="1852"/>
      <c r="ALE7" s="1852"/>
      <c r="ALF7" s="1852"/>
      <c r="ALG7" s="1852"/>
      <c r="ALH7" s="1852"/>
      <c r="ALI7" s="1852"/>
      <c r="ALJ7" s="1852"/>
      <c r="ALK7" s="1852"/>
      <c r="ALL7" s="1852"/>
      <c r="ALM7" s="1852"/>
      <c r="ALN7" s="1852"/>
      <c r="ALO7" s="1852"/>
      <c r="ALP7" s="1852"/>
      <c r="ALQ7" s="1852"/>
      <c r="ALR7" s="1852"/>
    </row>
    <row r="8" spans="1:1007" x14ac:dyDescent="0.3">
      <c r="A8" s="1854"/>
      <c r="B8" t="s">
        <v>1216</v>
      </c>
      <c r="C8" s="1853" t="s">
        <v>1218</v>
      </c>
      <c r="D8" s="1855">
        <f t="shared" si="0"/>
        <v>0</v>
      </c>
      <c r="E8" s="1855">
        <f t="shared" si="1"/>
        <v>0</v>
      </c>
      <c r="F8" s="1855">
        <f t="shared" si="2"/>
        <v>0</v>
      </c>
      <c r="G8" s="1852"/>
      <c r="H8" s="1852"/>
      <c r="I8" s="1852"/>
      <c r="J8" s="1852"/>
      <c r="K8" s="1852"/>
      <c r="L8" s="1852"/>
      <c r="M8" s="1852"/>
      <c r="N8" s="1852"/>
      <c r="O8" s="1852"/>
      <c r="P8" s="1852"/>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c r="AT8" s="1852"/>
      <c r="AU8" s="1852"/>
      <c r="AV8" s="1852"/>
      <c r="AW8" s="1852"/>
      <c r="AX8" s="1852"/>
      <c r="AY8" s="1852"/>
      <c r="AZ8" s="1852"/>
      <c r="BA8" s="1852"/>
      <c r="BB8" s="1852"/>
      <c r="BC8" s="1852"/>
      <c r="BD8" s="1852"/>
      <c r="BE8" s="1852"/>
      <c r="BF8" s="1852"/>
      <c r="BG8" s="1852"/>
      <c r="BH8" s="1852"/>
      <c r="BI8" s="1852"/>
      <c r="BJ8" s="1852"/>
      <c r="BK8" s="1852"/>
      <c r="BL8" s="1852"/>
      <c r="BM8" s="1852"/>
      <c r="BN8" s="1852"/>
      <c r="BO8" s="1852"/>
      <c r="BP8" s="1852"/>
      <c r="BQ8" s="1852"/>
      <c r="BR8" s="1852"/>
      <c r="BS8" s="1852"/>
      <c r="BT8" s="1852"/>
      <c r="BU8" s="1852"/>
      <c r="BV8" s="1852"/>
      <c r="BW8" s="1852"/>
      <c r="BX8" s="1852"/>
      <c r="BY8" s="1852"/>
      <c r="BZ8" s="1852"/>
      <c r="CA8" s="1852"/>
      <c r="CB8" s="1852"/>
      <c r="CC8" s="1852"/>
      <c r="CD8" s="1852"/>
      <c r="CE8" s="1852"/>
      <c r="CF8" s="1852"/>
      <c r="CG8" s="1852"/>
      <c r="CH8" s="1852"/>
      <c r="CI8" s="1852"/>
      <c r="CJ8" s="1852"/>
      <c r="CK8" s="1852"/>
      <c r="CL8" s="1852"/>
      <c r="CM8" s="1852"/>
      <c r="CN8" s="1852"/>
      <c r="CO8" s="1852"/>
      <c r="CP8" s="1852"/>
      <c r="CQ8" s="1852"/>
      <c r="CR8" s="1852"/>
      <c r="CS8" s="1852"/>
      <c r="CT8" s="1852"/>
      <c r="CU8" s="1852"/>
      <c r="CV8" s="1852"/>
      <c r="CW8" s="1852"/>
      <c r="CX8" s="1852"/>
      <c r="CY8" s="1852"/>
      <c r="CZ8" s="1852"/>
      <c r="DA8" s="1852"/>
      <c r="DB8" s="1852"/>
      <c r="DC8" s="1852"/>
      <c r="DD8" s="1852"/>
      <c r="DE8" s="1852"/>
      <c r="DF8" s="1852"/>
      <c r="DG8" s="1852"/>
      <c r="DH8" s="1852"/>
      <c r="DI8" s="1852"/>
      <c r="DJ8" s="1852"/>
      <c r="DK8" s="1852"/>
      <c r="DL8" s="1852"/>
      <c r="DM8" s="1852"/>
      <c r="DN8" s="1852"/>
      <c r="DO8" s="1852"/>
      <c r="DP8" s="1852"/>
      <c r="DQ8" s="1852"/>
      <c r="DR8" s="1852"/>
      <c r="DS8" s="1852"/>
      <c r="DT8" s="1852"/>
      <c r="DU8" s="1852"/>
      <c r="DV8" s="1852"/>
      <c r="DW8" s="1852"/>
      <c r="DX8" s="1852"/>
      <c r="DY8" s="1852"/>
      <c r="DZ8" s="1852"/>
      <c r="EA8" s="1852"/>
      <c r="EB8" s="1852"/>
      <c r="EC8" s="1852"/>
      <c r="ED8" s="1852"/>
      <c r="EE8" s="1852"/>
      <c r="EF8" s="1852"/>
      <c r="EG8" s="1852"/>
      <c r="EH8" s="1852"/>
      <c r="EI8" s="1852"/>
      <c r="EJ8" s="1852"/>
      <c r="EK8" s="1852"/>
      <c r="EL8" s="1852"/>
      <c r="EM8" s="1852"/>
      <c r="EN8" s="1852"/>
      <c r="EO8" s="1852"/>
      <c r="EP8" s="1852"/>
      <c r="EQ8" s="1852"/>
      <c r="ER8" s="1852"/>
      <c r="ES8" s="1852"/>
      <c r="ET8" s="1852"/>
      <c r="EU8" s="1852"/>
      <c r="EV8" s="1852"/>
      <c r="EW8" s="1852"/>
      <c r="EX8" s="1852"/>
      <c r="EY8" s="1852"/>
      <c r="EZ8" s="1852"/>
      <c r="FA8" s="1852"/>
      <c r="FB8" s="1852"/>
      <c r="FC8" s="1852"/>
      <c r="FD8" s="1852"/>
      <c r="FE8" s="1852"/>
      <c r="FF8" s="1852"/>
      <c r="FG8" s="1852"/>
      <c r="FH8" s="1852"/>
      <c r="FI8" s="1852"/>
      <c r="FJ8" s="1852"/>
      <c r="FK8" s="1852"/>
      <c r="FL8" s="1852"/>
      <c r="FM8" s="1852"/>
      <c r="FN8" s="1852"/>
      <c r="FO8" s="1852"/>
      <c r="FP8" s="1852"/>
      <c r="FQ8" s="1852"/>
      <c r="FR8" s="1852"/>
      <c r="FS8" s="1852"/>
      <c r="FT8" s="1852"/>
      <c r="FU8" s="1852"/>
      <c r="FV8" s="1852"/>
      <c r="FW8" s="1852"/>
      <c r="FX8" s="1852"/>
      <c r="FY8" s="1852"/>
      <c r="FZ8" s="1852"/>
      <c r="GA8" s="1852"/>
      <c r="GB8" s="1852"/>
      <c r="GC8" s="1852"/>
      <c r="GD8" s="1852"/>
      <c r="GE8" s="1852"/>
      <c r="GF8" s="1852"/>
      <c r="GG8" s="1852"/>
      <c r="GH8" s="1852"/>
      <c r="GI8" s="1852"/>
      <c r="GJ8" s="1852"/>
      <c r="GK8" s="1852"/>
      <c r="GL8" s="1852"/>
      <c r="GM8" s="1852"/>
      <c r="GN8" s="1852"/>
      <c r="GO8" s="1852"/>
      <c r="GP8" s="1852"/>
      <c r="GQ8" s="1852"/>
      <c r="GR8" s="1852"/>
      <c r="GS8" s="1852"/>
      <c r="GT8" s="1852"/>
      <c r="GU8" s="1852"/>
      <c r="GV8" s="1852"/>
      <c r="GW8" s="1852"/>
      <c r="GX8" s="1852"/>
      <c r="GY8" s="1852"/>
      <c r="GZ8" s="1852"/>
      <c r="HA8" s="1852"/>
      <c r="HB8" s="1852"/>
      <c r="HC8" s="1852"/>
      <c r="HD8" s="1852"/>
      <c r="HE8" s="1852"/>
      <c r="HF8" s="1852"/>
      <c r="HG8" s="1852"/>
      <c r="HH8" s="1852"/>
      <c r="HI8" s="1852"/>
      <c r="HJ8" s="1852"/>
      <c r="HK8" s="1852"/>
      <c r="HL8" s="1852"/>
      <c r="HM8" s="1852"/>
      <c r="HN8" s="1852"/>
      <c r="HO8" s="1852"/>
      <c r="HP8" s="1852"/>
      <c r="HQ8" s="1852"/>
      <c r="HR8" s="1852"/>
      <c r="HS8" s="1852"/>
      <c r="HT8" s="1852"/>
      <c r="HU8" s="1852"/>
      <c r="HV8" s="1852"/>
      <c r="HW8" s="1852"/>
      <c r="HX8" s="1852"/>
      <c r="HY8" s="1852"/>
      <c r="HZ8" s="1852"/>
      <c r="IA8" s="1852"/>
      <c r="IB8" s="1852"/>
      <c r="IC8" s="1852"/>
      <c r="ID8" s="1852"/>
      <c r="IE8" s="1852"/>
      <c r="IF8" s="1852"/>
      <c r="IG8" s="1852"/>
      <c r="IH8" s="1852"/>
      <c r="II8" s="1852"/>
      <c r="IJ8" s="1852"/>
      <c r="IK8" s="1852"/>
      <c r="IL8" s="1852"/>
      <c r="IM8" s="1852"/>
      <c r="IN8" s="1852"/>
      <c r="IO8" s="1852"/>
      <c r="IP8" s="1852"/>
      <c r="IQ8" s="1852"/>
      <c r="IR8" s="1852"/>
      <c r="IS8" s="1852"/>
      <c r="IT8" s="1852"/>
      <c r="IU8" s="1852"/>
      <c r="IV8" s="1852"/>
      <c r="IW8" s="1852"/>
      <c r="IX8" s="1852"/>
      <c r="IY8" s="1852"/>
      <c r="IZ8" s="1852"/>
      <c r="JA8" s="1852"/>
      <c r="JB8" s="1852"/>
      <c r="JC8" s="1852"/>
      <c r="JD8" s="1852"/>
      <c r="JE8" s="1852"/>
      <c r="JF8" s="1852"/>
      <c r="JG8" s="1852"/>
      <c r="JH8" s="1852"/>
      <c r="JI8" s="1852"/>
      <c r="JJ8" s="1852"/>
      <c r="JK8" s="1852"/>
      <c r="JL8" s="1852"/>
      <c r="JM8" s="1852"/>
      <c r="JN8" s="1852"/>
      <c r="JO8" s="1852"/>
      <c r="JP8" s="1852"/>
      <c r="JQ8" s="1852"/>
      <c r="JR8" s="1852"/>
      <c r="JS8" s="1852"/>
      <c r="JT8" s="1852"/>
      <c r="JU8" s="1852"/>
      <c r="JV8" s="1852"/>
      <c r="JW8" s="1852"/>
      <c r="JX8" s="1852"/>
      <c r="JY8" s="1852"/>
      <c r="JZ8" s="1852"/>
      <c r="KA8" s="1852"/>
      <c r="KB8" s="1852"/>
      <c r="KC8" s="1852"/>
      <c r="KD8" s="1852"/>
      <c r="KE8" s="1852"/>
      <c r="KF8" s="1852"/>
      <c r="KG8" s="1852"/>
      <c r="KH8" s="1852"/>
      <c r="KI8" s="1852"/>
      <c r="KJ8" s="1852"/>
      <c r="KK8" s="1852"/>
      <c r="KL8" s="1852"/>
      <c r="KM8" s="1852"/>
      <c r="KN8" s="1852"/>
      <c r="KO8" s="1852"/>
      <c r="KP8" s="1852"/>
      <c r="KQ8" s="1852"/>
      <c r="KR8" s="1852"/>
      <c r="KS8" s="1852"/>
      <c r="KT8" s="1852"/>
      <c r="KU8" s="1852"/>
      <c r="KV8" s="1852"/>
      <c r="KW8" s="1852"/>
      <c r="KX8" s="1852"/>
      <c r="KY8" s="1852"/>
      <c r="KZ8" s="1852"/>
      <c r="LA8" s="1852"/>
      <c r="LB8" s="1852"/>
      <c r="LC8" s="1852"/>
      <c r="LD8" s="1852"/>
      <c r="LE8" s="1852"/>
      <c r="LF8" s="1852"/>
      <c r="LG8" s="1852"/>
      <c r="LH8" s="1852"/>
      <c r="LI8" s="1852"/>
      <c r="LJ8" s="1852"/>
      <c r="LK8" s="1852"/>
      <c r="LL8" s="1852"/>
      <c r="LM8" s="1852"/>
      <c r="LN8" s="1852"/>
      <c r="LO8" s="1852"/>
      <c r="LP8" s="1852"/>
      <c r="LQ8" s="1852"/>
      <c r="LR8" s="1852"/>
      <c r="LS8" s="1852"/>
      <c r="LT8" s="1852"/>
      <c r="LU8" s="1852"/>
      <c r="LV8" s="1852"/>
      <c r="LW8" s="1852"/>
      <c r="LX8" s="1852"/>
      <c r="LY8" s="1852"/>
      <c r="LZ8" s="1852"/>
      <c r="MA8" s="1852"/>
      <c r="MB8" s="1852"/>
      <c r="MC8" s="1852"/>
      <c r="MD8" s="1852"/>
      <c r="ME8" s="1852"/>
      <c r="MF8" s="1852"/>
      <c r="MG8" s="1852"/>
      <c r="MH8" s="1852"/>
      <c r="MI8" s="1852"/>
      <c r="MJ8" s="1852"/>
      <c r="MK8" s="1852"/>
      <c r="ML8" s="1852"/>
      <c r="MM8" s="1852"/>
      <c r="MN8" s="1852"/>
      <c r="MO8" s="1852"/>
      <c r="MP8" s="1852"/>
      <c r="MQ8" s="1852"/>
      <c r="MR8" s="1852"/>
      <c r="MS8" s="1852"/>
      <c r="MT8" s="1852"/>
      <c r="MU8" s="1852"/>
      <c r="MV8" s="1852"/>
      <c r="MW8" s="1852"/>
      <c r="MX8" s="1852"/>
      <c r="MY8" s="1852"/>
      <c r="MZ8" s="1852"/>
      <c r="NA8" s="1852"/>
      <c r="NB8" s="1852"/>
      <c r="NC8" s="1852"/>
      <c r="ND8" s="1852"/>
      <c r="NE8" s="1852"/>
      <c r="NF8" s="1852"/>
      <c r="NG8" s="1852"/>
      <c r="NH8" s="1852"/>
      <c r="NI8" s="1852"/>
      <c r="NJ8" s="1852"/>
      <c r="NK8" s="1852"/>
      <c r="NL8" s="1852"/>
      <c r="NM8" s="1852"/>
      <c r="NN8" s="1852"/>
      <c r="NO8" s="1852"/>
      <c r="NP8" s="1852"/>
      <c r="NQ8" s="1852"/>
      <c r="NR8" s="1852"/>
      <c r="NS8" s="1852"/>
      <c r="NT8" s="1852"/>
      <c r="NU8" s="1852"/>
      <c r="NV8" s="1852"/>
      <c r="NW8" s="1852"/>
      <c r="NX8" s="1852"/>
      <c r="NY8" s="1852"/>
      <c r="NZ8" s="1852"/>
      <c r="OA8" s="1852"/>
      <c r="OB8" s="1852"/>
      <c r="OC8" s="1852"/>
      <c r="OD8" s="1852"/>
      <c r="OE8" s="1852"/>
      <c r="OF8" s="1852"/>
      <c r="OG8" s="1852"/>
      <c r="OH8" s="1852"/>
      <c r="OI8" s="1852"/>
      <c r="OJ8" s="1852"/>
      <c r="OK8" s="1852"/>
      <c r="OL8" s="1852"/>
      <c r="OM8" s="1852"/>
      <c r="ON8" s="1852"/>
      <c r="OO8" s="1852"/>
      <c r="OP8" s="1852"/>
      <c r="OQ8" s="1852"/>
      <c r="OR8" s="1852"/>
      <c r="OS8" s="1852"/>
      <c r="OT8" s="1852"/>
      <c r="OU8" s="1852"/>
      <c r="OV8" s="1852"/>
      <c r="OW8" s="1852"/>
      <c r="OX8" s="1852"/>
      <c r="OY8" s="1852"/>
      <c r="OZ8" s="1852"/>
      <c r="PA8" s="1852"/>
      <c r="PB8" s="1852"/>
      <c r="PC8" s="1852"/>
      <c r="PD8" s="1852"/>
      <c r="PE8" s="1852"/>
      <c r="PF8" s="1852"/>
      <c r="PG8" s="1852"/>
      <c r="PH8" s="1852"/>
      <c r="PI8" s="1852"/>
      <c r="PJ8" s="1852"/>
      <c r="PK8" s="1852"/>
      <c r="PL8" s="1852"/>
      <c r="PM8" s="1852"/>
      <c r="PN8" s="1852"/>
      <c r="PO8" s="1852"/>
      <c r="PP8" s="1852"/>
      <c r="PQ8" s="1852"/>
      <c r="PR8" s="1852"/>
      <c r="PS8" s="1852"/>
      <c r="PT8" s="1852"/>
      <c r="PU8" s="1852"/>
      <c r="PV8" s="1852"/>
      <c r="PW8" s="1852"/>
      <c r="PX8" s="1852"/>
      <c r="PY8" s="1852"/>
      <c r="PZ8" s="1852"/>
      <c r="QA8" s="1852"/>
      <c r="QB8" s="1852"/>
      <c r="QC8" s="1852"/>
      <c r="QD8" s="1852"/>
      <c r="QE8" s="1852"/>
      <c r="QF8" s="1852"/>
      <c r="QG8" s="1852"/>
      <c r="QH8" s="1852"/>
      <c r="QI8" s="1852"/>
      <c r="QJ8" s="1852"/>
      <c r="QK8" s="1852"/>
      <c r="QL8" s="1852"/>
      <c r="QM8" s="1852"/>
      <c r="QN8" s="1852"/>
      <c r="QO8" s="1852"/>
      <c r="QP8" s="1852"/>
      <c r="QQ8" s="1852"/>
      <c r="QR8" s="1852"/>
      <c r="QS8" s="1852"/>
      <c r="QT8" s="1852"/>
      <c r="QU8" s="1852"/>
      <c r="QV8" s="1852"/>
      <c r="QW8" s="1852"/>
      <c r="QX8" s="1852"/>
      <c r="QY8" s="1852"/>
      <c r="QZ8" s="1852"/>
      <c r="RA8" s="1852"/>
      <c r="RB8" s="1852"/>
      <c r="RC8" s="1852"/>
      <c r="RD8" s="1852"/>
      <c r="RE8" s="1852"/>
      <c r="RF8" s="1852"/>
      <c r="RG8" s="1852"/>
      <c r="RH8" s="1852"/>
      <c r="RI8" s="1852"/>
      <c r="RJ8" s="1852"/>
      <c r="RK8" s="1852"/>
      <c r="RL8" s="1852"/>
      <c r="RM8" s="1852"/>
      <c r="RN8" s="1852"/>
      <c r="RO8" s="1852"/>
      <c r="RP8" s="1852"/>
      <c r="RQ8" s="1852"/>
      <c r="RR8" s="1852"/>
      <c r="RS8" s="1852"/>
      <c r="RT8" s="1852"/>
      <c r="RU8" s="1852"/>
      <c r="RV8" s="1852"/>
      <c r="RW8" s="1852"/>
      <c r="RX8" s="1852"/>
      <c r="RY8" s="1852"/>
      <c r="RZ8" s="1852"/>
      <c r="SA8" s="1852"/>
      <c r="SB8" s="1852"/>
      <c r="SC8" s="1852"/>
      <c r="SD8" s="1852"/>
      <c r="SE8" s="1852"/>
      <c r="SF8" s="1852"/>
      <c r="SG8" s="1852"/>
      <c r="SH8" s="1852"/>
      <c r="SI8" s="1852"/>
      <c r="SJ8" s="1852"/>
      <c r="SK8" s="1852"/>
      <c r="SL8" s="1852"/>
      <c r="SM8" s="1852"/>
      <c r="SN8" s="1852"/>
      <c r="SO8" s="1852"/>
      <c r="SP8" s="1852"/>
      <c r="SQ8" s="1852"/>
      <c r="SR8" s="1852"/>
      <c r="SS8" s="1852"/>
      <c r="ST8" s="1852"/>
      <c r="SU8" s="1852"/>
      <c r="SV8" s="1852"/>
      <c r="SW8" s="1852"/>
      <c r="SX8" s="1852"/>
      <c r="SY8" s="1852"/>
      <c r="SZ8" s="1852"/>
      <c r="TA8" s="1852"/>
      <c r="TB8" s="1852"/>
      <c r="TC8" s="1852"/>
      <c r="TD8" s="1852"/>
      <c r="TE8" s="1852"/>
      <c r="TF8" s="1852"/>
      <c r="TG8" s="1852"/>
      <c r="TH8" s="1852"/>
      <c r="TI8" s="1852"/>
      <c r="TJ8" s="1852"/>
      <c r="TK8" s="1852"/>
      <c r="TL8" s="1852"/>
      <c r="TM8" s="1852"/>
      <c r="TN8" s="1852"/>
      <c r="TO8" s="1852"/>
      <c r="TP8" s="1852"/>
      <c r="TQ8" s="1852"/>
      <c r="TR8" s="1852"/>
      <c r="TS8" s="1852"/>
      <c r="TT8" s="1852"/>
      <c r="TU8" s="1852"/>
      <c r="TV8" s="1852"/>
      <c r="TW8" s="1852"/>
      <c r="TX8" s="1852"/>
      <c r="TY8" s="1852"/>
      <c r="TZ8" s="1852"/>
      <c r="UA8" s="1852"/>
      <c r="UB8" s="1852"/>
      <c r="UC8" s="1852"/>
      <c r="UD8" s="1852"/>
      <c r="UE8" s="1852"/>
      <c r="UF8" s="1852"/>
      <c r="UG8" s="1852"/>
      <c r="UH8" s="1852"/>
      <c r="UI8" s="1852"/>
      <c r="UJ8" s="1852"/>
      <c r="UK8" s="1852"/>
      <c r="UL8" s="1852"/>
      <c r="UM8" s="1852"/>
      <c r="UN8" s="1852"/>
      <c r="UO8" s="1852"/>
      <c r="UP8" s="1852"/>
      <c r="UQ8" s="1852"/>
      <c r="UR8" s="1852"/>
      <c r="US8" s="1852"/>
      <c r="UT8" s="1852"/>
      <c r="UU8" s="1852"/>
      <c r="UV8" s="1852"/>
      <c r="UW8" s="1852"/>
      <c r="UX8" s="1852"/>
      <c r="UY8" s="1852"/>
      <c r="UZ8" s="1852"/>
      <c r="VA8" s="1852"/>
      <c r="VB8" s="1852"/>
      <c r="VC8" s="1852"/>
      <c r="VD8" s="1852"/>
      <c r="VE8" s="1852"/>
      <c r="VF8" s="1852"/>
      <c r="VG8" s="1852"/>
      <c r="VH8" s="1852"/>
      <c r="VI8" s="1852"/>
      <c r="VJ8" s="1852"/>
      <c r="VK8" s="1852"/>
      <c r="VL8" s="1852"/>
      <c r="VM8" s="1852"/>
      <c r="VN8" s="1852"/>
      <c r="VO8" s="1852"/>
      <c r="VP8" s="1852"/>
      <c r="VQ8" s="1852"/>
      <c r="VR8" s="1852"/>
      <c r="VS8" s="1852"/>
      <c r="VT8" s="1852"/>
      <c r="VU8" s="1852"/>
      <c r="VV8" s="1852"/>
      <c r="VW8" s="1852"/>
      <c r="VX8" s="1852"/>
      <c r="VY8" s="1852"/>
      <c r="VZ8" s="1852"/>
      <c r="WA8" s="1852"/>
      <c r="WB8" s="1852"/>
      <c r="WC8" s="1852"/>
      <c r="WD8" s="1852"/>
      <c r="WE8" s="1852"/>
      <c r="WF8" s="1852"/>
      <c r="WG8" s="1852"/>
      <c r="WH8" s="1852"/>
      <c r="WI8" s="1852"/>
      <c r="WJ8" s="1852"/>
      <c r="WK8" s="1852"/>
      <c r="WL8" s="1852"/>
      <c r="WM8" s="1852"/>
      <c r="WN8" s="1852"/>
      <c r="WO8" s="1852"/>
      <c r="WP8" s="1852"/>
      <c r="WQ8" s="1852"/>
      <c r="WR8" s="1852"/>
      <c r="WS8" s="1852"/>
      <c r="WT8" s="1852"/>
      <c r="WU8" s="1852"/>
      <c r="WV8" s="1852"/>
      <c r="WW8" s="1852"/>
      <c r="WX8" s="1852"/>
      <c r="WY8" s="1852"/>
      <c r="WZ8" s="1852"/>
      <c r="XA8" s="1852"/>
      <c r="XB8" s="1852"/>
      <c r="XC8" s="1852"/>
      <c r="XD8" s="1852"/>
      <c r="XE8" s="1852"/>
      <c r="XF8" s="1852"/>
      <c r="XG8" s="1852"/>
      <c r="XH8" s="1852"/>
      <c r="XI8" s="1852"/>
      <c r="XJ8" s="1852"/>
      <c r="XK8" s="1852"/>
      <c r="XL8" s="1852"/>
      <c r="XM8" s="1852"/>
      <c r="XN8" s="1852"/>
      <c r="XO8" s="1852"/>
      <c r="XP8" s="1852"/>
      <c r="XQ8" s="1852"/>
      <c r="XR8" s="1852"/>
      <c r="XS8" s="1852"/>
      <c r="XT8" s="1852"/>
      <c r="XU8" s="1852"/>
      <c r="XV8" s="1852"/>
      <c r="XW8" s="1852"/>
      <c r="XX8" s="1852"/>
      <c r="XY8" s="1852"/>
      <c r="XZ8" s="1852"/>
      <c r="YA8" s="1852"/>
      <c r="YB8" s="1852"/>
      <c r="YC8" s="1852"/>
      <c r="YD8" s="1852"/>
      <c r="YE8" s="1852"/>
      <c r="YF8" s="1852"/>
      <c r="YG8" s="1852"/>
      <c r="YH8" s="1852"/>
      <c r="YI8" s="1852"/>
      <c r="YJ8" s="1852"/>
      <c r="YK8" s="1852"/>
      <c r="YL8" s="1852"/>
      <c r="YM8" s="1852"/>
      <c r="YN8" s="1852"/>
      <c r="YO8" s="1852"/>
      <c r="YP8" s="1852"/>
      <c r="YQ8" s="1852"/>
      <c r="YR8" s="1852"/>
      <c r="YS8" s="1852"/>
      <c r="YT8" s="1852"/>
      <c r="YU8" s="1852"/>
      <c r="YV8" s="1852"/>
      <c r="YW8" s="1852"/>
      <c r="YX8" s="1852"/>
      <c r="YY8" s="1852"/>
      <c r="YZ8" s="1852"/>
      <c r="ZA8" s="1852"/>
      <c r="ZB8" s="1852"/>
      <c r="ZC8" s="1852"/>
      <c r="ZD8" s="1852"/>
      <c r="ZE8" s="1852"/>
      <c r="ZF8" s="1852"/>
      <c r="ZG8" s="1852"/>
      <c r="ZH8" s="1852"/>
      <c r="ZI8" s="1852"/>
      <c r="ZJ8" s="1852"/>
      <c r="ZK8" s="1852"/>
      <c r="ZL8" s="1852"/>
      <c r="ZM8" s="1852"/>
      <c r="ZN8" s="1852"/>
      <c r="ZO8" s="1852"/>
      <c r="ZP8" s="1852"/>
      <c r="ZQ8" s="1852"/>
      <c r="ZR8" s="1852"/>
      <c r="ZS8" s="1852"/>
      <c r="ZT8" s="1852"/>
      <c r="ZU8" s="1852"/>
      <c r="ZV8" s="1852"/>
      <c r="ZW8" s="1852"/>
      <c r="ZX8" s="1852"/>
      <c r="ZY8" s="1852"/>
      <c r="ZZ8" s="1852"/>
      <c r="AAA8" s="1852"/>
      <c r="AAB8" s="1852"/>
      <c r="AAC8" s="1852"/>
      <c r="AAD8" s="1852"/>
      <c r="AAE8" s="1852"/>
      <c r="AAF8" s="1852"/>
      <c r="AAG8" s="1852"/>
      <c r="AAH8" s="1852"/>
      <c r="AAI8" s="1852"/>
      <c r="AAJ8" s="1852"/>
      <c r="AAK8" s="1852"/>
      <c r="AAL8" s="1852"/>
      <c r="AAM8" s="1852"/>
      <c r="AAN8" s="1852"/>
      <c r="AAO8" s="1852"/>
      <c r="AAP8" s="1852"/>
      <c r="AAQ8" s="1852"/>
      <c r="AAR8" s="1852"/>
      <c r="AAS8" s="1852"/>
      <c r="AAT8" s="1852"/>
      <c r="AAU8" s="1852"/>
      <c r="AAV8" s="1852"/>
      <c r="AAW8" s="1852"/>
      <c r="AAX8" s="1852"/>
      <c r="AAY8" s="1852"/>
      <c r="AAZ8" s="1852"/>
      <c r="ABA8" s="1852"/>
      <c r="ABB8" s="1852"/>
      <c r="ABC8" s="1852"/>
      <c r="ABD8" s="1852"/>
      <c r="ABE8" s="1852"/>
      <c r="ABF8" s="1852"/>
      <c r="ABG8" s="1852"/>
      <c r="ABH8" s="1852"/>
      <c r="ABI8" s="1852"/>
      <c r="ABJ8" s="1852"/>
      <c r="ABK8" s="1852"/>
      <c r="ABL8" s="1852"/>
      <c r="ABM8" s="1852"/>
      <c r="ABN8" s="1852"/>
      <c r="ABO8" s="1852"/>
      <c r="ABP8" s="1852"/>
      <c r="ABQ8" s="1852"/>
      <c r="ABR8" s="1852"/>
      <c r="ABS8" s="1852"/>
      <c r="ABT8" s="1852"/>
      <c r="ABU8" s="1852"/>
      <c r="ABV8" s="1852"/>
      <c r="ABW8" s="1852"/>
      <c r="ABX8" s="1852"/>
      <c r="ABY8" s="1852"/>
      <c r="ABZ8" s="1852"/>
      <c r="ACA8" s="1852"/>
      <c r="ACB8" s="1852"/>
      <c r="ACC8" s="1852"/>
      <c r="ACD8" s="1852"/>
      <c r="ACE8" s="1852"/>
      <c r="ACF8" s="1852"/>
      <c r="ACG8" s="1852"/>
      <c r="ACH8" s="1852"/>
      <c r="ACI8" s="1852"/>
      <c r="ACJ8" s="1852"/>
      <c r="ACK8" s="1852"/>
      <c r="ACL8" s="1852"/>
      <c r="ACM8" s="1852"/>
      <c r="ACN8" s="1852"/>
      <c r="ACO8" s="1852"/>
      <c r="ACP8" s="1852"/>
      <c r="ACQ8" s="1852"/>
      <c r="ACR8" s="1852"/>
      <c r="ACS8" s="1852"/>
      <c r="ACT8" s="1852"/>
      <c r="ACU8" s="1852"/>
      <c r="ACV8" s="1852"/>
      <c r="ACW8" s="1852"/>
      <c r="ACX8" s="1852"/>
      <c r="ACY8" s="1852"/>
      <c r="ACZ8" s="1852"/>
      <c r="ADA8" s="1852"/>
      <c r="ADB8" s="1852"/>
      <c r="ADC8" s="1852"/>
      <c r="ADD8" s="1852"/>
      <c r="ADE8" s="1852"/>
      <c r="ADF8" s="1852"/>
      <c r="ADG8" s="1852"/>
      <c r="ADH8" s="1852"/>
      <c r="ADI8" s="1852"/>
      <c r="ADJ8" s="1852"/>
      <c r="ADK8" s="1852"/>
      <c r="ADL8" s="1852"/>
      <c r="ADM8" s="1852"/>
      <c r="ADN8" s="1852"/>
      <c r="ADO8" s="1852"/>
      <c r="ADP8" s="1852"/>
      <c r="ADQ8" s="1852"/>
      <c r="ADR8" s="1852"/>
      <c r="ADS8" s="1852"/>
      <c r="ADT8" s="1852"/>
      <c r="ADU8" s="1852"/>
      <c r="ADV8" s="1852"/>
      <c r="ADW8" s="1852"/>
      <c r="ADX8" s="1852"/>
      <c r="ADY8" s="1852"/>
      <c r="ADZ8" s="1852"/>
      <c r="AEA8" s="1852"/>
      <c r="AEB8" s="1852"/>
      <c r="AEC8" s="1852"/>
      <c r="AED8" s="1852"/>
      <c r="AEE8" s="1852"/>
      <c r="AEF8" s="1852"/>
      <c r="AEG8" s="1852"/>
      <c r="AEH8" s="1852"/>
      <c r="AEI8" s="1852"/>
      <c r="AEJ8" s="1852"/>
      <c r="AEK8" s="1852"/>
      <c r="AEL8" s="1852"/>
      <c r="AEM8" s="1852"/>
      <c r="AEN8" s="1852"/>
      <c r="AEO8" s="1852"/>
      <c r="AEP8" s="1852"/>
      <c r="AEQ8" s="1852"/>
      <c r="AER8" s="1852"/>
      <c r="AES8" s="1852"/>
      <c r="AET8" s="1852"/>
      <c r="AEU8" s="1852"/>
      <c r="AEV8" s="1852"/>
      <c r="AEW8" s="1852"/>
      <c r="AEX8" s="1852"/>
      <c r="AEY8" s="1852"/>
      <c r="AEZ8" s="1852"/>
      <c r="AFA8" s="1852"/>
      <c r="AFB8" s="1852"/>
      <c r="AFC8" s="1852"/>
      <c r="AFD8" s="1852"/>
      <c r="AFE8" s="1852"/>
      <c r="AFF8" s="1852"/>
      <c r="AFG8" s="1852"/>
      <c r="AFH8" s="1852"/>
      <c r="AFI8" s="1852"/>
      <c r="AFJ8" s="1852"/>
      <c r="AFK8" s="1852"/>
      <c r="AFL8" s="1852"/>
      <c r="AFM8" s="1852"/>
      <c r="AFN8" s="1852"/>
      <c r="AFO8" s="1852"/>
      <c r="AFP8" s="1852"/>
      <c r="AFQ8" s="1852"/>
      <c r="AFR8" s="1852"/>
      <c r="AFS8" s="1852"/>
      <c r="AFT8" s="1852"/>
      <c r="AFU8" s="1852"/>
      <c r="AFV8" s="1852"/>
      <c r="AFW8" s="1852"/>
      <c r="AFX8" s="1852"/>
      <c r="AFY8" s="1852"/>
      <c r="AFZ8" s="1852"/>
      <c r="AGA8" s="1852"/>
      <c r="AGB8" s="1852"/>
      <c r="AGC8" s="1852"/>
      <c r="AGD8" s="1852"/>
      <c r="AGE8" s="1852"/>
      <c r="AGF8" s="1852"/>
      <c r="AGG8" s="1852"/>
      <c r="AGH8" s="1852"/>
      <c r="AGI8" s="1852"/>
      <c r="AGJ8" s="1852"/>
      <c r="AGK8" s="1852"/>
      <c r="AGL8" s="1852"/>
      <c r="AGM8" s="1852"/>
      <c r="AGN8" s="1852"/>
      <c r="AGO8" s="1852"/>
      <c r="AGP8" s="1852"/>
      <c r="AGQ8" s="1852"/>
      <c r="AGR8" s="1852"/>
      <c r="AGS8" s="1852"/>
      <c r="AGT8" s="1852"/>
      <c r="AGU8" s="1852"/>
      <c r="AGV8" s="1852"/>
      <c r="AGW8" s="1852"/>
      <c r="AGX8" s="1852"/>
      <c r="AGY8" s="1852"/>
      <c r="AGZ8" s="1852"/>
      <c r="AHA8" s="1852"/>
      <c r="AHB8" s="1852"/>
      <c r="AHC8" s="1852"/>
      <c r="AHD8" s="1852"/>
      <c r="AHE8" s="1852"/>
      <c r="AHF8" s="1852"/>
      <c r="AHG8" s="1852"/>
      <c r="AHH8" s="1852"/>
      <c r="AHI8" s="1852"/>
      <c r="AHJ8" s="1852"/>
      <c r="AHK8" s="1852"/>
      <c r="AHL8" s="1852"/>
      <c r="AHM8" s="1852"/>
      <c r="AHN8" s="1852"/>
      <c r="AHO8" s="1852"/>
      <c r="AHP8" s="1852"/>
      <c r="AHQ8" s="1852"/>
      <c r="AHR8" s="1852"/>
      <c r="AHS8" s="1852"/>
      <c r="AHT8" s="1852"/>
      <c r="AHU8" s="1852"/>
      <c r="AHV8" s="1852"/>
      <c r="AHW8" s="1852"/>
      <c r="AHX8" s="1852"/>
      <c r="AHY8" s="1852"/>
      <c r="AHZ8" s="1852"/>
      <c r="AIA8" s="1852"/>
      <c r="AIB8" s="1852"/>
      <c r="AIC8" s="1852"/>
      <c r="AID8" s="1852"/>
      <c r="AIE8" s="1852"/>
      <c r="AIF8" s="1852"/>
      <c r="AIG8" s="1852"/>
      <c r="AIH8" s="1852"/>
      <c r="AII8" s="1852"/>
      <c r="AIJ8" s="1852"/>
      <c r="AIK8" s="1852"/>
      <c r="AIL8" s="1852"/>
      <c r="AIM8" s="1852"/>
      <c r="AIN8" s="1852"/>
      <c r="AIO8" s="1852"/>
      <c r="AIP8" s="1852"/>
      <c r="AIQ8" s="1852"/>
      <c r="AIR8" s="1852"/>
      <c r="AIS8" s="1852"/>
      <c r="AIT8" s="1852"/>
      <c r="AIU8" s="1852"/>
      <c r="AIV8" s="1852"/>
      <c r="AIW8" s="1852"/>
      <c r="AIX8" s="1852"/>
      <c r="AIY8" s="1852"/>
      <c r="AIZ8" s="1852"/>
      <c r="AJA8" s="1852"/>
      <c r="AJB8" s="1852"/>
      <c r="AJC8" s="1852"/>
      <c r="AJD8" s="1852"/>
      <c r="AJE8" s="1852"/>
      <c r="AJF8" s="1852"/>
      <c r="AJG8" s="1852"/>
      <c r="AJH8" s="1852"/>
      <c r="AJI8" s="1852"/>
      <c r="AJJ8" s="1852"/>
      <c r="AJK8" s="1852"/>
      <c r="AJL8" s="1852"/>
      <c r="AJM8" s="1852"/>
      <c r="AJN8" s="1852"/>
      <c r="AJO8" s="1852"/>
      <c r="AJP8" s="1852"/>
      <c r="AJQ8" s="1852"/>
      <c r="AJR8" s="1852"/>
      <c r="AJS8" s="1852"/>
      <c r="AJT8" s="1852"/>
      <c r="AJU8" s="1852"/>
      <c r="AJV8" s="1852"/>
      <c r="AJW8" s="1852"/>
      <c r="AJX8" s="1852"/>
      <c r="AJY8" s="1852"/>
      <c r="AJZ8" s="1852"/>
      <c r="AKA8" s="1852"/>
      <c r="AKB8" s="1852"/>
      <c r="AKC8" s="1852"/>
      <c r="AKD8" s="1852"/>
      <c r="AKE8" s="1852"/>
      <c r="AKF8" s="1852"/>
      <c r="AKG8" s="1852"/>
      <c r="AKH8" s="1852"/>
      <c r="AKI8" s="1852"/>
      <c r="AKJ8" s="1852"/>
      <c r="AKK8" s="1852"/>
      <c r="AKL8" s="1852"/>
      <c r="AKM8" s="1852"/>
      <c r="AKN8" s="1852"/>
      <c r="AKO8" s="1852"/>
      <c r="AKP8" s="1852"/>
      <c r="AKQ8" s="1852"/>
      <c r="AKR8" s="1852"/>
      <c r="AKS8" s="1852"/>
      <c r="AKT8" s="1852"/>
      <c r="AKU8" s="1852"/>
      <c r="AKV8" s="1852"/>
      <c r="AKW8" s="1852"/>
      <c r="AKX8" s="1852"/>
      <c r="AKY8" s="1852"/>
      <c r="AKZ8" s="1852"/>
      <c r="ALA8" s="1852"/>
      <c r="ALB8" s="1852"/>
      <c r="ALC8" s="1852"/>
      <c r="ALD8" s="1852"/>
      <c r="ALE8" s="1852"/>
      <c r="ALF8" s="1852"/>
      <c r="ALG8" s="1852"/>
      <c r="ALH8" s="1852"/>
      <c r="ALI8" s="1852"/>
      <c r="ALJ8" s="1852"/>
      <c r="ALK8" s="1852"/>
      <c r="ALL8" s="1852"/>
      <c r="ALM8" s="1852"/>
      <c r="ALN8" s="1852"/>
      <c r="ALO8" s="1852"/>
      <c r="ALP8" s="1852"/>
      <c r="ALQ8" s="1852"/>
      <c r="ALR8" s="1852"/>
    </row>
    <row r="9" spans="1:1007" x14ac:dyDescent="0.3">
      <c r="A9" s="1854"/>
      <c r="B9" t="s">
        <v>1216</v>
      </c>
      <c r="C9" s="1853" t="s">
        <v>1218</v>
      </c>
      <c r="D9" s="1855">
        <f t="shared" si="0"/>
        <v>0</v>
      </c>
      <c r="E9" s="1855">
        <f t="shared" si="1"/>
        <v>0</v>
      </c>
      <c r="F9" s="1855">
        <f t="shared" si="2"/>
        <v>0</v>
      </c>
      <c r="G9" s="1852"/>
      <c r="H9" s="1852"/>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c r="AT9" s="1852"/>
      <c r="AU9" s="1852"/>
      <c r="AV9" s="1852"/>
      <c r="AW9" s="1852"/>
      <c r="AX9" s="1852"/>
      <c r="AY9" s="1852"/>
      <c r="AZ9" s="1852"/>
      <c r="BA9" s="1852"/>
      <c r="BB9" s="1852"/>
      <c r="BC9" s="1852"/>
      <c r="BD9" s="1852"/>
      <c r="BE9" s="1852"/>
      <c r="BF9" s="1852"/>
      <c r="BG9" s="1852"/>
      <c r="BH9" s="1852"/>
      <c r="BI9" s="1852"/>
      <c r="BJ9" s="1852"/>
      <c r="BK9" s="1852"/>
      <c r="BL9" s="1852"/>
      <c r="BM9" s="1852"/>
      <c r="BN9" s="1852"/>
      <c r="BO9" s="1852"/>
      <c r="BP9" s="1852"/>
      <c r="BQ9" s="1852"/>
      <c r="BR9" s="1852"/>
      <c r="BS9" s="1852"/>
      <c r="BT9" s="1852"/>
      <c r="BU9" s="1852"/>
      <c r="BV9" s="1852"/>
      <c r="BW9" s="1852"/>
      <c r="BX9" s="1852"/>
      <c r="BY9" s="1852"/>
      <c r="BZ9" s="1852"/>
      <c r="CA9" s="1852"/>
      <c r="CB9" s="1852"/>
      <c r="CC9" s="1852"/>
      <c r="CD9" s="1852"/>
      <c r="CE9" s="1852"/>
      <c r="CF9" s="1852"/>
      <c r="CG9" s="1852"/>
      <c r="CH9" s="1852"/>
      <c r="CI9" s="1852"/>
      <c r="CJ9" s="1852"/>
      <c r="CK9" s="1852"/>
      <c r="CL9" s="1852"/>
      <c r="CM9" s="1852"/>
      <c r="CN9" s="1852"/>
      <c r="CO9" s="1852"/>
      <c r="CP9" s="1852"/>
      <c r="CQ9" s="1852"/>
      <c r="CR9" s="1852"/>
      <c r="CS9" s="1852"/>
      <c r="CT9" s="1852"/>
      <c r="CU9" s="1852"/>
      <c r="CV9" s="1852"/>
      <c r="CW9" s="1852"/>
      <c r="CX9" s="1852"/>
      <c r="CY9" s="1852"/>
      <c r="CZ9" s="1852"/>
      <c r="DA9" s="1852"/>
      <c r="DB9" s="1852"/>
      <c r="DC9" s="1852"/>
      <c r="DD9" s="1852"/>
      <c r="DE9" s="1852"/>
      <c r="DF9" s="1852"/>
      <c r="DG9" s="1852"/>
      <c r="DH9" s="1852"/>
      <c r="DI9" s="1852"/>
      <c r="DJ9" s="1852"/>
      <c r="DK9" s="1852"/>
      <c r="DL9" s="1852"/>
      <c r="DM9" s="1852"/>
      <c r="DN9" s="1852"/>
      <c r="DO9" s="1852"/>
      <c r="DP9" s="1852"/>
      <c r="DQ9" s="1852"/>
      <c r="DR9" s="1852"/>
      <c r="DS9" s="1852"/>
      <c r="DT9" s="1852"/>
      <c r="DU9" s="1852"/>
      <c r="DV9" s="1852"/>
      <c r="DW9" s="1852"/>
      <c r="DX9" s="1852"/>
      <c r="DY9" s="1852"/>
      <c r="DZ9" s="1852"/>
      <c r="EA9" s="1852"/>
      <c r="EB9" s="1852"/>
      <c r="EC9" s="1852"/>
      <c r="ED9" s="1852"/>
      <c r="EE9" s="1852"/>
      <c r="EF9" s="1852"/>
      <c r="EG9" s="1852"/>
      <c r="EH9" s="1852"/>
      <c r="EI9" s="1852"/>
      <c r="EJ9" s="1852"/>
      <c r="EK9" s="1852"/>
      <c r="EL9" s="1852"/>
      <c r="EM9" s="1852"/>
      <c r="EN9" s="1852"/>
      <c r="EO9" s="1852"/>
      <c r="EP9" s="1852"/>
      <c r="EQ9" s="1852"/>
      <c r="ER9" s="1852"/>
      <c r="ES9" s="1852"/>
      <c r="ET9" s="1852"/>
      <c r="EU9" s="1852"/>
      <c r="EV9" s="1852"/>
      <c r="EW9" s="1852"/>
      <c r="EX9" s="1852"/>
      <c r="EY9" s="1852"/>
      <c r="EZ9" s="1852"/>
      <c r="FA9" s="1852"/>
      <c r="FB9" s="1852"/>
      <c r="FC9" s="1852"/>
      <c r="FD9" s="1852"/>
      <c r="FE9" s="1852"/>
      <c r="FF9" s="1852"/>
      <c r="FG9" s="1852"/>
      <c r="FH9" s="1852"/>
      <c r="FI9" s="1852"/>
      <c r="FJ9" s="1852"/>
      <c r="FK9" s="1852"/>
      <c r="FL9" s="1852"/>
      <c r="FM9" s="1852"/>
      <c r="FN9" s="1852"/>
      <c r="FO9" s="1852"/>
      <c r="FP9" s="1852"/>
      <c r="FQ9" s="1852"/>
      <c r="FR9" s="1852"/>
      <c r="FS9" s="1852"/>
      <c r="FT9" s="1852"/>
      <c r="FU9" s="1852"/>
      <c r="FV9" s="1852"/>
      <c r="FW9" s="1852"/>
      <c r="FX9" s="1852"/>
      <c r="FY9" s="1852"/>
      <c r="FZ9" s="1852"/>
      <c r="GA9" s="1852"/>
      <c r="GB9" s="1852"/>
      <c r="GC9" s="1852"/>
      <c r="GD9" s="1852"/>
      <c r="GE9" s="1852"/>
      <c r="GF9" s="1852"/>
      <c r="GG9" s="1852"/>
      <c r="GH9" s="1852"/>
      <c r="GI9" s="1852"/>
      <c r="GJ9" s="1852"/>
      <c r="GK9" s="1852"/>
      <c r="GL9" s="1852"/>
      <c r="GM9" s="1852"/>
      <c r="GN9" s="1852"/>
      <c r="GO9" s="1852"/>
      <c r="GP9" s="1852"/>
      <c r="GQ9" s="1852"/>
      <c r="GR9" s="1852"/>
      <c r="GS9" s="1852"/>
      <c r="GT9" s="1852"/>
      <c r="GU9" s="1852"/>
      <c r="GV9" s="1852"/>
      <c r="GW9" s="1852"/>
      <c r="GX9" s="1852"/>
      <c r="GY9" s="1852"/>
      <c r="GZ9" s="1852"/>
      <c r="HA9" s="1852"/>
      <c r="HB9" s="1852"/>
      <c r="HC9" s="1852"/>
      <c r="HD9" s="1852"/>
      <c r="HE9" s="1852"/>
      <c r="HF9" s="1852"/>
      <c r="HG9" s="1852"/>
      <c r="HH9" s="1852"/>
      <c r="HI9" s="1852"/>
      <c r="HJ9" s="1852"/>
      <c r="HK9" s="1852"/>
      <c r="HL9" s="1852"/>
      <c r="HM9" s="1852"/>
      <c r="HN9" s="1852"/>
      <c r="HO9" s="1852"/>
      <c r="HP9" s="1852"/>
      <c r="HQ9" s="1852"/>
      <c r="HR9" s="1852"/>
      <c r="HS9" s="1852"/>
      <c r="HT9" s="1852"/>
      <c r="HU9" s="1852"/>
      <c r="HV9" s="1852"/>
      <c r="HW9" s="1852"/>
      <c r="HX9" s="1852"/>
      <c r="HY9" s="1852"/>
      <c r="HZ9" s="1852"/>
      <c r="IA9" s="1852"/>
      <c r="IB9" s="1852"/>
      <c r="IC9" s="1852"/>
      <c r="ID9" s="1852"/>
      <c r="IE9" s="1852"/>
      <c r="IF9" s="1852"/>
      <c r="IG9" s="1852"/>
      <c r="IH9" s="1852"/>
      <c r="II9" s="1852"/>
      <c r="IJ9" s="1852"/>
      <c r="IK9" s="1852"/>
      <c r="IL9" s="1852"/>
      <c r="IM9" s="1852"/>
      <c r="IN9" s="1852"/>
      <c r="IO9" s="1852"/>
      <c r="IP9" s="1852"/>
      <c r="IQ9" s="1852"/>
      <c r="IR9" s="1852"/>
      <c r="IS9" s="1852"/>
      <c r="IT9" s="1852"/>
      <c r="IU9" s="1852"/>
      <c r="IV9" s="1852"/>
      <c r="IW9" s="1852"/>
      <c r="IX9" s="1852"/>
      <c r="IY9" s="1852"/>
      <c r="IZ9" s="1852"/>
      <c r="JA9" s="1852"/>
      <c r="JB9" s="1852"/>
      <c r="JC9" s="1852"/>
      <c r="JD9" s="1852"/>
      <c r="JE9" s="1852"/>
      <c r="JF9" s="1852"/>
      <c r="JG9" s="1852"/>
      <c r="JH9" s="1852"/>
      <c r="JI9" s="1852"/>
      <c r="JJ9" s="1852"/>
      <c r="JK9" s="1852"/>
      <c r="JL9" s="1852"/>
      <c r="JM9" s="1852"/>
      <c r="JN9" s="1852"/>
      <c r="JO9" s="1852"/>
      <c r="JP9" s="1852"/>
      <c r="JQ9" s="1852"/>
      <c r="JR9" s="1852"/>
      <c r="JS9" s="1852"/>
      <c r="JT9" s="1852"/>
      <c r="JU9" s="1852"/>
      <c r="JV9" s="1852"/>
      <c r="JW9" s="1852"/>
      <c r="JX9" s="1852"/>
      <c r="JY9" s="1852"/>
      <c r="JZ9" s="1852"/>
      <c r="KA9" s="1852"/>
      <c r="KB9" s="1852"/>
      <c r="KC9" s="1852"/>
      <c r="KD9" s="1852"/>
      <c r="KE9" s="1852"/>
      <c r="KF9" s="1852"/>
      <c r="KG9" s="1852"/>
      <c r="KH9" s="1852"/>
      <c r="KI9" s="1852"/>
      <c r="KJ9" s="1852"/>
      <c r="KK9" s="1852"/>
      <c r="KL9" s="1852"/>
      <c r="KM9" s="1852"/>
      <c r="KN9" s="1852"/>
      <c r="KO9" s="1852"/>
      <c r="KP9" s="1852"/>
      <c r="KQ9" s="1852"/>
      <c r="KR9" s="1852"/>
      <c r="KS9" s="1852"/>
      <c r="KT9" s="1852"/>
      <c r="KU9" s="1852"/>
      <c r="KV9" s="1852"/>
      <c r="KW9" s="1852"/>
      <c r="KX9" s="1852"/>
      <c r="KY9" s="1852"/>
      <c r="KZ9" s="1852"/>
      <c r="LA9" s="1852"/>
      <c r="LB9" s="1852"/>
      <c r="LC9" s="1852"/>
      <c r="LD9" s="1852"/>
      <c r="LE9" s="1852"/>
      <c r="LF9" s="1852"/>
      <c r="LG9" s="1852"/>
      <c r="LH9" s="1852"/>
      <c r="LI9" s="1852"/>
      <c r="LJ9" s="1852"/>
      <c r="LK9" s="1852"/>
      <c r="LL9" s="1852"/>
      <c r="LM9" s="1852"/>
      <c r="LN9" s="1852"/>
      <c r="LO9" s="1852"/>
      <c r="LP9" s="1852"/>
      <c r="LQ9" s="1852"/>
      <c r="LR9" s="1852"/>
      <c r="LS9" s="1852"/>
      <c r="LT9" s="1852"/>
      <c r="LU9" s="1852"/>
      <c r="LV9" s="1852"/>
      <c r="LW9" s="1852"/>
      <c r="LX9" s="1852"/>
      <c r="LY9" s="1852"/>
      <c r="LZ9" s="1852"/>
      <c r="MA9" s="1852"/>
      <c r="MB9" s="1852"/>
      <c r="MC9" s="1852"/>
      <c r="MD9" s="1852"/>
      <c r="ME9" s="1852"/>
      <c r="MF9" s="1852"/>
      <c r="MG9" s="1852"/>
      <c r="MH9" s="1852"/>
      <c r="MI9" s="1852"/>
      <c r="MJ9" s="1852"/>
      <c r="MK9" s="1852"/>
      <c r="ML9" s="1852"/>
      <c r="MM9" s="1852"/>
      <c r="MN9" s="1852"/>
      <c r="MO9" s="1852"/>
      <c r="MP9" s="1852"/>
      <c r="MQ9" s="1852"/>
      <c r="MR9" s="1852"/>
      <c r="MS9" s="1852"/>
      <c r="MT9" s="1852"/>
      <c r="MU9" s="1852"/>
      <c r="MV9" s="1852"/>
      <c r="MW9" s="1852"/>
      <c r="MX9" s="1852"/>
      <c r="MY9" s="1852"/>
      <c r="MZ9" s="1852"/>
      <c r="NA9" s="1852"/>
      <c r="NB9" s="1852"/>
      <c r="NC9" s="1852"/>
      <c r="ND9" s="1852"/>
      <c r="NE9" s="1852"/>
      <c r="NF9" s="1852"/>
      <c r="NG9" s="1852"/>
      <c r="NH9" s="1852"/>
      <c r="NI9" s="1852"/>
      <c r="NJ9" s="1852"/>
      <c r="NK9" s="1852"/>
      <c r="NL9" s="1852"/>
      <c r="NM9" s="1852"/>
      <c r="NN9" s="1852"/>
      <c r="NO9" s="1852"/>
      <c r="NP9" s="1852"/>
      <c r="NQ9" s="1852"/>
      <c r="NR9" s="1852"/>
      <c r="NS9" s="1852"/>
      <c r="NT9" s="1852"/>
      <c r="NU9" s="1852"/>
      <c r="NV9" s="1852"/>
      <c r="NW9" s="1852"/>
      <c r="NX9" s="1852"/>
      <c r="NY9" s="1852"/>
      <c r="NZ9" s="1852"/>
      <c r="OA9" s="1852"/>
      <c r="OB9" s="1852"/>
      <c r="OC9" s="1852"/>
      <c r="OD9" s="1852"/>
      <c r="OE9" s="1852"/>
      <c r="OF9" s="1852"/>
      <c r="OG9" s="1852"/>
      <c r="OH9" s="1852"/>
      <c r="OI9" s="1852"/>
      <c r="OJ9" s="1852"/>
      <c r="OK9" s="1852"/>
      <c r="OL9" s="1852"/>
      <c r="OM9" s="1852"/>
      <c r="ON9" s="1852"/>
      <c r="OO9" s="1852"/>
      <c r="OP9" s="1852"/>
      <c r="OQ9" s="1852"/>
      <c r="OR9" s="1852"/>
      <c r="OS9" s="1852"/>
      <c r="OT9" s="1852"/>
      <c r="OU9" s="1852"/>
      <c r="OV9" s="1852"/>
      <c r="OW9" s="1852"/>
      <c r="OX9" s="1852"/>
      <c r="OY9" s="1852"/>
      <c r="OZ9" s="1852"/>
      <c r="PA9" s="1852"/>
      <c r="PB9" s="1852"/>
      <c r="PC9" s="1852"/>
      <c r="PD9" s="1852"/>
      <c r="PE9" s="1852"/>
      <c r="PF9" s="1852"/>
      <c r="PG9" s="1852"/>
      <c r="PH9" s="1852"/>
      <c r="PI9" s="1852"/>
      <c r="PJ9" s="1852"/>
      <c r="PK9" s="1852"/>
      <c r="PL9" s="1852"/>
      <c r="PM9" s="1852"/>
      <c r="PN9" s="1852"/>
      <c r="PO9" s="1852"/>
      <c r="PP9" s="1852"/>
      <c r="PQ9" s="1852"/>
      <c r="PR9" s="1852"/>
      <c r="PS9" s="1852"/>
      <c r="PT9" s="1852"/>
      <c r="PU9" s="1852"/>
      <c r="PV9" s="1852"/>
      <c r="PW9" s="1852"/>
      <c r="PX9" s="1852"/>
      <c r="PY9" s="1852"/>
      <c r="PZ9" s="1852"/>
      <c r="QA9" s="1852"/>
      <c r="QB9" s="1852"/>
      <c r="QC9" s="1852"/>
      <c r="QD9" s="1852"/>
      <c r="QE9" s="1852"/>
      <c r="QF9" s="1852"/>
      <c r="QG9" s="1852"/>
      <c r="QH9" s="1852"/>
      <c r="QI9" s="1852"/>
      <c r="QJ9" s="1852"/>
      <c r="QK9" s="1852"/>
      <c r="QL9" s="1852"/>
      <c r="QM9" s="1852"/>
      <c r="QN9" s="1852"/>
      <c r="QO9" s="1852"/>
      <c r="QP9" s="1852"/>
      <c r="QQ9" s="1852"/>
      <c r="QR9" s="1852"/>
      <c r="QS9" s="1852"/>
      <c r="QT9" s="1852"/>
      <c r="QU9" s="1852"/>
      <c r="QV9" s="1852"/>
      <c r="QW9" s="1852"/>
      <c r="QX9" s="1852"/>
      <c r="QY9" s="1852"/>
      <c r="QZ9" s="1852"/>
      <c r="RA9" s="1852"/>
      <c r="RB9" s="1852"/>
      <c r="RC9" s="1852"/>
      <c r="RD9" s="1852"/>
      <c r="RE9" s="1852"/>
      <c r="RF9" s="1852"/>
      <c r="RG9" s="1852"/>
      <c r="RH9" s="1852"/>
      <c r="RI9" s="1852"/>
      <c r="RJ9" s="1852"/>
      <c r="RK9" s="1852"/>
      <c r="RL9" s="1852"/>
      <c r="RM9" s="1852"/>
      <c r="RN9" s="1852"/>
      <c r="RO9" s="1852"/>
      <c r="RP9" s="1852"/>
      <c r="RQ9" s="1852"/>
      <c r="RR9" s="1852"/>
      <c r="RS9" s="1852"/>
      <c r="RT9" s="1852"/>
      <c r="RU9" s="1852"/>
      <c r="RV9" s="1852"/>
      <c r="RW9" s="1852"/>
      <c r="RX9" s="1852"/>
      <c r="RY9" s="1852"/>
      <c r="RZ9" s="1852"/>
      <c r="SA9" s="1852"/>
      <c r="SB9" s="1852"/>
      <c r="SC9" s="1852"/>
      <c r="SD9" s="1852"/>
      <c r="SE9" s="1852"/>
      <c r="SF9" s="1852"/>
      <c r="SG9" s="1852"/>
      <c r="SH9" s="1852"/>
      <c r="SI9" s="1852"/>
      <c r="SJ9" s="1852"/>
      <c r="SK9" s="1852"/>
      <c r="SL9" s="1852"/>
      <c r="SM9" s="1852"/>
      <c r="SN9" s="1852"/>
      <c r="SO9" s="1852"/>
      <c r="SP9" s="1852"/>
      <c r="SQ9" s="1852"/>
      <c r="SR9" s="1852"/>
      <c r="SS9" s="1852"/>
      <c r="ST9" s="1852"/>
      <c r="SU9" s="1852"/>
      <c r="SV9" s="1852"/>
      <c r="SW9" s="1852"/>
      <c r="SX9" s="1852"/>
      <c r="SY9" s="1852"/>
      <c r="SZ9" s="1852"/>
      <c r="TA9" s="1852"/>
      <c r="TB9" s="1852"/>
      <c r="TC9" s="1852"/>
      <c r="TD9" s="1852"/>
      <c r="TE9" s="1852"/>
      <c r="TF9" s="1852"/>
      <c r="TG9" s="1852"/>
      <c r="TH9" s="1852"/>
      <c r="TI9" s="1852"/>
      <c r="TJ9" s="1852"/>
      <c r="TK9" s="1852"/>
      <c r="TL9" s="1852"/>
      <c r="TM9" s="1852"/>
      <c r="TN9" s="1852"/>
      <c r="TO9" s="1852"/>
      <c r="TP9" s="1852"/>
      <c r="TQ9" s="1852"/>
      <c r="TR9" s="1852"/>
      <c r="TS9" s="1852"/>
      <c r="TT9" s="1852"/>
      <c r="TU9" s="1852"/>
      <c r="TV9" s="1852"/>
      <c r="TW9" s="1852"/>
      <c r="TX9" s="1852"/>
      <c r="TY9" s="1852"/>
      <c r="TZ9" s="1852"/>
      <c r="UA9" s="1852"/>
      <c r="UB9" s="1852"/>
      <c r="UC9" s="1852"/>
      <c r="UD9" s="1852"/>
      <c r="UE9" s="1852"/>
      <c r="UF9" s="1852"/>
      <c r="UG9" s="1852"/>
      <c r="UH9" s="1852"/>
      <c r="UI9" s="1852"/>
      <c r="UJ9" s="1852"/>
      <c r="UK9" s="1852"/>
      <c r="UL9" s="1852"/>
      <c r="UM9" s="1852"/>
      <c r="UN9" s="1852"/>
      <c r="UO9" s="1852"/>
      <c r="UP9" s="1852"/>
      <c r="UQ9" s="1852"/>
      <c r="UR9" s="1852"/>
      <c r="US9" s="1852"/>
      <c r="UT9" s="1852"/>
      <c r="UU9" s="1852"/>
      <c r="UV9" s="1852"/>
      <c r="UW9" s="1852"/>
      <c r="UX9" s="1852"/>
      <c r="UY9" s="1852"/>
      <c r="UZ9" s="1852"/>
      <c r="VA9" s="1852"/>
      <c r="VB9" s="1852"/>
      <c r="VC9" s="1852"/>
      <c r="VD9" s="1852"/>
      <c r="VE9" s="1852"/>
      <c r="VF9" s="1852"/>
      <c r="VG9" s="1852"/>
      <c r="VH9" s="1852"/>
      <c r="VI9" s="1852"/>
      <c r="VJ9" s="1852"/>
      <c r="VK9" s="1852"/>
      <c r="VL9" s="1852"/>
      <c r="VM9" s="1852"/>
      <c r="VN9" s="1852"/>
      <c r="VO9" s="1852"/>
      <c r="VP9" s="1852"/>
      <c r="VQ9" s="1852"/>
      <c r="VR9" s="1852"/>
      <c r="VS9" s="1852"/>
      <c r="VT9" s="1852"/>
      <c r="VU9" s="1852"/>
      <c r="VV9" s="1852"/>
      <c r="VW9" s="1852"/>
      <c r="VX9" s="1852"/>
      <c r="VY9" s="1852"/>
      <c r="VZ9" s="1852"/>
      <c r="WA9" s="1852"/>
      <c r="WB9" s="1852"/>
      <c r="WC9" s="1852"/>
      <c r="WD9" s="1852"/>
      <c r="WE9" s="1852"/>
      <c r="WF9" s="1852"/>
      <c r="WG9" s="1852"/>
      <c r="WH9" s="1852"/>
      <c r="WI9" s="1852"/>
      <c r="WJ9" s="1852"/>
      <c r="WK9" s="1852"/>
      <c r="WL9" s="1852"/>
      <c r="WM9" s="1852"/>
      <c r="WN9" s="1852"/>
      <c r="WO9" s="1852"/>
      <c r="WP9" s="1852"/>
      <c r="WQ9" s="1852"/>
      <c r="WR9" s="1852"/>
      <c r="WS9" s="1852"/>
      <c r="WT9" s="1852"/>
      <c r="WU9" s="1852"/>
      <c r="WV9" s="1852"/>
      <c r="WW9" s="1852"/>
      <c r="WX9" s="1852"/>
      <c r="WY9" s="1852"/>
      <c r="WZ9" s="1852"/>
      <c r="XA9" s="1852"/>
      <c r="XB9" s="1852"/>
      <c r="XC9" s="1852"/>
      <c r="XD9" s="1852"/>
      <c r="XE9" s="1852"/>
      <c r="XF9" s="1852"/>
      <c r="XG9" s="1852"/>
      <c r="XH9" s="1852"/>
      <c r="XI9" s="1852"/>
      <c r="XJ9" s="1852"/>
      <c r="XK9" s="1852"/>
      <c r="XL9" s="1852"/>
      <c r="XM9" s="1852"/>
      <c r="XN9" s="1852"/>
      <c r="XO9" s="1852"/>
      <c r="XP9" s="1852"/>
      <c r="XQ9" s="1852"/>
      <c r="XR9" s="1852"/>
      <c r="XS9" s="1852"/>
      <c r="XT9" s="1852"/>
      <c r="XU9" s="1852"/>
      <c r="XV9" s="1852"/>
      <c r="XW9" s="1852"/>
      <c r="XX9" s="1852"/>
      <c r="XY9" s="1852"/>
      <c r="XZ9" s="1852"/>
      <c r="YA9" s="1852"/>
      <c r="YB9" s="1852"/>
      <c r="YC9" s="1852"/>
      <c r="YD9" s="1852"/>
      <c r="YE9" s="1852"/>
      <c r="YF9" s="1852"/>
      <c r="YG9" s="1852"/>
      <c r="YH9" s="1852"/>
      <c r="YI9" s="1852"/>
      <c r="YJ9" s="1852"/>
      <c r="YK9" s="1852"/>
      <c r="YL9" s="1852"/>
      <c r="YM9" s="1852"/>
      <c r="YN9" s="1852"/>
      <c r="YO9" s="1852"/>
      <c r="YP9" s="1852"/>
      <c r="YQ9" s="1852"/>
      <c r="YR9" s="1852"/>
      <c r="YS9" s="1852"/>
      <c r="YT9" s="1852"/>
      <c r="YU9" s="1852"/>
      <c r="YV9" s="1852"/>
      <c r="YW9" s="1852"/>
      <c r="YX9" s="1852"/>
      <c r="YY9" s="1852"/>
      <c r="YZ9" s="1852"/>
      <c r="ZA9" s="1852"/>
      <c r="ZB9" s="1852"/>
      <c r="ZC9" s="1852"/>
      <c r="ZD9" s="1852"/>
      <c r="ZE9" s="1852"/>
      <c r="ZF9" s="1852"/>
      <c r="ZG9" s="1852"/>
      <c r="ZH9" s="1852"/>
      <c r="ZI9" s="1852"/>
      <c r="ZJ9" s="1852"/>
      <c r="ZK9" s="1852"/>
      <c r="ZL9" s="1852"/>
      <c r="ZM9" s="1852"/>
      <c r="ZN9" s="1852"/>
      <c r="ZO9" s="1852"/>
      <c r="ZP9" s="1852"/>
      <c r="ZQ9" s="1852"/>
      <c r="ZR9" s="1852"/>
      <c r="ZS9" s="1852"/>
      <c r="ZT9" s="1852"/>
      <c r="ZU9" s="1852"/>
      <c r="ZV9" s="1852"/>
      <c r="ZW9" s="1852"/>
      <c r="ZX9" s="1852"/>
      <c r="ZY9" s="1852"/>
      <c r="ZZ9" s="1852"/>
      <c r="AAA9" s="1852"/>
      <c r="AAB9" s="1852"/>
      <c r="AAC9" s="1852"/>
      <c r="AAD9" s="1852"/>
      <c r="AAE9" s="1852"/>
      <c r="AAF9" s="1852"/>
      <c r="AAG9" s="1852"/>
      <c r="AAH9" s="1852"/>
      <c r="AAI9" s="1852"/>
      <c r="AAJ9" s="1852"/>
      <c r="AAK9" s="1852"/>
      <c r="AAL9" s="1852"/>
      <c r="AAM9" s="1852"/>
      <c r="AAN9" s="1852"/>
      <c r="AAO9" s="1852"/>
      <c r="AAP9" s="1852"/>
      <c r="AAQ9" s="1852"/>
      <c r="AAR9" s="1852"/>
      <c r="AAS9" s="1852"/>
      <c r="AAT9" s="1852"/>
      <c r="AAU9" s="1852"/>
      <c r="AAV9" s="1852"/>
      <c r="AAW9" s="1852"/>
      <c r="AAX9" s="1852"/>
      <c r="AAY9" s="1852"/>
      <c r="AAZ9" s="1852"/>
      <c r="ABA9" s="1852"/>
      <c r="ABB9" s="1852"/>
      <c r="ABC9" s="1852"/>
      <c r="ABD9" s="1852"/>
      <c r="ABE9" s="1852"/>
      <c r="ABF9" s="1852"/>
      <c r="ABG9" s="1852"/>
      <c r="ABH9" s="1852"/>
      <c r="ABI9" s="1852"/>
      <c r="ABJ9" s="1852"/>
      <c r="ABK9" s="1852"/>
      <c r="ABL9" s="1852"/>
      <c r="ABM9" s="1852"/>
      <c r="ABN9" s="1852"/>
      <c r="ABO9" s="1852"/>
      <c r="ABP9" s="1852"/>
      <c r="ABQ9" s="1852"/>
      <c r="ABR9" s="1852"/>
      <c r="ABS9" s="1852"/>
      <c r="ABT9" s="1852"/>
      <c r="ABU9" s="1852"/>
      <c r="ABV9" s="1852"/>
      <c r="ABW9" s="1852"/>
      <c r="ABX9" s="1852"/>
      <c r="ABY9" s="1852"/>
      <c r="ABZ9" s="1852"/>
      <c r="ACA9" s="1852"/>
      <c r="ACB9" s="1852"/>
      <c r="ACC9" s="1852"/>
      <c r="ACD9" s="1852"/>
      <c r="ACE9" s="1852"/>
      <c r="ACF9" s="1852"/>
      <c r="ACG9" s="1852"/>
      <c r="ACH9" s="1852"/>
      <c r="ACI9" s="1852"/>
      <c r="ACJ9" s="1852"/>
      <c r="ACK9" s="1852"/>
      <c r="ACL9" s="1852"/>
      <c r="ACM9" s="1852"/>
      <c r="ACN9" s="1852"/>
      <c r="ACO9" s="1852"/>
      <c r="ACP9" s="1852"/>
      <c r="ACQ9" s="1852"/>
      <c r="ACR9" s="1852"/>
      <c r="ACS9" s="1852"/>
      <c r="ACT9" s="1852"/>
      <c r="ACU9" s="1852"/>
      <c r="ACV9" s="1852"/>
      <c r="ACW9" s="1852"/>
      <c r="ACX9" s="1852"/>
      <c r="ACY9" s="1852"/>
      <c r="ACZ9" s="1852"/>
      <c r="ADA9" s="1852"/>
      <c r="ADB9" s="1852"/>
      <c r="ADC9" s="1852"/>
      <c r="ADD9" s="1852"/>
      <c r="ADE9" s="1852"/>
      <c r="ADF9" s="1852"/>
      <c r="ADG9" s="1852"/>
      <c r="ADH9" s="1852"/>
      <c r="ADI9" s="1852"/>
      <c r="ADJ9" s="1852"/>
      <c r="ADK9" s="1852"/>
      <c r="ADL9" s="1852"/>
      <c r="ADM9" s="1852"/>
      <c r="ADN9" s="1852"/>
      <c r="ADO9" s="1852"/>
      <c r="ADP9" s="1852"/>
      <c r="ADQ9" s="1852"/>
      <c r="ADR9" s="1852"/>
      <c r="ADS9" s="1852"/>
      <c r="ADT9" s="1852"/>
      <c r="ADU9" s="1852"/>
      <c r="ADV9" s="1852"/>
      <c r="ADW9" s="1852"/>
      <c r="ADX9" s="1852"/>
      <c r="ADY9" s="1852"/>
      <c r="ADZ9" s="1852"/>
      <c r="AEA9" s="1852"/>
      <c r="AEB9" s="1852"/>
      <c r="AEC9" s="1852"/>
      <c r="AED9" s="1852"/>
      <c r="AEE9" s="1852"/>
      <c r="AEF9" s="1852"/>
      <c r="AEG9" s="1852"/>
      <c r="AEH9" s="1852"/>
      <c r="AEI9" s="1852"/>
      <c r="AEJ9" s="1852"/>
      <c r="AEK9" s="1852"/>
      <c r="AEL9" s="1852"/>
      <c r="AEM9" s="1852"/>
      <c r="AEN9" s="1852"/>
      <c r="AEO9" s="1852"/>
      <c r="AEP9" s="1852"/>
      <c r="AEQ9" s="1852"/>
      <c r="AER9" s="1852"/>
      <c r="AES9" s="1852"/>
      <c r="AET9" s="1852"/>
      <c r="AEU9" s="1852"/>
      <c r="AEV9" s="1852"/>
      <c r="AEW9" s="1852"/>
      <c r="AEX9" s="1852"/>
      <c r="AEY9" s="1852"/>
      <c r="AEZ9" s="1852"/>
      <c r="AFA9" s="1852"/>
      <c r="AFB9" s="1852"/>
      <c r="AFC9" s="1852"/>
      <c r="AFD9" s="1852"/>
      <c r="AFE9" s="1852"/>
      <c r="AFF9" s="1852"/>
      <c r="AFG9" s="1852"/>
      <c r="AFH9" s="1852"/>
      <c r="AFI9" s="1852"/>
      <c r="AFJ9" s="1852"/>
      <c r="AFK9" s="1852"/>
      <c r="AFL9" s="1852"/>
      <c r="AFM9" s="1852"/>
      <c r="AFN9" s="1852"/>
      <c r="AFO9" s="1852"/>
      <c r="AFP9" s="1852"/>
      <c r="AFQ9" s="1852"/>
      <c r="AFR9" s="1852"/>
      <c r="AFS9" s="1852"/>
      <c r="AFT9" s="1852"/>
      <c r="AFU9" s="1852"/>
      <c r="AFV9" s="1852"/>
      <c r="AFW9" s="1852"/>
      <c r="AFX9" s="1852"/>
      <c r="AFY9" s="1852"/>
      <c r="AFZ9" s="1852"/>
      <c r="AGA9" s="1852"/>
      <c r="AGB9" s="1852"/>
      <c r="AGC9" s="1852"/>
      <c r="AGD9" s="1852"/>
      <c r="AGE9" s="1852"/>
      <c r="AGF9" s="1852"/>
      <c r="AGG9" s="1852"/>
      <c r="AGH9" s="1852"/>
      <c r="AGI9" s="1852"/>
      <c r="AGJ9" s="1852"/>
      <c r="AGK9" s="1852"/>
      <c r="AGL9" s="1852"/>
      <c r="AGM9" s="1852"/>
      <c r="AGN9" s="1852"/>
      <c r="AGO9" s="1852"/>
      <c r="AGP9" s="1852"/>
      <c r="AGQ9" s="1852"/>
      <c r="AGR9" s="1852"/>
      <c r="AGS9" s="1852"/>
      <c r="AGT9" s="1852"/>
      <c r="AGU9" s="1852"/>
      <c r="AGV9" s="1852"/>
      <c r="AGW9" s="1852"/>
      <c r="AGX9" s="1852"/>
      <c r="AGY9" s="1852"/>
      <c r="AGZ9" s="1852"/>
      <c r="AHA9" s="1852"/>
      <c r="AHB9" s="1852"/>
      <c r="AHC9" s="1852"/>
      <c r="AHD9" s="1852"/>
      <c r="AHE9" s="1852"/>
      <c r="AHF9" s="1852"/>
      <c r="AHG9" s="1852"/>
      <c r="AHH9" s="1852"/>
      <c r="AHI9" s="1852"/>
      <c r="AHJ9" s="1852"/>
      <c r="AHK9" s="1852"/>
      <c r="AHL9" s="1852"/>
      <c r="AHM9" s="1852"/>
      <c r="AHN9" s="1852"/>
      <c r="AHO9" s="1852"/>
      <c r="AHP9" s="1852"/>
      <c r="AHQ9" s="1852"/>
      <c r="AHR9" s="1852"/>
      <c r="AHS9" s="1852"/>
      <c r="AHT9" s="1852"/>
      <c r="AHU9" s="1852"/>
      <c r="AHV9" s="1852"/>
      <c r="AHW9" s="1852"/>
      <c r="AHX9" s="1852"/>
      <c r="AHY9" s="1852"/>
      <c r="AHZ9" s="1852"/>
      <c r="AIA9" s="1852"/>
      <c r="AIB9" s="1852"/>
      <c r="AIC9" s="1852"/>
      <c r="AID9" s="1852"/>
      <c r="AIE9" s="1852"/>
      <c r="AIF9" s="1852"/>
      <c r="AIG9" s="1852"/>
      <c r="AIH9" s="1852"/>
      <c r="AII9" s="1852"/>
      <c r="AIJ9" s="1852"/>
      <c r="AIK9" s="1852"/>
      <c r="AIL9" s="1852"/>
      <c r="AIM9" s="1852"/>
      <c r="AIN9" s="1852"/>
      <c r="AIO9" s="1852"/>
      <c r="AIP9" s="1852"/>
      <c r="AIQ9" s="1852"/>
      <c r="AIR9" s="1852"/>
      <c r="AIS9" s="1852"/>
      <c r="AIT9" s="1852"/>
      <c r="AIU9" s="1852"/>
      <c r="AIV9" s="1852"/>
      <c r="AIW9" s="1852"/>
      <c r="AIX9" s="1852"/>
      <c r="AIY9" s="1852"/>
      <c r="AIZ9" s="1852"/>
      <c r="AJA9" s="1852"/>
      <c r="AJB9" s="1852"/>
      <c r="AJC9" s="1852"/>
      <c r="AJD9" s="1852"/>
      <c r="AJE9" s="1852"/>
      <c r="AJF9" s="1852"/>
      <c r="AJG9" s="1852"/>
      <c r="AJH9" s="1852"/>
      <c r="AJI9" s="1852"/>
      <c r="AJJ9" s="1852"/>
      <c r="AJK9" s="1852"/>
      <c r="AJL9" s="1852"/>
      <c r="AJM9" s="1852"/>
      <c r="AJN9" s="1852"/>
      <c r="AJO9" s="1852"/>
      <c r="AJP9" s="1852"/>
      <c r="AJQ9" s="1852"/>
      <c r="AJR9" s="1852"/>
      <c r="AJS9" s="1852"/>
      <c r="AJT9" s="1852"/>
      <c r="AJU9" s="1852"/>
      <c r="AJV9" s="1852"/>
      <c r="AJW9" s="1852"/>
      <c r="AJX9" s="1852"/>
      <c r="AJY9" s="1852"/>
      <c r="AJZ9" s="1852"/>
      <c r="AKA9" s="1852"/>
      <c r="AKB9" s="1852"/>
      <c r="AKC9" s="1852"/>
      <c r="AKD9" s="1852"/>
      <c r="AKE9" s="1852"/>
      <c r="AKF9" s="1852"/>
      <c r="AKG9" s="1852"/>
      <c r="AKH9" s="1852"/>
      <c r="AKI9" s="1852"/>
      <c r="AKJ9" s="1852"/>
      <c r="AKK9" s="1852"/>
      <c r="AKL9" s="1852"/>
      <c r="AKM9" s="1852"/>
      <c r="AKN9" s="1852"/>
      <c r="AKO9" s="1852"/>
      <c r="AKP9" s="1852"/>
      <c r="AKQ9" s="1852"/>
      <c r="AKR9" s="1852"/>
      <c r="AKS9" s="1852"/>
      <c r="AKT9" s="1852"/>
      <c r="AKU9" s="1852"/>
      <c r="AKV9" s="1852"/>
      <c r="AKW9" s="1852"/>
      <c r="AKX9" s="1852"/>
      <c r="AKY9" s="1852"/>
      <c r="AKZ9" s="1852"/>
      <c r="ALA9" s="1852"/>
      <c r="ALB9" s="1852"/>
      <c r="ALC9" s="1852"/>
      <c r="ALD9" s="1852"/>
      <c r="ALE9" s="1852"/>
      <c r="ALF9" s="1852"/>
      <c r="ALG9" s="1852"/>
      <c r="ALH9" s="1852"/>
      <c r="ALI9" s="1852"/>
      <c r="ALJ9" s="1852"/>
      <c r="ALK9" s="1852"/>
      <c r="ALL9" s="1852"/>
      <c r="ALM9" s="1852"/>
      <c r="ALN9" s="1852"/>
      <c r="ALO9" s="1852"/>
      <c r="ALP9" s="1852"/>
      <c r="ALQ9" s="1852"/>
      <c r="ALR9" s="1852"/>
    </row>
    <row r="10" spans="1:1007" x14ac:dyDescent="0.3">
      <c r="A10" s="1854"/>
      <c r="B10" t="s">
        <v>1216</v>
      </c>
      <c r="C10" s="1853" t="s">
        <v>1218</v>
      </c>
      <c r="D10" s="1855">
        <f t="shared" si="0"/>
        <v>0</v>
      </c>
      <c r="E10" s="1855">
        <f t="shared" si="1"/>
        <v>0</v>
      </c>
      <c r="F10" s="1855">
        <f t="shared" si="2"/>
        <v>0</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c r="AT10" s="1852"/>
      <c r="AU10" s="1852"/>
      <c r="AV10" s="1852"/>
      <c r="AW10" s="1852"/>
      <c r="AX10" s="1852"/>
      <c r="AY10" s="1852"/>
      <c r="AZ10" s="1852"/>
      <c r="BA10" s="1852"/>
      <c r="BB10" s="1852"/>
      <c r="BC10" s="1852"/>
      <c r="BD10" s="1852"/>
      <c r="BE10" s="1852"/>
      <c r="BF10" s="1852"/>
      <c r="BG10" s="1852"/>
      <c r="BH10" s="1852"/>
      <c r="BI10" s="1852"/>
      <c r="BJ10" s="1852"/>
      <c r="BK10" s="1852"/>
      <c r="BL10" s="1852"/>
      <c r="BM10" s="1852"/>
      <c r="BN10" s="1852"/>
      <c r="BO10" s="1852"/>
      <c r="BP10" s="1852"/>
      <c r="BQ10" s="1852"/>
      <c r="BR10" s="1852"/>
      <c r="BS10" s="1852"/>
      <c r="BT10" s="1852"/>
      <c r="BU10" s="1852"/>
      <c r="BV10" s="1852"/>
      <c r="BW10" s="1852"/>
      <c r="BX10" s="1852"/>
      <c r="BY10" s="1852"/>
      <c r="BZ10" s="1852"/>
      <c r="CA10" s="1852"/>
      <c r="CB10" s="1852"/>
      <c r="CC10" s="1852"/>
      <c r="CD10" s="1852"/>
      <c r="CE10" s="1852"/>
      <c r="CF10" s="1852"/>
      <c r="CG10" s="1852"/>
      <c r="CH10" s="1852"/>
      <c r="CI10" s="1852"/>
      <c r="CJ10" s="1852"/>
      <c r="CK10" s="1852"/>
      <c r="CL10" s="1852"/>
      <c r="CM10" s="1852"/>
      <c r="CN10" s="1852"/>
      <c r="CO10" s="1852"/>
      <c r="CP10" s="1852"/>
      <c r="CQ10" s="1852"/>
      <c r="CR10" s="1852"/>
      <c r="CS10" s="1852"/>
      <c r="CT10" s="1852"/>
      <c r="CU10" s="1852"/>
      <c r="CV10" s="1852"/>
      <c r="CW10" s="1852"/>
      <c r="CX10" s="1852"/>
      <c r="CY10" s="1852"/>
      <c r="CZ10" s="1852"/>
      <c r="DA10" s="1852"/>
      <c r="DB10" s="1852"/>
      <c r="DC10" s="1852"/>
      <c r="DD10" s="1852"/>
      <c r="DE10" s="1852"/>
      <c r="DF10" s="1852"/>
      <c r="DG10" s="1852"/>
      <c r="DH10" s="1852"/>
      <c r="DI10" s="1852"/>
      <c r="DJ10" s="1852"/>
      <c r="DK10" s="1852"/>
      <c r="DL10" s="1852"/>
      <c r="DM10" s="1852"/>
      <c r="DN10" s="1852"/>
      <c r="DO10" s="1852"/>
      <c r="DP10" s="1852"/>
      <c r="DQ10" s="1852"/>
      <c r="DR10" s="1852"/>
      <c r="DS10" s="1852"/>
      <c r="DT10" s="1852"/>
      <c r="DU10" s="1852"/>
      <c r="DV10" s="1852"/>
      <c r="DW10" s="1852"/>
      <c r="DX10" s="1852"/>
      <c r="DY10" s="1852"/>
      <c r="DZ10" s="1852"/>
      <c r="EA10" s="1852"/>
      <c r="EB10" s="1852"/>
      <c r="EC10" s="1852"/>
      <c r="ED10" s="1852"/>
      <c r="EE10" s="1852"/>
      <c r="EF10" s="1852"/>
      <c r="EG10" s="1852"/>
      <c r="EH10" s="1852"/>
      <c r="EI10" s="1852"/>
      <c r="EJ10" s="1852"/>
      <c r="EK10" s="1852"/>
      <c r="EL10" s="1852"/>
      <c r="EM10" s="1852"/>
      <c r="EN10" s="1852"/>
      <c r="EO10" s="1852"/>
      <c r="EP10" s="1852"/>
      <c r="EQ10" s="1852"/>
      <c r="ER10" s="1852"/>
      <c r="ES10" s="1852"/>
      <c r="ET10" s="1852"/>
      <c r="EU10" s="1852"/>
      <c r="EV10" s="1852"/>
      <c r="EW10" s="1852"/>
      <c r="EX10" s="1852"/>
      <c r="EY10" s="1852"/>
      <c r="EZ10" s="1852"/>
      <c r="FA10" s="1852"/>
      <c r="FB10" s="1852"/>
      <c r="FC10" s="1852"/>
      <c r="FD10" s="1852"/>
      <c r="FE10" s="1852"/>
      <c r="FF10" s="1852"/>
      <c r="FG10" s="1852"/>
      <c r="FH10" s="1852"/>
      <c r="FI10" s="1852"/>
      <c r="FJ10" s="1852"/>
      <c r="FK10" s="1852"/>
      <c r="FL10" s="1852"/>
      <c r="FM10" s="1852"/>
      <c r="FN10" s="1852"/>
      <c r="FO10" s="1852"/>
      <c r="FP10" s="1852"/>
      <c r="FQ10" s="1852"/>
      <c r="FR10" s="1852"/>
      <c r="FS10" s="1852"/>
      <c r="FT10" s="1852"/>
      <c r="FU10" s="1852"/>
      <c r="FV10" s="1852"/>
      <c r="FW10" s="1852"/>
      <c r="FX10" s="1852"/>
      <c r="FY10" s="1852"/>
      <c r="FZ10" s="1852"/>
      <c r="GA10" s="1852"/>
      <c r="GB10" s="1852"/>
      <c r="GC10" s="1852"/>
      <c r="GD10" s="1852"/>
      <c r="GE10" s="1852"/>
      <c r="GF10" s="1852"/>
      <c r="GG10" s="1852"/>
      <c r="GH10" s="1852"/>
      <c r="GI10" s="1852"/>
      <c r="GJ10" s="1852"/>
      <c r="GK10" s="1852"/>
      <c r="GL10" s="1852"/>
      <c r="GM10" s="1852"/>
      <c r="GN10" s="1852"/>
      <c r="GO10" s="1852"/>
      <c r="GP10" s="1852"/>
      <c r="GQ10" s="1852"/>
      <c r="GR10" s="1852"/>
      <c r="GS10" s="1852"/>
      <c r="GT10" s="1852"/>
      <c r="GU10" s="1852"/>
      <c r="GV10" s="1852"/>
      <c r="GW10" s="1852"/>
      <c r="GX10" s="1852"/>
      <c r="GY10" s="1852"/>
      <c r="GZ10" s="1852"/>
      <c r="HA10" s="1852"/>
      <c r="HB10" s="1852"/>
      <c r="HC10" s="1852"/>
      <c r="HD10" s="1852"/>
      <c r="HE10" s="1852"/>
      <c r="HF10" s="1852"/>
      <c r="HG10" s="1852"/>
      <c r="HH10" s="1852"/>
      <c r="HI10" s="1852"/>
      <c r="HJ10" s="1852"/>
      <c r="HK10" s="1852"/>
      <c r="HL10" s="1852"/>
      <c r="HM10" s="1852"/>
      <c r="HN10" s="1852"/>
      <c r="HO10" s="1852"/>
      <c r="HP10" s="1852"/>
      <c r="HQ10" s="1852"/>
      <c r="HR10" s="1852"/>
      <c r="HS10" s="1852"/>
      <c r="HT10" s="1852"/>
      <c r="HU10" s="1852"/>
      <c r="HV10" s="1852"/>
      <c r="HW10" s="1852"/>
      <c r="HX10" s="1852"/>
      <c r="HY10" s="1852"/>
      <c r="HZ10" s="1852"/>
      <c r="IA10" s="1852"/>
      <c r="IB10" s="1852"/>
      <c r="IC10" s="1852"/>
      <c r="ID10" s="1852"/>
      <c r="IE10" s="1852"/>
      <c r="IF10" s="1852"/>
      <c r="IG10" s="1852"/>
      <c r="IH10" s="1852"/>
      <c r="II10" s="1852"/>
      <c r="IJ10" s="1852"/>
      <c r="IK10" s="1852"/>
      <c r="IL10" s="1852"/>
      <c r="IM10" s="1852"/>
      <c r="IN10" s="1852"/>
      <c r="IO10" s="1852"/>
      <c r="IP10" s="1852"/>
      <c r="IQ10" s="1852"/>
      <c r="IR10" s="1852"/>
      <c r="IS10" s="1852"/>
      <c r="IT10" s="1852"/>
      <c r="IU10" s="1852"/>
      <c r="IV10" s="1852"/>
      <c r="IW10" s="1852"/>
      <c r="IX10" s="1852"/>
      <c r="IY10" s="1852"/>
      <c r="IZ10" s="1852"/>
      <c r="JA10" s="1852"/>
      <c r="JB10" s="1852"/>
      <c r="JC10" s="1852"/>
      <c r="JD10" s="1852"/>
      <c r="JE10" s="1852"/>
      <c r="JF10" s="1852"/>
      <c r="JG10" s="1852"/>
      <c r="JH10" s="1852"/>
      <c r="JI10" s="1852"/>
      <c r="JJ10" s="1852"/>
      <c r="JK10" s="1852"/>
      <c r="JL10" s="1852"/>
      <c r="JM10" s="1852"/>
      <c r="JN10" s="1852"/>
      <c r="JO10" s="1852"/>
      <c r="JP10" s="1852"/>
      <c r="JQ10" s="1852"/>
      <c r="JR10" s="1852"/>
      <c r="JS10" s="1852"/>
      <c r="JT10" s="1852"/>
      <c r="JU10" s="1852"/>
      <c r="JV10" s="1852"/>
      <c r="JW10" s="1852"/>
      <c r="JX10" s="1852"/>
      <c r="JY10" s="1852"/>
      <c r="JZ10" s="1852"/>
      <c r="KA10" s="1852"/>
      <c r="KB10" s="1852"/>
      <c r="KC10" s="1852"/>
      <c r="KD10" s="1852"/>
      <c r="KE10" s="1852"/>
      <c r="KF10" s="1852"/>
      <c r="KG10" s="1852"/>
      <c r="KH10" s="1852"/>
      <c r="KI10" s="1852"/>
      <c r="KJ10" s="1852"/>
      <c r="KK10" s="1852"/>
      <c r="KL10" s="1852"/>
      <c r="KM10" s="1852"/>
      <c r="KN10" s="1852"/>
      <c r="KO10" s="1852"/>
      <c r="KP10" s="1852"/>
      <c r="KQ10" s="1852"/>
      <c r="KR10" s="1852"/>
      <c r="KS10" s="1852"/>
      <c r="KT10" s="1852"/>
      <c r="KU10" s="1852"/>
      <c r="KV10" s="1852"/>
      <c r="KW10" s="1852"/>
      <c r="KX10" s="1852"/>
      <c r="KY10" s="1852"/>
      <c r="KZ10" s="1852"/>
      <c r="LA10" s="1852"/>
      <c r="LB10" s="1852"/>
      <c r="LC10" s="1852"/>
      <c r="LD10" s="1852"/>
      <c r="LE10" s="1852"/>
      <c r="LF10" s="1852"/>
      <c r="LG10" s="1852"/>
      <c r="LH10" s="1852"/>
      <c r="LI10" s="1852"/>
      <c r="LJ10" s="1852"/>
      <c r="LK10" s="1852"/>
      <c r="LL10" s="1852"/>
      <c r="LM10" s="1852"/>
      <c r="LN10" s="1852"/>
      <c r="LO10" s="1852"/>
      <c r="LP10" s="1852"/>
      <c r="LQ10" s="1852"/>
      <c r="LR10" s="1852"/>
      <c r="LS10" s="1852"/>
      <c r="LT10" s="1852"/>
      <c r="LU10" s="1852"/>
      <c r="LV10" s="1852"/>
      <c r="LW10" s="1852"/>
      <c r="LX10" s="1852"/>
      <c r="LY10" s="1852"/>
      <c r="LZ10" s="1852"/>
      <c r="MA10" s="1852"/>
      <c r="MB10" s="1852"/>
      <c r="MC10" s="1852"/>
      <c r="MD10" s="1852"/>
      <c r="ME10" s="1852"/>
      <c r="MF10" s="1852"/>
      <c r="MG10" s="1852"/>
      <c r="MH10" s="1852"/>
      <c r="MI10" s="1852"/>
      <c r="MJ10" s="1852"/>
      <c r="MK10" s="1852"/>
      <c r="ML10" s="1852"/>
      <c r="MM10" s="1852"/>
      <c r="MN10" s="1852"/>
      <c r="MO10" s="1852"/>
      <c r="MP10" s="1852"/>
      <c r="MQ10" s="1852"/>
      <c r="MR10" s="1852"/>
      <c r="MS10" s="1852"/>
      <c r="MT10" s="1852"/>
      <c r="MU10" s="1852"/>
      <c r="MV10" s="1852"/>
      <c r="MW10" s="1852"/>
      <c r="MX10" s="1852"/>
      <c r="MY10" s="1852"/>
      <c r="MZ10" s="1852"/>
      <c r="NA10" s="1852"/>
      <c r="NB10" s="1852"/>
      <c r="NC10" s="1852"/>
      <c r="ND10" s="1852"/>
      <c r="NE10" s="1852"/>
      <c r="NF10" s="1852"/>
      <c r="NG10" s="1852"/>
      <c r="NH10" s="1852"/>
      <c r="NI10" s="1852"/>
      <c r="NJ10" s="1852"/>
      <c r="NK10" s="1852"/>
      <c r="NL10" s="1852"/>
      <c r="NM10" s="1852"/>
      <c r="NN10" s="1852"/>
      <c r="NO10" s="1852"/>
      <c r="NP10" s="1852"/>
      <c r="NQ10" s="1852"/>
      <c r="NR10" s="1852"/>
      <c r="NS10" s="1852"/>
      <c r="NT10" s="1852"/>
      <c r="NU10" s="1852"/>
      <c r="NV10" s="1852"/>
      <c r="NW10" s="1852"/>
      <c r="NX10" s="1852"/>
      <c r="NY10" s="1852"/>
      <c r="NZ10" s="1852"/>
      <c r="OA10" s="1852"/>
      <c r="OB10" s="1852"/>
      <c r="OC10" s="1852"/>
      <c r="OD10" s="1852"/>
      <c r="OE10" s="1852"/>
      <c r="OF10" s="1852"/>
      <c r="OG10" s="1852"/>
      <c r="OH10" s="1852"/>
      <c r="OI10" s="1852"/>
      <c r="OJ10" s="1852"/>
      <c r="OK10" s="1852"/>
      <c r="OL10" s="1852"/>
      <c r="OM10" s="1852"/>
      <c r="ON10" s="1852"/>
      <c r="OO10" s="1852"/>
      <c r="OP10" s="1852"/>
      <c r="OQ10" s="1852"/>
      <c r="OR10" s="1852"/>
      <c r="OS10" s="1852"/>
      <c r="OT10" s="1852"/>
      <c r="OU10" s="1852"/>
      <c r="OV10" s="1852"/>
      <c r="OW10" s="1852"/>
      <c r="OX10" s="1852"/>
      <c r="OY10" s="1852"/>
      <c r="OZ10" s="1852"/>
      <c r="PA10" s="1852"/>
      <c r="PB10" s="1852"/>
      <c r="PC10" s="1852"/>
      <c r="PD10" s="1852"/>
      <c r="PE10" s="1852"/>
      <c r="PF10" s="1852"/>
      <c r="PG10" s="1852"/>
      <c r="PH10" s="1852"/>
      <c r="PI10" s="1852"/>
      <c r="PJ10" s="1852"/>
      <c r="PK10" s="1852"/>
      <c r="PL10" s="1852"/>
      <c r="PM10" s="1852"/>
      <c r="PN10" s="1852"/>
      <c r="PO10" s="1852"/>
      <c r="PP10" s="1852"/>
      <c r="PQ10" s="1852"/>
      <c r="PR10" s="1852"/>
      <c r="PS10" s="1852"/>
      <c r="PT10" s="1852"/>
      <c r="PU10" s="1852"/>
      <c r="PV10" s="1852"/>
      <c r="PW10" s="1852"/>
      <c r="PX10" s="1852"/>
      <c r="PY10" s="1852"/>
      <c r="PZ10" s="1852"/>
      <c r="QA10" s="1852"/>
      <c r="QB10" s="1852"/>
      <c r="QC10" s="1852"/>
      <c r="QD10" s="1852"/>
      <c r="QE10" s="1852"/>
      <c r="QF10" s="1852"/>
      <c r="QG10" s="1852"/>
      <c r="QH10" s="1852"/>
      <c r="QI10" s="1852"/>
      <c r="QJ10" s="1852"/>
      <c r="QK10" s="1852"/>
      <c r="QL10" s="1852"/>
      <c r="QM10" s="1852"/>
      <c r="QN10" s="1852"/>
      <c r="QO10" s="1852"/>
      <c r="QP10" s="1852"/>
      <c r="QQ10" s="1852"/>
      <c r="QR10" s="1852"/>
      <c r="QS10" s="1852"/>
      <c r="QT10" s="1852"/>
      <c r="QU10" s="1852"/>
      <c r="QV10" s="1852"/>
      <c r="QW10" s="1852"/>
      <c r="QX10" s="1852"/>
      <c r="QY10" s="1852"/>
      <c r="QZ10" s="1852"/>
      <c r="RA10" s="1852"/>
      <c r="RB10" s="1852"/>
      <c r="RC10" s="1852"/>
      <c r="RD10" s="1852"/>
      <c r="RE10" s="1852"/>
      <c r="RF10" s="1852"/>
      <c r="RG10" s="1852"/>
      <c r="RH10" s="1852"/>
      <c r="RI10" s="1852"/>
      <c r="RJ10" s="1852"/>
      <c r="RK10" s="1852"/>
      <c r="RL10" s="1852"/>
      <c r="RM10" s="1852"/>
      <c r="RN10" s="1852"/>
      <c r="RO10" s="1852"/>
      <c r="RP10" s="1852"/>
      <c r="RQ10" s="1852"/>
      <c r="RR10" s="1852"/>
      <c r="RS10" s="1852"/>
      <c r="RT10" s="1852"/>
      <c r="RU10" s="1852"/>
      <c r="RV10" s="1852"/>
      <c r="RW10" s="1852"/>
      <c r="RX10" s="1852"/>
      <c r="RY10" s="1852"/>
      <c r="RZ10" s="1852"/>
      <c r="SA10" s="1852"/>
      <c r="SB10" s="1852"/>
      <c r="SC10" s="1852"/>
      <c r="SD10" s="1852"/>
      <c r="SE10" s="1852"/>
      <c r="SF10" s="1852"/>
      <c r="SG10" s="1852"/>
      <c r="SH10" s="1852"/>
      <c r="SI10" s="1852"/>
      <c r="SJ10" s="1852"/>
      <c r="SK10" s="1852"/>
      <c r="SL10" s="1852"/>
      <c r="SM10" s="1852"/>
      <c r="SN10" s="1852"/>
      <c r="SO10" s="1852"/>
      <c r="SP10" s="1852"/>
      <c r="SQ10" s="1852"/>
      <c r="SR10" s="1852"/>
      <c r="SS10" s="1852"/>
      <c r="ST10" s="1852"/>
      <c r="SU10" s="1852"/>
      <c r="SV10" s="1852"/>
      <c r="SW10" s="1852"/>
      <c r="SX10" s="1852"/>
      <c r="SY10" s="1852"/>
      <c r="SZ10" s="1852"/>
      <c r="TA10" s="1852"/>
      <c r="TB10" s="1852"/>
      <c r="TC10" s="1852"/>
      <c r="TD10" s="1852"/>
      <c r="TE10" s="1852"/>
      <c r="TF10" s="1852"/>
      <c r="TG10" s="1852"/>
      <c r="TH10" s="1852"/>
      <c r="TI10" s="1852"/>
      <c r="TJ10" s="1852"/>
      <c r="TK10" s="1852"/>
      <c r="TL10" s="1852"/>
      <c r="TM10" s="1852"/>
      <c r="TN10" s="1852"/>
      <c r="TO10" s="1852"/>
      <c r="TP10" s="1852"/>
      <c r="TQ10" s="1852"/>
      <c r="TR10" s="1852"/>
      <c r="TS10" s="1852"/>
      <c r="TT10" s="1852"/>
      <c r="TU10" s="1852"/>
      <c r="TV10" s="1852"/>
      <c r="TW10" s="1852"/>
      <c r="TX10" s="1852"/>
      <c r="TY10" s="1852"/>
      <c r="TZ10" s="1852"/>
      <c r="UA10" s="1852"/>
      <c r="UB10" s="1852"/>
      <c r="UC10" s="1852"/>
      <c r="UD10" s="1852"/>
      <c r="UE10" s="1852"/>
      <c r="UF10" s="1852"/>
      <c r="UG10" s="1852"/>
      <c r="UH10" s="1852"/>
      <c r="UI10" s="1852"/>
      <c r="UJ10" s="1852"/>
      <c r="UK10" s="1852"/>
      <c r="UL10" s="1852"/>
      <c r="UM10" s="1852"/>
      <c r="UN10" s="1852"/>
      <c r="UO10" s="1852"/>
      <c r="UP10" s="1852"/>
      <c r="UQ10" s="1852"/>
      <c r="UR10" s="1852"/>
      <c r="US10" s="1852"/>
      <c r="UT10" s="1852"/>
      <c r="UU10" s="1852"/>
      <c r="UV10" s="1852"/>
      <c r="UW10" s="1852"/>
      <c r="UX10" s="1852"/>
      <c r="UY10" s="1852"/>
      <c r="UZ10" s="1852"/>
      <c r="VA10" s="1852"/>
      <c r="VB10" s="1852"/>
      <c r="VC10" s="1852"/>
      <c r="VD10" s="1852"/>
      <c r="VE10" s="1852"/>
      <c r="VF10" s="1852"/>
      <c r="VG10" s="1852"/>
      <c r="VH10" s="1852"/>
      <c r="VI10" s="1852"/>
      <c r="VJ10" s="1852"/>
      <c r="VK10" s="1852"/>
      <c r="VL10" s="1852"/>
      <c r="VM10" s="1852"/>
      <c r="VN10" s="1852"/>
      <c r="VO10" s="1852"/>
      <c r="VP10" s="1852"/>
      <c r="VQ10" s="1852"/>
      <c r="VR10" s="1852"/>
      <c r="VS10" s="1852"/>
      <c r="VT10" s="1852"/>
      <c r="VU10" s="1852"/>
      <c r="VV10" s="1852"/>
      <c r="VW10" s="1852"/>
      <c r="VX10" s="1852"/>
      <c r="VY10" s="1852"/>
      <c r="VZ10" s="1852"/>
      <c r="WA10" s="1852"/>
      <c r="WB10" s="1852"/>
      <c r="WC10" s="1852"/>
      <c r="WD10" s="1852"/>
      <c r="WE10" s="1852"/>
      <c r="WF10" s="1852"/>
      <c r="WG10" s="1852"/>
      <c r="WH10" s="1852"/>
      <c r="WI10" s="1852"/>
      <c r="WJ10" s="1852"/>
      <c r="WK10" s="1852"/>
      <c r="WL10" s="1852"/>
      <c r="WM10" s="1852"/>
      <c r="WN10" s="1852"/>
      <c r="WO10" s="1852"/>
      <c r="WP10" s="1852"/>
      <c r="WQ10" s="1852"/>
      <c r="WR10" s="1852"/>
      <c r="WS10" s="1852"/>
      <c r="WT10" s="1852"/>
      <c r="WU10" s="1852"/>
      <c r="WV10" s="1852"/>
      <c r="WW10" s="1852"/>
      <c r="WX10" s="1852"/>
      <c r="WY10" s="1852"/>
      <c r="WZ10" s="1852"/>
      <c r="XA10" s="1852"/>
      <c r="XB10" s="1852"/>
      <c r="XC10" s="1852"/>
      <c r="XD10" s="1852"/>
      <c r="XE10" s="1852"/>
      <c r="XF10" s="1852"/>
      <c r="XG10" s="1852"/>
      <c r="XH10" s="1852"/>
      <c r="XI10" s="1852"/>
      <c r="XJ10" s="1852"/>
      <c r="XK10" s="1852"/>
      <c r="XL10" s="1852"/>
      <c r="XM10" s="1852"/>
      <c r="XN10" s="1852"/>
      <c r="XO10" s="1852"/>
      <c r="XP10" s="1852"/>
      <c r="XQ10" s="1852"/>
      <c r="XR10" s="1852"/>
      <c r="XS10" s="1852"/>
      <c r="XT10" s="1852"/>
      <c r="XU10" s="1852"/>
      <c r="XV10" s="1852"/>
      <c r="XW10" s="1852"/>
      <c r="XX10" s="1852"/>
      <c r="XY10" s="1852"/>
      <c r="XZ10" s="1852"/>
      <c r="YA10" s="1852"/>
      <c r="YB10" s="1852"/>
      <c r="YC10" s="1852"/>
      <c r="YD10" s="1852"/>
      <c r="YE10" s="1852"/>
      <c r="YF10" s="1852"/>
      <c r="YG10" s="1852"/>
      <c r="YH10" s="1852"/>
      <c r="YI10" s="1852"/>
      <c r="YJ10" s="1852"/>
      <c r="YK10" s="1852"/>
      <c r="YL10" s="1852"/>
      <c r="YM10" s="1852"/>
      <c r="YN10" s="1852"/>
      <c r="YO10" s="1852"/>
      <c r="YP10" s="1852"/>
      <c r="YQ10" s="1852"/>
      <c r="YR10" s="1852"/>
      <c r="YS10" s="1852"/>
      <c r="YT10" s="1852"/>
      <c r="YU10" s="1852"/>
      <c r="YV10" s="1852"/>
      <c r="YW10" s="1852"/>
      <c r="YX10" s="1852"/>
      <c r="YY10" s="1852"/>
      <c r="YZ10" s="1852"/>
      <c r="ZA10" s="1852"/>
      <c r="ZB10" s="1852"/>
      <c r="ZC10" s="1852"/>
      <c r="ZD10" s="1852"/>
      <c r="ZE10" s="1852"/>
      <c r="ZF10" s="1852"/>
      <c r="ZG10" s="1852"/>
      <c r="ZH10" s="1852"/>
      <c r="ZI10" s="1852"/>
      <c r="ZJ10" s="1852"/>
      <c r="ZK10" s="1852"/>
      <c r="ZL10" s="1852"/>
      <c r="ZM10" s="1852"/>
      <c r="ZN10" s="1852"/>
      <c r="ZO10" s="1852"/>
      <c r="ZP10" s="1852"/>
      <c r="ZQ10" s="1852"/>
      <c r="ZR10" s="1852"/>
      <c r="ZS10" s="1852"/>
      <c r="ZT10" s="1852"/>
      <c r="ZU10" s="1852"/>
      <c r="ZV10" s="1852"/>
      <c r="ZW10" s="1852"/>
      <c r="ZX10" s="1852"/>
      <c r="ZY10" s="1852"/>
      <c r="ZZ10" s="1852"/>
      <c r="AAA10" s="1852"/>
      <c r="AAB10" s="1852"/>
      <c r="AAC10" s="1852"/>
      <c r="AAD10" s="1852"/>
      <c r="AAE10" s="1852"/>
      <c r="AAF10" s="1852"/>
      <c r="AAG10" s="1852"/>
      <c r="AAH10" s="1852"/>
      <c r="AAI10" s="1852"/>
      <c r="AAJ10" s="1852"/>
      <c r="AAK10" s="1852"/>
      <c r="AAL10" s="1852"/>
      <c r="AAM10" s="1852"/>
      <c r="AAN10" s="1852"/>
      <c r="AAO10" s="1852"/>
      <c r="AAP10" s="1852"/>
      <c r="AAQ10" s="1852"/>
      <c r="AAR10" s="1852"/>
      <c r="AAS10" s="1852"/>
      <c r="AAT10" s="1852"/>
      <c r="AAU10" s="1852"/>
      <c r="AAV10" s="1852"/>
      <c r="AAW10" s="1852"/>
      <c r="AAX10" s="1852"/>
      <c r="AAY10" s="1852"/>
      <c r="AAZ10" s="1852"/>
      <c r="ABA10" s="1852"/>
      <c r="ABB10" s="1852"/>
      <c r="ABC10" s="1852"/>
      <c r="ABD10" s="1852"/>
      <c r="ABE10" s="1852"/>
      <c r="ABF10" s="1852"/>
      <c r="ABG10" s="1852"/>
      <c r="ABH10" s="1852"/>
      <c r="ABI10" s="1852"/>
      <c r="ABJ10" s="1852"/>
      <c r="ABK10" s="1852"/>
      <c r="ABL10" s="1852"/>
      <c r="ABM10" s="1852"/>
      <c r="ABN10" s="1852"/>
      <c r="ABO10" s="1852"/>
      <c r="ABP10" s="1852"/>
      <c r="ABQ10" s="1852"/>
      <c r="ABR10" s="1852"/>
      <c r="ABS10" s="1852"/>
      <c r="ABT10" s="1852"/>
      <c r="ABU10" s="1852"/>
      <c r="ABV10" s="1852"/>
      <c r="ABW10" s="1852"/>
      <c r="ABX10" s="1852"/>
      <c r="ABY10" s="1852"/>
      <c r="ABZ10" s="1852"/>
      <c r="ACA10" s="1852"/>
      <c r="ACB10" s="1852"/>
      <c r="ACC10" s="1852"/>
      <c r="ACD10" s="1852"/>
      <c r="ACE10" s="1852"/>
      <c r="ACF10" s="1852"/>
      <c r="ACG10" s="1852"/>
      <c r="ACH10" s="1852"/>
      <c r="ACI10" s="1852"/>
      <c r="ACJ10" s="1852"/>
      <c r="ACK10" s="1852"/>
      <c r="ACL10" s="1852"/>
      <c r="ACM10" s="1852"/>
      <c r="ACN10" s="1852"/>
      <c r="ACO10" s="1852"/>
      <c r="ACP10" s="1852"/>
      <c r="ACQ10" s="1852"/>
      <c r="ACR10" s="1852"/>
      <c r="ACS10" s="1852"/>
      <c r="ACT10" s="1852"/>
      <c r="ACU10" s="1852"/>
      <c r="ACV10" s="1852"/>
      <c r="ACW10" s="1852"/>
      <c r="ACX10" s="1852"/>
      <c r="ACY10" s="1852"/>
      <c r="ACZ10" s="1852"/>
      <c r="ADA10" s="1852"/>
      <c r="ADB10" s="1852"/>
      <c r="ADC10" s="1852"/>
      <c r="ADD10" s="1852"/>
      <c r="ADE10" s="1852"/>
      <c r="ADF10" s="1852"/>
      <c r="ADG10" s="1852"/>
      <c r="ADH10" s="1852"/>
      <c r="ADI10" s="1852"/>
      <c r="ADJ10" s="1852"/>
      <c r="ADK10" s="1852"/>
      <c r="ADL10" s="1852"/>
      <c r="ADM10" s="1852"/>
      <c r="ADN10" s="1852"/>
      <c r="ADO10" s="1852"/>
      <c r="ADP10" s="1852"/>
      <c r="ADQ10" s="1852"/>
      <c r="ADR10" s="1852"/>
      <c r="ADS10" s="1852"/>
      <c r="ADT10" s="1852"/>
      <c r="ADU10" s="1852"/>
      <c r="ADV10" s="1852"/>
      <c r="ADW10" s="1852"/>
      <c r="ADX10" s="1852"/>
      <c r="ADY10" s="1852"/>
      <c r="ADZ10" s="1852"/>
      <c r="AEA10" s="1852"/>
      <c r="AEB10" s="1852"/>
      <c r="AEC10" s="1852"/>
      <c r="AED10" s="1852"/>
      <c r="AEE10" s="1852"/>
      <c r="AEF10" s="1852"/>
      <c r="AEG10" s="1852"/>
      <c r="AEH10" s="1852"/>
      <c r="AEI10" s="1852"/>
      <c r="AEJ10" s="1852"/>
      <c r="AEK10" s="1852"/>
      <c r="AEL10" s="1852"/>
      <c r="AEM10" s="1852"/>
      <c r="AEN10" s="1852"/>
      <c r="AEO10" s="1852"/>
      <c r="AEP10" s="1852"/>
      <c r="AEQ10" s="1852"/>
      <c r="AER10" s="1852"/>
      <c r="AES10" s="1852"/>
      <c r="AET10" s="1852"/>
      <c r="AEU10" s="1852"/>
      <c r="AEV10" s="1852"/>
      <c r="AEW10" s="1852"/>
      <c r="AEX10" s="1852"/>
      <c r="AEY10" s="1852"/>
      <c r="AEZ10" s="1852"/>
      <c r="AFA10" s="1852"/>
      <c r="AFB10" s="1852"/>
      <c r="AFC10" s="1852"/>
      <c r="AFD10" s="1852"/>
      <c r="AFE10" s="1852"/>
      <c r="AFF10" s="1852"/>
      <c r="AFG10" s="1852"/>
      <c r="AFH10" s="1852"/>
      <c r="AFI10" s="1852"/>
      <c r="AFJ10" s="1852"/>
      <c r="AFK10" s="1852"/>
      <c r="AFL10" s="1852"/>
      <c r="AFM10" s="1852"/>
      <c r="AFN10" s="1852"/>
      <c r="AFO10" s="1852"/>
      <c r="AFP10" s="1852"/>
      <c r="AFQ10" s="1852"/>
      <c r="AFR10" s="1852"/>
      <c r="AFS10" s="1852"/>
      <c r="AFT10" s="1852"/>
      <c r="AFU10" s="1852"/>
      <c r="AFV10" s="1852"/>
      <c r="AFW10" s="1852"/>
      <c r="AFX10" s="1852"/>
      <c r="AFY10" s="1852"/>
      <c r="AFZ10" s="1852"/>
      <c r="AGA10" s="1852"/>
      <c r="AGB10" s="1852"/>
      <c r="AGC10" s="1852"/>
      <c r="AGD10" s="1852"/>
      <c r="AGE10" s="1852"/>
      <c r="AGF10" s="1852"/>
      <c r="AGG10" s="1852"/>
      <c r="AGH10" s="1852"/>
      <c r="AGI10" s="1852"/>
      <c r="AGJ10" s="1852"/>
      <c r="AGK10" s="1852"/>
      <c r="AGL10" s="1852"/>
      <c r="AGM10" s="1852"/>
      <c r="AGN10" s="1852"/>
      <c r="AGO10" s="1852"/>
      <c r="AGP10" s="1852"/>
      <c r="AGQ10" s="1852"/>
      <c r="AGR10" s="1852"/>
      <c r="AGS10" s="1852"/>
      <c r="AGT10" s="1852"/>
      <c r="AGU10" s="1852"/>
      <c r="AGV10" s="1852"/>
      <c r="AGW10" s="1852"/>
      <c r="AGX10" s="1852"/>
      <c r="AGY10" s="1852"/>
      <c r="AGZ10" s="1852"/>
      <c r="AHA10" s="1852"/>
      <c r="AHB10" s="1852"/>
      <c r="AHC10" s="1852"/>
      <c r="AHD10" s="1852"/>
      <c r="AHE10" s="1852"/>
      <c r="AHF10" s="1852"/>
      <c r="AHG10" s="1852"/>
      <c r="AHH10" s="1852"/>
      <c r="AHI10" s="1852"/>
      <c r="AHJ10" s="1852"/>
      <c r="AHK10" s="1852"/>
      <c r="AHL10" s="1852"/>
      <c r="AHM10" s="1852"/>
      <c r="AHN10" s="1852"/>
      <c r="AHO10" s="1852"/>
      <c r="AHP10" s="1852"/>
      <c r="AHQ10" s="1852"/>
      <c r="AHR10" s="1852"/>
      <c r="AHS10" s="1852"/>
      <c r="AHT10" s="1852"/>
      <c r="AHU10" s="1852"/>
      <c r="AHV10" s="1852"/>
      <c r="AHW10" s="1852"/>
      <c r="AHX10" s="1852"/>
      <c r="AHY10" s="1852"/>
      <c r="AHZ10" s="1852"/>
      <c r="AIA10" s="1852"/>
      <c r="AIB10" s="1852"/>
      <c r="AIC10" s="1852"/>
      <c r="AID10" s="1852"/>
      <c r="AIE10" s="1852"/>
      <c r="AIF10" s="1852"/>
      <c r="AIG10" s="1852"/>
      <c r="AIH10" s="1852"/>
      <c r="AII10" s="1852"/>
      <c r="AIJ10" s="1852"/>
      <c r="AIK10" s="1852"/>
      <c r="AIL10" s="1852"/>
      <c r="AIM10" s="1852"/>
      <c r="AIN10" s="1852"/>
      <c r="AIO10" s="1852"/>
      <c r="AIP10" s="1852"/>
      <c r="AIQ10" s="1852"/>
      <c r="AIR10" s="1852"/>
      <c r="AIS10" s="1852"/>
      <c r="AIT10" s="1852"/>
      <c r="AIU10" s="1852"/>
      <c r="AIV10" s="1852"/>
      <c r="AIW10" s="1852"/>
      <c r="AIX10" s="1852"/>
      <c r="AIY10" s="1852"/>
      <c r="AIZ10" s="1852"/>
      <c r="AJA10" s="1852"/>
      <c r="AJB10" s="1852"/>
      <c r="AJC10" s="1852"/>
      <c r="AJD10" s="1852"/>
      <c r="AJE10" s="1852"/>
      <c r="AJF10" s="1852"/>
      <c r="AJG10" s="1852"/>
      <c r="AJH10" s="1852"/>
      <c r="AJI10" s="1852"/>
      <c r="AJJ10" s="1852"/>
      <c r="AJK10" s="1852"/>
      <c r="AJL10" s="1852"/>
      <c r="AJM10" s="1852"/>
      <c r="AJN10" s="1852"/>
      <c r="AJO10" s="1852"/>
      <c r="AJP10" s="1852"/>
      <c r="AJQ10" s="1852"/>
      <c r="AJR10" s="1852"/>
      <c r="AJS10" s="1852"/>
      <c r="AJT10" s="1852"/>
      <c r="AJU10" s="1852"/>
      <c r="AJV10" s="1852"/>
      <c r="AJW10" s="1852"/>
      <c r="AJX10" s="1852"/>
      <c r="AJY10" s="1852"/>
      <c r="AJZ10" s="1852"/>
      <c r="AKA10" s="1852"/>
      <c r="AKB10" s="1852"/>
      <c r="AKC10" s="1852"/>
      <c r="AKD10" s="1852"/>
      <c r="AKE10" s="1852"/>
      <c r="AKF10" s="1852"/>
      <c r="AKG10" s="1852"/>
      <c r="AKH10" s="1852"/>
      <c r="AKI10" s="1852"/>
      <c r="AKJ10" s="1852"/>
      <c r="AKK10" s="1852"/>
      <c r="AKL10" s="1852"/>
      <c r="AKM10" s="1852"/>
      <c r="AKN10" s="1852"/>
      <c r="AKO10" s="1852"/>
      <c r="AKP10" s="1852"/>
      <c r="AKQ10" s="1852"/>
      <c r="AKR10" s="1852"/>
      <c r="AKS10" s="1852"/>
      <c r="AKT10" s="1852"/>
      <c r="AKU10" s="1852"/>
      <c r="AKV10" s="1852"/>
      <c r="AKW10" s="1852"/>
      <c r="AKX10" s="1852"/>
      <c r="AKY10" s="1852"/>
      <c r="AKZ10" s="1852"/>
      <c r="ALA10" s="1852"/>
      <c r="ALB10" s="1852"/>
      <c r="ALC10" s="1852"/>
      <c r="ALD10" s="1852"/>
      <c r="ALE10" s="1852"/>
      <c r="ALF10" s="1852"/>
      <c r="ALG10" s="1852"/>
      <c r="ALH10" s="1852"/>
      <c r="ALI10" s="1852"/>
      <c r="ALJ10" s="1852"/>
      <c r="ALK10" s="1852"/>
      <c r="ALL10" s="1852"/>
      <c r="ALM10" s="1852"/>
      <c r="ALN10" s="1852"/>
      <c r="ALO10" s="1852"/>
      <c r="ALP10" s="1852"/>
      <c r="ALQ10" s="1852"/>
      <c r="ALR10" s="1852"/>
    </row>
    <row r="11" spans="1:1007" x14ac:dyDescent="0.3">
      <c r="A11" s="1854"/>
      <c r="B11" t="s">
        <v>1216</v>
      </c>
      <c r="C11" s="1853" t="s">
        <v>1218</v>
      </c>
      <c r="D11" s="1855">
        <f t="shared" si="0"/>
        <v>0</v>
      </c>
      <c r="E11" s="1855">
        <f t="shared" si="1"/>
        <v>0</v>
      </c>
      <c r="F11" s="1855">
        <f t="shared" si="2"/>
        <v>0</v>
      </c>
      <c r="G11" s="1852"/>
      <c r="H11" s="1852"/>
      <c r="I11" s="1852"/>
      <c r="J11" s="1852"/>
      <c r="K11" s="1852"/>
      <c r="L11" s="1852"/>
      <c r="M11" s="1852"/>
      <c r="N11" s="1852"/>
      <c r="O11" s="1852"/>
      <c r="P11" s="1852"/>
      <c r="Q11" s="1852"/>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c r="AT11" s="1852"/>
      <c r="AU11" s="1852"/>
      <c r="AV11" s="1852"/>
      <c r="AW11" s="1852"/>
      <c r="AX11" s="1852"/>
      <c r="AY11" s="1852"/>
      <c r="AZ11" s="1852"/>
      <c r="BA11" s="1852"/>
      <c r="BB11" s="1852"/>
      <c r="BC11" s="1852"/>
      <c r="BD11" s="1852"/>
      <c r="BE11" s="1852"/>
      <c r="BF11" s="1852"/>
      <c r="BG11" s="1852"/>
      <c r="BH11" s="1852"/>
      <c r="BI11" s="1852"/>
      <c r="BJ11" s="1852"/>
      <c r="BK11" s="1852"/>
      <c r="BL11" s="1852"/>
      <c r="BM11" s="1852"/>
      <c r="BN11" s="1852"/>
      <c r="BO11" s="1852"/>
      <c r="BP11" s="1852"/>
      <c r="BQ11" s="1852"/>
      <c r="BR11" s="1852"/>
      <c r="BS11" s="1852"/>
      <c r="BT11" s="1852"/>
      <c r="BU11" s="1852"/>
      <c r="BV11" s="1852"/>
      <c r="BW11" s="1852"/>
      <c r="BX11" s="1852"/>
      <c r="BY11" s="1852"/>
      <c r="BZ11" s="1852"/>
      <c r="CA11" s="1852"/>
      <c r="CB11" s="1852"/>
      <c r="CC11" s="1852"/>
      <c r="CD11" s="1852"/>
      <c r="CE11" s="1852"/>
      <c r="CF11" s="1852"/>
      <c r="CG11" s="1852"/>
      <c r="CH11" s="1852"/>
      <c r="CI11" s="1852"/>
      <c r="CJ11" s="1852"/>
      <c r="CK11" s="1852"/>
      <c r="CL11" s="1852"/>
      <c r="CM11" s="1852"/>
      <c r="CN11" s="1852"/>
      <c r="CO11" s="1852"/>
      <c r="CP11" s="1852"/>
      <c r="CQ11" s="1852"/>
      <c r="CR11" s="1852"/>
      <c r="CS11" s="1852"/>
      <c r="CT11" s="1852"/>
      <c r="CU11" s="1852"/>
      <c r="CV11" s="1852"/>
      <c r="CW11" s="1852"/>
      <c r="CX11" s="1852"/>
      <c r="CY11" s="1852"/>
      <c r="CZ11" s="1852"/>
      <c r="DA11" s="1852"/>
      <c r="DB11" s="1852"/>
      <c r="DC11" s="1852"/>
      <c r="DD11" s="1852"/>
      <c r="DE11" s="1852"/>
      <c r="DF11" s="1852"/>
      <c r="DG11" s="1852"/>
      <c r="DH11" s="1852"/>
      <c r="DI11" s="1852"/>
      <c r="DJ11" s="1852"/>
      <c r="DK11" s="1852"/>
      <c r="DL11" s="1852"/>
      <c r="DM11" s="1852"/>
      <c r="DN11" s="1852"/>
      <c r="DO11" s="1852"/>
      <c r="DP11" s="1852"/>
      <c r="DQ11" s="1852"/>
      <c r="DR11" s="1852"/>
      <c r="DS11" s="1852"/>
      <c r="DT11" s="1852"/>
      <c r="DU11" s="1852"/>
      <c r="DV11" s="1852"/>
      <c r="DW11" s="1852"/>
      <c r="DX11" s="1852"/>
      <c r="DY11" s="1852"/>
      <c r="DZ11" s="1852"/>
      <c r="EA11" s="1852"/>
      <c r="EB11" s="1852"/>
      <c r="EC11" s="1852"/>
      <c r="ED11" s="1852"/>
      <c r="EE11" s="1852"/>
      <c r="EF11" s="1852"/>
      <c r="EG11" s="1852"/>
      <c r="EH11" s="1852"/>
      <c r="EI11" s="1852"/>
      <c r="EJ11" s="1852"/>
      <c r="EK11" s="1852"/>
      <c r="EL11" s="1852"/>
      <c r="EM11" s="1852"/>
      <c r="EN11" s="1852"/>
      <c r="EO11" s="1852"/>
      <c r="EP11" s="1852"/>
      <c r="EQ11" s="1852"/>
      <c r="ER11" s="1852"/>
      <c r="ES11" s="1852"/>
      <c r="ET11" s="1852"/>
      <c r="EU11" s="1852"/>
      <c r="EV11" s="1852"/>
      <c r="EW11" s="1852"/>
      <c r="EX11" s="1852"/>
      <c r="EY11" s="1852"/>
      <c r="EZ11" s="1852"/>
      <c r="FA11" s="1852"/>
      <c r="FB11" s="1852"/>
      <c r="FC11" s="1852"/>
      <c r="FD11" s="1852"/>
      <c r="FE11" s="1852"/>
      <c r="FF11" s="1852"/>
      <c r="FG11" s="1852"/>
      <c r="FH11" s="1852"/>
      <c r="FI11" s="1852"/>
      <c r="FJ11" s="1852"/>
      <c r="FK11" s="1852"/>
      <c r="FL11" s="1852"/>
      <c r="FM11" s="1852"/>
      <c r="FN11" s="1852"/>
      <c r="FO11" s="1852"/>
      <c r="FP11" s="1852"/>
      <c r="FQ11" s="1852"/>
      <c r="FR11" s="1852"/>
      <c r="FS11" s="1852"/>
      <c r="FT11" s="1852"/>
      <c r="FU11" s="1852"/>
      <c r="FV11" s="1852"/>
      <c r="FW11" s="1852"/>
      <c r="FX11" s="1852"/>
      <c r="FY11" s="1852"/>
      <c r="FZ11" s="1852"/>
      <c r="GA11" s="1852"/>
      <c r="GB11" s="1852"/>
      <c r="GC11" s="1852"/>
      <c r="GD11" s="1852"/>
      <c r="GE11" s="1852"/>
      <c r="GF11" s="1852"/>
      <c r="GG11" s="1852"/>
      <c r="GH11" s="1852"/>
      <c r="GI11" s="1852"/>
      <c r="GJ11" s="1852"/>
      <c r="GK11" s="1852"/>
      <c r="GL11" s="1852"/>
      <c r="GM11" s="1852"/>
      <c r="GN11" s="1852"/>
      <c r="GO11" s="1852"/>
      <c r="GP11" s="1852"/>
      <c r="GQ11" s="1852"/>
      <c r="GR11" s="1852"/>
      <c r="GS11" s="1852"/>
      <c r="GT11" s="1852"/>
      <c r="GU11" s="1852"/>
      <c r="GV11" s="1852"/>
      <c r="GW11" s="1852"/>
      <c r="GX11" s="1852"/>
      <c r="GY11" s="1852"/>
      <c r="GZ11" s="1852"/>
      <c r="HA11" s="1852"/>
      <c r="HB11" s="1852"/>
      <c r="HC11" s="1852"/>
      <c r="HD11" s="1852"/>
      <c r="HE11" s="1852"/>
      <c r="HF11" s="1852"/>
      <c r="HG11" s="1852"/>
      <c r="HH11" s="1852"/>
      <c r="HI11" s="1852"/>
      <c r="HJ11" s="1852"/>
      <c r="HK11" s="1852"/>
      <c r="HL11" s="1852"/>
      <c r="HM11" s="1852"/>
      <c r="HN11" s="1852"/>
      <c r="HO11" s="1852"/>
      <c r="HP11" s="1852"/>
      <c r="HQ11" s="1852"/>
      <c r="HR11" s="1852"/>
      <c r="HS11" s="1852"/>
      <c r="HT11" s="1852"/>
      <c r="HU11" s="1852"/>
      <c r="HV11" s="1852"/>
      <c r="HW11" s="1852"/>
      <c r="HX11" s="1852"/>
      <c r="HY11" s="1852"/>
      <c r="HZ11" s="1852"/>
      <c r="IA11" s="1852"/>
      <c r="IB11" s="1852"/>
      <c r="IC11" s="1852"/>
      <c r="ID11" s="1852"/>
      <c r="IE11" s="1852"/>
      <c r="IF11" s="1852"/>
      <c r="IG11" s="1852"/>
      <c r="IH11" s="1852"/>
      <c r="II11" s="1852"/>
      <c r="IJ11" s="1852"/>
      <c r="IK11" s="1852"/>
      <c r="IL11" s="1852"/>
      <c r="IM11" s="1852"/>
      <c r="IN11" s="1852"/>
      <c r="IO11" s="1852"/>
      <c r="IP11" s="1852"/>
      <c r="IQ11" s="1852"/>
      <c r="IR11" s="1852"/>
      <c r="IS11" s="1852"/>
      <c r="IT11" s="1852"/>
      <c r="IU11" s="1852"/>
      <c r="IV11" s="1852"/>
      <c r="IW11" s="1852"/>
      <c r="IX11" s="1852"/>
      <c r="IY11" s="1852"/>
      <c r="IZ11" s="1852"/>
      <c r="JA11" s="1852"/>
      <c r="JB11" s="1852"/>
      <c r="JC11" s="1852"/>
      <c r="JD11" s="1852"/>
      <c r="JE11" s="1852"/>
      <c r="JF11" s="1852"/>
      <c r="JG11" s="1852"/>
      <c r="JH11" s="1852"/>
      <c r="JI11" s="1852"/>
      <c r="JJ11" s="1852"/>
      <c r="JK11" s="1852"/>
      <c r="JL11" s="1852"/>
      <c r="JM11" s="1852"/>
      <c r="JN11" s="1852"/>
      <c r="JO11" s="1852"/>
      <c r="JP11" s="1852"/>
      <c r="JQ11" s="1852"/>
      <c r="JR11" s="1852"/>
      <c r="JS11" s="1852"/>
      <c r="JT11" s="1852"/>
      <c r="JU11" s="1852"/>
      <c r="JV11" s="1852"/>
      <c r="JW11" s="1852"/>
      <c r="JX11" s="1852"/>
      <c r="JY11" s="1852"/>
      <c r="JZ11" s="1852"/>
      <c r="KA11" s="1852"/>
      <c r="KB11" s="1852"/>
      <c r="KC11" s="1852"/>
      <c r="KD11" s="1852"/>
      <c r="KE11" s="1852"/>
      <c r="KF11" s="1852"/>
      <c r="KG11" s="1852"/>
      <c r="KH11" s="1852"/>
      <c r="KI11" s="1852"/>
      <c r="KJ11" s="1852"/>
      <c r="KK11" s="1852"/>
      <c r="KL11" s="1852"/>
      <c r="KM11" s="1852"/>
      <c r="KN11" s="1852"/>
      <c r="KO11" s="1852"/>
      <c r="KP11" s="1852"/>
      <c r="KQ11" s="1852"/>
      <c r="KR11" s="1852"/>
      <c r="KS11" s="1852"/>
      <c r="KT11" s="1852"/>
      <c r="KU11" s="1852"/>
      <c r="KV11" s="1852"/>
      <c r="KW11" s="1852"/>
      <c r="KX11" s="1852"/>
      <c r="KY11" s="1852"/>
      <c r="KZ11" s="1852"/>
      <c r="LA11" s="1852"/>
      <c r="LB11" s="1852"/>
      <c r="LC11" s="1852"/>
      <c r="LD11" s="1852"/>
      <c r="LE11" s="1852"/>
      <c r="LF11" s="1852"/>
      <c r="LG11" s="1852"/>
      <c r="LH11" s="1852"/>
      <c r="LI11" s="1852"/>
      <c r="LJ11" s="1852"/>
      <c r="LK11" s="1852"/>
      <c r="LL11" s="1852"/>
      <c r="LM11" s="1852"/>
      <c r="LN11" s="1852"/>
      <c r="LO11" s="1852"/>
      <c r="LP11" s="1852"/>
      <c r="LQ11" s="1852"/>
      <c r="LR11" s="1852"/>
      <c r="LS11" s="1852"/>
      <c r="LT11" s="1852"/>
      <c r="LU11" s="1852"/>
      <c r="LV11" s="1852"/>
      <c r="LW11" s="1852"/>
      <c r="LX11" s="1852"/>
      <c r="LY11" s="1852"/>
      <c r="LZ11" s="1852"/>
      <c r="MA11" s="1852"/>
      <c r="MB11" s="1852"/>
      <c r="MC11" s="1852"/>
      <c r="MD11" s="1852"/>
      <c r="ME11" s="1852"/>
      <c r="MF11" s="1852"/>
      <c r="MG11" s="1852"/>
      <c r="MH11" s="1852"/>
      <c r="MI11" s="1852"/>
      <c r="MJ11" s="1852"/>
      <c r="MK11" s="1852"/>
      <c r="ML11" s="1852"/>
      <c r="MM11" s="1852"/>
      <c r="MN11" s="1852"/>
      <c r="MO11" s="1852"/>
      <c r="MP11" s="1852"/>
      <c r="MQ11" s="1852"/>
      <c r="MR11" s="1852"/>
      <c r="MS11" s="1852"/>
      <c r="MT11" s="1852"/>
      <c r="MU11" s="1852"/>
      <c r="MV11" s="1852"/>
      <c r="MW11" s="1852"/>
      <c r="MX11" s="1852"/>
      <c r="MY11" s="1852"/>
      <c r="MZ11" s="1852"/>
      <c r="NA11" s="1852"/>
      <c r="NB11" s="1852"/>
      <c r="NC11" s="1852"/>
      <c r="ND11" s="1852"/>
      <c r="NE11" s="1852"/>
      <c r="NF11" s="1852"/>
      <c r="NG11" s="1852"/>
      <c r="NH11" s="1852"/>
      <c r="NI11" s="1852"/>
      <c r="NJ11" s="1852"/>
      <c r="NK11" s="1852"/>
      <c r="NL11" s="1852"/>
      <c r="NM11" s="1852"/>
      <c r="NN11" s="1852"/>
      <c r="NO11" s="1852"/>
      <c r="NP11" s="1852"/>
      <c r="NQ11" s="1852"/>
      <c r="NR11" s="1852"/>
      <c r="NS11" s="1852"/>
      <c r="NT11" s="1852"/>
      <c r="NU11" s="1852"/>
      <c r="NV11" s="1852"/>
      <c r="NW11" s="1852"/>
      <c r="NX11" s="1852"/>
      <c r="NY11" s="1852"/>
      <c r="NZ11" s="1852"/>
      <c r="OA11" s="1852"/>
      <c r="OB11" s="1852"/>
      <c r="OC11" s="1852"/>
      <c r="OD11" s="1852"/>
      <c r="OE11" s="1852"/>
      <c r="OF11" s="1852"/>
      <c r="OG11" s="1852"/>
      <c r="OH11" s="1852"/>
      <c r="OI11" s="1852"/>
      <c r="OJ11" s="1852"/>
      <c r="OK11" s="1852"/>
      <c r="OL11" s="1852"/>
      <c r="OM11" s="1852"/>
      <c r="ON11" s="1852"/>
      <c r="OO11" s="1852"/>
      <c r="OP11" s="1852"/>
      <c r="OQ11" s="1852"/>
      <c r="OR11" s="1852"/>
      <c r="OS11" s="1852"/>
      <c r="OT11" s="1852"/>
      <c r="OU11" s="1852"/>
      <c r="OV11" s="1852"/>
      <c r="OW11" s="1852"/>
      <c r="OX11" s="1852"/>
      <c r="OY11" s="1852"/>
      <c r="OZ11" s="1852"/>
      <c r="PA11" s="1852"/>
      <c r="PB11" s="1852"/>
      <c r="PC11" s="1852"/>
      <c r="PD11" s="1852"/>
      <c r="PE11" s="1852"/>
      <c r="PF11" s="1852"/>
      <c r="PG11" s="1852"/>
      <c r="PH11" s="1852"/>
      <c r="PI11" s="1852"/>
      <c r="PJ11" s="1852"/>
      <c r="PK11" s="1852"/>
      <c r="PL11" s="1852"/>
      <c r="PM11" s="1852"/>
      <c r="PN11" s="1852"/>
      <c r="PO11" s="1852"/>
      <c r="PP11" s="1852"/>
      <c r="PQ11" s="1852"/>
      <c r="PR11" s="1852"/>
      <c r="PS11" s="1852"/>
      <c r="PT11" s="1852"/>
      <c r="PU11" s="1852"/>
      <c r="PV11" s="1852"/>
      <c r="PW11" s="1852"/>
      <c r="PX11" s="1852"/>
      <c r="PY11" s="1852"/>
      <c r="PZ11" s="1852"/>
      <c r="QA11" s="1852"/>
      <c r="QB11" s="1852"/>
      <c r="QC11" s="1852"/>
      <c r="QD11" s="1852"/>
      <c r="QE11" s="1852"/>
      <c r="QF11" s="1852"/>
      <c r="QG11" s="1852"/>
      <c r="QH11" s="1852"/>
      <c r="QI11" s="1852"/>
      <c r="QJ11" s="1852"/>
      <c r="QK11" s="1852"/>
      <c r="QL11" s="1852"/>
      <c r="QM11" s="1852"/>
      <c r="QN11" s="1852"/>
      <c r="QO11" s="1852"/>
      <c r="QP11" s="1852"/>
      <c r="QQ11" s="1852"/>
      <c r="QR11" s="1852"/>
      <c r="QS11" s="1852"/>
      <c r="QT11" s="1852"/>
      <c r="QU11" s="1852"/>
      <c r="QV11" s="1852"/>
      <c r="QW11" s="1852"/>
      <c r="QX11" s="1852"/>
      <c r="QY11" s="1852"/>
      <c r="QZ11" s="1852"/>
      <c r="RA11" s="1852"/>
      <c r="RB11" s="1852"/>
      <c r="RC11" s="1852"/>
      <c r="RD11" s="1852"/>
      <c r="RE11" s="1852"/>
      <c r="RF11" s="1852"/>
      <c r="RG11" s="1852"/>
      <c r="RH11" s="1852"/>
      <c r="RI11" s="1852"/>
      <c r="RJ11" s="1852"/>
      <c r="RK11" s="1852"/>
      <c r="RL11" s="1852"/>
      <c r="RM11" s="1852"/>
      <c r="RN11" s="1852"/>
      <c r="RO11" s="1852"/>
      <c r="RP11" s="1852"/>
      <c r="RQ11" s="1852"/>
      <c r="RR11" s="1852"/>
      <c r="RS11" s="1852"/>
      <c r="RT11" s="1852"/>
      <c r="RU11" s="1852"/>
      <c r="RV11" s="1852"/>
      <c r="RW11" s="1852"/>
      <c r="RX11" s="1852"/>
      <c r="RY11" s="1852"/>
      <c r="RZ11" s="1852"/>
      <c r="SA11" s="1852"/>
      <c r="SB11" s="1852"/>
      <c r="SC11" s="1852"/>
      <c r="SD11" s="1852"/>
      <c r="SE11" s="1852"/>
      <c r="SF11" s="1852"/>
      <c r="SG11" s="1852"/>
      <c r="SH11" s="1852"/>
      <c r="SI11" s="1852"/>
      <c r="SJ11" s="1852"/>
      <c r="SK11" s="1852"/>
      <c r="SL11" s="1852"/>
      <c r="SM11" s="1852"/>
      <c r="SN11" s="1852"/>
      <c r="SO11" s="1852"/>
      <c r="SP11" s="1852"/>
      <c r="SQ11" s="1852"/>
      <c r="SR11" s="1852"/>
      <c r="SS11" s="1852"/>
      <c r="ST11" s="1852"/>
      <c r="SU11" s="1852"/>
      <c r="SV11" s="1852"/>
      <c r="SW11" s="1852"/>
      <c r="SX11" s="1852"/>
      <c r="SY11" s="1852"/>
      <c r="SZ11" s="1852"/>
      <c r="TA11" s="1852"/>
      <c r="TB11" s="1852"/>
      <c r="TC11" s="1852"/>
      <c r="TD11" s="1852"/>
      <c r="TE11" s="1852"/>
      <c r="TF11" s="1852"/>
      <c r="TG11" s="1852"/>
      <c r="TH11" s="1852"/>
      <c r="TI11" s="1852"/>
      <c r="TJ11" s="1852"/>
      <c r="TK11" s="1852"/>
      <c r="TL11" s="1852"/>
      <c r="TM11" s="1852"/>
      <c r="TN11" s="1852"/>
      <c r="TO11" s="1852"/>
      <c r="TP11" s="1852"/>
      <c r="TQ11" s="1852"/>
      <c r="TR11" s="1852"/>
      <c r="TS11" s="1852"/>
      <c r="TT11" s="1852"/>
      <c r="TU11" s="1852"/>
      <c r="TV11" s="1852"/>
      <c r="TW11" s="1852"/>
      <c r="TX11" s="1852"/>
      <c r="TY11" s="1852"/>
      <c r="TZ11" s="1852"/>
      <c r="UA11" s="1852"/>
      <c r="UB11" s="1852"/>
      <c r="UC11" s="1852"/>
      <c r="UD11" s="1852"/>
      <c r="UE11" s="1852"/>
      <c r="UF11" s="1852"/>
      <c r="UG11" s="1852"/>
      <c r="UH11" s="1852"/>
      <c r="UI11" s="1852"/>
      <c r="UJ11" s="1852"/>
      <c r="UK11" s="1852"/>
      <c r="UL11" s="1852"/>
      <c r="UM11" s="1852"/>
      <c r="UN11" s="1852"/>
      <c r="UO11" s="1852"/>
      <c r="UP11" s="1852"/>
      <c r="UQ11" s="1852"/>
      <c r="UR11" s="1852"/>
      <c r="US11" s="1852"/>
      <c r="UT11" s="1852"/>
      <c r="UU11" s="1852"/>
      <c r="UV11" s="1852"/>
      <c r="UW11" s="1852"/>
      <c r="UX11" s="1852"/>
      <c r="UY11" s="1852"/>
      <c r="UZ11" s="1852"/>
      <c r="VA11" s="1852"/>
      <c r="VB11" s="1852"/>
      <c r="VC11" s="1852"/>
      <c r="VD11" s="1852"/>
      <c r="VE11" s="1852"/>
      <c r="VF11" s="1852"/>
      <c r="VG11" s="1852"/>
      <c r="VH11" s="1852"/>
      <c r="VI11" s="1852"/>
      <c r="VJ11" s="1852"/>
      <c r="VK11" s="1852"/>
      <c r="VL11" s="1852"/>
      <c r="VM11" s="1852"/>
      <c r="VN11" s="1852"/>
      <c r="VO11" s="1852"/>
      <c r="VP11" s="1852"/>
      <c r="VQ11" s="1852"/>
      <c r="VR11" s="1852"/>
      <c r="VS11" s="1852"/>
      <c r="VT11" s="1852"/>
      <c r="VU11" s="1852"/>
      <c r="VV11" s="1852"/>
      <c r="VW11" s="1852"/>
      <c r="VX11" s="1852"/>
      <c r="VY11" s="1852"/>
      <c r="VZ11" s="1852"/>
      <c r="WA11" s="1852"/>
      <c r="WB11" s="1852"/>
      <c r="WC11" s="1852"/>
      <c r="WD11" s="1852"/>
      <c r="WE11" s="1852"/>
      <c r="WF11" s="1852"/>
      <c r="WG11" s="1852"/>
      <c r="WH11" s="1852"/>
      <c r="WI11" s="1852"/>
      <c r="WJ11" s="1852"/>
      <c r="WK11" s="1852"/>
      <c r="WL11" s="1852"/>
      <c r="WM11" s="1852"/>
      <c r="WN11" s="1852"/>
      <c r="WO11" s="1852"/>
      <c r="WP11" s="1852"/>
      <c r="WQ11" s="1852"/>
      <c r="WR11" s="1852"/>
      <c r="WS11" s="1852"/>
      <c r="WT11" s="1852"/>
      <c r="WU11" s="1852"/>
      <c r="WV11" s="1852"/>
      <c r="WW11" s="1852"/>
      <c r="WX11" s="1852"/>
      <c r="WY11" s="1852"/>
      <c r="WZ11" s="1852"/>
      <c r="XA11" s="1852"/>
      <c r="XB11" s="1852"/>
      <c r="XC11" s="1852"/>
      <c r="XD11" s="1852"/>
      <c r="XE11" s="1852"/>
      <c r="XF11" s="1852"/>
      <c r="XG11" s="1852"/>
      <c r="XH11" s="1852"/>
      <c r="XI11" s="1852"/>
      <c r="XJ11" s="1852"/>
      <c r="XK11" s="1852"/>
      <c r="XL11" s="1852"/>
      <c r="XM11" s="1852"/>
      <c r="XN11" s="1852"/>
      <c r="XO11" s="1852"/>
      <c r="XP11" s="1852"/>
      <c r="XQ11" s="1852"/>
      <c r="XR11" s="1852"/>
      <c r="XS11" s="1852"/>
      <c r="XT11" s="1852"/>
      <c r="XU11" s="1852"/>
      <c r="XV11" s="1852"/>
      <c r="XW11" s="1852"/>
      <c r="XX11" s="1852"/>
      <c r="XY11" s="1852"/>
      <c r="XZ11" s="1852"/>
      <c r="YA11" s="1852"/>
      <c r="YB11" s="1852"/>
      <c r="YC11" s="1852"/>
      <c r="YD11" s="1852"/>
      <c r="YE11" s="1852"/>
      <c r="YF11" s="1852"/>
      <c r="YG11" s="1852"/>
      <c r="YH11" s="1852"/>
      <c r="YI11" s="1852"/>
      <c r="YJ11" s="1852"/>
      <c r="YK11" s="1852"/>
      <c r="YL11" s="1852"/>
      <c r="YM11" s="1852"/>
      <c r="YN11" s="1852"/>
      <c r="YO11" s="1852"/>
      <c r="YP11" s="1852"/>
      <c r="YQ11" s="1852"/>
      <c r="YR11" s="1852"/>
      <c r="YS11" s="1852"/>
      <c r="YT11" s="1852"/>
      <c r="YU11" s="1852"/>
      <c r="YV11" s="1852"/>
      <c r="YW11" s="1852"/>
      <c r="YX11" s="1852"/>
      <c r="YY11" s="1852"/>
      <c r="YZ11" s="1852"/>
      <c r="ZA11" s="1852"/>
      <c r="ZB11" s="1852"/>
      <c r="ZC11" s="1852"/>
      <c r="ZD11" s="1852"/>
      <c r="ZE11" s="1852"/>
      <c r="ZF11" s="1852"/>
      <c r="ZG11" s="1852"/>
      <c r="ZH11" s="1852"/>
      <c r="ZI11" s="1852"/>
      <c r="ZJ11" s="1852"/>
      <c r="ZK11" s="1852"/>
      <c r="ZL11" s="1852"/>
      <c r="ZM11" s="1852"/>
      <c r="ZN11" s="1852"/>
      <c r="ZO11" s="1852"/>
      <c r="ZP11" s="1852"/>
      <c r="ZQ11" s="1852"/>
      <c r="ZR11" s="1852"/>
      <c r="ZS11" s="1852"/>
      <c r="ZT11" s="1852"/>
      <c r="ZU11" s="1852"/>
      <c r="ZV11" s="1852"/>
      <c r="ZW11" s="1852"/>
      <c r="ZX11" s="1852"/>
      <c r="ZY11" s="1852"/>
      <c r="ZZ11" s="1852"/>
      <c r="AAA11" s="1852"/>
      <c r="AAB11" s="1852"/>
      <c r="AAC11" s="1852"/>
      <c r="AAD11" s="1852"/>
      <c r="AAE11" s="1852"/>
      <c r="AAF11" s="1852"/>
      <c r="AAG11" s="1852"/>
      <c r="AAH11" s="1852"/>
      <c r="AAI11" s="1852"/>
      <c r="AAJ11" s="1852"/>
      <c r="AAK11" s="1852"/>
      <c r="AAL11" s="1852"/>
      <c r="AAM11" s="1852"/>
      <c r="AAN11" s="1852"/>
      <c r="AAO11" s="1852"/>
      <c r="AAP11" s="1852"/>
      <c r="AAQ11" s="1852"/>
      <c r="AAR11" s="1852"/>
      <c r="AAS11" s="1852"/>
      <c r="AAT11" s="1852"/>
      <c r="AAU11" s="1852"/>
      <c r="AAV11" s="1852"/>
      <c r="AAW11" s="1852"/>
      <c r="AAX11" s="1852"/>
      <c r="AAY11" s="1852"/>
      <c r="AAZ11" s="1852"/>
      <c r="ABA11" s="1852"/>
      <c r="ABB11" s="1852"/>
      <c r="ABC11" s="1852"/>
      <c r="ABD11" s="1852"/>
      <c r="ABE11" s="1852"/>
      <c r="ABF11" s="1852"/>
      <c r="ABG11" s="1852"/>
      <c r="ABH11" s="1852"/>
      <c r="ABI11" s="1852"/>
      <c r="ABJ11" s="1852"/>
      <c r="ABK11" s="1852"/>
      <c r="ABL11" s="1852"/>
      <c r="ABM11" s="1852"/>
      <c r="ABN11" s="1852"/>
      <c r="ABO11" s="1852"/>
      <c r="ABP11" s="1852"/>
      <c r="ABQ11" s="1852"/>
      <c r="ABR11" s="1852"/>
      <c r="ABS11" s="1852"/>
      <c r="ABT11" s="1852"/>
      <c r="ABU11" s="1852"/>
      <c r="ABV11" s="1852"/>
      <c r="ABW11" s="1852"/>
      <c r="ABX11" s="1852"/>
      <c r="ABY11" s="1852"/>
      <c r="ABZ11" s="1852"/>
      <c r="ACA11" s="1852"/>
      <c r="ACB11" s="1852"/>
      <c r="ACC11" s="1852"/>
      <c r="ACD11" s="1852"/>
      <c r="ACE11" s="1852"/>
      <c r="ACF11" s="1852"/>
      <c r="ACG11" s="1852"/>
      <c r="ACH11" s="1852"/>
      <c r="ACI11" s="1852"/>
      <c r="ACJ11" s="1852"/>
      <c r="ACK11" s="1852"/>
      <c r="ACL11" s="1852"/>
      <c r="ACM11" s="1852"/>
      <c r="ACN11" s="1852"/>
      <c r="ACO11" s="1852"/>
      <c r="ACP11" s="1852"/>
      <c r="ACQ11" s="1852"/>
      <c r="ACR11" s="1852"/>
      <c r="ACS11" s="1852"/>
      <c r="ACT11" s="1852"/>
      <c r="ACU11" s="1852"/>
      <c r="ACV11" s="1852"/>
      <c r="ACW11" s="1852"/>
      <c r="ACX11" s="1852"/>
      <c r="ACY11" s="1852"/>
      <c r="ACZ11" s="1852"/>
      <c r="ADA11" s="1852"/>
      <c r="ADB11" s="1852"/>
      <c r="ADC11" s="1852"/>
      <c r="ADD11" s="1852"/>
      <c r="ADE11" s="1852"/>
      <c r="ADF11" s="1852"/>
      <c r="ADG11" s="1852"/>
      <c r="ADH11" s="1852"/>
      <c r="ADI11" s="1852"/>
      <c r="ADJ11" s="1852"/>
      <c r="ADK11" s="1852"/>
      <c r="ADL11" s="1852"/>
      <c r="ADM11" s="1852"/>
      <c r="ADN11" s="1852"/>
      <c r="ADO11" s="1852"/>
      <c r="ADP11" s="1852"/>
      <c r="ADQ11" s="1852"/>
      <c r="ADR11" s="1852"/>
      <c r="ADS11" s="1852"/>
      <c r="ADT11" s="1852"/>
      <c r="ADU11" s="1852"/>
      <c r="ADV11" s="1852"/>
      <c r="ADW11" s="1852"/>
      <c r="ADX11" s="1852"/>
      <c r="ADY11" s="1852"/>
      <c r="ADZ11" s="1852"/>
      <c r="AEA11" s="1852"/>
      <c r="AEB11" s="1852"/>
      <c r="AEC11" s="1852"/>
      <c r="AED11" s="1852"/>
      <c r="AEE11" s="1852"/>
      <c r="AEF11" s="1852"/>
      <c r="AEG11" s="1852"/>
      <c r="AEH11" s="1852"/>
      <c r="AEI11" s="1852"/>
      <c r="AEJ11" s="1852"/>
      <c r="AEK11" s="1852"/>
      <c r="AEL11" s="1852"/>
      <c r="AEM11" s="1852"/>
      <c r="AEN11" s="1852"/>
      <c r="AEO11" s="1852"/>
      <c r="AEP11" s="1852"/>
      <c r="AEQ11" s="1852"/>
      <c r="AER11" s="1852"/>
      <c r="AES11" s="1852"/>
      <c r="AET11" s="1852"/>
      <c r="AEU11" s="1852"/>
      <c r="AEV11" s="1852"/>
      <c r="AEW11" s="1852"/>
      <c r="AEX11" s="1852"/>
      <c r="AEY11" s="1852"/>
      <c r="AEZ11" s="1852"/>
      <c r="AFA11" s="1852"/>
      <c r="AFB11" s="1852"/>
      <c r="AFC11" s="1852"/>
      <c r="AFD11" s="1852"/>
      <c r="AFE11" s="1852"/>
      <c r="AFF11" s="1852"/>
      <c r="AFG11" s="1852"/>
      <c r="AFH11" s="1852"/>
      <c r="AFI11" s="1852"/>
      <c r="AFJ11" s="1852"/>
      <c r="AFK11" s="1852"/>
      <c r="AFL11" s="1852"/>
      <c r="AFM11" s="1852"/>
      <c r="AFN11" s="1852"/>
      <c r="AFO11" s="1852"/>
      <c r="AFP11" s="1852"/>
      <c r="AFQ11" s="1852"/>
      <c r="AFR11" s="1852"/>
      <c r="AFS11" s="1852"/>
      <c r="AFT11" s="1852"/>
      <c r="AFU11" s="1852"/>
      <c r="AFV11" s="1852"/>
      <c r="AFW11" s="1852"/>
      <c r="AFX11" s="1852"/>
      <c r="AFY11" s="1852"/>
      <c r="AFZ11" s="1852"/>
      <c r="AGA11" s="1852"/>
      <c r="AGB11" s="1852"/>
      <c r="AGC11" s="1852"/>
      <c r="AGD11" s="1852"/>
      <c r="AGE11" s="1852"/>
      <c r="AGF11" s="1852"/>
      <c r="AGG11" s="1852"/>
      <c r="AGH11" s="1852"/>
      <c r="AGI11" s="1852"/>
      <c r="AGJ11" s="1852"/>
      <c r="AGK11" s="1852"/>
      <c r="AGL11" s="1852"/>
      <c r="AGM11" s="1852"/>
      <c r="AGN11" s="1852"/>
      <c r="AGO11" s="1852"/>
      <c r="AGP11" s="1852"/>
      <c r="AGQ11" s="1852"/>
      <c r="AGR11" s="1852"/>
      <c r="AGS11" s="1852"/>
      <c r="AGT11" s="1852"/>
      <c r="AGU11" s="1852"/>
      <c r="AGV11" s="1852"/>
      <c r="AGW11" s="1852"/>
      <c r="AGX11" s="1852"/>
      <c r="AGY11" s="1852"/>
      <c r="AGZ11" s="1852"/>
      <c r="AHA11" s="1852"/>
      <c r="AHB11" s="1852"/>
      <c r="AHC11" s="1852"/>
      <c r="AHD11" s="1852"/>
      <c r="AHE11" s="1852"/>
      <c r="AHF11" s="1852"/>
      <c r="AHG11" s="1852"/>
      <c r="AHH11" s="1852"/>
      <c r="AHI11" s="1852"/>
      <c r="AHJ11" s="1852"/>
      <c r="AHK11" s="1852"/>
      <c r="AHL11" s="1852"/>
      <c r="AHM11" s="1852"/>
      <c r="AHN11" s="1852"/>
      <c r="AHO11" s="1852"/>
      <c r="AHP11" s="1852"/>
      <c r="AHQ11" s="1852"/>
      <c r="AHR11" s="1852"/>
      <c r="AHS11" s="1852"/>
      <c r="AHT11" s="1852"/>
      <c r="AHU11" s="1852"/>
      <c r="AHV11" s="1852"/>
      <c r="AHW11" s="1852"/>
      <c r="AHX11" s="1852"/>
      <c r="AHY11" s="1852"/>
      <c r="AHZ11" s="1852"/>
      <c r="AIA11" s="1852"/>
      <c r="AIB11" s="1852"/>
      <c r="AIC11" s="1852"/>
      <c r="AID11" s="1852"/>
      <c r="AIE11" s="1852"/>
      <c r="AIF11" s="1852"/>
      <c r="AIG11" s="1852"/>
      <c r="AIH11" s="1852"/>
      <c r="AII11" s="1852"/>
      <c r="AIJ11" s="1852"/>
      <c r="AIK11" s="1852"/>
      <c r="AIL11" s="1852"/>
      <c r="AIM11" s="1852"/>
      <c r="AIN11" s="1852"/>
      <c r="AIO11" s="1852"/>
      <c r="AIP11" s="1852"/>
      <c r="AIQ11" s="1852"/>
      <c r="AIR11" s="1852"/>
      <c r="AIS11" s="1852"/>
      <c r="AIT11" s="1852"/>
      <c r="AIU11" s="1852"/>
      <c r="AIV11" s="1852"/>
      <c r="AIW11" s="1852"/>
      <c r="AIX11" s="1852"/>
      <c r="AIY11" s="1852"/>
      <c r="AIZ11" s="1852"/>
      <c r="AJA11" s="1852"/>
      <c r="AJB11" s="1852"/>
      <c r="AJC11" s="1852"/>
      <c r="AJD11" s="1852"/>
      <c r="AJE11" s="1852"/>
      <c r="AJF11" s="1852"/>
      <c r="AJG11" s="1852"/>
      <c r="AJH11" s="1852"/>
      <c r="AJI11" s="1852"/>
      <c r="AJJ11" s="1852"/>
      <c r="AJK11" s="1852"/>
      <c r="AJL11" s="1852"/>
      <c r="AJM11" s="1852"/>
      <c r="AJN11" s="1852"/>
      <c r="AJO11" s="1852"/>
      <c r="AJP11" s="1852"/>
      <c r="AJQ11" s="1852"/>
      <c r="AJR11" s="1852"/>
      <c r="AJS11" s="1852"/>
      <c r="AJT11" s="1852"/>
      <c r="AJU11" s="1852"/>
      <c r="AJV11" s="1852"/>
      <c r="AJW11" s="1852"/>
      <c r="AJX11" s="1852"/>
      <c r="AJY11" s="1852"/>
      <c r="AJZ11" s="1852"/>
      <c r="AKA11" s="1852"/>
      <c r="AKB11" s="1852"/>
      <c r="AKC11" s="1852"/>
      <c r="AKD11" s="1852"/>
      <c r="AKE11" s="1852"/>
      <c r="AKF11" s="1852"/>
      <c r="AKG11" s="1852"/>
      <c r="AKH11" s="1852"/>
      <c r="AKI11" s="1852"/>
      <c r="AKJ11" s="1852"/>
      <c r="AKK11" s="1852"/>
      <c r="AKL11" s="1852"/>
      <c r="AKM11" s="1852"/>
      <c r="AKN11" s="1852"/>
      <c r="AKO11" s="1852"/>
      <c r="AKP11" s="1852"/>
      <c r="AKQ11" s="1852"/>
      <c r="AKR11" s="1852"/>
      <c r="AKS11" s="1852"/>
      <c r="AKT11" s="1852"/>
      <c r="AKU11" s="1852"/>
      <c r="AKV11" s="1852"/>
      <c r="AKW11" s="1852"/>
      <c r="AKX11" s="1852"/>
      <c r="AKY11" s="1852"/>
      <c r="AKZ11" s="1852"/>
      <c r="ALA11" s="1852"/>
      <c r="ALB11" s="1852"/>
      <c r="ALC11" s="1852"/>
      <c r="ALD11" s="1852"/>
      <c r="ALE11" s="1852"/>
      <c r="ALF11" s="1852"/>
      <c r="ALG11" s="1852"/>
      <c r="ALH11" s="1852"/>
      <c r="ALI11" s="1852"/>
      <c r="ALJ11" s="1852"/>
      <c r="ALK11" s="1852"/>
      <c r="ALL11" s="1852"/>
      <c r="ALM11" s="1852"/>
      <c r="ALN11" s="1852"/>
      <c r="ALO11" s="1852"/>
      <c r="ALP11" s="1852"/>
      <c r="ALQ11" s="1852"/>
      <c r="ALR11" s="1852"/>
    </row>
    <row r="12" spans="1:1007" x14ac:dyDescent="0.3">
      <c r="A12" s="1854"/>
      <c r="B12" t="s">
        <v>1216</v>
      </c>
      <c r="C12" s="1853" t="s">
        <v>1218</v>
      </c>
      <c r="D12" s="1855">
        <f t="shared" si="0"/>
        <v>0</v>
      </c>
      <c r="E12" s="1855">
        <f t="shared" si="1"/>
        <v>0</v>
      </c>
      <c r="F12" s="1855">
        <f t="shared" si="2"/>
        <v>0</v>
      </c>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c r="AT12" s="1852"/>
      <c r="AU12" s="1852"/>
      <c r="AV12" s="1852"/>
      <c r="AW12" s="1852"/>
      <c r="AX12" s="1852"/>
      <c r="AY12" s="1852"/>
      <c r="AZ12" s="1852"/>
      <c r="BA12" s="1852"/>
      <c r="BB12" s="1852"/>
      <c r="BC12" s="1852"/>
      <c r="BD12" s="1852"/>
      <c r="BE12" s="1852"/>
      <c r="BF12" s="1852"/>
      <c r="BG12" s="1852"/>
      <c r="BH12" s="1852"/>
      <c r="BI12" s="1852"/>
      <c r="BJ12" s="1852"/>
      <c r="BK12" s="1852"/>
      <c r="BL12" s="1852"/>
      <c r="BM12" s="1852"/>
      <c r="BN12" s="1852"/>
      <c r="BO12" s="1852"/>
      <c r="BP12" s="1852"/>
      <c r="BQ12" s="1852"/>
      <c r="BR12" s="1852"/>
      <c r="BS12" s="1852"/>
      <c r="BT12" s="1852"/>
      <c r="BU12" s="1852"/>
      <c r="BV12" s="1852"/>
      <c r="BW12" s="1852"/>
      <c r="BX12" s="1852"/>
      <c r="BY12" s="1852"/>
      <c r="BZ12" s="1852"/>
      <c r="CA12" s="1852"/>
      <c r="CB12" s="1852"/>
      <c r="CC12" s="1852"/>
      <c r="CD12" s="1852"/>
      <c r="CE12" s="1852"/>
      <c r="CF12" s="1852"/>
      <c r="CG12" s="1852"/>
      <c r="CH12" s="1852"/>
      <c r="CI12" s="1852"/>
      <c r="CJ12" s="1852"/>
      <c r="CK12" s="1852"/>
      <c r="CL12" s="1852"/>
      <c r="CM12" s="1852"/>
      <c r="CN12" s="1852"/>
      <c r="CO12" s="1852"/>
      <c r="CP12" s="1852"/>
      <c r="CQ12" s="1852"/>
      <c r="CR12" s="1852"/>
      <c r="CS12" s="1852"/>
      <c r="CT12" s="1852"/>
      <c r="CU12" s="1852"/>
      <c r="CV12" s="1852"/>
      <c r="CW12" s="1852"/>
      <c r="CX12" s="1852"/>
      <c r="CY12" s="1852"/>
      <c r="CZ12" s="1852"/>
      <c r="DA12" s="1852"/>
      <c r="DB12" s="1852"/>
      <c r="DC12" s="1852"/>
      <c r="DD12" s="1852"/>
      <c r="DE12" s="1852"/>
      <c r="DF12" s="1852"/>
      <c r="DG12" s="1852"/>
      <c r="DH12" s="1852"/>
      <c r="DI12" s="1852"/>
      <c r="DJ12" s="1852"/>
      <c r="DK12" s="1852"/>
      <c r="DL12" s="1852"/>
      <c r="DM12" s="1852"/>
      <c r="DN12" s="1852"/>
      <c r="DO12" s="1852"/>
      <c r="DP12" s="1852"/>
      <c r="DQ12" s="1852"/>
      <c r="DR12" s="1852"/>
      <c r="DS12" s="1852"/>
      <c r="DT12" s="1852"/>
      <c r="DU12" s="1852"/>
      <c r="DV12" s="1852"/>
      <c r="DW12" s="1852"/>
      <c r="DX12" s="1852"/>
      <c r="DY12" s="1852"/>
      <c r="DZ12" s="1852"/>
      <c r="EA12" s="1852"/>
      <c r="EB12" s="1852"/>
      <c r="EC12" s="1852"/>
      <c r="ED12" s="1852"/>
      <c r="EE12" s="1852"/>
      <c r="EF12" s="1852"/>
      <c r="EG12" s="1852"/>
      <c r="EH12" s="1852"/>
      <c r="EI12" s="1852"/>
      <c r="EJ12" s="1852"/>
      <c r="EK12" s="1852"/>
      <c r="EL12" s="1852"/>
      <c r="EM12" s="1852"/>
      <c r="EN12" s="1852"/>
      <c r="EO12" s="1852"/>
      <c r="EP12" s="1852"/>
      <c r="EQ12" s="1852"/>
      <c r="ER12" s="1852"/>
      <c r="ES12" s="1852"/>
      <c r="ET12" s="1852"/>
      <c r="EU12" s="1852"/>
      <c r="EV12" s="1852"/>
      <c r="EW12" s="1852"/>
      <c r="EX12" s="1852"/>
      <c r="EY12" s="1852"/>
      <c r="EZ12" s="1852"/>
      <c r="FA12" s="1852"/>
      <c r="FB12" s="1852"/>
      <c r="FC12" s="1852"/>
      <c r="FD12" s="1852"/>
      <c r="FE12" s="1852"/>
      <c r="FF12" s="1852"/>
      <c r="FG12" s="1852"/>
      <c r="FH12" s="1852"/>
      <c r="FI12" s="1852"/>
      <c r="FJ12" s="1852"/>
      <c r="FK12" s="1852"/>
      <c r="FL12" s="1852"/>
      <c r="FM12" s="1852"/>
      <c r="FN12" s="1852"/>
      <c r="FO12" s="1852"/>
      <c r="FP12" s="1852"/>
      <c r="FQ12" s="1852"/>
      <c r="FR12" s="1852"/>
      <c r="FS12" s="1852"/>
      <c r="FT12" s="1852"/>
      <c r="FU12" s="1852"/>
      <c r="FV12" s="1852"/>
      <c r="FW12" s="1852"/>
      <c r="FX12" s="1852"/>
      <c r="FY12" s="1852"/>
      <c r="FZ12" s="1852"/>
      <c r="GA12" s="1852"/>
      <c r="GB12" s="1852"/>
      <c r="GC12" s="1852"/>
      <c r="GD12" s="1852"/>
      <c r="GE12" s="1852"/>
      <c r="GF12" s="1852"/>
      <c r="GG12" s="1852"/>
      <c r="GH12" s="1852"/>
      <c r="GI12" s="1852"/>
      <c r="GJ12" s="1852"/>
      <c r="GK12" s="1852"/>
      <c r="GL12" s="1852"/>
      <c r="GM12" s="1852"/>
      <c r="GN12" s="1852"/>
      <c r="GO12" s="1852"/>
      <c r="GP12" s="1852"/>
      <c r="GQ12" s="1852"/>
      <c r="GR12" s="1852"/>
      <c r="GS12" s="1852"/>
      <c r="GT12" s="1852"/>
      <c r="GU12" s="1852"/>
      <c r="GV12" s="1852"/>
      <c r="GW12" s="1852"/>
      <c r="GX12" s="1852"/>
      <c r="GY12" s="1852"/>
      <c r="GZ12" s="1852"/>
      <c r="HA12" s="1852"/>
      <c r="HB12" s="1852"/>
      <c r="HC12" s="1852"/>
      <c r="HD12" s="1852"/>
      <c r="HE12" s="1852"/>
      <c r="HF12" s="1852"/>
      <c r="HG12" s="1852"/>
      <c r="HH12" s="1852"/>
      <c r="HI12" s="1852"/>
      <c r="HJ12" s="1852"/>
      <c r="HK12" s="1852"/>
      <c r="HL12" s="1852"/>
      <c r="HM12" s="1852"/>
      <c r="HN12" s="1852"/>
      <c r="HO12" s="1852"/>
      <c r="HP12" s="1852"/>
      <c r="HQ12" s="1852"/>
      <c r="HR12" s="1852"/>
      <c r="HS12" s="1852"/>
      <c r="HT12" s="1852"/>
      <c r="HU12" s="1852"/>
      <c r="HV12" s="1852"/>
      <c r="HW12" s="1852"/>
      <c r="HX12" s="1852"/>
      <c r="HY12" s="1852"/>
      <c r="HZ12" s="1852"/>
      <c r="IA12" s="1852"/>
      <c r="IB12" s="1852"/>
      <c r="IC12" s="1852"/>
      <c r="ID12" s="1852"/>
      <c r="IE12" s="1852"/>
      <c r="IF12" s="1852"/>
      <c r="IG12" s="1852"/>
      <c r="IH12" s="1852"/>
      <c r="II12" s="1852"/>
      <c r="IJ12" s="1852"/>
      <c r="IK12" s="1852"/>
      <c r="IL12" s="1852"/>
      <c r="IM12" s="1852"/>
      <c r="IN12" s="1852"/>
      <c r="IO12" s="1852"/>
      <c r="IP12" s="1852"/>
      <c r="IQ12" s="1852"/>
      <c r="IR12" s="1852"/>
      <c r="IS12" s="1852"/>
      <c r="IT12" s="1852"/>
      <c r="IU12" s="1852"/>
      <c r="IV12" s="1852"/>
      <c r="IW12" s="1852"/>
      <c r="IX12" s="1852"/>
      <c r="IY12" s="1852"/>
      <c r="IZ12" s="1852"/>
      <c r="JA12" s="1852"/>
      <c r="JB12" s="1852"/>
      <c r="JC12" s="1852"/>
      <c r="JD12" s="1852"/>
      <c r="JE12" s="1852"/>
      <c r="JF12" s="1852"/>
      <c r="JG12" s="1852"/>
      <c r="JH12" s="1852"/>
      <c r="JI12" s="1852"/>
      <c r="JJ12" s="1852"/>
      <c r="JK12" s="1852"/>
      <c r="JL12" s="1852"/>
      <c r="JM12" s="1852"/>
      <c r="JN12" s="1852"/>
      <c r="JO12" s="1852"/>
      <c r="JP12" s="1852"/>
      <c r="JQ12" s="1852"/>
      <c r="JR12" s="1852"/>
      <c r="JS12" s="1852"/>
      <c r="JT12" s="1852"/>
      <c r="JU12" s="1852"/>
      <c r="JV12" s="1852"/>
      <c r="JW12" s="1852"/>
      <c r="JX12" s="1852"/>
      <c r="JY12" s="1852"/>
      <c r="JZ12" s="1852"/>
      <c r="KA12" s="1852"/>
      <c r="KB12" s="1852"/>
      <c r="KC12" s="1852"/>
      <c r="KD12" s="1852"/>
      <c r="KE12" s="1852"/>
      <c r="KF12" s="1852"/>
      <c r="KG12" s="1852"/>
      <c r="KH12" s="1852"/>
      <c r="KI12" s="1852"/>
      <c r="KJ12" s="1852"/>
      <c r="KK12" s="1852"/>
      <c r="KL12" s="1852"/>
      <c r="KM12" s="1852"/>
      <c r="KN12" s="1852"/>
      <c r="KO12" s="1852"/>
      <c r="KP12" s="1852"/>
      <c r="KQ12" s="1852"/>
      <c r="KR12" s="1852"/>
      <c r="KS12" s="1852"/>
      <c r="KT12" s="1852"/>
      <c r="KU12" s="1852"/>
      <c r="KV12" s="1852"/>
      <c r="KW12" s="1852"/>
      <c r="KX12" s="1852"/>
      <c r="KY12" s="1852"/>
      <c r="KZ12" s="1852"/>
      <c r="LA12" s="1852"/>
      <c r="LB12" s="1852"/>
      <c r="LC12" s="1852"/>
      <c r="LD12" s="1852"/>
      <c r="LE12" s="1852"/>
      <c r="LF12" s="1852"/>
      <c r="LG12" s="1852"/>
      <c r="LH12" s="1852"/>
      <c r="LI12" s="1852"/>
      <c r="LJ12" s="1852"/>
      <c r="LK12" s="1852"/>
      <c r="LL12" s="1852"/>
      <c r="LM12" s="1852"/>
      <c r="LN12" s="1852"/>
      <c r="LO12" s="1852"/>
      <c r="LP12" s="1852"/>
      <c r="LQ12" s="1852"/>
      <c r="LR12" s="1852"/>
      <c r="LS12" s="1852"/>
      <c r="LT12" s="1852"/>
      <c r="LU12" s="1852"/>
      <c r="LV12" s="1852"/>
      <c r="LW12" s="1852"/>
      <c r="LX12" s="1852"/>
      <c r="LY12" s="1852"/>
      <c r="LZ12" s="1852"/>
      <c r="MA12" s="1852"/>
      <c r="MB12" s="1852"/>
      <c r="MC12" s="1852"/>
      <c r="MD12" s="1852"/>
      <c r="ME12" s="1852"/>
      <c r="MF12" s="1852"/>
      <c r="MG12" s="1852"/>
      <c r="MH12" s="1852"/>
      <c r="MI12" s="1852"/>
      <c r="MJ12" s="1852"/>
      <c r="MK12" s="1852"/>
      <c r="ML12" s="1852"/>
      <c r="MM12" s="1852"/>
      <c r="MN12" s="1852"/>
      <c r="MO12" s="1852"/>
      <c r="MP12" s="1852"/>
      <c r="MQ12" s="1852"/>
      <c r="MR12" s="1852"/>
      <c r="MS12" s="1852"/>
      <c r="MT12" s="1852"/>
      <c r="MU12" s="1852"/>
      <c r="MV12" s="1852"/>
      <c r="MW12" s="1852"/>
      <c r="MX12" s="1852"/>
      <c r="MY12" s="1852"/>
      <c r="MZ12" s="1852"/>
      <c r="NA12" s="1852"/>
      <c r="NB12" s="1852"/>
      <c r="NC12" s="1852"/>
      <c r="ND12" s="1852"/>
      <c r="NE12" s="1852"/>
      <c r="NF12" s="1852"/>
      <c r="NG12" s="1852"/>
      <c r="NH12" s="1852"/>
      <c r="NI12" s="1852"/>
      <c r="NJ12" s="1852"/>
      <c r="NK12" s="1852"/>
      <c r="NL12" s="1852"/>
      <c r="NM12" s="1852"/>
      <c r="NN12" s="1852"/>
      <c r="NO12" s="1852"/>
      <c r="NP12" s="1852"/>
      <c r="NQ12" s="1852"/>
      <c r="NR12" s="1852"/>
      <c r="NS12" s="1852"/>
      <c r="NT12" s="1852"/>
      <c r="NU12" s="1852"/>
      <c r="NV12" s="1852"/>
      <c r="NW12" s="1852"/>
      <c r="NX12" s="1852"/>
      <c r="NY12" s="1852"/>
      <c r="NZ12" s="1852"/>
      <c r="OA12" s="1852"/>
      <c r="OB12" s="1852"/>
      <c r="OC12" s="1852"/>
      <c r="OD12" s="1852"/>
      <c r="OE12" s="1852"/>
      <c r="OF12" s="1852"/>
      <c r="OG12" s="1852"/>
      <c r="OH12" s="1852"/>
      <c r="OI12" s="1852"/>
      <c r="OJ12" s="1852"/>
      <c r="OK12" s="1852"/>
      <c r="OL12" s="1852"/>
      <c r="OM12" s="1852"/>
      <c r="ON12" s="1852"/>
      <c r="OO12" s="1852"/>
      <c r="OP12" s="1852"/>
      <c r="OQ12" s="1852"/>
      <c r="OR12" s="1852"/>
      <c r="OS12" s="1852"/>
      <c r="OT12" s="1852"/>
      <c r="OU12" s="1852"/>
      <c r="OV12" s="1852"/>
      <c r="OW12" s="1852"/>
      <c r="OX12" s="1852"/>
      <c r="OY12" s="1852"/>
      <c r="OZ12" s="1852"/>
      <c r="PA12" s="1852"/>
      <c r="PB12" s="1852"/>
      <c r="PC12" s="1852"/>
      <c r="PD12" s="1852"/>
      <c r="PE12" s="1852"/>
      <c r="PF12" s="1852"/>
      <c r="PG12" s="1852"/>
      <c r="PH12" s="1852"/>
      <c r="PI12" s="1852"/>
      <c r="PJ12" s="1852"/>
      <c r="PK12" s="1852"/>
      <c r="PL12" s="1852"/>
      <c r="PM12" s="1852"/>
      <c r="PN12" s="1852"/>
      <c r="PO12" s="1852"/>
      <c r="PP12" s="1852"/>
      <c r="PQ12" s="1852"/>
      <c r="PR12" s="1852"/>
      <c r="PS12" s="1852"/>
      <c r="PT12" s="1852"/>
      <c r="PU12" s="1852"/>
      <c r="PV12" s="1852"/>
      <c r="PW12" s="1852"/>
      <c r="PX12" s="1852"/>
      <c r="PY12" s="1852"/>
      <c r="PZ12" s="1852"/>
      <c r="QA12" s="1852"/>
      <c r="QB12" s="1852"/>
      <c r="QC12" s="1852"/>
      <c r="QD12" s="1852"/>
      <c r="QE12" s="1852"/>
      <c r="QF12" s="1852"/>
      <c r="QG12" s="1852"/>
      <c r="QH12" s="1852"/>
      <c r="QI12" s="1852"/>
      <c r="QJ12" s="1852"/>
      <c r="QK12" s="1852"/>
      <c r="QL12" s="1852"/>
      <c r="QM12" s="1852"/>
      <c r="QN12" s="1852"/>
      <c r="QO12" s="1852"/>
      <c r="QP12" s="1852"/>
      <c r="QQ12" s="1852"/>
      <c r="QR12" s="1852"/>
      <c r="QS12" s="1852"/>
      <c r="QT12" s="1852"/>
      <c r="QU12" s="1852"/>
      <c r="QV12" s="1852"/>
      <c r="QW12" s="1852"/>
      <c r="QX12" s="1852"/>
      <c r="QY12" s="1852"/>
      <c r="QZ12" s="1852"/>
      <c r="RA12" s="1852"/>
      <c r="RB12" s="1852"/>
      <c r="RC12" s="1852"/>
      <c r="RD12" s="1852"/>
      <c r="RE12" s="1852"/>
      <c r="RF12" s="1852"/>
      <c r="RG12" s="1852"/>
      <c r="RH12" s="1852"/>
      <c r="RI12" s="1852"/>
      <c r="RJ12" s="1852"/>
      <c r="RK12" s="1852"/>
      <c r="RL12" s="1852"/>
      <c r="RM12" s="1852"/>
      <c r="RN12" s="1852"/>
      <c r="RO12" s="1852"/>
      <c r="RP12" s="1852"/>
      <c r="RQ12" s="1852"/>
      <c r="RR12" s="1852"/>
      <c r="RS12" s="1852"/>
      <c r="RT12" s="1852"/>
      <c r="RU12" s="1852"/>
      <c r="RV12" s="1852"/>
      <c r="RW12" s="1852"/>
      <c r="RX12" s="1852"/>
      <c r="RY12" s="1852"/>
      <c r="RZ12" s="1852"/>
      <c r="SA12" s="1852"/>
      <c r="SB12" s="1852"/>
      <c r="SC12" s="1852"/>
      <c r="SD12" s="1852"/>
      <c r="SE12" s="1852"/>
      <c r="SF12" s="1852"/>
      <c r="SG12" s="1852"/>
      <c r="SH12" s="1852"/>
      <c r="SI12" s="1852"/>
      <c r="SJ12" s="1852"/>
      <c r="SK12" s="1852"/>
      <c r="SL12" s="1852"/>
      <c r="SM12" s="1852"/>
      <c r="SN12" s="1852"/>
      <c r="SO12" s="1852"/>
      <c r="SP12" s="1852"/>
      <c r="SQ12" s="1852"/>
      <c r="SR12" s="1852"/>
      <c r="SS12" s="1852"/>
      <c r="ST12" s="1852"/>
      <c r="SU12" s="1852"/>
      <c r="SV12" s="1852"/>
      <c r="SW12" s="1852"/>
      <c r="SX12" s="1852"/>
      <c r="SY12" s="1852"/>
      <c r="SZ12" s="1852"/>
      <c r="TA12" s="1852"/>
      <c r="TB12" s="1852"/>
      <c r="TC12" s="1852"/>
      <c r="TD12" s="1852"/>
      <c r="TE12" s="1852"/>
      <c r="TF12" s="1852"/>
      <c r="TG12" s="1852"/>
      <c r="TH12" s="1852"/>
      <c r="TI12" s="1852"/>
      <c r="TJ12" s="1852"/>
      <c r="TK12" s="1852"/>
      <c r="TL12" s="1852"/>
      <c r="TM12" s="1852"/>
      <c r="TN12" s="1852"/>
      <c r="TO12" s="1852"/>
      <c r="TP12" s="1852"/>
      <c r="TQ12" s="1852"/>
      <c r="TR12" s="1852"/>
      <c r="TS12" s="1852"/>
      <c r="TT12" s="1852"/>
      <c r="TU12" s="1852"/>
      <c r="TV12" s="1852"/>
      <c r="TW12" s="1852"/>
      <c r="TX12" s="1852"/>
      <c r="TY12" s="1852"/>
      <c r="TZ12" s="1852"/>
      <c r="UA12" s="1852"/>
      <c r="UB12" s="1852"/>
      <c r="UC12" s="1852"/>
      <c r="UD12" s="1852"/>
      <c r="UE12" s="1852"/>
      <c r="UF12" s="1852"/>
      <c r="UG12" s="1852"/>
      <c r="UH12" s="1852"/>
      <c r="UI12" s="1852"/>
      <c r="UJ12" s="1852"/>
      <c r="UK12" s="1852"/>
      <c r="UL12" s="1852"/>
      <c r="UM12" s="1852"/>
      <c r="UN12" s="1852"/>
      <c r="UO12" s="1852"/>
      <c r="UP12" s="1852"/>
      <c r="UQ12" s="1852"/>
      <c r="UR12" s="1852"/>
      <c r="US12" s="1852"/>
      <c r="UT12" s="1852"/>
      <c r="UU12" s="1852"/>
      <c r="UV12" s="1852"/>
      <c r="UW12" s="1852"/>
      <c r="UX12" s="1852"/>
      <c r="UY12" s="1852"/>
      <c r="UZ12" s="1852"/>
      <c r="VA12" s="1852"/>
      <c r="VB12" s="1852"/>
      <c r="VC12" s="1852"/>
      <c r="VD12" s="1852"/>
      <c r="VE12" s="1852"/>
      <c r="VF12" s="1852"/>
      <c r="VG12" s="1852"/>
      <c r="VH12" s="1852"/>
      <c r="VI12" s="1852"/>
      <c r="VJ12" s="1852"/>
      <c r="VK12" s="1852"/>
      <c r="VL12" s="1852"/>
      <c r="VM12" s="1852"/>
      <c r="VN12" s="1852"/>
      <c r="VO12" s="1852"/>
      <c r="VP12" s="1852"/>
      <c r="VQ12" s="1852"/>
      <c r="VR12" s="1852"/>
      <c r="VS12" s="1852"/>
      <c r="VT12" s="1852"/>
      <c r="VU12" s="1852"/>
      <c r="VV12" s="1852"/>
      <c r="VW12" s="1852"/>
      <c r="VX12" s="1852"/>
      <c r="VY12" s="1852"/>
      <c r="VZ12" s="1852"/>
      <c r="WA12" s="1852"/>
      <c r="WB12" s="1852"/>
      <c r="WC12" s="1852"/>
      <c r="WD12" s="1852"/>
      <c r="WE12" s="1852"/>
      <c r="WF12" s="1852"/>
      <c r="WG12" s="1852"/>
      <c r="WH12" s="1852"/>
      <c r="WI12" s="1852"/>
      <c r="WJ12" s="1852"/>
      <c r="WK12" s="1852"/>
      <c r="WL12" s="1852"/>
      <c r="WM12" s="1852"/>
      <c r="WN12" s="1852"/>
      <c r="WO12" s="1852"/>
      <c r="WP12" s="1852"/>
      <c r="WQ12" s="1852"/>
      <c r="WR12" s="1852"/>
      <c r="WS12" s="1852"/>
      <c r="WT12" s="1852"/>
      <c r="WU12" s="1852"/>
      <c r="WV12" s="1852"/>
      <c r="WW12" s="1852"/>
      <c r="WX12" s="1852"/>
      <c r="WY12" s="1852"/>
      <c r="WZ12" s="1852"/>
      <c r="XA12" s="1852"/>
      <c r="XB12" s="1852"/>
      <c r="XC12" s="1852"/>
      <c r="XD12" s="1852"/>
      <c r="XE12" s="1852"/>
      <c r="XF12" s="1852"/>
      <c r="XG12" s="1852"/>
      <c r="XH12" s="1852"/>
      <c r="XI12" s="1852"/>
      <c r="XJ12" s="1852"/>
      <c r="XK12" s="1852"/>
      <c r="XL12" s="1852"/>
      <c r="XM12" s="1852"/>
      <c r="XN12" s="1852"/>
      <c r="XO12" s="1852"/>
      <c r="XP12" s="1852"/>
      <c r="XQ12" s="1852"/>
      <c r="XR12" s="1852"/>
      <c r="XS12" s="1852"/>
      <c r="XT12" s="1852"/>
      <c r="XU12" s="1852"/>
      <c r="XV12" s="1852"/>
      <c r="XW12" s="1852"/>
      <c r="XX12" s="1852"/>
      <c r="XY12" s="1852"/>
      <c r="XZ12" s="1852"/>
      <c r="YA12" s="1852"/>
      <c r="YB12" s="1852"/>
      <c r="YC12" s="1852"/>
      <c r="YD12" s="1852"/>
      <c r="YE12" s="1852"/>
      <c r="YF12" s="1852"/>
      <c r="YG12" s="1852"/>
      <c r="YH12" s="1852"/>
      <c r="YI12" s="1852"/>
      <c r="YJ12" s="1852"/>
      <c r="YK12" s="1852"/>
      <c r="YL12" s="1852"/>
      <c r="YM12" s="1852"/>
      <c r="YN12" s="1852"/>
      <c r="YO12" s="1852"/>
      <c r="YP12" s="1852"/>
      <c r="YQ12" s="1852"/>
      <c r="YR12" s="1852"/>
      <c r="YS12" s="1852"/>
      <c r="YT12" s="1852"/>
      <c r="YU12" s="1852"/>
      <c r="YV12" s="1852"/>
      <c r="YW12" s="1852"/>
      <c r="YX12" s="1852"/>
      <c r="YY12" s="1852"/>
      <c r="YZ12" s="1852"/>
      <c r="ZA12" s="1852"/>
      <c r="ZB12" s="1852"/>
      <c r="ZC12" s="1852"/>
      <c r="ZD12" s="1852"/>
      <c r="ZE12" s="1852"/>
      <c r="ZF12" s="1852"/>
      <c r="ZG12" s="1852"/>
      <c r="ZH12" s="1852"/>
      <c r="ZI12" s="1852"/>
      <c r="ZJ12" s="1852"/>
      <c r="ZK12" s="1852"/>
      <c r="ZL12" s="1852"/>
      <c r="ZM12" s="1852"/>
      <c r="ZN12" s="1852"/>
      <c r="ZO12" s="1852"/>
      <c r="ZP12" s="1852"/>
      <c r="ZQ12" s="1852"/>
      <c r="ZR12" s="1852"/>
      <c r="ZS12" s="1852"/>
      <c r="ZT12" s="1852"/>
      <c r="ZU12" s="1852"/>
      <c r="ZV12" s="1852"/>
      <c r="ZW12" s="1852"/>
      <c r="ZX12" s="1852"/>
      <c r="ZY12" s="1852"/>
      <c r="ZZ12" s="1852"/>
      <c r="AAA12" s="1852"/>
      <c r="AAB12" s="1852"/>
      <c r="AAC12" s="1852"/>
      <c r="AAD12" s="1852"/>
      <c r="AAE12" s="1852"/>
      <c r="AAF12" s="1852"/>
      <c r="AAG12" s="1852"/>
      <c r="AAH12" s="1852"/>
      <c r="AAI12" s="1852"/>
      <c r="AAJ12" s="1852"/>
      <c r="AAK12" s="1852"/>
      <c r="AAL12" s="1852"/>
      <c r="AAM12" s="1852"/>
      <c r="AAN12" s="1852"/>
      <c r="AAO12" s="1852"/>
      <c r="AAP12" s="1852"/>
      <c r="AAQ12" s="1852"/>
      <c r="AAR12" s="1852"/>
      <c r="AAS12" s="1852"/>
      <c r="AAT12" s="1852"/>
      <c r="AAU12" s="1852"/>
      <c r="AAV12" s="1852"/>
      <c r="AAW12" s="1852"/>
      <c r="AAX12" s="1852"/>
      <c r="AAY12" s="1852"/>
      <c r="AAZ12" s="1852"/>
      <c r="ABA12" s="1852"/>
      <c r="ABB12" s="1852"/>
      <c r="ABC12" s="1852"/>
      <c r="ABD12" s="1852"/>
      <c r="ABE12" s="1852"/>
      <c r="ABF12" s="1852"/>
      <c r="ABG12" s="1852"/>
      <c r="ABH12" s="1852"/>
      <c r="ABI12" s="1852"/>
      <c r="ABJ12" s="1852"/>
      <c r="ABK12" s="1852"/>
      <c r="ABL12" s="1852"/>
      <c r="ABM12" s="1852"/>
      <c r="ABN12" s="1852"/>
      <c r="ABO12" s="1852"/>
      <c r="ABP12" s="1852"/>
      <c r="ABQ12" s="1852"/>
      <c r="ABR12" s="1852"/>
      <c r="ABS12" s="1852"/>
      <c r="ABT12" s="1852"/>
      <c r="ABU12" s="1852"/>
      <c r="ABV12" s="1852"/>
      <c r="ABW12" s="1852"/>
      <c r="ABX12" s="1852"/>
      <c r="ABY12" s="1852"/>
      <c r="ABZ12" s="1852"/>
      <c r="ACA12" s="1852"/>
      <c r="ACB12" s="1852"/>
      <c r="ACC12" s="1852"/>
      <c r="ACD12" s="1852"/>
      <c r="ACE12" s="1852"/>
      <c r="ACF12" s="1852"/>
      <c r="ACG12" s="1852"/>
      <c r="ACH12" s="1852"/>
      <c r="ACI12" s="1852"/>
      <c r="ACJ12" s="1852"/>
      <c r="ACK12" s="1852"/>
      <c r="ACL12" s="1852"/>
      <c r="ACM12" s="1852"/>
      <c r="ACN12" s="1852"/>
      <c r="ACO12" s="1852"/>
      <c r="ACP12" s="1852"/>
      <c r="ACQ12" s="1852"/>
      <c r="ACR12" s="1852"/>
      <c r="ACS12" s="1852"/>
      <c r="ACT12" s="1852"/>
      <c r="ACU12" s="1852"/>
      <c r="ACV12" s="1852"/>
      <c r="ACW12" s="1852"/>
      <c r="ACX12" s="1852"/>
      <c r="ACY12" s="1852"/>
      <c r="ACZ12" s="1852"/>
      <c r="ADA12" s="1852"/>
      <c r="ADB12" s="1852"/>
      <c r="ADC12" s="1852"/>
      <c r="ADD12" s="1852"/>
      <c r="ADE12" s="1852"/>
      <c r="ADF12" s="1852"/>
      <c r="ADG12" s="1852"/>
      <c r="ADH12" s="1852"/>
      <c r="ADI12" s="1852"/>
      <c r="ADJ12" s="1852"/>
      <c r="ADK12" s="1852"/>
      <c r="ADL12" s="1852"/>
      <c r="ADM12" s="1852"/>
      <c r="ADN12" s="1852"/>
      <c r="ADO12" s="1852"/>
      <c r="ADP12" s="1852"/>
      <c r="ADQ12" s="1852"/>
      <c r="ADR12" s="1852"/>
      <c r="ADS12" s="1852"/>
      <c r="ADT12" s="1852"/>
      <c r="ADU12" s="1852"/>
      <c r="ADV12" s="1852"/>
      <c r="ADW12" s="1852"/>
      <c r="ADX12" s="1852"/>
      <c r="ADY12" s="1852"/>
      <c r="ADZ12" s="1852"/>
      <c r="AEA12" s="1852"/>
      <c r="AEB12" s="1852"/>
      <c r="AEC12" s="1852"/>
      <c r="AED12" s="1852"/>
      <c r="AEE12" s="1852"/>
      <c r="AEF12" s="1852"/>
      <c r="AEG12" s="1852"/>
      <c r="AEH12" s="1852"/>
      <c r="AEI12" s="1852"/>
      <c r="AEJ12" s="1852"/>
      <c r="AEK12" s="1852"/>
      <c r="AEL12" s="1852"/>
      <c r="AEM12" s="1852"/>
      <c r="AEN12" s="1852"/>
      <c r="AEO12" s="1852"/>
      <c r="AEP12" s="1852"/>
      <c r="AEQ12" s="1852"/>
      <c r="AER12" s="1852"/>
      <c r="AES12" s="1852"/>
      <c r="AET12" s="1852"/>
      <c r="AEU12" s="1852"/>
      <c r="AEV12" s="1852"/>
      <c r="AEW12" s="1852"/>
      <c r="AEX12" s="1852"/>
      <c r="AEY12" s="1852"/>
      <c r="AEZ12" s="1852"/>
      <c r="AFA12" s="1852"/>
      <c r="AFB12" s="1852"/>
      <c r="AFC12" s="1852"/>
      <c r="AFD12" s="1852"/>
      <c r="AFE12" s="1852"/>
      <c r="AFF12" s="1852"/>
      <c r="AFG12" s="1852"/>
      <c r="AFH12" s="1852"/>
      <c r="AFI12" s="1852"/>
      <c r="AFJ12" s="1852"/>
      <c r="AFK12" s="1852"/>
      <c r="AFL12" s="1852"/>
      <c r="AFM12" s="1852"/>
      <c r="AFN12" s="1852"/>
      <c r="AFO12" s="1852"/>
      <c r="AFP12" s="1852"/>
      <c r="AFQ12" s="1852"/>
      <c r="AFR12" s="1852"/>
      <c r="AFS12" s="1852"/>
      <c r="AFT12" s="1852"/>
      <c r="AFU12" s="1852"/>
      <c r="AFV12" s="1852"/>
      <c r="AFW12" s="1852"/>
      <c r="AFX12" s="1852"/>
      <c r="AFY12" s="1852"/>
      <c r="AFZ12" s="1852"/>
      <c r="AGA12" s="1852"/>
      <c r="AGB12" s="1852"/>
      <c r="AGC12" s="1852"/>
      <c r="AGD12" s="1852"/>
      <c r="AGE12" s="1852"/>
      <c r="AGF12" s="1852"/>
      <c r="AGG12" s="1852"/>
      <c r="AGH12" s="1852"/>
      <c r="AGI12" s="1852"/>
      <c r="AGJ12" s="1852"/>
      <c r="AGK12" s="1852"/>
      <c r="AGL12" s="1852"/>
      <c r="AGM12" s="1852"/>
      <c r="AGN12" s="1852"/>
      <c r="AGO12" s="1852"/>
      <c r="AGP12" s="1852"/>
      <c r="AGQ12" s="1852"/>
      <c r="AGR12" s="1852"/>
      <c r="AGS12" s="1852"/>
      <c r="AGT12" s="1852"/>
      <c r="AGU12" s="1852"/>
      <c r="AGV12" s="1852"/>
      <c r="AGW12" s="1852"/>
      <c r="AGX12" s="1852"/>
      <c r="AGY12" s="1852"/>
      <c r="AGZ12" s="1852"/>
      <c r="AHA12" s="1852"/>
      <c r="AHB12" s="1852"/>
      <c r="AHC12" s="1852"/>
      <c r="AHD12" s="1852"/>
      <c r="AHE12" s="1852"/>
      <c r="AHF12" s="1852"/>
      <c r="AHG12" s="1852"/>
      <c r="AHH12" s="1852"/>
      <c r="AHI12" s="1852"/>
      <c r="AHJ12" s="1852"/>
      <c r="AHK12" s="1852"/>
      <c r="AHL12" s="1852"/>
      <c r="AHM12" s="1852"/>
      <c r="AHN12" s="1852"/>
      <c r="AHO12" s="1852"/>
      <c r="AHP12" s="1852"/>
      <c r="AHQ12" s="1852"/>
      <c r="AHR12" s="1852"/>
      <c r="AHS12" s="1852"/>
      <c r="AHT12" s="1852"/>
      <c r="AHU12" s="1852"/>
      <c r="AHV12" s="1852"/>
      <c r="AHW12" s="1852"/>
      <c r="AHX12" s="1852"/>
      <c r="AHY12" s="1852"/>
      <c r="AHZ12" s="1852"/>
      <c r="AIA12" s="1852"/>
      <c r="AIB12" s="1852"/>
      <c r="AIC12" s="1852"/>
      <c r="AID12" s="1852"/>
      <c r="AIE12" s="1852"/>
      <c r="AIF12" s="1852"/>
      <c r="AIG12" s="1852"/>
      <c r="AIH12" s="1852"/>
      <c r="AII12" s="1852"/>
      <c r="AIJ12" s="1852"/>
      <c r="AIK12" s="1852"/>
      <c r="AIL12" s="1852"/>
      <c r="AIM12" s="1852"/>
      <c r="AIN12" s="1852"/>
      <c r="AIO12" s="1852"/>
      <c r="AIP12" s="1852"/>
      <c r="AIQ12" s="1852"/>
      <c r="AIR12" s="1852"/>
      <c r="AIS12" s="1852"/>
      <c r="AIT12" s="1852"/>
      <c r="AIU12" s="1852"/>
      <c r="AIV12" s="1852"/>
      <c r="AIW12" s="1852"/>
      <c r="AIX12" s="1852"/>
      <c r="AIY12" s="1852"/>
      <c r="AIZ12" s="1852"/>
      <c r="AJA12" s="1852"/>
      <c r="AJB12" s="1852"/>
      <c r="AJC12" s="1852"/>
      <c r="AJD12" s="1852"/>
      <c r="AJE12" s="1852"/>
      <c r="AJF12" s="1852"/>
      <c r="AJG12" s="1852"/>
      <c r="AJH12" s="1852"/>
      <c r="AJI12" s="1852"/>
      <c r="AJJ12" s="1852"/>
      <c r="AJK12" s="1852"/>
      <c r="AJL12" s="1852"/>
      <c r="AJM12" s="1852"/>
      <c r="AJN12" s="1852"/>
      <c r="AJO12" s="1852"/>
      <c r="AJP12" s="1852"/>
      <c r="AJQ12" s="1852"/>
      <c r="AJR12" s="1852"/>
      <c r="AJS12" s="1852"/>
      <c r="AJT12" s="1852"/>
      <c r="AJU12" s="1852"/>
      <c r="AJV12" s="1852"/>
      <c r="AJW12" s="1852"/>
      <c r="AJX12" s="1852"/>
      <c r="AJY12" s="1852"/>
      <c r="AJZ12" s="1852"/>
      <c r="AKA12" s="1852"/>
      <c r="AKB12" s="1852"/>
      <c r="AKC12" s="1852"/>
      <c r="AKD12" s="1852"/>
      <c r="AKE12" s="1852"/>
      <c r="AKF12" s="1852"/>
      <c r="AKG12" s="1852"/>
      <c r="AKH12" s="1852"/>
      <c r="AKI12" s="1852"/>
      <c r="AKJ12" s="1852"/>
      <c r="AKK12" s="1852"/>
      <c r="AKL12" s="1852"/>
      <c r="AKM12" s="1852"/>
      <c r="AKN12" s="1852"/>
      <c r="AKO12" s="1852"/>
      <c r="AKP12" s="1852"/>
      <c r="AKQ12" s="1852"/>
      <c r="AKR12" s="1852"/>
      <c r="AKS12" s="1852"/>
      <c r="AKT12" s="1852"/>
      <c r="AKU12" s="1852"/>
      <c r="AKV12" s="1852"/>
      <c r="AKW12" s="1852"/>
      <c r="AKX12" s="1852"/>
      <c r="AKY12" s="1852"/>
      <c r="AKZ12" s="1852"/>
      <c r="ALA12" s="1852"/>
      <c r="ALB12" s="1852"/>
      <c r="ALC12" s="1852"/>
      <c r="ALD12" s="1852"/>
      <c r="ALE12" s="1852"/>
      <c r="ALF12" s="1852"/>
      <c r="ALG12" s="1852"/>
      <c r="ALH12" s="1852"/>
      <c r="ALI12" s="1852"/>
      <c r="ALJ12" s="1852"/>
      <c r="ALK12" s="1852"/>
      <c r="ALL12" s="1852"/>
      <c r="ALM12" s="1852"/>
      <c r="ALN12" s="1852"/>
      <c r="ALO12" s="1852"/>
      <c r="ALP12" s="1852"/>
      <c r="ALQ12" s="1852"/>
      <c r="ALR12" s="1852"/>
    </row>
    <row r="13" spans="1:1007" x14ac:dyDescent="0.3">
      <c r="A13" s="1854"/>
      <c r="B13" t="s">
        <v>1216</v>
      </c>
      <c r="C13" s="1853" t="s">
        <v>1218</v>
      </c>
      <c r="D13" s="1855">
        <f t="shared" si="0"/>
        <v>0</v>
      </c>
      <c r="E13" s="1855">
        <f t="shared" si="1"/>
        <v>0</v>
      </c>
      <c r="F13" s="1855">
        <f t="shared" si="2"/>
        <v>0</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c r="AT13" s="1852"/>
      <c r="AU13" s="1852"/>
      <c r="AV13" s="1852"/>
      <c r="AW13" s="1852"/>
      <c r="AX13" s="1852"/>
      <c r="AY13" s="1852"/>
      <c r="AZ13" s="1852"/>
      <c r="BA13" s="1852"/>
      <c r="BB13" s="1852"/>
      <c r="BC13" s="1852"/>
      <c r="BD13" s="1852"/>
      <c r="BE13" s="1852"/>
      <c r="BF13" s="1852"/>
      <c r="BG13" s="1852"/>
      <c r="BH13" s="1852"/>
      <c r="BI13" s="1852"/>
      <c r="BJ13" s="1852"/>
      <c r="BK13" s="1852"/>
      <c r="BL13" s="1852"/>
      <c r="BM13" s="1852"/>
      <c r="BN13" s="1852"/>
      <c r="BO13" s="1852"/>
      <c r="BP13" s="1852"/>
      <c r="BQ13" s="1852"/>
      <c r="BR13" s="1852"/>
      <c r="BS13" s="1852"/>
      <c r="BT13" s="1852"/>
      <c r="BU13" s="1852"/>
      <c r="BV13" s="1852"/>
      <c r="BW13" s="1852"/>
      <c r="BX13" s="1852"/>
      <c r="BY13" s="1852"/>
      <c r="BZ13" s="1852"/>
      <c r="CA13" s="1852"/>
      <c r="CB13" s="1852"/>
      <c r="CC13" s="1852"/>
      <c r="CD13" s="1852"/>
      <c r="CE13" s="1852"/>
      <c r="CF13" s="1852"/>
      <c r="CG13" s="1852"/>
      <c r="CH13" s="1852"/>
      <c r="CI13" s="1852"/>
      <c r="CJ13" s="1852"/>
      <c r="CK13" s="1852"/>
      <c r="CL13" s="1852"/>
      <c r="CM13" s="1852"/>
      <c r="CN13" s="1852"/>
      <c r="CO13" s="1852"/>
      <c r="CP13" s="1852"/>
      <c r="CQ13" s="1852"/>
      <c r="CR13" s="1852"/>
      <c r="CS13" s="1852"/>
      <c r="CT13" s="1852"/>
      <c r="CU13" s="1852"/>
      <c r="CV13" s="1852"/>
      <c r="CW13" s="1852"/>
      <c r="CX13" s="1852"/>
      <c r="CY13" s="1852"/>
      <c r="CZ13" s="1852"/>
      <c r="DA13" s="1852"/>
      <c r="DB13" s="1852"/>
      <c r="DC13" s="1852"/>
      <c r="DD13" s="1852"/>
      <c r="DE13" s="1852"/>
      <c r="DF13" s="1852"/>
      <c r="DG13" s="1852"/>
      <c r="DH13" s="1852"/>
      <c r="DI13" s="1852"/>
      <c r="DJ13" s="1852"/>
      <c r="DK13" s="1852"/>
      <c r="DL13" s="1852"/>
      <c r="DM13" s="1852"/>
      <c r="DN13" s="1852"/>
      <c r="DO13" s="1852"/>
      <c r="DP13" s="1852"/>
      <c r="DQ13" s="1852"/>
      <c r="DR13" s="1852"/>
      <c r="DS13" s="1852"/>
      <c r="DT13" s="1852"/>
      <c r="DU13" s="1852"/>
      <c r="DV13" s="1852"/>
      <c r="DW13" s="1852"/>
      <c r="DX13" s="1852"/>
      <c r="DY13" s="1852"/>
      <c r="DZ13" s="1852"/>
      <c r="EA13" s="1852"/>
      <c r="EB13" s="1852"/>
      <c r="EC13" s="1852"/>
      <c r="ED13" s="1852"/>
      <c r="EE13" s="1852"/>
      <c r="EF13" s="1852"/>
      <c r="EG13" s="1852"/>
      <c r="EH13" s="1852"/>
      <c r="EI13" s="1852"/>
      <c r="EJ13" s="1852"/>
      <c r="EK13" s="1852"/>
      <c r="EL13" s="1852"/>
      <c r="EM13" s="1852"/>
      <c r="EN13" s="1852"/>
      <c r="EO13" s="1852"/>
      <c r="EP13" s="1852"/>
      <c r="EQ13" s="1852"/>
      <c r="ER13" s="1852"/>
      <c r="ES13" s="1852"/>
      <c r="ET13" s="1852"/>
      <c r="EU13" s="1852"/>
      <c r="EV13" s="1852"/>
      <c r="EW13" s="1852"/>
      <c r="EX13" s="1852"/>
      <c r="EY13" s="1852"/>
      <c r="EZ13" s="1852"/>
      <c r="FA13" s="1852"/>
      <c r="FB13" s="1852"/>
      <c r="FC13" s="1852"/>
      <c r="FD13" s="1852"/>
      <c r="FE13" s="1852"/>
      <c r="FF13" s="1852"/>
      <c r="FG13" s="1852"/>
      <c r="FH13" s="1852"/>
      <c r="FI13" s="1852"/>
      <c r="FJ13" s="1852"/>
      <c r="FK13" s="1852"/>
      <c r="FL13" s="1852"/>
      <c r="FM13" s="1852"/>
      <c r="FN13" s="1852"/>
      <c r="FO13" s="1852"/>
      <c r="FP13" s="1852"/>
      <c r="FQ13" s="1852"/>
      <c r="FR13" s="1852"/>
      <c r="FS13" s="1852"/>
      <c r="FT13" s="1852"/>
      <c r="FU13" s="1852"/>
      <c r="FV13" s="1852"/>
      <c r="FW13" s="1852"/>
      <c r="FX13" s="1852"/>
      <c r="FY13" s="1852"/>
      <c r="FZ13" s="1852"/>
      <c r="GA13" s="1852"/>
      <c r="GB13" s="1852"/>
      <c r="GC13" s="1852"/>
      <c r="GD13" s="1852"/>
      <c r="GE13" s="1852"/>
      <c r="GF13" s="1852"/>
      <c r="GG13" s="1852"/>
      <c r="GH13" s="1852"/>
      <c r="GI13" s="1852"/>
      <c r="GJ13" s="1852"/>
      <c r="GK13" s="1852"/>
      <c r="GL13" s="1852"/>
      <c r="GM13" s="1852"/>
      <c r="GN13" s="1852"/>
      <c r="GO13" s="1852"/>
      <c r="GP13" s="1852"/>
      <c r="GQ13" s="1852"/>
      <c r="GR13" s="1852"/>
      <c r="GS13" s="1852"/>
      <c r="GT13" s="1852"/>
      <c r="GU13" s="1852"/>
      <c r="GV13" s="1852"/>
      <c r="GW13" s="1852"/>
      <c r="GX13" s="1852"/>
      <c r="GY13" s="1852"/>
      <c r="GZ13" s="1852"/>
      <c r="HA13" s="1852"/>
      <c r="HB13" s="1852"/>
      <c r="HC13" s="1852"/>
      <c r="HD13" s="1852"/>
      <c r="HE13" s="1852"/>
      <c r="HF13" s="1852"/>
      <c r="HG13" s="1852"/>
      <c r="HH13" s="1852"/>
      <c r="HI13" s="1852"/>
      <c r="HJ13" s="1852"/>
      <c r="HK13" s="1852"/>
      <c r="HL13" s="1852"/>
      <c r="HM13" s="1852"/>
      <c r="HN13" s="1852"/>
      <c r="HO13" s="1852"/>
      <c r="HP13" s="1852"/>
      <c r="HQ13" s="1852"/>
      <c r="HR13" s="1852"/>
      <c r="HS13" s="1852"/>
      <c r="HT13" s="1852"/>
      <c r="HU13" s="1852"/>
      <c r="HV13" s="1852"/>
      <c r="HW13" s="1852"/>
      <c r="HX13" s="1852"/>
      <c r="HY13" s="1852"/>
      <c r="HZ13" s="1852"/>
      <c r="IA13" s="1852"/>
      <c r="IB13" s="1852"/>
      <c r="IC13" s="1852"/>
      <c r="ID13" s="1852"/>
      <c r="IE13" s="1852"/>
      <c r="IF13" s="1852"/>
      <c r="IG13" s="1852"/>
      <c r="IH13" s="1852"/>
      <c r="II13" s="1852"/>
      <c r="IJ13" s="1852"/>
      <c r="IK13" s="1852"/>
      <c r="IL13" s="1852"/>
      <c r="IM13" s="1852"/>
      <c r="IN13" s="1852"/>
      <c r="IO13" s="1852"/>
      <c r="IP13" s="1852"/>
      <c r="IQ13" s="1852"/>
      <c r="IR13" s="1852"/>
      <c r="IS13" s="1852"/>
      <c r="IT13" s="1852"/>
      <c r="IU13" s="1852"/>
      <c r="IV13" s="1852"/>
      <c r="IW13" s="1852"/>
      <c r="IX13" s="1852"/>
      <c r="IY13" s="1852"/>
      <c r="IZ13" s="1852"/>
      <c r="JA13" s="1852"/>
      <c r="JB13" s="1852"/>
      <c r="JC13" s="1852"/>
      <c r="JD13" s="1852"/>
      <c r="JE13" s="1852"/>
      <c r="JF13" s="1852"/>
      <c r="JG13" s="1852"/>
      <c r="JH13" s="1852"/>
      <c r="JI13" s="1852"/>
      <c r="JJ13" s="1852"/>
      <c r="JK13" s="1852"/>
      <c r="JL13" s="1852"/>
      <c r="JM13" s="1852"/>
      <c r="JN13" s="1852"/>
      <c r="JO13" s="1852"/>
      <c r="JP13" s="1852"/>
      <c r="JQ13" s="1852"/>
      <c r="JR13" s="1852"/>
      <c r="JS13" s="1852"/>
      <c r="JT13" s="1852"/>
      <c r="JU13" s="1852"/>
      <c r="JV13" s="1852"/>
      <c r="JW13" s="1852"/>
      <c r="JX13" s="1852"/>
      <c r="JY13" s="1852"/>
      <c r="JZ13" s="1852"/>
      <c r="KA13" s="1852"/>
      <c r="KB13" s="1852"/>
      <c r="KC13" s="1852"/>
      <c r="KD13" s="1852"/>
      <c r="KE13" s="1852"/>
      <c r="KF13" s="1852"/>
      <c r="KG13" s="1852"/>
      <c r="KH13" s="1852"/>
      <c r="KI13" s="1852"/>
      <c r="KJ13" s="1852"/>
      <c r="KK13" s="1852"/>
      <c r="KL13" s="1852"/>
      <c r="KM13" s="1852"/>
      <c r="KN13" s="1852"/>
      <c r="KO13" s="1852"/>
      <c r="KP13" s="1852"/>
      <c r="KQ13" s="1852"/>
      <c r="KR13" s="1852"/>
      <c r="KS13" s="1852"/>
      <c r="KT13" s="1852"/>
      <c r="KU13" s="1852"/>
      <c r="KV13" s="1852"/>
      <c r="KW13" s="1852"/>
      <c r="KX13" s="1852"/>
      <c r="KY13" s="1852"/>
      <c r="KZ13" s="1852"/>
      <c r="LA13" s="1852"/>
      <c r="LB13" s="1852"/>
      <c r="LC13" s="1852"/>
      <c r="LD13" s="1852"/>
      <c r="LE13" s="1852"/>
      <c r="LF13" s="1852"/>
      <c r="LG13" s="1852"/>
      <c r="LH13" s="1852"/>
      <c r="LI13" s="1852"/>
      <c r="LJ13" s="1852"/>
      <c r="LK13" s="1852"/>
      <c r="LL13" s="1852"/>
      <c r="LM13" s="1852"/>
      <c r="LN13" s="1852"/>
      <c r="LO13" s="1852"/>
      <c r="LP13" s="1852"/>
      <c r="LQ13" s="1852"/>
      <c r="LR13" s="1852"/>
      <c r="LS13" s="1852"/>
      <c r="LT13" s="1852"/>
      <c r="LU13" s="1852"/>
      <c r="LV13" s="1852"/>
      <c r="LW13" s="1852"/>
      <c r="LX13" s="1852"/>
      <c r="LY13" s="1852"/>
      <c r="LZ13" s="1852"/>
      <c r="MA13" s="1852"/>
      <c r="MB13" s="1852"/>
      <c r="MC13" s="1852"/>
      <c r="MD13" s="1852"/>
      <c r="ME13" s="1852"/>
      <c r="MF13" s="1852"/>
      <c r="MG13" s="1852"/>
      <c r="MH13" s="1852"/>
      <c r="MI13" s="1852"/>
      <c r="MJ13" s="1852"/>
      <c r="MK13" s="1852"/>
      <c r="ML13" s="1852"/>
      <c r="MM13" s="1852"/>
      <c r="MN13" s="1852"/>
      <c r="MO13" s="1852"/>
      <c r="MP13" s="1852"/>
      <c r="MQ13" s="1852"/>
      <c r="MR13" s="1852"/>
      <c r="MS13" s="1852"/>
      <c r="MT13" s="1852"/>
      <c r="MU13" s="1852"/>
      <c r="MV13" s="1852"/>
      <c r="MW13" s="1852"/>
      <c r="MX13" s="1852"/>
      <c r="MY13" s="1852"/>
      <c r="MZ13" s="1852"/>
      <c r="NA13" s="1852"/>
      <c r="NB13" s="1852"/>
      <c r="NC13" s="1852"/>
      <c r="ND13" s="1852"/>
      <c r="NE13" s="1852"/>
      <c r="NF13" s="1852"/>
      <c r="NG13" s="1852"/>
      <c r="NH13" s="1852"/>
      <c r="NI13" s="1852"/>
      <c r="NJ13" s="1852"/>
      <c r="NK13" s="1852"/>
      <c r="NL13" s="1852"/>
      <c r="NM13" s="1852"/>
      <c r="NN13" s="1852"/>
      <c r="NO13" s="1852"/>
      <c r="NP13" s="1852"/>
      <c r="NQ13" s="1852"/>
      <c r="NR13" s="1852"/>
      <c r="NS13" s="1852"/>
      <c r="NT13" s="1852"/>
      <c r="NU13" s="1852"/>
      <c r="NV13" s="1852"/>
      <c r="NW13" s="1852"/>
      <c r="NX13" s="1852"/>
      <c r="NY13" s="1852"/>
      <c r="NZ13" s="1852"/>
      <c r="OA13" s="1852"/>
      <c r="OB13" s="1852"/>
      <c r="OC13" s="1852"/>
      <c r="OD13" s="1852"/>
      <c r="OE13" s="1852"/>
      <c r="OF13" s="1852"/>
      <c r="OG13" s="1852"/>
      <c r="OH13" s="1852"/>
      <c r="OI13" s="1852"/>
      <c r="OJ13" s="1852"/>
      <c r="OK13" s="1852"/>
      <c r="OL13" s="1852"/>
      <c r="OM13" s="1852"/>
      <c r="ON13" s="1852"/>
      <c r="OO13" s="1852"/>
      <c r="OP13" s="1852"/>
      <c r="OQ13" s="1852"/>
      <c r="OR13" s="1852"/>
      <c r="OS13" s="1852"/>
      <c r="OT13" s="1852"/>
      <c r="OU13" s="1852"/>
      <c r="OV13" s="1852"/>
      <c r="OW13" s="1852"/>
      <c r="OX13" s="1852"/>
      <c r="OY13" s="1852"/>
      <c r="OZ13" s="1852"/>
      <c r="PA13" s="1852"/>
      <c r="PB13" s="1852"/>
      <c r="PC13" s="1852"/>
      <c r="PD13" s="1852"/>
      <c r="PE13" s="1852"/>
      <c r="PF13" s="1852"/>
      <c r="PG13" s="1852"/>
      <c r="PH13" s="1852"/>
      <c r="PI13" s="1852"/>
      <c r="PJ13" s="1852"/>
      <c r="PK13" s="1852"/>
      <c r="PL13" s="1852"/>
      <c r="PM13" s="1852"/>
      <c r="PN13" s="1852"/>
      <c r="PO13" s="1852"/>
      <c r="PP13" s="1852"/>
      <c r="PQ13" s="1852"/>
      <c r="PR13" s="1852"/>
      <c r="PS13" s="1852"/>
      <c r="PT13" s="1852"/>
      <c r="PU13" s="1852"/>
      <c r="PV13" s="1852"/>
      <c r="PW13" s="1852"/>
      <c r="PX13" s="1852"/>
      <c r="PY13" s="1852"/>
      <c r="PZ13" s="1852"/>
      <c r="QA13" s="1852"/>
      <c r="QB13" s="1852"/>
      <c r="QC13" s="1852"/>
      <c r="QD13" s="1852"/>
      <c r="QE13" s="1852"/>
      <c r="QF13" s="1852"/>
      <c r="QG13" s="1852"/>
      <c r="QH13" s="1852"/>
      <c r="QI13" s="1852"/>
      <c r="QJ13" s="1852"/>
      <c r="QK13" s="1852"/>
      <c r="QL13" s="1852"/>
      <c r="QM13" s="1852"/>
      <c r="QN13" s="1852"/>
      <c r="QO13" s="1852"/>
      <c r="QP13" s="1852"/>
      <c r="QQ13" s="1852"/>
      <c r="QR13" s="1852"/>
      <c r="QS13" s="1852"/>
      <c r="QT13" s="1852"/>
      <c r="QU13" s="1852"/>
      <c r="QV13" s="1852"/>
      <c r="QW13" s="1852"/>
      <c r="QX13" s="1852"/>
      <c r="QY13" s="1852"/>
      <c r="QZ13" s="1852"/>
      <c r="RA13" s="1852"/>
      <c r="RB13" s="1852"/>
      <c r="RC13" s="1852"/>
      <c r="RD13" s="1852"/>
      <c r="RE13" s="1852"/>
      <c r="RF13" s="1852"/>
      <c r="RG13" s="1852"/>
      <c r="RH13" s="1852"/>
      <c r="RI13" s="1852"/>
      <c r="RJ13" s="1852"/>
      <c r="RK13" s="1852"/>
      <c r="RL13" s="1852"/>
      <c r="RM13" s="1852"/>
      <c r="RN13" s="1852"/>
      <c r="RO13" s="1852"/>
      <c r="RP13" s="1852"/>
      <c r="RQ13" s="1852"/>
      <c r="RR13" s="1852"/>
      <c r="RS13" s="1852"/>
      <c r="RT13" s="1852"/>
      <c r="RU13" s="1852"/>
      <c r="RV13" s="1852"/>
      <c r="RW13" s="1852"/>
      <c r="RX13" s="1852"/>
      <c r="RY13" s="1852"/>
      <c r="RZ13" s="1852"/>
      <c r="SA13" s="1852"/>
      <c r="SB13" s="1852"/>
      <c r="SC13" s="1852"/>
      <c r="SD13" s="1852"/>
      <c r="SE13" s="1852"/>
      <c r="SF13" s="1852"/>
      <c r="SG13" s="1852"/>
      <c r="SH13" s="1852"/>
      <c r="SI13" s="1852"/>
      <c r="SJ13" s="1852"/>
      <c r="SK13" s="1852"/>
      <c r="SL13" s="1852"/>
      <c r="SM13" s="1852"/>
      <c r="SN13" s="1852"/>
      <c r="SO13" s="1852"/>
      <c r="SP13" s="1852"/>
      <c r="SQ13" s="1852"/>
      <c r="SR13" s="1852"/>
      <c r="SS13" s="1852"/>
      <c r="ST13" s="1852"/>
      <c r="SU13" s="1852"/>
      <c r="SV13" s="1852"/>
      <c r="SW13" s="1852"/>
      <c r="SX13" s="1852"/>
      <c r="SY13" s="1852"/>
      <c r="SZ13" s="1852"/>
      <c r="TA13" s="1852"/>
      <c r="TB13" s="1852"/>
      <c r="TC13" s="1852"/>
      <c r="TD13" s="1852"/>
      <c r="TE13" s="1852"/>
      <c r="TF13" s="1852"/>
      <c r="TG13" s="1852"/>
      <c r="TH13" s="1852"/>
      <c r="TI13" s="1852"/>
      <c r="TJ13" s="1852"/>
      <c r="TK13" s="1852"/>
      <c r="TL13" s="1852"/>
      <c r="TM13" s="1852"/>
      <c r="TN13" s="1852"/>
      <c r="TO13" s="1852"/>
      <c r="TP13" s="1852"/>
      <c r="TQ13" s="1852"/>
      <c r="TR13" s="1852"/>
      <c r="TS13" s="1852"/>
      <c r="TT13" s="1852"/>
      <c r="TU13" s="1852"/>
      <c r="TV13" s="1852"/>
      <c r="TW13" s="1852"/>
      <c r="TX13" s="1852"/>
      <c r="TY13" s="1852"/>
      <c r="TZ13" s="1852"/>
      <c r="UA13" s="1852"/>
      <c r="UB13" s="1852"/>
      <c r="UC13" s="1852"/>
      <c r="UD13" s="1852"/>
      <c r="UE13" s="1852"/>
      <c r="UF13" s="1852"/>
      <c r="UG13" s="1852"/>
      <c r="UH13" s="1852"/>
      <c r="UI13" s="1852"/>
      <c r="UJ13" s="1852"/>
      <c r="UK13" s="1852"/>
      <c r="UL13" s="1852"/>
      <c r="UM13" s="1852"/>
      <c r="UN13" s="1852"/>
      <c r="UO13" s="1852"/>
      <c r="UP13" s="1852"/>
      <c r="UQ13" s="1852"/>
      <c r="UR13" s="1852"/>
      <c r="US13" s="1852"/>
      <c r="UT13" s="1852"/>
      <c r="UU13" s="1852"/>
      <c r="UV13" s="1852"/>
      <c r="UW13" s="1852"/>
      <c r="UX13" s="1852"/>
      <c r="UY13" s="1852"/>
      <c r="UZ13" s="1852"/>
      <c r="VA13" s="1852"/>
      <c r="VB13" s="1852"/>
      <c r="VC13" s="1852"/>
      <c r="VD13" s="1852"/>
      <c r="VE13" s="1852"/>
      <c r="VF13" s="1852"/>
      <c r="VG13" s="1852"/>
      <c r="VH13" s="1852"/>
      <c r="VI13" s="1852"/>
      <c r="VJ13" s="1852"/>
      <c r="VK13" s="1852"/>
      <c r="VL13" s="1852"/>
      <c r="VM13" s="1852"/>
      <c r="VN13" s="1852"/>
      <c r="VO13" s="1852"/>
      <c r="VP13" s="1852"/>
      <c r="VQ13" s="1852"/>
      <c r="VR13" s="1852"/>
      <c r="VS13" s="1852"/>
      <c r="VT13" s="1852"/>
      <c r="VU13" s="1852"/>
      <c r="VV13" s="1852"/>
      <c r="VW13" s="1852"/>
      <c r="VX13" s="1852"/>
      <c r="VY13" s="1852"/>
      <c r="VZ13" s="1852"/>
      <c r="WA13" s="1852"/>
      <c r="WB13" s="1852"/>
      <c r="WC13" s="1852"/>
      <c r="WD13" s="1852"/>
      <c r="WE13" s="1852"/>
      <c r="WF13" s="1852"/>
      <c r="WG13" s="1852"/>
      <c r="WH13" s="1852"/>
      <c r="WI13" s="1852"/>
      <c r="WJ13" s="1852"/>
      <c r="WK13" s="1852"/>
      <c r="WL13" s="1852"/>
      <c r="WM13" s="1852"/>
      <c r="WN13" s="1852"/>
      <c r="WO13" s="1852"/>
      <c r="WP13" s="1852"/>
      <c r="WQ13" s="1852"/>
      <c r="WR13" s="1852"/>
      <c r="WS13" s="1852"/>
      <c r="WT13" s="1852"/>
      <c r="WU13" s="1852"/>
      <c r="WV13" s="1852"/>
      <c r="WW13" s="1852"/>
      <c r="WX13" s="1852"/>
      <c r="WY13" s="1852"/>
      <c r="WZ13" s="1852"/>
      <c r="XA13" s="1852"/>
      <c r="XB13" s="1852"/>
      <c r="XC13" s="1852"/>
      <c r="XD13" s="1852"/>
      <c r="XE13" s="1852"/>
      <c r="XF13" s="1852"/>
      <c r="XG13" s="1852"/>
      <c r="XH13" s="1852"/>
      <c r="XI13" s="1852"/>
      <c r="XJ13" s="1852"/>
      <c r="XK13" s="1852"/>
      <c r="XL13" s="1852"/>
      <c r="XM13" s="1852"/>
      <c r="XN13" s="1852"/>
      <c r="XO13" s="1852"/>
      <c r="XP13" s="1852"/>
      <c r="XQ13" s="1852"/>
      <c r="XR13" s="1852"/>
      <c r="XS13" s="1852"/>
      <c r="XT13" s="1852"/>
      <c r="XU13" s="1852"/>
      <c r="XV13" s="1852"/>
      <c r="XW13" s="1852"/>
      <c r="XX13" s="1852"/>
      <c r="XY13" s="1852"/>
      <c r="XZ13" s="1852"/>
      <c r="YA13" s="1852"/>
      <c r="YB13" s="1852"/>
      <c r="YC13" s="1852"/>
      <c r="YD13" s="1852"/>
      <c r="YE13" s="1852"/>
      <c r="YF13" s="1852"/>
      <c r="YG13" s="1852"/>
      <c r="YH13" s="1852"/>
      <c r="YI13" s="1852"/>
      <c r="YJ13" s="1852"/>
      <c r="YK13" s="1852"/>
      <c r="YL13" s="1852"/>
      <c r="YM13" s="1852"/>
      <c r="YN13" s="1852"/>
      <c r="YO13" s="1852"/>
      <c r="YP13" s="1852"/>
      <c r="YQ13" s="1852"/>
      <c r="YR13" s="1852"/>
      <c r="YS13" s="1852"/>
      <c r="YT13" s="1852"/>
      <c r="YU13" s="1852"/>
      <c r="YV13" s="1852"/>
      <c r="YW13" s="1852"/>
      <c r="YX13" s="1852"/>
      <c r="YY13" s="1852"/>
      <c r="YZ13" s="1852"/>
      <c r="ZA13" s="1852"/>
      <c r="ZB13" s="1852"/>
      <c r="ZC13" s="1852"/>
      <c r="ZD13" s="1852"/>
      <c r="ZE13" s="1852"/>
      <c r="ZF13" s="1852"/>
      <c r="ZG13" s="1852"/>
      <c r="ZH13" s="1852"/>
      <c r="ZI13" s="1852"/>
      <c r="ZJ13" s="1852"/>
      <c r="ZK13" s="1852"/>
      <c r="ZL13" s="1852"/>
      <c r="ZM13" s="1852"/>
      <c r="ZN13" s="1852"/>
      <c r="ZO13" s="1852"/>
      <c r="ZP13" s="1852"/>
      <c r="ZQ13" s="1852"/>
      <c r="ZR13" s="1852"/>
      <c r="ZS13" s="1852"/>
      <c r="ZT13" s="1852"/>
      <c r="ZU13" s="1852"/>
      <c r="ZV13" s="1852"/>
      <c r="ZW13" s="1852"/>
      <c r="ZX13" s="1852"/>
      <c r="ZY13" s="1852"/>
      <c r="ZZ13" s="1852"/>
      <c r="AAA13" s="1852"/>
      <c r="AAB13" s="1852"/>
      <c r="AAC13" s="1852"/>
      <c r="AAD13" s="1852"/>
      <c r="AAE13" s="1852"/>
      <c r="AAF13" s="1852"/>
      <c r="AAG13" s="1852"/>
      <c r="AAH13" s="1852"/>
      <c r="AAI13" s="1852"/>
      <c r="AAJ13" s="1852"/>
      <c r="AAK13" s="1852"/>
      <c r="AAL13" s="1852"/>
      <c r="AAM13" s="1852"/>
      <c r="AAN13" s="1852"/>
      <c r="AAO13" s="1852"/>
      <c r="AAP13" s="1852"/>
      <c r="AAQ13" s="1852"/>
      <c r="AAR13" s="1852"/>
      <c r="AAS13" s="1852"/>
      <c r="AAT13" s="1852"/>
      <c r="AAU13" s="1852"/>
      <c r="AAV13" s="1852"/>
      <c r="AAW13" s="1852"/>
      <c r="AAX13" s="1852"/>
      <c r="AAY13" s="1852"/>
      <c r="AAZ13" s="1852"/>
      <c r="ABA13" s="1852"/>
      <c r="ABB13" s="1852"/>
      <c r="ABC13" s="1852"/>
      <c r="ABD13" s="1852"/>
      <c r="ABE13" s="1852"/>
      <c r="ABF13" s="1852"/>
      <c r="ABG13" s="1852"/>
      <c r="ABH13" s="1852"/>
      <c r="ABI13" s="1852"/>
      <c r="ABJ13" s="1852"/>
      <c r="ABK13" s="1852"/>
      <c r="ABL13" s="1852"/>
      <c r="ABM13" s="1852"/>
      <c r="ABN13" s="1852"/>
      <c r="ABO13" s="1852"/>
      <c r="ABP13" s="1852"/>
      <c r="ABQ13" s="1852"/>
      <c r="ABR13" s="1852"/>
      <c r="ABS13" s="1852"/>
      <c r="ABT13" s="1852"/>
      <c r="ABU13" s="1852"/>
      <c r="ABV13" s="1852"/>
      <c r="ABW13" s="1852"/>
      <c r="ABX13" s="1852"/>
      <c r="ABY13" s="1852"/>
      <c r="ABZ13" s="1852"/>
      <c r="ACA13" s="1852"/>
      <c r="ACB13" s="1852"/>
      <c r="ACC13" s="1852"/>
      <c r="ACD13" s="1852"/>
      <c r="ACE13" s="1852"/>
      <c r="ACF13" s="1852"/>
      <c r="ACG13" s="1852"/>
      <c r="ACH13" s="1852"/>
      <c r="ACI13" s="1852"/>
      <c r="ACJ13" s="1852"/>
      <c r="ACK13" s="1852"/>
      <c r="ACL13" s="1852"/>
      <c r="ACM13" s="1852"/>
      <c r="ACN13" s="1852"/>
      <c r="ACO13" s="1852"/>
      <c r="ACP13" s="1852"/>
      <c r="ACQ13" s="1852"/>
      <c r="ACR13" s="1852"/>
      <c r="ACS13" s="1852"/>
      <c r="ACT13" s="1852"/>
      <c r="ACU13" s="1852"/>
      <c r="ACV13" s="1852"/>
      <c r="ACW13" s="1852"/>
      <c r="ACX13" s="1852"/>
      <c r="ACY13" s="1852"/>
      <c r="ACZ13" s="1852"/>
      <c r="ADA13" s="1852"/>
      <c r="ADB13" s="1852"/>
      <c r="ADC13" s="1852"/>
      <c r="ADD13" s="1852"/>
      <c r="ADE13" s="1852"/>
      <c r="ADF13" s="1852"/>
      <c r="ADG13" s="1852"/>
      <c r="ADH13" s="1852"/>
      <c r="ADI13" s="1852"/>
      <c r="ADJ13" s="1852"/>
      <c r="ADK13" s="1852"/>
      <c r="ADL13" s="1852"/>
      <c r="ADM13" s="1852"/>
      <c r="ADN13" s="1852"/>
      <c r="ADO13" s="1852"/>
      <c r="ADP13" s="1852"/>
      <c r="ADQ13" s="1852"/>
      <c r="ADR13" s="1852"/>
      <c r="ADS13" s="1852"/>
      <c r="ADT13" s="1852"/>
      <c r="ADU13" s="1852"/>
      <c r="ADV13" s="1852"/>
      <c r="ADW13" s="1852"/>
      <c r="ADX13" s="1852"/>
      <c r="ADY13" s="1852"/>
      <c r="ADZ13" s="1852"/>
      <c r="AEA13" s="1852"/>
      <c r="AEB13" s="1852"/>
      <c r="AEC13" s="1852"/>
      <c r="AED13" s="1852"/>
      <c r="AEE13" s="1852"/>
      <c r="AEF13" s="1852"/>
      <c r="AEG13" s="1852"/>
      <c r="AEH13" s="1852"/>
      <c r="AEI13" s="1852"/>
      <c r="AEJ13" s="1852"/>
      <c r="AEK13" s="1852"/>
      <c r="AEL13" s="1852"/>
      <c r="AEM13" s="1852"/>
      <c r="AEN13" s="1852"/>
      <c r="AEO13" s="1852"/>
      <c r="AEP13" s="1852"/>
      <c r="AEQ13" s="1852"/>
      <c r="AER13" s="1852"/>
      <c r="AES13" s="1852"/>
      <c r="AET13" s="1852"/>
      <c r="AEU13" s="1852"/>
      <c r="AEV13" s="1852"/>
      <c r="AEW13" s="1852"/>
      <c r="AEX13" s="1852"/>
      <c r="AEY13" s="1852"/>
      <c r="AEZ13" s="1852"/>
      <c r="AFA13" s="1852"/>
      <c r="AFB13" s="1852"/>
      <c r="AFC13" s="1852"/>
      <c r="AFD13" s="1852"/>
      <c r="AFE13" s="1852"/>
      <c r="AFF13" s="1852"/>
      <c r="AFG13" s="1852"/>
      <c r="AFH13" s="1852"/>
      <c r="AFI13" s="1852"/>
      <c r="AFJ13" s="1852"/>
      <c r="AFK13" s="1852"/>
      <c r="AFL13" s="1852"/>
      <c r="AFM13" s="1852"/>
      <c r="AFN13" s="1852"/>
      <c r="AFO13" s="1852"/>
      <c r="AFP13" s="1852"/>
      <c r="AFQ13" s="1852"/>
      <c r="AFR13" s="1852"/>
      <c r="AFS13" s="1852"/>
      <c r="AFT13" s="1852"/>
      <c r="AFU13" s="1852"/>
      <c r="AFV13" s="1852"/>
      <c r="AFW13" s="1852"/>
      <c r="AFX13" s="1852"/>
      <c r="AFY13" s="1852"/>
      <c r="AFZ13" s="1852"/>
      <c r="AGA13" s="1852"/>
      <c r="AGB13" s="1852"/>
      <c r="AGC13" s="1852"/>
      <c r="AGD13" s="1852"/>
      <c r="AGE13" s="1852"/>
      <c r="AGF13" s="1852"/>
      <c r="AGG13" s="1852"/>
      <c r="AGH13" s="1852"/>
      <c r="AGI13" s="1852"/>
      <c r="AGJ13" s="1852"/>
      <c r="AGK13" s="1852"/>
      <c r="AGL13" s="1852"/>
      <c r="AGM13" s="1852"/>
      <c r="AGN13" s="1852"/>
      <c r="AGO13" s="1852"/>
      <c r="AGP13" s="1852"/>
      <c r="AGQ13" s="1852"/>
      <c r="AGR13" s="1852"/>
      <c r="AGS13" s="1852"/>
      <c r="AGT13" s="1852"/>
      <c r="AGU13" s="1852"/>
      <c r="AGV13" s="1852"/>
      <c r="AGW13" s="1852"/>
      <c r="AGX13" s="1852"/>
      <c r="AGY13" s="1852"/>
      <c r="AGZ13" s="1852"/>
      <c r="AHA13" s="1852"/>
      <c r="AHB13" s="1852"/>
      <c r="AHC13" s="1852"/>
      <c r="AHD13" s="1852"/>
      <c r="AHE13" s="1852"/>
      <c r="AHF13" s="1852"/>
      <c r="AHG13" s="1852"/>
      <c r="AHH13" s="1852"/>
      <c r="AHI13" s="1852"/>
      <c r="AHJ13" s="1852"/>
      <c r="AHK13" s="1852"/>
      <c r="AHL13" s="1852"/>
      <c r="AHM13" s="1852"/>
      <c r="AHN13" s="1852"/>
      <c r="AHO13" s="1852"/>
      <c r="AHP13" s="1852"/>
      <c r="AHQ13" s="1852"/>
      <c r="AHR13" s="1852"/>
      <c r="AHS13" s="1852"/>
      <c r="AHT13" s="1852"/>
      <c r="AHU13" s="1852"/>
      <c r="AHV13" s="1852"/>
      <c r="AHW13" s="1852"/>
      <c r="AHX13" s="1852"/>
      <c r="AHY13" s="1852"/>
      <c r="AHZ13" s="1852"/>
      <c r="AIA13" s="1852"/>
      <c r="AIB13" s="1852"/>
      <c r="AIC13" s="1852"/>
      <c r="AID13" s="1852"/>
      <c r="AIE13" s="1852"/>
      <c r="AIF13" s="1852"/>
      <c r="AIG13" s="1852"/>
      <c r="AIH13" s="1852"/>
      <c r="AII13" s="1852"/>
      <c r="AIJ13" s="1852"/>
      <c r="AIK13" s="1852"/>
      <c r="AIL13" s="1852"/>
      <c r="AIM13" s="1852"/>
      <c r="AIN13" s="1852"/>
      <c r="AIO13" s="1852"/>
      <c r="AIP13" s="1852"/>
      <c r="AIQ13" s="1852"/>
      <c r="AIR13" s="1852"/>
      <c r="AIS13" s="1852"/>
      <c r="AIT13" s="1852"/>
      <c r="AIU13" s="1852"/>
      <c r="AIV13" s="1852"/>
      <c r="AIW13" s="1852"/>
      <c r="AIX13" s="1852"/>
      <c r="AIY13" s="1852"/>
      <c r="AIZ13" s="1852"/>
      <c r="AJA13" s="1852"/>
      <c r="AJB13" s="1852"/>
      <c r="AJC13" s="1852"/>
      <c r="AJD13" s="1852"/>
      <c r="AJE13" s="1852"/>
      <c r="AJF13" s="1852"/>
      <c r="AJG13" s="1852"/>
      <c r="AJH13" s="1852"/>
      <c r="AJI13" s="1852"/>
      <c r="AJJ13" s="1852"/>
      <c r="AJK13" s="1852"/>
      <c r="AJL13" s="1852"/>
      <c r="AJM13" s="1852"/>
      <c r="AJN13" s="1852"/>
      <c r="AJO13" s="1852"/>
      <c r="AJP13" s="1852"/>
      <c r="AJQ13" s="1852"/>
      <c r="AJR13" s="1852"/>
      <c r="AJS13" s="1852"/>
      <c r="AJT13" s="1852"/>
      <c r="AJU13" s="1852"/>
      <c r="AJV13" s="1852"/>
      <c r="AJW13" s="1852"/>
      <c r="AJX13" s="1852"/>
      <c r="AJY13" s="1852"/>
      <c r="AJZ13" s="1852"/>
      <c r="AKA13" s="1852"/>
      <c r="AKB13" s="1852"/>
      <c r="AKC13" s="1852"/>
      <c r="AKD13" s="1852"/>
      <c r="AKE13" s="1852"/>
      <c r="AKF13" s="1852"/>
      <c r="AKG13" s="1852"/>
      <c r="AKH13" s="1852"/>
      <c r="AKI13" s="1852"/>
      <c r="AKJ13" s="1852"/>
      <c r="AKK13" s="1852"/>
      <c r="AKL13" s="1852"/>
      <c r="AKM13" s="1852"/>
      <c r="AKN13" s="1852"/>
      <c r="AKO13" s="1852"/>
      <c r="AKP13" s="1852"/>
      <c r="AKQ13" s="1852"/>
      <c r="AKR13" s="1852"/>
      <c r="AKS13" s="1852"/>
      <c r="AKT13" s="1852"/>
      <c r="AKU13" s="1852"/>
      <c r="AKV13" s="1852"/>
      <c r="AKW13" s="1852"/>
      <c r="AKX13" s="1852"/>
      <c r="AKY13" s="1852"/>
      <c r="AKZ13" s="1852"/>
      <c r="ALA13" s="1852"/>
      <c r="ALB13" s="1852"/>
      <c r="ALC13" s="1852"/>
      <c r="ALD13" s="1852"/>
      <c r="ALE13" s="1852"/>
      <c r="ALF13" s="1852"/>
      <c r="ALG13" s="1852"/>
      <c r="ALH13" s="1852"/>
      <c r="ALI13" s="1852"/>
      <c r="ALJ13" s="1852"/>
      <c r="ALK13" s="1852"/>
      <c r="ALL13" s="1852"/>
      <c r="ALM13" s="1852"/>
      <c r="ALN13" s="1852"/>
      <c r="ALO13" s="1852"/>
      <c r="ALP13" s="1852"/>
      <c r="ALQ13" s="1852"/>
      <c r="ALR13" s="1852"/>
    </row>
    <row r="14" spans="1:1007" x14ac:dyDescent="0.3">
      <c r="A14" s="1854"/>
      <c r="B14" t="s">
        <v>1216</v>
      </c>
      <c r="C14" s="1853" t="s">
        <v>1218</v>
      </c>
      <c r="D14" s="1855">
        <f t="shared" si="0"/>
        <v>0</v>
      </c>
      <c r="E14" s="1855">
        <f t="shared" si="1"/>
        <v>0</v>
      </c>
      <c r="F14" s="1855">
        <f t="shared" si="2"/>
        <v>0</v>
      </c>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c r="AT14" s="1852"/>
      <c r="AU14" s="1852"/>
      <c r="AV14" s="1852"/>
      <c r="AW14" s="1852"/>
      <c r="AX14" s="1852"/>
      <c r="AY14" s="1852"/>
      <c r="AZ14" s="1852"/>
      <c r="BA14" s="1852"/>
      <c r="BB14" s="1852"/>
      <c r="BC14" s="1852"/>
      <c r="BD14" s="1852"/>
      <c r="BE14" s="1852"/>
      <c r="BF14" s="1852"/>
      <c r="BG14" s="1852"/>
      <c r="BH14" s="1852"/>
      <c r="BI14" s="1852"/>
      <c r="BJ14" s="1852"/>
      <c r="BK14" s="1852"/>
      <c r="BL14" s="1852"/>
      <c r="BM14" s="1852"/>
      <c r="BN14" s="1852"/>
      <c r="BO14" s="1852"/>
      <c r="BP14" s="1852"/>
      <c r="BQ14" s="1852"/>
      <c r="BR14" s="1852"/>
      <c r="BS14" s="1852"/>
      <c r="BT14" s="1852"/>
      <c r="BU14" s="1852"/>
      <c r="BV14" s="1852"/>
      <c r="BW14" s="1852"/>
      <c r="BX14" s="1852"/>
      <c r="BY14" s="1852"/>
      <c r="BZ14" s="1852"/>
      <c r="CA14" s="1852"/>
      <c r="CB14" s="1852"/>
      <c r="CC14" s="1852"/>
      <c r="CD14" s="1852"/>
      <c r="CE14" s="1852"/>
      <c r="CF14" s="1852"/>
      <c r="CG14" s="1852"/>
      <c r="CH14" s="1852"/>
      <c r="CI14" s="1852"/>
      <c r="CJ14" s="1852"/>
      <c r="CK14" s="1852"/>
      <c r="CL14" s="1852"/>
      <c r="CM14" s="1852"/>
      <c r="CN14" s="1852"/>
      <c r="CO14" s="1852"/>
      <c r="CP14" s="1852"/>
      <c r="CQ14" s="1852"/>
      <c r="CR14" s="1852"/>
      <c r="CS14" s="1852"/>
      <c r="CT14" s="1852"/>
      <c r="CU14" s="1852"/>
      <c r="CV14" s="1852"/>
      <c r="CW14" s="1852"/>
      <c r="CX14" s="1852"/>
      <c r="CY14" s="1852"/>
      <c r="CZ14" s="1852"/>
      <c r="DA14" s="1852"/>
      <c r="DB14" s="1852"/>
      <c r="DC14" s="1852"/>
      <c r="DD14" s="1852"/>
      <c r="DE14" s="1852"/>
      <c r="DF14" s="1852"/>
      <c r="DG14" s="1852"/>
      <c r="DH14" s="1852"/>
      <c r="DI14" s="1852"/>
      <c r="DJ14" s="1852"/>
      <c r="DK14" s="1852"/>
      <c r="DL14" s="1852"/>
      <c r="DM14" s="1852"/>
      <c r="DN14" s="1852"/>
      <c r="DO14" s="1852"/>
      <c r="DP14" s="1852"/>
      <c r="DQ14" s="1852"/>
      <c r="DR14" s="1852"/>
      <c r="DS14" s="1852"/>
      <c r="DT14" s="1852"/>
      <c r="DU14" s="1852"/>
      <c r="DV14" s="1852"/>
      <c r="DW14" s="1852"/>
      <c r="DX14" s="1852"/>
      <c r="DY14" s="1852"/>
      <c r="DZ14" s="1852"/>
      <c r="EA14" s="1852"/>
      <c r="EB14" s="1852"/>
      <c r="EC14" s="1852"/>
      <c r="ED14" s="1852"/>
      <c r="EE14" s="1852"/>
      <c r="EF14" s="1852"/>
      <c r="EG14" s="1852"/>
      <c r="EH14" s="1852"/>
      <c r="EI14" s="1852"/>
      <c r="EJ14" s="1852"/>
      <c r="EK14" s="1852"/>
      <c r="EL14" s="1852"/>
      <c r="EM14" s="1852"/>
      <c r="EN14" s="1852"/>
      <c r="EO14" s="1852"/>
      <c r="EP14" s="1852"/>
      <c r="EQ14" s="1852"/>
      <c r="ER14" s="1852"/>
      <c r="ES14" s="1852"/>
      <c r="ET14" s="1852"/>
      <c r="EU14" s="1852"/>
      <c r="EV14" s="1852"/>
      <c r="EW14" s="1852"/>
      <c r="EX14" s="1852"/>
      <c r="EY14" s="1852"/>
      <c r="EZ14" s="1852"/>
      <c r="FA14" s="1852"/>
      <c r="FB14" s="1852"/>
      <c r="FC14" s="1852"/>
      <c r="FD14" s="1852"/>
      <c r="FE14" s="1852"/>
      <c r="FF14" s="1852"/>
      <c r="FG14" s="1852"/>
      <c r="FH14" s="1852"/>
      <c r="FI14" s="1852"/>
      <c r="FJ14" s="1852"/>
      <c r="FK14" s="1852"/>
      <c r="FL14" s="1852"/>
      <c r="FM14" s="1852"/>
      <c r="FN14" s="1852"/>
      <c r="FO14" s="1852"/>
      <c r="FP14" s="1852"/>
      <c r="FQ14" s="1852"/>
      <c r="FR14" s="1852"/>
      <c r="FS14" s="1852"/>
      <c r="FT14" s="1852"/>
      <c r="FU14" s="1852"/>
      <c r="FV14" s="1852"/>
      <c r="FW14" s="1852"/>
      <c r="FX14" s="1852"/>
      <c r="FY14" s="1852"/>
      <c r="FZ14" s="1852"/>
      <c r="GA14" s="1852"/>
      <c r="GB14" s="1852"/>
      <c r="GC14" s="1852"/>
      <c r="GD14" s="1852"/>
      <c r="GE14" s="1852"/>
      <c r="GF14" s="1852"/>
      <c r="GG14" s="1852"/>
      <c r="GH14" s="1852"/>
      <c r="GI14" s="1852"/>
      <c r="GJ14" s="1852"/>
      <c r="GK14" s="1852"/>
      <c r="GL14" s="1852"/>
      <c r="GM14" s="1852"/>
      <c r="GN14" s="1852"/>
      <c r="GO14" s="1852"/>
      <c r="GP14" s="1852"/>
      <c r="GQ14" s="1852"/>
      <c r="GR14" s="1852"/>
      <c r="GS14" s="1852"/>
      <c r="GT14" s="1852"/>
      <c r="GU14" s="1852"/>
      <c r="GV14" s="1852"/>
      <c r="GW14" s="1852"/>
      <c r="GX14" s="1852"/>
      <c r="GY14" s="1852"/>
      <c r="GZ14" s="1852"/>
      <c r="HA14" s="1852"/>
      <c r="HB14" s="1852"/>
      <c r="HC14" s="1852"/>
      <c r="HD14" s="1852"/>
      <c r="HE14" s="1852"/>
      <c r="HF14" s="1852"/>
      <c r="HG14" s="1852"/>
      <c r="HH14" s="1852"/>
      <c r="HI14" s="1852"/>
      <c r="HJ14" s="1852"/>
      <c r="HK14" s="1852"/>
      <c r="HL14" s="1852"/>
      <c r="HM14" s="1852"/>
      <c r="HN14" s="1852"/>
      <c r="HO14" s="1852"/>
      <c r="HP14" s="1852"/>
      <c r="HQ14" s="1852"/>
      <c r="HR14" s="1852"/>
      <c r="HS14" s="1852"/>
      <c r="HT14" s="1852"/>
      <c r="HU14" s="1852"/>
      <c r="HV14" s="1852"/>
      <c r="HW14" s="1852"/>
      <c r="HX14" s="1852"/>
      <c r="HY14" s="1852"/>
      <c r="HZ14" s="1852"/>
      <c r="IA14" s="1852"/>
      <c r="IB14" s="1852"/>
      <c r="IC14" s="1852"/>
      <c r="ID14" s="1852"/>
      <c r="IE14" s="1852"/>
      <c r="IF14" s="1852"/>
      <c r="IG14" s="1852"/>
      <c r="IH14" s="1852"/>
      <c r="II14" s="1852"/>
      <c r="IJ14" s="1852"/>
      <c r="IK14" s="1852"/>
      <c r="IL14" s="1852"/>
      <c r="IM14" s="1852"/>
      <c r="IN14" s="1852"/>
      <c r="IO14" s="1852"/>
      <c r="IP14" s="1852"/>
      <c r="IQ14" s="1852"/>
      <c r="IR14" s="1852"/>
      <c r="IS14" s="1852"/>
      <c r="IT14" s="1852"/>
      <c r="IU14" s="1852"/>
      <c r="IV14" s="1852"/>
      <c r="IW14" s="1852"/>
      <c r="IX14" s="1852"/>
      <c r="IY14" s="1852"/>
      <c r="IZ14" s="1852"/>
      <c r="JA14" s="1852"/>
      <c r="JB14" s="1852"/>
      <c r="JC14" s="1852"/>
      <c r="JD14" s="1852"/>
      <c r="JE14" s="1852"/>
      <c r="JF14" s="1852"/>
      <c r="JG14" s="1852"/>
      <c r="JH14" s="1852"/>
      <c r="JI14" s="1852"/>
      <c r="JJ14" s="1852"/>
      <c r="JK14" s="1852"/>
      <c r="JL14" s="1852"/>
      <c r="JM14" s="1852"/>
      <c r="JN14" s="1852"/>
      <c r="JO14" s="1852"/>
      <c r="JP14" s="1852"/>
      <c r="JQ14" s="1852"/>
      <c r="JR14" s="1852"/>
      <c r="JS14" s="1852"/>
      <c r="JT14" s="1852"/>
      <c r="JU14" s="1852"/>
      <c r="JV14" s="1852"/>
      <c r="JW14" s="1852"/>
      <c r="JX14" s="1852"/>
      <c r="JY14" s="1852"/>
      <c r="JZ14" s="1852"/>
      <c r="KA14" s="1852"/>
      <c r="KB14" s="1852"/>
      <c r="KC14" s="1852"/>
      <c r="KD14" s="1852"/>
      <c r="KE14" s="1852"/>
      <c r="KF14" s="1852"/>
      <c r="KG14" s="1852"/>
      <c r="KH14" s="1852"/>
      <c r="KI14" s="1852"/>
      <c r="KJ14" s="1852"/>
      <c r="KK14" s="1852"/>
      <c r="KL14" s="1852"/>
      <c r="KM14" s="1852"/>
      <c r="KN14" s="1852"/>
      <c r="KO14" s="1852"/>
      <c r="KP14" s="1852"/>
      <c r="KQ14" s="1852"/>
      <c r="KR14" s="1852"/>
      <c r="KS14" s="1852"/>
      <c r="KT14" s="1852"/>
      <c r="KU14" s="1852"/>
      <c r="KV14" s="1852"/>
      <c r="KW14" s="1852"/>
      <c r="KX14" s="1852"/>
      <c r="KY14" s="1852"/>
      <c r="KZ14" s="1852"/>
      <c r="LA14" s="1852"/>
      <c r="LB14" s="1852"/>
      <c r="LC14" s="1852"/>
      <c r="LD14" s="1852"/>
      <c r="LE14" s="1852"/>
      <c r="LF14" s="1852"/>
      <c r="LG14" s="1852"/>
      <c r="LH14" s="1852"/>
      <c r="LI14" s="1852"/>
      <c r="LJ14" s="1852"/>
      <c r="LK14" s="1852"/>
      <c r="LL14" s="1852"/>
      <c r="LM14" s="1852"/>
      <c r="LN14" s="1852"/>
      <c r="LO14" s="1852"/>
      <c r="LP14" s="1852"/>
      <c r="LQ14" s="1852"/>
      <c r="LR14" s="1852"/>
      <c r="LS14" s="1852"/>
      <c r="LT14" s="1852"/>
      <c r="LU14" s="1852"/>
      <c r="LV14" s="1852"/>
      <c r="LW14" s="1852"/>
      <c r="LX14" s="1852"/>
      <c r="LY14" s="1852"/>
      <c r="LZ14" s="1852"/>
      <c r="MA14" s="1852"/>
      <c r="MB14" s="1852"/>
      <c r="MC14" s="1852"/>
      <c r="MD14" s="1852"/>
      <c r="ME14" s="1852"/>
      <c r="MF14" s="1852"/>
      <c r="MG14" s="1852"/>
      <c r="MH14" s="1852"/>
      <c r="MI14" s="1852"/>
      <c r="MJ14" s="1852"/>
      <c r="MK14" s="1852"/>
      <c r="ML14" s="1852"/>
      <c r="MM14" s="1852"/>
      <c r="MN14" s="1852"/>
      <c r="MO14" s="1852"/>
      <c r="MP14" s="1852"/>
      <c r="MQ14" s="1852"/>
      <c r="MR14" s="1852"/>
      <c r="MS14" s="1852"/>
      <c r="MT14" s="1852"/>
      <c r="MU14" s="1852"/>
      <c r="MV14" s="1852"/>
      <c r="MW14" s="1852"/>
      <c r="MX14" s="1852"/>
      <c r="MY14" s="1852"/>
      <c r="MZ14" s="1852"/>
      <c r="NA14" s="1852"/>
      <c r="NB14" s="1852"/>
      <c r="NC14" s="1852"/>
      <c r="ND14" s="1852"/>
      <c r="NE14" s="1852"/>
      <c r="NF14" s="1852"/>
      <c r="NG14" s="1852"/>
      <c r="NH14" s="1852"/>
      <c r="NI14" s="1852"/>
      <c r="NJ14" s="1852"/>
      <c r="NK14" s="1852"/>
      <c r="NL14" s="1852"/>
      <c r="NM14" s="1852"/>
      <c r="NN14" s="1852"/>
      <c r="NO14" s="1852"/>
      <c r="NP14" s="1852"/>
      <c r="NQ14" s="1852"/>
      <c r="NR14" s="1852"/>
      <c r="NS14" s="1852"/>
      <c r="NT14" s="1852"/>
      <c r="NU14" s="1852"/>
      <c r="NV14" s="1852"/>
      <c r="NW14" s="1852"/>
      <c r="NX14" s="1852"/>
      <c r="NY14" s="1852"/>
      <c r="NZ14" s="1852"/>
      <c r="OA14" s="1852"/>
      <c r="OB14" s="1852"/>
      <c r="OC14" s="1852"/>
      <c r="OD14" s="1852"/>
      <c r="OE14" s="1852"/>
      <c r="OF14" s="1852"/>
      <c r="OG14" s="1852"/>
      <c r="OH14" s="1852"/>
      <c r="OI14" s="1852"/>
      <c r="OJ14" s="1852"/>
      <c r="OK14" s="1852"/>
      <c r="OL14" s="1852"/>
      <c r="OM14" s="1852"/>
      <c r="ON14" s="1852"/>
      <c r="OO14" s="1852"/>
      <c r="OP14" s="1852"/>
      <c r="OQ14" s="1852"/>
      <c r="OR14" s="1852"/>
      <c r="OS14" s="1852"/>
      <c r="OT14" s="1852"/>
      <c r="OU14" s="1852"/>
      <c r="OV14" s="1852"/>
      <c r="OW14" s="1852"/>
      <c r="OX14" s="1852"/>
      <c r="OY14" s="1852"/>
      <c r="OZ14" s="1852"/>
      <c r="PA14" s="1852"/>
      <c r="PB14" s="1852"/>
      <c r="PC14" s="1852"/>
      <c r="PD14" s="1852"/>
      <c r="PE14" s="1852"/>
      <c r="PF14" s="1852"/>
      <c r="PG14" s="1852"/>
      <c r="PH14" s="1852"/>
      <c r="PI14" s="1852"/>
      <c r="PJ14" s="1852"/>
      <c r="PK14" s="1852"/>
      <c r="PL14" s="1852"/>
      <c r="PM14" s="1852"/>
      <c r="PN14" s="1852"/>
      <c r="PO14" s="1852"/>
      <c r="PP14" s="1852"/>
      <c r="PQ14" s="1852"/>
      <c r="PR14" s="1852"/>
      <c r="PS14" s="1852"/>
      <c r="PT14" s="1852"/>
      <c r="PU14" s="1852"/>
      <c r="PV14" s="1852"/>
      <c r="PW14" s="1852"/>
      <c r="PX14" s="1852"/>
      <c r="PY14" s="1852"/>
      <c r="PZ14" s="1852"/>
      <c r="QA14" s="1852"/>
      <c r="QB14" s="1852"/>
      <c r="QC14" s="1852"/>
      <c r="QD14" s="1852"/>
      <c r="QE14" s="1852"/>
      <c r="QF14" s="1852"/>
      <c r="QG14" s="1852"/>
      <c r="QH14" s="1852"/>
      <c r="QI14" s="1852"/>
      <c r="QJ14" s="1852"/>
      <c r="QK14" s="1852"/>
      <c r="QL14" s="1852"/>
      <c r="QM14" s="1852"/>
      <c r="QN14" s="1852"/>
      <c r="QO14" s="1852"/>
      <c r="QP14" s="1852"/>
      <c r="QQ14" s="1852"/>
      <c r="QR14" s="1852"/>
      <c r="QS14" s="1852"/>
      <c r="QT14" s="1852"/>
      <c r="QU14" s="1852"/>
      <c r="QV14" s="1852"/>
      <c r="QW14" s="1852"/>
      <c r="QX14" s="1852"/>
      <c r="QY14" s="1852"/>
      <c r="QZ14" s="1852"/>
      <c r="RA14" s="1852"/>
      <c r="RB14" s="1852"/>
      <c r="RC14" s="1852"/>
      <c r="RD14" s="1852"/>
      <c r="RE14" s="1852"/>
      <c r="RF14" s="1852"/>
      <c r="RG14" s="1852"/>
      <c r="RH14" s="1852"/>
      <c r="RI14" s="1852"/>
      <c r="RJ14" s="1852"/>
      <c r="RK14" s="1852"/>
      <c r="RL14" s="1852"/>
      <c r="RM14" s="1852"/>
      <c r="RN14" s="1852"/>
      <c r="RO14" s="1852"/>
      <c r="RP14" s="1852"/>
      <c r="RQ14" s="1852"/>
      <c r="RR14" s="1852"/>
      <c r="RS14" s="1852"/>
      <c r="RT14" s="1852"/>
      <c r="RU14" s="1852"/>
      <c r="RV14" s="1852"/>
      <c r="RW14" s="1852"/>
      <c r="RX14" s="1852"/>
      <c r="RY14" s="1852"/>
      <c r="RZ14" s="1852"/>
      <c r="SA14" s="1852"/>
      <c r="SB14" s="1852"/>
      <c r="SC14" s="1852"/>
      <c r="SD14" s="1852"/>
      <c r="SE14" s="1852"/>
      <c r="SF14" s="1852"/>
      <c r="SG14" s="1852"/>
      <c r="SH14" s="1852"/>
      <c r="SI14" s="1852"/>
      <c r="SJ14" s="1852"/>
      <c r="SK14" s="1852"/>
      <c r="SL14" s="1852"/>
      <c r="SM14" s="1852"/>
      <c r="SN14" s="1852"/>
      <c r="SO14" s="1852"/>
      <c r="SP14" s="1852"/>
      <c r="SQ14" s="1852"/>
      <c r="SR14" s="1852"/>
      <c r="SS14" s="1852"/>
      <c r="ST14" s="1852"/>
      <c r="SU14" s="1852"/>
      <c r="SV14" s="1852"/>
      <c r="SW14" s="1852"/>
      <c r="SX14" s="1852"/>
      <c r="SY14" s="1852"/>
      <c r="SZ14" s="1852"/>
      <c r="TA14" s="1852"/>
      <c r="TB14" s="1852"/>
      <c r="TC14" s="1852"/>
      <c r="TD14" s="1852"/>
      <c r="TE14" s="1852"/>
      <c r="TF14" s="1852"/>
      <c r="TG14" s="1852"/>
      <c r="TH14" s="1852"/>
      <c r="TI14" s="1852"/>
      <c r="TJ14" s="1852"/>
      <c r="TK14" s="1852"/>
      <c r="TL14" s="1852"/>
      <c r="TM14" s="1852"/>
      <c r="TN14" s="1852"/>
      <c r="TO14" s="1852"/>
      <c r="TP14" s="1852"/>
      <c r="TQ14" s="1852"/>
      <c r="TR14" s="1852"/>
      <c r="TS14" s="1852"/>
      <c r="TT14" s="1852"/>
      <c r="TU14" s="1852"/>
      <c r="TV14" s="1852"/>
      <c r="TW14" s="1852"/>
      <c r="TX14" s="1852"/>
      <c r="TY14" s="1852"/>
      <c r="TZ14" s="1852"/>
      <c r="UA14" s="1852"/>
      <c r="UB14" s="1852"/>
      <c r="UC14" s="1852"/>
      <c r="UD14" s="1852"/>
      <c r="UE14" s="1852"/>
      <c r="UF14" s="1852"/>
      <c r="UG14" s="1852"/>
      <c r="UH14" s="1852"/>
      <c r="UI14" s="1852"/>
      <c r="UJ14" s="1852"/>
      <c r="UK14" s="1852"/>
      <c r="UL14" s="1852"/>
      <c r="UM14" s="1852"/>
      <c r="UN14" s="1852"/>
      <c r="UO14" s="1852"/>
      <c r="UP14" s="1852"/>
      <c r="UQ14" s="1852"/>
      <c r="UR14" s="1852"/>
      <c r="US14" s="1852"/>
      <c r="UT14" s="1852"/>
      <c r="UU14" s="1852"/>
      <c r="UV14" s="1852"/>
      <c r="UW14" s="1852"/>
      <c r="UX14" s="1852"/>
      <c r="UY14" s="1852"/>
      <c r="UZ14" s="1852"/>
      <c r="VA14" s="1852"/>
      <c r="VB14" s="1852"/>
      <c r="VC14" s="1852"/>
      <c r="VD14" s="1852"/>
      <c r="VE14" s="1852"/>
      <c r="VF14" s="1852"/>
      <c r="VG14" s="1852"/>
      <c r="VH14" s="1852"/>
      <c r="VI14" s="1852"/>
      <c r="VJ14" s="1852"/>
      <c r="VK14" s="1852"/>
      <c r="VL14" s="1852"/>
      <c r="VM14" s="1852"/>
      <c r="VN14" s="1852"/>
      <c r="VO14" s="1852"/>
      <c r="VP14" s="1852"/>
      <c r="VQ14" s="1852"/>
      <c r="VR14" s="1852"/>
      <c r="VS14" s="1852"/>
      <c r="VT14" s="1852"/>
      <c r="VU14" s="1852"/>
      <c r="VV14" s="1852"/>
      <c r="VW14" s="1852"/>
      <c r="VX14" s="1852"/>
      <c r="VY14" s="1852"/>
      <c r="VZ14" s="1852"/>
      <c r="WA14" s="1852"/>
      <c r="WB14" s="1852"/>
      <c r="WC14" s="1852"/>
      <c r="WD14" s="1852"/>
      <c r="WE14" s="1852"/>
      <c r="WF14" s="1852"/>
      <c r="WG14" s="1852"/>
      <c r="WH14" s="1852"/>
      <c r="WI14" s="1852"/>
      <c r="WJ14" s="1852"/>
      <c r="WK14" s="1852"/>
      <c r="WL14" s="1852"/>
      <c r="WM14" s="1852"/>
      <c r="WN14" s="1852"/>
      <c r="WO14" s="1852"/>
      <c r="WP14" s="1852"/>
      <c r="WQ14" s="1852"/>
      <c r="WR14" s="1852"/>
      <c r="WS14" s="1852"/>
      <c r="WT14" s="1852"/>
      <c r="WU14" s="1852"/>
      <c r="WV14" s="1852"/>
      <c r="WW14" s="1852"/>
      <c r="WX14" s="1852"/>
      <c r="WY14" s="1852"/>
      <c r="WZ14" s="1852"/>
      <c r="XA14" s="1852"/>
      <c r="XB14" s="1852"/>
      <c r="XC14" s="1852"/>
      <c r="XD14" s="1852"/>
      <c r="XE14" s="1852"/>
      <c r="XF14" s="1852"/>
      <c r="XG14" s="1852"/>
      <c r="XH14" s="1852"/>
      <c r="XI14" s="1852"/>
      <c r="XJ14" s="1852"/>
      <c r="XK14" s="1852"/>
      <c r="XL14" s="1852"/>
      <c r="XM14" s="1852"/>
      <c r="XN14" s="1852"/>
      <c r="XO14" s="1852"/>
      <c r="XP14" s="1852"/>
      <c r="XQ14" s="1852"/>
      <c r="XR14" s="1852"/>
      <c r="XS14" s="1852"/>
      <c r="XT14" s="1852"/>
      <c r="XU14" s="1852"/>
      <c r="XV14" s="1852"/>
      <c r="XW14" s="1852"/>
      <c r="XX14" s="1852"/>
      <c r="XY14" s="1852"/>
      <c r="XZ14" s="1852"/>
      <c r="YA14" s="1852"/>
      <c r="YB14" s="1852"/>
      <c r="YC14" s="1852"/>
      <c r="YD14" s="1852"/>
      <c r="YE14" s="1852"/>
      <c r="YF14" s="1852"/>
      <c r="YG14" s="1852"/>
      <c r="YH14" s="1852"/>
      <c r="YI14" s="1852"/>
      <c r="YJ14" s="1852"/>
      <c r="YK14" s="1852"/>
      <c r="YL14" s="1852"/>
      <c r="YM14" s="1852"/>
      <c r="YN14" s="1852"/>
      <c r="YO14" s="1852"/>
      <c r="YP14" s="1852"/>
      <c r="YQ14" s="1852"/>
      <c r="YR14" s="1852"/>
      <c r="YS14" s="1852"/>
      <c r="YT14" s="1852"/>
      <c r="YU14" s="1852"/>
      <c r="YV14" s="1852"/>
      <c r="YW14" s="1852"/>
      <c r="YX14" s="1852"/>
      <c r="YY14" s="1852"/>
      <c r="YZ14" s="1852"/>
      <c r="ZA14" s="1852"/>
      <c r="ZB14" s="1852"/>
      <c r="ZC14" s="1852"/>
      <c r="ZD14" s="1852"/>
      <c r="ZE14" s="1852"/>
      <c r="ZF14" s="1852"/>
      <c r="ZG14" s="1852"/>
      <c r="ZH14" s="1852"/>
      <c r="ZI14" s="1852"/>
      <c r="ZJ14" s="1852"/>
      <c r="ZK14" s="1852"/>
      <c r="ZL14" s="1852"/>
      <c r="ZM14" s="1852"/>
      <c r="ZN14" s="1852"/>
      <c r="ZO14" s="1852"/>
      <c r="ZP14" s="1852"/>
      <c r="ZQ14" s="1852"/>
      <c r="ZR14" s="1852"/>
      <c r="ZS14" s="1852"/>
      <c r="ZT14" s="1852"/>
      <c r="ZU14" s="1852"/>
      <c r="ZV14" s="1852"/>
      <c r="ZW14" s="1852"/>
      <c r="ZX14" s="1852"/>
      <c r="ZY14" s="1852"/>
      <c r="ZZ14" s="1852"/>
      <c r="AAA14" s="1852"/>
      <c r="AAB14" s="1852"/>
      <c r="AAC14" s="1852"/>
      <c r="AAD14" s="1852"/>
      <c r="AAE14" s="1852"/>
      <c r="AAF14" s="1852"/>
      <c r="AAG14" s="1852"/>
      <c r="AAH14" s="1852"/>
      <c r="AAI14" s="1852"/>
      <c r="AAJ14" s="1852"/>
      <c r="AAK14" s="1852"/>
      <c r="AAL14" s="1852"/>
      <c r="AAM14" s="1852"/>
      <c r="AAN14" s="1852"/>
      <c r="AAO14" s="1852"/>
      <c r="AAP14" s="1852"/>
      <c r="AAQ14" s="1852"/>
      <c r="AAR14" s="1852"/>
      <c r="AAS14" s="1852"/>
      <c r="AAT14" s="1852"/>
      <c r="AAU14" s="1852"/>
      <c r="AAV14" s="1852"/>
      <c r="AAW14" s="1852"/>
      <c r="AAX14" s="1852"/>
      <c r="AAY14" s="1852"/>
      <c r="AAZ14" s="1852"/>
      <c r="ABA14" s="1852"/>
      <c r="ABB14" s="1852"/>
      <c r="ABC14" s="1852"/>
      <c r="ABD14" s="1852"/>
      <c r="ABE14" s="1852"/>
      <c r="ABF14" s="1852"/>
      <c r="ABG14" s="1852"/>
      <c r="ABH14" s="1852"/>
      <c r="ABI14" s="1852"/>
      <c r="ABJ14" s="1852"/>
      <c r="ABK14" s="1852"/>
      <c r="ABL14" s="1852"/>
      <c r="ABM14" s="1852"/>
      <c r="ABN14" s="1852"/>
      <c r="ABO14" s="1852"/>
      <c r="ABP14" s="1852"/>
      <c r="ABQ14" s="1852"/>
      <c r="ABR14" s="1852"/>
      <c r="ABS14" s="1852"/>
      <c r="ABT14" s="1852"/>
      <c r="ABU14" s="1852"/>
      <c r="ABV14" s="1852"/>
      <c r="ABW14" s="1852"/>
      <c r="ABX14" s="1852"/>
      <c r="ABY14" s="1852"/>
      <c r="ABZ14" s="1852"/>
      <c r="ACA14" s="1852"/>
      <c r="ACB14" s="1852"/>
      <c r="ACC14" s="1852"/>
      <c r="ACD14" s="1852"/>
      <c r="ACE14" s="1852"/>
      <c r="ACF14" s="1852"/>
      <c r="ACG14" s="1852"/>
      <c r="ACH14" s="1852"/>
      <c r="ACI14" s="1852"/>
      <c r="ACJ14" s="1852"/>
      <c r="ACK14" s="1852"/>
      <c r="ACL14" s="1852"/>
      <c r="ACM14" s="1852"/>
      <c r="ACN14" s="1852"/>
      <c r="ACO14" s="1852"/>
      <c r="ACP14" s="1852"/>
      <c r="ACQ14" s="1852"/>
      <c r="ACR14" s="1852"/>
      <c r="ACS14" s="1852"/>
      <c r="ACT14" s="1852"/>
      <c r="ACU14" s="1852"/>
      <c r="ACV14" s="1852"/>
      <c r="ACW14" s="1852"/>
      <c r="ACX14" s="1852"/>
      <c r="ACY14" s="1852"/>
      <c r="ACZ14" s="1852"/>
      <c r="ADA14" s="1852"/>
      <c r="ADB14" s="1852"/>
      <c r="ADC14" s="1852"/>
      <c r="ADD14" s="1852"/>
      <c r="ADE14" s="1852"/>
      <c r="ADF14" s="1852"/>
      <c r="ADG14" s="1852"/>
      <c r="ADH14" s="1852"/>
      <c r="ADI14" s="1852"/>
      <c r="ADJ14" s="1852"/>
      <c r="ADK14" s="1852"/>
      <c r="ADL14" s="1852"/>
      <c r="ADM14" s="1852"/>
      <c r="ADN14" s="1852"/>
      <c r="ADO14" s="1852"/>
      <c r="ADP14" s="1852"/>
      <c r="ADQ14" s="1852"/>
      <c r="ADR14" s="1852"/>
      <c r="ADS14" s="1852"/>
      <c r="ADT14" s="1852"/>
      <c r="ADU14" s="1852"/>
      <c r="ADV14" s="1852"/>
      <c r="ADW14" s="1852"/>
      <c r="ADX14" s="1852"/>
      <c r="ADY14" s="1852"/>
      <c r="ADZ14" s="1852"/>
      <c r="AEA14" s="1852"/>
      <c r="AEB14" s="1852"/>
      <c r="AEC14" s="1852"/>
      <c r="AED14" s="1852"/>
      <c r="AEE14" s="1852"/>
      <c r="AEF14" s="1852"/>
      <c r="AEG14" s="1852"/>
      <c r="AEH14" s="1852"/>
      <c r="AEI14" s="1852"/>
      <c r="AEJ14" s="1852"/>
      <c r="AEK14" s="1852"/>
      <c r="AEL14" s="1852"/>
      <c r="AEM14" s="1852"/>
      <c r="AEN14" s="1852"/>
      <c r="AEO14" s="1852"/>
      <c r="AEP14" s="1852"/>
      <c r="AEQ14" s="1852"/>
      <c r="AER14" s="1852"/>
      <c r="AES14" s="1852"/>
      <c r="AET14" s="1852"/>
      <c r="AEU14" s="1852"/>
      <c r="AEV14" s="1852"/>
      <c r="AEW14" s="1852"/>
      <c r="AEX14" s="1852"/>
      <c r="AEY14" s="1852"/>
      <c r="AEZ14" s="1852"/>
      <c r="AFA14" s="1852"/>
      <c r="AFB14" s="1852"/>
      <c r="AFC14" s="1852"/>
      <c r="AFD14" s="1852"/>
      <c r="AFE14" s="1852"/>
      <c r="AFF14" s="1852"/>
      <c r="AFG14" s="1852"/>
      <c r="AFH14" s="1852"/>
      <c r="AFI14" s="1852"/>
      <c r="AFJ14" s="1852"/>
      <c r="AFK14" s="1852"/>
      <c r="AFL14" s="1852"/>
      <c r="AFM14" s="1852"/>
      <c r="AFN14" s="1852"/>
      <c r="AFO14" s="1852"/>
      <c r="AFP14" s="1852"/>
      <c r="AFQ14" s="1852"/>
      <c r="AFR14" s="1852"/>
      <c r="AFS14" s="1852"/>
      <c r="AFT14" s="1852"/>
      <c r="AFU14" s="1852"/>
      <c r="AFV14" s="1852"/>
      <c r="AFW14" s="1852"/>
      <c r="AFX14" s="1852"/>
      <c r="AFY14" s="1852"/>
      <c r="AFZ14" s="1852"/>
      <c r="AGA14" s="1852"/>
      <c r="AGB14" s="1852"/>
      <c r="AGC14" s="1852"/>
      <c r="AGD14" s="1852"/>
      <c r="AGE14" s="1852"/>
      <c r="AGF14" s="1852"/>
      <c r="AGG14" s="1852"/>
      <c r="AGH14" s="1852"/>
      <c r="AGI14" s="1852"/>
      <c r="AGJ14" s="1852"/>
      <c r="AGK14" s="1852"/>
      <c r="AGL14" s="1852"/>
      <c r="AGM14" s="1852"/>
      <c r="AGN14" s="1852"/>
      <c r="AGO14" s="1852"/>
      <c r="AGP14" s="1852"/>
      <c r="AGQ14" s="1852"/>
      <c r="AGR14" s="1852"/>
      <c r="AGS14" s="1852"/>
      <c r="AGT14" s="1852"/>
      <c r="AGU14" s="1852"/>
      <c r="AGV14" s="1852"/>
      <c r="AGW14" s="1852"/>
      <c r="AGX14" s="1852"/>
      <c r="AGY14" s="1852"/>
      <c r="AGZ14" s="1852"/>
      <c r="AHA14" s="1852"/>
      <c r="AHB14" s="1852"/>
      <c r="AHC14" s="1852"/>
      <c r="AHD14" s="1852"/>
      <c r="AHE14" s="1852"/>
      <c r="AHF14" s="1852"/>
      <c r="AHG14" s="1852"/>
      <c r="AHH14" s="1852"/>
      <c r="AHI14" s="1852"/>
      <c r="AHJ14" s="1852"/>
      <c r="AHK14" s="1852"/>
      <c r="AHL14" s="1852"/>
      <c r="AHM14" s="1852"/>
      <c r="AHN14" s="1852"/>
      <c r="AHO14" s="1852"/>
      <c r="AHP14" s="1852"/>
      <c r="AHQ14" s="1852"/>
      <c r="AHR14" s="1852"/>
      <c r="AHS14" s="1852"/>
      <c r="AHT14" s="1852"/>
      <c r="AHU14" s="1852"/>
      <c r="AHV14" s="1852"/>
      <c r="AHW14" s="1852"/>
      <c r="AHX14" s="1852"/>
      <c r="AHY14" s="1852"/>
      <c r="AHZ14" s="1852"/>
      <c r="AIA14" s="1852"/>
      <c r="AIB14" s="1852"/>
      <c r="AIC14" s="1852"/>
      <c r="AID14" s="1852"/>
      <c r="AIE14" s="1852"/>
      <c r="AIF14" s="1852"/>
      <c r="AIG14" s="1852"/>
      <c r="AIH14" s="1852"/>
      <c r="AII14" s="1852"/>
      <c r="AIJ14" s="1852"/>
      <c r="AIK14" s="1852"/>
      <c r="AIL14" s="1852"/>
      <c r="AIM14" s="1852"/>
      <c r="AIN14" s="1852"/>
      <c r="AIO14" s="1852"/>
      <c r="AIP14" s="1852"/>
      <c r="AIQ14" s="1852"/>
      <c r="AIR14" s="1852"/>
      <c r="AIS14" s="1852"/>
      <c r="AIT14" s="1852"/>
      <c r="AIU14" s="1852"/>
      <c r="AIV14" s="1852"/>
      <c r="AIW14" s="1852"/>
      <c r="AIX14" s="1852"/>
      <c r="AIY14" s="1852"/>
      <c r="AIZ14" s="1852"/>
      <c r="AJA14" s="1852"/>
      <c r="AJB14" s="1852"/>
      <c r="AJC14" s="1852"/>
      <c r="AJD14" s="1852"/>
      <c r="AJE14" s="1852"/>
      <c r="AJF14" s="1852"/>
      <c r="AJG14" s="1852"/>
      <c r="AJH14" s="1852"/>
      <c r="AJI14" s="1852"/>
      <c r="AJJ14" s="1852"/>
      <c r="AJK14" s="1852"/>
      <c r="AJL14" s="1852"/>
      <c r="AJM14" s="1852"/>
      <c r="AJN14" s="1852"/>
      <c r="AJO14" s="1852"/>
      <c r="AJP14" s="1852"/>
      <c r="AJQ14" s="1852"/>
      <c r="AJR14" s="1852"/>
      <c r="AJS14" s="1852"/>
      <c r="AJT14" s="1852"/>
      <c r="AJU14" s="1852"/>
      <c r="AJV14" s="1852"/>
      <c r="AJW14" s="1852"/>
      <c r="AJX14" s="1852"/>
      <c r="AJY14" s="1852"/>
      <c r="AJZ14" s="1852"/>
      <c r="AKA14" s="1852"/>
      <c r="AKB14" s="1852"/>
      <c r="AKC14" s="1852"/>
      <c r="AKD14" s="1852"/>
      <c r="AKE14" s="1852"/>
      <c r="AKF14" s="1852"/>
      <c r="AKG14" s="1852"/>
      <c r="AKH14" s="1852"/>
      <c r="AKI14" s="1852"/>
      <c r="AKJ14" s="1852"/>
      <c r="AKK14" s="1852"/>
      <c r="AKL14" s="1852"/>
      <c r="AKM14" s="1852"/>
      <c r="AKN14" s="1852"/>
      <c r="AKO14" s="1852"/>
      <c r="AKP14" s="1852"/>
      <c r="AKQ14" s="1852"/>
      <c r="AKR14" s="1852"/>
      <c r="AKS14" s="1852"/>
      <c r="AKT14" s="1852"/>
      <c r="AKU14" s="1852"/>
      <c r="AKV14" s="1852"/>
      <c r="AKW14" s="1852"/>
      <c r="AKX14" s="1852"/>
      <c r="AKY14" s="1852"/>
      <c r="AKZ14" s="1852"/>
      <c r="ALA14" s="1852"/>
      <c r="ALB14" s="1852"/>
      <c r="ALC14" s="1852"/>
      <c r="ALD14" s="1852"/>
      <c r="ALE14" s="1852"/>
      <c r="ALF14" s="1852"/>
      <c r="ALG14" s="1852"/>
      <c r="ALH14" s="1852"/>
      <c r="ALI14" s="1852"/>
      <c r="ALJ14" s="1852"/>
      <c r="ALK14" s="1852"/>
      <c r="ALL14" s="1852"/>
      <c r="ALM14" s="1852"/>
      <c r="ALN14" s="1852"/>
      <c r="ALO14" s="1852"/>
      <c r="ALP14" s="1852"/>
      <c r="ALQ14" s="1852"/>
      <c r="ALR14" s="1852"/>
    </row>
    <row r="15" spans="1:1007" x14ac:dyDescent="0.3">
      <c r="A15" s="1854"/>
      <c r="B15" t="s">
        <v>1216</v>
      </c>
      <c r="C15" s="1853" t="s">
        <v>1218</v>
      </c>
      <c r="D15" s="1855">
        <f t="shared" si="0"/>
        <v>0</v>
      </c>
      <c r="E15" s="1855">
        <f t="shared" si="1"/>
        <v>0</v>
      </c>
      <c r="F15" s="1855">
        <f t="shared" si="2"/>
        <v>0</v>
      </c>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c r="AT15" s="1852"/>
      <c r="AU15" s="1852"/>
      <c r="AV15" s="1852"/>
      <c r="AW15" s="1852"/>
      <c r="AX15" s="1852"/>
      <c r="AY15" s="1852"/>
      <c r="AZ15" s="1852"/>
      <c r="BA15" s="1852"/>
      <c r="BB15" s="1852"/>
      <c r="BC15" s="1852"/>
      <c r="BD15" s="1852"/>
      <c r="BE15" s="1852"/>
      <c r="BF15" s="1852"/>
      <c r="BG15" s="1852"/>
      <c r="BH15" s="1852"/>
      <c r="BI15" s="1852"/>
      <c r="BJ15" s="1852"/>
      <c r="BK15" s="1852"/>
      <c r="BL15" s="1852"/>
      <c r="BM15" s="1852"/>
      <c r="BN15" s="1852"/>
      <c r="BO15" s="1852"/>
      <c r="BP15" s="1852"/>
      <c r="BQ15" s="1852"/>
      <c r="BR15" s="1852"/>
      <c r="BS15" s="1852"/>
      <c r="BT15" s="1852"/>
      <c r="BU15" s="1852"/>
      <c r="BV15" s="1852"/>
      <c r="BW15" s="1852"/>
      <c r="BX15" s="1852"/>
      <c r="BY15" s="1852"/>
      <c r="BZ15" s="1852"/>
      <c r="CA15" s="1852"/>
      <c r="CB15" s="1852"/>
      <c r="CC15" s="1852"/>
      <c r="CD15" s="1852"/>
      <c r="CE15" s="1852"/>
      <c r="CF15" s="1852"/>
      <c r="CG15" s="1852"/>
      <c r="CH15" s="1852"/>
      <c r="CI15" s="1852"/>
      <c r="CJ15" s="1852"/>
      <c r="CK15" s="1852"/>
      <c r="CL15" s="1852"/>
      <c r="CM15" s="1852"/>
      <c r="CN15" s="1852"/>
      <c r="CO15" s="1852"/>
      <c r="CP15" s="1852"/>
      <c r="CQ15" s="1852"/>
      <c r="CR15" s="1852"/>
      <c r="CS15" s="1852"/>
      <c r="CT15" s="1852"/>
      <c r="CU15" s="1852"/>
      <c r="CV15" s="1852"/>
      <c r="CW15" s="1852"/>
      <c r="CX15" s="1852"/>
      <c r="CY15" s="1852"/>
      <c r="CZ15" s="1852"/>
      <c r="DA15" s="1852"/>
      <c r="DB15" s="1852"/>
      <c r="DC15" s="1852"/>
      <c r="DD15" s="1852"/>
      <c r="DE15" s="1852"/>
      <c r="DF15" s="1852"/>
      <c r="DG15" s="1852"/>
      <c r="DH15" s="1852"/>
      <c r="DI15" s="1852"/>
      <c r="DJ15" s="1852"/>
      <c r="DK15" s="1852"/>
      <c r="DL15" s="1852"/>
      <c r="DM15" s="1852"/>
      <c r="DN15" s="1852"/>
      <c r="DO15" s="1852"/>
      <c r="DP15" s="1852"/>
      <c r="DQ15" s="1852"/>
      <c r="DR15" s="1852"/>
      <c r="DS15" s="1852"/>
      <c r="DT15" s="1852"/>
      <c r="DU15" s="1852"/>
      <c r="DV15" s="1852"/>
      <c r="DW15" s="1852"/>
      <c r="DX15" s="1852"/>
      <c r="DY15" s="1852"/>
      <c r="DZ15" s="1852"/>
      <c r="EA15" s="1852"/>
      <c r="EB15" s="1852"/>
      <c r="EC15" s="1852"/>
      <c r="ED15" s="1852"/>
      <c r="EE15" s="1852"/>
      <c r="EF15" s="1852"/>
      <c r="EG15" s="1852"/>
      <c r="EH15" s="1852"/>
      <c r="EI15" s="1852"/>
      <c r="EJ15" s="1852"/>
      <c r="EK15" s="1852"/>
      <c r="EL15" s="1852"/>
      <c r="EM15" s="1852"/>
      <c r="EN15" s="1852"/>
      <c r="EO15" s="1852"/>
      <c r="EP15" s="1852"/>
      <c r="EQ15" s="1852"/>
      <c r="ER15" s="1852"/>
      <c r="ES15" s="1852"/>
      <c r="ET15" s="1852"/>
      <c r="EU15" s="1852"/>
      <c r="EV15" s="1852"/>
      <c r="EW15" s="1852"/>
      <c r="EX15" s="1852"/>
      <c r="EY15" s="1852"/>
      <c r="EZ15" s="1852"/>
      <c r="FA15" s="1852"/>
      <c r="FB15" s="1852"/>
      <c r="FC15" s="1852"/>
      <c r="FD15" s="1852"/>
      <c r="FE15" s="1852"/>
      <c r="FF15" s="1852"/>
      <c r="FG15" s="1852"/>
      <c r="FH15" s="1852"/>
      <c r="FI15" s="1852"/>
      <c r="FJ15" s="1852"/>
      <c r="FK15" s="1852"/>
      <c r="FL15" s="1852"/>
      <c r="FM15" s="1852"/>
      <c r="FN15" s="1852"/>
      <c r="FO15" s="1852"/>
      <c r="FP15" s="1852"/>
      <c r="FQ15" s="1852"/>
      <c r="FR15" s="1852"/>
      <c r="FS15" s="1852"/>
      <c r="FT15" s="1852"/>
      <c r="FU15" s="1852"/>
      <c r="FV15" s="1852"/>
      <c r="FW15" s="1852"/>
      <c r="FX15" s="1852"/>
      <c r="FY15" s="1852"/>
      <c r="FZ15" s="1852"/>
      <c r="GA15" s="1852"/>
      <c r="GB15" s="1852"/>
      <c r="GC15" s="1852"/>
      <c r="GD15" s="1852"/>
      <c r="GE15" s="1852"/>
      <c r="GF15" s="1852"/>
      <c r="GG15" s="1852"/>
      <c r="GH15" s="1852"/>
      <c r="GI15" s="1852"/>
      <c r="GJ15" s="1852"/>
      <c r="GK15" s="1852"/>
      <c r="GL15" s="1852"/>
      <c r="GM15" s="1852"/>
      <c r="GN15" s="1852"/>
      <c r="GO15" s="1852"/>
      <c r="GP15" s="1852"/>
      <c r="GQ15" s="1852"/>
      <c r="GR15" s="1852"/>
      <c r="GS15" s="1852"/>
      <c r="GT15" s="1852"/>
      <c r="GU15" s="1852"/>
      <c r="GV15" s="1852"/>
      <c r="GW15" s="1852"/>
      <c r="GX15" s="1852"/>
      <c r="GY15" s="1852"/>
      <c r="GZ15" s="1852"/>
      <c r="HA15" s="1852"/>
      <c r="HB15" s="1852"/>
      <c r="HC15" s="1852"/>
      <c r="HD15" s="1852"/>
      <c r="HE15" s="1852"/>
      <c r="HF15" s="1852"/>
      <c r="HG15" s="1852"/>
      <c r="HH15" s="1852"/>
      <c r="HI15" s="1852"/>
      <c r="HJ15" s="1852"/>
      <c r="HK15" s="1852"/>
      <c r="HL15" s="1852"/>
      <c r="HM15" s="1852"/>
      <c r="HN15" s="1852"/>
      <c r="HO15" s="1852"/>
      <c r="HP15" s="1852"/>
      <c r="HQ15" s="1852"/>
      <c r="HR15" s="1852"/>
      <c r="HS15" s="1852"/>
      <c r="HT15" s="1852"/>
      <c r="HU15" s="1852"/>
      <c r="HV15" s="1852"/>
      <c r="HW15" s="1852"/>
      <c r="HX15" s="1852"/>
      <c r="HY15" s="1852"/>
      <c r="HZ15" s="1852"/>
      <c r="IA15" s="1852"/>
      <c r="IB15" s="1852"/>
      <c r="IC15" s="1852"/>
      <c r="ID15" s="1852"/>
      <c r="IE15" s="1852"/>
      <c r="IF15" s="1852"/>
      <c r="IG15" s="1852"/>
      <c r="IH15" s="1852"/>
      <c r="II15" s="1852"/>
      <c r="IJ15" s="1852"/>
      <c r="IK15" s="1852"/>
      <c r="IL15" s="1852"/>
      <c r="IM15" s="1852"/>
      <c r="IN15" s="1852"/>
      <c r="IO15" s="1852"/>
      <c r="IP15" s="1852"/>
      <c r="IQ15" s="1852"/>
      <c r="IR15" s="1852"/>
      <c r="IS15" s="1852"/>
      <c r="IT15" s="1852"/>
      <c r="IU15" s="1852"/>
      <c r="IV15" s="1852"/>
      <c r="IW15" s="1852"/>
      <c r="IX15" s="1852"/>
      <c r="IY15" s="1852"/>
      <c r="IZ15" s="1852"/>
      <c r="JA15" s="1852"/>
      <c r="JB15" s="1852"/>
      <c r="JC15" s="1852"/>
      <c r="JD15" s="1852"/>
      <c r="JE15" s="1852"/>
      <c r="JF15" s="1852"/>
      <c r="JG15" s="1852"/>
      <c r="JH15" s="1852"/>
      <c r="JI15" s="1852"/>
      <c r="JJ15" s="1852"/>
      <c r="JK15" s="1852"/>
      <c r="JL15" s="1852"/>
      <c r="JM15" s="1852"/>
      <c r="JN15" s="1852"/>
      <c r="JO15" s="1852"/>
      <c r="JP15" s="1852"/>
      <c r="JQ15" s="1852"/>
      <c r="JR15" s="1852"/>
      <c r="JS15" s="1852"/>
      <c r="JT15" s="1852"/>
      <c r="JU15" s="1852"/>
      <c r="JV15" s="1852"/>
      <c r="JW15" s="1852"/>
      <c r="JX15" s="1852"/>
      <c r="JY15" s="1852"/>
      <c r="JZ15" s="1852"/>
      <c r="KA15" s="1852"/>
      <c r="KB15" s="1852"/>
      <c r="KC15" s="1852"/>
      <c r="KD15" s="1852"/>
      <c r="KE15" s="1852"/>
      <c r="KF15" s="1852"/>
      <c r="KG15" s="1852"/>
      <c r="KH15" s="1852"/>
      <c r="KI15" s="1852"/>
      <c r="KJ15" s="1852"/>
      <c r="KK15" s="1852"/>
      <c r="KL15" s="1852"/>
      <c r="KM15" s="1852"/>
      <c r="KN15" s="1852"/>
      <c r="KO15" s="1852"/>
      <c r="KP15" s="1852"/>
      <c r="KQ15" s="1852"/>
      <c r="KR15" s="1852"/>
      <c r="KS15" s="1852"/>
      <c r="KT15" s="1852"/>
      <c r="KU15" s="1852"/>
      <c r="KV15" s="1852"/>
      <c r="KW15" s="1852"/>
      <c r="KX15" s="1852"/>
      <c r="KY15" s="1852"/>
      <c r="KZ15" s="1852"/>
      <c r="LA15" s="1852"/>
      <c r="LB15" s="1852"/>
      <c r="LC15" s="1852"/>
      <c r="LD15" s="1852"/>
      <c r="LE15" s="1852"/>
      <c r="LF15" s="1852"/>
      <c r="LG15" s="1852"/>
      <c r="LH15" s="1852"/>
      <c r="LI15" s="1852"/>
      <c r="LJ15" s="1852"/>
      <c r="LK15" s="1852"/>
      <c r="LL15" s="1852"/>
      <c r="LM15" s="1852"/>
      <c r="LN15" s="1852"/>
      <c r="LO15" s="1852"/>
      <c r="LP15" s="1852"/>
      <c r="LQ15" s="1852"/>
      <c r="LR15" s="1852"/>
      <c r="LS15" s="1852"/>
      <c r="LT15" s="1852"/>
      <c r="LU15" s="1852"/>
      <c r="LV15" s="1852"/>
      <c r="LW15" s="1852"/>
      <c r="LX15" s="1852"/>
      <c r="LY15" s="1852"/>
      <c r="LZ15" s="1852"/>
      <c r="MA15" s="1852"/>
      <c r="MB15" s="1852"/>
      <c r="MC15" s="1852"/>
      <c r="MD15" s="1852"/>
      <c r="ME15" s="1852"/>
      <c r="MF15" s="1852"/>
      <c r="MG15" s="1852"/>
      <c r="MH15" s="1852"/>
      <c r="MI15" s="1852"/>
      <c r="MJ15" s="1852"/>
      <c r="MK15" s="1852"/>
      <c r="ML15" s="1852"/>
      <c r="MM15" s="1852"/>
      <c r="MN15" s="1852"/>
      <c r="MO15" s="1852"/>
      <c r="MP15" s="1852"/>
      <c r="MQ15" s="1852"/>
      <c r="MR15" s="1852"/>
      <c r="MS15" s="1852"/>
      <c r="MT15" s="1852"/>
      <c r="MU15" s="1852"/>
      <c r="MV15" s="1852"/>
      <c r="MW15" s="1852"/>
      <c r="MX15" s="1852"/>
      <c r="MY15" s="1852"/>
      <c r="MZ15" s="1852"/>
      <c r="NA15" s="1852"/>
      <c r="NB15" s="1852"/>
      <c r="NC15" s="1852"/>
      <c r="ND15" s="1852"/>
      <c r="NE15" s="1852"/>
      <c r="NF15" s="1852"/>
      <c r="NG15" s="1852"/>
      <c r="NH15" s="1852"/>
      <c r="NI15" s="1852"/>
      <c r="NJ15" s="1852"/>
      <c r="NK15" s="1852"/>
      <c r="NL15" s="1852"/>
      <c r="NM15" s="1852"/>
      <c r="NN15" s="1852"/>
      <c r="NO15" s="1852"/>
      <c r="NP15" s="1852"/>
      <c r="NQ15" s="1852"/>
      <c r="NR15" s="1852"/>
      <c r="NS15" s="1852"/>
      <c r="NT15" s="1852"/>
      <c r="NU15" s="1852"/>
      <c r="NV15" s="1852"/>
      <c r="NW15" s="1852"/>
      <c r="NX15" s="1852"/>
      <c r="NY15" s="1852"/>
      <c r="NZ15" s="1852"/>
      <c r="OA15" s="1852"/>
      <c r="OB15" s="1852"/>
      <c r="OC15" s="1852"/>
      <c r="OD15" s="1852"/>
      <c r="OE15" s="1852"/>
      <c r="OF15" s="1852"/>
      <c r="OG15" s="1852"/>
      <c r="OH15" s="1852"/>
      <c r="OI15" s="1852"/>
      <c r="OJ15" s="1852"/>
      <c r="OK15" s="1852"/>
      <c r="OL15" s="1852"/>
      <c r="OM15" s="1852"/>
      <c r="ON15" s="1852"/>
      <c r="OO15" s="1852"/>
      <c r="OP15" s="1852"/>
      <c r="OQ15" s="1852"/>
      <c r="OR15" s="1852"/>
      <c r="OS15" s="1852"/>
      <c r="OT15" s="1852"/>
      <c r="OU15" s="1852"/>
      <c r="OV15" s="1852"/>
      <c r="OW15" s="1852"/>
      <c r="OX15" s="1852"/>
      <c r="OY15" s="1852"/>
      <c r="OZ15" s="1852"/>
      <c r="PA15" s="1852"/>
      <c r="PB15" s="1852"/>
      <c r="PC15" s="1852"/>
      <c r="PD15" s="1852"/>
      <c r="PE15" s="1852"/>
      <c r="PF15" s="1852"/>
      <c r="PG15" s="1852"/>
      <c r="PH15" s="1852"/>
      <c r="PI15" s="1852"/>
      <c r="PJ15" s="1852"/>
      <c r="PK15" s="1852"/>
      <c r="PL15" s="1852"/>
      <c r="PM15" s="1852"/>
      <c r="PN15" s="1852"/>
      <c r="PO15" s="1852"/>
      <c r="PP15" s="1852"/>
      <c r="PQ15" s="1852"/>
      <c r="PR15" s="1852"/>
      <c r="PS15" s="1852"/>
      <c r="PT15" s="1852"/>
      <c r="PU15" s="1852"/>
      <c r="PV15" s="1852"/>
      <c r="PW15" s="1852"/>
      <c r="PX15" s="1852"/>
      <c r="PY15" s="1852"/>
      <c r="PZ15" s="1852"/>
      <c r="QA15" s="1852"/>
      <c r="QB15" s="1852"/>
      <c r="QC15" s="1852"/>
      <c r="QD15" s="1852"/>
      <c r="QE15" s="1852"/>
      <c r="QF15" s="1852"/>
      <c r="QG15" s="1852"/>
      <c r="QH15" s="1852"/>
      <c r="QI15" s="1852"/>
      <c r="QJ15" s="1852"/>
      <c r="QK15" s="1852"/>
      <c r="QL15" s="1852"/>
      <c r="QM15" s="1852"/>
      <c r="QN15" s="1852"/>
      <c r="QO15" s="1852"/>
      <c r="QP15" s="1852"/>
      <c r="QQ15" s="1852"/>
      <c r="QR15" s="1852"/>
      <c r="QS15" s="1852"/>
      <c r="QT15" s="1852"/>
      <c r="QU15" s="1852"/>
      <c r="QV15" s="1852"/>
      <c r="QW15" s="1852"/>
      <c r="QX15" s="1852"/>
      <c r="QY15" s="1852"/>
      <c r="QZ15" s="1852"/>
      <c r="RA15" s="1852"/>
      <c r="RB15" s="1852"/>
      <c r="RC15" s="1852"/>
      <c r="RD15" s="1852"/>
      <c r="RE15" s="1852"/>
      <c r="RF15" s="1852"/>
      <c r="RG15" s="1852"/>
      <c r="RH15" s="1852"/>
      <c r="RI15" s="1852"/>
      <c r="RJ15" s="1852"/>
      <c r="RK15" s="1852"/>
      <c r="RL15" s="1852"/>
      <c r="RM15" s="1852"/>
      <c r="RN15" s="1852"/>
      <c r="RO15" s="1852"/>
      <c r="RP15" s="1852"/>
      <c r="RQ15" s="1852"/>
      <c r="RR15" s="1852"/>
      <c r="RS15" s="1852"/>
      <c r="RT15" s="1852"/>
      <c r="RU15" s="1852"/>
      <c r="RV15" s="1852"/>
      <c r="RW15" s="1852"/>
      <c r="RX15" s="1852"/>
      <c r="RY15" s="1852"/>
      <c r="RZ15" s="1852"/>
      <c r="SA15" s="1852"/>
      <c r="SB15" s="1852"/>
      <c r="SC15" s="1852"/>
      <c r="SD15" s="1852"/>
      <c r="SE15" s="1852"/>
      <c r="SF15" s="1852"/>
      <c r="SG15" s="1852"/>
      <c r="SH15" s="1852"/>
      <c r="SI15" s="1852"/>
      <c r="SJ15" s="1852"/>
      <c r="SK15" s="1852"/>
      <c r="SL15" s="1852"/>
      <c r="SM15" s="1852"/>
      <c r="SN15" s="1852"/>
      <c r="SO15" s="1852"/>
      <c r="SP15" s="1852"/>
      <c r="SQ15" s="1852"/>
      <c r="SR15" s="1852"/>
      <c r="SS15" s="1852"/>
      <c r="ST15" s="1852"/>
      <c r="SU15" s="1852"/>
      <c r="SV15" s="1852"/>
      <c r="SW15" s="1852"/>
      <c r="SX15" s="1852"/>
      <c r="SY15" s="1852"/>
      <c r="SZ15" s="1852"/>
      <c r="TA15" s="1852"/>
      <c r="TB15" s="1852"/>
      <c r="TC15" s="1852"/>
      <c r="TD15" s="1852"/>
      <c r="TE15" s="1852"/>
      <c r="TF15" s="1852"/>
      <c r="TG15" s="1852"/>
      <c r="TH15" s="1852"/>
      <c r="TI15" s="1852"/>
      <c r="TJ15" s="1852"/>
      <c r="TK15" s="1852"/>
      <c r="TL15" s="1852"/>
      <c r="TM15" s="1852"/>
      <c r="TN15" s="1852"/>
      <c r="TO15" s="1852"/>
      <c r="TP15" s="1852"/>
      <c r="TQ15" s="1852"/>
      <c r="TR15" s="1852"/>
      <c r="TS15" s="1852"/>
      <c r="TT15" s="1852"/>
      <c r="TU15" s="1852"/>
      <c r="TV15" s="1852"/>
      <c r="TW15" s="1852"/>
      <c r="TX15" s="1852"/>
      <c r="TY15" s="1852"/>
      <c r="TZ15" s="1852"/>
      <c r="UA15" s="1852"/>
      <c r="UB15" s="1852"/>
      <c r="UC15" s="1852"/>
      <c r="UD15" s="1852"/>
      <c r="UE15" s="1852"/>
      <c r="UF15" s="1852"/>
      <c r="UG15" s="1852"/>
      <c r="UH15" s="1852"/>
      <c r="UI15" s="1852"/>
      <c r="UJ15" s="1852"/>
      <c r="UK15" s="1852"/>
      <c r="UL15" s="1852"/>
      <c r="UM15" s="1852"/>
      <c r="UN15" s="1852"/>
      <c r="UO15" s="1852"/>
      <c r="UP15" s="1852"/>
      <c r="UQ15" s="1852"/>
      <c r="UR15" s="1852"/>
      <c r="US15" s="1852"/>
      <c r="UT15" s="1852"/>
      <c r="UU15" s="1852"/>
      <c r="UV15" s="1852"/>
      <c r="UW15" s="1852"/>
      <c r="UX15" s="1852"/>
      <c r="UY15" s="1852"/>
      <c r="UZ15" s="1852"/>
      <c r="VA15" s="1852"/>
      <c r="VB15" s="1852"/>
      <c r="VC15" s="1852"/>
      <c r="VD15" s="1852"/>
      <c r="VE15" s="1852"/>
      <c r="VF15" s="1852"/>
      <c r="VG15" s="1852"/>
      <c r="VH15" s="1852"/>
      <c r="VI15" s="1852"/>
      <c r="VJ15" s="1852"/>
      <c r="VK15" s="1852"/>
      <c r="VL15" s="1852"/>
      <c r="VM15" s="1852"/>
      <c r="VN15" s="1852"/>
      <c r="VO15" s="1852"/>
      <c r="VP15" s="1852"/>
      <c r="VQ15" s="1852"/>
      <c r="VR15" s="1852"/>
      <c r="VS15" s="1852"/>
      <c r="VT15" s="1852"/>
      <c r="VU15" s="1852"/>
      <c r="VV15" s="1852"/>
      <c r="VW15" s="1852"/>
      <c r="VX15" s="1852"/>
      <c r="VY15" s="1852"/>
      <c r="VZ15" s="1852"/>
      <c r="WA15" s="1852"/>
      <c r="WB15" s="1852"/>
      <c r="WC15" s="1852"/>
      <c r="WD15" s="1852"/>
      <c r="WE15" s="1852"/>
      <c r="WF15" s="1852"/>
      <c r="WG15" s="1852"/>
      <c r="WH15" s="1852"/>
      <c r="WI15" s="1852"/>
      <c r="WJ15" s="1852"/>
      <c r="WK15" s="1852"/>
      <c r="WL15" s="1852"/>
      <c r="WM15" s="1852"/>
      <c r="WN15" s="1852"/>
      <c r="WO15" s="1852"/>
      <c r="WP15" s="1852"/>
      <c r="WQ15" s="1852"/>
      <c r="WR15" s="1852"/>
      <c r="WS15" s="1852"/>
      <c r="WT15" s="1852"/>
      <c r="WU15" s="1852"/>
      <c r="WV15" s="1852"/>
      <c r="WW15" s="1852"/>
      <c r="WX15" s="1852"/>
      <c r="WY15" s="1852"/>
      <c r="WZ15" s="1852"/>
      <c r="XA15" s="1852"/>
      <c r="XB15" s="1852"/>
      <c r="XC15" s="1852"/>
      <c r="XD15" s="1852"/>
      <c r="XE15" s="1852"/>
      <c r="XF15" s="1852"/>
      <c r="XG15" s="1852"/>
      <c r="XH15" s="1852"/>
      <c r="XI15" s="1852"/>
      <c r="XJ15" s="1852"/>
      <c r="XK15" s="1852"/>
      <c r="XL15" s="1852"/>
      <c r="XM15" s="1852"/>
      <c r="XN15" s="1852"/>
      <c r="XO15" s="1852"/>
      <c r="XP15" s="1852"/>
      <c r="XQ15" s="1852"/>
      <c r="XR15" s="1852"/>
      <c r="XS15" s="1852"/>
      <c r="XT15" s="1852"/>
      <c r="XU15" s="1852"/>
      <c r="XV15" s="1852"/>
      <c r="XW15" s="1852"/>
      <c r="XX15" s="1852"/>
      <c r="XY15" s="1852"/>
      <c r="XZ15" s="1852"/>
      <c r="YA15" s="1852"/>
      <c r="YB15" s="1852"/>
      <c r="YC15" s="1852"/>
      <c r="YD15" s="1852"/>
      <c r="YE15" s="1852"/>
      <c r="YF15" s="1852"/>
      <c r="YG15" s="1852"/>
      <c r="YH15" s="1852"/>
      <c r="YI15" s="1852"/>
      <c r="YJ15" s="1852"/>
      <c r="YK15" s="1852"/>
      <c r="YL15" s="1852"/>
      <c r="YM15" s="1852"/>
      <c r="YN15" s="1852"/>
      <c r="YO15" s="1852"/>
      <c r="YP15" s="1852"/>
      <c r="YQ15" s="1852"/>
      <c r="YR15" s="1852"/>
      <c r="YS15" s="1852"/>
      <c r="YT15" s="1852"/>
      <c r="YU15" s="1852"/>
      <c r="YV15" s="1852"/>
      <c r="YW15" s="1852"/>
      <c r="YX15" s="1852"/>
      <c r="YY15" s="1852"/>
      <c r="YZ15" s="1852"/>
      <c r="ZA15" s="1852"/>
      <c r="ZB15" s="1852"/>
      <c r="ZC15" s="1852"/>
      <c r="ZD15" s="1852"/>
      <c r="ZE15" s="1852"/>
      <c r="ZF15" s="1852"/>
      <c r="ZG15" s="1852"/>
      <c r="ZH15" s="1852"/>
      <c r="ZI15" s="1852"/>
      <c r="ZJ15" s="1852"/>
      <c r="ZK15" s="1852"/>
      <c r="ZL15" s="1852"/>
      <c r="ZM15" s="1852"/>
      <c r="ZN15" s="1852"/>
      <c r="ZO15" s="1852"/>
      <c r="ZP15" s="1852"/>
      <c r="ZQ15" s="1852"/>
      <c r="ZR15" s="1852"/>
      <c r="ZS15" s="1852"/>
      <c r="ZT15" s="1852"/>
      <c r="ZU15" s="1852"/>
      <c r="ZV15" s="1852"/>
      <c r="ZW15" s="1852"/>
      <c r="ZX15" s="1852"/>
      <c r="ZY15" s="1852"/>
      <c r="ZZ15" s="1852"/>
      <c r="AAA15" s="1852"/>
      <c r="AAB15" s="1852"/>
      <c r="AAC15" s="1852"/>
      <c r="AAD15" s="1852"/>
      <c r="AAE15" s="1852"/>
      <c r="AAF15" s="1852"/>
      <c r="AAG15" s="1852"/>
      <c r="AAH15" s="1852"/>
      <c r="AAI15" s="1852"/>
      <c r="AAJ15" s="1852"/>
      <c r="AAK15" s="1852"/>
      <c r="AAL15" s="1852"/>
      <c r="AAM15" s="1852"/>
      <c r="AAN15" s="1852"/>
      <c r="AAO15" s="1852"/>
      <c r="AAP15" s="1852"/>
      <c r="AAQ15" s="1852"/>
      <c r="AAR15" s="1852"/>
      <c r="AAS15" s="1852"/>
      <c r="AAT15" s="1852"/>
      <c r="AAU15" s="1852"/>
      <c r="AAV15" s="1852"/>
      <c r="AAW15" s="1852"/>
      <c r="AAX15" s="1852"/>
      <c r="AAY15" s="1852"/>
      <c r="AAZ15" s="1852"/>
      <c r="ABA15" s="1852"/>
      <c r="ABB15" s="1852"/>
      <c r="ABC15" s="1852"/>
      <c r="ABD15" s="1852"/>
      <c r="ABE15" s="1852"/>
      <c r="ABF15" s="1852"/>
      <c r="ABG15" s="1852"/>
      <c r="ABH15" s="1852"/>
      <c r="ABI15" s="1852"/>
      <c r="ABJ15" s="1852"/>
      <c r="ABK15" s="1852"/>
      <c r="ABL15" s="1852"/>
      <c r="ABM15" s="1852"/>
      <c r="ABN15" s="1852"/>
      <c r="ABO15" s="1852"/>
      <c r="ABP15" s="1852"/>
      <c r="ABQ15" s="1852"/>
      <c r="ABR15" s="1852"/>
      <c r="ABS15" s="1852"/>
      <c r="ABT15" s="1852"/>
      <c r="ABU15" s="1852"/>
      <c r="ABV15" s="1852"/>
      <c r="ABW15" s="1852"/>
      <c r="ABX15" s="1852"/>
      <c r="ABY15" s="1852"/>
      <c r="ABZ15" s="1852"/>
      <c r="ACA15" s="1852"/>
      <c r="ACB15" s="1852"/>
      <c r="ACC15" s="1852"/>
      <c r="ACD15" s="1852"/>
      <c r="ACE15" s="1852"/>
      <c r="ACF15" s="1852"/>
      <c r="ACG15" s="1852"/>
      <c r="ACH15" s="1852"/>
      <c r="ACI15" s="1852"/>
      <c r="ACJ15" s="1852"/>
      <c r="ACK15" s="1852"/>
      <c r="ACL15" s="1852"/>
      <c r="ACM15" s="1852"/>
      <c r="ACN15" s="1852"/>
      <c r="ACO15" s="1852"/>
      <c r="ACP15" s="1852"/>
      <c r="ACQ15" s="1852"/>
      <c r="ACR15" s="1852"/>
      <c r="ACS15" s="1852"/>
      <c r="ACT15" s="1852"/>
      <c r="ACU15" s="1852"/>
      <c r="ACV15" s="1852"/>
      <c r="ACW15" s="1852"/>
      <c r="ACX15" s="1852"/>
      <c r="ACY15" s="1852"/>
      <c r="ACZ15" s="1852"/>
      <c r="ADA15" s="1852"/>
      <c r="ADB15" s="1852"/>
      <c r="ADC15" s="1852"/>
      <c r="ADD15" s="1852"/>
      <c r="ADE15" s="1852"/>
      <c r="ADF15" s="1852"/>
      <c r="ADG15" s="1852"/>
      <c r="ADH15" s="1852"/>
      <c r="ADI15" s="1852"/>
      <c r="ADJ15" s="1852"/>
      <c r="ADK15" s="1852"/>
      <c r="ADL15" s="1852"/>
      <c r="ADM15" s="1852"/>
      <c r="ADN15" s="1852"/>
      <c r="ADO15" s="1852"/>
      <c r="ADP15" s="1852"/>
      <c r="ADQ15" s="1852"/>
      <c r="ADR15" s="1852"/>
      <c r="ADS15" s="1852"/>
      <c r="ADT15" s="1852"/>
      <c r="ADU15" s="1852"/>
      <c r="ADV15" s="1852"/>
      <c r="ADW15" s="1852"/>
      <c r="ADX15" s="1852"/>
      <c r="ADY15" s="1852"/>
      <c r="ADZ15" s="1852"/>
      <c r="AEA15" s="1852"/>
      <c r="AEB15" s="1852"/>
      <c r="AEC15" s="1852"/>
      <c r="AED15" s="1852"/>
      <c r="AEE15" s="1852"/>
      <c r="AEF15" s="1852"/>
      <c r="AEG15" s="1852"/>
      <c r="AEH15" s="1852"/>
      <c r="AEI15" s="1852"/>
      <c r="AEJ15" s="1852"/>
      <c r="AEK15" s="1852"/>
      <c r="AEL15" s="1852"/>
      <c r="AEM15" s="1852"/>
      <c r="AEN15" s="1852"/>
      <c r="AEO15" s="1852"/>
      <c r="AEP15" s="1852"/>
      <c r="AEQ15" s="1852"/>
      <c r="AER15" s="1852"/>
      <c r="AES15" s="1852"/>
      <c r="AET15" s="1852"/>
      <c r="AEU15" s="1852"/>
      <c r="AEV15" s="1852"/>
      <c r="AEW15" s="1852"/>
      <c r="AEX15" s="1852"/>
      <c r="AEY15" s="1852"/>
      <c r="AEZ15" s="1852"/>
      <c r="AFA15" s="1852"/>
      <c r="AFB15" s="1852"/>
      <c r="AFC15" s="1852"/>
      <c r="AFD15" s="1852"/>
      <c r="AFE15" s="1852"/>
      <c r="AFF15" s="1852"/>
      <c r="AFG15" s="1852"/>
      <c r="AFH15" s="1852"/>
      <c r="AFI15" s="1852"/>
      <c r="AFJ15" s="1852"/>
      <c r="AFK15" s="1852"/>
      <c r="AFL15" s="1852"/>
      <c r="AFM15" s="1852"/>
      <c r="AFN15" s="1852"/>
      <c r="AFO15" s="1852"/>
      <c r="AFP15" s="1852"/>
      <c r="AFQ15" s="1852"/>
      <c r="AFR15" s="1852"/>
      <c r="AFS15" s="1852"/>
      <c r="AFT15" s="1852"/>
      <c r="AFU15" s="1852"/>
      <c r="AFV15" s="1852"/>
      <c r="AFW15" s="1852"/>
      <c r="AFX15" s="1852"/>
      <c r="AFY15" s="1852"/>
      <c r="AFZ15" s="1852"/>
      <c r="AGA15" s="1852"/>
      <c r="AGB15" s="1852"/>
      <c r="AGC15" s="1852"/>
      <c r="AGD15" s="1852"/>
      <c r="AGE15" s="1852"/>
      <c r="AGF15" s="1852"/>
      <c r="AGG15" s="1852"/>
      <c r="AGH15" s="1852"/>
      <c r="AGI15" s="1852"/>
      <c r="AGJ15" s="1852"/>
      <c r="AGK15" s="1852"/>
      <c r="AGL15" s="1852"/>
      <c r="AGM15" s="1852"/>
      <c r="AGN15" s="1852"/>
      <c r="AGO15" s="1852"/>
      <c r="AGP15" s="1852"/>
      <c r="AGQ15" s="1852"/>
      <c r="AGR15" s="1852"/>
      <c r="AGS15" s="1852"/>
      <c r="AGT15" s="1852"/>
      <c r="AGU15" s="1852"/>
      <c r="AGV15" s="1852"/>
      <c r="AGW15" s="1852"/>
      <c r="AGX15" s="1852"/>
      <c r="AGY15" s="1852"/>
      <c r="AGZ15" s="1852"/>
      <c r="AHA15" s="1852"/>
      <c r="AHB15" s="1852"/>
      <c r="AHC15" s="1852"/>
      <c r="AHD15" s="1852"/>
      <c r="AHE15" s="1852"/>
      <c r="AHF15" s="1852"/>
      <c r="AHG15" s="1852"/>
      <c r="AHH15" s="1852"/>
      <c r="AHI15" s="1852"/>
      <c r="AHJ15" s="1852"/>
      <c r="AHK15" s="1852"/>
      <c r="AHL15" s="1852"/>
      <c r="AHM15" s="1852"/>
      <c r="AHN15" s="1852"/>
      <c r="AHO15" s="1852"/>
      <c r="AHP15" s="1852"/>
      <c r="AHQ15" s="1852"/>
      <c r="AHR15" s="1852"/>
      <c r="AHS15" s="1852"/>
      <c r="AHT15" s="1852"/>
      <c r="AHU15" s="1852"/>
      <c r="AHV15" s="1852"/>
      <c r="AHW15" s="1852"/>
      <c r="AHX15" s="1852"/>
      <c r="AHY15" s="1852"/>
      <c r="AHZ15" s="1852"/>
      <c r="AIA15" s="1852"/>
      <c r="AIB15" s="1852"/>
      <c r="AIC15" s="1852"/>
      <c r="AID15" s="1852"/>
      <c r="AIE15" s="1852"/>
      <c r="AIF15" s="1852"/>
      <c r="AIG15" s="1852"/>
      <c r="AIH15" s="1852"/>
      <c r="AII15" s="1852"/>
      <c r="AIJ15" s="1852"/>
      <c r="AIK15" s="1852"/>
      <c r="AIL15" s="1852"/>
      <c r="AIM15" s="1852"/>
      <c r="AIN15" s="1852"/>
      <c r="AIO15" s="1852"/>
      <c r="AIP15" s="1852"/>
      <c r="AIQ15" s="1852"/>
      <c r="AIR15" s="1852"/>
      <c r="AIS15" s="1852"/>
      <c r="AIT15" s="1852"/>
      <c r="AIU15" s="1852"/>
      <c r="AIV15" s="1852"/>
      <c r="AIW15" s="1852"/>
      <c r="AIX15" s="1852"/>
      <c r="AIY15" s="1852"/>
      <c r="AIZ15" s="1852"/>
      <c r="AJA15" s="1852"/>
      <c r="AJB15" s="1852"/>
      <c r="AJC15" s="1852"/>
      <c r="AJD15" s="1852"/>
      <c r="AJE15" s="1852"/>
      <c r="AJF15" s="1852"/>
      <c r="AJG15" s="1852"/>
      <c r="AJH15" s="1852"/>
      <c r="AJI15" s="1852"/>
      <c r="AJJ15" s="1852"/>
      <c r="AJK15" s="1852"/>
      <c r="AJL15" s="1852"/>
      <c r="AJM15" s="1852"/>
      <c r="AJN15" s="1852"/>
      <c r="AJO15" s="1852"/>
      <c r="AJP15" s="1852"/>
      <c r="AJQ15" s="1852"/>
      <c r="AJR15" s="1852"/>
      <c r="AJS15" s="1852"/>
      <c r="AJT15" s="1852"/>
      <c r="AJU15" s="1852"/>
      <c r="AJV15" s="1852"/>
      <c r="AJW15" s="1852"/>
      <c r="AJX15" s="1852"/>
      <c r="AJY15" s="1852"/>
      <c r="AJZ15" s="1852"/>
      <c r="AKA15" s="1852"/>
      <c r="AKB15" s="1852"/>
      <c r="AKC15" s="1852"/>
      <c r="AKD15" s="1852"/>
      <c r="AKE15" s="1852"/>
      <c r="AKF15" s="1852"/>
      <c r="AKG15" s="1852"/>
      <c r="AKH15" s="1852"/>
      <c r="AKI15" s="1852"/>
      <c r="AKJ15" s="1852"/>
      <c r="AKK15" s="1852"/>
      <c r="AKL15" s="1852"/>
      <c r="AKM15" s="1852"/>
      <c r="AKN15" s="1852"/>
      <c r="AKO15" s="1852"/>
      <c r="AKP15" s="1852"/>
      <c r="AKQ15" s="1852"/>
      <c r="AKR15" s="1852"/>
      <c r="AKS15" s="1852"/>
      <c r="AKT15" s="1852"/>
      <c r="AKU15" s="1852"/>
      <c r="AKV15" s="1852"/>
      <c r="AKW15" s="1852"/>
      <c r="AKX15" s="1852"/>
      <c r="AKY15" s="1852"/>
      <c r="AKZ15" s="1852"/>
      <c r="ALA15" s="1852"/>
      <c r="ALB15" s="1852"/>
      <c r="ALC15" s="1852"/>
      <c r="ALD15" s="1852"/>
      <c r="ALE15" s="1852"/>
      <c r="ALF15" s="1852"/>
      <c r="ALG15" s="1852"/>
      <c r="ALH15" s="1852"/>
      <c r="ALI15" s="1852"/>
      <c r="ALJ15" s="1852"/>
      <c r="ALK15" s="1852"/>
      <c r="ALL15" s="1852"/>
      <c r="ALM15" s="1852"/>
      <c r="ALN15" s="1852"/>
      <c r="ALO15" s="1852"/>
      <c r="ALP15" s="1852"/>
      <c r="ALQ15" s="1852"/>
      <c r="ALR15" s="1852"/>
    </row>
    <row r="16" spans="1:1007" x14ac:dyDescent="0.3">
      <c r="A16" s="1854"/>
      <c r="B16" t="s">
        <v>1216</v>
      </c>
      <c r="C16" s="1853" t="s">
        <v>1218</v>
      </c>
      <c r="D16" s="1855">
        <f t="shared" si="0"/>
        <v>0</v>
      </c>
      <c r="E16" s="1855">
        <f t="shared" si="1"/>
        <v>0</v>
      </c>
      <c r="F16" s="1855">
        <f t="shared" si="2"/>
        <v>0</v>
      </c>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c r="AT16" s="1852"/>
      <c r="AU16" s="1852"/>
      <c r="AV16" s="1852"/>
      <c r="AW16" s="1852"/>
      <c r="AX16" s="1852"/>
      <c r="AY16" s="1852"/>
      <c r="AZ16" s="1852"/>
      <c r="BA16" s="1852"/>
      <c r="BB16" s="1852"/>
      <c r="BC16" s="1852"/>
      <c r="BD16" s="1852"/>
      <c r="BE16" s="1852"/>
      <c r="BF16" s="1852"/>
      <c r="BG16" s="1852"/>
      <c r="BH16" s="1852"/>
      <c r="BI16" s="1852"/>
      <c r="BJ16" s="1852"/>
      <c r="BK16" s="1852"/>
      <c r="BL16" s="1852"/>
      <c r="BM16" s="1852"/>
      <c r="BN16" s="1852"/>
      <c r="BO16" s="1852"/>
      <c r="BP16" s="1852"/>
      <c r="BQ16" s="1852"/>
      <c r="BR16" s="1852"/>
      <c r="BS16" s="1852"/>
      <c r="BT16" s="1852"/>
      <c r="BU16" s="1852"/>
      <c r="BV16" s="1852"/>
      <c r="BW16" s="1852"/>
      <c r="BX16" s="1852"/>
      <c r="BY16" s="1852"/>
      <c r="BZ16" s="1852"/>
      <c r="CA16" s="1852"/>
      <c r="CB16" s="1852"/>
      <c r="CC16" s="1852"/>
      <c r="CD16" s="1852"/>
      <c r="CE16" s="1852"/>
      <c r="CF16" s="1852"/>
      <c r="CG16" s="1852"/>
      <c r="CH16" s="1852"/>
      <c r="CI16" s="1852"/>
      <c r="CJ16" s="1852"/>
      <c r="CK16" s="1852"/>
      <c r="CL16" s="1852"/>
      <c r="CM16" s="1852"/>
      <c r="CN16" s="1852"/>
      <c r="CO16" s="1852"/>
      <c r="CP16" s="1852"/>
      <c r="CQ16" s="1852"/>
      <c r="CR16" s="1852"/>
      <c r="CS16" s="1852"/>
      <c r="CT16" s="1852"/>
      <c r="CU16" s="1852"/>
      <c r="CV16" s="1852"/>
      <c r="CW16" s="1852"/>
      <c r="CX16" s="1852"/>
      <c r="CY16" s="1852"/>
      <c r="CZ16" s="1852"/>
      <c r="DA16" s="1852"/>
      <c r="DB16" s="1852"/>
      <c r="DC16" s="1852"/>
      <c r="DD16" s="1852"/>
      <c r="DE16" s="1852"/>
      <c r="DF16" s="1852"/>
      <c r="DG16" s="1852"/>
      <c r="DH16" s="1852"/>
      <c r="DI16" s="1852"/>
      <c r="DJ16" s="1852"/>
      <c r="DK16" s="1852"/>
      <c r="DL16" s="1852"/>
      <c r="DM16" s="1852"/>
      <c r="DN16" s="1852"/>
      <c r="DO16" s="1852"/>
      <c r="DP16" s="1852"/>
      <c r="DQ16" s="1852"/>
      <c r="DR16" s="1852"/>
      <c r="DS16" s="1852"/>
      <c r="DT16" s="1852"/>
      <c r="DU16" s="1852"/>
      <c r="DV16" s="1852"/>
      <c r="DW16" s="1852"/>
      <c r="DX16" s="1852"/>
      <c r="DY16" s="1852"/>
      <c r="DZ16" s="1852"/>
      <c r="EA16" s="1852"/>
      <c r="EB16" s="1852"/>
      <c r="EC16" s="1852"/>
      <c r="ED16" s="1852"/>
      <c r="EE16" s="1852"/>
      <c r="EF16" s="1852"/>
      <c r="EG16" s="1852"/>
      <c r="EH16" s="1852"/>
      <c r="EI16" s="1852"/>
      <c r="EJ16" s="1852"/>
      <c r="EK16" s="1852"/>
      <c r="EL16" s="1852"/>
      <c r="EM16" s="1852"/>
      <c r="EN16" s="1852"/>
      <c r="EO16" s="1852"/>
      <c r="EP16" s="1852"/>
      <c r="EQ16" s="1852"/>
      <c r="ER16" s="1852"/>
      <c r="ES16" s="1852"/>
      <c r="ET16" s="1852"/>
      <c r="EU16" s="1852"/>
      <c r="EV16" s="1852"/>
      <c r="EW16" s="1852"/>
      <c r="EX16" s="1852"/>
      <c r="EY16" s="1852"/>
      <c r="EZ16" s="1852"/>
      <c r="FA16" s="1852"/>
      <c r="FB16" s="1852"/>
      <c r="FC16" s="1852"/>
      <c r="FD16" s="1852"/>
      <c r="FE16" s="1852"/>
      <c r="FF16" s="1852"/>
      <c r="FG16" s="1852"/>
      <c r="FH16" s="1852"/>
      <c r="FI16" s="1852"/>
      <c r="FJ16" s="1852"/>
      <c r="FK16" s="1852"/>
      <c r="FL16" s="1852"/>
      <c r="FM16" s="1852"/>
      <c r="FN16" s="1852"/>
      <c r="FO16" s="1852"/>
      <c r="FP16" s="1852"/>
      <c r="FQ16" s="1852"/>
      <c r="FR16" s="1852"/>
      <c r="FS16" s="1852"/>
      <c r="FT16" s="1852"/>
      <c r="FU16" s="1852"/>
      <c r="FV16" s="1852"/>
      <c r="FW16" s="1852"/>
      <c r="FX16" s="1852"/>
      <c r="FY16" s="1852"/>
      <c r="FZ16" s="1852"/>
      <c r="GA16" s="1852"/>
      <c r="GB16" s="1852"/>
      <c r="GC16" s="1852"/>
      <c r="GD16" s="1852"/>
      <c r="GE16" s="1852"/>
      <c r="GF16" s="1852"/>
      <c r="GG16" s="1852"/>
      <c r="GH16" s="1852"/>
      <c r="GI16" s="1852"/>
      <c r="GJ16" s="1852"/>
      <c r="GK16" s="1852"/>
      <c r="GL16" s="1852"/>
      <c r="GM16" s="1852"/>
      <c r="GN16" s="1852"/>
      <c r="GO16" s="1852"/>
      <c r="GP16" s="1852"/>
      <c r="GQ16" s="1852"/>
      <c r="GR16" s="1852"/>
      <c r="GS16" s="1852"/>
      <c r="GT16" s="1852"/>
      <c r="GU16" s="1852"/>
      <c r="GV16" s="1852"/>
      <c r="GW16" s="1852"/>
      <c r="GX16" s="1852"/>
      <c r="GY16" s="1852"/>
      <c r="GZ16" s="1852"/>
      <c r="HA16" s="1852"/>
      <c r="HB16" s="1852"/>
      <c r="HC16" s="1852"/>
      <c r="HD16" s="1852"/>
      <c r="HE16" s="1852"/>
      <c r="HF16" s="1852"/>
      <c r="HG16" s="1852"/>
      <c r="HH16" s="1852"/>
      <c r="HI16" s="1852"/>
      <c r="HJ16" s="1852"/>
      <c r="HK16" s="1852"/>
      <c r="HL16" s="1852"/>
      <c r="HM16" s="1852"/>
      <c r="HN16" s="1852"/>
      <c r="HO16" s="1852"/>
      <c r="HP16" s="1852"/>
      <c r="HQ16" s="1852"/>
      <c r="HR16" s="1852"/>
      <c r="HS16" s="1852"/>
      <c r="HT16" s="1852"/>
      <c r="HU16" s="1852"/>
      <c r="HV16" s="1852"/>
      <c r="HW16" s="1852"/>
      <c r="HX16" s="1852"/>
      <c r="HY16" s="1852"/>
      <c r="HZ16" s="1852"/>
      <c r="IA16" s="1852"/>
      <c r="IB16" s="1852"/>
      <c r="IC16" s="1852"/>
      <c r="ID16" s="1852"/>
      <c r="IE16" s="1852"/>
      <c r="IF16" s="1852"/>
      <c r="IG16" s="1852"/>
      <c r="IH16" s="1852"/>
      <c r="II16" s="1852"/>
      <c r="IJ16" s="1852"/>
      <c r="IK16" s="1852"/>
      <c r="IL16" s="1852"/>
      <c r="IM16" s="1852"/>
      <c r="IN16" s="1852"/>
      <c r="IO16" s="1852"/>
      <c r="IP16" s="1852"/>
      <c r="IQ16" s="1852"/>
      <c r="IR16" s="1852"/>
      <c r="IS16" s="1852"/>
      <c r="IT16" s="1852"/>
      <c r="IU16" s="1852"/>
      <c r="IV16" s="1852"/>
      <c r="IW16" s="1852"/>
      <c r="IX16" s="1852"/>
      <c r="IY16" s="1852"/>
      <c r="IZ16" s="1852"/>
      <c r="JA16" s="1852"/>
      <c r="JB16" s="1852"/>
      <c r="JC16" s="1852"/>
      <c r="JD16" s="1852"/>
      <c r="JE16" s="1852"/>
      <c r="JF16" s="1852"/>
      <c r="JG16" s="1852"/>
      <c r="JH16" s="1852"/>
      <c r="JI16" s="1852"/>
      <c r="JJ16" s="1852"/>
      <c r="JK16" s="1852"/>
      <c r="JL16" s="1852"/>
      <c r="JM16" s="1852"/>
      <c r="JN16" s="1852"/>
      <c r="JO16" s="1852"/>
      <c r="JP16" s="1852"/>
      <c r="JQ16" s="1852"/>
      <c r="JR16" s="1852"/>
      <c r="JS16" s="1852"/>
      <c r="JT16" s="1852"/>
      <c r="JU16" s="1852"/>
      <c r="JV16" s="1852"/>
      <c r="JW16" s="1852"/>
      <c r="JX16" s="1852"/>
      <c r="JY16" s="1852"/>
      <c r="JZ16" s="1852"/>
      <c r="KA16" s="1852"/>
      <c r="KB16" s="1852"/>
      <c r="KC16" s="1852"/>
      <c r="KD16" s="1852"/>
      <c r="KE16" s="1852"/>
      <c r="KF16" s="1852"/>
      <c r="KG16" s="1852"/>
      <c r="KH16" s="1852"/>
      <c r="KI16" s="1852"/>
      <c r="KJ16" s="1852"/>
      <c r="KK16" s="1852"/>
      <c r="KL16" s="1852"/>
      <c r="KM16" s="1852"/>
      <c r="KN16" s="1852"/>
      <c r="KO16" s="1852"/>
      <c r="KP16" s="1852"/>
      <c r="KQ16" s="1852"/>
      <c r="KR16" s="1852"/>
      <c r="KS16" s="1852"/>
      <c r="KT16" s="1852"/>
      <c r="KU16" s="1852"/>
      <c r="KV16" s="1852"/>
      <c r="KW16" s="1852"/>
      <c r="KX16" s="1852"/>
      <c r="KY16" s="1852"/>
      <c r="KZ16" s="1852"/>
      <c r="LA16" s="1852"/>
      <c r="LB16" s="1852"/>
      <c r="LC16" s="1852"/>
      <c r="LD16" s="1852"/>
      <c r="LE16" s="1852"/>
      <c r="LF16" s="1852"/>
      <c r="LG16" s="1852"/>
      <c r="LH16" s="1852"/>
      <c r="LI16" s="1852"/>
      <c r="LJ16" s="1852"/>
      <c r="LK16" s="1852"/>
      <c r="LL16" s="1852"/>
      <c r="LM16" s="1852"/>
      <c r="LN16" s="1852"/>
      <c r="LO16" s="1852"/>
      <c r="LP16" s="1852"/>
      <c r="LQ16" s="1852"/>
      <c r="LR16" s="1852"/>
      <c r="LS16" s="1852"/>
      <c r="LT16" s="1852"/>
      <c r="LU16" s="1852"/>
      <c r="LV16" s="1852"/>
      <c r="LW16" s="1852"/>
      <c r="LX16" s="1852"/>
      <c r="LY16" s="1852"/>
      <c r="LZ16" s="1852"/>
      <c r="MA16" s="1852"/>
      <c r="MB16" s="1852"/>
      <c r="MC16" s="1852"/>
      <c r="MD16" s="1852"/>
      <c r="ME16" s="1852"/>
      <c r="MF16" s="1852"/>
      <c r="MG16" s="1852"/>
      <c r="MH16" s="1852"/>
      <c r="MI16" s="1852"/>
      <c r="MJ16" s="1852"/>
      <c r="MK16" s="1852"/>
      <c r="ML16" s="1852"/>
      <c r="MM16" s="1852"/>
      <c r="MN16" s="1852"/>
      <c r="MO16" s="1852"/>
      <c r="MP16" s="1852"/>
      <c r="MQ16" s="1852"/>
      <c r="MR16" s="1852"/>
      <c r="MS16" s="1852"/>
      <c r="MT16" s="1852"/>
      <c r="MU16" s="1852"/>
      <c r="MV16" s="1852"/>
      <c r="MW16" s="1852"/>
      <c r="MX16" s="1852"/>
      <c r="MY16" s="1852"/>
      <c r="MZ16" s="1852"/>
      <c r="NA16" s="1852"/>
      <c r="NB16" s="1852"/>
      <c r="NC16" s="1852"/>
      <c r="ND16" s="1852"/>
      <c r="NE16" s="1852"/>
      <c r="NF16" s="1852"/>
      <c r="NG16" s="1852"/>
      <c r="NH16" s="1852"/>
      <c r="NI16" s="1852"/>
      <c r="NJ16" s="1852"/>
      <c r="NK16" s="1852"/>
      <c r="NL16" s="1852"/>
      <c r="NM16" s="1852"/>
      <c r="NN16" s="1852"/>
      <c r="NO16" s="1852"/>
      <c r="NP16" s="1852"/>
      <c r="NQ16" s="1852"/>
      <c r="NR16" s="1852"/>
      <c r="NS16" s="1852"/>
      <c r="NT16" s="1852"/>
      <c r="NU16" s="1852"/>
      <c r="NV16" s="1852"/>
      <c r="NW16" s="1852"/>
      <c r="NX16" s="1852"/>
      <c r="NY16" s="1852"/>
      <c r="NZ16" s="1852"/>
      <c r="OA16" s="1852"/>
      <c r="OB16" s="1852"/>
      <c r="OC16" s="1852"/>
      <c r="OD16" s="1852"/>
      <c r="OE16" s="1852"/>
      <c r="OF16" s="1852"/>
      <c r="OG16" s="1852"/>
      <c r="OH16" s="1852"/>
      <c r="OI16" s="1852"/>
      <c r="OJ16" s="1852"/>
      <c r="OK16" s="1852"/>
      <c r="OL16" s="1852"/>
      <c r="OM16" s="1852"/>
      <c r="ON16" s="1852"/>
      <c r="OO16" s="1852"/>
      <c r="OP16" s="1852"/>
      <c r="OQ16" s="1852"/>
      <c r="OR16" s="1852"/>
      <c r="OS16" s="1852"/>
      <c r="OT16" s="1852"/>
      <c r="OU16" s="1852"/>
      <c r="OV16" s="1852"/>
      <c r="OW16" s="1852"/>
      <c r="OX16" s="1852"/>
      <c r="OY16" s="1852"/>
      <c r="OZ16" s="1852"/>
      <c r="PA16" s="1852"/>
      <c r="PB16" s="1852"/>
      <c r="PC16" s="1852"/>
      <c r="PD16" s="1852"/>
      <c r="PE16" s="1852"/>
      <c r="PF16" s="1852"/>
      <c r="PG16" s="1852"/>
      <c r="PH16" s="1852"/>
      <c r="PI16" s="1852"/>
      <c r="PJ16" s="1852"/>
      <c r="PK16" s="1852"/>
      <c r="PL16" s="1852"/>
      <c r="PM16" s="1852"/>
      <c r="PN16" s="1852"/>
      <c r="PO16" s="1852"/>
      <c r="PP16" s="1852"/>
      <c r="PQ16" s="1852"/>
      <c r="PR16" s="1852"/>
      <c r="PS16" s="1852"/>
      <c r="PT16" s="1852"/>
      <c r="PU16" s="1852"/>
      <c r="PV16" s="1852"/>
      <c r="PW16" s="1852"/>
      <c r="PX16" s="1852"/>
      <c r="PY16" s="1852"/>
      <c r="PZ16" s="1852"/>
      <c r="QA16" s="1852"/>
      <c r="QB16" s="1852"/>
      <c r="QC16" s="1852"/>
      <c r="QD16" s="1852"/>
      <c r="QE16" s="1852"/>
      <c r="QF16" s="1852"/>
      <c r="QG16" s="1852"/>
      <c r="QH16" s="1852"/>
      <c r="QI16" s="1852"/>
      <c r="QJ16" s="1852"/>
      <c r="QK16" s="1852"/>
      <c r="QL16" s="1852"/>
      <c r="QM16" s="1852"/>
      <c r="QN16" s="1852"/>
      <c r="QO16" s="1852"/>
      <c r="QP16" s="1852"/>
      <c r="QQ16" s="1852"/>
      <c r="QR16" s="1852"/>
      <c r="QS16" s="1852"/>
      <c r="QT16" s="1852"/>
      <c r="QU16" s="1852"/>
      <c r="QV16" s="1852"/>
      <c r="QW16" s="1852"/>
      <c r="QX16" s="1852"/>
      <c r="QY16" s="1852"/>
      <c r="QZ16" s="1852"/>
      <c r="RA16" s="1852"/>
      <c r="RB16" s="1852"/>
      <c r="RC16" s="1852"/>
      <c r="RD16" s="1852"/>
      <c r="RE16" s="1852"/>
      <c r="RF16" s="1852"/>
      <c r="RG16" s="1852"/>
      <c r="RH16" s="1852"/>
      <c r="RI16" s="1852"/>
      <c r="RJ16" s="1852"/>
      <c r="RK16" s="1852"/>
      <c r="RL16" s="1852"/>
      <c r="RM16" s="1852"/>
      <c r="RN16" s="1852"/>
      <c r="RO16" s="1852"/>
      <c r="RP16" s="1852"/>
      <c r="RQ16" s="1852"/>
      <c r="RR16" s="1852"/>
      <c r="RS16" s="1852"/>
      <c r="RT16" s="1852"/>
      <c r="RU16" s="1852"/>
      <c r="RV16" s="1852"/>
      <c r="RW16" s="1852"/>
      <c r="RX16" s="1852"/>
      <c r="RY16" s="1852"/>
      <c r="RZ16" s="1852"/>
      <c r="SA16" s="1852"/>
      <c r="SB16" s="1852"/>
      <c r="SC16" s="1852"/>
      <c r="SD16" s="1852"/>
      <c r="SE16" s="1852"/>
      <c r="SF16" s="1852"/>
      <c r="SG16" s="1852"/>
      <c r="SH16" s="1852"/>
      <c r="SI16" s="1852"/>
      <c r="SJ16" s="1852"/>
      <c r="SK16" s="1852"/>
      <c r="SL16" s="1852"/>
      <c r="SM16" s="1852"/>
      <c r="SN16" s="1852"/>
      <c r="SO16" s="1852"/>
      <c r="SP16" s="1852"/>
      <c r="SQ16" s="1852"/>
      <c r="SR16" s="1852"/>
      <c r="SS16" s="1852"/>
      <c r="ST16" s="1852"/>
      <c r="SU16" s="1852"/>
      <c r="SV16" s="1852"/>
      <c r="SW16" s="1852"/>
      <c r="SX16" s="1852"/>
      <c r="SY16" s="1852"/>
      <c r="SZ16" s="1852"/>
      <c r="TA16" s="1852"/>
      <c r="TB16" s="1852"/>
      <c r="TC16" s="1852"/>
      <c r="TD16" s="1852"/>
      <c r="TE16" s="1852"/>
      <c r="TF16" s="1852"/>
      <c r="TG16" s="1852"/>
      <c r="TH16" s="1852"/>
      <c r="TI16" s="1852"/>
      <c r="TJ16" s="1852"/>
      <c r="TK16" s="1852"/>
      <c r="TL16" s="1852"/>
      <c r="TM16" s="1852"/>
      <c r="TN16" s="1852"/>
      <c r="TO16" s="1852"/>
      <c r="TP16" s="1852"/>
      <c r="TQ16" s="1852"/>
      <c r="TR16" s="1852"/>
      <c r="TS16" s="1852"/>
      <c r="TT16" s="1852"/>
      <c r="TU16" s="1852"/>
      <c r="TV16" s="1852"/>
      <c r="TW16" s="1852"/>
      <c r="TX16" s="1852"/>
      <c r="TY16" s="1852"/>
      <c r="TZ16" s="1852"/>
      <c r="UA16" s="1852"/>
      <c r="UB16" s="1852"/>
      <c r="UC16" s="1852"/>
      <c r="UD16" s="1852"/>
      <c r="UE16" s="1852"/>
      <c r="UF16" s="1852"/>
      <c r="UG16" s="1852"/>
      <c r="UH16" s="1852"/>
      <c r="UI16" s="1852"/>
      <c r="UJ16" s="1852"/>
      <c r="UK16" s="1852"/>
      <c r="UL16" s="1852"/>
      <c r="UM16" s="1852"/>
      <c r="UN16" s="1852"/>
      <c r="UO16" s="1852"/>
      <c r="UP16" s="1852"/>
      <c r="UQ16" s="1852"/>
      <c r="UR16" s="1852"/>
      <c r="US16" s="1852"/>
      <c r="UT16" s="1852"/>
      <c r="UU16" s="1852"/>
      <c r="UV16" s="1852"/>
      <c r="UW16" s="1852"/>
      <c r="UX16" s="1852"/>
      <c r="UY16" s="1852"/>
      <c r="UZ16" s="1852"/>
      <c r="VA16" s="1852"/>
      <c r="VB16" s="1852"/>
      <c r="VC16" s="1852"/>
      <c r="VD16" s="1852"/>
      <c r="VE16" s="1852"/>
      <c r="VF16" s="1852"/>
      <c r="VG16" s="1852"/>
      <c r="VH16" s="1852"/>
      <c r="VI16" s="1852"/>
      <c r="VJ16" s="1852"/>
      <c r="VK16" s="1852"/>
      <c r="VL16" s="1852"/>
      <c r="VM16" s="1852"/>
      <c r="VN16" s="1852"/>
      <c r="VO16" s="1852"/>
      <c r="VP16" s="1852"/>
      <c r="VQ16" s="1852"/>
      <c r="VR16" s="1852"/>
      <c r="VS16" s="1852"/>
      <c r="VT16" s="1852"/>
      <c r="VU16" s="1852"/>
      <c r="VV16" s="1852"/>
      <c r="VW16" s="1852"/>
      <c r="VX16" s="1852"/>
      <c r="VY16" s="1852"/>
      <c r="VZ16" s="1852"/>
      <c r="WA16" s="1852"/>
      <c r="WB16" s="1852"/>
      <c r="WC16" s="1852"/>
      <c r="WD16" s="1852"/>
      <c r="WE16" s="1852"/>
      <c r="WF16" s="1852"/>
      <c r="WG16" s="1852"/>
      <c r="WH16" s="1852"/>
      <c r="WI16" s="1852"/>
      <c r="WJ16" s="1852"/>
      <c r="WK16" s="1852"/>
      <c r="WL16" s="1852"/>
      <c r="WM16" s="1852"/>
      <c r="WN16" s="1852"/>
      <c r="WO16" s="1852"/>
      <c r="WP16" s="1852"/>
      <c r="WQ16" s="1852"/>
      <c r="WR16" s="1852"/>
      <c r="WS16" s="1852"/>
      <c r="WT16" s="1852"/>
      <c r="WU16" s="1852"/>
      <c r="WV16" s="1852"/>
      <c r="WW16" s="1852"/>
      <c r="WX16" s="1852"/>
      <c r="WY16" s="1852"/>
      <c r="WZ16" s="1852"/>
      <c r="XA16" s="1852"/>
      <c r="XB16" s="1852"/>
      <c r="XC16" s="1852"/>
      <c r="XD16" s="1852"/>
      <c r="XE16" s="1852"/>
      <c r="XF16" s="1852"/>
      <c r="XG16" s="1852"/>
      <c r="XH16" s="1852"/>
      <c r="XI16" s="1852"/>
      <c r="XJ16" s="1852"/>
      <c r="XK16" s="1852"/>
      <c r="XL16" s="1852"/>
      <c r="XM16" s="1852"/>
      <c r="XN16" s="1852"/>
      <c r="XO16" s="1852"/>
      <c r="XP16" s="1852"/>
      <c r="XQ16" s="1852"/>
      <c r="XR16" s="1852"/>
      <c r="XS16" s="1852"/>
      <c r="XT16" s="1852"/>
      <c r="XU16" s="1852"/>
      <c r="XV16" s="1852"/>
      <c r="XW16" s="1852"/>
      <c r="XX16" s="1852"/>
      <c r="XY16" s="1852"/>
      <c r="XZ16" s="1852"/>
      <c r="YA16" s="1852"/>
      <c r="YB16" s="1852"/>
      <c r="YC16" s="1852"/>
      <c r="YD16" s="1852"/>
      <c r="YE16" s="1852"/>
      <c r="YF16" s="1852"/>
      <c r="YG16" s="1852"/>
      <c r="YH16" s="1852"/>
      <c r="YI16" s="1852"/>
      <c r="YJ16" s="1852"/>
      <c r="YK16" s="1852"/>
      <c r="YL16" s="1852"/>
      <c r="YM16" s="1852"/>
      <c r="YN16" s="1852"/>
      <c r="YO16" s="1852"/>
      <c r="YP16" s="1852"/>
      <c r="YQ16" s="1852"/>
      <c r="YR16" s="1852"/>
      <c r="YS16" s="1852"/>
      <c r="YT16" s="1852"/>
      <c r="YU16" s="1852"/>
      <c r="YV16" s="1852"/>
      <c r="YW16" s="1852"/>
      <c r="YX16" s="1852"/>
      <c r="YY16" s="1852"/>
      <c r="YZ16" s="1852"/>
      <c r="ZA16" s="1852"/>
      <c r="ZB16" s="1852"/>
      <c r="ZC16" s="1852"/>
      <c r="ZD16" s="1852"/>
      <c r="ZE16" s="1852"/>
      <c r="ZF16" s="1852"/>
      <c r="ZG16" s="1852"/>
      <c r="ZH16" s="1852"/>
      <c r="ZI16" s="1852"/>
      <c r="ZJ16" s="1852"/>
      <c r="ZK16" s="1852"/>
      <c r="ZL16" s="1852"/>
      <c r="ZM16" s="1852"/>
      <c r="ZN16" s="1852"/>
      <c r="ZO16" s="1852"/>
      <c r="ZP16" s="1852"/>
      <c r="ZQ16" s="1852"/>
      <c r="ZR16" s="1852"/>
      <c r="ZS16" s="1852"/>
      <c r="ZT16" s="1852"/>
      <c r="ZU16" s="1852"/>
      <c r="ZV16" s="1852"/>
      <c r="ZW16" s="1852"/>
      <c r="ZX16" s="1852"/>
      <c r="ZY16" s="1852"/>
      <c r="ZZ16" s="1852"/>
      <c r="AAA16" s="1852"/>
      <c r="AAB16" s="1852"/>
      <c r="AAC16" s="1852"/>
      <c r="AAD16" s="1852"/>
      <c r="AAE16" s="1852"/>
      <c r="AAF16" s="1852"/>
      <c r="AAG16" s="1852"/>
      <c r="AAH16" s="1852"/>
      <c r="AAI16" s="1852"/>
      <c r="AAJ16" s="1852"/>
      <c r="AAK16" s="1852"/>
      <c r="AAL16" s="1852"/>
      <c r="AAM16" s="1852"/>
      <c r="AAN16" s="1852"/>
      <c r="AAO16" s="1852"/>
      <c r="AAP16" s="1852"/>
      <c r="AAQ16" s="1852"/>
      <c r="AAR16" s="1852"/>
      <c r="AAS16" s="1852"/>
      <c r="AAT16" s="1852"/>
      <c r="AAU16" s="1852"/>
      <c r="AAV16" s="1852"/>
      <c r="AAW16" s="1852"/>
      <c r="AAX16" s="1852"/>
      <c r="AAY16" s="1852"/>
      <c r="AAZ16" s="1852"/>
      <c r="ABA16" s="1852"/>
      <c r="ABB16" s="1852"/>
      <c r="ABC16" s="1852"/>
      <c r="ABD16" s="1852"/>
      <c r="ABE16" s="1852"/>
      <c r="ABF16" s="1852"/>
      <c r="ABG16" s="1852"/>
      <c r="ABH16" s="1852"/>
      <c r="ABI16" s="1852"/>
      <c r="ABJ16" s="1852"/>
      <c r="ABK16" s="1852"/>
      <c r="ABL16" s="1852"/>
      <c r="ABM16" s="1852"/>
      <c r="ABN16" s="1852"/>
      <c r="ABO16" s="1852"/>
      <c r="ABP16" s="1852"/>
      <c r="ABQ16" s="1852"/>
      <c r="ABR16" s="1852"/>
      <c r="ABS16" s="1852"/>
      <c r="ABT16" s="1852"/>
      <c r="ABU16" s="1852"/>
      <c r="ABV16" s="1852"/>
      <c r="ABW16" s="1852"/>
      <c r="ABX16" s="1852"/>
      <c r="ABY16" s="1852"/>
      <c r="ABZ16" s="1852"/>
      <c r="ACA16" s="1852"/>
      <c r="ACB16" s="1852"/>
      <c r="ACC16" s="1852"/>
      <c r="ACD16" s="1852"/>
      <c r="ACE16" s="1852"/>
      <c r="ACF16" s="1852"/>
      <c r="ACG16" s="1852"/>
      <c r="ACH16" s="1852"/>
      <c r="ACI16" s="1852"/>
      <c r="ACJ16" s="1852"/>
      <c r="ACK16" s="1852"/>
      <c r="ACL16" s="1852"/>
      <c r="ACM16" s="1852"/>
      <c r="ACN16" s="1852"/>
      <c r="ACO16" s="1852"/>
      <c r="ACP16" s="1852"/>
      <c r="ACQ16" s="1852"/>
      <c r="ACR16" s="1852"/>
      <c r="ACS16" s="1852"/>
      <c r="ACT16" s="1852"/>
      <c r="ACU16" s="1852"/>
      <c r="ACV16" s="1852"/>
      <c r="ACW16" s="1852"/>
      <c r="ACX16" s="1852"/>
      <c r="ACY16" s="1852"/>
      <c r="ACZ16" s="1852"/>
      <c r="ADA16" s="1852"/>
      <c r="ADB16" s="1852"/>
      <c r="ADC16" s="1852"/>
      <c r="ADD16" s="1852"/>
      <c r="ADE16" s="1852"/>
      <c r="ADF16" s="1852"/>
      <c r="ADG16" s="1852"/>
      <c r="ADH16" s="1852"/>
      <c r="ADI16" s="1852"/>
      <c r="ADJ16" s="1852"/>
      <c r="ADK16" s="1852"/>
      <c r="ADL16" s="1852"/>
      <c r="ADM16" s="1852"/>
      <c r="ADN16" s="1852"/>
      <c r="ADO16" s="1852"/>
      <c r="ADP16" s="1852"/>
      <c r="ADQ16" s="1852"/>
      <c r="ADR16" s="1852"/>
      <c r="ADS16" s="1852"/>
      <c r="ADT16" s="1852"/>
      <c r="ADU16" s="1852"/>
      <c r="ADV16" s="1852"/>
      <c r="ADW16" s="1852"/>
      <c r="ADX16" s="1852"/>
      <c r="ADY16" s="1852"/>
      <c r="ADZ16" s="1852"/>
      <c r="AEA16" s="1852"/>
      <c r="AEB16" s="1852"/>
      <c r="AEC16" s="1852"/>
      <c r="AED16" s="1852"/>
      <c r="AEE16" s="1852"/>
      <c r="AEF16" s="1852"/>
      <c r="AEG16" s="1852"/>
      <c r="AEH16" s="1852"/>
      <c r="AEI16" s="1852"/>
      <c r="AEJ16" s="1852"/>
      <c r="AEK16" s="1852"/>
      <c r="AEL16" s="1852"/>
      <c r="AEM16" s="1852"/>
      <c r="AEN16" s="1852"/>
      <c r="AEO16" s="1852"/>
      <c r="AEP16" s="1852"/>
      <c r="AEQ16" s="1852"/>
      <c r="AER16" s="1852"/>
      <c r="AES16" s="1852"/>
      <c r="AET16" s="1852"/>
      <c r="AEU16" s="1852"/>
      <c r="AEV16" s="1852"/>
      <c r="AEW16" s="1852"/>
      <c r="AEX16" s="1852"/>
      <c r="AEY16" s="1852"/>
      <c r="AEZ16" s="1852"/>
      <c r="AFA16" s="1852"/>
      <c r="AFB16" s="1852"/>
      <c r="AFC16" s="1852"/>
      <c r="AFD16" s="1852"/>
      <c r="AFE16" s="1852"/>
      <c r="AFF16" s="1852"/>
      <c r="AFG16" s="1852"/>
      <c r="AFH16" s="1852"/>
      <c r="AFI16" s="1852"/>
      <c r="AFJ16" s="1852"/>
      <c r="AFK16" s="1852"/>
      <c r="AFL16" s="1852"/>
      <c r="AFM16" s="1852"/>
      <c r="AFN16" s="1852"/>
      <c r="AFO16" s="1852"/>
      <c r="AFP16" s="1852"/>
      <c r="AFQ16" s="1852"/>
      <c r="AFR16" s="1852"/>
      <c r="AFS16" s="1852"/>
      <c r="AFT16" s="1852"/>
      <c r="AFU16" s="1852"/>
      <c r="AFV16" s="1852"/>
      <c r="AFW16" s="1852"/>
      <c r="AFX16" s="1852"/>
      <c r="AFY16" s="1852"/>
      <c r="AFZ16" s="1852"/>
      <c r="AGA16" s="1852"/>
      <c r="AGB16" s="1852"/>
      <c r="AGC16" s="1852"/>
      <c r="AGD16" s="1852"/>
      <c r="AGE16" s="1852"/>
      <c r="AGF16" s="1852"/>
      <c r="AGG16" s="1852"/>
      <c r="AGH16" s="1852"/>
      <c r="AGI16" s="1852"/>
      <c r="AGJ16" s="1852"/>
      <c r="AGK16" s="1852"/>
      <c r="AGL16" s="1852"/>
      <c r="AGM16" s="1852"/>
      <c r="AGN16" s="1852"/>
      <c r="AGO16" s="1852"/>
      <c r="AGP16" s="1852"/>
      <c r="AGQ16" s="1852"/>
      <c r="AGR16" s="1852"/>
      <c r="AGS16" s="1852"/>
      <c r="AGT16" s="1852"/>
      <c r="AGU16" s="1852"/>
      <c r="AGV16" s="1852"/>
      <c r="AGW16" s="1852"/>
      <c r="AGX16" s="1852"/>
      <c r="AGY16" s="1852"/>
      <c r="AGZ16" s="1852"/>
      <c r="AHA16" s="1852"/>
      <c r="AHB16" s="1852"/>
      <c r="AHC16" s="1852"/>
      <c r="AHD16" s="1852"/>
      <c r="AHE16" s="1852"/>
      <c r="AHF16" s="1852"/>
      <c r="AHG16" s="1852"/>
      <c r="AHH16" s="1852"/>
      <c r="AHI16" s="1852"/>
      <c r="AHJ16" s="1852"/>
      <c r="AHK16" s="1852"/>
      <c r="AHL16" s="1852"/>
      <c r="AHM16" s="1852"/>
      <c r="AHN16" s="1852"/>
      <c r="AHO16" s="1852"/>
      <c r="AHP16" s="1852"/>
      <c r="AHQ16" s="1852"/>
      <c r="AHR16" s="1852"/>
      <c r="AHS16" s="1852"/>
      <c r="AHT16" s="1852"/>
      <c r="AHU16" s="1852"/>
      <c r="AHV16" s="1852"/>
      <c r="AHW16" s="1852"/>
      <c r="AHX16" s="1852"/>
      <c r="AHY16" s="1852"/>
      <c r="AHZ16" s="1852"/>
      <c r="AIA16" s="1852"/>
      <c r="AIB16" s="1852"/>
      <c r="AIC16" s="1852"/>
      <c r="AID16" s="1852"/>
      <c r="AIE16" s="1852"/>
      <c r="AIF16" s="1852"/>
      <c r="AIG16" s="1852"/>
      <c r="AIH16" s="1852"/>
      <c r="AII16" s="1852"/>
      <c r="AIJ16" s="1852"/>
      <c r="AIK16" s="1852"/>
      <c r="AIL16" s="1852"/>
      <c r="AIM16" s="1852"/>
      <c r="AIN16" s="1852"/>
      <c r="AIO16" s="1852"/>
      <c r="AIP16" s="1852"/>
      <c r="AIQ16" s="1852"/>
      <c r="AIR16" s="1852"/>
      <c r="AIS16" s="1852"/>
      <c r="AIT16" s="1852"/>
      <c r="AIU16" s="1852"/>
      <c r="AIV16" s="1852"/>
      <c r="AIW16" s="1852"/>
      <c r="AIX16" s="1852"/>
      <c r="AIY16" s="1852"/>
      <c r="AIZ16" s="1852"/>
      <c r="AJA16" s="1852"/>
      <c r="AJB16" s="1852"/>
      <c r="AJC16" s="1852"/>
      <c r="AJD16" s="1852"/>
      <c r="AJE16" s="1852"/>
      <c r="AJF16" s="1852"/>
      <c r="AJG16" s="1852"/>
      <c r="AJH16" s="1852"/>
      <c r="AJI16" s="1852"/>
      <c r="AJJ16" s="1852"/>
      <c r="AJK16" s="1852"/>
      <c r="AJL16" s="1852"/>
      <c r="AJM16" s="1852"/>
      <c r="AJN16" s="1852"/>
      <c r="AJO16" s="1852"/>
      <c r="AJP16" s="1852"/>
      <c r="AJQ16" s="1852"/>
      <c r="AJR16" s="1852"/>
      <c r="AJS16" s="1852"/>
      <c r="AJT16" s="1852"/>
      <c r="AJU16" s="1852"/>
      <c r="AJV16" s="1852"/>
      <c r="AJW16" s="1852"/>
      <c r="AJX16" s="1852"/>
      <c r="AJY16" s="1852"/>
      <c r="AJZ16" s="1852"/>
      <c r="AKA16" s="1852"/>
      <c r="AKB16" s="1852"/>
      <c r="AKC16" s="1852"/>
      <c r="AKD16" s="1852"/>
      <c r="AKE16" s="1852"/>
      <c r="AKF16" s="1852"/>
      <c r="AKG16" s="1852"/>
      <c r="AKH16" s="1852"/>
      <c r="AKI16" s="1852"/>
      <c r="AKJ16" s="1852"/>
      <c r="AKK16" s="1852"/>
      <c r="AKL16" s="1852"/>
      <c r="AKM16" s="1852"/>
      <c r="AKN16" s="1852"/>
      <c r="AKO16" s="1852"/>
      <c r="AKP16" s="1852"/>
      <c r="AKQ16" s="1852"/>
      <c r="AKR16" s="1852"/>
      <c r="AKS16" s="1852"/>
      <c r="AKT16" s="1852"/>
      <c r="AKU16" s="1852"/>
      <c r="AKV16" s="1852"/>
      <c r="AKW16" s="1852"/>
      <c r="AKX16" s="1852"/>
      <c r="AKY16" s="1852"/>
      <c r="AKZ16" s="1852"/>
      <c r="ALA16" s="1852"/>
      <c r="ALB16" s="1852"/>
      <c r="ALC16" s="1852"/>
      <c r="ALD16" s="1852"/>
      <c r="ALE16" s="1852"/>
      <c r="ALF16" s="1852"/>
      <c r="ALG16" s="1852"/>
      <c r="ALH16" s="1852"/>
      <c r="ALI16" s="1852"/>
      <c r="ALJ16" s="1852"/>
      <c r="ALK16" s="1852"/>
      <c r="ALL16" s="1852"/>
      <c r="ALM16" s="1852"/>
      <c r="ALN16" s="1852"/>
      <c r="ALO16" s="1852"/>
      <c r="ALP16" s="1852"/>
      <c r="ALQ16" s="1852"/>
      <c r="ALR16" s="1852"/>
    </row>
    <row r="17" spans="1:1006" x14ac:dyDescent="0.3">
      <c r="A17" s="1854"/>
      <c r="B17" t="s">
        <v>1216</v>
      </c>
      <c r="C17" s="1853" t="s">
        <v>1218</v>
      </c>
      <c r="D17" s="1855">
        <f t="shared" si="0"/>
        <v>0</v>
      </c>
      <c r="E17" s="1855">
        <f t="shared" si="1"/>
        <v>0</v>
      </c>
      <c r="F17" s="1855">
        <f t="shared" si="2"/>
        <v>0</v>
      </c>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c r="AP17" s="1852"/>
      <c r="AQ17" s="1852"/>
      <c r="AR17" s="1852"/>
      <c r="AS17" s="1852"/>
      <c r="AT17" s="1852"/>
      <c r="AU17" s="1852"/>
      <c r="AV17" s="1852"/>
      <c r="AW17" s="1852"/>
      <c r="AX17" s="1852"/>
      <c r="AY17" s="1852"/>
      <c r="AZ17" s="1852"/>
      <c r="BA17" s="1852"/>
      <c r="BB17" s="1852"/>
      <c r="BC17" s="1852"/>
      <c r="BD17" s="1852"/>
      <c r="BE17" s="1852"/>
      <c r="BF17" s="1852"/>
      <c r="BG17" s="1852"/>
      <c r="BH17" s="1852"/>
      <c r="BI17" s="1852"/>
      <c r="BJ17" s="1852"/>
      <c r="BK17" s="1852"/>
      <c r="BL17" s="1852"/>
      <c r="BM17" s="1852"/>
      <c r="BN17" s="1852"/>
      <c r="BO17" s="1852"/>
      <c r="BP17" s="1852"/>
      <c r="BQ17" s="1852"/>
      <c r="BR17" s="1852"/>
      <c r="BS17" s="1852"/>
      <c r="BT17" s="1852"/>
      <c r="BU17" s="1852"/>
      <c r="BV17" s="1852"/>
      <c r="BW17" s="1852"/>
      <c r="BX17" s="1852"/>
      <c r="BY17" s="1852"/>
      <c r="BZ17" s="1852"/>
      <c r="CA17" s="1852"/>
      <c r="CB17" s="1852"/>
      <c r="CC17" s="1852"/>
      <c r="CD17" s="1852"/>
      <c r="CE17" s="1852"/>
      <c r="CF17" s="1852"/>
      <c r="CG17" s="1852"/>
      <c r="CH17" s="1852"/>
      <c r="CI17" s="1852"/>
      <c r="CJ17" s="1852"/>
      <c r="CK17" s="1852"/>
      <c r="CL17" s="1852"/>
      <c r="CM17" s="1852"/>
      <c r="CN17" s="1852"/>
      <c r="CO17" s="1852"/>
      <c r="CP17" s="1852"/>
      <c r="CQ17" s="1852"/>
      <c r="CR17" s="1852"/>
      <c r="CS17" s="1852"/>
      <c r="CT17" s="1852"/>
      <c r="CU17" s="1852"/>
      <c r="CV17" s="1852"/>
      <c r="CW17" s="1852"/>
      <c r="CX17" s="1852"/>
      <c r="CY17" s="1852"/>
      <c r="CZ17" s="1852"/>
      <c r="DA17" s="1852"/>
      <c r="DB17" s="1852"/>
      <c r="DC17" s="1852"/>
      <c r="DD17" s="1852"/>
      <c r="DE17" s="1852"/>
      <c r="DF17" s="1852"/>
      <c r="DG17" s="1852"/>
      <c r="DH17" s="1852"/>
      <c r="DI17" s="1852"/>
      <c r="DJ17" s="1852"/>
      <c r="DK17" s="1852"/>
      <c r="DL17" s="1852"/>
      <c r="DM17" s="1852"/>
      <c r="DN17" s="1852"/>
      <c r="DO17" s="1852"/>
      <c r="DP17" s="1852"/>
      <c r="DQ17" s="1852"/>
      <c r="DR17" s="1852"/>
      <c r="DS17" s="1852"/>
      <c r="DT17" s="1852"/>
      <c r="DU17" s="1852"/>
      <c r="DV17" s="1852"/>
      <c r="DW17" s="1852"/>
      <c r="DX17" s="1852"/>
      <c r="DY17" s="1852"/>
      <c r="DZ17" s="1852"/>
      <c r="EA17" s="1852"/>
      <c r="EB17" s="1852"/>
      <c r="EC17" s="1852"/>
      <c r="ED17" s="1852"/>
      <c r="EE17" s="1852"/>
      <c r="EF17" s="1852"/>
      <c r="EG17" s="1852"/>
      <c r="EH17" s="1852"/>
      <c r="EI17" s="1852"/>
      <c r="EJ17" s="1852"/>
      <c r="EK17" s="1852"/>
      <c r="EL17" s="1852"/>
      <c r="EM17" s="1852"/>
      <c r="EN17" s="1852"/>
      <c r="EO17" s="1852"/>
      <c r="EP17" s="1852"/>
      <c r="EQ17" s="1852"/>
      <c r="ER17" s="1852"/>
      <c r="ES17" s="1852"/>
      <c r="ET17" s="1852"/>
      <c r="EU17" s="1852"/>
      <c r="EV17" s="1852"/>
      <c r="EW17" s="1852"/>
      <c r="EX17" s="1852"/>
      <c r="EY17" s="1852"/>
      <c r="EZ17" s="1852"/>
      <c r="FA17" s="1852"/>
      <c r="FB17" s="1852"/>
      <c r="FC17" s="1852"/>
      <c r="FD17" s="1852"/>
      <c r="FE17" s="1852"/>
      <c r="FF17" s="1852"/>
      <c r="FG17" s="1852"/>
      <c r="FH17" s="1852"/>
      <c r="FI17" s="1852"/>
      <c r="FJ17" s="1852"/>
      <c r="FK17" s="1852"/>
      <c r="FL17" s="1852"/>
      <c r="FM17" s="1852"/>
      <c r="FN17" s="1852"/>
      <c r="FO17" s="1852"/>
      <c r="FP17" s="1852"/>
      <c r="FQ17" s="1852"/>
      <c r="FR17" s="1852"/>
      <c r="FS17" s="1852"/>
      <c r="FT17" s="1852"/>
      <c r="FU17" s="1852"/>
      <c r="FV17" s="1852"/>
      <c r="FW17" s="1852"/>
      <c r="FX17" s="1852"/>
      <c r="FY17" s="1852"/>
      <c r="FZ17" s="1852"/>
      <c r="GA17" s="1852"/>
      <c r="GB17" s="1852"/>
      <c r="GC17" s="1852"/>
      <c r="GD17" s="1852"/>
      <c r="GE17" s="1852"/>
      <c r="GF17" s="1852"/>
      <c r="GG17" s="1852"/>
      <c r="GH17" s="1852"/>
      <c r="GI17" s="1852"/>
      <c r="GJ17" s="1852"/>
      <c r="GK17" s="1852"/>
      <c r="GL17" s="1852"/>
      <c r="GM17" s="1852"/>
      <c r="GN17" s="1852"/>
      <c r="GO17" s="1852"/>
      <c r="GP17" s="1852"/>
      <c r="GQ17" s="1852"/>
      <c r="GR17" s="1852"/>
      <c r="GS17" s="1852"/>
      <c r="GT17" s="1852"/>
      <c r="GU17" s="1852"/>
      <c r="GV17" s="1852"/>
      <c r="GW17" s="1852"/>
      <c r="GX17" s="1852"/>
      <c r="GY17" s="1852"/>
      <c r="GZ17" s="1852"/>
      <c r="HA17" s="1852"/>
      <c r="HB17" s="1852"/>
      <c r="HC17" s="1852"/>
      <c r="HD17" s="1852"/>
      <c r="HE17" s="1852"/>
      <c r="HF17" s="1852"/>
      <c r="HG17" s="1852"/>
      <c r="HH17" s="1852"/>
      <c r="HI17" s="1852"/>
      <c r="HJ17" s="1852"/>
      <c r="HK17" s="1852"/>
      <c r="HL17" s="1852"/>
      <c r="HM17" s="1852"/>
      <c r="HN17" s="1852"/>
      <c r="HO17" s="1852"/>
      <c r="HP17" s="1852"/>
      <c r="HQ17" s="1852"/>
      <c r="HR17" s="1852"/>
      <c r="HS17" s="1852"/>
      <c r="HT17" s="1852"/>
      <c r="HU17" s="1852"/>
      <c r="HV17" s="1852"/>
      <c r="HW17" s="1852"/>
      <c r="HX17" s="1852"/>
      <c r="HY17" s="1852"/>
      <c r="HZ17" s="1852"/>
      <c r="IA17" s="1852"/>
      <c r="IB17" s="1852"/>
      <c r="IC17" s="1852"/>
      <c r="ID17" s="1852"/>
      <c r="IE17" s="1852"/>
      <c r="IF17" s="1852"/>
      <c r="IG17" s="1852"/>
      <c r="IH17" s="1852"/>
      <c r="II17" s="1852"/>
      <c r="IJ17" s="1852"/>
      <c r="IK17" s="1852"/>
      <c r="IL17" s="1852"/>
      <c r="IM17" s="1852"/>
      <c r="IN17" s="1852"/>
      <c r="IO17" s="1852"/>
      <c r="IP17" s="1852"/>
      <c r="IQ17" s="1852"/>
      <c r="IR17" s="1852"/>
      <c r="IS17" s="1852"/>
      <c r="IT17" s="1852"/>
      <c r="IU17" s="1852"/>
      <c r="IV17" s="1852"/>
      <c r="IW17" s="1852"/>
      <c r="IX17" s="1852"/>
      <c r="IY17" s="1852"/>
      <c r="IZ17" s="1852"/>
      <c r="JA17" s="1852"/>
      <c r="JB17" s="1852"/>
      <c r="JC17" s="1852"/>
      <c r="JD17" s="1852"/>
      <c r="JE17" s="1852"/>
      <c r="JF17" s="1852"/>
      <c r="JG17" s="1852"/>
      <c r="JH17" s="1852"/>
      <c r="JI17" s="1852"/>
      <c r="JJ17" s="1852"/>
      <c r="JK17" s="1852"/>
      <c r="JL17" s="1852"/>
      <c r="JM17" s="1852"/>
      <c r="JN17" s="1852"/>
      <c r="JO17" s="1852"/>
      <c r="JP17" s="1852"/>
      <c r="JQ17" s="1852"/>
      <c r="JR17" s="1852"/>
      <c r="JS17" s="1852"/>
      <c r="JT17" s="1852"/>
      <c r="JU17" s="1852"/>
      <c r="JV17" s="1852"/>
      <c r="JW17" s="1852"/>
      <c r="JX17" s="1852"/>
      <c r="JY17" s="1852"/>
      <c r="JZ17" s="1852"/>
      <c r="KA17" s="1852"/>
      <c r="KB17" s="1852"/>
      <c r="KC17" s="1852"/>
      <c r="KD17" s="1852"/>
      <c r="KE17" s="1852"/>
      <c r="KF17" s="1852"/>
      <c r="KG17" s="1852"/>
      <c r="KH17" s="1852"/>
      <c r="KI17" s="1852"/>
      <c r="KJ17" s="1852"/>
      <c r="KK17" s="1852"/>
      <c r="KL17" s="1852"/>
      <c r="KM17" s="1852"/>
      <c r="KN17" s="1852"/>
      <c r="KO17" s="1852"/>
      <c r="KP17" s="1852"/>
      <c r="KQ17" s="1852"/>
      <c r="KR17" s="1852"/>
      <c r="KS17" s="1852"/>
      <c r="KT17" s="1852"/>
      <c r="KU17" s="1852"/>
      <c r="KV17" s="1852"/>
      <c r="KW17" s="1852"/>
      <c r="KX17" s="1852"/>
      <c r="KY17" s="1852"/>
      <c r="KZ17" s="1852"/>
      <c r="LA17" s="1852"/>
      <c r="LB17" s="1852"/>
      <c r="LC17" s="1852"/>
      <c r="LD17" s="1852"/>
      <c r="LE17" s="1852"/>
      <c r="LF17" s="1852"/>
      <c r="LG17" s="1852"/>
      <c r="LH17" s="1852"/>
      <c r="LI17" s="1852"/>
      <c r="LJ17" s="1852"/>
      <c r="LK17" s="1852"/>
      <c r="LL17" s="1852"/>
      <c r="LM17" s="1852"/>
      <c r="LN17" s="1852"/>
      <c r="LO17" s="1852"/>
      <c r="LP17" s="1852"/>
      <c r="LQ17" s="1852"/>
      <c r="LR17" s="1852"/>
      <c r="LS17" s="1852"/>
      <c r="LT17" s="1852"/>
      <c r="LU17" s="1852"/>
      <c r="LV17" s="1852"/>
      <c r="LW17" s="1852"/>
      <c r="LX17" s="1852"/>
      <c r="LY17" s="1852"/>
      <c r="LZ17" s="1852"/>
      <c r="MA17" s="1852"/>
      <c r="MB17" s="1852"/>
      <c r="MC17" s="1852"/>
      <c r="MD17" s="1852"/>
      <c r="ME17" s="1852"/>
      <c r="MF17" s="1852"/>
      <c r="MG17" s="1852"/>
      <c r="MH17" s="1852"/>
      <c r="MI17" s="1852"/>
      <c r="MJ17" s="1852"/>
      <c r="MK17" s="1852"/>
      <c r="ML17" s="1852"/>
      <c r="MM17" s="1852"/>
      <c r="MN17" s="1852"/>
      <c r="MO17" s="1852"/>
      <c r="MP17" s="1852"/>
      <c r="MQ17" s="1852"/>
      <c r="MR17" s="1852"/>
      <c r="MS17" s="1852"/>
      <c r="MT17" s="1852"/>
      <c r="MU17" s="1852"/>
      <c r="MV17" s="1852"/>
      <c r="MW17" s="1852"/>
      <c r="MX17" s="1852"/>
      <c r="MY17" s="1852"/>
      <c r="MZ17" s="1852"/>
      <c r="NA17" s="1852"/>
      <c r="NB17" s="1852"/>
      <c r="NC17" s="1852"/>
      <c r="ND17" s="1852"/>
      <c r="NE17" s="1852"/>
      <c r="NF17" s="1852"/>
      <c r="NG17" s="1852"/>
      <c r="NH17" s="1852"/>
      <c r="NI17" s="1852"/>
      <c r="NJ17" s="1852"/>
      <c r="NK17" s="1852"/>
      <c r="NL17" s="1852"/>
      <c r="NM17" s="1852"/>
      <c r="NN17" s="1852"/>
      <c r="NO17" s="1852"/>
      <c r="NP17" s="1852"/>
      <c r="NQ17" s="1852"/>
      <c r="NR17" s="1852"/>
      <c r="NS17" s="1852"/>
      <c r="NT17" s="1852"/>
      <c r="NU17" s="1852"/>
      <c r="NV17" s="1852"/>
      <c r="NW17" s="1852"/>
      <c r="NX17" s="1852"/>
      <c r="NY17" s="1852"/>
      <c r="NZ17" s="1852"/>
      <c r="OA17" s="1852"/>
      <c r="OB17" s="1852"/>
      <c r="OC17" s="1852"/>
      <c r="OD17" s="1852"/>
      <c r="OE17" s="1852"/>
      <c r="OF17" s="1852"/>
      <c r="OG17" s="1852"/>
      <c r="OH17" s="1852"/>
      <c r="OI17" s="1852"/>
      <c r="OJ17" s="1852"/>
      <c r="OK17" s="1852"/>
      <c r="OL17" s="1852"/>
      <c r="OM17" s="1852"/>
      <c r="ON17" s="1852"/>
      <c r="OO17" s="1852"/>
      <c r="OP17" s="1852"/>
      <c r="OQ17" s="1852"/>
      <c r="OR17" s="1852"/>
      <c r="OS17" s="1852"/>
      <c r="OT17" s="1852"/>
      <c r="OU17" s="1852"/>
      <c r="OV17" s="1852"/>
      <c r="OW17" s="1852"/>
      <c r="OX17" s="1852"/>
      <c r="OY17" s="1852"/>
      <c r="OZ17" s="1852"/>
      <c r="PA17" s="1852"/>
      <c r="PB17" s="1852"/>
      <c r="PC17" s="1852"/>
      <c r="PD17" s="1852"/>
      <c r="PE17" s="1852"/>
      <c r="PF17" s="1852"/>
      <c r="PG17" s="1852"/>
      <c r="PH17" s="1852"/>
      <c r="PI17" s="1852"/>
      <c r="PJ17" s="1852"/>
      <c r="PK17" s="1852"/>
      <c r="PL17" s="1852"/>
      <c r="PM17" s="1852"/>
      <c r="PN17" s="1852"/>
      <c r="PO17" s="1852"/>
      <c r="PP17" s="1852"/>
      <c r="PQ17" s="1852"/>
      <c r="PR17" s="1852"/>
      <c r="PS17" s="1852"/>
      <c r="PT17" s="1852"/>
      <c r="PU17" s="1852"/>
      <c r="PV17" s="1852"/>
      <c r="PW17" s="1852"/>
      <c r="PX17" s="1852"/>
      <c r="PY17" s="1852"/>
      <c r="PZ17" s="1852"/>
      <c r="QA17" s="1852"/>
      <c r="QB17" s="1852"/>
      <c r="QC17" s="1852"/>
      <c r="QD17" s="1852"/>
      <c r="QE17" s="1852"/>
      <c r="QF17" s="1852"/>
      <c r="QG17" s="1852"/>
      <c r="QH17" s="1852"/>
      <c r="QI17" s="1852"/>
      <c r="QJ17" s="1852"/>
      <c r="QK17" s="1852"/>
      <c r="QL17" s="1852"/>
      <c r="QM17" s="1852"/>
      <c r="QN17" s="1852"/>
      <c r="QO17" s="1852"/>
      <c r="QP17" s="1852"/>
      <c r="QQ17" s="1852"/>
      <c r="QR17" s="1852"/>
      <c r="QS17" s="1852"/>
      <c r="QT17" s="1852"/>
      <c r="QU17" s="1852"/>
      <c r="QV17" s="1852"/>
      <c r="QW17" s="1852"/>
      <c r="QX17" s="1852"/>
      <c r="QY17" s="1852"/>
      <c r="QZ17" s="1852"/>
      <c r="RA17" s="1852"/>
      <c r="RB17" s="1852"/>
      <c r="RC17" s="1852"/>
      <c r="RD17" s="1852"/>
      <c r="RE17" s="1852"/>
      <c r="RF17" s="1852"/>
      <c r="RG17" s="1852"/>
      <c r="RH17" s="1852"/>
      <c r="RI17" s="1852"/>
      <c r="RJ17" s="1852"/>
      <c r="RK17" s="1852"/>
      <c r="RL17" s="1852"/>
      <c r="RM17" s="1852"/>
      <c r="RN17" s="1852"/>
      <c r="RO17" s="1852"/>
      <c r="RP17" s="1852"/>
      <c r="RQ17" s="1852"/>
      <c r="RR17" s="1852"/>
      <c r="RS17" s="1852"/>
      <c r="RT17" s="1852"/>
      <c r="RU17" s="1852"/>
      <c r="RV17" s="1852"/>
      <c r="RW17" s="1852"/>
      <c r="RX17" s="1852"/>
      <c r="RY17" s="1852"/>
      <c r="RZ17" s="1852"/>
      <c r="SA17" s="1852"/>
      <c r="SB17" s="1852"/>
      <c r="SC17" s="1852"/>
      <c r="SD17" s="1852"/>
      <c r="SE17" s="1852"/>
      <c r="SF17" s="1852"/>
      <c r="SG17" s="1852"/>
      <c r="SH17" s="1852"/>
      <c r="SI17" s="1852"/>
      <c r="SJ17" s="1852"/>
      <c r="SK17" s="1852"/>
      <c r="SL17" s="1852"/>
      <c r="SM17" s="1852"/>
      <c r="SN17" s="1852"/>
      <c r="SO17" s="1852"/>
      <c r="SP17" s="1852"/>
      <c r="SQ17" s="1852"/>
      <c r="SR17" s="1852"/>
      <c r="SS17" s="1852"/>
      <c r="ST17" s="1852"/>
      <c r="SU17" s="1852"/>
      <c r="SV17" s="1852"/>
      <c r="SW17" s="1852"/>
      <c r="SX17" s="1852"/>
      <c r="SY17" s="1852"/>
      <c r="SZ17" s="1852"/>
      <c r="TA17" s="1852"/>
      <c r="TB17" s="1852"/>
      <c r="TC17" s="1852"/>
      <c r="TD17" s="1852"/>
      <c r="TE17" s="1852"/>
      <c r="TF17" s="1852"/>
      <c r="TG17" s="1852"/>
      <c r="TH17" s="1852"/>
      <c r="TI17" s="1852"/>
      <c r="TJ17" s="1852"/>
      <c r="TK17" s="1852"/>
      <c r="TL17" s="1852"/>
      <c r="TM17" s="1852"/>
      <c r="TN17" s="1852"/>
      <c r="TO17" s="1852"/>
      <c r="TP17" s="1852"/>
      <c r="TQ17" s="1852"/>
      <c r="TR17" s="1852"/>
      <c r="TS17" s="1852"/>
      <c r="TT17" s="1852"/>
      <c r="TU17" s="1852"/>
      <c r="TV17" s="1852"/>
      <c r="TW17" s="1852"/>
      <c r="TX17" s="1852"/>
      <c r="TY17" s="1852"/>
      <c r="TZ17" s="1852"/>
      <c r="UA17" s="1852"/>
      <c r="UB17" s="1852"/>
      <c r="UC17" s="1852"/>
      <c r="UD17" s="1852"/>
      <c r="UE17" s="1852"/>
      <c r="UF17" s="1852"/>
      <c r="UG17" s="1852"/>
      <c r="UH17" s="1852"/>
      <c r="UI17" s="1852"/>
      <c r="UJ17" s="1852"/>
      <c r="UK17" s="1852"/>
      <c r="UL17" s="1852"/>
      <c r="UM17" s="1852"/>
      <c r="UN17" s="1852"/>
      <c r="UO17" s="1852"/>
      <c r="UP17" s="1852"/>
      <c r="UQ17" s="1852"/>
      <c r="UR17" s="1852"/>
      <c r="US17" s="1852"/>
      <c r="UT17" s="1852"/>
      <c r="UU17" s="1852"/>
      <c r="UV17" s="1852"/>
      <c r="UW17" s="1852"/>
      <c r="UX17" s="1852"/>
      <c r="UY17" s="1852"/>
      <c r="UZ17" s="1852"/>
      <c r="VA17" s="1852"/>
      <c r="VB17" s="1852"/>
      <c r="VC17" s="1852"/>
      <c r="VD17" s="1852"/>
      <c r="VE17" s="1852"/>
      <c r="VF17" s="1852"/>
      <c r="VG17" s="1852"/>
      <c r="VH17" s="1852"/>
      <c r="VI17" s="1852"/>
      <c r="VJ17" s="1852"/>
      <c r="VK17" s="1852"/>
      <c r="VL17" s="1852"/>
      <c r="VM17" s="1852"/>
      <c r="VN17" s="1852"/>
      <c r="VO17" s="1852"/>
      <c r="VP17" s="1852"/>
      <c r="VQ17" s="1852"/>
      <c r="VR17" s="1852"/>
      <c r="VS17" s="1852"/>
      <c r="VT17" s="1852"/>
      <c r="VU17" s="1852"/>
      <c r="VV17" s="1852"/>
      <c r="VW17" s="1852"/>
      <c r="VX17" s="1852"/>
      <c r="VY17" s="1852"/>
      <c r="VZ17" s="1852"/>
      <c r="WA17" s="1852"/>
      <c r="WB17" s="1852"/>
      <c r="WC17" s="1852"/>
      <c r="WD17" s="1852"/>
      <c r="WE17" s="1852"/>
      <c r="WF17" s="1852"/>
      <c r="WG17" s="1852"/>
      <c r="WH17" s="1852"/>
      <c r="WI17" s="1852"/>
      <c r="WJ17" s="1852"/>
      <c r="WK17" s="1852"/>
      <c r="WL17" s="1852"/>
      <c r="WM17" s="1852"/>
      <c r="WN17" s="1852"/>
      <c r="WO17" s="1852"/>
      <c r="WP17" s="1852"/>
      <c r="WQ17" s="1852"/>
      <c r="WR17" s="1852"/>
      <c r="WS17" s="1852"/>
      <c r="WT17" s="1852"/>
      <c r="WU17" s="1852"/>
      <c r="WV17" s="1852"/>
      <c r="WW17" s="1852"/>
      <c r="WX17" s="1852"/>
      <c r="WY17" s="1852"/>
      <c r="WZ17" s="1852"/>
      <c r="XA17" s="1852"/>
      <c r="XB17" s="1852"/>
      <c r="XC17" s="1852"/>
      <c r="XD17" s="1852"/>
      <c r="XE17" s="1852"/>
      <c r="XF17" s="1852"/>
      <c r="XG17" s="1852"/>
      <c r="XH17" s="1852"/>
      <c r="XI17" s="1852"/>
      <c r="XJ17" s="1852"/>
      <c r="XK17" s="1852"/>
      <c r="XL17" s="1852"/>
      <c r="XM17" s="1852"/>
      <c r="XN17" s="1852"/>
      <c r="XO17" s="1852"/>
      <c r="XP17" s="1852"/>
      <c r="XQ17" s="1852"/>
      <c r="XR17" s="1852"/>
      <c r="XS17" s="1852"/>
      <c r="XT17" s="1852"/>
      <c r="XU17" s="1852"/>
      <c r="XV17" s="1852"/>
      <c r="XW17" s="1852"/>
      <c r="XX17" s="1852"/>
      <c r="XY17" s="1852"/>
      <c r="XZ17" s="1852"/>
      <c r="YA17" s="1852"/>
      <c r="YB17" s="1852"/>
      <c r="YC17" s="1852"/>
      <c r="YD17" s="1852"/>
      <c r="YE17" s="1852"/>
      <c r="YF17" s="1852"/>
      <c r="YG17" s="1852"/>
      <c r="YH17" s="1852"/>
      <c r="YI17" s="1852"/>
      <c r="YJ17" s="1852"/>
      <c r="YK17" s="1852"/>
      <c r="YL17" s="1852"/>
      <c r="YM17" s="1852"/>
      <c r="YN17" s="1852"/>
      <c r="YO17" s="1852"/>
      <c r="YP17" s="1852"/>
      <c r="YQ17" s="1852"/>
      <c r="YR17" s="1852"/>
      <c r="YS17" s="1852"/>
      <c r="YT17" s="1852"/>
      <c r="YU17" s="1852"/>
      <c r="YV17" s="1852"/>
      <c r="YW17" s="1852"/>
      <c r="YX17" s="1852"/>
      <c r="YY17" s="1852"/>
      <c r="YZ17" s="1852"/>
      <c r="ZA17" s="1852"/>
      <c r="ZB17" s="1852"/>
      <c r="ZC17" s="1852"/>
      <c r="ZD17" s="1852"/>
      <c r="ZE17" s="1852"/>
      <c r="ZF17" s="1852"/>
      <c r="ZG17" s="1852"/>
      <c r="ZH17" s="1852"/>
      <c r="ZI17" s="1852"/>
      <c r="ZJ17" s="1852"/>
      <c r="ZK17" s="1852"/>
      <c r="ZL17" s="1852"/>
      <c r="ZM17" s="1852"/>
      <c r="ZN17" s="1852"/>
      <c r="ZO17" s="1852"/>
      <c r="ZP17" s="1852"/>
      <c r="ZQ17" s="1852"/>
      <c r="ZR17" s="1852"/>
      <c r="ZS17" s="1852"/>
      <c r="ZT17" s="1852"/>
      <c r="ZU17" s="1852"/>
      <c r="ZV17" s="1852"/>
      <c r="ZW17" s="1852"/>
      <c r="ZX17" s="1852"/>
      <c r="ZY17" s="1852"/>
      <c r="ZZ17" s="1852"/>
      <c r="AAA17" s="1852"/>
      <c r="AAB17" s="1852"/>
      <c r="AAC17" s="1852"/>
      <c r="AAD17" s="1852"/>
      <c r="AAE17" s="1852"/>
      <c r="AAF17" s="1852"/>
      <c r="AAG17" s="1852"/>
      <c r="AAH17" s="1852"/>
      <c r="AAI17" s="1852"/>
      <c r="AAJ17" s="1852"/>
      <c r="AAK17" s="1852"/>
      <c r="AAL17" s="1852"/>
      <c r="AAM17" s="1852"/>
      <c r="AAN17" s="1852"/>
      <c r="AAO17" s="1852"/>
      <c r="AAP17" s="1852"/>
      <c r="AAQ17" s="1852"/>
      <c r="AAR17" s="1852"/>
      <c r="AAS17" s="1852"/>
      <c r="AAT17" s="1852"/>
      <c r="AAU17" s="1852"/>
      <c r="AAV17" s="1852"/>
      <c r="AAW17" s="1852"/>
      <c r="AAX17" s="1852"/>
      <c r="AAY17" s="1852"/>
      <c r="AAZ17" s="1852"/>
      <c r="ABA17" s="1852"/>
      <c r="ABB17" s="1852"/>
      <c r="ABC17" s="1852"/>
      <c r="ABD17" s="1852"/>
      <c r="ABE17" s="1852"/>
      <c r="ABF17" s="1852"/>
      <c r="ABG17" s="1852"/>
      <c r="ABH17" s="1852"/>
      <c r="ABI17" s="1852"/>
      <c r="ABJ17" s="1852"/>
      <c r="ABK17" s="1852"/>
      <c r="ABL17" s="1852"/>
      <c r="ABM17" s="1852"/>
      <c r="ABN17" s="1852"/>
      <c r="ABO17" s="1852"/>
      <c r="ABP17" s="1852"/>
      <c r="ABQ17" s="1852"/>
      <c r="ABR17" s="1852"/>
      <c r="ABS17" s="1852"/>
      <c r="ABT17" s="1852"/>
      <c r="ABU17" s="1852"/>
      <c r="ABV17" s="1852"/>
      <c r="ABW17" s="1852"/>
      <c r="ABX17" s="1852"/>
      <c r="ABY17" s="1852"/>
      <c r="ABZ17" s="1852"/>
      <c r="ACA17" s="1852"/>
      <c r="ACB17" s="1852"/>
      <c r="ACC17" s="1852"/>
      <c r="ACD17" s="1852"/>
      <c r="ACE17" s="1852"/>
      <c r="ACF17" s="1852"/>
      <c r="ACG17" s="1852"/>
      <c r="ACH17" s="1852"/>
      <c r="ACI17" s="1852"/>
      <c r="ACJ17" s="1852"/>
      <c r="ACK17" s="1852"/>
      <c r="ACL17" s="1852"/>
      <c r="ACM17" s="1852"/>
      <c r="ACN17" s="1852"/>
      <c r="ACO17" s="1852"/>
      <c r="ACP17" s="1852"/>
      <c r="ACQ17" s="1852"/>
      <c r="ACR17" s="1852"/>
      <c r="ACS17" s="1852"/>
      <c r="ACT17" s="1852"/>
      <c r="ACU17" s="1852"/>
      <c r="ACV17" s="1852"/>
      <c r="ACW17" s="1852"/>
      <c r="ACX17" s="1852"/>
      <c r="ACY17" s="1852"/>
      <c r="ACZ17" s="1852"/>
      <c r="ADA17" s="1852"/>
      <c r="ADB17" s="1852"/>
      <c r="ADC17" s="1852"/>
      <c r="ADD17" s="1852"/>
      <c r="ADE17" s="1852"/>
      <c r="ADF17" s="1852"/>
      <c r="ADG17" s="1852"/>
      <c r="ADH17" s="1852"/>
      <c r="ADI17" s="1852"/>
      <c r="ADJ17" s="1852"/>
      <c r="ADK17" s="1852"/>
      <c r="ADL17" s="1852"/>
      <c r="ADM17" s="1852"/>
      <c r="ADN17" s="1852"/>
      <c r="ADO17" s="1852"/>
      <c r="ADP17" s="1852"/>
      <c r="ADQ17" s="1852"/>
      <c r="ADR17" s="1852"/>
      <c r="ADS17" s="1852"/>
      <c r="ADT17" s="1852"/>
      <c r="ADU17" s="1852"/>
      <c r="ADV17" s="1852"/>
      <c r="ADW17" s="1852"/>
      <c r="ADX17" s="1852"/>
      <c r="ADY17" s="1852"/>
      <c r="ADZ17" s="1852"/>
      <c r="AEA17" s="1852"/>
      <c r="AEB17" s="1852"/>
      <c r="AEC17" s="1852"/>
      <c r="AED17" s="1852"/>
      <c r="AEE17" s="1852"/>
      <c r="AEF17" s="1852"/>
      <c r="AEG17" s="1852"/>
      <c r="AEH17" s="1852"/>
      <c r="AEI17" s="1852"/>
      <c r="AEJ17" s="1852"/>
      <c r="AEK17" s="1852"/>
      <c r="AEL17" s="1852"/>
      <c r="AEM17" s="1852"/>
      <c r="AEN17" s="1852"/>
      <c r="AEO17" s="1852"/>
      <c r="AEP17" s="1852"/>
      <c r="AEQ17" s="1852"/>
      <c r="AER17" s="1852"/>
      <c r="AES17" s="1852"/>
      <c r="AET17" s="1852"/>
      <c r="AEU17" s="1852"/>
      <c r="AEV17" s="1852"/>
      <c r="AEW17" s="1852"/>
      <c r="AEX17" s="1852"/>
      <c r="AEY17" s="1852"/>
      <c r="AEZ17" s="1852"/>
      <c r="AFA17" s="1852"/>
      <c r="AFB17" s="1852"/>
      <c r="AFC17" s="1852"/>
      <c r="AFD17" s="1852"/>
      <c r="AFE17" s="1852"/>
      <c r="AFF17" s="1852"/>
      <c r="AFG17" s="1852"/>
      <c r="AFH17" s="1852"/>
      <c r="AFI17" s="1852"/>
      <c r="AFJ17" s="1852"/>
      <c r="AFK17" s="1852"/>
      <c r="AFL17" s="1852"/>
      <c r="AFM17" s="1852"/>
      <c r="AFN17" s="1852"/>
      <c r="AFO17" s="1852"/>
      <c r="AFP17" s="1852"/>
      <c r="AFQ17" s="1852"/>
      <c r="AFR17" s="1852"/>
      <c r="AFS17" s="1852"/>
      <c r="AFT17" s="1852"/>
      <c r="AFU17" s="1852"/>
      <c r="AFV17" s="1852"/>
      <c r="AFW17" s="1852"/>
      <c r="AFX17" s="1852"/>
      <c r="AFY17" s="1852"/>
      <c r="AFZ17" s="1852"/>
      <c r="AGA17" s="1852"/>
      <c r="AGB17" s="1852"/>
      <c r="AGC17" s="1852"/>
      <c r="AGD17" s="1852"/>
      <c r="AGE17" s="1852"/>
      <c r="AGF17" s="1852"/>
      <c r="AGG17" s="1852"/>
      <c r="AGH17" s="1852"/>
      <c r="AGI17" s="1852"/>
      <c r="AGJ17" s="1852"/>
      <c r="AGK17" s="1852"/>
      <c r="AGL17" s="1852"/>
      <c r="AGM17" s="1852"/>
      <c r="AGN17" s="1852"/>
      <c r="AGO17" s="1852"/>
      <c r="AGP17" s="1852"/>
      <c r="AGQ17" s="1852"/>
      <c r="AGR17" s="1852"/>
      <c r="AGS17" s="1852"/>
      <c r="AGT17" s="1852"/>
      <c r="AGU17" s="1852"/>
      <c r="AGV17" s="1852"/>
      <c r="AGW17" s="1852"/>
      <c r="AGX17" s="1852"/>
      <c r="AGY17" s="1852"/>
      <c r="AGZ17" s="1852"/>
      <c r="AHA17" s="1852"/>
      <c r="AHB17" s="1852"/>
      <c r="AHC17" s="1852"/>
      <c r="AHD17" s="1852"/>
      <c r="AHE17" s="1852"/>
      <c r="AHF17" s="1852"/>
      <c r="AHG17" s="1852"/>
      <c r="AHH17" s="1852"/>
      <c r="AHI17" s="1852"/>
      <c r="AHJ17" s="1852"/>
      <c r="AHK17" s="1852"/>
      <c r="AHL17" s="1852"/>
      <c r="AHM17" s="1852"/>
      <c r="AHN17" s="1852"/>
      <c r="AHO17" s="1852"/>
      <c r="AHP17" s="1852"/>
      <c r="AHQ17" s="1852"/>
      <c r="AHR17" s="1852"/>
      <c r="AHS17" s="1852"/>
      <c r="AHT17" s="1852"/>
      <c r="AHU17" s="1852"/>
      <c r="AHV17" s="1852"/>
      <c r="AHW17" s="1852"/>
      <c r="AHX17" s="1852"/>
      <c r="AHY17" s="1852"/>
      <c r="AHZ17" s="1852"/>
      <c r="AIA17" s="1852"/>
      <c r="AIB17" s="1852"/>
      <c r="AIC17" s="1852"/>
      <c r="AID17" s="1852"/>
      <c r="AIE17" s="1852"/>
      <c r="AIF17" s="1852"/>
      <c r="AIG17" s="1852"/>
      <c r="AIH17" s="1852"/>
      <c r="AII17" s="1852"/>
      <c r="AIJ17" s="1852"/>
      <c r="AIK17" s="1852"/>
      <c r="AIL17" s="1852"/>
      <c r="AIM17" s="1852"/>
      <c r="AIN17" s="1852"/>
      <c r="AIO17" s="1852"/>
      <c r="AIP17" s="1852"/>
      <c r="AIQ17" s="1852"/>
      <c r="AIR17" s="1852"/>
      <c r="AIS17" s="1852"/>
      <c r="AIT17" s="1852"/>
      <c r="AIU17" s="1852"/>
      <c r="AIV17" s="1852"/>
      <c r="AIW17" s="1852"/>
      <c r="AIX17" s="1852"/>
      <c r="AIY17" s="1852"/>
      <c r="AIZ17" s="1852"/>
      <c r="AJA17" s="1852"/>
      <c r="AJB17" s="1852"/>
      <c r="AJC17" s="1852"/>
      <c r="AJD17" s="1852"/>
      <c r="AJE17" s="1852"/>
      <c r="AJF17" s="1852"/>
      <c r="AJG17" s="1852"/>
      <c r="AJH17" s="1852"/>
      <c r="AJI17" s="1852"/>
      <c r="AJJ17" s="1852"/>
      <c r="AJK17" s="1852"/>
      <c r="AJL17" s="1852"/>
      <c r="AJM17" s="1852"/>
      <c r="AJN17" s="1852"/>
      <c r="AJO17" s="1852"/>
      <c r="AJP17" s="1852"/>
      <c r="AJQ17" s="1852"/>
      <c r="AJR17" s="1852"/>
      <c r="AJS17" s="1852"/>
      <c r="AJT17" s="1852"/>
      <c r="AJU17" s="1852"/>
      <c r="AJV17" s="1852"/>
      <c r="AJW17" s="1852"/>
      <c r="AJX17" s="1852"/>
      <c r="AJY17" s="1852"/>
      <c r="AJZ17" s="1852"/>
      <c r="AKA17" s="1852"/>
      <c r="AKB17" s="1852"/>
      <c r="AKC17" s="1852"/>
      <c r="AKD17" s="1852"/>
      <c r="AKE17" s="1852"/>
      <c r="AKF17" s="1852"/>
      <c r="AKG17" s="1852"/>
      <c r="AKH17" s="1852"/>
      <c r="AKI17" s="1852"/>
      <c r="AKJ17" s="1852"/>
      <c r="AKK17" s="1852"/>
      <c r="AKL17" s="1852"/>
      <c r="AKM17" s="1852"/>
      <c r="AKN17" s="1852"/>
      <c r="AKO17" s="1852"/>
      <c r="AKP17" s="1852"/>
      <c r="AKQ17" s="1852"/>
      <c r="AKR17" s="1852"/>
      <c r="AKS17" s="1852"/>
      <c r="AKT17" s="1852"/>
      <c r="AKU17" s="1852"/>
      <c r="AKV17" s="1852"/>
      <c r="AKW17" s="1852"/>
      <c r="AKX17" s="1852"/>
      <c r="AKY17" s="1852"/>
      <c r="AKZ17" s="1852"/>
      <c r="ALA17" s="1852"/>
      <c r="ALB17" s="1852"/>
      <c r="ALC17" s="1852"/>
      <c r="ALD17" s="1852"/>
      <c r="ALE17" s="1852"/>
      <c r="ALF17" s="1852"/>
      <c r="ALG17" s="1852"/>
      <c r="ALH17" s="1852"/>
      <c r="ALI17" s="1852"/>
      <c r="ALJ17" s="1852"/>
      <c r="ALK17" s="1852"/>
      <c r="ALL17" s="1852"/>
      <c r="ALM17" s="1852"/>
      <c r="ALN17" s="1852"/>
      <c r="ALO17" s="1852"/>
      <c r="ALP17" s="1852"/>
      <c r="ALQ17" s="1852"/>
      <c r="ALR17" s="1852"/>
    </row>
    <row r="18" spans="1:1006" x14ac:dyDescent="0.3">
      <c r="A18" s="1854"/>
      <c r="B18" t="s">
        <v>1216</v>
      </c>
      <c r="C18" s="1853" t="s">
        <v>1218</v>
      </c>
      <c r="D18" s="1855">
        <f t="shared" si="0"/>
        <v>0</v>
      </c>
      <c r="E18" s="1855">
        <f t="shared" si="1"/>
        <v>0</v>
      </c>
      <c r="F18" s="1855">
        <f t="shared" si="2"/>
        <v>0</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c r="AP18" s="1852"/>
      <c r="AQ18" s="1852"/>
      <c r="AR18" s="1852"/>
      <c r="AS18" s="1852"/>
      <c r="AT18" s="1852"/>
      <c r="AU18" s="1852"/>
      <c r="AV18" s="1852"/>
      <c r="AW18" s="1852"/>
      <c r="AX18" s="1852"/>
      <c r="AY18" s="1852"/>
      <c r="AZ18" s="1852"/>
      <c r="BA18" s="1852"/>
      <c r="BB18" s="1852"/>
      <c r="BC18" s="1852"/>
      <c r="BD18" s="1852"/>
      <c r="BE18" s="1852"/>
      <c r="BF18" s="1852"/>
      <c r="BG18" s="1852"/>
      <c r="BH18" s="1852"/>
      <c r="BI18" s="1852"/>
      <c r="BJ18" s="1852"/>
      <c r="BK18" s="1852"/>
      <c r="BL18" s="1852"/>
      <c r="BM18" s="1852"/>
      <c r="BN18" s="1852"/>
      <c r="BO18" s="1852"/>
      <c r="BP18" s="1852"/>
      <c r="BQ18" s="1852"/>
      <c r="BR18" s="1852"/>
      <c r="BS18" s="1852"/>
      <c r="BT18" s="1852"/>
      <c r="BU18" s="1852"/>
      <c r="BV18" s="1852"/>
      <c r="BW18" s="1852"/>
      <c r="BX18" s="1852"/>
      <c r="BY18" s="1852"/>
      <c r="BZ18" s="1852"/>
      <c r="CA18" s="1852"/>
      <c r="CB18" s="1852"/>
      <c r="CC18" s="1852"/>
      <c r="CD18" s="1852"/>
      <c r="CE18" s="1852"/>
      <c r="CF18" s="1852"/>
      <c r="CG18" s="1852"/>
      <c r="CH18" s="1852"/>
      <c r="CI18" s="1852"/>
      <c r="CJ18" s="1852"/>
      <c r="CK18" s="1852"/>
      <c r="CL18" s="1852"/>
      <c r="CM18" s="1852"/>
      <c r="CN18" s="1852"/>
      <c r="CO18" s="1852"/>
      <c r="CP18" s="1852"/>
      <c r="CQ18" s="1852"/>
      <c r="CR18" s="1852"/>
      <c r="CS18" s="1852"/>
      <c r="CT18" s="1852"/>
      <c r="CU18" s="1852"/>
      <c r="CV18" s="1852"/>
      <c r="CW18" s="1852"/>
      <c r="CX18" s="1852"/>
      <c r="CY18" s="1852"/>
      <c r="CZ18" s="1852"/>
      <c r="DA18" s="1852"/>
      <c r="DB18" s="1852"/>
      <c r="DC18" s="1852"/>
      <c r="DD18" s="1852"/>
      <c r="DE18" s="1852"/>
      <c r="DF18" s="1852"/>
      <c r="DG18" s="1852"/>
      <c r="DH18" s="1852"/>
      <c r="DI18" s="1852"/>
      <c r="DJ18" s="1852"/>
      <c r="DK18" s="1852"/>
      <c r="DL18" s="1852"/>
      <c r="DM18" s="1852"/>
      <c r="DN18" s="1852"/>
      <c r="DO18" s="1852"/>
      <c r="DP18" s="1852"/>
      <c r="DQ18" s="1852"/>
      <c r="DR18" s="1852"/>
      <c r="DS18" s="1852"/>
      <c r="DT18" s="1852"/>
      <c r="DU18" s="1852"/>
      <c r="DV18" s="1852"/>
      <c r="DW18" s="1852"/>
      <c r="DX18" s="1852"/>
      <c r="DY18" s="1852"/>
      <c r="DZ18" s="1852"/>
      <c r="EA18" s="1852"/>
      <c r="EB18" s="1852"/>
      <c r="EC18" s="1852"/>
      <c r="ED18" s="1852"/>
      <c r="EE18" s="1852"/>
      <c r="EF18" s="1852"/>
      <c r="EG18" s="1852"/>
      <c r="EH18" s="1852"/>
      <c r="EI18" s="1852"/>
      <c r="EJ18" s="1852"/>
      <c r="EK18" s="1852"/>
      <c r="EL18" s="1852"/>
      <c r="EM18" s="1852"/>
      <c r="EN18" s="1852"/>
      <c r="EO18" s="1852"/>
      <c r="EP18" s="1852"/>
      <c r="EQ18" s="1852"/>
      <c r="ER18" s="1852"/>
      <c r="ES18" s="1852"/>
      <c r="ET18" s="1852"/>
      <c r="EU18" s="1852"/>
      <c r="EV18" s="1852"/>
      <c r="EW18" s="1852"/>
      <c r="EX18" s="1852"/>
      <c r="EY18" s="1852"/>
      <c r="EZ18" s="1852"/>
      <c r="FA18" s="1852"/>
      <c r="FB18" s="1852"/>
      <c r="FC18" s="1852"/>
      <c r="FD18" s="1852"/>
      <c r="FE18" s="1852"/>
      <c r="FF18" s="1852"/>
      <c r="FG18" s="1852"/>
      <c r="FH18" s="1852"/>
      <c r="FI18" s="1852"/>
      <c r="FJ18" s="1852"/>
      <c r="FK18" s="1852"/>
      <c r="FL18" s="1852"/>
      <c r="FM18" s="1852"/>
      <c r="FN18" s="1852"/>
      <c r="FO18" s="1852"/>
      <c r="FP18" s="1852"/>
      <c r="FQ18" s="1852"/>
      <c r="FR18" s="1852"/>
      <c r="FS18" s="1852"/>
      <c r="FT18" s="1852"/>
      <c r="FU18" s="1852"/>
      <c r="FV18" s="1852"/>
      <c r="FW18" s="1852"/>
      <c r="FX18" s="1852"/>
      <c r="FY18" s="1852"/>
      <c r="FZ18" s="1852"/>
      <c r="GA18" s="1852"/>
      <c r="GB18" s="1852"/>
      <c r="GC18" s="1852"/>
      <c r="GD18" s="1852"/>
      <c r="GE18" s="1852"/>
      <c r="GF18" s="1852"/>
      <c r="GG18" s="1852"/>
      <c r="GH18" s="1852"/>
      <c r="GI18" s="1852"/>
      <c r="GJ18" s="1852"/>
      <c r="GK18" s="1852"/>
      <c r="GL18" s="1852"/>
      <c r="GM18" s="1852"/>
      <c r="GN18" s="1852"/>
      <c r="GO18" s="1852"/>
      <c r="GP18" s="1852"/>
      <c r="GQ18" s="1852"/>
      <c r="GR18" s="1852"/>
      <c r="GS18" s="1852"/>
      <c r="GT18" s="1852"/>
      <c r="GU18" s="1852"/>
      <c r="GV18" s="1852"/>
      <c r="GW18" s="1852"/>
      <c r="GX18" s="1852"/>
      <c r="GY18" s="1852"/>
      <c r="GZ18" s="1852"/>
      <c r="HA18" s="1852"/>
      <c r="HB18" s="1852"/>
      <c r="HC18" s="1852"/>
      <c r="HD18" s="1852"/>
      <c r="HE18" s="1852"/>
      <c r="HF18" s="1852"/>
      <c r="HG18" s="1852"/>
      <c r="HH18" s="1852"/>
      <c r="HI18" s="1852"/>
      <c r="HJ18" s="1852"/>
      <c r="HK18" s="1852"/>
      <c r="HL18" s="1852"/>
      <c r="HM18" s="1852"/>
      <c r="HN18" s="1852"/>
      <c r="HO18" s="1852"/>
      <c r="HP18" s="1852"/>
      <c r="HQ18" s="1852"/>
      <c r="HR18" s="1852"/>
      <c r="HS18" s="1852"/>
      <c r="HT18" s="1852"/>
      <c r="HU18" s="1852"/>
      <c r="HV18" s="1852"/>
      <c r="HW18" s="1852"/>
      <c r="HX18" s="1852"/>
      <c r="HY18" s="1852"/>
      <c r="HZ18" s="1852"/>
      <c r="IA18" s="1852"/>
      <c r="IB18" s="1852"/>
      <c r="IC18" s="1852"/>
      <c r="ID18" s="1852"/>
      <c r="IE18" s="1852"/>
      <c r="IF18" s="1852"/>
      <c r="IG18" s="1852"/>
      <c r="IH18" s="1852"/>
      <c r="II18" s="1852"/>
      <c r="IJ18" s="1852"/>
      <c r="IK18" s="1852"/>
      <c r="IL18" s="1852"/>
      <c r="IM18" s="1852"/>
      <c r="IN18" s="1852"/>
      <c r="IO18" s="1852"/>
      <c r="IP18" s="1852"/>
      <c r="IQ18" s="1852"/>
      <c r="IR18" s="1852"/>
      <c r="IS18" s="1852"/>
      <c r="IT18" s="1852"/>
      <c r="IU18" s="1852"/>
      <c r="IV18" s="1852"/>
      <c r="IW18" s="1852"/>
      <c r="IX18" s="1852"/>
      <c r="IY18" s="1852"/>
      <c r="IZ18" s="1852"/>
      <c r="JA18" s="1852"/>
      <c r="JB18" s="1852"/>
      <c r="JC18" s="1852"/>
      <c r="JD18" s="1852"/>
      <c r="JE18" s="1852"/>
      <c r="JF18" s="1852"/>
      <c r="JG18" s="1852"/>
      <c r="JH18" s="1852"/>
      <c r="JI18" s="1852"/>
      <c r="JJ18" s="1852"/>
      <c r="JK18" s="1852"/>
      <c r="JL18" s="1852"/>
      <c r="JM18" s="1852"/>
      <c r="JN18" s="1852"/>
      <c r="JO18" s="1852"/>
      <c r="JP18" s="1852"/>
      <c r="JQ18" s="1852"/>
      <c r="JR18" s="1852"/>
      <c r="JS18" s="1852"/>
      <c r="JT18" s="1852"/>
      <c r="JU18" s="1852"/>
      <c r="JV18" s="1852"/>
      <c r="JW18" s="1852"/>
      <c r="JX18" s="1852"/>
      <c r="JY18" s="1852"/>
      <c r="JZ18" s="1852"/>
      <c r="KA18" s="1852"/>
      <c r="KB18" s="1852"/>
      <c r="KC18" s="1852"/>
      <c r="KD18" s="1852"/>
      <c r="KE18" s="1852"/>
      <c r="KF18" s="1852"/>
      <c r="KG18" s="1852"/>
      <c r="KH18" s="1852"/>
      <c r="KI18" s="1852"/>
      <c r="KJ18" s="1852"/>
      <c r="KK18" s="1852"/>
      <c r="KL18" s="1852"/>
      <c r="KM18" s="1852"/>
      <c r="KN18" s="1852"/>
      <c r="KO18" s="1852"/>
      <c r="KP18" s="1852"/>
      <c r="KQ18" s="1852"/>
      <c r="KR18" s="1852"/>
      <c r="KS18" s="1852"/>
      <c r="KT18" s="1852"/>
      <c r="KU18" s="1852"/>
      <c r="KV18" s="1852"/>
      <c r="KW18" s="1852"/>
      <c r="KX18" s="1852"/>
      <c r="KY18" s="1852"/>
      <c r="KZ18" s="1852"/>
      <c r="LA18" s="1852"/>
      <c r="LB18" s="1852"/>
      <c r="LC18" s="1852"/>
      <c r="LD18" s="1852"/>
      <c r="LE18" s="1852"/>
      <c r="LF18" s="1852"/>
      <c r="LG18" s="1852"/>
      <c r="LH18" s="1852"/>
      <c r="LI18" s="1852"/>
      <c r="LJ18" s="1852"/>
      <c r="LK18" s="1852"/>
      <c r="LL18" s="1852"/>
      <c r="LM18" s="1852"/>
      <c r="LN18" s="1852"/>
      <c r="LO18" s="1852"/>
      <c r="LP18" s="1852"/>
      <c r="LQ18" s="1852"/>
      <c r="LR18" s="1852"/>
      <c r="LS18" s="1852"/>
      <c r="LT18" s="1852"/>
      <c r="LU18" s="1852"/>
      <c r="LV18" s="1852"/>
      <c r="LW18" s="1852"/>
      <c r="LX18" s="1852"/>
      <c r="LY18" s="1852"/>
      <c r="LZ18" s="1852"/>
      <c r="MA18" s="1852"/>
      <c r="MB18" s="1852"/>
      <c r="MC18" s="1852"/>
      <c r="MD18" s="1852"/>
      <c r="ME18" s="1852"/>
      <c r="MF18" s="1852"/>
      <c r="MG18" s="1852"/>
      <c r="MH18" s="1852"/>
      <c r="MI18" s="1852"/>
      <c r="MJ18" s="1852"/>
      <c r="MK18" s="1852"/>
      <c r="ML18" s="1852"/>
      <c r="MM18" s="1852"/>
      <c r="MN18" s="1852"/>
      <c r="MO18" s="1852"/>
      <c r="MP18" s="1852"/>
      <c r="MQ18" s="1852"/>
      <c r="MR18" s="1852"/>
      <c r="MS18" s="1852"/>
      <c r="MT18" s="1852"/>
      <c r="MU18" s="1852"/>
      <c r="MV18" s="1852"/>
      <c r="MW18" s="1852"/>
      <c r="MX18" s="1852"/>
      <c r="MY18" s="1852"/>
      <c r="MZ18" s="1852"/>
      <c r="NA18" s="1852"/>
      <c r="NB18" s="1852"/>
      <c r="NC18" s="1852"/>
      <c r="ND18" s="1852"/>
      <c r="NE18" s="1852"/>
      <c r="NF18" s="1852"/>
      <c r="NG18" s="1852"/>
      <c r="NH18" s="1852"/>
      <c r="NI18" s="1852"/>
      <c r="NJ18" s="1852"/>
      <c r="NK18" s="1852"/>
      <c r="NL18" s="1852"/>
      <c r="NM18" s="1852"/>
      <c r="NN18" s="1852"/>
      <c r="NO18" s="1852"/>
      <c r="NP18" s="1852"/>
      <c r="NQ18" s="1852"/>
      <c r="NR18" s="1852"/>
      <c r="NS18" s="1852"/>
      <c r="NT18" s="1852"/>
      <c r="NU18" s="1852"/>
      <c r="NV18" s="1852"/>
      <c r="NW18" s="1852"/>
      <c r="NX18" s="1852"/>
      <c r="NY18" s="1852"/>
      <c r="NZ18" s="1852"/>
      <c r="OA18" s="1852"/>
      <c r="OB18" s="1852"/>
      <c r="OC18" s="1852"/>
      <c r="OD18" s="1852"/>
      <c r="OE18" s="1852"/>
      <c r="OF18" s="1852"/>
      <c r="OG18" s="1852"/>
      <c r="OH18" s="1852"/>
      <c r="OI18" s="1852"/>
      <c r="OJ18" s="1852"/>
      <c r="OK18" s="1852"/>
      <c r="OL18" s="1852"/>
      <c r="OM18" s="1852"/>
      <c r="ON18" s="1852"/>
      <c r="OO18" s="1852"/>
      <c r="OP18" s="1852"/>
      <c r="OQ18" s="1852"/>
      <c r="OR18" s="1852"/>
      <c r="OS18" s="1852"/>
      <c r="OT18" s="1852"/>
      <c r="OU18" s="1852"/>
      <c r="OV18" s="1852"/>
      <c r="OW18" s="1852"/>
      <c r="OX18" s="1852"/>
      <c r="OY18" s="1852"/>
      <c r="OZ18" s="1852"/>
      <c r="PA18" s="1852"/>
      <c r="PB18" s="1852"/>
      <c r="PC18" s="1852"/>
      <c r="PD18" s="1852"/>
      <c r="PE18" s="1852"/>
      <c r="PF18" s="1852"/>
      <c r="PG18" s="1852"/>
      <c r="PH18" s="1852"/>
      <c r="PI18" s="1852"/>
      <c r="PJ18" s="1852"/>
      <c r="PK18" s="1852"/>
      <c r="PL18" s="1852"/>
      <c r="PM18" s="1852"/>
      <c r="PN18" s="1852"/>
      <c r="PO18" s="1852"/>
      <c r="PP18" s="1852"/>
      <c r="PQ18" s="1852"/>
      <c r="PR18" s="1852"/>
      <c r="PS18" s="1852"/>
      <c r="PT18" s="1852"/>
      <c r="PU18" s="1852"/>
      <c r="PV18" s="1852"/>
      <c r="PW18" s="1852"/>
      <c r="PX18" s="1852"/>
      <c r="PY18" s="1852"/>
      <c r="PZ18" s="1852"/>
      <c r="QA18" s="1852"/>
      <c r="QB18" s="1852"/>
      <c r="QC18" s="1852"/>
      <c r="QD18" s="1852"/>
      <c r="QE18" s="1852"/>
      <c r="QF18" s="1852"/>
      <c r="QG18" s="1852"/>
      <c r="QH18" s="1852"/>
      <c r="QI18" s="1852"/>
      <c r="QJ18" s="1852"/>
      <c r="QK18" s="1852"/>
      <c r="QL18" s="1852"/>
      <c r="QM18" s="1852"/>
      <c r="QN18" s="1852"/>
      <c r="QO18" s="1852"/>
      <c r="QP18" s="1852"/>
      <c r="QQ18" s="1852"/>
      <c r="QR18" s="1852"/>
      <c r="QS18" s="1852"/>
      <c r="QT18" s="1852"/>
      <c r="QU18" s="1852"/>
      <c r="QV18" s="1852"/>
      <c r="QW18" s="1852"/>
      <c r="QX18" s="1852"/>
      <c r="QY18" s="1852"/>
      <c r="QZ18" s="1852"/>
      <c r="RA18" s="1852"/>
      <c r="RB18" s="1852"/>
      <c r="RC18" s="1852"/>
      <c r="RD18" s="1852"/>
      <c r="RE18" s="1852"/>
      <c r="RF18" s="1852"/>
      <c r="RG18" s="1852"/>
      <c r="RH18" s="1852"/>
      <c r="RI18" s="1852"/>
      <c r="RJ18" s="1852"/>
      <c r="RK18" s="1852"/>
      <c r="RL18" s="1852"/>
      <c r="RM18" s="1852"/>
      <c r="RN18" s="1852"/>
      <c r="RO18" s="1852"/>
      <c r="RP18" s="1852"/>
      <c r="RQ18" s="1852"/>
      <c r="RR18" s="1852"/>
      <c r="RS18" s="1852"/>
      <c r="RT18" s="1852"/>
      <c r="RU18" s="1852"/>
      <c r="RV18" s="1852"/>
      <c r="RW18" s="1852"/>
      <c r="RX18" s="1852"/>
      <c r="RY18" s="1852"/>
      <c r="RZ18" s="1852"/>
      <c r="SA18" s="1852"/>
      <c r="SB18" s="1852"/>
      <c r="SC18" s="1852"/>
      <c r="SD18" s="1852"/>
      <c r="SE18" s="1852"/>
      <c r="SF18" s="1852"/>
      <c r="SG18" s="1852"/>
      <c r="SH18" s="1852"/>
      <c r="SI18" s="1852"/>
      <c r="SJ18" s="1852"/>
      <c r="SK18" s="1852"/>
      <c r="SL18" s="1852"/>
      <c r="SM18" s="1852"/>
      <c r="SN18" s="1852"/>
      <c r="SO18" s="1852"/>
      <c r="SP18" s="1852"/>
      <c r="SQ18" s="1852"/>
      <c r="SR18" s="1852"/>
      <c r="SS18" s="1852"/>
      <c r="ST18" s="1852"/>
      <c r="SU18" s="1852"/>
      <c r="SV18" s="1852"/>
      <c r="SW18" s="1852"/>
      <c r="SX18" s="1852"/>
      <c r="SY18" s="1852"/>
      <c r="SZ18" s="1852"/>
      <c r="TA18" s="1852"/>
      <c r="TB18" s="1852"/>
      <c r="TC18" s="1852"/>
      <c r="TD18" s="1852"/>
      <c r="TE18" s="1852"/>
      <c r="TF18" s="1852"/>
      <c r="TG18" s="1852"/>
      <c r="TH18" s="1852"/>
      <c r="TI18" s="1852"/>
      <c r="TJ18" s="1852"/>
      <c r="TK18" s="1852"/>
      <c r="TL18" s="1852"/>
      <c r="TM18" s="1852"/>
      <c r="TN18" s="1852"/>
      <c r="TO18" s="1852"/>
      <c r="TP18" s="1852"/>
      <c r="TQ18" s="1852"/>
      <c r="TR18" s="1852"/>
      <c r="TS18" s="1852"/>
      <c r="TT18" s="1852"/>
      <c r="TU18" s="1852"/>
      <c r="TV18" s="1852"/>
      <c r="TW18" s="1852"/>
      <c r="TX18" s="1852"/>
      <c r="TY18" s="1852"/>
      <c r="TZ18" s="1852"/>
      <c r="UA18" s="1852"/>
      <c r="UB18" s="1852"/>
      <c r="UC18" s="1852"/>
      <c r="UD18" s="1852"/>
      <c r="UE18" s="1852"/>
      <c r="UF18" s="1852"/>
      <c r="UG18" s="1852"/>
      <c r="UH18" s="1852"/>
      <c r="UI18" s="1852"/>
      <c r="UJ18" s="1852"/>
      <c r="UK18" s="1852"/>
      <c r="UL18" s="1852"/>
      <c r="UM18" s="1852"/>
      <c r="UN18" s="1852"/>
      <c r="UO18" s="1852"/>
      <c r="UP18" s="1852"/>
      <c r="UQ18" s="1852"/>
      <c r="UR18" s="1852"/>
      <c r="US18" s="1852"/>
      <c r="UT18" s="1852"/>
      <c r="UU18" s="1852"/>
      <c r="UV18" s="1852"/>
      <c r="UW18" s="1852"/>
      <c r="UX18" s="1852"/>
      <c r="UY18" s="1852"/>
      <c r="UZ18" s="1852"/>
      <c r="VA18" s="1852"/>
      <c r="VB18" s="1852"/>
      <c r="VC18" s="1852"/>
      <c r="VD18" s="1852"/>
      <c r="VE18" s="1852"/>
      <c r="VF18" s="1852"/>
      <c r="VG18" s="1852"/>
      <c r="VH18" s="1852"/>
      <c r="VI18" s="1852"/>
      <c r="VJ18" s="1852"/>
      <c r="VK18" s="1852"/>
      <c r="VL18" s="1852"/>
      <c r="VM18" s="1852"/>
      <c r="VN18" s="1852"/>
      <c r="VO18" s="1852"/>
      <c r="VP18" s="1852"/>
      <c r="VQ18" s="1852"/>
      <c r="VR18" s="1852"/>
      <c r="VS18" s="1852"/>
      <c r="VT18" s="1852"/>
      <c r="VU18" s="1852"/>
      <c r="VV18" s="1852"/>
      <c r="VW18" s="1852"/>
      <c r="VX18" s="1852"/>
      <c r="VY18" s="1852"/>
      <c r="VZ18" s="1852"/>
      <c r="WA18" s="1852"/>
      <c r="WB18" s="1852"/>
      <c r="WC18" s="1852"/>
      <c r="WD18" s="1852"/>
      <c r="WE18" s="1852"/>
      <c r="WF18" s="1852"/>
      <c r="WG18" s="1852"/>
      <c r="WH18" s="1852"/>
      <c r="WI18" s="1852"/>
      <c r="WJ18" s="1852"/>
      <c r="WK18" s="1852"/>
      <c r="WL18" s="1852"/>
      <c r="WM18" s="1852"/>
      <c r="WN18" s="1852"/>
      <c r="WO18" s="1852"/>
      <c r="WP18" s="1852"/>
      <c r="WQ18" s="1852"/>
      <c r="WR18" s="1852"/>
      <c r="WS18" s="1852"/>
      <c r="WT18" s="1852"/>
      <c r="WU18" s="1852"/>
      <c r="WV18" s="1852"/>
      <c r="WW18" s="1852"/>
      <c r="WX18" s="1852"/>
      <c r="WY18" s="1852"/>
      <c r="WZ18" s="1852"/>
      <c r="XA18" s="1852"/>
      <c r="XB18" s="1852"/>
      <c r="XC18" s="1852"/>
      <c r="XD18" s="1852"/>
      <c r="XE18" s="1852"/>
      <c r="XF18" s="1852"/>
      <c r="XG18" s="1852"/>
      <c r="XH18" s="1852"/>
      <c r="XI18" s="1852"/>
      <c r="XJ18" s="1852"/>
      <c r="XK18" s="1852"/>
      <c r="XL18" s="1852"/>
      <c r="XM18" s="1852"/>
      <c r="XN18" s="1852"/>
      <c r="XO18" s="1852"/>
      <c r="XP18" s="1852"/>
      <c r="XQ18" s="1852"/>
      <c r="XR18" s="1852"/>
      <c r="XS18" s="1852"/>
      <c r="XT18" s="1852"/>
      <c r="XU18" s="1852"/>
      <c r="XV18" s="1852"/>
      <c r="XW18" s="1852"/>
      <c r="XX18" s="1852"/>
      <c r="XY18" s="1852"/>
      <c r="XZ18" s="1852"/>
      <c r="YA18" s="1852"/>
      <c r="YB18" s="1852"/>
      <c r="YC18" s="1852"/>
      <c r="YD18" s="1852"/>
      <c r="YE18" s="1852"/>
      <c r="YF18" s="1852"/>
      <c r="YG18" s="1852"/>
      <c r="YH18" s="1852"/>
      <c r="YI18" s="1852"/>
      <c r="YJ18" s="1852"/>
      <c r="YK18" s="1852"/>
      <c r="YL18" s="1852"/>
      <c r="YM18" s="1852"/>
      <c r="YN18" s="1852"/>
      <c r="YO18" s="1852"/>
      <c r="YP18" s="1852"/>
      <c r="YQ18" s="1852"/>
      <c r="YR18" s="1852"/>
      <c r="YS18" s="1852"/>
      <c r="YT18" s="1852"/>
      <c r="YU18" s="1852"/>
      <c r="YV18" s="1852"/>
      <c r="YW18" s="1852"/>
      <c r="YX18" s="1852"/>
      <c r="YY18" s="1852"/>
      <c r="YZ18" s="1852"/>
      <c r="ZA18" s="1852"/>
      <c r="ZB18" s="1852"/>
      <c r="ZC18" s="1852"/>
      <c r="ZD18" s="1852"/>
      <c r="ZE18" s="1852"/>
      <c r="ZF18" s="1852"/>
      <c r="ZG18" s="1852"/>
      <c r="ZH18" s="1852"/>
      <c r="ZI18" s="1852"/>
      <c r="ZJ18" s="1852"/>
      <c r="ZK18" s="1852"/>
      <c r="ZL18" s="1852"/>
      <c r="ZM18" s="1852"/>
      <c r="ZN18" s="1852"/>
      <c r="ZO18" s="1852"/>
      <c r="ZP18" s="1852"/>
      <c r="ZQ18" s="1852"/>
      <c r="ZR18" s="1852"/>
      <c r="ZS18" s="1852"/>
      <c r="ZT18" s="1852"/>
      <c r="ZU18" s="1852"/>
      <c r="ZV18" s="1852"/>
      <c r="ZW18" s="1852"/>
      <c r="ZX18" s="1852"/>
      <c r="ZY18" s="1852"/>
      <c r="ZZ18" s="1852"/>
      <c r="AAA18" s="1852"/>
      <c r="AAB18" s="1852"/>
      <c r="AAC18" s="1852"/>
      <c r="AAD18" s="1852"/>
      <c r="AAE18" s="1852"/>
      <c r="AAF18" s="1852"/>
      <c r="AAG18" s="1852"/>
      <c r="AAH18" s="1852"/>
      <c r="AAI18" s="1852"/>
      <c r="AAJ18" s="1852"/>
      <c r="AAK18" s="1852"/>
      <c r="AAL18" s="1852"/>
      <c r="AAM18" s="1852"/>
      <c r="AAN18" s="1852"/>
      <c r="AAO18" s="1852"/>
      <c r="AAP18" s="1852"/>
      <c r="AAQ18" s="1852"/>
      <c r="AAR18" s="1852"/>
      <c r="AAS18" s="1852"/>
      <c r="AAT18" s="1852"/>
      <c r="AAU18" s="1852"/>
      <c r="AAV18" s="1852"/>
      <c r="AAW18" s="1852"/>
      <c r="AAX18" s="1852"/>
      <c r="AAY18" s="1852"/>
      <c r="AAZ18" s="1852"/>
      <c r="ABA18" s="1852"/>
      <c r="ABB18" s="1852"/>
      <c r="ABC18" s="1852"/>
      <c r="ABD18" s="1852"/>
      <c r="ABE18" s="1852"/>
      <c r="ABF18" s="1852"/>
      <c r="ABG18" s="1852"/>
      <c r="ABH18" s="1852"/>
      <c r="ABI18" s="1852"/>
      <c r="ABJ18" s="1852"/>
      <c r="ABK18" s="1852"/>
      <c r="ABL18" s="1852"/>
      <c r="ABM18" s="1852"/>
      <c r="ABN18" s="1852"/>
      <c r="ABO18" s="1852"/>
      <c r="ABP18" s="1852"/>
      <c r="ABQ18" s="1852"/>
      <c r="ABR18" s="1852"/>
      <c r="ABS18" s="1852"/>
      <c r="ABT18" s="1852"/>
      <c r="ABU18" s="1852"/>
      <c r="ABV18" s="1852"/>
      <c r="ABW18" s="1852"/>
      <c r="ABX18" s="1852"/>
      <c r="ABY18" s="1852"/>
      <c r="ABZ18" s="1852"/>
      <c r="ACA18" s="1852"/>
      <c r="ACB18" s="1852"/>
      <c r="ACC18" s="1852"/>
      <c r="ACD18" s="1852"/>
      <c r="ACE18" s="1852"/>
      <c r="ACF18" s="1852"/>
      <c r="ACG18" s="1852"/>
      <c r="ACH18" s="1852"/>
      <c r="ACI18" s="1852"/>
      <c r="ACJ18" s="1852"/>
      <c r="ACK18" s="1852"/>
      <c r="ACL18" s="1852"/>
      <c r="ACM18" s="1852"/>
      <c r="ACN18" s="1852"/>
      <c r="ACO18" s="1852"/>
      <c r="ACP18" s="1852"/>
      <c r="ACQ18" s="1852"/>
      <c r="ACR18" s="1852"/>
      <c r="ACS18" s="1852"/>
      <c r="ACT18" s="1852"/>
      <c r="ACU18" s="1852"/>
      <c r="ACV18" s="1852"/>
      <c r="ACW18" s="1852"/>
      <c r="ACX18" s="1852"/>
      <c r="ACY18" s="1852"/>
      <c r="ACZ18" s="1852"/>
      <c r="ADA18" s="1852"/>
      <c r="ADB18" s="1852"/>
      <c r="ADC18" s="1852"/>
      <c r="ADD18" s="1852"/>
      <c r="ADE18" s="1852"/>
      <c r="ADF18" s="1852"/>
      <c r="ADG18" s="1852"/>
      <c r="ADH18" s="1852"/>
      <c r="ADI18" s="1852"/>
      <c r="ADJ18" s="1852"/>
      <c r="ADK18" s="1852"/>
      <c r="ADL18" s="1852"/>
      <c r="ADM18" s="1852"/>
      <c r="ADN18" s="1852"/>
      <c r="ADO18" s="1852"/>
      <c r="ADP18" s="1852"/>
      <c r="ADQ18" s="1852"/>
      <c r="ADR18" s="1852"/>
      <c r="ADS18" s="1852"/>
      <c r="ADT18" s="1852"/>
      <c r="ADU18" s="1852"/>
      <c r="ADV18" s="1852"/>
      <c r="ADW18" s="1852"/>
      <c r="ADX18" s="1852"/>
      <c r="ADY18" s="1852"/>
      <c r="ADZ18" s="1852"/>
      <c r="AEA18" s="1852"/>
      <c r="AEB18" s="1852"/>
      <c r="AEC18" s="1852"/>
      <c r="AED18" s="1852"/>
      <c r="AEE18" s="1852"/>
      <c r="AEF18" s="1852"/>
      <c r="AEG18" s="1852"/>
      <c r="AEH18" s="1852"/>
      <c r="AEI18" s="1852"/>
      <c r="AEJ18" s="1852"/>
      <c r="AEK18" s="1852"/>
      <c r="AEL18" s="1852"/>
      <c r="AEM18" s="1852"/>
      <c r="AEN18" s="1852"/>
      <c r="AEO18" s="1852"/>
      <c r="AEP18" s="1852"/>
      <c r="AEQ18" s="1852"/>
      <c r="AER18" s="1852"/>
      <c r="AES18" s="1852"/>
      <c r="AET18" s="1852"/>
      <c r="AEU18" s="1852"/>
      <c r="AEV18" s="1852"/>
      <c r="AEW18" s="1852"/>
      <c r="AEX18" s="1852"/>
      <c r="AEY18" s="1852"/>
      <c r="AEZ18" s="1852"/>
      <c r="AFA18" s="1852"/>
      <c r="AFB18" s="1852"/>
      <c r="AFC18" s="1852"/>
      <c r="AFD18" s="1852"/>
      <c r="AFE18" s="1852"/>
      <c r="AFF18" s="1852"/>
      <c r="AFG18" s="1852"/>
      <c r="AFH18" s="1852"/>
      <c r="AFI18" s="1852"/>
      <c r="AFJ18" s="1852"/>
      <c r="AFK18" s="1852"/>
      <c r="AFL18" s="1852"/>
      <c r="AFM18" s="1852"/>
      <c r="AFN18" s="1852"/>
      <c r="AFO18" s="1852"/>
      <c r="AFP18" s="1852"/>
      <c r="AFQ18" s="1852"/>
      <c r="AFR18" s="1852"/>
      <c r="AFS18" s="1852"/>
      <c r="AFT18" s="1852"/>
      <c r="AFU18" s="1852"/>
      <c r="AFV18" s="1852"/>
      <c r="AFW18" s="1852"/>
      <c r="AFX18" s="1852"/>
      <c r="AFY18" s="1852"/>
      <c r="AFZ18" s="1852"/>
      <c r="AGA18" s="1852"/>
      <c r="AGB18" s="1852"/>
      <c r="AGC18" s="1852"/>
      <c r="AGD18" s="1852"/>
      <c r="AGE18" s="1852"/>
      <c r="AGF18" s="1852"/>
      <c r="AGG18" s="1852"/>
      <c r="AGH18" s="1852"/>
      <c r="AGI18" s="1852"/>
      <c r="AGJ18" s="1852"/>
      <c r="AGK18" s="1852"/>
      <c r="AGL18" s="1852"/>
      <c r="AGM18" s="1852"/>
      <c r="AGN18" s="1852"/>
      <c r="AGO18" s="1852"/>
      <c r="AGP18" s="1852"/>
      <c r="AGQ18" s="1852"/>
      <c r="AGR18" s="1852"/>
      <c r="AGS18" s="1852"/>
      <c r="AGT18" s="1852"/>
      <c r="AGU18" s="1852"/>
      <c r="AGV18" s="1852"/>
      <c r="AGW18" s="1852"/>
      <c r="AGX18" s="1852"/>
      <c r="AGY18" s="1852"/>
      <c r="AGZ18" s="1852"/>
      <c r="AHA18" s="1852"/>
      <c r="AHB18" s="1852"/>
      <c r="AHC18" s="1852"/>
      <c r="AHD18" s="1852"/>
      <c r="AHE18" s="1852"/>
      <c r="AHF18" s="1852"/>
      <c r="AHG18" s="1852"/>
      <c r="AHH18" s="1852"/>
      <c r="AHI18" s="1852"/>
      <c r="AHJ18" s="1852"/>
      <c r="AHK18" s="1852"/>
      <c r="AHL18" s="1852"/>
      <c r="AHM18" s="1852"/>
      <c r="AHN18" s="1852"/>
      <c r="AHO18" s="1852"/>
      <c r="AHP18" s="1852"/>
      <c r="AHQ18" s="1852"/>
      <c r="AHR18" s="1852"/>
      <c r="AHS18" s="1852"/>
      <c r="AHT18" s="1852"/>
      <c r="AHU18" s="1852"/>
      <c r="AHV18" s="1852"/>
      <c r="AHW18" s="1852"/>
      <c r="AHX18" s="1852"/>
      <c r="AHY18" s="1852"/>
      <c r="AHZ18" s="1852"/>
      <c r="AIA18" s="1852"/>
      <c r="AIB18" s="1852"/>
      <c r="AIC18" s="1852"/>
      <c r="AID18" s="1852"/>
      <c r="AIE18" s="1852"/>
      <c r="AIF18" s="1852"/>
      <c r="AIG18" s="1852"/>
      <c r="AIH18" s="1852"/>
      <c r="AII18" s="1852"/>
      <c r="AIJ18" s="1852"/>
      <c r="AIK18" s="1852"/>
      <c r="AIL18" s="1852"/>
      <c r="AIM18" s="1852"/>
      <c r="AIN18" s="1852"/>
      <c r="AIO18" s="1852"/>
      <c r="AIP18" s="1852"/>
      <c r="AIQ18" s="1852"/>
      <c r="AIR18" s="1852"/>
      <c r="AIS18" s="1852"/>
      <c r="AIT18" s="1852"/>
      <c r="AIU18" s="1852"/>
      <c r="AIV18" s="1852"/>
      <c r="AIW18" s="1852"/>
      <c r="AIX18" s="1852"/>
      <c r="AIY18" s="1852"/>
      <c r="AIZ18" s="1852"/>
      <c r="AJA18" s="1852"/>
      <c r="AJB18" s="1852"/>
      <c r="AJC18" s="1852"/>
      <c r="AJD18" s="1852"/>
      <c r="AJE18" s="1852"/>
      <c r="AJF18" s="1852"/>
      <c r="AJG18" s="1852"/>
      <c r="AJH18" s="1852"/>
      <c r="AJI18" s="1852"/>
      <c r="AJJ18" s="1852"/>
      <c r="AJK18" s="1852"/>
      <c r="AJL18" s="1852"/>
      <c r="AJM18" s="1852"/>
      <c r="AJN18" s="1852"/>
      <c r="AJO18" s="1852"/>
      <c r="AJP18" s="1852"/>
      <c r="AJQ18" s="1852"/>
      <c r="AJR18" s="1852"/>
      <c r="AJS18" s="1852"/>
      <c r="AJT18" s="1852"/>
      <c r="AJU18" s="1852"/>
      <c r="AJV18" s="1852"/>
      <c r="AJW18" s="1852"/>
      <c r="AJX18" s="1852"/>
      <c r="AJY18" s="1852"/>
      <c r="AJZ18" s="1852"/>
      <c r="AKA18" s="1852"/>
      <c r="AKB18" s="1852"/>
      <c r="AKC18" s="1852"/>
      <c r="AKD18" s="1852"/>
      <c r="AKE18" s="1852"/>
      <c r="AKF18" s="1852"/>
      <c r="AKG18" s="1852"/>
      <c r="AKH18" s="1852"/>
      <c r="AKI18" s="1852"/>
      <c r="AKJ18" s="1852"/>
      <c r="AKK18" s="1852"/>
      <c r="AKL18" s="1852"/>
      <c r="AKM18" s="1852"/>
      <c r="AKN18" s="1852"/>
      <c r="AKO18" s="1852"/>
      <c r="AKP18" s="1852"/>
      <c r="AKQ18" s="1852"/>
      <c r="AKR18" s="1852"/>
      <c r="AKS18" s="1852"/>
      <c r="AKT18" s="1852"/>
      <c r="AKU18" s="1852"/>
      <c r="AKV18" s="1852"/>
      <c r="AKW18" s="1852"/>
      <c r="AKX18" s="1852"/>
      <c r="AKY18" s="1852"/>
      <c r="AKZ18" s="1852"/>
      <c r="ALA18" s="1852"/>
      <c r="ALB18" s="1852"/>
      <c r="ALC18" s="1852"/>
      <c r="ALD18" s="1852"/>
      <c r="ALE18" s="1852"/>
      <c r="ALF18" s="1852"/>
      <c r="ALG18" s="1852"/>
      <c r="ALH18" s="1852"/>
      <c r="ALI18" s="1852"/>
      <c r="ALJ18" s="1852"/>
      <c r="ALK18" s="1852"/>
      <c r="ALL18" s="1852"/>
      <c r="ALM18" s="1852"/>
      <c r="ALN18" s="1852"/>
      <c r="ALO18" s="1852"/>
      <c r="ALP18" s="1852"/>
      <c r="ALQ18" s="1852"/>
      <c r="ALR18" s="1852"/>
    </row>
    <row r="19" spans="1:1006" x14ac:dyDescent="0.3">
      <c r="A19" s="1854"/>
      <c r="B19" t="s">
        <v>1216</v>
      </c>
      <c r="C19" s="1853" t="s">
        <v>1218</v>
      </c>
      <c r="D19" s="1855">
        <f t="shared" si="0"/>
        <v>0</v>
      </c>
      <c r="E19" s="1855">
        <f t="shared" si="1"/>
        <v>0</v>
      </c>
      <c r="F19" s="1855">
        <f t="shared" si="2"/>
        <v>0</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c r="AP19" s="1852"/>
      <c r="AQ19" s="1852"/>
      <c r="AR19" s="1852"/>
      <c r="AS19" s="1852"/>
      <c r="AT19" s="1852"/>
      <c r="AU19" s="1852"/>
      <c r="AV19" s="1852"/>
      <c r="AW19" s="1852"/>
      <c r="AX19" s="1852"/>
      <c r="AY19" s="1852"/>
      <c r="AZ19" s="1852"/>
      <c r="BA19" s="1852"/>
      <c r="BB19" s="1852"/>
      <c r="BC19" s="1852"/>
      <c r="BD19" s="1852"/>
      <c r="BE19" s="1852"/>
      <c r="BF19" s="1852"/>
      <c r="BG19" s="1852"/>
      <c r="BH19" s="1852"/>
      <c r="BI19" s="1852"/>
      <c r="BJ19" s="1852"/>
      <c r="BK19" s="1852"/>
      <c r="BL19" s="1852"/>
      <c r="BM19" s="1852"/>
      <c r="BN19" s="1852"/>
      <c r="BO19" s="1852"/>
      <c r="BP19" s="1852"/>
      <c r="BQ19" s="1852"/>
      <c r="BR19" s="1852"/>
      <c r="BS19" s="1852"/>
      <c r="BT19" s="1852"/>
      <c r="BU19" s="1852"/>
      <c r="BV19" s="1852"/>
      <c r="BW19" s="1852"/>
      <c r="BX19" s="1852"/>
      <c r="BY19" s="1852"/>
      <c r="BZ19" s="1852"/>
      <c r="CA19" s="1852"/>
      <c r="CB19" s="1852"/>
      <c r="CC19" s="1852"/>
      <c r="CD19" s="1852"/>
      <c r="CE19" s="1852"/>
      <c r="CF19" s="1852"/>
      <c r="CG19" s="1852"/>
      <c r="CH19" s="1852"/>
      <c r="CI19" s="1852"/>
      <c r="CJ19" s="1852"/>
      <c r="CK19" s="1852"/>
      <c r="CL19" s="1852"/>
      <c r="CM19" s="1852"/>
      <c r="CN19" s="1852"/>
      <c r="CO19" s="1852"/>
      <c r="CP19" s="1852"/>
      <c r="CQ19" s="1852"/>
      <c r="CR19" s="1852"/>
      <c r="CS19" s="1852"/>
      <c r="CT19" s="1852"/>
      <c r="CU19" s="1852"/>
      <c r="CV19" s="1852"/>
      <c r="CW19" s="1852"/>
      <c r="CX19" s="1852"/>
      <c r="CY19" s="1852"/>
      <c r="CZ19" s="1852"/>
      <c r="DA19" s="1852"/>
      <c r="DB19" s="1852"/>
      <c r="DC19" s="1852"/>
      <c r="DD19" s="1852"/>
      <c r="DE19" s="1852"/>
      <c r="DF19" s="1852"/>
      <c r="DG19" s="1852"/>
      <c r="DH19" s="1852"/>
      <c r="DI19" s="1852"/>
      <c r="DJ19" s="1852"/>
      <c r="DK19" s="1852"/>
      <c r="DL19" s="1852"/>
      <c r="DM19" s="1852"/>
      <c r="DN19" s="1852"/>
      <c r="DO19" s="1852"/>
      <c r="DP19" s="1852"/>
      <c r="DQ19" s="1852"/>
      <c r="DR19" s="1852"/>
      <c r="DS19" s="1852"/>
      <c r="DT19" s="1852"/>
      <c r="DU19" s="1852"/>
      <c r="DV19" s="1852"/>
      <c r="DW19" s="1852"/>
      <c r="DX19" s="1852"/>
      <c r="DY19" s="1852"/>
      <c r="DZ19" s="1852"/>
      <c r="EA19" s="1852"/>
      <c r="EB19" s="1852"/>
      <c r="EC19" s="1852"/>
      <c r="ED19" s="1852"/>
      <c r="EE19" s="1852"/>
      <c r="EF19" s="1852"/>
      <c r="EG19" s="1852"/>
      <c r="EH19" s="1852"/>
      <c r="EI19" s="1852"/>
      <c r="EJ19" s="1852"/>
      <c r="EK19" s="1852"/>
      <c r="EL19" s="1852"/>
      <c r="EM19" s="1852"/>
      <c r="EN19" s="1852"/>
      <c r="EO19" s="1852"/>
      <c r="EP19" s="1852"/>
      <c r="EQ19" s="1852"/>
      <c r="ER19" s="1852"/>
      <c r="ES19" s="1852"/>
      <c r="ET19" s="1852"/>
      <c r="EU19" s="1852"/>
      <c r="EV19" s="1852"/>
      <c r="EW19" s="1852"/>
      <c r="EX19" s="1852"/>
      <c r="EY19" s="1852"/>
      <c r="EZ19" s="1852"/>
      <c r="FA19" s="1852"/>
      <c r="FB19" s="1852"/>
      <c r="FC19" s="1852"/>
      <c r="FD19" s="1852"/>
      <c r="FE19" s="1852"/>
      <c r="FF19" s="1852"/>
      <c r="FG19" s="1852"/>
      <c r="FH19" s="1852"/>
      <c r="FI19" s="1852"/>
      <c r="FJ19" s="1852"/>
      <c r="FK19" s="1852"/>
      <c r="FL19" s="1852"/>
      <c r="FM19" s="1852"/>
      <c r="FN19" s="1852"/>
      <c r="FO19" s="1852"/>
      <c r="FP19" s="1852"/>
      <c r="FQ19" s="1852"/>
      <c r="FR19" s="1852"/>
      <c r="FS19" s="1852"/>
      <c r="FT19" s="1852"/>
      <c r="FU19" s="1852"/>
      <c r="FV19" s="1852"/>
      <c r="FW19" s="1852"/>
      <c r="FX19" s="1852"/>
      <c r="FY19" s="1852"/>
      <c r="FZ19" s="1852"/>
      <c r="GA19" s="1852"/>
      <c r="GB19" s="1852"/>
      <c r="GC19" s="1852"/>
      <c r="GD19" s="1852"/>
      <c r="GE19" s="1852"/>
      <c r="GF19" s="1852"/>
      <c r="GG19" s="1852"/>
      <c r="GH19" s="1852"/>
      <c r="GI19" s="1852"/>
      <c r="GJ19" s="1852"/>
      <c r="GK19" s="1852"/>
      <c r="GL19" s="1852"/>
      <c r="GM19" s="1852"/>
      <c r="GN19" s="1852"/>
      <c r="GO19" s="1852"/>
      <c r="GP19" s="1852"/>
      <c r="GQ19" s="1852"/>
      <c r="GR19" s="1852"/>
      <c r="GS19" s="1852"/>
      <c r="GT19" s="1852"/>
      <c r="GU19" s="1852"/>
      <c r="GV19" s="1852"/>
      <c r="GW19" s="1852"/>
      <c r="GX19" s="1852"/>
      <c r="GY19" s="1852"/>
      <c r="GZ19" s="1852"/>
      <c r="HA19" s="1852"/>
      <c r="HB19" s="1852"/>
      <c r="HC19" s="1852"/>
      <c r="HD19" s="1852"/>
      <c r="HE19" s="1852"/>
      <c r="HF19" s="1852"/>
      <c r="HG19" s="1852"/>
      <c r="HH19" s="1852"/>
      <c r="HI19" s="1852"/>
      <c r="HJ19" s="1852"/>
      <c r="HK19" s="1852"/>
      <c r="HL19" s="1852"/>
      <c r="HM19" s="1852"/>
      <c r="HN19" s="1852"/>
      <c r="HO19" s="1852"/>
      <c r="HP19" s="1852"/>
      <c r="HQ19" s="1852"/>
      <c r="HR19" s="1852"/>
      <c r="HS19" s="1852"/>
      <c r="HT19" s="1852"/>
      <c r="HU19" s="1852"/>
      <c r="HV19" s="1852"/>
      <c r="HW19" s="1852"/>
      <c r="HX19" s="1852"/>
      <c r="HY19" s="1852"/>
      <c r="HZ19" s="1852"/>
      <c r="IA19" s="1852"/>
      <c r="IB19" s="1852"/>
      <c r="IC19" s="1852"/>
      <c r="ID19" s="1852"/>
      <c r="IE19" s="1852"/>
      <c r="IF19" s="1852"/>
      <c r="IG19" s="1852"/>
      <c r="IH19" s="1852"/>
      <c r="II19" s="1852"/>
      <c r="IJ19" s="1852"/>
      <c r="IK19" s="1852"/>
      <c r="IL19" s="1852"/>
      <c r="IM19" s="1852"/>
      <c r="IN19" s="1852"/>
      <c r="IO19" s="1852"/>
      <c r="IP19" s="1852"/>
      <c r="IQ19" s="1852"/>
      <c r="IR19" s="1852"/>
      <c r="IS19" s="1852"/>
      <c r="IT19" s="1852"/>
      <c r="IU19" s="1852"/>
      <c r="IV19" s="1852"/>
      <c r="IW19" s="1852"/>
      <c r="IX19" s="1852"/>
      <c r="IY19" s="1852"/>
      <c r="IZ19" s="1852"/>
      <c r="JA19" s="1852"/>
      <c r="JB19" s="1852"/>
      <c r="JC19" s="1852"/>
      <c r="JD19" s="1852"/>
      <c r="JE19" s="1852"/>
      <c r="JF19" s="1852"/>
      <c r="JG19" s="1852"/>
      <c r="JH19" s="1852"/>
      <c r="JI19" s="1852"/>
      <c r="JJ19" s="1852"/>
      <c r="JK19" s="1852"/>
      <c r="JL19" s="1852"/>
      <c r="JM19" s="1852"/>
      <c r="JN19" s="1852"/>
      <c r="JO19" s="1852"/>
      <c r="JP19" s="1852"/>
      <c r="JQ19" s="1852"/>
      <c r="JR19" s="1852"/>
      <c r="JS19" s="1852"/>
      <c r="JT19" s="1852"/>
      <c r="JU19" s="1852"/>
      <c r="JV19" s="1852"/>
      <c r="JW19" s="1852"/>
      <c r="JX19" s="1852"/>
      <c r="JY19" s="1852"/>
      <c r="JZ19" s="1852"/>
      <c r="KA19" s="1852"/>
      <c r="KB19" s="1852"/>
      <c r="KC19" s="1852"/>
      <c r="KD19" s="1852"/>
      <c r="KE19" s="1852"/>
      <c r="KF19" s="1852"/>
      <c r="KG19" s="1852"/>
      <c r="KH19" s="1852"/>
      <c r="KI19" s="1852"/>
      <c r="KJ19" s="1852"/>
      <c r="KK19" s="1852"/>
      <c r="KL19" s="1852"/>
      <c r="KM19" s="1852"/>
      <c r="KN19" s="1852"/>
      <c r="KO19" s="1852"/>
      <c r="KP19" s="1852"/>
      <c r="KQ19" s="1852"/>
      <c r="KR19" s="1852"/>
      <c r="KS19" s="1852"/>
      <c r="KT19" s="1852"/>
      <c r="KU19" s="1852"/>
      <c r="KV19" s="1852"/>
      <c r="KW19" s="1852"/>
      <c r="KX19" s="1852"/>
      <c r="KY19" s="1852"/>
      <c r="KZ19" s="1852"/>
      <c r="LA19" s="1852"/>
      <c r="LB19" s="1852"/>
      <c r="LC19" s="1852"/>
      <c r="LD19" s="1852"/>
      <c r="LE19" s="1852"/>
      <c r="LF19" s="1852"/>
      <c r="LG19" s="1852"/>
      <c r="LH19" s="1852"/>
      <c r="LI19" s="1852"/>
      <c r="LJ19" s="1852"/>
      <c r="LK19" s="1852"/>
      <c r="LL19" s="1852"/>
      <c r="LM19" s="1852"/>
      <c r="LN19" s="1852"/>
      <c r="LO19" s="1852"/>
      <c r="LP19" s="1852"/>
      <c r="LQ19" s="1852"/>
      <c r="LR19" s="1852"/>
      <c r="LS19" s="1852"/>
      <c r="LT19" s="1852"/>
      <c r="LU19" s="1852"/>
      <c r="LV19" s="1852"/>
      <c r="LW19" s="1852"/>
      <c r="LX19" s="1852"/>
      <c r="LY19" s="1852"/>
      <c r="LZ19" s="1852"/>
      <c r="MA19" s="1852"/>
      <c r="MB19" s="1852"/>
      <c r="MC19" s="1852"/>
      <c r="MD19" s="1852"/>
      <c r="ME19" s="1852"/>
      <c r="MF19" s="1852"/>
      <c r="MG19" s="1852"/>
      <c r="MH19" s="1852"/>
      <c r="MI19" s="1852"/>
      <c r="MJ19" s="1852"/>
      <c r="MK19" s="1852"/>
      <c r="ML19" s="1852"/>
      <c r="MM19" s="1852"/>
      <c r="MN19" s="1852"/>
      <c r="MO19" s="1852"/>
      <c r="MP19" s="1852"/>
      <c r="MQ19" s="1852"/>
      <c r="MR19" s="1852"/>
      <c r="MS19" s="1852"/>
      <c r="MT19" s="1852"/>
      <c r="MU19" s="1852"/>
      <c r="MV19" s="1852"/>
      <c r="MW19" s="1852"/>
      <c r="MX19" s="1852"/>
      <c r="MY19" s="1852"/>
      <c r="MZ19" s="1852"/>
      <c r="NA19" s="1852"/>
      <c r="NB19" s="1852"/>
      <c r="NC19" s="1852"/>
      <c r="ND19" s="1852"/>
      <c r="NE19" s="1852"/>
      <c r="NF19" s="1852"/>
      <c r="NG19" s="1852"/>
      <c r="NH19" s="1852"/>
      <c r="NI19" s="1852"/>
      <c r="NJ19" s="1852"/>
      <c r="NK19" s="1852"/>
      <c r="NL19" s="1852"/>
      <c r="NM19" s="1852"/>
      <c r="NN19" s="1852"/>
      <c r="NO19" s="1852"/>
      <c r="NP19" s="1852"/>
      <c r="NQ19" s="1852"/>
      <c r="NR19" s="1852"/>
      <c r="NS19" s="1852"/>
      <c r="NT19" s="1852"/>
      <c r="NU19" s="1852"/>
      <c r="NV19" s="1852"/>
      <c r="NW19" s="1852"/>
      <c r="NX19" s="1852"/>
      <c r="NY19" s="1852"/>
      <c r="NZ19" s="1852"/>
      <c r="OA19" s="1852"/>
      <c r="OB19" s="1852"/>
      <c r="OC19" s="1852"/>
      <c r="OD19" s="1852"/>
      <c r="OE19" s="1852"/>
      <c r="OF19" s="1852"/>
      <c r="OG19" s="1852"/>
      <c r="OH19" s="1852"/>
      <c r="OI19" s="1852"/>
      <c r="OJ19" s="1852"/>
      <c r="OK19" s="1852"/>
      <c r="OL19" s="1852"/>
      <c r="OM19" s="1852"/>
      <c r="ON19" s="1852"/>
      <c r="OO19" s="1852"/>
      <c r="OP19" s="1852"/>
      <c r="OQ19" s="1852"/>
      <c r="OR19" s="1852"/>
      <c r="OS19" s="1852"/>
      <c r="OT19" s="1852"/>
      <c r="OU19" s="1852"/>
      <c r="OV19" s="1852"/>
      <c r="OW19" s="1852"/>
      <c r="OX19" s="1852"/>
      <c r="OY19" s="1852"/>
      <c r="OZ19" s="1852"/>
      <c r="PA19" s="1852"/>
      <c r="PB19" s="1852"/>
      <c r="PC19" s="1852"/>
      <c r="PD19" s="1852"/>
      <c r="PE19" s="1852"/>
      <c r="PF19" s="1852"/>
      <c r="PG19" s="1852"/>
      <c r="PH19" s="1852"/>
      <c r="PI19" s="1852"/>
      <c r="PJ19" s="1852"/>
      <c r="PK19" s="1852"/>
      <c r="PL19" s="1852"/>
      <c r="PM19" s="1852"/>
      <c r="PN19" s="1852"/>
      <c r="PO19" s="1852"/>
      <c r="PP19" s="1852"/>
      <c r="PQ19" s="1852"/>
      <c r="PR19" s="1852"/>
      <c r="PS19" s="1852"/>
      <c r="PT19" s="1852"/>
      <c r="PU19" s="1852"/>
      <c r="PV19" s="1852"/>
      <c r="PW19" s="1852"/>
      <c r="PX19" s="1852"/>
      <c r="PY19" s="1852"/>
      <c r="PZ19" s="1852"/>
      <c r="QA19" s="1852"/>
      <c r="QB19" s="1852"/>
      <c r="QC19" s="1852"/>
      <c r="QD19" s="1852"/>
      <c r="QE19" s="1852"/>
      <c r="QF19" s="1852"/>
      <c r="QG19" s="1852"/>
      <c r="QH19" s="1852"/>
      <c r="QI19" s="1852"/>
      <c r="QJ19" s="1852"/>
      <c r="QK19" s="1852"/>
      <c r="QL19" s="1852"/>
      <c r="QM19" s="1852"/>
      <c r="QN19" s="1852"/>
      <c r="QO19" s="1852"/>
      <c r="QP19" s="1852"/>
      <c r="QQ19" s="1852"/>
      <c r="QR19" s="1852"/>
      <c r="QS19" s="1852"/>
      <c r="QT19" s="1852"/>
      <c r="QU19" s="1852"/>
      <c r="QV19" s="1852"/>
      <c r="QW19" s="1852"/>
      <c r="QX19" s="1852"/>
      <c r="QY19" s="1852"/>
      <c r="QZ19" s="1852"/>
      <c r="RA19" s="1852"/>
      <c r="RB19" s="1852"/>
      <c r="RC19" s="1852"/>
      <c r="RD19" s="1852"/>
      <c r="RE19" s="1852"/>
      <c r="RF19" s="1852"/>
      <c r="RG19" s="1852"/>
      <c r="RH19" s="1852"/>
      <c r="RI19" s="1852"/>
      <c r="RJ19" s="1852"/>
      <c r="RK19" s="1852"/>
      <c r="RL19" s="1852"/>
      <c r="RM19" s="1852"/>
      <c r="RN19" s="1852"/>
      <c r="RO19" s="1852"/>
      <c r="RP19" s="1852"/>
      <c r="RQ19" s="1852"/>
      <c r="RR19" s="1852"/>
      <c r="RS19" s="1852"/>
      <c r="RT19" s="1852"/>
      <c r="RU19" s="1852"/>
      <c r="RV19" s="1852"/>
      <c r="RW19" s="1852"/>
      <c r="RX19" s="1852"/>
      <c r="RY19" s="1852"/>
      <c r="RZ19" s="1852"/>
      <c r="SA19" s="1852"/>
      <c r="SB19" s="1852"/>
      <c r="SC19" s="1852"/>
      <c r="SD19" s="1852"/>
      <c r="SE19" s="1852"/>
      <c r="SF19" s="1852"/>
      <c r="SG19" s="1852"/>
      <c r="SH19" s="1852"/>
      <c r="SI19" s="1852"/>
      <c r="SJ19" s="1852"/>
      <c r="SK19" s="1852"/>
      <c r="SL19" s="1852"/>
      <c r="SM19" s="1852"/>
      <c r="SN19" s="1852"/>
      <c r="SO19" s="1852"/>
      <c r="SP19" s="1852"/>
      <c r="SQ19" s="1852"/>
      <c r="SR19" s="1852"/>
      <c r="SS19" s="1852"/>
      <c r="ST19" s="1852"/>
      <c r="SU19" s="1852"/>
      <c r="SV19" s="1852"/>
      <c r="SW19" s="1852"/>
      <c r="SX19" s="1852"/>
      <c r="SY19" s="1852"/>
      <c r="SZ19" s="1852"/>
      <c r="TA19" s="1852"/>
      <c r="TB19" s="1852"/>
      <c r="TC19" s="1852"/>
      <c r="TD19" s="1852"/>
      <c r="TE19" s="1852"/>
      <c r="TF19" s="1852"/>
      <c r="TG19" s="1852"/>
      <c r="TH19" s="1852"/>
      <c r="TI19" s="1852"/>
      <c r="TJ19" s="1852"/>
      <c r="TK19" s="1852"/>
      <c r="TL19" s="1852"/>
      <c r="TM19" s="1852"/>
      <c r="TN19" s="1852"/>
      <c r="TO19" s="1852"/>
      <c r="TP19" s="1852"/>
      <c r="TQ19" s="1852"/>
      <c r="TR19" s="1852"/>
      <c r="TS19" s="1852"/>
      <c r="TT19" s="1852"/>
      <c r="TU19" s="1852"/>
      <c r="TV19" s="1852"/>
      <c r="TW19" s="1852"/>
      <c r="TX19" s="1852"/>
      <c r="TY19" s="1852"/>
      <c r="TZ19" s="1852"/>
      <c r="UA19" s="1852"/>
      <c r="UB19" s="1852"/>
      <c r="UC19" s="1852"/>
      <c r="UD19" s="1852"/>
      <c r="UE19" s="1852"/>
      <c r="UF19" s="1852"/>
      <c r="UG19" s="1852"/>
      <c r="UH19" s="1852"/>
      <c r="UI19" s="1852"/>
      <c r="UJ19" s="1852"/>
      <c r="UK19" s="1852"/>
      <c r="UL19" s="1852"/>
      <c r="UM19" s="1852"/>
      <c r="UN19" s="1852"/>
      <c r="UO19" s="1852"/>
      <c r="UP19" s="1852"/>
      <c r="UQ19" s="1852"/>
      <c r="UR19" s="1852"/>
      <c r="US19" s="1852"/>
      <c r="UT19" s="1852"/>
      <c r="UU19" s="1852"/>
      <c r="UV19" s="1852"/>
      <c r="UW19" s="1852"/>
      <c r="UX19" s="1852"/>
      <c r="UY19" s="1852"/>
      <c r="UZ19" s="1852"/>
      <c r="VA19" s="1852"/>
      <c r="VB19" s="1852"/>
      <c r="VC19" s="1852"/>
      <c r="VD19" s="1852"/>
      <c r="VE19" s="1852"/>
      <c r="VF19" s="1852"/>
      <c r="VG19" s="1852"/>
      <c r="VH19" s="1852"/>
      <c r="VI19" s="1852"/>
      <c r="VJ19" s="1852"/>
      <c r="VK19" s="1852"/>
      <c r="VL19" s="1852"/>
      <c r="VM19" s="1852"/>
      <c r="VN19" s="1852"/>
      <c r="VO19" s="1852"/>
      <c r="VP19" s="1852"/>
      <c r="VQ19" s="1852"/>
      <c r="VR19" s="1852"/>
      <c r="VS19" s="1852"/>
      <c r="VT19" s="1852"/>
      <c r="VU19" s="1852"/>
      <c r="VV19" s="1852"/>
      <c r="VW19" s="1852"/>
      <c r="VX19" s="1852"/>
      <c r="VY19" s="1852"/>
      <c r="VZ19" s="1852"/>
      <c r="WA19" s="1852"/>
      <c r="WB19" s="1852"/>
      <c r="WC19" s="1852"/>
      <c r="WD19" s="1852"/>
      <c r="WE19" s="1852"/>
      <c r="WF19" s="1852"/>
      <c r="WG19" s="1852"/>
      <c r="WH19" s="1852"/>
      <c r="WI19" s="1852"/>
      <c r="WJ19" s="1852"/>
      <c r="WK19" s="1852"/>
      <c r="WL19" s="1852"/>
      <c r="WM19" s="1852"/>
      <c r="WN19" s="1852"/>
      <c r="WO19" s="1852"/>
      <c r="WP19" s="1852"/>
      <c r="WQ19" s="1852"/>
      <c r="WR19" s="1852"/>
      <c r="WS19" s="1852"/>
      <c r="WT19" s="1852"/>
      <c r="WU19" s="1852"/>
      <c r="WV19" s="1852"/>
      <c r="WW19" s="1852"/>
      <c r="WX19" s="1852"/>
      <c r="WY19" s="1852"/>
      <c r="WZ19" s="1852"/>
      <c r="XA19" s="1852"/>
      <c r="XB19" s="1852"/>
      <c r="XC19" s="1852"/>
      <c r="XD19" s="1852"/>
      <c r="XE19" s="1852"/>
      <c r="XF19" s="1852"/>
      <c r="XG19" s="1852"/>
      <c r="XH19" s="1852"/>
      <c r="XI19" s="1852"/>
      <c r="XJ19" s="1852"/>
      <c r="XK19" s="1852"/>
      <c r="XL19" s="1852"/>
      <c r="XM19" s="1852"/>
      <c r="XN19" s="1852"/>
      <c r="XO19" s="1852"/>
      <c r="XP19" s="1852"/>
      <c r="XQ19" s="1852"/>
      <c r="XR19" s="1852"/>
      <c r="XS19" s="1852"/>
      <c r="XT19" s="1852"/>
      <c r="XU19" s="1852"/>
      <c r="XV19" s="1852"/>
      <c r="XW19" s="1852"/>
      <c r="XX19" s="1852"/>
      <c r="XY19" s="1852"/>
      <c r="XZ19" s="1852"/>
      <c r="YA19" s="1852"/>
      <c r="YB19" s="1852"/>
      <c r="YC19" s="1852"/>
      <c r="YD19" s="1852"/>
      <c r="YE19" s="1852"/>
      <c r="YF19" s="1852"/>
      <c r="YG19" s="1852"/>
      <c r="YH19" s="1852"/>
      <c r="YI19" s="1852"/>
      <c r="YJ19" s="1852"/>
      <c r="YK19" s="1852"/>
      <c r="YL19" s="1852"/>
      <c r="YM19" s="1852"/>
      <c r="YN19" s="1852"/>
      <c r="YO19" s="1852"/>
      <c r="YP19" s="1852"/>
      <c r="YQ19" s="1852"/>
      <c r="YR19" s="1852"/>
      <c r="YS19" s="1852"/>
      <c r="YT19" s="1852"/>
      <c r="YU19" s="1852"/>
      <c r="YV19" s="1852"/>
      <c r="YW19" s="1852"/>
      <c r="YX19" s="1852"/>
      <c r="YY19" s="1852"/>
      <c r="YZ19" s="1852"/>
      <c r="ZA19" s="1852"/>
      <c r="ZB19" s="1852"/>
      <c r="ZC19" s="1852"/>
      <c r="ZD19" s="1852"/>
      <c r="ZE19" s="1852"/>
      <c r="ZF19" s="1852"/>
      <c r="ZG19" s="1852"/>
      <c r="ZH19" s="1852"/>
      <c r="ZI19" s="1852"/>
      <c r="ZJ19" s="1852"/>
      <c r="ZK19" s="1852"/>
      <c r="ZL19" s="1852"/>
      <c r="ZM19" s="1852"/>
      <c r="ZN19" s="1852"/>
      <c r="ZO19" s="1852"/>
      <c r="ZP19" s="1852"/>
      <c r="ZQ19" s="1852"/>
      <c r="ZR19" s="1852"/>
      <c r="ZS19" s="1852"/>
      <c r="ZT19" s="1852"/>
      <c r="ZU19" s="1852"/>
      <c r="ZV19" s="1852"/>
      <c r="ZW19" s="1852"/>
      <c r="ZX19" s="1852"/>
      <c r="ZY19" s="1852"/>
      <c r="ZZ19" s="1852"/>
      <c r="AAA19" s="1852"/>
      <c r="AAB19" s="1852"/>
      <c r="AAC19" s="1852"/>
      <c r="AAD19" s="1852"/>
      <c r="AAE19" s="1852"/>
      <c r="AAF19" s="1852"/>
      <c r="AAG19" s="1852"/>
      <c r="AAH19" s="1852"/>
      <c r="AAI19" s="1852"/>
      <c r="AAJ19" s="1852"/>
      <c r="AAK19" s="1852"/>
      <c r="AAL19" s="1852"/>
      <c r="AAM19" s="1852"/>
      <c r="AAN19" s="1852"/>
      <c r="AAO19" s="1852"/>
      <c r="AAP19" s="1852"/>
      <c r="AAQ19" s="1852"/>
      <c r="AAR19" s="1852"/>
      <c r="AAS19" s="1852"/>
      <c r="AAT19" s="1852"/>
      <c r="AAU19" s="1852"/>
      <c r="AAV19" s="1852"/>
      <c r="AAW19" s="1852"/>
      <c r="AAX19" s="1852"/>
      <c r="AAY19" s="1852"/>
      <c r="AAZ19" s="1852"/>
      <c r="ABA19" s="1852"/>
      <c r="ABB19" s="1852"/>
      <c r="ABC19" s="1852"/>
      <c r="ABD19" s="1852"/>
      <c r="ABE19" s="1852"/>
      <c r="ABF19" s="1852"/>
      <c r="ABG19" s="1852"/>
      <c r="ABH19" s="1852"/>
      <c r="ABI19" s="1852"/>
      <c r="ABJ19" s="1852"/>
      <c r="ABK19" s="1852"/>
      <c r="ABL19" s="1852"/>
      <c r="ABM19" s="1852"/>
      <c r="ABN19" s="1852"/>
      <c r="ABO19" s="1852"/>
      <c r="ABP19" s="1852"/>
      <c r="ABQ19" s="1852"/>
      <c r="ABR19" s="1852"/>
      <c r="ABS19" s="1852"/>
      <c r="ABT19" s="1852"/>
      <c r="ABU19" s="1852"/>
      <c r="ABV19" s="1852"/>
      <c r="ABW19" s="1852"/>
      <c r="ABX19" s="1852"/>
      <c r="ABY19" s="1852"/>
      <c r="ABZ19" s="1852"/>
      <c r="ACA19" s="1852"/>
      <c r="ACB19" s="1852"/>
      <c r="ACC19" s="1852"/>
      <c r="ACD19" s="1852"/>
      <c r="ACE19" s="1852"/>
      <c r="ACF19" s="1852"/>
      <c r="ACG19" s="1852"/>
      <c r="ACH19" s="1852"/>
      <c r="ACI19" s="1852"/>
      <c r="ACJ19" s="1852"/>
      <c r="ACK19" s="1852"/>
      <c r="ACL19" s="1852"/>
      <c r="ACM19" s="1852"/>
      <c r="ACN19" s="1852"/>
      <c r="ACO19" s="1852"/>
      <c r="ACP19" s="1852"/>
      <c r="ACQ19" s="1852"/>
      <c r="ACR19" s="1852"/>
      <c r="ACS19" s="1852"/>
      <c r="ACT19" s="1852"/>
      <c r="ACU19" s="1852"/>
      <c r="ACV19" s="1852"/>
      <c r="ACW19" s="1852"/>
      <c r="ACX19" s="1852"/>
      <c r="ACY19" s="1852"/>
      <c r="ACZ19" s="1852"/>
      <c r="ADA19" s="1852"/>
      <c r="ADB19" s="1852"/>
      <c r="ADC19" s="1852"/>
      <c r="ADD19" s="1852"/>
      <c r="ADE19" s="1852"/>
      <c r="ADF19" s="1852"/>
      <c r="ADG19" s="1852"/>
      <c r="ADH19" s="1852"/>
      <c r="ADI19" s="1852"/>
      <c r="ADJ19" s="1852"/>
      <c r="ADK19" s="1852"/>
      <c r="ADL19" s="1852"/>
      <c r="ADM19" s="1852"/>
      <c r="ADN19" s="1852"/>
      <c r="ADO19" s="1852"/>
      <c r="ADP19" s="1852"/>
      <c r="ADQ19" s="1852"/>
      <c r="ADR19" s="1852"/>
      <c r="ADS19" s="1852"/>
      <c r="ADT19" s="1852"/>
      <c r="ADU19" s="1852"/>
      <c r="ADV19" s="1852"/>
      <c r="ADW19" s="1852"/>
      <c r="ADX19" s="1852"/>
      <c r="ADY19" s="1852"/>
      <c r="ADZ19" s="1852"/>
      <c r="AEA19" s="1852"/>
      <c r="AEB19" s="1852"/>
      <c r="AEC19" s="1852"/>
      <c r="AED19" s="1852"/>
      <c r="AEE19" s="1852"/>
      <c r="AEF19" s="1852"/>
      <c r="AEG19" s="1852"/>
      <c r="AEH19" s="1852"/>
      <c r="AEI19" s="1852"/>
      <c r="AEJ19" s="1852"/>
      <c r="AEK19" s="1852"/>
      <c r="AEL19" s="1852"/>
      <c r="AEM19" s="1852"/>
      <c r="AEN19" s="1852"/>
      <c r="AEO19" s="1852"/>
      <c r="AEP19" s="1852"/>
      <c r="AEQ19" s="1852"/>
      <c r="AER19" s="1852"/>
      <c r="AES19" s="1852"/>
      <c r="AET19" s="1852"/>
      <c r="AEU19" s="1852"/>
      <c r="AEV19" s="1852"/>
      <c r="AEW19" s="1852"/>
      <c r="AEX19" s="1852"/>
      <c r="AEY19" s="1852"/>
      <c r="AEZ19" s="1852"/>
      <c r="AFA19" s="1852"/>
      <c r="AFB19" s="1852"/>
      <c r="AFC19" s="1852"/>
      <c r="AFD19" s="1852"/>
      <c r="AFE19" s="1852"/>
      <c r="AFF19" s="1852"/>
      <c r="AFG19" s="1852"/>
      <c r="AFH19" s="1852"/>
      <c r="AFI19" s="1852"/>
      <c r="AFJ19" s="1852"/>
      <c r="AFK19" s="1852"/>
      <c r="AFL19" s="1852"/>
      <c r="AFM19" s="1852"/>
      <c r="AFN19" s="1852"/>
      <c r="AFO19" s="1852"/>
      <c r="AFP19" s="1852"/>
      <c r="AFQ19" s="1852"/>
      <c r="AFR19" s="1852"/>
      <c r="AFS19" s="1852"/>
      <c r="AFT19" s="1852"/>
      <c r="AFU19" s="1852"/>
      <c r="AFV19" s="1852"/>
      <c r="AFW19" s="1852"/>
      <c r="AFX19" s="1852"/>
      <c r="AFY19" s="1852"/>
      <c r="AFZ19" s="1852"/>
      <c r="AGA19" s="1852"/>
      <c r="AGB19" s="1852"/>
      <c r="AGC19" s="1852"/>
      <c r="AGD19" s="1852"/>
      <c r="AGE19" s="1852"/>
      <c r="AGF19" s="1852"/>
      <c r="AGG19" s="1852"/>
      <c r="AGH19" s="1852"/>
      <c r="AGI19" s="1852"/>
      <c r="AGJ19" s="1852"/>
      <c r="AGK19" s="1852"/>
      <c r="AGL19" s="1852"/>
      <c r="AGM19" s="1852"/>
      <c r="AGN19" s="1852"/>
      <c r="AGO19" s="1852"/>
      <c r="AGP19" s="1852"/>
      <c r="AGQ19" s="1852"/>
      <c r="AGR19" s="1852"/>
      <c r="AGS19" s="1852"/>
      <c r="AGT19" s="1852"/>
      <c r="AGU19" s="1852"/>
      <c r="AGV19" s="1852"/>
      <c r="AGW19" s="1852"/>
      <c r="AGX19" s="1852"/>
      <c r="AGY19" s="1852"/>
      <c r="AGZ19" s="1852"/>
      <c r="AHA19" s="1852"/>
      <c r="AHB19" s="1852"/>
      <c r="AHC19" s="1852"/>
      <c r="AHD19" s="1852"/>
      <c r="AHE19" s="1852"/>
      <c r="AHF19" s="1852"/>
      <c r="AHG19" s="1852"/>
      <c r="AHH19" s="1852"/>
      <c r="AHI19" s="1852"/>
      <c r="AHJ19" s="1852"/>
      <c r="AHK19" s="1852"/>
      <c r="AHL19" s="1852"/>
      <c r="AHM19" s="1852"/>
      <c r="AHN19" s="1852"/>
      <c r="AHO19" s="1852"/>
      <c r="AHP19" s="1852"/>
      <c r="AHQ19" s="1852"/>
      <c r="AHR19" s="1852"/>
      <c r="AHS19" s="1852"/>
      <c r="AHT19" s="1852"/>
      <c r="AHU19" s="1852"/>
      <c r="AHV19" s="1852"/>
      <c r="AHW19" s="1852"/>
      <c r="AHX19" s="1852"/>
      <c r="AHY19" s="1852"/>
      <c r="AHZ19" s="1852"/>
      <c r="AIA19" s="1852"/>
      <c r="AIB19" s="1852"/>
      <c r="AIC19" s="1852"/>
      <c r="AID19" s="1852"/>
      <c r="AIE19" s="1852"/>
      <c r="AIF19" s="1852"/>
      <c r="AIG19" s="1852"/>
      <c r="AIH19" s="1852"/>
      <c r="AII19" s="1852"/>
      <c r="AIJ19" s="1852"/>
      <c r="AIK19" s="1852"/>
      <c r="AIL19" s="1852"/>
      <c r="AIM19" s="1852"/>
      <c r="AIN19" s="1852"/>
      <c r="AIO19" s="1852"/>
      <c r="AIP19" s="1852"/>
      <c r="AIQ19" s="1852"/>
      <c r="AIR19" s="1852"/>
      <c r="AIS19" s="1852"/>
      <c r="AIT19" s="1852"/>
      <c r="AIU19" s="1852"/>
      <c r="AIV19" s="1852"/>
      <c r="AIW19" s="1852"/>
      <c r="AIX19" s="1852"/>
      <c r="AIY19" s="1852"/>
      <c r="AIZ19" s="1852"/>
      <c r="AJA19" s="1852"/>
      <c r="AJB19" s="1852"/>
      <c r="AJC19" s="1852"/>
      <c r="AJD19" s="1852"/>
      <c r="AJE19" s="1852"/>
      <c r="AJF19" s="1852"/>
      <c r="AJG19" s="1852"/>
      <c r="AJH19" s="1852"/>
      <c r="AJI19" s="1852"/>
      <c r="AJJ19" s="1852"/>
      <c r="AJK19" s="1852"/>
      <c r="AJL19" s="1852"/>
      <c r="AJM19" s="1852"/>
      <c r="AJN19" s="1852"/>
      <c r="AJO19" s="1852"/>
      <c r="AJP19" s="1852"/>
      <c r="AJQ19" s="1852"/>
      <c r="AJR19" s="1852"/>
      <c r="AJS19" s="1852"/>
      <c r="AJT19" s="1852"/>
      <c r="AJU19" s="1852"/>
      <c r="AJV19" s="1852"/>
      <c r="AJW19" s="1852"/>
      <c r="AJX19" s="1852"/>
      <c r="AJY19" s="1852"/>
      <c r="AJZ19" s="1852"/>
      <c r="AKA19" s="1852"/>
      <c r="AKB19" s="1852"/>
      <c r="AKC19" s="1852"/>
      <c r="AKD19" s="1852"/>
      <c r="AKE19" s="1852"/>
      <c r="AKF19" s="1852"/>
      <c r="AKG19" s="1852"/>
      <c r="AKH19" s="1852"/>
      <c r="AKI19" s="1852"/>
      <c r="AKJ19" s="1852"/>
      <c r="AKK19" s="1852"/>
      <c r="AKL19" s="1852"/>
      <c r="AKM19" s="1852"/>
      <c r="AKN19" s="1852"/>
      <c r="AKO19" s="1852"/>
      <c r="AKP19" s="1852"/>
      <c r="AKQ19" s="1852"/>
      <c r="AKR19" s="1852"/>
      <c r="AKS19" s="1852"/>
      <c r="AKT19" s="1852"/>
      <c r="AKU19" s="1852"/>
      <c r="AKV19" s="1852"/>
      <c r="AKW19" s="1852"/>
      <c r="AKX19" s="1852"/>
      <c r="AKY19" s="1852"/>
      <c r="AKZ19" s="1852"/>
      <c r="ALA19" s="1852"/>
      <c r="ALB19" s="1852"/>
      <c r="ALC19" s="1852"/>
      <c r="ALD19" s="1852"/>
      <c r="ALE19" s="1852"/>
      <c r="ALF19" s="1852"/>
      <c r="ALG19" s="1852"/>
      <c r="ALH19" s="1852"/>
      <c r="ALI19" s="1852"/>
      <c r="ALJ19" s="1852"/>
      <c r="ALK19" s="1852"/>
      <c r="ALL19" s="1852"/>
      <c r="ALM19" s="1852"/>
      <c r="ALN19" s="1852"/>
      <c r="ALO19" s="1852"/>
      <c r="ALP19" s="1852"/>
      <c r="ALQ19" s="1852"/>
      <c r="ALR19" s="1852"/>
    </row>
    <row r="20" spans="1:1006" x14ac:dyDescent="0.3">
      <c r="A20" s="1854"/>
      <c r="B20" t="s">
        <v>1216</v>
      </c>
      <c r="C20" s="1853" t="s">
        <v>1218</v>
      </c>
      <c r="D20" s="1855">
        <f t="shared" si="0"/>
        <v>0</v>
      </c>
      <c r="E20" s="1855">
        <f t="shared" si="1"/>
        <v>0</v>
      </c>
      <c r="F20" s="1855">
        <f t="shared" si="2"/>
        <v>0</v>
      </c>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c r="AP20" s="1852"/>
      <c r="AQ20" s="1852"/>
      <c r="AR20" s="1852"/>
      <c r="AS20" s="1852"/>
      <c r="AT20" s="1852"/>
      <c r="AU20" s="1852"/>
      <c r="AV20" s="1852"/>
      <c r="AW20" s="1852"/>
      <c r="AX20" s="1852"/>
      <c r="AY20" s="1852"/>
      <c r="AZ20" s="1852"/>
      <c r="BA20" s="1852"/>
      <c r="BB20" s="1852"/>
      <c r="BC20" s="1852"/>
      <c r="BD20" s="1852"/>
      <c r="BE20" s="1852"/>
      <c r="BF20" s="1852"/>
      <c r="BG20" s="1852"/>
      <c r="BH20" s="1852"/>
      <c r="BI20" s="1852"/>
      <c r="BJ20" s="1852"/>
      <c r="BK20" s="1852"/>
      <c r="BL20" s="1852"/>
      <c r="BM20" s="1852"/>
      <c r="BN20" s="1852"/>
      <c r="BO20" s="1852"/>
      <c r="BP20" s="1852"/>
      <c r="BQ20" s="1852"/>
      <c r="BR20" s="1852"/>
      <c r="BS20" s="1852"/>
      <c r="BT20" s="1852"/>
      <c r="BU20" s="1852"/>
      <c r="BV20" s="1852"/>
      <c r="BW20" s="1852"/>
      <c r="BX20" s="1852"/>
      <c r="BY20" s="1852"/>
      <c r="BZ20" s="1852"/>
      <c r="CA20" s="1852"/>
      <c r="CB20" s="1852"/>
      <c r="CC20" s="1852"/>
      <c r="CD20" s="1852"/>
      <c r="CE20" s="1852"/>
      <c r="CF20" s="1852"/>
      <c r="CG20" s="1852"/>
      <c r="CH20" s="1852"/>
      <c r="CI20" s="1852"/>
      <c r="CJ20" s="1852"/>
      <c r="CK20" s="1852"/>
      <c r="CL20" s="1852"/>
      <c r="CM20" s="1852"/>
      <c r="CN20" s="1852"/>
      <c r="CO20" s="1852"/>
      <c r="CP20" s="1852"/>
      <c r="CQ20" s="1852"/>
      <c r="CR20" s="1852"/>
      <c r="CS20" s="1852"/>
      <c r="CT20" s="1852"/>
      <c r="CU20" s="1852"/>
      <c r="CV20" s="1852"/>
      <c r="CW20" s="1852"/>
      <c r="CX20" s="1852"/>
      <c r="CY20" s="1852"/>
      <c r="CZ20" s="1852"/>
      <c r="DA20" s="1852"/>
      <c r="DB20" s="1852"/>
      <c r="DC20" s="1852"/>
      <c r="DD20" s="1852"/>
      <c r="DE20" s="1852"/>
      <c r="DF20" s="1852"/>
      <c r="DG20" s="1852"/>
      <c r="DH20" s="1852"/>
      <c r="DI20" s="1852"/>
      <c r="DJ20" s="1852"/>
      <c r="DK20" s="1852"/>
      <c r="DL20" s="1852"/>
      <c r="DM20" s="1852"/>
      <c r="DN20" s="1852"/>
      <c r="DO20" s="1852"/>
      <c r="DP20" s="1852"/>
      <c r="DQ20" s="1852"/>
      <c r="DR20" s="1852"/>
      <c r="DS20" s="1852"/>
      <c r="DT20" s="1852"/>
      <c r="DU20" s="1852"/>
      <c r="DV20" s="1852"/>
      <c r="DW20" s="1852"/>
      <c r="DX20" s="1852"/>
      <c r="DY20" s="1852"/>
      <c r="DZ20" s="1852"/>
      <c r="EA20" s="1852"/>
      <c r="EB20" s="1852"/>
      <c r="EC20" s="1852"/>
      <c r="ED20" s="1852"/>
      <c r="EE20" s="1852"/>
      <c r="EF20" s="1852"/>
      <c r="EG20" s="1852"/>
      <c r="EH20" s="1852"/>
      <c r="EI20" s="1852"/>
      <c r="EJ20" s="1852"/>
      <c r="EK20" s="1852"/>
      <c r="EL20" s="1852"/>
      <c r="EM20" s="1852"/>
      <c r="EN20" s="1852"/>
      <c r="EO20" s="1852"/>
      <c r="EP20" s="1852"/>
      <c r="EQ20" s="1852"/>
      <c r="ER20" s="1852"/>
      <c r="ES20" s="1852"/>
      <c r="ET20" s="1852"/>
      <c r="EU20" s="1852"/>
      <c r="EV20" s="1852"/>
      <c r="EW20" s="1852"/>
      <c r="EX20" s="1852"/>
      <c r="EY20" s="1852"/>
      <c r="EZ20" s="1852"/>
      <c r="FA20" s="1852"/>
      <c r="FB20" s="1852"/>
      <c r="FC20" s="1852"/>
      <c r="FD20" s="1852"/>
      <c r="FE20" s="1852"/>
      <c r="FF20" s="1852"/>
      <c r="FG20" s="1852"/>
      <c r="FH20" s="1852"/>
      <c r="FI20" s="1852"/>
      <c r="FJ20" s="1852"/>
      <c r="FK20" s="1852"/>
      <c r="FL20" s="1852"/>
      <c r="FM20" s="1852"/>
      <c r="FN20" s="1852"/>
      <c r="FO20" s="1852"/>
      <c r="FP20" s="1852"/>
      <c r="FQ20" s="1852"/>
      <c r="FR20" s="1852"/>
      <c r="FS20" s="1852"/>
      <c r="FT20" s="1852"/>
      <c r="FU20" s="1852"/>
      <c r="FV20" s="1852"/>
      <c r="FW20" s="1852"/>
      <c r="FX20" s="1852"/>
      <c r="FY20" s="1852"/>
      <c r="FZ20" s="1852"/>
      <c r="GA20" s="1852"/>
      <c r="GB20" s="1852"/>
      <c r="GC20" s="1852"/>
      <c r="GD20" s="1852"/>
      <c r="GE20" s="1852"/>
      <c r="GF20" s="1852"/>
      <c r="GG20" s="1852"/>
      <c r="GH20" s="1852"/>
      <c r="GI20" s="1852"/>
      <c r="GJ20" s="1852"/>
      <c r="GK20" s="1852"/>
      <c r="GL20" s="1852"/>
      <c r="GM20" s="1852"/>
      <c r="GN20" s="1852"/>
      <c r="GO20" s="1852"/>
      <c r="GP20" s="1852"/>
      <c r="GQ20" s="1852"/>
      <c r="GR20" s="1852"/>
      <c r="GS20" s="1852"/>
      <c r="GT20" s="1852"/>
      <c r="GU20" s="1852"/>
      <c r="GV20" s="1852"/>
      <c r="GW20" s="1852"/>
      <c r="GX20" s="1852"/>
      <c r="GY20" s="1852"/>
      <c r="GZ20" s="1852"/>
      <c r="HA20" s="1852"/>
      <c r="HB20" s="1852"/>
      <c r="HC20" s="1852"/>
      <c r="HD20" s="1852"/>
      <c r="HE20" s="1852"/>
      <c r="HF20" s="1852"/>
      <c r="HG20" s="1852"/>
      <c r="HH20" s="1852"/>
      <c r="HI20" s="1852"/>
      <c r="HJ20" s="1852"/>
      <c r="HK20" s="1852"/>
      <c r="HL20" s="1852"/>
      <c r="HM20" s="1852"/>
      <c r="HN20" s="1852"/>
      <c r="HO20" s="1852"/>
      <c r="HP20" s="1852"/>
      <c r="HQ20" s="1852"/>
      <c r="HR20" s="1852"/>
      <c r="HS20" s="1852"/>
      <c r="HT20" s="1852"/>
      <c r="HU20" s="1852"/>
      <c r="HV20" s="1852"/>
      <c r="HW20" s="1852"/>
      <c r="HX20" s="1852"/>
      <c r="HY20" s="1852"/>
      <c r="HZ20" s="1852"/>
      <c r="IA20" s="1852"/>
      <c r="IB20" s="1852"/>
      <c r="IC20" s="1852"/>
      <c r="ID20" s="1852"/>
      <c r="IE20" s="1852"/>
      <c r="IF20" s="1852"/>
      <c r="IG20" s="1852"/>
      <c r="IH20" s="1852"/>
      <c r="II20" s="1852"/>
      <c r="IJ20" s="1852"/>
      <c r="IK20" s="1852"/>
      <c r="IL20" s="1852"/>
      <c r="IM20" s="1852"/>
      <c r="IN20" s="1852"/>
      <c r="IO20" s="1852"/>
      <c r="IP20" s="1852"/>
      <c r="IQ20" s="1852"/>
      <c r="IR20" s="1852"/>
      <c r="IS20" s="1852"/>
      <c r="IT20" s="1852"/>
      <c r="IU20" s="1852"/>
      <c r="IV20" s="1852"/>
      <c r="IW20" s="1852"/>
      <c r="IX20" s="1852"/>
      <c r="IY20" s="1852"/>
      <c r="IZ20" s="1852"/>
      <c r="JA20" s="1852"/>
      <c r="JB20" s="1852"/>
      <c r="JC20" s="1852"/>
      <c r="JD20" s="1852"/>
      <c r="JE20" s="1852"/>
      <c r="JF20" s="1852"/>
      <c r="JG20" s="1852"/>
      <c r="JH20" s="1852"/>
      <c r="JI20" s="1852"/>
      <c r="JJ20" s="1852"/>
      <c r="JK20" s="1852"/>
      <c r="JL20" s="1852"/>
      <c r="JM20" s="1852"/>
      <c r="JN20" s="1852"/>
      <c r="JO20" s="1852"/>
      <c r="JP20" s="1852"/>
      <c r="JQ20" s="1852"/>
      <c r="JR20" s="1852"/>
      <c r="JS20" s="1852"/>
      <c r="JT20" s="1852"/>
      <c r="JU20" s="1852"/>
      <c r="JV20" s="1852"/>
      <c r="JW20" s="1852"/>
      <c r="JX20" s="1852"/>
      <c r="JY20" s="1852"/>
      <c r="JZ20" s="1852"/>
      <c r="KA20" s="1852"/>
      <c r="KB20" s="1852"/>
      <c r="KC20" s="1852"/>
      <c r="KD20" s="1852"/>
      <c r="KE20" s="1852"/>
      <c r="KF20" s="1852"/>
      <c r="KG20" s="1852"/>
      <c r="KH20" s="1852"/>
      <c r="KI20" s="1852"/>
      <c r="KJ20" s="1852"/>
      <c r="KK20" s="1852"/>
      <c r="KL20" s="1852"/>
      <c r="KM20" s="1852"/>
      <c r="KN20" s="1852"/>
      <c r="KO20" s="1852"/>
      <c r="KP20" s="1852"/>
      <c r="KQ20" s="1852"/>
      <c r="KR20" s="1852"/>
      <c r="KS20" s="1852"/>
      <c r="KT20" s="1852"/>
      <c r="KU20" s="1852"/>
      <c r="KV20" s="1852"/>
      <c r="KW20" s="1852"/>
      <c r="KX20" s="1852"/>
      <c r="KY20" s="1852"/>
      <c r="KZ20" s="1852"/>
      <c r="LA20" s="1852"/>
      <c r="LB20" s="1852"/>
      <c r="LC20" s="1852"/>
      <c r="LD20" s="1852"/>
      <c r="LE20" s="1852"/>
      <c r="LF20" s="1852"/>
      <c r="LG20" s="1852"/>
      <c r="LH20" s="1852"/>
      <c r="LI20" s="1852"/>
      <c r="LJ20" s="1852"/>
      <c r="LK20" s="1852"/>
      <c r="LL20" s="1852"/>
      <c r="LM20" s="1852"/>
      <c r="LN20" s="1852"/>
      <c r="LO20" s="1852"/>
      <c r="LP20" s="1852"/>
      <c r="LQ20" s="1852"/>
      <c r="LR20" s="1852"/>
      <c r="LS20" s="1852"/>
      <c r="LT20" s="1852"/>
      <c r="LU20" s="1852"/>
      <c r="LV20" s="1852"/>
      <c r="LW20" s="1852"/>
      <c r="LX20" s="1852"/>
      <c r="LY20" s="1852"/>
      <c r="LZ20" s="1852"/>
      <c r="MA20" s="1852"/>
      <c r="MB20" s="1852"/>
      <c r="MC20" s="1852"/>
      <c r="MD20" s="1852"/>
      <c r="ME20" s="1852"/>
      <c r="MF20" s="1852"/>
      <c r="MG20" s="1852"/>
      <c r="MH20" s="1852"/>
      <c r="MI20" s="1852"/>
      <c r="MJ20" s="1852"/>
      <c r="MK20" s="1852"/>
      <c r="ML20" s="1852"/>
      <c r="MM20" s="1852"/>
      <c r="MN20" s="1852"/>
      <c r="MO20" s="1852"/>
      <c r="MP20" s="1852"/>
      <c r="MQ20" s="1852"/>
      <c r="MR20" s="1852"/>
      <c r="MS20" s="1852"/>
      <c r="MT20" s="1852"/>
      <c r="MU20" s="1852"/>
      <c r="MV20" s="1852"/>
      <c r="MW20" s="1852"/>
      <c r="MX20" s="1852"/>
      <c r="MY20" s="1852"/>
      <c r="MZ20" s="1852"/>
      <c r="NA20" s="1852"/>
      <c r="NB20" s="1852"/>
      <c r="NC20" s="1852"/>
      <c r="ND20" s="1852"/>
      <c r="NE20" s="1852"/>
      <c r="NF20" s="1852"/>
      <c r="NG20" s="1852"/>
      <c r="NH20" s="1852"/>
      <c r="NI20" s="1852"/>
      <c r="NJ20" s="1852"/>
      <c r="NK20" s="1852"/>
      <c r="NL20" s="1852"/>
      <c r="NM20" s="1852"/>
      <c r="NN20" s="1852"/>
      <c r="NO20" s="1852"/>
      <c r="NP20" s="1852"/>
      <c r="NQ20" s="1852"/>
      <c r="NR20" s="1852"/>
      <c r="NS20" s="1852"/>
      <c r="NT20" s="1852"/>
      <c r="NU20" s="1852"/>
      <c r="NV20" s="1852"/>
      <c r="NW20" s="1852"/>
      <c r="NX20" s="1852"/>
      <c r="NY20" s="1852"/>
      <c r="NZ20" s="1852"/>
      <c r="OA20" s="1852"/>
      <c r="OB20" s="1852"/>
      <c r="OC20" s="1852"/>
      <c r="OD20" s="1852"/>
      <c r="OE20" s="1852"/>
      <c r="OF20" s="1852"/>
      <c r="OG20" s="1852"/>
      <c r="OH20" s="1852"/>
      <c r="OI20" s="1852"/>
      <c r="OJ20" s="1852"/>
      <c r="OK20" s="1852"/>
      <c r="OL20" s="1852"/>
      <c r="OM20" s="1852"/>
      <c r="ON20" s="1852"/>
      <c r="OO20" s="1852"/>
      <c r="OP20" s="1852"/>
      <c r="OQ20" s="1852"/>
      <c r="OR20" s="1852"/>
      <c r="OS20" s="1852"/>
      <c r="OT20" s="1852"/>
      <c r="OU20" s="1852"/>
      <c r="OV20" s="1852"/>
      <c r="OW20" s="1852"/>
      <c r="OX20" s="1852"/>
      <c r="OY20" s="1852"/>
      <c r="OZ20" s="1852"/>
      <c r="PA20" s="1852"/>
      <c r="PB20" s="1852"/>
      <c r="PC20" s="1852"/>
      <c r="PD20" s="1852"/>
      <c r="PE20" s="1852"/>
      <c r="PF20" s="1852"/>
      <c r="PG20" s="1852"/>
      <c r="PH20" s="1852"/>
      <c r="PI20" s="1852"/>
      <c r="PJ20" s="1852"/>
      <c r="PK20" s="1852"/>
      <c r="PL20" s="1852"/>
      <c r="PM20" s="1852"/>
      <c r="PN20" s="1852"/>
      <c r="PO20" s="1852"/>
      <c r="PP20" s="1852"/>
      <c r="PQ20" s="1852"/>
      <c r="PR20" s="1852"/>
      <c r="PS20" s="1852"/>
      <c r="PT20" s="1852"/>
      <c r="PU20" s="1852"/>
      <c r="PV20" s="1852"/>
      <c r="PW20" s="1852"/>
      <c r="PX20" s="1852"/>
      <c r="PY20" s="1852"/>
      <c r="PZ20" s="1852"/>
      <c r="QA20" s="1852"/>
      <c r="QB20" s="1852"/>
      <c r="QC20" s="1852"/>
      <c r="QD20" s="1852"/>
      <c r="QE20" s="1852"/>
      <c r="QF20" s="1852"/>
      <c r="QG20" s="1852"/>
      <c r="QH20" s="1852"/>
      <c r="QI20" s="1852"/>
      <c r="QJ20" s="1852"/>
      <c r="QK20" s="1852"/>
      <c r="QL20" s="1852"/>
      <c r="QM20" s="1852"/>
      <c r="QN20" s="1852"/>
      <c r="QO20" s="1852"/>
      <c r="QP20" s="1852"/>
      <c r="QQ20" s="1852"/>
      <c r="QR20" s="1852"/>
      <c r="QS20" s="1852"/>
      <c r="QT20" s="1852"/>
      <c r="QU20" s="1852"/>
      <c r="QV20" s="1852"/>
      <c r="QW20" s="1852"/>
      <c r="QX20" s="1852"/>
      <c r="QY20" s="1852"/>
      <c r="QZ20" s="1852"/>
      <c r="RA20" s="1852"/>
      <c r="RB20" s="1852"/>
      <c r="RC20" s="1852"/>
      <c r="RD20" s="1852"/>
      <c r="RE20" s="1852"/>
      <c r="RF20" s="1852"/>
      <c r="RG20" s="1852"/>
      <c r="RH20" s="1852"/>
      <c r="RI20" s="1852"/>
      <c r="RJ20" s="1852"/>
      <c r="RK20" s="1852"/>
      <c r="RL20" s="1852"/>
      <c r="RM20" s="1852"/>
      <c r="RN20" s="1852"/>
      <c r="RO20" s="1852"/>
      <c r="RP20" s="1852"/>
      <c r="RQ20" s="1852"/>
      <c r="RR20" s="1852"/>
      <c r="RS20" s="1852"/>
      <c r="RT20" s="1852"/>
      <c r="RU20" s="1852"/>
      <c r="RV20" s="1852"/>
      <c r="RW20" s="1852"/>
      <c r="RX20" s="1852"/>
      <c r="RY20" s="1852"/>
      <c r="RZ20" s="1852"/>
      <c r="SA20" s="1852"/>
      <c r="SB20" s="1852"/>
      <c r="SC20" s="1852"/>
      <c r="SD20" s="1852"/>
      <c r="SE20" s="1852"/>
      <c r="SF20" s="1852"/>
      <c r="SG20" s="1852"/>
      <c r="SH20" s="1852"/>
      <c r="SI20" s="1852"/>
      <c r="SJ20" s="1852"/>
      <c r="SK20" s="1852"/>
      <c r="SL20" s="1852"/>
      <c r="SM20" s="1852"/>
      <c r="SN20" s="1852"/>
      <c r="SO20" s="1852"/>
      <c r="SP20" s="1852"/>
      <c r="SQ20" s="1852"/>
      <c r="SR20" s="1852"/>
      <c r="SS20" s="1852"/>
      <c r="ST20" s="1852"/>
      <c r="SU20" s="1852"/>
      <c r="SV20" s="1852"/>
      <c r="SW20" s="1852"/>
      <c r="SX20" s="1852"/>
      <c r="SY20" s="1852"/>
      <c r="SZ20" s="1852"/>
      <c r="TA20" s="1852"/>
      <c r="TB20" s="1852"/>
      <c r="TC20" s="1852"/>
      <c r="TD20" s="1852"/>
      <c r="TE20" s="1852"/>
      <c r="TF20" s="1852"/>
      <c r="TG20" s="1852"/>
      <c r="TH20" s="1852"/>
      <c r="TI20" s="1852"/>
      <c r="TJ20" s="1852"/>
      <c r="TK20" s="1852"/>
      <c r="TL20" s="1852"/>
      <c r="TM20" s="1852"/>
      <c r="TN20" s="1852"/>
      <c r="TO20" s="1852"/>
      <c r="TP20" s="1852"/>
      <c r="TQ20" s="1852"/>
      <c r="TR20" s="1852"/>
      <c r="TS20" s="1852"/>
      <c r="TT20" s="1852"/>
      <c r="TU20" s="1852"/>
      <c r="TV20" s="1852"/>
      <c r="TW20" s="1852"/>
      <c r="TX20" s="1852"/>
      <c r="TY20" s="1852"/>
      <c r="TZ20" s="1852"/>
      <c r="UA20" s="1852"/>
      <c r="UB20" s="1852"/>
      <c r="UC20" s="1852"/>
      <c r="UD20" s="1852"/>
      <c r="UE20" s="1852"/>
      <c r="UF20" s="1852"/>
      <c r="UG20" s="1852"/>
      <c r="UH20" s="1852"/>
      <c r="UI20" s="1852"/>
      <c r="UJ20" s="1852"/>
      <c r="UK20" s="1852"/>
      <c r="UL20" s="1852"/>
      <c r="UM20" s="1852"/>
      <c r="UN20" s="1852"/>
      <c r="UO20" s="1852"/>
      <c r="UP20" s="1852"/>
      <c r="UQ20" s="1852"/>
      <c r="UR20" s="1852"/>
      <c r="US20" s="1852"/>
      <c r="UT20" s="1852"/>
      <c r="UU20" s="1852"/>
      <c r="UV20" s="1852"/>
      <c r="UW20" s="1852"/>
      <c r="UX20" s="1852"/>
      <c r="UY20" s="1852"/>
      <c r="UZ20" s="1852"/>
      <c r="VA20" s="1852"/>
      <c r="VB20" s="1852"/>
      <c r="VC20" s="1852"/>
      <c r="VD20" s="1852"/>
      <c r="VE20" s="1852"/>
      <c r="VF20" s="1852"/>
      <c r="VG20" s="1852"/>
      <c r="VH20" s="1852"/>
      <c r="VI20" s="1852"/>
      <c r="VJ20" s="1852"/>
      <c r="VK20" s="1852"/>
      <c r="VL20" s="1852"/>
      <c r="VM20" s="1852"/>
      <c r="VN20" s="1852"/>
      <c r="VO20" s="1852"/>
      <c r="VP20" s="1852"/>
      <c r="VQ20" s="1852"/>
      <c r="VR20" s="1852"/>
      <c r="VS20" s="1852"/>
      <c r="VT20" s="1852"/>
      <c r="VU20" s="1852"/>
      <c r="VV20" s="1852"/>
      <c r="VW20" s="1852"/>
      <c r="VX20" s="1852"/>
      <c r="VY20" s="1852"/>
      <c r="VZ20" s="1852"/>
      <c r="WA20" s="1852"/>
      <c r="WB20" s="1852"/>
      <c r="WC20" s="1852"/>
      <c r="WD20" s="1852"/>
      <c r="WE20" s="1852"/>
      <c r="WF20" s="1852"/>
      <c r="WG20" s="1852"/>
      <c r="WH20" s="1852"/>
      <c r="WI20" s="1852"/>
      <c r="WJ20" s="1852"/>
      <c r="WK20" s="1852"/>
      <c r="WL20" s="1852"/>
      <c r="WM20" s="1852"/>
      <c r="WN20" s="1852"/>
      <c r="WO20" s="1852"/>
      <c r="WP20" s="1852"/>
      <c r="WQ20" s="1852"/>
      <c r="WR20" s="1852"/>
      <c r="WS20" s="1852"/>
      <c r="WT20" s="1852"/>
      <c r="WU20" s="1852"/>
      <c r="WV20" s="1852"/>
      <c r="WW20" s="1852"/>
      <c r="WX20" s="1852"/>
      <c r="WY20" s="1852"/>
      <c r="WZ20" s="1852"/>
      <c r="XA20" s="1852"/>
      <c r="XB20" s="1852"/>
      <c r="XC20" s="1852"/>
      <c r="XD20" s="1852"/>
      <c r="XE20" s="1852"/>
      <c r="XF20" s="1852"/>
      <c r="XG20" s="1852"/>
      <c r="XH20" s="1852"/>
      <c r="XI20" s="1852"/>
      <c r="XJ20" s="1852"/>
      <c r="XK20" s="1852"/>
      <c r="XL20" s="1852"/>
      <c r="XM20" s="1852"/>
      <c r="XN20" s="1852"/>
      <c r="XO20" s="1852"/>
      <c r="XP20" s="1852"/>
      <c r="XQ20" s="1852"/>
      <c r="XR20" s="1852"/>
      <c r="XS20" s="1852"/>
      <c r="XT20" s="1852"/>
      <c r="XU20" s="1852"/>
      <c r="XV20" s="1852"/>
      <c r="XW20" s="1852"/>
      <c r="XX20" s="1852"/>
      <c r="XY20" s="1852"/>
      <c r="XZ20" s="1852"/>
      <c r="YA20" s="1852"/>
      <c r="YB20" s="1852"/>
      <c r="YC20" s="1852"/>
      <c r="YD20" s="1852"/>
      <c r="YE20" s="1852"/>
      <c r="YF20" s="1852"/>
      <c r="YG20" s="1852"/>
      <c r="YH20" s="1852"/>
      <c r="YI20" s="1852"/>
      <c r="YJ20" s="1852"/>
      <c r="YK20" s="1852"/>
      <c r="YL20" s="1852"/>
      <c r="YM20" s="1852"/>
      <c r="YN20" s="1852"/>
      <c r="YO20" s="1852"/>
      <c r="YP20" s="1852"/>
      <c r="YQ20" s="1852"/>
      <c r="YR20" s="1852"/>
      <c r="YS20" s="1852"/>
      <c r="YT20" s="1852"/>
      <c r="YU20" s="1852"/>
      <c r="YV20" s="1852"/>
      <c r="YW20" s="1852"/>
      <c r="YX20" s="1852"/>
      <c r="YY20" s="1852"/>
      <c r="YZ20" s="1852"/>
      <c r="ZA20" s="1852"/>
      <c r="ZB20" s="1852"/>
      <c r="ZC20" s="1852"/>
      <c r="ZD20" s="1852"/>
      <c r="ZE20" s="1852"/>
      <c r="ZF20" s="1852"/>
      <c r="ZG20" s="1852"/>
      <c r="ZH20" s="1852"/>
      <c r="ZI20" s="1852"/>
      <c r="ZJ20" s="1852"/>
      <c r="ZK20" s="1852"/>
      <c r="ZL20" s="1852"/>
      <c r="ZM20" s="1852"/>
      <c r="ZN20" s="1852"/>
      <c r="ZO20" s="1852"/>
      <c r="ZP20" s="1852"/>
      <c r="ZQ20" s="1852"/>
      <c r="ZR20" s="1852"/>
      <c r="ZS20" s="1852"/>
      <c r="ZT20" s="1852"/>
      <c r="ZU20" s="1852"/>
      <c r="ZV20" s="1852"/>
      <c r="ZW20" s="1852"/>
      <c r="ZX20" s="1852"/>
      <c r="ZY20" s="1852"/>
      <c r="ZZ20" s="1852"/>
      <c r="AAA20" s="1852"/>
      <c r="AAB20" s="1852"/>
      <c r="AAC20" s="1852"/>
      <c r="AAD20" s="1852"/>
      <c r="AAE20" s="1852"/>
      <c r="AAF20" s="1852"/>
      <c r="AAG20" s="1852"/>
      <c r="AAH20" s="1852"/>
      <c r="AAI20" s="1852"/>
      <c r="AAJ20" s="1852"/>
      <c r="AAK20" s="1852"/>
      <c r="AAL20" s="1852"/>
      <c r="AAM20" s="1852"/>
      <c r="AAN20" s="1852"/>
      <c r="AAO20" s="1852"/>
      <c r="AAP20" s="1852"/>
      <c r="AAQ20" s="1852"/>
      <c r="AAR20" s="1852"/>
      <c r="AAS20" s="1852"/>
      <c r="AAT20" s="1852"/>
      <c r="AAU20" s="1852"/>
      <c r="AAV20" s="1852"/>
      <c r="AAW20" s="1852"/>
      <c r="AAX20" s="1852"/>
      <c r="AAY20" s="1852"/>
      <c r="AAZ20" s="1852"/>
      <c r="ABA20" s="1852"/>
      <c r="ABB20" s="1852"/>
      <c r="ABC20" s="1852"/>
      <c r="ABD20" s="1852"/>
      <c r="ABE20" s="1852"/>
      <c r="ABF20" s="1852"/>
      <c r="ABG20" s="1852"/>
      <c r="ABH20" s="1852"/>
      <c r="ABI20" s="1852"/>
      <c r="ABJ20" s="1852"/>
      <c r="ABK20" s="1852"/>
      <c r="ABL20" s="1852"/>
      <c r="ABM20" s="1852"/>
      <c r="ABN20" s="1852"/>
      <c r="ABO20" s="1852"/>
      <c r="ABP20" s="1852"/>
      <c r="ABQ20" s="1852"/>
      <c r="ABR20" s="1852"/>
      <c r="ABS20" s="1852"/>
      <c r="ABT20" s="1852"/>
      <c r="ABU20" s="1852"/>
      <c r="ABV20" s="1852"/>
      <c r="ABW20" s="1852"/>
      <c r="ABX20" s="1852"/>
      <c r="ABY20" s="1852"/>
      <c r="ABZ20" s="1852"/>
      <c r="ACA20" s="1852"/>
      <c r="ACB20" s="1852"/>
      <c r="ACC20" s="1852"/>
      <c r="ACD20" s="1852"/>
      <c r="ACE20" s="1852"/>
      <c r="ACF20" s="1852"/>
      <c r="ACG20" s="1852"/>
      <c r="ACH20" s="1852"/>
      <c r="ACI20" s="1852"/>
      <c r="ACJ20" s="1852"/>
      <c r="ACK20" s="1852"/>
      <c r="ACL20" s="1852"/>
      <c r="ACM20" s="1852"/>
      <c r="ACN20" s="1852"/>
      <c r="ACO20" s="1852"/>
      <c r="ACP20" s="1852"/>
      <c r="ACQ20" s="1852"/>
      <c r="ACR20" s="1852"/>
      <c r="ACS20" s="1852"/>
      <c r="ACT20" s="1852"/>
      <c r="ACU20" s="1852"/>
      <c r="ACV20" s="1852"/>
      <c r="ACW20" s="1852"/>
      <c r="ACX20" s="1852"/>
      <c r="ACY20" s="1852"/>
      <c r="ACZ20" s="1852"/>
      <c r="ADA20" s="1852"/>
      <c r="ADB20" s="1852"/>
      <c r="ADC20" s="1852"/>
      <c r="ADD20" s="1852"/>
      <c r="ADE20" s="1852"/>
      <c r="ADF20" s="1852"/>
      <c r="ADG20" s="1852"/>
      <c r="ADH20" s="1852"/>
      <c r="ADI20" s="1852"/>
      <c r="ADJ20" s="1852"/>
      <c r="ADK20" s="1852"/>
      <c r="ADL20" s="1852"/>
      <c r="ADM20" s="1852"/>
      <c r="ADN20" s="1852"/>
      <c r="ADO20" s="1852"/>
      <c r="ADP20" s="1852"/>
      <c r="ADQ20" s="1852"/>
      <c r="ADR20" s="1852"/>
      <c r="ADS20" s="1852"/>
      <c r="ADT20" s="1852"/>
      <c r="ADU20" s="1852"/>
      <c r="ADV20" s="1852"/>
      <c r="ADW20" s="1852"/>
      <c r="ADX20" s="1852"/>
      <c r="ADY20" s="1852"/>
      <c r="ADZ20" s="1852"/>
      <c r="AEA20" s="1852"/>
      <c r="AEB20" s="1852"/>
      <c r="AEC20" s="1852"/>
      <c r="AED20" s="1852"/>
      <c r="AEE20" s="1852"/>
      <c r="AEF20" s="1852"/>
      <c r="AEG20" s="1852"/>
      <c r="AEH20" s="1852"/>
      <c r="AEI20" s="1852"/>
      <c r="AEJ20" s="1852"/>
      <c r="AEK20" s="1852"/>
      <c r="AEL20" s="1852"/>
      <c r="AEM20" s="1852"/>
      <c r="AEN20" s="1852"/>
      <c r="AEO20" s="1852"/>
      <c r="AEP20" s="1852"/>
      <c r="AEQ20" s="1852"/>
      <c r="AER20" s="1852"/>
      <c r="AES20" s="1852"/>
      <c r="AET20" s="1852"/>
      <c r="AEU20" s="1852"/>
      <c r="AEV20" s="1852"/>
      <c r="AEW20" s="1852"/>
      <c r="AEX20" s="1852"/>
      <c r="AEY20" s="1852"/>
      <c r="AEZ20" s="1852"/>
      <c r="AFA20" s="1852"/>
      <c r="AFB20" s="1852"/>
      <c r="AFC20" s="1852"/>
      <c r="AFD20" s="1852"/>
      <c r="AFE20" s="1852"/>
      <c r="AFF20" s="1852"/>
      <c r="AFG20" s="1852"/>
      <c r="AFH20" s="1852"/>
      <c r="AFI20" s="1852"/>
      <c r="AFJ20" s="1852"/>
      <c r="AFK20" s="1852"/>
      <c r="AFL20" s="1852"/>
      <c r="AFM20" s="1852"/>
      <c r="AFN20" s="1852"/>
      <c r="AFO20" s="1852"/>
      <c r="AFP20" s="1852"/>
      <c r="AFQ20" s="1852"/>
      <c r="AFR20" s="1852"/>
      <c r="AFS20" s="1852"/>
      <c r="AFT20" s="1852"/>
      <c r="AFU20" s="1852"/>
      <c r="AFV20" s="1852"/>
      <c r="AFW20" s="1852"/>
      <c r="AFX20" s="1852"/>
      <c r="AFY20" s="1852"/>
      <c r="AFZ20" s="1852"/>
      <c r="AGA20" s="1852"/>
      <c r="AGB20" s="1852"/>
      <c r="AGC20" s="1852"/>
      <c r="AGD20" s="1852"/>
      <c r="AGE20" s="1852"/>
      <c r="AGF20" s="1852"/>
      <c r="AGG20" s="1852"/>
      <c r="AGH20" s="1852"/>
      <c r="AGI20" s="1852"/>
      <c r="AGJ20" s="1852"/>
      <c r="AGK20" s="1852"/>
      <c r="AGL20" s="1852"/>
      <c r="AGM20" s="1852"/>
      <c r="AGN20" s="1852"/>
      <c r="AGO20" s="1852"/>
      <c r="AGP20" s="1852"/>
      <c r="AGQ20" s="1852"/>
      <c r="AGR20" s="1852"/>
      <c r="AGS20" s="1852"/>
      <c r="AGT20" s="1852"/>
      <c r="AGU20" s="1852"/>
      <c r="AGV20" s="1852"/>
      <c r="AGW20" s="1852"/>
      <c r="AGX20" s="1852"/>
      <c r="AGY20" s="1852"/>
      <c r="AGZ20" s="1852"/>
      <c r="AHA20" s="1852"/>
      <c r="AHB20" s="1852"/>
      <c r="AHC20" s="1852"/>
      <c r="AHD20" s="1852"/>
      <c r="AHE20" s="1852"/>
      <c r="AHF20" s="1852"/>
      <c r="AHG20" s="1852"/>
      <c r="AHH20" s="1852"/>
      <c r="AHI20" s="1852"/>
      <c r="AHJ20" s="1852"/>
      <c r="AHK20" s="1852"/>
      <c r="AHL20" s="1852"/>
      <c r="AHM20" s="1852"/>
      <c r="AHN20" s="1852"/>
      <c r="AHO20" s="1852"/>
      <c r="AHP20" s="1852"/>
      <c r="AHQ20" s="1852"/>
      <c r="AHR20" s="1852"/>
      <c r="AHS20" s="1852"/>
      <c r="AHT20" s="1852"/>
      <c r="AHU20" s="1852"/>
      <c r="AHV20" s="1852"/>
      <c r="AHW20" s="1852"/>
      <c r="AHX20" s="1852"/>
      <c r="AHY20" s="1852"/>
      <c r="AHZ20" s="1852"/>
      <c r="AIA20" s="1852"/>
      <c r="AIB20" s="1852"/>
      <c r="AIC20" s="1852"/>
      <c r="AID20" s="1852"/>
      <c r="AIE20" s="1852"/>
      <c r="AIF20" s="1852"/>
      <c r="AIG20" s="1852"/>
      <c r="AIH20" s="1852"/>
      <c r="AII20" s="1852"/>
      <c r="AIJ20" s="1852"/>
      <c r="AIK20" s="1852"/>
      <c r="AIL20" s="1852"/>
      <c r="AIM20" s="1852"/>
      <c r="AIN20" s="1852"/>
      <c r="AIO20" s="1852"/>
      <c r="AIP20" s="1852"/>
      <c r="AIQ20" s="1852"/>
      <c r="AIR20" s="1852"/>
      <c r="AIS20" s="1852"/>
      <c r="AIT20" s="1852"/>
      <c r="AIU20" s="1852"/>
      <c r="AIV20" s="1852"/>
      <c r="AIW20" s="1852"/>
      <c r="AIX20" s="1852"/>
      <c r="AIY20" s="1852"/>
      <c r="AIZ20" s="1852"/>
      <c r="AJA20" s="1852"/>
      <c r="AJB20" s="1852"/>
      <c r="AJC20" s="1852"/>
      <c r="AJD20" s="1852"/>
      <c r="AJE20" s="1852"/>
      <c r="AJF20" s="1852"/>
      <c r="AJG20" s="1852"/>
      <c r="AJH20" s="1852"/>
      <c r="AJI20" s="1852"/>
      <c r="AJJ20" s="1852"/>
      <c r="AJK20" s="1852"/>
      <c r="AJL20" s="1852"/>
      <c r="AJM20" s="1852"/>
      <c r="AJN20" s="1852"/>
      <c r="AJO20" s="1852"/>
      <c r="AJP20" s="1852"/>
      <c r="AJQ20" s="1852"/>
      <c r="AJR20" s="1852"/>
      <c r="AJS20" s="1852"/>
      <c r="AJT20" s="1852"/>
      <c r="AJU20" s="1852"/>
      <c r="AJV20" s="1852"/>
      <c r="AJW20" s="1852"/>
      <c r="AJX20" s="1852"/>
      <c r="AJY20" s="1852"/>
      <c r="AJZ20" s="1852"/>
      <c r="AKA20" s="1852"/>
      <c r="AKB20" s="1852"/>
      <c r="AKC20" s="1852"/>
      <c r="AKD20" s="1852"/>
      <c r="AKE20" s="1852"/>
      <c r="AKF20" s="1852"/>
      <c r="AKG20" s="1852"/>
      <c r="AKH20" s="1852"/>
      <c r="AKI20" s="1852"/>
      <c r="AKJ20" s="1852"/>
      <c r="AKK20" s="1852"/>
      <c r="AKL20" s="1852"/>
      <c r="AKM20" s="1852"/>
      <c r="AKN20" s="1852"/>
      <c r="AKO20" s="1852"/>
      <c r="AKP20" s="1852"/>
      <c r="AKQ20" s="1852"/>
      <c r="AKR20" s="1852"/>
      <c r="AKS20" s="1852"/>
      <c r="AKT20" s="1852"/>
      <c r="AKU20" s="1852"/>
      <c r="AKV20" s="1852"/>
      <c r="AKW20" s="1852"/>
      <c r="AKX20" s="1852"/>
      <c r="AKY20" s="1852"/>
      <c r="AKZ20" s="1852"/>
      <c r="ALA20" s="1852"/>
      <c r="ALB20" s="1852"/>
      <c r="ALC20" s="1852"/>
      <c r="ALD20" s="1852"/>
      <c r="ALE20" s="1852"/>
      <c r="ALF20" s="1852"/>
      <c r="ALG20" s="1852"/>
      <c r="ALH20" s="1852"/>
      <c r="ALI20" s="1852"/>
      <c r="ALJ20" s="1852"/>
      <c r="ALK20" s="1852"/>
      <c r="ALL20" s="1852"/>
      <c r="ALM20" s="1852"/>
      <c r="ALN20" s="1852"/>
      <c r="ALO20" s="1852"/>
      <c r="ALP20" s="1852"/>
      <c r="ALQ20" s="1852"/>
      <c r="ALR20" s="1852"/>
    </row>
    <row r="21" spans="1:1006" x14ac:dyDescent="0.3">
      <c r="A21" s="1854"/>
      <c r="B21" t="s">
        <v>1216</v>
      </c>
      <c r="C21" s="1853" t="s">
        <v>1218</v>
      </c>
      <c r="D21" s="1855">
        <f t="shared" si="0"/>
        <v>0</v>
      </c>
      <c r="E21" s="1855">
        <f t="shared" si="1"/>
        <v>0</v>
      </c>
      <c r="F21" s="1855">
        <f t="shared" si="2"/>
        <v>0</v>
      </c>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c r="AP21" s="1852"/>
      <c r="AQ21" s="1852"/>
      <c r="AR21" s="1852"/>
      <c r="AS21" s="1852"/>
      <c r="AT21" s="1852"/>
      <c r="AU21" s="1852"/>
      <c r="AV21" s="1852"/>
      <c r="AW21" s="1852"/>
      <c r="AX21" s="1852"/>
      <c r="AY21" s="1852"/>
      <c r="AZ21" s="1852"/>
      <c r="BA21" s="1852"/>
      <c r="BB21" s="1852"/>
      <c r="BC21" s="1852"/>
      <c r="BD21" s="1852"/>
      <c r="BE21" s="1852"/>
      <c r="BF21" s="1852"/>
      <c r="BG21" s="1852"/>
      <c r="BH21" s="1852"/>
      <c r="BI21" s="1852"/>
      <c r="BJ21" s="1852"/>
      <c r="BK21" s="1852"/>
      <c r="BL21" s="1852"/>
      <c r="BM21" s="1852"/>
      <c r="BN21" s="1852"/>
      <c r="BO21" s="1852"/>
      <c r="BP21" s="1852"/>
      <c r="BQ21" s="1852"/>
      <c r="BR21" s="1852"/>
      <c r="BS21" s="1852"/>
      <c r="BT21" s="1852"/>
      <c r="BU21" s="1852"/>
      <c r="BV21" s="1852"/>
      <c r="BW21" s="1852"/>
      <c r="BX21" s="1852"/>
      <c r="BY21" s="1852"/>
      <c r="BZ21" s="1852"/>
      <c r="CA21" s="1852"/>
      <c r="CB21" s="1852"/>
      <c r="CC21" s="1852"/>
      <c r="CD21" s="1852"/>
      <c r="CE21" s="1852"/>
      <c r="CF21" s="1852"/>
      <c r="CG21" s="1852"/>
      <c r="CH21" s="1852"/>
      <c r="CI21" s="1852"/>
      <c r="CJ21" s="1852"/>
      <c r="CK21" s="1852"/>
      <c r="CL21" s="1852"/>
      <c r="CM21" s="1852"/>
      <c r="CN21" s="1852"/>
      <c r="CO21" s="1852"/>
      <c r="CP21" s="1852"/>
      <c r="CQ21" s="1852"/>
      <c r="CR21" s="1852"/>
      <c r="CS21" s="1852"/>
      <c r="CT21" s="1852"/>
      <c r="CU21" s="1852"/>
      <c r="CV21" s="1852"/>
      <c r="CW21" s="1852"/>
      <c r="CX21" s="1852"/>
      <c r="CY21" s="1852"/>
      <c r="CZ21" s="1852"/>
      <c r="DA21" s="1852"/>
      <c r="DB21" s="1852"/>
      <c r="DC21" s="1852"/>
      <c r="DD21" s="1852"/>
      <c r="DE21" s="1852"/>
      <c r="DF21" s="1852"/>
      <c r="DG21" s="1852"/>
      <c r="DH21" s="1852"/>
      <c r="DI21" s="1852"/>
      <c r="DJ21" s="1852"/>
      <c r="DK21" s="1852"/>
      <c r="DL21" s="1852"/>
      <c r="DM21" s="1852"/>
      <c r="DN21" s="1852"/>
      <c r="DO21" s="1852"/>
      <c r="DP21" s="1852"/>
      <c r="DQ21" s="1852"/>
      <c r="DR21" s="1852"/>
      <c r="DS21" s="1852"/>
      <c r="DT21" s="1852"/>
      <c r="DU21" s="1852"/>
      <c r="DV21" s="1852"/>
      <c r="DW21" s="1852"/>
      <c r="DX21" s="1852"/>
      <c r="DY21" s="1852"/>
      <c r="DZ21" s="1852"/>
      <c r="EA21" s="1852"/>
      <c r="EB21" s="1852"/>
      <c r="EC21" s="1852"/>
      <c r="ED21" s="1852"/>
      <c r="EE21" s="1852"/>
      <c r="EF21" s="1852"/>
      <c r="EG21" s="1852"/>
      <c r="EH21" s="1852"/>
      <c r="EI21" s="1852"/>
      <c r="EJ21" s="1852"/>
      <c r="EK21" s="1852"/>
      <c r="EL21" s="1852"/>
      <c r="EM21" s="1852"/>
      <c r="EN21" s="1852"/>
      <c r="EO21" s="1852"/>
      <c r="EP21" s="1852"/>
      <c r="EQ21" s="1852"/>
      <c r="ER21" s="1852"/>
      <c r="ES21" s="1852"/>
      <c r="ET21" s="1852"/>
      <c r="EU21" s="1852"/>
      <c r="EV21" s="1852"/>
      <c r="EW21" s="1852"/>
      <c r="EX21" s="1852"/>
      <c r="EY21" s="1852"/>
      <c r="EZ21" s="1852"/>
      <c r="FA21" s="1852"/>
      <c r="FB21" s="1852"/>
      <c r="FC21" s="1852"/>
      <c r="FD21" s="1852"/>
      <c r="FE21" s="1852"/>
      <c r="FF21" s="1852"/>
      <c r="FG21" s="1852"/>
      <c r="FH21" s="1852"/>
      <c r="FI21" s="1852"/>
      <c r="FJ21" s="1852"/>
      <c r="FK21" s="1852"/>
      <c r="FL21" s="1852"/>
      <c r="FM21" s="1852"/>
      <c r="FN21" s="1852"/>
      <c r="FO21" s="1852"/>
      <c r="FP21" s="1852"/>
      <c r="FQ21" s="1852"/>
      <c r="FR21" s="1852"/>
      <c r="FS21" s="1852"/>
      <c r="FT21" s="1852"/>
      <c r="FU21" s="1852"/>
      <c r="FV21" s="1852"/>
      <c r="FW21" s="1852"/>
      <c r="FX21" s="1852"/>
      <c r="FY21" s="1852"/>
      <c r="FZ21" s="1852"/>
      <c r="GA21" s="1852"/>
      <c r="GB21" s="1852"/>
      <c r="GC21" s="1852"/>
      <c r="GD21" s="1852"/>
      <c r="GE21" s="1852"/>
      <c r="GF21" s="1852"/>
      <c r="GG21" s="1852"/>
      <c r="GH21" s="1852"/>
      <c r="GI21" s="1852"/>
      <c r="GJ21" s="1852"/>
      <c r="GK21" s="1852"/>
      <c r="GL21" s="1852"/>
      <c r="GM21" s="1852"/>
      <c r="GN21" s="1852"/>
      <c r="GO21" s="1852"/>
      <c r="GP21" s="1852"/>
      <c r="GQ21" s="1852"/>
      <c r="GR21" s="1852"/>
      <c r="GS21" s="1852"/>
      <c r="GT21" s="1852"/>
      <c r="GU21" s="1852"/>
      <c r="GV21" s="1852"/>
      <c r="GW21" s="1852"/>
      <c r="GX21" s="1852"/>
      <c r="GY21" s="1852"/>
      <c r="GZ21" s="1852"/>
      <c r="HA21" s="1852"/>
      <c r="HB21" s="1852"/>
      <c r="HC21" s="1852"/>
      <c r="HD21" s="1852"/>
      <c r="HE21" s="1852"/>
      <c r="HF21" s="1852"/>
      <c r="HG21" s="1852"/>
      <c r="HH21" s="1852"/>
      <c r="HI21" s="1852"/>
      <c r="HJ21" s="1852"/>
      <c r="HK21" s="1852"/>
      <c r="HL21" s="1852"/>
      <c r="HM21" s="1852"/>
      <c r="HN21" s="1852"/>
      <c r="HO21" s="1852"/>
      <c r="HP21" s="1852"/>
      <c r="HQ21" s="1852"/>
      <c r="HR21" s="1852"/>
      <c r="HS21" s="1852"/>
      <c r="HT21" s="1852"/>
      <c r="HU21" s="1852"/>
      <c r="HV21" s="1852"/>
      <c r="HW21" s="1852"/>
      <c r="HX21" s="1852"/>
      <c r="HY21" s="1852"/>
      <c r="HZ21" s="1852"/>
      <c r="IA21" s="1852"/>
      <c r="IB21" s="1852"/>
      <c r="IC21" s="1852"/>
      <c r="ID21" s="1852"/>
      <c r="IE21" s="1852"/>
      <c r="IF21" s="1852"/>
      <c r="IG21" s="1852"/>
      <c r="IH21" s="1852"/>
      <c r="II21" s="1852"/>
      <c r="IJ21" s="1852"/>
      <c r="IK21" s="1852"/>
      <c r="IL21" s="1852"/>
      <c r="IM21" s="1852"/>
      <c r="IN21" s="1852"/>
      <c r="IO21" s="1852"/>
      <c r="IP21" s="1852"/>
      <c r="IQ21" s="1852"/>
      <c r="IR21" s="1852"/>
      <c r="IS21" s="1852"/>
      <c r="IT21" s="1852"/>
      <c r="IU21" s="1852"/>
      <c r="IV21" s="1852"/>
      <c r="IW21" s="1852"/>
      <c r="IX21" s="1852"/>
      <c r="IY21" s="1852"/>
      <c r="IZ21" s="1852"/>
      <c r="JA21" s="1852"/>
      <c r="JB21" s="1852"/>
      <c r="JC21" s="1852"/>
      <c r="JD21" s="1852"/>
      <c r="JE21" s="1852"/>
      <c r="JF21" s="1852"/>
      <c r="JG21" s="1852"/>
      <c r="JH21" s="1852"/>
      <c r="JI21" s="1852"/>
      <c r="JJ21" s="1852"/>
      <c r="JK21" s="1852"/>
      <c r="JL21" s="1852"/>
      <c r="JM21" s="1852"/>
      <c r="JN21" s="1852"/>
      <c r="JO21" s="1852"/>
      <c r="JP21" s="1852"/>
      <c r="JQ21" s="1852"/>
      <c r="JR21" s="1852"/>
      <c r="JS21" s="1852"/>
      <c r="JT21" s="1852"/>
      <c r="JU21" s="1852"/>
      <c r="JV21" s="1852"/>
      <c r="JW21" s="1852"/>
      <c r="JX21" s="1852"/>
      <c r="JY21" s="1852"/>
      <c r="JZ21" s="1852"/>
      <c r="KA21" s="1852"/>
      <c r="KB21" s="1852"/>
      <c r="KC21" s="1852"/>
      <c r="KD21" s="1852"/>
      <c r="KE21" s="1852"/>
      <c r="KF21" s="1852"/>
      <c r="KG21" s="1852"/>
      <c r="KH21" s="1852"/>
      <c r="KI21" s="1852"/>
      <c r="KJ21" s="1852"/>
      <c r="KK21" s="1852"/>
      <c r="KL21" s="1852"/>
      <c r="KM21" s="1852"/>
      <c r="KN21" s="1852"/>
      <c r="KO21" s="1852"/>
      <c r="KP21" s="1852"/>
      <c r="KQ21" s="1852"/>
      <c r="KR21" s="1852"/>
      <c r="KS21" s="1852"/>
      <c r="KT21" s="1852"/>
      <c r="KU21" s="1852"/>
      <c r="KV21" s="1852"/>
      <c r="KW21" s="1852"/>
      <c r="KX21" s="1852"/>
      <c r="KY21" s="1852"/>
      <c r="KZ21" s="1852"/>
      <c r="LA21" s="1852"/>
      <c r="LB21" s="1852"/>
      <c r="LC21" s="1852"/>
      <c r="LD21" s="1852"/>
      <c r="LE21" s="1852"/>
      <c r="LF21" s="1852"/>
      <c r="LG21" s="1852"/>
      <c r="LH21" s="1852"/>
      <c r="LI21" s="1852"/>
      <c r="LJ21" s="1852"/>
      <c r="LK21" s="1852"/>
      <c r="LL21" s="1852"/>
      <c r="LM21" s="1852"/>
      <c r="LN21" s="1852"/>
      <c r="LO21" s="1852"/>
      <c r="LP21" s="1852"/>
      <c r="LQ21" s="1852"/>
      <c r="LR21" s="1852"/>
      <c r="LS21" s="1852"/>
      <c r="LT21" s="1852"/>
      <c r="LU21" s="1852"/>
      <c r="LV21" s="1852"/>
      <c r="LW21" s="1852"/>
      <c r="LX21" s="1852"/>
      <c r="LY21" s="1852"/>
      <c r="LZ21" s="1852"/>
      <c r="MA21" s="1852"/>
      <c r="MB21" s="1852"/>
      <c r="MC21" s="1852"/>
      <c r="MD21" s="1852"/>
      <c r="ME21" s="1852"/>
      <c r="MF21" s="1852"/>
      <c r="MG21" s="1852"/>
      <c r="MH21" s="1852"/>
      <c r="MI21" s="1852"/>
      <c r="MJ21" s="1852"/>
      <c r="MK21" s="1852"/>
      <c r="ML21" s="1852"/>
      <c r="MM21" s="1852"/>
      <c r="MN21" s="1852"/>
      <c r="MO21" s="1852"/>
      <c r="MP21" s="1852"/>
      <c r="MQ21" s="1852"/>
      <c r="MR21" s="1852"/>
      <c r="MS21" s="1852"/>
      <c r="MT21" s="1852"/>
      <c r="MU21" s="1852"/>
      <c r="MV21" s="1852"/>
      <c r="MW21" s="1852"/>
      <c r="MX21" s="1852"/>
      <c r="MY21" s="1852"/>
      <c r="MZ21" s="1852"/>
      <c r="NA21" s="1852"/>
      <c r="NB21" s="1852"/>
      <c r="NC21" s="1852"/>
      <c r="ND21" s="1852"/>
      <c r="NE21" s="1852"/>
      <c r="NF21" s="1852"/>
      <c r="NG21" s="1852"/>
      <c r="NH21" s="1852"/>
      <c r="NI21" s="1852"/>
      <c r="NJ21" s="1852"/>
      <c r="NK21" s="1852"/>
      <c r="NL21" s="1852"/>
      <c r="NM21" s="1852"/>
      <c r="NN21" s="1852"/>
      <c r="NO21" s="1852"/>
      <c r="NP21" s="1852"/>
      <c r="NQ21" s="1852"/>
      <c r="NR21" s="1852"/>
      <c r="NS21" s="1852"/>
      <c r="NT21" s="1852"/>
      <c r="NU21" s="1852"/>
      <c r="NV21" s="1852"/>
      <c r="NW21" s="1852"/>
      <c r="NX21" s="1852"/>
      <c r="NY21" s="1852"/>
      <c r="NZ21" s="1852"/>
      <c r="OA21" s="1852"/>
      <c r="OB21" s="1852"/>
      <c r="OC21" s="1852"/>
      <c r="OD21" s="1852"/>
      <c r="OE21" s="1852"/>
      <c r="OF21" s="1852"/>
      <c r="OG21" s="1852"/>
      <c r="OH21" s="1852"/>
      <c r="OI21" s="1852"/>
      <c r="OJ21" s="1852"/>
      <c r="OK21" s="1852"/>
      <c r="OL21" s="1852"/>
      <c r="OM21" s="1852"/>
      <c r="ON21" s="1852"/>
      <c r="OO21" s="1852"/>
      <c r="OP21" s="1852"/>
      <c r="OQ21" s="1852"/>
      <c r="OR21" s="1852"/>
      <c r="OS21" s="1852"/>
      <c r="OT21" s="1852"/>
      <c r="OU21" s="1852"/>
      <c r="OV21" s="1852"/>
      <c r="OW21" s="1852"/>
      <c r="OX21" s="1852"/>
      <c r="OY21" s="1852"/>
      <c r="OZ21" s="1852"/>
      <c r="PA21" s="1852"/>
      <c r="PB21" s="1852"/>
      <c r="PC21" s="1852"/>
      <c r="PD21" s="1852"/>
      <c r="PE21" s="1852"/>
      <c r="PF21" s="1852"/>
      <c r="PG21" s="1852"/>
      <c r="PH21" s="1852"/>
      <c r="PI21" s="1852"/>
      <c r="PJ21" s="1852"/>
      <c r="PK21" s="1852"/>
      <c r="PL21" s="1852"/>
      <c r="PM21" s="1852"/>
      <c r="PN21" s="1852"/>
      <c r="PO21" s="1852"/>
      <c r="PP21" s="1852"/>
      <c r="PQ21" s="1852"/>
      <c r="PR21" s="1852"/>
      <c r="PS21" s="1852"/>
      <c r="PT21" s="1852"/>
      <c r="PU21" s="1852"/>
      <c r="PV21" s="1852"/>
      <c r="PW21" s="1852"/>
      <c r="PX21" s="1852"/>
      <c r="PY21" s="1852"/>
      <c r="PZ21" s="1852"/>
      <c r="QA21" s="1852"/>
      <c r="QB21" s="1852"/>
      <c r="QC21" s="1852"/>
      <c r="QD21" s="1852"/>
      <c r="QE21" s="1852"/>
      <c r="QF21" s="1852"/>
      <c r="QG21" s="1852"/>
      <c r="QH21" s="1852"/>
      <c r="QI21" s="1852"/>
      <c r="QJ21" s="1852"/>
      <c r="QK21" s="1852"/>
      <c r="QL21" s="1852"/>
      <c r="QM21" s="1852"/>
      <c r="QN21" s="1852"/>
      <c r="QO21" s="1852"/>
      <c r="QP21" s="1852"/>
      <c r="QQ21" s="1852"/>
      <c r="QR21" s="1852"/>
      <c r="QS21" s="1852"/>
      <c r="QT21" s="1852"/>
      <c r="QU21" s="1852"/>
      <c r="QV21" s="1852"/>
      <c r="QW21" s="1852"/>
      <c r="QX21" s="1852"/>
      <c r="QY21" s="1852"/>
      <c r="QZ21" s="1852"/>
      <c r="RA21" s="1852"/>
      <c r="RB21" s="1852"/>
      <c r="RC21" s="1852"/>
      <c r="RD21" s="1852"/>
      <c r="RE21" s="1852"/>
      <c r="RF21" s="1852"/>
      <c r="RG21" s="1852"/>
      <c r="RH21" s="1852"/>
      <c r="RI21" s="1852"/>
      <c r="RJ21" s="1852"/>
      <c r="RK21" s="1852"/>
      <c r="RL21" s="1852"/>
      <c r="RM21" s="1852"/>
      <c r="RN21" s="1852"/>
      <c r="RO21" s="1852"/>
      <c r="RP21" s="1852"/>
      <c r="RQ21" s="1852"/>
      <c r="RR21" s="1852"/>
      <c r="RS21" s="1852"/>
      <c r="RT21" s="1852"/>
      <c r="RU21" s="1852"/>
      <c r="RV21" s="1852"/>
      <c r="RW21" s="1852"/>
      <c r="RX21" s="1852"/>
      <c r="RY21" s="1852"/>
      <c r="RZ21" s="1852"/>
      <c r="SA21" s="1852"/>
      <c r="SB21" s="1852"/>
      <c r="SC21" s="1852"/>
      <c r="SD21" s="1852"/>
      <c r="SE21" s="1852"/>
      <c r="SF21" s="1852"/>
      <c r="SG21" s="1852"/>
      <c r="SH21" s="1852"/>
      <c r="SI21" s="1852"/>
      <c r="SJ21" s="1852"/>
      <c r="SK21" s="1852"/>
      <c r="SL21" s="1852"/>
      <c r="SM21" s="1852"/>
      <c r="SN21" s="1852"/>
      <c r="SO21" s="1852"/>
      <c r="SP21" s="1852"/>
      <c r="SQ21" s="1852"/>
      <c r="SR21" s="1852"/>
      <c r="SS21" s="1852"/>
      <c r="ST21" s="1852"/>
      <c r="SU21" s="1852"/>
      <c r="SV21" s="1852"/>
      <c r="SW21" s="1852"/>
      <c r="SX21" s="1852"/>
      <c r="SY21" s="1852"/>
      <c r="SZ21" s="1852"/>
      <c r="TA21" s="1852"/>
      <c r="TB21" s="1852"/>
      <c r="TC21" s="1852"/>
      <c r="TD21" s="1852"/>
      <c r="TE21" s="1852"/>
      <c r="TF21" s="1852"/>
      <c r="TG21" s="1852"/>
      <c r="TH21" s="1852"/>
      <c r="TI21" s="1852"/>
      <c r="TJ21" s="1852"/>
      <c r="TK21" s="1852"/>
      <c r="TL21" s="1852"/>
      <c r="TM21" s="1852"/>
      <c r="TN21" s="1852"/>
      <c r="TO21" s="1852"/>
      <c r="TP21" s="1852"/>
      <c r="TQ21" s="1852"/>
      <c r="TR21" s="1852"/>
      <c r="TS21" s="1852"/>
      <c r="TT21" s="1852"/>
      <c r="TU21" s="1852"/>
      <c r="TV21" s="1852"/>
      <c r="TW21" s="1852"/>
      <c r="TX21" s="1852"/>
      <c r="TY21" s="1852"/>
      <c r="TZ21" s="1852"/>
      <c r="UA21" s="1852"/>
      <c r="UB21" s="1852"/>
      <c r="UC21" s="1852"/>
      <c r="UD21" s="1852"/>
      <c r="UE21" s="1852"/>
      <c r="UF21" s="1852"/>
      <c r="UG21" s="1852"/>
      <c r="UH21" s="1852"/>
      <c r="UI21" s="1852"/>
      <c r="UJ21" s="1852"/>
      <c r="UK21" s="1852"/>
      <c r="UL21" s="1852"/>
      <c r="UM21" s="1852"/>
      <c r="UN21" s="1852"/>
      <c r="UO21" s="1852"/>
      <c r="UP21" s="1852"/>
      <c r="UQ21" s="1852"/>
      <c r="UR21" s="1852"/>
      <c r="US21" s="1852"/>
      <c r="UT21" s="1852"/>
      <c r="UU21" s="1852"/>
      <c r="UV21" s="1852"/>
      <c r="UW21" s="1852"/>
      <c r="UX21" s="1852"/>
      <c r="UY21" s="1852"/>
      <c r="UZ21" s="1852"/>
      <c r="VA21" s="1852"/>
      <c r="VB21" s="1852"/>
      <c r="VC21" s="1852"/>
      <c r="VD21" s="1852"/>
      <c r="VE21" s="1852"/>
      <c r="VF21" s="1852"/>
      <c r="VG21" s="1852"/>
      <c r="VH21" s="1852"/>
      <c r="VI21" s="1852"/>
      <c r="VJ21" s="1852"/>
      <c r="VK21" s="1852"/>
      <c r="VL21" s="1852"/>
      <c r="VM21" s="1852"/>
      <c r="VN21" s="1852"/>
      <c r="VO21" s="1852"/>
      <c r="VP21" s="1852"/>
      <c r="VQ21" s="1852"/>
      <c r="VR21" s="1852"/>
      <c r="VS21" s="1852"/>
      <c r="VT21" s="1852"/>
      <c r="VU21" s="1852"/>
      <c r="VV21" s="1852"/>
      <c r="VW21" s="1852"/>
      <c r="VX21" s="1852"/>
      <c r="VY21" s="1852"/>
      <c r="VZ21" s="1852"/>
      <c r="WA21" s="1852"/>
      <c r="WB21" s="1852"/>
      <c r="WC21" s="1852"/>
      <c r="WD21" s="1852"/>
      <c r="WE21" s="1852"/>
      <c r="WF21" s="1852"/>
      <c r="WG21" s="1852"/>
      <c r="WH21" s="1852"/>
      <c r="WI21" s="1852"/>
      <c r="WJ21" s="1852"/>
      <c r="WK21" s="1852"/>
      <c r="WL21" s="1852"/>
      <c r="WM21" s="1852"/>
      <c r="WN21" s="1852"/>
      <c r="WO21" s="1852"/>
      <c r="WP21" s="1852"/>
      <c r="WQ21" s="1852"/>
      <c r="WR21" s="1852"/>
      <c r="WS21" s="1852"/>
      <c r="WT21" s="1852"/>
      <c r="WU21" s="1852"/>
      <c r="WV21" s="1852"/>
      <c r="WW21" s="1852"/>
      <c r="WX21" s="1852"/>
      <c r="WY21" s="1852"/>
      <c r="WZ21" s="1852"/>
      <c r="XA21" s="1852"/>
      <c r="XB21" s="1852"/>
      <c r="XC21" s="1852"/>
      <c r="XD21" s="1852"/>
      <c r="XE21" s="1852"/>
      <c r="XF21" s="1852"/>
      <c r="XG21" s="1852"/>
      <c r="XH21" s="1852"/>
      <c r="XI21" s="1852"/>
      <c r="XJ21" s="1852"/>
      <c r="XK21" s="1852"/>
      <c r="XL21" s="1852"/>
      <c r="XM21" s="1852"/>
      <c r="XN21" s="1852"/>
      <c r="XO21" s="1852"/>
      <c r="XP21" s="1852"/>
      <c r="XQ21" s="1852"/>
      <c r="XR21" s="1852"/>
      <c r="XS21" s="1852"/>
      <c r="XT21" s="1852"/>
      <c r="XU21" s="1852"/>
      <c r="XV21" s="1852"/>
      <c r="XW21" s="1852"/>
      <c r="XX21" s="1852"/>
      <c r="XY21" s="1852"/>
      <c r="XZ21" s="1852"/>
      <c r="YA21" s="1852"/>
      <c r="YB21" s="1852"/>
      <c r="YC21" s="1852"/>
      <c r="YD21" s="1852"/>
      <c r="YE21" s="1852"/>
      <c r="YF21" s="1852"/>
      <c r="YG21" s="1852"/>
      <c r="YH21" s="1852"/>
      <c r="YI21" s="1852"/>
      <c r="YJ21" s="1852"/>
      <c r="YK21" s="1852"/>
      <c r="YL21" s="1852"/>
      <c r="YM21" s="1852"/>
      <c r="YN21" s="1852"/>
      <c r="YO21" s="1852"/>
      <c r="YP21" s="1852"/>
      <c r="YQ21" s="1852"/>
      <c r="YR21" s="1852"/>
      <c r="YS21" s="1852"/>
      <c r="YT21" s="1852"/>
      <c r="YU21" s="1852"/>
      <c r="YV21" s="1852"/>
      <c r="YW21" s="1852"/>
      <c r="YX21" s="1852"/>
      <c r="YY21" s="1852"/>
      <c r="YZ21" s="1852"/>
      <c r="ZA21" s="1852"/>
      <c r="ZB21" s="1852"/>
      <c r="ZC21" s="1852"/>
      <c r="ZD21" s="1852"/>
      <c r="ZE21" s="1852"/>
      <c r="ZF21" s="1852"/>
      <c r="ZG21" s="1852"/>
      <c r="ZH21" s="1852"/>
      <c r="ZI21" s="1852"/>
      <c r="ZJ21" s="1852"/>
      <c r="ZK21" s="1852"/>
      <c r="ZL21" s="1852"/>
      <c r="ZM21" s="1852"/>
      <c r="ZN21" s="1852"/>
      <c r="ZO21" s="1852"/>
      <c r="ZP21" s="1852"/>
      <c r="ZQ21" s="1852"/>
      <c r="ZR21" s="1852"/>
      <c r="ZS21" s="1852"/>
      <c r="ZT21" s="1852"/>
      <c r="ZU21" s="1852"/>
      <c r="ZV21" s="1852"/>
      <c r="ZW21" s="1852"/>
      <c r="ZX21" s="1852"/>
      <c r="ZY21" s="1852"/>
      <c r="ZZ21" s="1852"/>
      <c r="AAA21" s="1852"/>
      <c r="AAB21" s="1852"/>
      <c r="AAC21" s="1852"/>
      <c r="AAD21" s="1852"/>
      <c r="AAE21" s="1852"/>
      <c r="AAF21" s="1852"/>
      <c r="AAG21" s="1852"/>
      <c r="AAH21" s="1852"/>
      <c r="AAI21" s="1852"/>
      <c r="AAJ21" s="1852"/>
      <c r="AAK21" s="1852"/>
      <c r="AAL21" s="1852"/>
      <c r="AAM21" s="1852"/>
      <c r="AAN21" s="1852"/>
      <c r="AAO21" s="1852"/>
      <c r="AAP21" s="1852"/>
      <c r="AAQ21" s="1852"/>
      <c r="AAR21" s="1852"/>
      <c r="AAS21" s="1852"/>
      <c r="AAT21" s="1852"/>
      <c r="AAU21" s="1852"/>
      <c r="AAV21" s="1852"/>
      <c r="AAW21" s="1852"/>
      <c r="AAX21" s="1852"/>
      <c r="AAY21" s="1852"/>
      <c r="AAZ21" s="1852"/>
      <c r="ABA21" s="1852"/>
      <c r="ABB21" s="1852"/>
      <c r="ABC21" s="1852"/>
      <c r="ABD21" s="1852"/>
      <c r="ABE21" s="1852"/>
      <c r="ABF21" s="1852"/>
      <c r="ABG21" s="1852"/>
      <c r="ABH21" s="1852"/>
      <c r="ABI21" s="1852"/>
      <c r="ABJ21" s="1852"/>
      <c r="ABK21" s="1852"/>
      <c r="ABL21" s="1852"/>
      <c r="ABM21" s="1852"/>
      <c r="ABN21" s="1852"/>
      <c r="ABO21" s="1852"/>
      <c r="ABP21" s="1852"/>
      <c r="ABQ21" s="1852"/>
      <c r="ABR21" s="1852"/>
      <c r="ABS21" s="1852"/>
      <c r="ABT21" s="1852"/>
      <c r="ABU21" s="1852"/>
      <c r="ABV21" s="1852"/>
      <c r="ABW21" s="1852"/>
      <c r="ABX21" s="1852"/>
      <c r="ABY21" s="1852"/>
      <c r="ABZ21" s="1852"/>
      <c r="ACA21" s="1852"/>
      <c r="ACB21" s="1852"/>
      <c r="ACC21" s="1852"/>
      <c r="ACD21" s="1852"/>
      <c r="ACE21" s="1852"/>
      <c r="ACF21" s="1852"/>
      <c r="ACG21" s="1852"/>
      <c r="ACH21" s="1852"/>
      <c r="ACI21" s="1852"/>
      <c r="ACJ21" s="1852"/>
      <c r="ACK21" s="1852"/>
      <c r="ACL21" s="1852"/>
      <c r="ACM21" s="1852"/>
      <c r="ACN21" s="1852"/>
      <c r="ACO21" s="1852"/>
      <c r="ACP21" s="1852"/>
      <c r="ACQ21" s="1852"/>
      <c r="ACR21" s="1852"/>
      <c r="ACS21" s="1852"/>
      <c r="ACT21" s="1852"/>
      <c r="ACU21" s="1852"/>
      <c r="ACV21" s="1852"/>
      <c r="ACW21" s="1852"/>
      <c r="ACX21" s="1852"/>
      <c r="ACY21" s="1852"/>
      <c r="ACZ21" s="1852"/>
      <c r="ADA21" s="1852"/>
      <c r="ADB21" s="1852"/>
      <c r="ADC21" s="1852"/>
      <c r="ADD21" s="1852"/>
      <c r="ADE21" s="1852"/>
      <c r="ADF21" s="1852"/>
      <c r="ADG21" s="1852"/>
      <c r="ADH21" s="1852"/>
      <c r="ADI21" s="1852"/>
      <c r="ADJ21" s="1852"/>
      <c r="ADK21" s="1852"/>
      <c r="ADL21" s="1852"/>
      <c r="ADM21" s="1852"/>
      <c r="ADN21" s="1852"/>
      <c r="ADO21" s="1852"/>
      <c r="ADP21" s="1852"/>
      <c r="ADQ21" s="1852"/>
      <c r="ADR21" s="1852"/>
      <c r="ADS21" s="1852"/>
      <c r="ADT21" s="1852"/>
      <c r="ADU21" s="1852"/>
      <c r="ADV21" s="1852"/>
      <c r="ADW21" s="1852"/>
      <c r="ADX21" s="1852"/>
      <c r="ADY21" s="1852"/>
      <c r="ADZ21" s="1852"/>
      <c r="AEA21" s="1852"/>
      <c r="AEB21" s="1852"/>
      <c r="AEC21" s="1852"/>
      <c r="AED21" s="1852"/>
      <c r="AEE21" s="1852"/>
      <c r="AEF21" s="1852"/>
      <c r="AEG21" s="1852"/>
      <c r="AEH21" s="1852"/>
      <c r="AEI21" s="1852"/>
      <c r="AEJ21" s="1852"/>
      <c r="AEK21" s="1852"/>
      <c r="AEL21" s="1852"/>
      <c r="AEM21" s="1852"/>
      <c r="AEN21" s="1852"/>
      <c r="AEO21" s="1852"/>
      <c r="AEP21" s="1852"/>
      <c r="AEQ21" s="1852"/>
      <c r="AER21" s="1852"/>
      <c r="AES21" s="1852"/>
      <c r="AET21" s="1852"/>
      <c r="AEU21" s="1852"/>
      <c r="AEV21" s="1852"/>
      <c r="AEW21" s="1852"/>
      <c r="AEX21" s="1852"/>
      <c r="AEY21" s="1852"/>
      <c r="AEZ21" s="1852"/>
      <c r="AFA21" s="1852"/>
      <c r="AFB21" s="1852"/>
      <c r="AFC21" s="1852"/>
      <c r="AFD21" s="1852"/>
      <c r="AFE21" s="1852"/>
      <c r="AFF21" s="1852"/>
      <c r="AFG21" s="1852"/>
      <c r="AFH21" s="1852"/>
      <c r="AFI21" s="1852"/>
      <c r="AFJ21" s="1852"/>
      <c r="AFK21" s="1852"/>
      <c r="AFL21" s="1852"/>
      <c r="AFM21" s="1852"/>
      <c r="AFN21" s="1852"/>
      <c r="AFO21" s="1852"/>
      <c r="AFP21" s="1852"/>
      <c r="AFQ21" s="1852"/>
      <c r="AFR21" s="1852"/>
      <c r="AFS21" s="1852"/>
      <c r="AFT21" s="1852"/>
      <c r="AFU21" s="1852"/>
      <c r="AFV21" s="1852"/>
      <c r="AFW21" s="1852"/>
      <c r="AFX21" s="1852"/>
      <c r="AFY21" s="1852"/>
      <c r="AFZ21" s="1852"/>
      <c r="AGA21" s="1852"/>
      <c r="AGB21" s="1852"/>
      <c r="AGC21" s="1852"/>
      <c r="AGD21" s="1852"/>
      <c r="AGE21" s="1852"/>
      <c r="AGF21" s="1852"/>
      <c r="AGG21" s="1852"/>
      <c r="AGH21" s="1852"/>
      <c r="AGI21" s="1852"/>
      <c r="AGJ21" s="1852"/>
      <c r="AGK21" s="1852"/>
      <c r="AGL21" s="1852"/>
      <c r="AGM21" s="1852"/>
      <c r="AGN21" s="1852"/>
      <c r="AGO21" s="1852"/>
      <c r="AGP21" s="1852"/>
      <c r="AGQ21" s="1852"/>
      <c r="AGR21" s="1852"/>
      <c r="AGS21" s="1852"/>
      <c r="AGT21" s="1852"/>
      <c r="AGU21" s="1852"/>
      <c r="AGV21" s="1852"/>
      <c r="AGW21" s="1852"/>
      <c r="AGX21" s="1852"/>
      <c r="AGY21" s="1852"/>
      <c r="AGZ21" s="1852"/>
      <c r="AHA21" s="1852"/>
      <c r="AHB21" s="1852"/>
      <c r="AHC21" s="1852"/>
      <c r="AHD21" s="1852"/>
      <c r="AHE21" s="1852"/>
      <c r="AHF21" s="1852"/>
      <c r="AHG21" s="1852"/>
      <c r="AHH21" s="1852"/>
      <c r="AHI21" s="1852"/>
      <c r="AHJ21" s="1852"/>
      <c r="AHK21" s="1852"/>
      <c r="AHL21" s="1852"/>
      <c r="AHM21" s="1852"/>
      <c r="AHN21" s="1852"/>
      <c r="AHO21" s="1852"/>
      <c r="AHP21" s="1852"/>
      <c r="AHQ21" s="1852"/>
      <c r="AHR21" s="1852"/>
      <c r="AHS21" s="1852"/>
      <c r="AHT21" s="1852"/>
      <c r="AHU21" s="1852"/>
      <c r="AHV21" s="1852"/>
      <c r="AHW21" s="1852"/>
      <c r="AHX21" s="1852"/>
      <c r="AHY21" s="1852"/>
      <c r="AHZ21" s="1852"/>
      <c r="AIA21" s="1852"/>
      <c r="AIB21" s="1852"/>
      <c r="AIC21" s="1852"/>
      <c r="AID21" s="1852"/>
      <c r="AIE21" s="1852"/>
      <c r="AIF21" s="1852"/>
      <c r="AIG21" s="1852"/>
      <c r="AIH21" s="1852"/>
      <c r="AII21" s="1852"/>
      <c r="AIJ21" s="1852"/>
      <c r="AIK21" s="1852"/>
      <c r="AIL21" s="1852"/>
      <c r="AIM21" s="1852"/>
      <c r="AIN21" s="1852"/>
      <c r="AIO21" s="1852"/>
      <c r="AIP21" s="1852"/>
      <c r="AIQ21" s="1852"/>
      <c r="AIR21" s="1852"/>
      <c r="AIS21" s="1852"/>
      <c r="AIT21" s="1852"/>
      <c r="AIU21" s="1852"/>
      <c r="AIV21" s="1852"/>
      <c r="AIW21" s="1852"/>
      <c r="AIX21" s="1852"/>
      <c r="AIY21" s="1852"/>
      <c r="AIZ21" s="1852"/>
      <c r="AJA21" s="1852"/>
      <c r="AJB21" s="1852"/>
      <c r="AJC21" s="1852"/>
      <c r="AJD21" s="1852"/>
      <c r="AJE21" s="1852"/>
      <c r="AJF21" s="1852"/>
      <c r="AJG21" s="1852"/>
      <c r="AJH21" s="1852"/>
      <c r="AJI21" s="1852"/>
      <c r="AJJ21" s="1852"/>
      <c r="AJK21" s="1852"/>
      <c r="AJL21" s="1852"/>
      <c r="AJM21" s="1852"/>
      <c r="AJN21" s="1852"/>
      <c r="AJO21" s="1852"/>
      <c r="AJP21" s="1852"/>
      <c r="AJQ21" s="1852"/>
      <c r="AJR21" s="1852"/>
      <c r="AJS21" s="1852"/>
      <c r="AJT21" s="1852"/>
      <c r="AJU21" s="1852"/>
      <c r="AJV21" s="1852"/>
      <c r="AJW21" s="1852"/>
      <c r="AJX21" s="1852"/>
      <c r="AJY21" s="1852"/>
      <c r="AJZ21" s="1852"/>
      <c r="AKA21" s="1852"/>
      <c r="AKB21" s="1852"/>
      <c r="AKC21" s="1852"/>
      <c r="AKD21" s="1852"/>
      <c r="AKE21" s="1852"/>
      <c r="AKF21" s="1852"/>
      <c r="AKG21" s="1852"/>
      <c r="AKH21" s="1852"/>
      <c r="AKI21" s="1852"/>
      <c r="AKJ21" s="1852"/>
      <c r="AKK21" s="1852"/>
      <c r="AKL21" s="1852"/>
      <c r="AKM21" s="1852"/>
      <c r="AKN21" s="1852"/>
      <c r="AKO21" s="1852"/>
      <c r="AKP21" s="1852"/>
      <c r="AKQ21" s="1852"/>
      <c r="AKR21" s="1852"/>
      <c r="AKS21" s="1852"/>
      <c r="AKT21" s="1852"/>
      <c r="AKU21" s="1852"/>
      <c r="AKV21" s="1852"/>
      <c r="AKW21" s="1852"/>
      <c r="AKX21" s="1852"/>
      <c r="AKY21" s="1852"/>
      <c r="AKZ21" s="1852"/>
      <c r="ALA21" s="1852"/>
      <c r="ALB21" s="1852"/>
      <c r="ALC21" s="1852"/>
      <c r="ALD21" s="1852"/>
      <c r="ALE21" s="1852"/>
      <c r="ALF21" s="1852"/>
      <c r="ALG21" s="1852"/>
      <c r="ALH21" s="1852"/>
      <c r="ALI21" s="1852"/>
      <c r="ALJ21" s="1852"/>
      <c r="ALK21" s="1852"/>
      <c r="ALL21" s="1852"/>
      <c r="ALM21" s="1852"/>
      <c r="ALN21" s="1852"/>
      <c r="ALO21" s="1852"/>
      <c r="ALP21" s="1852"/>
      <c r="ALQ21" s="1852"/>
      <c r="ALR21" s="1852"/>
    </row>
    <row r="22" spans="1:1006" x14ac:dyDescent="0.3">
      <c r="A22" s="1854"/>
      <c r="B22" t="s">
        <v>1216</v>
      </c>
      <c r="C22" s="1853" t="s">
        <v>1218</v>
      </c>
      <c r="D22" s="1855">
        <f t="shared" si="0"/>
        <v>0</v>
      </c>
      <c r="E22" s="1855">
        <f t="shared" si="1"/>
        <v>0</v>
      </c>
      <c r="F22" s="1855">
        <f t="shared" si="2"/>
        <v>0</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c r="AP22" s="1852"/>
      <c r="AQ22" s="1852"/>
      <c r="AR22" s="1852"/>
      <c r="AS22" s="1852"/>
      <c r="AT22" s="1852"/>
      <c r="AU22" s="1852"/>
      <c r="AV22" s="1852"/>
      <c r="AW22" s="1852"/>
      <c r="AX22" s="1852"/>
      <c r="AY22" s="1852"/>
      <c r="AZ22" s="1852"/>
      <c r="BA22" s="1852"/>
      <c r="BB22" s="1852"/>
      <c r="BC22" s="1852"/>
      <c r="BD22" s="1852"/>
      <c r="BE22" s="1852"/>
      <c r="BF22" s="1852"/>
      <c r="BG22" s="1852"/>
      <c r="BH22" s="1852"/>
      <c r="BI22" s="1852"/>
      <c r="BJ22" s="1852"/>
      <c r="BK22" s="1852"/>
      <c r="BL22" s="1852"/>
      <c r="BM22" s="1852"/>
      <c r="BN22" s="1852"/>
      <c r="BO22" s="1852"/>
      <c r="BP22" s="1852"/>
      <c r="BQ22" s="1852"/>
      <c r="BR22" s="1852"/>
      <c r="BS22" s="1852"/>
      <c r="BT22" s="1852"/>
      <c r="BU22" s="1852"/>
      <c r="BV22" s="1852"/>
      <c r="BW22" s="1852"/>
      <c r="BX22" s="1852"/>
      <c r="BY22" s="1852"/>
      <c r="BZ22" s="1852"/>
      <c r="CA22" s="1852"/>
      <c r="CB22" s="1852"/>
      <c r="CC22" s="1852"/>
      <c r="CD22" s="1852"/>
      <c r="CE22" s="1852"/>
      <c r="CF22" s="1852"/>
      <c r="CG22" s="1852"/>
      <c r="CH22" s="1852"/>
      <c r="CI22" s="1852"/>
      <c r="CJ22" s="1852"/>
      <c r="CK22" s="1852"/>
      <c r="CL22" s="1852"/>
      <c r="CM22" s="1852"/>
      <c r="CN22" s="1852"/>
      <c r="CO22" s="1852"/>
      <c r="CP22" s="1852"/>
      <c r="CQ22" s="1852"/>
      <c r="CR22" s="1852"/>
      <c r="CS22" s="1852"/>
      <c r="CT22" s="1852"/>
      <c r="CU22" s="1852"/>
      <c r="CV22" s="1852"/>
      <c r="CW22" s="1852"/>
      <c r="CX22" s="1852"/>
      <c r="CY22" s="1852"/>
      <c r="CZ22" s="1852"/>
      <c r="DA22" s="1852"/>
      <c r="DB22" s="1852"/>
      <c r="DC22" s="1852"/>
      <c r="DD22" s="1852"/>
      <c r="DE22" s="1852"/>
      <c r="DF22" s="1852"/>
      <c r="DG22" s="1852"/>
      <c r="DH22" s="1852"/>
      <c r="DI22" s="1852"/>
      <c r="DJ22" s="1852"/>
      <c r="DK22" s="1852"/>
      <c r="DL22" s="1852"/>
      <c r="DM22" s="1852"/>
      <c r="DN22" s="1852"/>
      <c r="DO22" s="1852"/>
      <c r="DP22" s="1852"/>
      <c r="DQ22" s="1852"/>
      <c r="DR22" s="1852"/>
      <c r="DS22" s="1852"/>
      <c r="DT22" s="1852"/>
      <c r="DU22" s="1852"/>
      <c r="DV22" s="1852"/>
      <c r="DW22" s="1852"/>
      <c r="DX22" s="1852"/>
      <c r="DY22" s="1852"/>
      <c r="DZ22" s="1852"/>
      <c r="EA22" s="1852"/>
      <c r="EB22" s="1852"/>
      <c r="EC22" s="1852"/>
      <c r="ED22" s="1852"/>
      <c r="EE22" s="1852"/>
      <c r="EF22" s="1852"/>
      <c r="EG22" s="1852"/>
      <c r="EH22" s="1852"/>
      <c r="EI22" s="1852"/>
      <c r="EJ22" s="1852"/>
      <c r="EK22" s="1852"/>
      <c r="EL22" s="1852"/>
      <c r="EM22" s="1852"/>
      <c r="EN22" s="1852"/>
      <c r="EO22" s="1852"/>
      <c r="EP22" s="1852"/>
      <c r="EQ22" s="1852"/>
      <c r="ER22" s="1852"/>
      <c r="ES22" s="1852"/>
      <c r="ET22" s="1852"/>
      <c r="EU22" s="1852"/>
      <c r="EV22" s="1852"/>
      <c r="EW22" s="1852"/>
      <c r="EX22" s="1852"/>
      <c r="EY22" s="1852"/>
      <c r="EZ22" s="1852"/>
      <c r="FA22" s="1852"/>
      <c r="FB22" s="1852"/>
      <c r="FC22" s="1852"/>
      <c r="FD22" s="1852"/>
      <c r="FE22" s="1852"/>
      <c r="FF22" s="1852"/>
      <c r="FG22" s="1852"/>
      <c r="FH22" s="1852"/>
      <c r="FI22" s="1852"/>
      <c r="FJ22" s="1852"/>
      <c r="FK22" s="1852"/>
      <c r="FL22" s="1852"/>
      <c r="FM22" s="1852"/>
      <c r="FN22" s="1852"/>
      <c r="FO22" s="1852"/>
      <c r="FP22" s="1852"/>
      <c r="FQ22" s="1852"/>
      <c r="FR22" s="1852"/>
      <c r="FS22" s="1852"/>
      <c r="FT22" s="1852"/>
      <c r="FU22" s="1852"/>
      <c r="FV22" s="1852"/>
      <c r="FW22" s="1852"/>
      <c r="FX22" s="1852"/>
      <c r="FY22" s="1852"/>
      <c r="FZ22" s="1852"/>
      <c r="GA22" s="1852"/>
      <c r="GB22" s="1852"/>
      <c r="GC22" s="1852"/>
      <c r="GD22" s="1852"/>
      <c r="GE22" s="1852"/>
      <c r="GF22" s="1852"/>
      <c r="GG22" s="1852"/>
      <c r="GH22" s="1852"/>
      <c r="GI22" s="1852"/>
      <c r="GJ22" s="1852"/>
      <c r="GK22" s="1852"/>
      <c r="GL22" s="1852"/>
      <c r="GM22" s="1852"/>
      <c r="GN22" s="1852"/>
      <c r="GO22" s="1852"/>
      <c r="GP22" s="1852"/>
      <c r="GQ22" s="1852"/>
      <c r="GR22" s="1852"/>
      <c r="GS22" s="1852"/>
      <c r="GT22" s="1852"/>
      <c r="GU22" s="1852"/>
      <c r="GV22" s="1852"/>
      <c r="GW22" s="1852"/>
      <c r="GX22" s="1852"/>
      <c r="GY22" s="1852"/>
      <c r="GZ22" s="1852"/>
      <c r="HA22" s="1852"/>
      <c r="HB22" s="1852"/>
      <c r="HC22" s="1852"/>
      <c r="HD22" s="1852"/>
      <c r="HE22" s="1852"/>
      <c r="HF22" s="1852"/>
      <c r="HG22" s="1852"/>
      <c r="HH22" s="1852"/>
      <c r="HI22" s="1852"/>
      <c r="HJ22" s="1852"/>
      <c r="HK22" s="1852"/>
      <c r="HL22" s="1852"/>
      <c r="HM22" s="1852"/>
      <c r="HN22" s="1852"/>
      <c r="HO22" s="1852"/>
      <c r="HP22" s="1852"/>
      <c r="HQ22" s="1852"/>
      <c r="HR22" s="1852"/>
      <c r="HS22" s="1852"/>
      <c r="HT22" s="1852"/>
      <c r="HU22" s="1852"/>
      <c r="HV22" s="1852"/>
      <c r="HW22" s="1852"/>
      <c r="HX22" s="1852"/>
      <c r="HY22" s="1852"/>
      <c r="HZ22" s="1852"/>
      <c r="IA22" s="1852"/>
      <c r="IB22" s="1852"/>
      <c r="IC22" s="1852"/>
      <c r="ID22" s="1852"/>
      <c r="IE22" s="1852"/>
      <c r="IF22" s="1852"/>
      <c r="IG22" s="1852"/>
      <c r="IH22" s="1852"/>
      <c r="II22" s="1852"/>
      <c r="IJ22" s="1852"/>
      <c r="IK22" s="1852"/>
      <c r="IL22" s="1852"/>
      <c r="IM22" s="1852"/>
      <c r="IN22" s="1852"/>
      <c r="IO22" s="1852"/>
      <c r="IP22" s="1852"/>
      <c r="IQ22" s="1852"/>
      <c r="IR22" s="1852"/>
      <c r="IS22" s="1852"/>
      <c r="IT22" s="1852"/>
      <c r="IU22" s="1852"/>
      <c r="IV22" s="1852"/>
      <c r="IW22" s="1852"/>
      <c r="IX22" s="1852"/>
      <c r="IY22" s="1852"/>
      <c r="IZ22" s="1852"/>
      <c r="JA22" s="1852"/>
      <c r="JB22" s="1852"/>
      <c r="JC22" s="1852"/>
      <c r="JD22" s="1852"/>
      <c r="JE22" s="1852"/>
      <c r="JF22" s="1852"/>
      <c r="JG22" s="1852"/>
      <c r="JH22" s="1852"/>
      <c r="JI22" s="1852"/>
      <c r="JJ22" s="1852"/>
      <c r="JK22" s="1852"/>
      <c r="JL22" s="1852"/>
      <c r="JM22" s="1852"/>
      <c r="JN22" s="1852"/>
      <c r="JO22" s="1852"/>
      <c r="JP22" s="1852"/>
      <c r="JQ22" s="1852"/>
      <c r="JR22" s="1852"/>
      <c r="JS22" s="1852"/>
      <c r="JT22" s="1852"/>
      <c r="JU22" s="1852"/>
      <c r="JV22" s="1852"/>
      <c r="JW22" s="1852"/>
      <c r="JX22" s="1852"/>
      <c r="JY22" s="1852"/>
      <c r="JZ22" s="1852"/>
      <c r="KA22" s="1852"/>
      <c r="KB22" s="1852"/>
      <c r="KC22" s="1852"/>
      <c r="KD22" s="1852"/>
      <c r="KE22" s="1852"/>
      <c r="KF22" s="1852"/>
      <c r="KG22" s="1852"/>
      <c r="KH22" s="1852"/>
      <c r="KI22" s="1852"/>
      <c r="KJ22" s="1852"/>
      <c r="KK22" s="1852"/>
      <c r="KL22" s="1852"/>
      <c r="KM22" s="1852"/>
      <c r="KN22" s="1852"/>
      <c r="KO22" s="1852"/>
      <c r="KP22" s="1852"/>
      <c r="KQ22" s="1852"/>
      <c r="KR22" s="1852"/>
      <c r="KS22" s="1852"/>
      <c r="KT22" s="1852"/>
      <c r="KU22" s="1852"/>
      <c r="KV22" s="1852"/>
      <c r="KW22" s="1852"/>
      <c r="KX22" s="1852"/>
      <c r="KY22" s="1852"/>
      <c r="KZ22" s="1852"/>
      <c r="LA22" s="1852"/>
      <c r="LB22" s="1852"/>
      <c r="LC22" s="1852"/>
      <c r="LD22" s="1852"/>
      <c r="LE22" s="1852"/>
      <c r="LF22" s="1852"/>
      <c r="LG22" s="1852"/>
      <c r="LH22" s="1852"/>
      <c r="LI22" s="1852"/>
      <c r="LJ22" s="1852"/>
      <c r="LK22" s="1852"/>
      <c r="LL22" s="1852"/>
      <c r="LM22" s="1852"/>
      <c r="LN22" s="1852"/>
      <c r="LO22" s="1852"/>
      <c r="LP22" s="1852"/>
      <c r="LQ22" s="1852"/>
      <c r="LR22" s="1852"/>
      <c r="LS22" s="1852"/>
      <c r="LT22" s="1852"/>
      <c r="LU22" s="1852"/>
      <c r="LV22" s="1852"/>
      <c r="LW22" s="1852"/>
      <c r="LX22" s="1852"/>
      <c r="LY22" s="1852"/>
      <c r="LZ22" s="1852"/>
      <c r="MA22" s="1852"/>
      <c r="MB22" s="1852"/>
      <c r="MC22" s="1852"/>
      <c r="MD22" s="1852"/>
      <c r="ME22" s="1852"/>
      <c r="MF22" s="1852"/>
      <c r="MG22" s="1852"/>
      <c r="MH22" s="1852"/>
      <c r="MI22" s="1852"/>
      <c r="MJ22" s="1852"/>
      <c r="MK22" s="1852"/>
      <c r="ML22" s="1852"/>
      <c r="MM22" s="1852"/>
      <c r="MN22" s="1852"/>
      <c r="MO22" s="1852"/>
      <c r="MP22" s="1852"/>
      <c r="MQ22" s="1852"/>
      <c r="MR22" s="1852"/>
      <c r="MS22" s="1852"/>
      <c r="MT22" s="1852"/>
      <c r="MU22" s="1852"/>
      <c r="MV22" s="1852"/>
      <c r="MW22" s="1852"/>
      <c r="MX22" s="1852"/>
      <c r="MY22" s="1852"/>
      <c r="MZ22" s="1852"/>
      <c r="NA22" s="1852"/>
      <c r="NB22" s="1852"/>
      <c r="NC22" s="1852"/>
      <c r="ND22" s="1852"/>
      <c r="NE22" s="1852"/>
      <c r="NF22" s="1852"/>
      <c r="NG22" s="1852"/>
      <c r="NH22" s="1852"/>
      <c r="NI22" s="1852"/>
      <c r="NJ22" s="1852"/>
      <c r="NK22" s="1852"/>
      <c r="NL22" s="1852"/>
      <c r="NM22" s="1852"/>
      <c r="NN22" s="1852"/>
      <c r="NO22" s="1852"/>
      <c r="NP22" s="1852"/>
      <c r="NQ22" s="1852"/>
      <c r="NR22" s="1852"/>
      <c r="NS22" s="1852"/>
      <c r="NT22" s="1852"/>
      <c r="NU22" s="1852"/>
      <c r="NV22" s="1852"/>
      <c r="NW22" s="1852"/>
      <c r="NX22" s="1852"/>
      <c r="NY22" s="1852"/>
      <c r="NZ22" s="1852"/>
      <c r="OA22" s="1852"/>
      <c r="OB22" s="1852"/>
      <c r="OC22" s="1852"/>
      <c r="OD22" s="1852"/>
      <c r="OE22" s="1852"/>
      <c r="OF22" s="1852"/>
      <c r="OG22" s="1852"/>
      <c r="OH22" s="1852"/>
      <c r="OI22" s="1852"/>
      <c r="OJ22" s="1852"/>
      <c r="OK22" s="1852"/>
      <c r="OL22" s="1852"/>
      <c r="OM22" s="1852"/>
      <c r="ON22" s="1852"/>
      <c r="OO22" s="1852"/>
      <c r="OP22" s="1852"/>
      <c r="OQ22" s="1852"/>
      <c r="OR22" s="1852"/>
      <c r="OS22" s="1852"/>
      <c r="OT22" s="1852"/>
      <c r="OU22" s="1852"/>
      <c r="OV22" s="1852"/>
      <c r="OW22" s="1852"/>
      <c r="OX22" s="1852"/>
      <c r="OY22" s="1852"/>
      <c r="OZ22" s="1852"/>
      <c r="PA22" s="1852"/>
      <c r="PB22" s="1852"/>
      <c r="PC22" s="1852"/>
      <c r="PD22" s="1852"/>
      <c r="PE22" s="1852"/>
      <c r="PF22" s="1852"/>
      <c r="PG22" s="1852"/>
      <c r="PH22" s="1852"/>
      <c r="PI22" s="1852"/>
      <c r="PJ22" s="1852"/>
      <c r="PK22" s="1852"/>
      <c r="PL22" s="1852"/>
      <c r="PM22" s="1852"/>
      <c r="PN22" s="1852"/>
      <c r="PO22" s="1852"/>
      <c r="PP22" s="1852"/>
      <c r="PQ22" s="1852"/>
      <c r="PR22" s="1852"/>
      <c r="PS22" s="1852"/>
      <c r="PT22" s="1852"/>
      <c r="PU22" s="1852"/>
      <c r="PV22" s="1852"/>
      <c r="PW22" s="1852"/>
      <c r="PX22" s="1852"/>
      <c r="PY22" s="1852"/>
      <c r="PZ22" s="1852"/>
      <c r="QA22" s="1852"/>
      <c r="QB22" s="1852"/>
      <c r="QC22" s="1852"/>
      <c r="QD22" s="1852"/>
      <c r="QE22" s="1852"/>
      <c r="QF22" s="1852"/>
      <c r="QG22" s="1852"/>
      <c r="QH22" s="1852"/>
      <c r="QI22" s="1852"/>
      <c r="QJ22" s="1852"/>
      <c r="QK22" s="1852"/>
      <c r="QL22" s="1852"/>
      <c r="QM22" s="1852"/>
      <c r="QN22" s="1852"/>
      <c r="QO22" s="1852"/>
      <c r="QP22" s="1852"/>
      <c r="QQ22" s="1852"/>
      <c r="QR22" s="1852"/>
      <c r="QS22" s="1852"/>
      <c r="QT22" s="1852"/>
      <c r="QU22" s="1852"/>
      <c r="QV22" s="1852"/>
      <c r="QW22" s="1852"/>
      <c r="QX22" s="1852"/>
      <c r="QY22" s="1852"/>
      <c r="QZ22" s="1852"/>
      <c r="RA22" s="1852"/>
      <c r="RB22" s="1852"/>
      <c r="RC22" s="1852"/>
      <c r="RD22" s="1852"/>
      <c r="RE22" s="1852"/>
      <c r="RF22" s="1852"/>
      <c r="RG22" s="1852"/>
      <c r="RH22" s="1852"/>
      <c r="RI22" s="1852"/>
      <c r="RJ22" s="1852"/>
      <c r="RK22" s="1852"/>
      <c r="RL22" s="1852"/>
      <c r="RM22" s="1852"/>
      <c r="RN22" s="1852"/>
      <c r="RO22" s="1852"/>
      <c r="RP22" s="1852"/>
      <c r="RQ22" s="1852"/>
      <c r="RR22" s="1852"/>
      <c r="RS22" s="1852"/>
      <c r="RT22" s="1852"/>
      <c r="RU22" s="1852"/>
      <c r="RV22" s="1852"/>
      <c r="RW22" s="1852"/>
      <c r="RX22" s="1852"/>
      <c r="RY22" s="1852"/>
      <c r="RZ22" s="1852"/>
      <c r="SA22" s="1852"/>
      <c r="SB22" s="1852"/>
      <c r="SC22" s="1852"/>
      <c r="SD22" s="1852"/>
      <c r="SE22" s="1852"/>
      <c r="SF22" s="1852"/>
      <c r="SG22" s="1852"/>
      <c r="SH22" s="1852"/>
      <c r="SI22" s="1852"/>
      <c r="SJ22" s="1852"/>
      <c r="SK22" s="1852"/>
      <c r="SL22" s="1852"/>
      <c r="SM22" s="1852"/>
      <c r="SN22" s="1852"/>
      <c r="SO22" s="1852"/>
      <c r="SP22" s="1852"/>
      <c r="SQ22" s="1852"/>
      <c r="SR22" s="1852"/>
      <c r="SS22" s="1852"/>
      <c r="ST22" s="1852"/>
      <c r="SU22" s="1852"/>
      <c r="SV22" s="1852"/>
      <c r="SW22" s="1852"/>
      <c r="SX22" s="1852"/>
      <c r="SY22" s="1852"/>
      <c r="SZ22" s="1852"/>
      <c r="TA22" s="1852"/>
      <c r="TB22" s="1852"/>
      <c r="TC22" s="1852"/>
      <c r="TD22" s="1852"/>
      <c r="TE22" s="1852"/>
      <c r="TF22" s="1852"/>
      <c r="TG22" s="1852"/>
      <c r="TH22" s="1852"/>
      <c r="TI22" s="1852"/>
      <c r="TJ22" s="1852"/>
      <c r="TK22" s="1852"/>
      <c r="TL22" s="1852"/>
      <c r="TM22" s="1852"/>
      <c r="TN22" s="1852"/>
      <c r="TO22" s="1852"/>
      <c r="TP22" s="1852"/>
      <c r="TQ22" s="1852"/>
      <c r="TR22" s="1852"/>
      <c r="TS22" s="1852"/>
      <c r="TT22" s="1852"/>
      <c r="TU22" s="1852"/>
      <c r="TV22" s="1852"/>
      <c r="TW22" s="1852"/>
      <c r="TX22" s="1852"/>
      <c r="TY22" s="1852"/>
      <c r="TZ22" s="1852"/>
      <c r="UA22" s="1852"/>
      <c r="UB22" s="1852"/>
      <c r="UC22" s="1852"/>
      <c r="UD22" s="1852"/>
      <c r="UE22" s="1852"/>
      <c r="UF22" s="1852"/>
      <c r="UG22" s="1852"/>
      <c r="UH22" s="1852"/>
      <c r="UI22" s="1852"/>
      <c r="UJ22" s="1852"/>
      <c r="UK22" s="1852"/>
      <c r="UL22" s="1852"/>
      <c r="UM22" s="1852"/>
      <c r="UN22" s="1852"/>
      <c r="UO22" s="1852"/>
      <c r="UP22" s="1852"/>
      <c r="UQ22" s="1852"/>
      <c r="UR22" s="1852"/>
      <c r="US22" s="1852"/>
      <c r="UT22" s="1852"/>
      <c r="UU22" s="1852"/>
      <c r="UV22" s="1852"/>
      <c r="UW22" s="1852"/>
      <c r="UX22" s="1852"/>
      <c r="UY22" s="1852"/>
      <c r="UZ22" s="1852"/>
      <c r="VA22" s="1852"/>
      <c r="VB22" s="1852"/>
      <c r="VC22" s="1852"/>
      <c r="VD22" s="1852"/>
      <c r="VE22" s="1852"/>
      <c r="VF22" s="1852"/>
      <c r="VG22" s="1852"/>
      <c r="VH22" s="1852"/>
      <c r="VI22" s="1852"/>
      <c r="VJ22" s="1852"/>
      <c r="VK22" s="1852"/>
      <c r="VL22" s="1852"/>
      <c r="VM22" s="1852"/>
      <c r="VN22" s="1852"/>
      <c r="VO22" s="1852"/>
      <c r="VP22" s="1852"/>
      <c r="VQ22" s="1852"/>
      <c r="VR22" s="1852"/>
      <c r="VS22" s="1852"/>
      <c r="VT22" s="1852"/>
      <c r="VU22" s="1852"/>
      <c r="VV22" s="1852"/>
      <c r="VW22" s="1852"/>
      <c r="VX22" s="1852"/>
      <c r="VY22" s="1852"/>
      <c r="VZ22" s="1852"/>
      <c r="WA22" s="1852"/>
      <c r="WB22" s="1852"/>
      <c r="WC22" s="1852"/>
      <c r="WD22" s="1852"/>
      <c r="WE22" s="1852"/>
      <c r="WF22" s="1852"/>
      <c r="WG22" s="1852"/>
      <c r="WH22" s="1852"/>
      <c r="WI22" s="1852"/>
      <c r="WJ22" s="1852"/>
      <c r="WK22" s="1852"/>
      <c r="WL22" s="1852"/>
      <c r="WM22" s="1852"/>
      <c r="WN22" s="1852"/>
      <c r="WO22" s="1852"/>
      <c r="WP22" s="1852"/>
      <c r="WQ22" s="1852"/>
      <c r="WR22" s="1852"/>
      <c r="WS22" s="1852"/>
      <c r="WT22" s="1852"/>
      <c r="WU22" s="1852"/>
      <c r="WV22" s="1852"/>
      <c r="WW22" s="1852"/>
      <c r="WX22" s="1852"/>
      <c r="WY22" s="1852"/>
      <c r="WZ22" s="1852"/>
      <c r="XA22" s="1852"/>
      <c r="XB22" s="1852"/>
      <c r="XC22" s="1852"/>
      <c r="XD22" s="1852"/>
      <c r="XE22" s="1852"/>
      <c r="XF22" s="1852"/>
      <c r="XG22" s="1852"/>
      <c r="XH22" s="1852"/>
      <c r="XI22" s="1852"/>
      <c r="XJ22" s="1852"/>
      <c r="XK22" s="1852"/>
      <c r="XL22" s="1852"/>
      <c r="XM22" s="1852"/>
      <c r="XN22" s="1852"/>
      <c r="XO22" s="1852"/>
      <c r="XP22" s="1852"/>
      <c r="XQ22" s="1852"/>
      <c r="XR22" s="1852"/>
      <c r="XS22" s="1852"/>
      <c r="XT22" s="1852"/>
      <c r="XU22" s="1852"/>
      <c r="XV22" s="1852"/>
      <c r="XW22" s="1852"/>
      <c r="XX22" s="1852"/>
      <c r="XY22" s="1852"/>
      <c r="XZ22" s="1852"/>
      <c r="YA22" s="1852"/>
      <c r="YB22" s="1852"/>
      <c r="YC22" s="1852"/>
      <c r="YD22" s="1852"/>
      <c r="YE22" s="1852"/>
      <c r="YF22" s="1852"/>
      <c r="YG22" s="1852"/>
      <c r="YH22" s="1852"/>
      <c r="YI22" s="1852"/>
      <c r="YJ22" s="1852"/>
      <c r="YK22" s="1852"/>
      <c r="YL22" s="1852"/>
      <c r="YM22" s="1852"/>
      <c r="YN22" s="1852"/>
      <c r="YO22" s="1852"/>
      <c r="YP22" s="1852"/>
      <c r="YQ22" s="1852"/>
      <c r="YR22" s="1852"/>
      <c r="YS22" s="1852"/>
      <c r="YT22" s="1852"/>
      <c r="YU22" s="1852"/>
      <c r="YV22" s="1852"/>
      <c r="YW22" s="1852"/>
      <c r="YX22" s="1852"/>
      <c r="YY22" s="1852"/>
      <c r="YZ22" s="1852"/>
      <c r="ZA22" s="1852"/>
      <c r="ZB22" s="1852"/>
      <c r="ZC22" s="1852"/>
      <c r="ZD22" s="1852"/>
      <c r="ZE22" s="1852"/>
      <c r="ZF22" s="1852"/>
      <c r="ZG22" s="1852"/>
      <c r="ZH22" s="1852"/>
      <c r="ZI22" s="1852"/>
      <c r="ZJ22" s="1852"/>
      <c r="ZK22" s="1852"/>
      <c r="ZL22" s="1852"/>
      <c r="ZM22" s="1852"/>
      <c r="ZN22" s="1852"/>
      <c r="ZO22" s="1852"/>
      <c r="ZP22" s="1852"/>
      <c r="ZQ22" s="1852"/>
      <c r="ZR22" s="1852"/>
      <c r="ZS22" s="1852"/>
      <c r="ZT22" s="1852"/>
      <c r="ZU22" s="1852"/>
      <c r="ZV22" s="1852"/>
      <c r="ZW22" s="1852"/>
      <c r="ZX22" s="1852"/>
      <c r="ZY22" s="1852"/>
      <c r="ZZ22" s="1852"/>
      <c r="AAA22" s="1852"/>
      <c r="AAB22" s="1852"/>
      <c r="AAC22" s="1852"/>
      <c r="AAD22" s="1852"/>
      <c r="AAE22" s="1852"/>
      <c r="AAF22" s="1852"/>
      <c r="AAG22" s="1852"/>
      <c r="AAH22" s="1852"/>
      <c r="AAI22" s="1852"/>
      <c r="AAJ22" s="1852"/>
      <c r="AAK22" s="1852"/>
      <c r="AAL22" s="1852"/>
      <c r="AAM22" s="1852"/>
      <c r="AAN22" s="1852"/>
      <c r="AAO22" s="1852"/>
      <c r="AAP22" s="1852"/>
      <c r="AAQ22" s="1852"/>
      <c r="AAR22" s="1852"/>
      <c r="AAS22" s="1852"/>
      <c r="AAT22" s="1852"/>
      <c r="AAU22" s="1852"/>
      <c r="AAV22" s="1852"/>
      <c r="AAW22" s="1852"/>
      <c r="AAX22" s="1852"/>
      <c r="AAY22" s="1852"/>
      <c r="AAZ22" s="1852"/>
      <c r="ABA22" s="1852"/>
      <c r="ABB22" s="1852"/>
      <c r="ABC22" s="1852"/>
      <c r="ABD22" s="1852"/>
      <c r="ABE22" s="1852"/>
      <c r="ABF22" s="1852"/>
      <c r="ABG22" s="1852"/>
      <c r="ABH22" s="1852"/>
      <c r="ABI22" s="1852"/>
      <c r="ABJ22" s="1852"/>
      <c r="ABK22" s="1852"/>
      <c r="ABL22" s="1852"/>
      <c r="ABM22" s="1852"/>
      <c r="ABN22" s="1852"/>
      <c r="ABO22" s="1852"/>
      <c r="ABP22" s="1852"/>
      <c r="ABQ22" s="1852"/>
      <c r="ABR22" s="1852"/>
      <c r="ABS22" s="1852"/>
      <c r="ABT22" s="1852"/>
      <c r="ABU22" s="1852"/>
      <c r="ABV22" s="1852"/>
      <c r="ABW22" s="1852"/>
      <c r="ABX22" s="1852"/>
      <c r="ABY22" s="1852"/>
      <c r="ABZ22" s="1852"/>
      <c r="ACA22" s="1852"/>
      <c r="ACB22" s="1852"/>
      <c r="ACC22" s="1852"/>
      <c r="ACD22" s="1852"/>
      <c r="ACE22" s="1852"/>
      <c r="ACF22" s="1852"/>
      <c r="ACG22" s="1852"/>
      <c r="ACH22" s="1852"/>
      <c r="ACI22" s="1852"/>
      <c r="ACJ22" s="1852"/>
      <c r="ACK22" s="1852"/>
      <c r="ACL22" s="1852"/>
      <c r="ACM22" s="1852"/>
      <c r="ACN22" s="1852"/>
      <c r="ACO22" s="1852"/>
      <c r="ACP22" s="1852"/>
      <c r="ACQ22" s="1852"/>
      <c r="ACR22" s="1852"/>
      <c r="ACS22" s="1852"/>
      <c r="ACT22" s="1852"/>
      <c r="ACU22" s="1852"/>
      <c r="ACV22" s="1852"/>
      <c r="ACW22" s="1852"/>
      <c r="ACX22" s="1852"/>
      <c r="ACY22" s="1852"/>
      <c r="ACZ22" s="1852"/>
      <c r="ADA22" s="1852"/>
      <c r="ADB22" s="1852"/>
      <c r="ADC22" s="1852"/>
      <c r="ADD22" s="1852"/>
      <c r="ADE22" s="1852"/>
      <c r="ADF22" s="1852"/>
      <c r="ADG22" s="1852"/>
      <c r="ADH22" s="1852"/>
      <c r="ADI22" s="1852"/>
      <c r="ADJ22" s="1852"/>
      <c r="ADK22" s="1852"/>
      <c r="ADL22" s="1852"/>
      <c r="ADM22" s="1852"/>
      <c r="ADN22" s="1852"/>
      <c r="ADO22" s="1852"/>
      <c r="ADP22" s="1852"/>
      <c r="ADQ22" s="1852"/>
      <c r="ADR22" s="1852"/>
      <c r="ADS22" s="1852"/>
      <c r="ADT22" s="1852"/>
      <c r="ADU22" s="1852"/>
      <c r="ADV22" s="1852"/>
      <c r="ADW22" s="1852"/>
      <c r="ADX22" s="1852"/>
      <c r="ADY22" s="1852"/>
      <c r="ADZ22" s="1852"/>
      <c r="AEA22" s="1852"/>
      <c r="AEB22" s="1852"/>
      <c r="AEC22" s="1852"/>
      <c r="AED22" s="1852"/>
      <c r="AEE22" s="1852"/>
      <c r="AEF22" s="1852"/>
      <c r="AEG22" s="1852"/>
      <c r="AEH22" s="1852"/>
      <c r="AEI22" s="1852"/>
      <c r="AEJ22" s="1852"/>
      <c r="AEK22" s="1852"/>
      <c r="AEL22" s="1852"/>
      <c r="AEM22" s="1852"/>
      <c r="AEN22" s="1852"/>
      <c r="AEO22" s="1852"/>
      <c r="AEP22" s="1852"/>
      <c r="AEQ22" s="1852"/>
      <c r="AER22" s="1852"/>
      <c r="AES22" s="1852"/>
      <c r="AET22" s="1852"/>
      <c r="AEU22" s="1852"/>
      <c r="AEV22" s="1852"/>
      <c r="AEW22" s="1852"/>
      <c r="AEX22" s="1852"/>
      <c r="AEY22" s="1852"/>
      <c r="AEZ22" s="1852"/>
      <c r="AFA22" s="1852"/>
      <c r="AFB22" s="1852"/>
      <c r="AFC22" s="1852"/>
      <c r="AFD22" s="1852"/>
      <c r="AFE22" s="1852"/>
      <c r="AFF22" s="1852"/>
      <c r="AFG22" s="1852"/>
      <c r="AFH22" s="1852"/>
      <c r="AFI22" s="1852"/>
      <c r="AFJ22" s="1852"/>
      <c r="AFK22" s="1852"/>
      <c r="AFL22" s="1852"/>
      <c r="AFM22" s="1852"/>
      <c r="AFN22" s="1852"/>
      <c r="AFO22" s="1852"/>
      <c r="AFP22" s="1852"/>
      <c r="AFQ22" s="1852"/>
      <c r="AFR22" s="1852"/>
      <c r="AFS22" s="1852"/>
      <c r="AFT22" s="1852"/>
      <c r="AFU22" s="1852"/>
      <c r="AFV22" s="1852"/>
      <c r="AFW22" s="1852"/>
      <c r="AFX22" s="1852"/>
      <c r="AFY22" s="1852"/>
      <c r="AFZ22" s="1852"/>
      <c r="AGA22" s="1852"/>
      <c r="AGB22" s="1852"/>
      <c r="AGC22" s="1852"/>
      <c r="AGD22" s="1852"/>
      <c r="AGE22" s="1852"/>
      <c r="AGF22" s="1852"/>
      <c r="AGG22" s="1852"/>
      <c r="AGH22" s="1852"/>
      <c r="AGI22" s="1852"/>
      <c r="AGJ22" s="1852"/>
      <c r="AGK22" s="1852"/>
      <c r="AGL22" s="1852"/>
      <c r="AGM22" s="1852"/>
      <c r="AGN22" s="1852"/>
      <c r="AGO22" s="1852"/>
      <c r="AGP22" s="1852"/>
      <c r="AGQ22" s="1852"/>
      <c r="AGR22" s="1852"/>
      <c r="AGS22" s="1852"/>
      <c r="AGT22" s="1852"/>
      <c r="AGU22" s="1852"/>
      <c r="AGV22" s="1852"/>
      <c r="AGW22" s="1852"/>
      <c r="AGX22" s="1852"/>
      <c r="AGY22" s="1852"/>
      <c r="AGZ22" s="1852"/>
      <c r="AHA22" s="1852"/>
      <c r="AHB22" s="1852"/>
      <c r="AHC22" s="1852"/>
      <c r="AHD22" s="1852"/>
      <c r="AHE22" s="1852"/>
      <c r="AHF22" s="1852"/>
      <c r="AHG22" s="1852"/>
      <c r="AHH22" s="1852"/>
      <c r="AHI22" s="1852"/>
      <c r="AHJ22" s="1852"/>
      <c r="AHK22" s="1852"/>
      <c r="AHL22" s="1852"/>
      <c r="AHM22" s="1852"/>
      <c r="AHN22" s="1852"/>
      <c r="AHO22" s="1852"/>
      <c r="AHP22" s="1852"/>
      <c r="AHQ22" s="1852"/>
      <c r="AHR22" s="1852"/>
      <c r="AHS22" s="1852"/>
      <c r="AHT22" s="1852"/>
      <c r="AHU22" s="1852"/>
      <c r="AHV22" s="1852"/>
      <c r="AHW22" s="1852"/>
      <c r="AHX22" s="1852"/>
      <c r="AHY22" s="1852"/>
      <c r="AHZ22" s="1852"/>
      <c r="AIA22" s="1852"/>
      <c r="AIB22" s="1852"/>
      <c r="AIC22" s="1852"/>
      <c r="AID22" s="1852"/>
      <c r="AIE22" s="1852"/>
      <c r="AIF22" s="1852"/>
      <c r="AIG22" s="1852"/>
      <c r="AIH22" s="1852"/>
      <c r="AII22" s="1852"/>
      <c r="AIJ22" s="1852"/>
      <c r="AIK22" s="1852"/>
      <c r="AIL22" s="1852"/>
      <c r="AIM22" s="1852"/>
      <c r="AIN22" s="1852"/>
      <c r="AIO22" s="1852"/>
      <c r="AIP22" s="1852"/>
      <c r="AIQ22" s="1852"/>
      <c r="AIR22" s="1852"/>
      <c r="AIS22" s="1852"/>
      <c r="AIT22" s="1852"/>
      <c r="AIU22" s="1852"/>
      <c r="AIV22" s="1852"/>
      <c r="AIW22" s="1852"/>
      <c r="AIX22" s="1852"/>
      <c r="AIY22" s="1852"/>
      <c r="AIZ22" s="1852"/>
      <c r="AJA22" s="1852"/>
      <c r="AJB22" s="1852"/>
      <c r="AJC22" s="1852"/>
      <c r="AJD22" s="1852"/>
      <c r="AJE22" s="1852"/>
      <c r="AJF22" s="1852"/>
      <c r="AJG22" s="1852"/>
      <c r="AJH22" s="1852"/>
      <c r="AJI22" s="1852"/>
      <c r="AJJ22" s="1852"/>
      <c r="AJK22" s="1852"/>
      <c r="AJL22" s="1852"/>
      <c r="AJM22" s="1852"/>
      <c r="AJN22" s="1852"/>
      <c r="AJO22" s="1852"/>
      <c r="AJP22" s="1852"/>
      <c r="AJQ22" s="1852"/>
      <c r="AJR22" s="1852"/>
      <c r="AJS22" s="1852"/>
      <c r="AJT22" s="1852"/>
      <c r="AJU22" s="1852"/>
      <c r="AJV22" s="1852"/>
      <c r="AJW22" s="1852"/>
      <c r="AJX22" s="1852"/>
      <c r="AJY22" s="1852"/>
      <c r="AJZ22" s="1852"/>
      <c r="AKA22" s="1852"/>
      <c r="AKB22" s="1852"/>
      <c r="AKC22" s="1852"/>
      <c r="AKD22" s="1852"/>
      <c r="AKE22" s="1852"/>
      <c r="AKF22" s="1852"/>
      <c r="AKG22" s="1852"/>
      <c r="AKH22" s="1852"/>
      <c r="AKI22" s="1852"/>
      <c r="AKJ22" s="1852"/>
      <c r="AKK22" s="1852"/>
      <c r="AKL22" s="1852"/>
      <c r="AKM22" s="1852"/>
      <c r="AKN22" s="1852"/>
      <c r="AKO22" s="1852"/>
      <c r="AKP22" s="1852"/>
      <c r="AKQ22" s="1852"/>
      <c r="AKR22" s="1852"/>
      <c r="AKS22" s="1852"/>
      <c r="AKT22" s="1852"/>
      <c r="AKU22" s="1852"/>
      <c r="AKV22" s="1852"/>
      <c r="AKW22" s="1852"/>
      <c r="AKX22" s="1852"/>
      <c r="AKY22" s="1852"/>
      <c r="AKZ22" s="1852"/>
      <c r="ALA22" s="1852"/>
      <c r="ALB22" s="1852"/>
      <c r="ALC22" s="1852"/>
      <c r="ALD22" s="1852"/>
      <c r="ALE22" s="1852"/>
      <c r="ALF22" s="1852"/>
      <c r="ALG22" s="1852"/>
      <c r="ALH22" s="1852"/>
      <c r="ALI22" s="1852"/>
      <c r="ALJ22" s="1852"/>
      <c r="ALK22" s="1852"/>
      <c r="ALL22" s="1852"/>
      <c r="ALM22" s="1852"/>
      <c r="ALN22" s="1852"/>
      <c r="ALO22" s="1852"/>
      <c r="ALP22" s="1852"/>
      <c r="ALQ22" s="1852"/>
      <c r="ALR22" s="1852"/>
    </row>
    <row r="23" spans="1:1006" x14ac:dyDescent="0.3">
      <c r="A23" s="1854"/>
      <c r="B23" t="s">
        <v>1216</v>
      </c>
      <c r="C23" s="1853" t="s">
        <v>1218</v>
      </c>
      <c r="D23" s="1855">
        <f t="shared" si="0"/>
        <v>0</v>
      </c>
      <c r="E23" s="1855">
        <f t="shared" si="1"/>
        <v>0</v>
      </c>
      <c r="F23" s="1855">
        <f t="shared" si="2"/>
        <v>0</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c r="AP23" s="1852"/>
      <c r="AQ23" s="1852"/>
      <c r="AR23" s="1852"/>
      <c r="AS23" s="1852"/>
      <c r="AT23" s="1852"/>
      <c r="AU23" s="1852"/>
      <c r="AV23" s="1852"/>
      <c r="AW23" s="1852"/>
      <c r="AX23" s="1852"/>
      <c r="AY23" s="1852"/>
      <c r="AZ23" s="1852"/>
      <c r="BA23" s="1852"/>
      <c r="BB23" s="1852"/>
      <c r="BC23" s="1852"/>
      <c r="BD23" s="1852"/>
      <c r="BE23" s="1852"/>
      <c r="BF23" s="1852"/>
      <c r="BG23" s="1852"/>
      <c r="BH23" s="1852"/>
      <c r="BI23" s="1852"/>
      <c r="BJ23" s="1852"/>
      <c r="BK23" s="1852"/>
      <c r="BL23" s="1852"/>
      <c r="BM23" s="1852"/>
      <c r="BN23" s="1852"/>
      <c r="BO23" s="1852"/>
      <c r="BP23" s="1852"/>
      <c r="BQ23" s="1852"/>
      <c r="BR23" s="1852"/>
      <c r="BS23" s="1852"/>
      <c r="BT23" s="1852"/>
      <c r="BU23" s="1852"/>
      <c r="BV23" s="1852"/>
      <c r="BW23" s="1852"/>
      <c r="BX23" s="1852"/>
      <c r="BY23" s="1852"/>
      <c r="BZ23" s="1852"/>
      <c r="CA23" s="1852"/>
      <c r="CB23" s="1852"/>
      <c r="CC23" s="1852"/>
      <c r="CD23" s="1852"/>
      <c r="CE23" s="1852"/>
      <c r="CF23" s="1852"/>
      <c r="CG23" s="1852"/>
      <c r="CH23" s="1852"/>
      <c r="CI23" s="1852"/>
      <c r="CJ23" s="1852"/>
      <c r="CK23" s="1852"/>
      <c r="CL23" s="1852"/>
      <c r="CM23" s="1852"/>
      <c r="CN23" s="1852"/>
      <c r="CO23" s="1852"/>
      <c r="CP23" s="1852"/>
      <c r="CQ23" s="1852"/>
      <c r="CR23" s="1852"/>
      <c r="CS23" s="1852"/>
      <c r="CT23" s="1852"/>
      <c r="CU23" s="1852"/>
      <c r="CV23" s="1852"/>
      <c r="CW23" s="1852"/>
      <c r="CX23" s="1852"/>
      <c r="CY23" s="1852"/>
      <c r="CZ23" s="1852"/>
      <c r="DA23" s="1852"/>
      <c r="DB23" s="1852"/>
      <c r="DC23" s="1852"/>
      <c r="DD23" s="1852"/>
      <c r="DE23" s="1852"/>
      <c r="DF23" s="1852"/>
      <c r="DG23" s="1852"/>
      <c r="DH23" s="1852"/>
      <c r="DI23" s="1852"/>
      <c r="DJ23" s="1852"/>
      <c r="DK23" s="1852"/>
      <c r="DL23" s="1852"/>
      <c r="DM23" s="1852"/>
      <c r="DN23" s="1852"/>
      <c r="DO23" s="1852"/>
      <c r="DP23" s="1852"/>
      <c r="DQ23" s="1852"/>
      <c r="DR23" s="1852"/>
      <c r="DS23" s="1852"/>
      <c r="DT23" s="1852"/>
      <c r="DU23" s="1852"/>
      <c r="DV23" s="1852"/>
      <c r="DW23" s="1852"/>
      <c r="DX23" s="1852"/>
      <c r="DY23" s="1852"/>
      <c r="DZ23" s="1852"/>
      <c r="EA23" s="1852"/>
      <c r="EB23" s="1852"/>
      <c r="EC23" s="1852"/>
      <c r="ED23" s="1852"/>
      <c r="EE23" s="1852"/>
      <c r="EF23" s="1852"/>
      <c r="EG23" s="1852"/>
      <c r="EH23" s="1852"/>
      <c r="EI23" s="1852"/>
      <c r="EJ23" s="1852"/>
      <c r="EK23" s="1852"/>
      <c r="EL23" s="1852"/>
      <c r="EM23" s="1852"/>
      <c r="EN23" s="1852"/>
      <c r="EO23" s="1852"/>
      <c r="EP23" s="1852"/>
      <c r="EQ23" s="1852"/>
      <c r="ER23" s="1852"/>
      <c r="ES23" s="1852"/>
      <c r="ET23" s="1852"/>
      <c r="EU23" s="1852"/>
      <c r="EV23" s="1852"/>
      <c r="EW23" s="1852"/>
      <c r="EX23" s="1852"/>
      <c r="EY23" s="1852"/>
      <c r="EZ23" s="1852"/>
      <c r="FA23" s="1852"/>
      <c r="FB23" s="1852"/>
      <c r="FC23" s="1852"/>
      <c r="FD23" s="1852"/>
      <c r="FE23" s="1852"/>
      <c r="FF23" s="1852"/>
      <c r="FG23" s="1852"/>
      <c r="FH23" s="1852"/>
      <c r="FI23" s="1852"/>
      <c r="FJ23" s="1852"/>
      <c r="FK23" s="1852"/>
      <c r="FL23" s="1852"/>
      <c r="FM23" s="1852"/>
      <c r="FN23" s="1852"/>
      <c r="FO23" s="1852"/>
      <c r="FP23" s="1852"/>
      <c r="FQ23" s="1852"/>
      <c r="FR23" s="1852"/>
      <c r="FS23" s="1852"/>
      <c r="FT23" s="1852"/>
      <c r="FU23" s="1852"/>
      <c r="FV23" s="1852"/>
      <c r="FW23" s="1852"/>
      <c r="FX23" s="1852"/>
      <c r="FY23" s="1852"/>
      <c r="FZ23" s="1852"/>
      <c r="GA23" s="1852"/>
      <c r="GB23" s="1852"/>
      <c r="GC23" s="1852"/>
      <c r="GD23" s="1852"/>
      <c r="GE23" s="1852"/>
      <c r="GF23" s="1852"/>
      <c r="GG23" s="1852"/>
      <c r="GH23" s="1852"/>
      <c r="GI23" s="1852"/>
      <c r="GJ23" s="1852"/>
      <c r="GK23" s="1852"/>
      <c r="GL23" s="1852"/>
      <c r="GM23" s="1852"/>
      <c r="GN23" s="1852"/>
      <c r="GO23" s="1852"/>
      <c r="GP23" s="1852"/>
      <c r="GQ23" s="1852"/>
      <c r="GR23" s="1852"/>
      <c r="GS23" s="1852"/>
      <c r="GT23" s="1852"/>
      <c r="GU23" s="1852"/>
      <c r="GV23" s="1852"/>
      <c r="GW23" s="1852"/>
      <c r="GX23" s="1852"/>
      <c r="GY23" s="1852"/>
      <c r="GZ23" s="1852"/>
      <c r="HA23" s="1852"/>
      <c r="HB23" s="1852"/>
      <c r="HC23" s="1852"/>
      <c r="HD23" s="1852"/>
      <c r="HE23" s="1852"/>
      <c r="HF23" s="1852"/>
      <c r="HG23" s="1852"/>
      <c r="HH23" s="1852"/>
      <c r="HI23" s="1852"/>
      <c r="HJ23" s="1852"/>
      <c r="HK23" s="1852"/>
      <c r="HL23" s="1852"/>
      <c r="HM23" s="1852"/>
      <c r="HN23" s="1852"/>
      <c r="HO23" s="1852"/>
      <c r="HP23" s="1852"/>
      <c r="HQ23" s="1852"/>
      <c r="HR23" s="1852"/>
      <c r="HS23" s="1852"/>
      <c r="HT23" s="1852"/>
      <c r="HU23" s="1852"/>
      <c r="HV23" s="1852"/>
      <c r="HW23" s="1852"/>
      <c r="HX23" s="1852"/>
      <c r="HY23" s="1852"/>
      <c r="HZ23" s="1852"/>
      <c r="IA23" s="1852"/>
      <c r="IB23" s="1852"/>
      <c r="IC23" s="1852"/>
      <c r="ID23" s="1852"/>
      <c r="IE23" s="1852"/>
      <c r="IF23" s="1852"/>
      <c r="IG23" s="1852"/>
      <c r="IH23" s="1852"/>
      <c r="II23" s="1852"/>
      <c r="IJ23" s="1852"/>
      <c r="IK23" s="1852"/>
      <c r="IL23" s="1852"/>
      <c r="IM23" s="1852"/>
      <c r="IN23" s="1852"/>
      <c r="IO23" s="1852"/>
      <c r="IP23" s="1852"/>
      <c r="IQ23" s="1852"/>
      <c r="IR23" s="1852"/>
      <c r="IS23" s="1852"/>
      <c r="IT23" s="1852"/>
      <c r="IU23" s="1852"/>
      <c r="IV23" s="1852"/>
      <c r="IW23" s="1852"/>
      <c r="IX23" s="1852"/>
      <c r="IY23" s="1852"/>
      <c r="IZ23" s="1852"/>
      <c r="JA23" s="1852"/>
      <c r="JB23" s="1852"/>
      <c r="JC23" s="1852"/>
      <c r="JD23" s="1852"/>
      <c r="JE23" s="1852"/>
      <c r="JF23" s="1852"/>
      <c r="JG23" s="1852"/>
      <c r="JH23" s="1852"/>
      <c r="JI23" s="1852"/>
      <c r="JJ23" s="1852"/>
      <c r="JK23" s="1852"/>
      <c r="JL23" s="1852"/>
      <c r="JM23" s="1852"/>
      <c r="JN23" s="1852"/>
      <c r="JO23" s="1852"/>
      <c r="JP23" s="1852"/>
      <c r="JQ23" s="1852"/>
      <c r="JR23" s="1852"/>
      <c r="JS23" s="1852"/>
      <c r="JT23" s="1852"/>
      <c r="JU23" s="1852"/>
      <c r="JV23" s="1852"/>
      <c r="JW23" s="1852"/>
      <c r="JX23" s="1852"/>
      <c r="JY23" s="1852"/>
      <c r="JZ23" s="1852"/>
      <c r="KA23" s="1852"/>
      <c r="KB23" s="1852"/>
      <c r="KC23" s="1852"/>
      <c r="KD23" s="1852"/>
      <c r="KE23" s="1852"/>
      <c r="KF23" s="1852"/>
      <c r="KG23" s="1852"/>
      <c r="KH23" s="1852"/>
      <c r="KI23" s="1852"/>
      <c r="KJ23" s="1852"/>
      <c r="KK23" s="1852"/>
      <c r="KL23" s="1852"/>
      <c r="KM23" s="1852"/>
      <c r="KN23" s="1852"/>
      <c r="KO23" s="1852"/>
      <c r="KP23" s="1852"/>
      <c r="KQ23" s="1852"/>
      <c r="KR23" s="1852"/>
      <c r="KS23" s="1852"/>
      <c r="KT23" s="1852"/>
      <c r="KU23" s="1852"/>
      <c r="KV23" s="1852"/>
      <c r="KW23" s="1852"/>
      <c r="KX23" s="1852"/>
      <c r="KY23" s="1852"/>
      <c r="KZ23" s="1852"/>
      <c r="LA23" s="1852"/>
      <c r="LB23" s="1852"/>
      <c r="LC23" s="1852"/>
      <c r="LD23" s="1852"/>
      <c r="LE23" s="1852"/>
      <c r="LF23" s="1852"/>
      <c r="LG23" s="1852"/>
      <c r="LH23" s="1852"/>
      <c r="LI23" s="1852"/>
      <c r="LJ23" s="1852"/>
      <c r="LK23" s="1852"/>
      <c r="LL23" s="1852"/>
      <c r="LM23" s="1852"/>
      <c r="LN23" s="1852"/>
      <c r="LO23" s="1852"/>
      <c r="LP23" s="1852"/>
      <c r="LQ23" s="1852"/>
      <c r="LR23" s="1852"/>
      <c r="LS23" s="1852"/>
      <c r="LT23" s="1852"/>
      <c r="LU23" s="1852"/>
      <c r="LV23" s="1852"/>
      <c r="LW23" s="1852"/>
      <c r="LX23" s="1852"/>
      <c r="LY23" s="1852"/>
      <c r="LZ23" s="1852"/>
      <c r="MA23" s="1852"/>
      <c r="MB23" s="1852"/>
      <c r="MC23" s="1852"/>
      <c r="MD23" s="1852"/>
      <c r="ME23" s="1852"/>
      <c r="MF23" s="1852"/>
      <c r="MG23" s="1852"/>
      <c r="MH23" s="1852"/>
      <c r="MI23" s="1852"/>
      <c r="MJ23" s="1852"/>
      <c r="MK23" s="1852"/>
      <c r="ML23" s="1852"/>
      <c r="MM23" s="1852"/>
      <c r="MN23" s="1852"/>
      <c r="MO23" s="1852"/>
      <c r="MP23" s="1852"/>
      <c r="MQ23" s="1852"/>
      <c r="MR23" s="1852"/>
      <c r="MS23" s="1852"/>
      <c r="MT23" s="1852"/>
      <c r="MU23" s="1852"/>
      <c r="MV23" s="1852"/>
      <c r="MW23" s="1852"/>
      <c r="MX23" s="1852"/>
      <c r="MY23" s="1852"/>
      <c r="MZ23" s="1852"/>
      <c r="NA23" s="1852"/>
      <c r="NB23" s="1852"/>
      <c r="NC23" s="1852"/>
      <c r="ND23" s="1852"/>
      <c r="NE23" s="1852"/>
      <c r="NF23" s="1852"/>
      <c r="NG23" s="1852"/>
      <c r="NH23" s="1852"/>
      <c r="NI23" s="1852"/>
      <c r="NJ23" s="1852"/>
      <c r="NK23" s="1852"/>
      <c r="NL23" s="1852"/>
      <c r="NM23" s="1852"/>
      <c r="NN23" s="1852"/>
      <c r="NO23" s="1852"/>
      <c r="NP23" s="1852"/>
      <c r="NQ23" s="1852"/>
      <c r="NR23" s="1852"/>
      <c r="NS23" s="1852"/>
      <c r="NT23" s="1852"/>
      <c r="NU23" s="1852"/>
      <c r="NV23" s="1852"/>
      <c r="NW23" s="1852"/>
      <c r="NX23" s="1852"/>
      <c r="NY23" s="1852"/>
      <c r="NZ23" s="1852"/>
      <c r="OA23" s="1852"/>
      <c r="OB23" s="1852"/>
      <c r="OC23" s="1852"/>
      <c r="OD23" s="1852"/>
      <c r="OE23" s="1852"/>
      <c r="OF23" s="1852"/>
      <c r="OG23" s="1852"/>
      <c r="OH23" s="1852"/>
      <c r="OI23" s="1852"/>
      <c r="OJ23" s="1852"/>
      <c r="OK23" s="1852"/>
      <c r="OL23" s="1852"/>
      <c r="OM23" s="1852"/>
      <c r="ON23" s="1852"/>
      <c r="OO23" s="1852"/>
      <c r="OP23" s="1852"/>
      <c r="OQ23" s="1852"/>
      <c r="OR23" s="1852"/>
      <c r="OS23" s="1852"/>
      <c r="OT23" s="1852"/>
      <c r="OU23" s="1852"/>
      <c r="OV23" s="1852"/>
      <c r="OW23" s="1852"/>
      <c r="OX23" s="1852"/>
      <c r="OY23" s="1852"/>
      <c r="OZ23" s="1852"/>
      <c r="PA23" s="1852"/>
      <c r="PB23" s="1852"/>
      <c r="PC23" s="1852"/>
      <c r="PD23" s="1852"/>
      <c r="PE23" s="1852"/>
      <c r="PF23" s="1852"/>
      <c r="PG23" s="1852"/>
      <c r="PH23" s="1852"/>
      <c r="PI23" s="1852"/>
      <c r="PJ23" s="1852"/>
      <c r="PK23" s="1852"/>
      <c r="PL23" s="1852"/>
      <c r="PM23" s="1852"/>
      <c r="PN23" s="1852"/>
      <c r="PO23" s="1852"/>
      <c r="PP23" s="1852"/>
      <c r="PQ23" s="1852"/>
      <c r="PR23" s="1852"/>
      <c r="PS23" s="1852"/>
      <c r="PT23" s="1852"/>
      <c r="PU23" s="1852"/>
      <c r="PV23" s="1852"/>
      <c r="PW23" s="1852"/>
      <c r="PX23" s="1852"/>
      <c r="PY23" s="1852"/>
      <c r="PZ23" s="1852"/>
      <c r="QA23" s="1852"/>
      <c r="QB23" s="1852"/>
      <c r="QC23" s="1852"/>
      <c r="QD23" s="1852"/>
      <c r="QE23" s="1852"/>
      <c r="QF23" s="1852"/>
      <c r="QG23" s="1852"/>
      <c r="QH23" s="1852"/>
      <c r="QI23" s="1852"/>
      <c r="QJ23" s="1852"/>
      <c r="QK23" s="1852"/>
      <c r="QL23" s="1852"/>
      <c r="QM23" s="1852"/>
      <c r="QN23" s="1852"/>
      <c r="QO23" s="1852"/>
      <c r="QP23" s="1852"/>
      <c r="QQ23" s="1852"/>
      <c r="QR23" s="1852"/>
      <c r="QS23" s="1852"/>
      <c r="QT23" s="1852"/>
      <c r="QU23" s="1852"/>
      <c r="QV23" s="1852"/>
      <c r="QW23" s="1852"/>
      <c r="QX23" s="1852"/>
      <c r="QY23" s="1852"/>
      <c r="QZ23" s="1852"/>
      <c r="RA23" s="1852"/>
      <c r="RB23" s="1852"/>
      <c r="RC23" s="1852"/>
      <c r="RD23" s="1852"/>
      <c r="RE23" s="1852"/>
      <c r="RF23" s="1852"/>
      <c r="RG23" s="1852"/>
      <c r="RH23" s="1852"/>
      <c r="RI23" s="1852"/>
      <c r="RJ23" s="1852"/>
      <c r="RK23" s="1852"/>
      <c r="RL23" s="1852"/>
      <c r="RM23" s="1852"/>
      <c r="RN23" s="1852"/>
      <c r="RO23" s="1852"/>
      <c r="RP23" s="1852"/>
      <c r="RQ23" s="1852"/>
      <c r="RR23" s="1852"/>
      <c r="RS23" s="1852"/>
      <c r="RT23" s="1852"/>
      <c r="RU23" s="1852"/>
      <c r="RV23" s="1852"/>
      <c r="RW23" s="1852"/>
      <c r="RX23" s="1852"/>
      <c r="RY23" s="1852"/>
      <c r="RZ23" s="1852"/>
      <c r="SA23" s="1852"/>
      <c r="SB23" s="1852"/>
      <c r="SC23" s="1852"/>
      <c r="SD23" s="1852"/>
      <c r="SE23" s="1852"/>
      <c r="SF23" s="1852"/>
      <c r="SG23" s="1852"/>
      <c r="SH23" s="1852"/>
      <c r="SI23" s="1852"/>
      <c r="SJ23" s="1852"/>
      <c r="SK23" s="1852"/>
      <c r="SL23" s="1852"/>
      <c r="SM23" s="1852"/>
      <c r="SN23" s="1852"/>
      <c r="SO23" s="1852"/>
      <c r="SP23" s="1852"/>
      <c r="SQ23" s="1852"/>
      <c r="SR23" s="1852"/>
      <c r="SS23" s="1852"/>
      <c r="ST23" s="1852"/>
      <c r="SU23" s="1852"/>
      <c r="SV23" s="1852"/>
      <c r="SW23" s="1852"/>
      <c r="SX23" s="1852"/>
      <c r="SY23" s="1852"/>
      <c r="SZ23" s="1852"/>
      <c r="TA23" s="1852"/>
      <c r="TB23" s="1852"/>
      <c r="TC23" s="1852"/>
      <c r="TD23" s="1852"/>
      <c r="TE23" s="1852"/>
      <c r="TF23" s="1852"/>
      <c r="TG23" s="1852"/>
      <c r="TH23" s="1852"/>
      <c r="TI23" s="1852"/>
      <c r="TJ23" s="1852"/>
      <c r="TK23" s="1852"/>
      <c r="TL23" s="1852"/>
      <c r="TM23" s="1852"/>
      <c r="TN23" s="1852"/>
      <c r="TO23" s="1852"/>
      <c r="TP23" s="1852"/>
      <c r="TQ23" s="1852"/>
      <c r="TR23" s="1852"/>
      <c r="TS23" s="1852"/>
      <c r="TT23" s="1852"/>
      <c r="TU23" s="1852"/>
      <c r="TV23" s="1852"/>
      <c r="TW23" s="1852"/>
      <c r="TX23" s="1852"/>
      <c r="TY23" s="1852"/>
      <c r="TZ23" s="1852"/>
      <c r="UA23" s="1852"/>
      <c r="UB23" s="1852"/>
      <c r="UC23" s="1852"/>
      <c r="UD23" s="1852"/>
      <c r="UE23" s="1852"/>
      <c r="UF23" s="1852"/>
      <c r="UG23" s="1852"/>
      <c r="UH23" s="1852"/>
      <c r="UI23" s="1852"/>
      <c r="UJ23" s="1852"/>
      <c r="UK23" s="1852"/>
      <c r="UL23" s="1852"/>
      <c r="UM23" s="1852"/>
      <c r="UN23" s="1852"/>
      <c r="UO23" s="1852"/>
      <c r="UP23" s="1852"/>
      <c r="UQ23" s="1852"/>
      <c r="UR23" s="1852"/>
      <c r="US23" s="1852"/>
      <c r="UT23" s="1852"/>
      <c r="UU23" s="1852"/>
      <c r="UV23" s="1852"/>
      <c r="UW23" s="1852"/>
      <c r="UX23" s="1852"/>
      <c r="UY23" s="1852"/>
      <c r="UZ23" s="1852"/>
      <c r="VA23" s="1852"/>
      <c r="VB23" s="1852"/>
      <c r="VC23" s="1852"/>
      <c r="VD23" s="1852"/>
      <c r="VE23" s="1852"/>
      <c r="VF23" s="1852"/>
      <c r="VG23" s="1852"/>
      <c r="VH23" s="1852"/>
      <c r="VI23" s="1852"/>
      <c r="VJ23" s="1852"/>
      <c r="VK23" s="1852"/>
      <c r="VL23" s="1852"/>
      <c r="VM23" s="1852"/>
      <c r="VN23" s="1852"/>
      <c r="VO23" s="1852"/>
      <c r="VP23" s="1852"/>
      <c r="VQ23" s="1852"/>
      <c r="VR23" s="1852"/>
      <c r="VS23" s="1852"/>
      <c r="VT23" s="1852"/>
      <c r="VU23" s="1852"/>
      <c r="VV23" s="1852"/>
      <c r="VW23" s="1852"/>
      <c r="VX23" s="1852"/>
      <c r="VY23" s="1852"/>
      <c r="VZ23" s="1852"/>
      <c r="WA23" s="1852"/>
      <c r="WB23" s="1852"/>
      <c r="WC23" s="1852"/>
      <c r="WD23" s="1852"/>
      <c r="WE23" s="1852"/>
      <c r="WF23" s="1852"/>
      <c r="WG23" s="1852"/>
      <c r="WH23" s="1852"/>
      <c r="WI23" s="1852"/>
      <c r="WJ23" s="1852"/>
      <c r="WK23" s="1852"/>
      <c r="WL23" s="1852"/>
      <c r="WM23" s="1852"/>
      <c r="WN23" s="1852"/>
      <c r="WO23" s="1852"/>
      <c r="WP23" s="1852"/>
      <c r="WQ23" s="1852"/>
      <c r="WR23" s="1852"/>
      <c r="WS23" s="1852"/>
      <c r="WT23" s="1852"/>
      <c r="WU23" s="1852"/>
      <c r="WV23" s="1852"/>
      <c r="WW23" s="1852"/>
      <c r="WX23" s="1852"/>
      <c r="WY23" s="1852"/>
      <c r="WZ23" s="1852"/>
      <c r="XA23" s="1852"/>
      <c r="XB23" s="1852"/>
      <c r="XC23" s="1852"/>
      <c r="XD23" s="1852"/>
      <c r="XE23" s="1852"/>
      <c r="XF23" s="1852"/>
      <c r="XG23" s="1852"/>
      <c r="XH23" s="1852"/>
      <c r="XI23" s="1852"/>
      <c r="XJ23" s="1852"/>
      <c r="XK23" s="1852"/>
      <c r="XL23" s="1852"/>
      <c r="XM23" s="1852"/>
      <c r="XN23" s="1852"/>
      <c r="XO23" s="1852"/>
      <c r="XP23" s="1852"/>
      <c r="XQ23" s="1852"/>
      <c r="XR23" s="1852"/>
      <c r="XS23" s="1852"/>
      <c r="XT23" s="1852"/>
      <c r="XU23" s="1852"/>
      <c r="XV23" s="1852"/>
      <c r="XW23" s="1852"/>
      <c r="XX23" s="1852"/>
      <c r="XY23" s="1852"/>
      <c r="XZ23" s="1852"/>
      <c r="YA23" s="1852"/>
      <c r="YB23" s="1852"/>
      <c r="YC23" s="1852"/>
      <c r="YD23" s="1852"/>
      <c r="YE23" s="1852"/>
      <c r="YF23" s="1852"/>
      <c r="YG23" s="1852"/>
      <c r="YH23" s="1852"/>
      <c r="YI23" s="1852"/>
      <c r="YJ23" s="1852"/>
      <c r="YK23" s="1852"/>
      <c r="YL23" s="1852"/>
      <c r="YM23" s="1852"/>
      <c r="YN23" s="1852"/>
      <c r="YO23" s="1852"/>
      <c r="YP23" s="1852"/>
      <c r="YQ23" s="1852"/>
      <c r="YR23" s="1852"/>
      <c r="YS23" s="1852"/>
      <c r="YT23" s="1852"/>
      <c r="YU23" s="1852"/>
      <c r="YV23" s="1852"/>
      <c r="YW23" s="1852"/>
      <c r="YX23" s="1852"/>
      <c r="YY23" s="1852"/>
      <c r="YZ23" s="1852"/>
      <c r="ZA23" s="1852"/>
      <c r="ZB23" s="1852"/>
      <c r="ZC23" s="1852"/>
      <c r="ZD23" s="1852"/>
      <c r="ZE23" s="1852"/>
      <c r="ZF23" s="1852"/>
      <c r="ZG23" s="1852"/>
      <c r="ZH23" s="1852"/>
      <c r="ZI23" s="1852"/>
      <c r="ZJ23" s="1852"/>
      <c r="ZK23" s="1852"/>
      <c r="ZL23" s="1852"/>
      <c r="ZM23" s="1852"/>
      <c r="ZN23" s="1852"/>
      <c r="ZO23" s="1852"/>
      <c r="ZP23" s="1852"/>
      <c r="ZQ23" s="1852"/>
      <c r="ZR23" s="1852"/>
      <c r="ZS23" s="1852"/>
      <c r="ZT23" s="1852"/>
      <c r="ZU23" s="1852"/>
      <c r="ZV23" s="1852"/>
      <c r="ZW23" s="1852"/>
      <c r="ZX23" s="1852"/>
      <c r="ZY23" s="1852"/>
      <c r="ZZ23" s="1852"/>
      <c r="AAA23" s="1852"/>
      <c r="AAB23" s="1852"/>
      <c r="AAC23" s="1852"/>
      <c r="AAD23" s="1852"/>
      <c r="AAE23" s="1852"/>
      <c r="AAF23" s="1852"/>
      <c r="AAG23" s="1852"/>
      <c r="AAH23" s="1852"/>
      <c r="AAI23" s="1852"/>
      <c r="AAJ23" s="1852"/>
      <c r="AAK23" s="1852"/>
      <c r="AAL23" s="1852"/>
      <c r="AAM23" s="1852"/>
      <c r="AAN23" s="1852"/>
      <c r="AAO23" s="1852"/>
      <c r="AAP23" s="1852"/>
      <c r="AAQ23" s="1852"/>
      <c r="AAR23" s="1852"/>
      <c r="AAS23" s="1852"/>
      <c r="AAT23" s="1852"/>
      <c r="AAU23" s="1852"/>
      <c r="AAV23" s="1852"/>
      <c r="AAW23" s="1852"/>
      <c r="AAX23" s="1852"/>
      <c r="AAY23" s="1852"/>
      <c r="AAZ23" s="1852"/>
      <c r="ABA23" s="1852"/>
      <c r="ABB23" s="1852"/>
      <c r="ABC23" s="1852"/>
      <c r="ABD23" s="1852"/>
      <c r="ABE23" s="1852"/>
      <c r="ABF23" s="1852"/>
      <c r="ABG23" s="1852"/>
      <c r="ABH23" s="1852"/>
      <c r="ABI23" s="1852"/>
      <c r="ABJ23" s="1852"/>
      <c r="ABK23" s="1852"/>
      <c r="ABL23" s="1852"/>
      <c r="ABM23" s="1852"/>
      <c r="ABN23" s="1852"/>
      <c r="ABO23" s="1852"/>
      <c r="ABP23" s="1852"/>
      <c r="ABQ23" s="1852"/>
      <c r="ABR23" s="1852"/>
      <c r="ABS23" s="1852"/>
      <c r="ABT23" s="1852"/>
      <c r="ABU23" s="1852"/>
      <c r="ABV23" s="1852"/>
      <c r="ABW23" s="1852"/>
      <c r="ABX23" s="1852"/>
      <c r="ABY23" s="1852"/>
      <c r="ABZ23" s="1852"/>
      <c r="ACA23" s="1852"/>
      <c r="ACB23" s="1852"/>
      <c r="ACC23" s="1852"/>
      <c r="ACD23" s="1852"/>
      <c r="ACE23" s="1852"/>
      <c r="ACF23" s="1852"/>
      <c r="ACG23" s="1852"/>
      <c r="ACH23" s="1852"/>
      <c r="ACI23" s="1852"/>
      <c r="ACJ23" s="1852"/>
      <c r="ACK23" s="1852"/>
      <c r="ACL23" s="1852"/>
      <c r="ACM23" s="1852"/>
      <c r="ACN23" s="1852"/>
      <c r="ACO23" s="1852"/>
      <c r="ACP23" s="1852"/>
      <c r="ACQ23" s="1852"/>
      <c r="ACR23" s="1852"/>
      <c r="ACS23" s="1852"/>
      <c r="ACT23" s="1852"/>
      <c r="ACU23" s="1852"/>
      <c r="ACV23" s="1852"/>
      <c r="ACW23" s="1852"/>
      <c r="ACX23" s="1852"/>
      <c r="ACY23" s="1852"/>
      <c r="ACZ23" s="1852"/>
      <c r="ADA23" s="1852"/>
      <c r="ADB23" s="1852"/>
      <c r="ADC23" s="1852"/>
      <c r="ADD23" s="1852"/>
      <c r="ADE23" s="1852"/>
      <c r="ADF23" s="1852"/>
      <c r="ADG23" s="1852"/>
      <c r="ADH23" s="1852"/>
      <c r="ADI23" s="1852"/>
      <c r="ADJ23" s="1852"/>
      <c r="ADK23" s="1852"/>
      <c r="ADL23" s="1852"/>
      <c r="ADM23" s="1852"/>
      <c r="ADN23" s="1852"/>
      <c r="ADO23" s="1852"/>
      <c r="ADP23" s="1852"/>
      <c r="ADQ23" s="1852"/>
      <c r="ADR23" s="1852"/>
      <c r="ADS23" s="1852"/>
      <c r="ADT23" s="1852"/>
      <c r="ADU23" s="1852"/>
      <c r="ADV23" s="1852"/>
      <c r="ADW23" s="1852"/>
      <c r="ADX23" s="1852"/>
      <c r="ADY23" s="1852"/>
      <c r="ADZ23" s="1852"/>
      <c r="AEA23" s="1852"/>
      <c r="AEB23" s="1852"/>
      <c r="AEC23" s="1852"/>
      <c r="AED23" s="1852"/>
      <c r="AEE23" s="1852"/>
      <c r="AEF23" s="1852"/>
      <c r="AEG23" s="1852"/>
      <c r="AEH23" s="1852"/>
      <c r="AEI23" s="1852"/>
      <c r="AEJ23" s="1852"/>
      <c r="AEK23" s="1852"/>
      <c r="AEL23" s="1852"/>
      <c r="AEM23" s="1852"/>
      <c r="AEN23" s="1852"/>
      <c r="AEO23" s="1852"/>
      <c r="AEP23" s="1852"/>
      <c r="AEQ23" s="1852"/>
      <c r="AER23" s="1852"/>
      <c r="AES23" s="1852"/>
      <c r="AET23" s="1852"/>
      <c r="AEU23" s="1852"/>
      <c r="AEV23" s="1852"/>
      <c r="AEW23" s="1852"/>
      <c r="AEX23" s="1852"/>
      <c r="AEY23" s="1852"/>
      <c r="AEZ23" s="1852"/>
      <c r="AFA23" s="1852"/>
      <c r="AFB23" s="1852"/>
      <c r="AFC23" s="1852"/>
      <c r="AFD23" s="1852"/>
      <c r="AFE23" s="1852"/>
      <c r="AFF23" s="1852"/>
      <c r="AFG23" s="1852"/>
      <c r="AFH23" s="1852"/>
      <c r="AFI23" s="1852"/>
      <c r="AFJ23" s="1852"/>
      <c r="AFK23" s="1852"/>
      <c r="AFL23" s="1852"/>
      <c r="AFM23" s="1852"/>
      <c r="AFN23" s="1852"/>
      <c r="AFO23" s="1852"/>
      <c r="AFP23" s="1852"/>
      <c r="AFQ23" s="1852"/>
      <c r="AFR23" s="1852"/>
      <c r="AFS23" s="1852"/>
      <c r="AFT23" s="1852"/>
      <c r="AFU23" s="1852"/>
      <c r="AFV23" s="1852"/>
      <c r="AFW23" s="1852"/>
      <c r="AFX23" s="1852"/>
      <c r="AFY23" s="1852"/>
      <c r="AFZ23" s="1852"/>
      <c r="AGA23" s="1852"/>
      <c r="AGB23" s="1852"/>
      <c r="AGC23" s="1852"/>
      <c r="AGD23" s="1852"/>
      <c r="AGE23" s="1852"/>
      <c r="AGF23" s="1852"/>
      <c r="AGG23" s="1852"/>
      <c r="AGH23" s="1852"/>
      <c r="AGI23" s="1852"/>
      <c r="AGJ23" s="1852"/>
      <c r="AGK23" s="1852"/>
      <c r="AGL23" s="1852"/>
      <c r="AGM23" s="1852"/>
      <c r="AGN23" s="1852"/>
      <c r="AGO23" s="1852"/>
      <c r="AGP23" s="1852"/>
      <c r="AGQ23" s="1852"/>
      <c r="AGR23" s="1852"/>
      <c r="AGS23" s="1852"/>
      <c r="AGT23" s="1852"/>
      <c r="AGU23" s="1852"/>
      <c r="AGV23" s="1852"/>
      <c r="AGW23" s="1852"/>
      <c r="AGX23" s="1852"/>
      <c r="AGY23" s="1852"/>
      <c r="AGZ23" s="1852"/>
      <c r="AHA23" s="1852"/>
      <c r="AHB23" s="1852"/>
      <c r="AHC23" s="1852"/>
      <c r="AHD23" s="1852"/>
      <c r="AHE23" s="1852"/>
      <c r="AHF23" s="1852"/>
      <c r="AHG23" s="1852"/>
      <c r="AHH23" s="1852"/>
      <c r="AHI23" s="1852"/>
      <c r="AHJ23" s="1852"/>
      <c r="AHK23" s="1852"/>
      <c r="AHL23" s="1852"/>
      <c r="AHM23" s="1852"/>
      <c r="AHN23" s="1852"/>
      <c r="AHO23" s="1852"/>
      <c r="AHP23" s="1852"/>
      <c r="AHQ23" s="1852"/>
      <c r="AHR23" s="1852"/>
      <c r="AHS23" s="1852"/>
      <c r="AHT23" s="1852"/>
      <c r="AHU23" s="1852"/>
      <c r="AHV23" s="1852"/>
      <c r="AHW23" s="1852"/>
      <c r="AHX23" s="1852"/>
      <c r="AHY23" s="1852"/>
      <c r="AHZ23" s="1852"/>
      <c r="AIA23" s="1852"/>
      <c r="AIB23" s="1852"/>
      <c r="AIC23" s="1852"/>
      <c r="AID23" s="1852"/>
      <c r="AIE23" s="1852"/>
      <c r="AIF23" s="1852"/>
      <c r="AIG23" s="1852"/>
      <c r="AIH23" s="1852"/>
      <c r="AII23" s="1852"/>
      <c r="AIJ23" s="1852"/>
      <c r="AIK23" s="1852"/>
      <c r="AIL23" s="1852"/>
      <c r="AIM23" s="1852"/>
      <c r="AIN23" s="1852"/>
      <c r="AIO23" s="1852"/>
      <c r="AIP23" s="1852"/>
      <c r="AIQ23" s="1852"/>
      <c r="AIR23" s="1852"/>
      <c r="AIS23" s="1852"/>
      <c r="AIT23" s="1852"/>
      <c r="AIU23" s="1852"/>
      <c r="AIV23" s="1852"/>
      <c r="AIW23" s="1852"/>
      <c r="AIX23" s="1852"/>
      <c r="AIY23" s="1852"/>
      <c r="AIZ23" s="1852"/>
      <c r="AJA23" s="1852"/>
      <c r="AJB23" s="1852"/>
      <c r="AJC23" s="1852"/>
      <c r="AJD23" s="1852"/>
      <c r="AJE23" s="1852"/>
      <c r="AJF23" s="1852"/>
      <c r="AJG23" s="1852"/>
      <c r="AJH23" s="1852"/>
      <c r="AJI23" s="1852"/>
      <c r="AJJ23" s="1852"/>
      <c r="AJK23" s="1852"/>
      <c r="AJL23" s="1852"/>
      <c r="AJM23" s="1852"/>
      <c r="AJN23" s="1852"/>
      <c r="AJO23" s="1852"/>
      <c r="AJP23" s="1852"/>
      <c r="AJQ23" s="1852"/>
      <c r="AJR23" s="1852"/>
      <c r="AJS23" s="1852"/>
      <c r="AJT23" s="1852"/>
      <c r="AJU23" s="1852"/>
      <c r="AJV23" s="1852"/>
      <c r="AJW23" s="1852"/>
      <c r="AJX23" s="1852"/>
      <c r="AJY23" s="1852"/>
      <c r="AJZ23" s="1852"/>
      <c r="AKA23" s="1852"/>
      <c r="AKB23" s="1852"/>
      <c r="AKC23" s="1852"/>
      <c r="AKD23" s="1852"/>
      <c r="AKE23" s="1852"/>
      <c r="AKF23" s="1852"/>
      <c r="AKG23" s="1852"/>
      <c r="AKH23" s="1852"/>
      <c r="AKI23" s="1852"/>
      <c r="AKJ23" s="1852"/>
      <c r="AKK23" s="1852"/>
      <c r="AKL23" s="1852"/>
      <c r="AKM23" s="1852"/>
      <c r="AKN23" s="1852"/>
      <c r="AKO23" s="1852"/>
      <c r="AKP23" s="1852"/>
      <c r="AKQ23" s="1852"/>
      <c r="AKR23" s="1852"/>
      <c r="AKS23" s="1852"/>
      <c r="AKT23" s="1852"/>
      <c r="AKU23" s="1852"/>
      <c r="AKV23" s="1852"/>
      <c r="AKW23" s="1852"/>
      <c r="AKX23" s="1852"/>
      <c r="AKY23" s="1852"/>
      <c r="AKZ23" s="1852"/>
      <c r="ALA23" s="1852"/>
      <c r="ALB23" s="1852"/>
      <c r="ALC23" s="1852"/>
      <c r="ALD23" s="1852"/>
      <c r="ALE23" s="1852"/>
      <c r="ALF23" s="1852"/>
      <c r="ALG23" s="1852"/>
      <c r="ALH23" s="1852"/>
      <c r="ALI23" s="1852"/>
      <c r="ALJ23" s="1852"/>
      <c r="ALK23" s="1852"/>
      <c r="ALL23" s="1852"/>
      <c r="ALM23" s="1852"/>
      <c r="ALN23" s="1852"/>
      <c r="ALO23" s="1852"/>
      <c r="ALP23" s="1852"/>
      <c r="ALQ23" s="1852"/>
      <c r="ALR23" s="1852"/>
    </row>
    <row r="24" spans="1:1006" x14ac:dyDescent="0.3">
      <c r="A24" s="1854"/>
      <c r="B24" t="s">
        <v>1216</v>
      </c>
      <c r="C24" s="1853" t="s">
        <v>1218</v>
      </c>
      <c r="D24" s="1855">
        <f t="shared" si="0"/>
        <v>0</v>
      </c>
      <c r="E24" s="1855">
        <f t="shared" si="1"/>
        <v>0</v>
      </c>
      <c r="F24" s="1855">
        <f t="shared" si="2"/>
        <v>0</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c r="AP24" s="1852"/>
      <c r="AQ24" s="1852"/>
      <c r="AR24" s="1852"/>
      <c r="AS24" s="1852"/>
      <c r="AT24" s="1852"/>
      <c r="AU24" s="1852"/>
      <c r="AV24" s="1852"/>
      <c r="AW24" s="1852"/>
      <c r="AX24" s="1852"/>
      <c r="AY24" s="1852"/>
      <c r="AZ24" s="1852"/>
      <c r="BA24" s="1852"/>
      <c r="BB24" s="1852"/>
      <c r="BC24" s="1852"/>
      <c r="BD24" s="1852"/>
      <c r="BE24" s="1852"/>
      <c r="BF24" s="1852"/>
      <c r="BG24" s="1852"/>
      <c r="BH24" s="1852"/>
      <c r="BI24" s="1852"/>
      <c r="BJ24" s="1852"/>
      <c r="BK24" s="1852"/>
      <c r="BL24" s="1852"/>
      <c r="BM24" s="1852"/>
      <c r="BN24" s="1852"/>
      <c r="BO24" s="1852"/>
      <c r="BP24" s="1852"/>
      <c r="BQ24" s="1852"/>
      <c r="BR24" s="1852"/>
      <c r="BS24" s="1852"/>
      <c r="BT24" s="1852"/>
      <c r="BU24" s="1852"/>
      <c r="BV24" s="1852"/>
      <c r="BW24" s="1852"/>
      <c r="BX24" s="1852"/>
      <c r="BY24" s="1852"/>
      <c r="BZ24" s="1852"/>
      <c r="CA24" s="1852"/>
      <c r="CB24" s="1852"/>
      <c r="CC24" s="1852"/>
      <c r="CD24" s="1852"/>
      <c r="CE24" s="1852"/>
      <c r="CF24" s="1852"/>
      <c r="CG24" s="1852"/>
      <c r="CH24" s="1852"/>
      <c r="CI24" s="1852"/>
      <c r="CJ24" s="1852"/>
      <c r="CK24" s="1852"/>
      <c r="CL24" s="1852"/>
      <c r="CM24" s="1852"/>
      <c r="CN24" s="1852"/>
      <c r="CO24" s="1852"/>
      <c r="CP24" s="1852"/>
      <c r="CQ24" s="1852"/>
      <c r="CR24" s="1852"/>
      <c r="CS24" s="1852"/>
      <c r="CT24" s="1852"/>
      <c r="CU24" s="1852"/>
      <c r="CV24" s="1852"/>
      <c r="CW24" s="1852"/>
      <c r="CX24" s="1852"/>
      <c r="CY24" s="1852"/>
      <c r="CZ24" s="1852"/>
      <c r="DA24" s="1852"/>
      <c r="DB24" s="1852"/>
      <c r="DC24" s="1852"/>
      <c r="DD24" s="1852"/>
      <c r="DE24" s="1852"/>
      <c r="DF24" s="1852"/>
      <c r="DG24" s="1852"/>
      <c r="DH24" s="1852"/>
      <c r="DI24" s="1852"/>
      <c r="DJ24" s="1852"/>
      <c r="DK24" s="1852"/>
      <c r="DL24" s="1852"/>
      <c r="DM24" s="1852"/>
      <c r="DN24" s="1852"/>
      <c r="DO24" s="1852"/>
      <c r="DP24" s="1852"/>
      <c r="DQ24" s="1852"/>
      <c r="DR24" s="1852"/>
      <c r="DS24" s="1852"/>
      <c r="DT24" s="1852"/>
      <c r="DU24" s="1852"/>
      <c r="DV24" s="1852"/>
      <c r="DW24" s="1852"/>
      <c r="DX24" s="1852"/>
      <c r="DY24" s="1852"/>
      <c r="DZ24" s="1852"/>
      <c r="EA24" s="1852"/>
      <c r="EB24" s="1852"/>
      <c r="EC24" s="1852"/>
      <c r="ED24" s="1852"/>
      <c r="EE24" s="1852"/>
      <c r="EF24" s="1852"/>
      <c r="EG24" s="1852"/>
      <c r="EH24" s="1852"/>
      <c r="EI24" s="1852"/>
      <c r="EJ24" s="1852"/>
      <c r="EK24" s="1852"/>
      <c r="EL24" s="1852"/>
      <c r="EM24" s="1852"/>
      <c r="EN24" s="1852"/>
      <c r="EO24" s="1852"/>
      <c r="EP24" s="1852"/>
      <c r="EQ24" s="1852"/>
      <c r="ER24" s="1852"/>
      <c r="ES24" s="1852"/>
      <c r="ET24" s="1852"/>
      <c r="EU24" s="1852"/>
      <c r="EV24" s="1852"/>
      <c r="EW24" s="1852"/>
      <c r="EX24" s="1852"/>
      <c r="EY24" s="1852"/>
      <c r="EZ24" s="1852"/>
      <c r="FA24" s="1852"/>
      <c r="FB24" s="1852"/>
      <c r="FC24" s="1852"/>
      <c r="FD24" s="1852"/>
      <c r="FE24" s="1852"/>
      <c r="FF24" s="1852"/>
      <c r="FG24" s="1852"/>
      <c r="FH24" s="1852"/>
      <c r="FI24" s="1852"/>
      <c r="FJ24" s="1852"/>
      <c r="FK24" s="1852"/>
      <c r="FL24" s="1852"/>
      <c r="FM24" s="1852"/>
      <c r="FN24" s="1852"/>
      <c r="FO24" s="1852"/>
      <c r="FP24" s="1852"/>
      <c r="FQ24" s="1852"/>
      <c r="FR24" s="1852"/>
      <c r="FS24" s="1852"/>
      <c r="FT24" s="1852"/>
      <c r="FU24" s="1852"/>
      <c r="FV24" s="1852"/>
      <c r="FW24" s="1852"/>
      <c r="FX24" s="1852"/>
      <c r="FY24" s="1852"/>
      <c r="FZ24" s="1852"/>
      <c r="GA24" s="1852"/>
      <c r="GB24" s="1852"/>
      <c r="GC24" s="1852"/>
      <c r="GD24" s="1852"/>
      <c r="GE24" s="1852"/>
      <c r="GF24" s="1852"/>
      <c r="GG24" s="1852"/>
      <c r="GH24" s="1852"/>
      <c r="GI24" s="1852"/>
      <c r="GJ24" s="1852"/>
      <c r="GK24" s="1852"/>
      <c r="GL24" s="1852"/>
      <c r="GM24" s="1852"/>
      <c r="GN24" s="1852"/>
      <c r="GO24" s="1852"/>
      <c r="GP24" s="1852"/>
      <c r="GQ24" s="1852"/>
      <c r="GR24" s="1852"/>
      <c r="GS24" s="1852"/>
      <c r="GT24" s="1852"/>
      <c r="GU24" s="1852"/>
      <c r="GV24" s="1852"/>
      <c r="GW24" s="1852"/>
      <c r="GX24" s="1852"/>
      <c r="GY24" s="1852"/>
      <c r="GZ24" s="1852"/>
      <c r="HA24" s="1852"/>
      <c r="HB24" s="1852"/>
      <c r="HC24" s="1852"/>
      <c r="HD24" s="1852"/>
      <c r="HE24" s="1852"/>
      <c r="HF24" s="1852"/>
      <c r="HG24" s="1852"/>
      <c r="HH24" s="1852"/>
      <c r="HI24" s="1852"/>
      <c r="HJ24" s="1852"/>
      <c r="HK24" s="1852"/>
      <c r="HL24" s="1852"/>
      <c r="HM24" s="1852"/>
      <c r="HN24" s="1852"/>
      <c r="HO24" s="1852"/>
      <c r="HP24" s="1852"/>
      <c r="HQ24" s="1852"/>
      <c r="HR24" s="1852"/>
      <c r="HS24" s="1852"/>
      <c r="HT24" s="1852"/>
      <c r="HU24" s="1852"/>
      <c r="HV24" s="1852"/>
      <c r="HW24" s="1852"/>
      <c r="HX24" s="1852"/>
      <c r="HY24" s="1852"/>
      <c r="HZ24" s="1852"/>
      <c r="IA24" s="1852"/>
      <c r="IB24" s="1852"/>
      <c r="IC24" s="1852"/>
      <c r="ID24" s="1852"/>
      <c r="IE24" s="1852"/>
      <c r="IF24" s="1852"/>
      <c r="IG24" s="1852"/>
      <c r="IH24" s="1852"/>
      <c r="II24" s="1852"/>
      <c r="IJ24" s="1852"/>
      <c r="IK24" s="1852"/>
      <c r="IL24" s="1852"/>
      <c r="IM24" s="1852"/>
      <c r="IN24" s="1852"/>
      <c r="IO24" s="1852"/>
      <c r="IP24" s="1852"/>
      <c r="IQ24" s="1852"/>
      <c r="IR24" s="1852"/>
      <c r="IS24" s="1852"/>
      <c r="IT24" s="1852"/>
      <c r="IU24" s="1852"/>
      <c r="IV24" s="1852"/>
      <c r="IW24" s="1852"/>
      <c r="IX24" s="1852"/>
      <c r="IY24" s="1852"/>
      <c r="IZ24" s="1852"/>
      <c r="JA24" s="1852"/>
      <c r="JB24" s="1852"/>
      <c r="JC24" s="1852"/>
      <c r="JD24" s="1852"/>
      <c r="JE24" s="1852"/>
      <c r="JF24" s="1852"/>
      <c r="JG24" s="1852"/>
      <c r="JH24" s="1852"/>
      <c r="JI24" s="1852"/>
      <c r="JJ24" s="1852"/>
      <c r="JK24" s="1852"/>
      <c r="JL24" s="1852"/>
      <c r="JM24" s="1852"/>
      <c r="JN24" s="1852"/>
      <c r="JO24" s="1852"/>
      <c r="JP24" s="1852"/>
      <c r="JQ24" s="1852"/>
      <c r="JR24" s="1852"/>
      <c r="JS24" s="1852"/>
      <c r="JT24" s="1852"/>
      <c r="JU24" s="1852"/>
      <c r="JV24" s="1852"/>
      <c r="JW24" s="1852"/>
      <c r="JX24" s="1852"/>
      <c r="JY24" s="1852"/>
      <c r="JZ24" s="1852"/>
      <c r="KA24" s="1852"/>
      <c r="KB24" s="1852"/>
      <c r="KC24" s="1852"/>
      <c r="KD24" s="1852"/>
      <c r="KE24" s="1852"/>
      <c r="KF24" s="1852"/>
      <c r="KG24" s="1852"/>
      <c r="KH24" s="1852"/>
      <c r="KI24" s="1852"/>
      <c r="KJ24" s="1852"/>
      <c r="KK24" s="1852"/>
      <c r="KL24" s="1852"/>
      <c r="KM24" s="1852"/>
      <c r="KN24" s="1852"/>
      <c r="KO24" s="1852"/>
      <c r="KP24" s="1852"/>
      <c r="KQ24" s="1852"/>
      <c r="KR24" s="1852"/>
      <c r="KS24" s="1852"/>
      <c r="KT24" s="1852"/>
      <c r="KU24" s="1852"/>
      <c r="KV24" s="1852"/>
      <c r="KW24" s="1852"/>
      <c r="KX24" s="1852"/>
      <c r="KY24" s="1852"/>
      <c r="KZ24" s="1852"/>
      <c r="LA24" s="1852"/>
      <c r="LB24" s="1852"/>
      <c r="LC24" s="1852"/>
      <c r="LD24" s="1852"/>
      <c r="LE24" s="1852"/>
      <c r="LF24" s="1852"/>
      <c r="LG24" s="1852"/>
      <c r="LH24" s="1852"/>
      <c r="LI24" s="1852"/>
      <c r="LJ24" s="1852"/>
      <c r="LK24" s="1852"/>
      <c r="LL24" s="1852"/>
      <c r="LM24" s="1852"/>
      <c r="LN24" s="1852"/>
      <c r="LO24" s="1852"/>
      <c r="LP24" s="1852"/>
      <c r="LQ24" s="1852"/>
      <c r="LR24" s="1852"/>
      <c r="LS24" s="1852"/>
      <c r="LT24" s="1852"/>
      <c r="LU24" s="1852"/>
      <c r="LV24" s="1852"/>
      <c r="LW24" s="1852"/>
      <c r="LX24" s="1852"/>
      <c r="LY24" s="1852"/>
      <c r="LZ24" s="1852"/>
      <c r="MA24" s="1852"/>
      <c r="MB24" s="1852"/>
      <c r="MC24" s="1852"/>
      <c r="MD24" s="1852"/>
      <c r="ME24" s="1852"/>
      <c r="MF24" s="1852"/>
      <c r="MG24" s="1852"/>
      <c r="MH24" s="1852"/>
      <c r="MI24" s="1852"/>
      <c r="MJ24" s="1852"/>
      <c r="MK24" s="1852"/>
      <c r="ML24" s="1852"/>
      <c r="MM24" s="1852"/>
      <c r="MN24" s="1852"/>
      <c r="MO24" s="1852"/>
      <c r="MP24" s="1852"/>
      <c r="MQ24" s="1852"/>
      <c r="MR24" s="1852"/>
      <c r="MS24" s="1852"/>
      <c r="MT24" s="1852"/>
      <c r="MU24" s="1852"/>
      <c r="MV24" s="1852"/>
      <c r="MW24" s="1852"/>
      <c r="MX24" s="1852"/>
      <c r="MY24" s="1852"/>
      <c r="MZ24" s="1852"/>
      <c r="NA24" s="1852"/>
      <c r="NB24" s="1852"/>
      <c r="NC24" s="1852"/>
      <c r="ND24" s="1852"/>
      <c r="NE24" s="1852"/>
      <c r="NF24" s="1852"/>
      <c r="NG24" s="1852"/>
      <c r="NH24" s="1852"/>
      <c r="NI24" s="1852"/>
      <c r="NJ24" s="1852"/>
      <c r="NK24" s="1852"/>
      <c r="NL24" s="1852"/>
      <c r="NM24" s="1852"/>
      <c r="NN24" s="1852"/>
      <c r="NO24" s="1852"/>
      <c r="NP24" s="1852"/>
      <c r="NQ24" s="1852"/>
      <c r="NR24" s="1852"/>
      <c r="NS24" s="1852"/>
      <c r="NT24" s="1852"/>
      <c r="NU24" s="1852"/>
      <c r="NV24" s="1852"/>
      <c r="NW24" s="1852"/>
      <c r="NX24" s="1852"/>
      <c r="NY24" s="1852"/>
      <c r="NZ24" s="1852"/>
      <c r="OA24" s="1852"/>
      <c r="OB24" s="1852"/>
      <c r="OC24" s="1852"/>
      <c r="OD24" s="1852"/>
      <c r="OE24" s="1852"/>
      <c r="OF24" s="1852"/>
      <c r="OG24" s="1852"/>
      <c r="OH24" s="1852"/>
      <c r="OI24" s="1852"/>
      <c r="OJ24" s="1852"/>
      <c r="OK24" s="1852"/>
      <c r="OL24" s="1852"/>
      <c r="OM24" s="1852"/>
      <c r="ON24" s="1852"/>
      <c r="OO24" s="1852"/>
      <c r="OP24" s="1852"/>
      <c r="OQ24" s="1852"/>
      <c r="OR24" s="1852"/>
      <c r="OS24" s="1852"/>
      <c r="OT24" s="1852"/>
      <c r="OU24" s="1852"/>
      <c r="OV24" s="1852"/>
      <c r="OW24" s="1852"/>
      <c r="OX24" s="1852"/>
      <c r="OY24" s="1852"/>
      <c r="OZ24" s="1852"/>
      <c r="PA24" s="1852"/>
      <c r="PB24" s="1852"/>
      <c r="PC24" s="1852"/>
      <c r="PD24" s="1852"/>
      <c r="PE24" s="1852"/>
      <c r="PF24" s="1852"/>
      <c r="PG24" s="1852"/>
      <c r="PH24" s="1852"/>
      <c r="PI24" s="1852"/>
      <c r="PJ24" s="1852"/>
      <c r="PK24" s="1852"/>
      <c r="PL24" s="1852"/>
      <c r="PM24" s="1852"/>
      <c r="PN24" s="1852"/>
      <c r="PO24" s="1852"/>
      <c r="PP24" s="1852"/>
      <c r="PQ24" s="1852"/>
      <c r="PR24" s="1852"/>
      <c r="PS24" s="1852"/>
      <c r="PT24" s="1852"/>
      <c r="PU24" s="1852"/>
      <c r="PV24" s="1852"/>
      <c r="PW24" s="1852"/>
      <c r="PX24" s="1852"/>
      <c r="PY24" s="1852"/>
      <c r="PZ24" s="1852"/>
      <c r="QA24" s="1852"/>
      <c r="QB24" s="1852"/>
      <c r="QC24" s="1852"/>
      <c r="QD24" s="1852"/>
      <c r="QE24" s="1852"/>
      <c r="QF24" s="1852"/>
      <c r="QG24" s="1852"/>
      <c r="QH24" s="1852"/>
      <c r="QI24" s="1852"/>
      <c r="QJ24" s="1852"/>
      <c r="QK24" s="1852"/>
      <c r="QL24" s="1852"/>
      <c r="QM24" s="1852"/>
      <c r="QN24" s="1852"/>
      <c r="QO24" s="1852"/>
      <c r="QP24" s="1852"/>
      <c r="QQ24" s="1852"/>
      <c r="QR24" s="1852"/>
      <c r="QS24" s="1852"/>
      <c r="QT24" s="1852"/>
      <c r="QU24" s="1852"/>
      <c r="QV24" s="1852"/>
      <c r="QW24" s="1852"/>
      <c r="QX24" s="1852"/>
      <c r="QY24" s="1852"/>
      <c r="QZ24" s="1852"/>
      <c r="RA24" s="1852"/>
      <c r="RB24" s="1852"/>
      <c r="RC24" s="1852"/>
      <c r="RD24" s="1852"/>
      <c r="RE24" s="1852"/>
      <c r="RF24" s="1852"/>
      <c r="RG24" s="1852"/>
      <c r="RH24" s="1852"/>
      <c r="RI24" s="1852"/>
      <c r="RJ24" s="1852"/>
      <c r="RK24" s="1852"/>
      <c r="RL24" s="1852"/>
      <c r="RM24" s="1852"/>
      <c r="RN24" s="1852"/>
      <c r="RO24" s="1852"/>
      <c r="RP24" s="1852"/>
      <c r="RQ24" s="1852"/>
      <c r="RR24" s="1852"/>
      <c r="RS24" s="1852"/>
      <c r="RT24" s="1852"/>
      <c r="RU24" s="1852"/>
      <c r="RV24" s="1852"/>
      <c r="RW24" s="1852"/>
      <c r="RX24" s="1852"/>
      <c r="RY24" s="1852"/>
      <c r="RZ24" s="1852"/>
      <c r="SA24" s="1852"/>
      <c r="SB24" s="1852"/>
      <c r="SC24" s="1852"/>
      <c r="SD24" s="1852"/>
      <c r="SE24" s="1852"/>
      <c r="SF24" s="1852"/>
      <c r="SG24" s="1852"/>
      <c r="SH24" s="1852"/>
      <c r="SI24" s="1852"/>
      <c r="SJ24" s="1852"/>
      <c r="SK24" s="1852"/>
      <c r="SL24" s="1852"/>
      <c r="SM24" s="1852"/>
      <c r="SN24" s="1852"/>
      <c r="SO24" s="1852"/>
      <c r="SP24" s="1852"/>
      <c r="SQ24" s="1852"/>
      <c r="SR24" s="1852"/>
      <c r="SS24" s="1852"/>
      <c r="ST24" s="1852"/>
      <c r="SU24" s="1852"/>
      <c r="SV24" s="1852"/>
      <c r="SW24" s="1852"/>
      <c r="SX24" s="1852"/>
      <c r="SY24" s="1852"/>
      <c r="SZ24" s="1852"/>
      <c r="TA24" s="1852"/>
      <c r="TB24" s="1852"/>
      <c r="TC24" s="1852"/>
      <c r="TD24" s="1852"/>
      <c r="TE24" s="1852"/>
      <c r="TF24" s="1852"/>
      <c r="TG24" s="1852"/>
      <c r="TH24" s="1852"/>
      <c r="TI24" s="1852"/>
      <c r="TJ24" s="1852"/>
      <c r="TK24" s="1852"/>
      <c r="TL24" s="1852"/>
      <c r="TM24" s="1852"/>
      <c r="TN24" s="1852"/>
      <c r="TO24" s="1852"/>
      <c r="TP24" s="1852"/>
      <c r="TQ24" s="1852"/>
      <c r="TR24" s="1852"/>
      <c r="TS24" s="1852"/>
      <c r="TT24" s="1852"/>
      <c r="TU24" s="1852"/>
      <c r="TV24" s="1852"/>
      <c r="TW24" s="1852"/>
      <c r="TX24" s="1852"/>
      <c r="TY24" s="1852"/>
      <c r="TZ24" s="1852"/>
      <c r="UA24" s="1852"/>
      <c r="UB24" s="1852"/>
      <c r="UC24" s="1852"/>
      <c r="UD24" s="1852"/>
      <c r="UE24" s="1852"/>
      <c r="UF24" s="1852"/>
      <c r="UG24" s="1852"/>
      <c r="UH24" s="1852"/>
      <c r="UI24" s="1852"/>
      <c r="UJ24" s="1852"/>
      <c r="UK24" s="1852"/>
      <c r="UL24" s="1852"/>
      <c r="UM24" s="1852"/>
      <c r="UN24" s="1852"/>
      <c r="UO24" s="1852"/>
      <c r="UP24" s="1852"/>
      <c r="UQ24" s="1852"/>
      <c r="UR24" s="1852"/>
      <c r="US24" s="1852"/>
      <c r="UT24" s="1852"/>
      <c r="UU24" s="1852"/>
      <c r="UV24" s="1852"/>
      <c r="UW24" s="1852"/>
      <c r="UX24" s="1852"/>
      <c r="UY24" s="1852"/>
      <c r="UZ24" s="1852"/>
      <c r="VA24" s="1852"/>
      <c r="VB24" s="1852"/>
      <c r="VC24" s="1852"/>
      <c r="VD24" s="1852"/>
      <c r="VE24" s="1852"/>
      <c r="VF24" s="1852"/>
      <c r="VG24" s="1852"/>
      <c r="VH24" s="1852"/>
      <c r="VI24" s="1852"/>
      <c r="VJ24" s="1852"/>
      <c r="VK24" s="1852"/>
      <c r="VL24" s="1852"/>
      <c r="VM24" s="1852"/>
      <c r="VN24" s="1852"/>
      <c r="VO24" s="1852"/>
      <c r="VP24" s="1852"/>
      <c r="VQ24" s="1852"/>
      <c r="VR24" s="1852"/>
      <c r="VS24" s="1852"/>
      <c r="VT24" s="1852"/>
      <c r="VU24" s="1852"/>
      <c r="VV24" s="1852"/>
      <c r="VW24" s="1852"/>
      <c r="VX24" s="1852"/>
      <c r="VY24" s="1852"/>
      <c r="VZ24" s="1852"/>
      <c r="WA24" s="1852"/>
      <c r="WB24" s="1852"/>
      <c r="WC24" s="1852"/>
      <c r="WD24" s="1852"/>
      <c r="WE24" s="1852"/>
      <c r="WF24" s="1852"/>
      <c r="WG24" s="1852"/>
      <c r="WH24" s="1852"/>
      <c r="WI24" s="1852"/>
      <c r="WJ24" s="1852"/>
      <c r="WK24" s="1852"/>
      <c r="WL24" s="1852"/>
      <c r="WM24" s="1852"/>
      <c r="WN24" s="1852"/>
      <c r="WO24" s="1852"/>
      <c r="WP24" s="1852"/>
      <c r="WQ24" s="1852"/>
      <c r="WR24" s="1852"/>
      <c r="WS24" s="1852"/>
      <c r="WT24" s="1852"/>
      <c r="WU24" s="1852"/>
      <c r="WV24" s="1852"/>
      <c r="WW24" s="1852"/>
      <c r="WX24" s="1852"/>
      <c r="WY24" s="1852"/>
      <c r="WZ24" s="1852"/>
      <c r="XA24" s="1852"/>
      <c r="XB24" s="1852"/>
      <c r="XC24" s="1852"/>
      <c r="XD24" s="1852"/>
      <c r="XE24" s="1852"/>
      <c r="XF24" s="1852"/>
      <c r="XG24" s="1852"/>
      <c r="XH24" s="1852"/>
      <c r="XI24" s="1852"/>
      <c r="XJ24" s="1852"/>
      <c r="XK24" s="1852"/>
      <c r="XL24" s="1852"/>
      <c r="XM24" s="1852"/>
      <c r="XN24" s="1852"/>
      <c r="XO24" s="1852"/>
      <c r="XP24" s="1852"/>
      <c r="XQ24" s="1852"/>
      <c r="XR24" s="1852"/>
      <c r="XS24" s="1852"/>
      <c r="XT24" s="1852"/>
      <c r="XU24" s="1852"/>
      <c r="XV24" s="1852"/>
      <c r="XW24" s="1852"/>
      <c r="XX24" s="1852"/>
      <c r="XY24" s="1852"/>
      <c r="XZ24" s="1852"/>
      <c r="YA24" s="1852"/>
      <c r="YB24" s="1852"/>
      <c r="YC24" s="1852"/>
      <c r="YD24" s="1852"/>
      <c r="YE24" s="1852"/>
      <c r="YF24" s="1852"/>
      <c r="YG24" s="1852"/>
      <c r="YH24" s="1852"/>
      <c r="YI24" s="1852"/>
      <c r="YJ24" s="1852"/>
      <c r="YK24" s="1852"/>
      <c r="YL24" s="1852"/>
      <c r="YM24" s="1852"/>
      <c r="YN24" s="1852"/>
      <c r="YO24" s="1852"/>
      <c r="YP24" s="1852"/>
      <c r="YQ24" s="1852"/>
      <c r="YR24" s="1852"/>
      <c r="YS24" s="1852"/>
      <c r="YT24" s="1852"/>
      <c r="YU24" s="1852"/>
      <c r="YV24" s="1852"/>
      <c r="YW24" s="1852"/>
      <c r="YX24" s="1852"/>
      <c r="YY24" s="1852"/>
      <c r="YZ24" s="1852"/>
      <c r="ZA24" s="1852"/>
      <c r="ZB24" s="1852"/>
      <c r="ZC24" s="1852"/>
      <c r="ZD24" s="1852"/>
      <c r="ZE24" s="1852"/>
      <c r="ZF24" s="1852"/>
      <c r="ZG24" s="1852"/>
      <c r="ZH24" s="1852"/>
      <c r="ZI24" s="1852"/>
      <c r="ZJ24" s="1852"/>
      <c r="ZK24" s="1852"/>
      <c r="ZL24" s="1852"/>
      <c r="ZM24" s="1852"/>
      <c r="ZN24" s="1852"/>
      <c r="ZO24" s="1852"/>
      <c r="ZP24" s="1852"/>
      <c r="ZQ24" s="1852"/>
      <c r="ZR24" s="1852"/>
      <c r="ZS24" s="1852"/>
      <c r="ZT24" s="1852"/>
      <c r="ZU24" s="1852"/>
      <c r="ZV24" s="1852"/>
      <c r="ZW24" s="1852"/>
      <c r="ZX24" s="1852"/>
      <c r="ZY24" s="1852"/>
      <c r="ZZ24" s="1852"/>
      <c r="AAA24" s="1852"/>
      <c r="AAB24" s="1852"/>
      <c r="AAC24" s="1852"/>
      <c r="AAD24" s="1852"/>
      <c r="AAE24" s="1852"/>
      <c r="AAF24" s="1852"/>
      <c r="AAG24" s="1852"/>
      <c r="AAH24" s="1852"/>
      <c r="AAI24" s="1852"/>
      <c r="AAJ24" s="1852"/>
      <c r="AAK24" s="1852"/>
      <c r="AAL24" s="1852"/>
      <c r="AAM24" s="1852"/>
      <c r="AAN24" s="1852"/>
      <c r="AAO24" s="1852"/>
      <c r="AAP24" s="1852"/>
      <c r="AAQ24" s="1852"/>
      <c r="AAR24" s="1852"/>
      <c r="AAS24" s="1852"/>
      <c r="AAT24" s="1852"/>
      <c r="AAU24" s="1852"/>
      <c r="AAV24" s="1852"/>
      <c r="AAW24" s="1852"/>
      <c r="AAX24" s="1852"/>
      <c r="AAY24" s="1852"/>
      <c r="AAZ24" s="1852"/>
      <c r="ABA24" s="1852"/>
      <c r="ABB24" s="1852"/>
      <c r="ABC24" s="1852"/>
      <c r="ABD24" s="1852"/>
      <c r="ABE24" s="1852"/>
      <c r="ABF24" s="1852"/>
      <c r="ABG24" s="1852"/>
      <c r="ABH24" s="1852"/>
      <c r="ABI24" s="1852"/>
      <c r="ABJ24" s="1852"/>
      <c r="ABK24" s="1852"/>
      <c r="ABL24" s="1852"/>
      <c r="ABM24" s="1852"/>
      <c r="ABN24" s="1852"/>
      <c r="ABO24" s="1852"/>
      <c r="ABP24" s="1852"/>
      <c r="ABQ24" s="1852"/>
      <c r="ABR24" s="1852"/>
      <c r="ABS24" s="1852"/>
      <c r="ABT24" s="1852"/>
      <c r="ABU24" s="1852"/>
      <c r="ABV24" s="1852"/>
      <c r="ABW24" s="1852"/>
      <c r="ABX24" s="1852"/>
      <c r="ABY24" s="1852"/>
      <c r="ABZ24" s="1852"/>
      <c r="ACA24" s="1852"/>
      <c r="ACB24" s="1852"/>
      <c r="ACC24" s="1852"/>
      <c r="ACD24" s="1852"/>
      <c r="ACE24" s="1852"/>
      <c r="ACF24" s="1852"/>
      <c r="ACG24" s="1852"/>
      <c r="ACH24" s="1852"/>
      <c r="ACI24" s="1852"/>
      <c r="ACJ24" s="1852"/>
      <c r="ACK24" s="1852"/>
      <c r="ACL24" s="1852"/>
      <c r="ACM24" s="1852"/>
      <c r="ACN24" s="1852"/>
      <c r="ACO24" s="1852"/>
      <c r="ACP24" s="1852"/>
      <c r="ACQ24" s="1852"/>
      <c r="ACR24" s="1852"/>
      <c r="ACS24" s="1852"/>
      <c r="ACT24" s="1852"/>
      <c r="ACU24" s="1852"/>
      <c r="ACV24" s="1852"/>
      <c r="ACW24" s="1852"/>
      <c r="ACX24" s="1852"/>
      <c r="ACY24" s="1852"/>
      <c r="ACZ24" s="1852"/>
      <c r="ADA24" s="1852"/>
      <c r="ADB24" s="1852"/>
      <c r="ADC24" s="1852"/>
      <c r="ADD24" s="1852"/>
      <c r="ADE24" s="1852"/>
      <c r="ADF24" s="1852"/>
      <c r="ADG24" s="1852"/>
      <c r="ADH24" s="1852"/>
      <c r="ADI24" s="1852"/>
      <c r="ADJ24" s="1852"/>
      <c r="ADK24" s="1852"/>
      <c r="ADL24" s="1852"/>
      <c r="ADM24" s="1852"/>
      <c r="ADN24" s="1852"/>
      <c r="ADO24" s="1852"/>
      <c r="ADP24" s="1852"/>
      <c r="ADQ24" s="1852"/>
      <c r="ADR24" s="1852"/>
      <c r="ADS24" s="1852"/>
      <c r="ADT24" s="1852"/>
      <c r="ADU24" s="1852"/>
      <c r="ADV24" s="1852"/>
      <c r="ADW24" s="1852"/>
      <c r="ADX24" s="1852"/>
      <c r="ADY24" s="1852"/>
      <c r="ADZ24" s="1852"/>
      <c r="AEA24" s="1852"/>
      <c r="AEB24" s="1852"/>
      <c r="AEC24" s="1852"/>
      <c r="AED24" s="1852"/>
      <c r="AEE24" s="1852"/>
      <c r="AEF24" s="1852"/>
      <c r="AEG24" s="1852"/>
      <c r="AEH24" s="1852"/>
      <c r="AEI24" s="1852"/>
      <c r="AEJ24" s="1852"/>
      <c r="AEK24" s="1852"/>
      <c r="AEL24" s="1852"/>
      <c r="AEM24" s="1852"/>
      <c r="AEN24" s="1852"/>
      <c r="AEO24" s="1852"/>
      <c r="AEP24" s="1852"/>
      <c r="AEQ24" s="1852"/>
      <c r="AER24" s="1852"/>
      <c r="AES24" s="1852"/>
      <c r="AET24" s="1852"/>
      <c r="AEU24" s="1852"/>
      <c r="AEV24" s="1852"/>
      <c r="AEW24" s="1852"/>
      <c r="AEX24" s="1852"/>
      <c r="AEY24" s="1852"/>
      <c r="AEZ24" s="1852"/>
      <c r="AFA24" s="1852"/>
      <c r="AFB24" s="1852"/>
      <c r="AFC24" s="1852"/>
      <c r="AFD24" s="1852"/>
      <c r="AFE24" s="1852"/>
      <c r="AFF24" s="1852"/>
      <c r="AFG24" s="1852"/>
      <c r="AFH24" s="1852"/>
      <c r="AFI24" s="1852"/>
      <c r="AFJ24" s="1852"/>
      <c r="AFK24" s="1852"/>
      <c r="AFL24" s="1852"/>
      <c r="AFM24" s="1852"/>
      <c r="AFN24" s="1852"/>
      <c r="AFO24" s="1852"/>
      <c r="AFP24" s="1852"/>
      <c r="AFQ24" s="1852"/>
      <c r="AFR24" s="1852"/>
      <c r="AFS24" s="1852"/>
      <c r="AFT24" s="1852"/>
      <c r="AFU24" s="1852"/>
      <c r="AFV24" s="1852"/>
      <c r="AFW24" s="1852"/>
      <c r="AFX24" s="1852"/>
      <c r="AFY24" s="1852"/>
      <c r="AFZ24" s="1852"/>
      <c r="AGA24" s="1852"/>
      <c r="AGB24" s="1852"/>
      <c r="AGC24" s="1852"/>
      <c r="AGD24" s="1852"/>
      <c r="AGE24" s="1852"/>
      <c r="AGF24" s="1852"/>
      <c r="AGG24" s="1852"/>
      <c r="AGH24" s="1852"/>
      <c r="AGI24" s="1852"/>
      <c r="AGJ24" s="1852"/>
      <c r="AGK24" s="1852"/>
      <c r="AGL24" s="1852"/>
      <c r="AGM24" s="1852"/>
      <c r="AGN24" s="1852"/>
      <c r="AGO24" s="1852"/>
      <c r="AGP24" s="1852"/>
      <c r="AGQ24" s="1852"/>
      <c r="AGR24" s="1852"/>
      <c r="AGS24" s="1852"/>
      <c r="AGT24" s="1852"/>
      <c r="AGU24" s="1852"/>
      <c r="AGV24" s="1852"/>
      <c r="AGW24" s="1852"/>
      <c r="AGX24" s="1852"/>
      <c r="AGY24" s="1852"/>
      <c r="AGZ24" s="1852"/>
      <c r="AHA24" s="1852"/>
      <c r="AHB24" s="1852"/>
      <c r="AHC24" s="1852"/>
      <c r="AHD24" s="1852"/>
      <c r="AHE24" s="1852"/>
      <c r="AHF24" s="1852"/>
      <c r="AHG24" s="1852"/>
      <c r="AHH24" s="1852"/>
      <c r="AHI24" s="1852"/>
      <c r="AHJ24" s="1852"/>
      <c r="AHK24" s="1852"/>
      <c r="AHL24" s="1852"/>
      <c r="AHM24" s="1852"/>
      <c r="AHN24" s="1852"/>
      <c r="AHO24" s="1852"/>
      <c r="AHP24" s="1852"/>
      <c r="AHQ24" s="1852"/>
      <c r="AHR24" s="1852"/>
      <c r="AHS24" s="1852"/>
      <c r="AHT24" s="1852"/>
      <c r="AHU24" s="1852"/>
      <c r="AHV24" s="1852"/>
      <c r="AHW24" s="1852"/>
      <c r="AHX24" s="1852"/>
      <c r="AHY24" s="1852"/>
      <c r="AHZ24" s="1852"/>
      <c r="AIA24" s="1852"/>
      <c r="AIB24" s="1852"/>
      <c r="AIC24" s="1852"/>
      <c r="AID24" s="1852"/>
      <c r="AIE24" s="1852"/>
      <c r="AIF24" s="1852"/>
      <c r="AIG24" s="1852"/>
      <c r="AIH24" s="1852"/>
      <c r="AII24" s="1852"/>
      <c r="AIJ24" s="1852"/>
      <c r="AIK24" s="1852"/>
      <c r="AIL24" s="1852"/>
      <c r="AIM24" s="1852"/>
      <c r="AIN24" s="1852"/>
      <c r="AIO24" s="1852"/>
      <c r="AIP24" s="1852"/>
      <c r="AIQ24" s="1852"/>
      <c r="AIR24" s="1852"/>
      <c r="AIS24" s="1852"/>
      <c r="AIT24" s="1852"/>
      <c r="AIU24" s="1852"/>
      <c r="AIV24" s="1852"/>
      <c r="AIW24" s="1852"/>
      <c r="AIX24" s="1852"/>
      <c r="AIY24" s="1852"/>
      <c r="AIZ24" s="1852"/>
      <c r="AJA24" s="1852"/>
      <c r="AJB24" s="1852"/>
      <c r="AJC24" s="1852"/>
      <c r="AJD24" s="1852"/>
      <c r="AJE24" s="1852"/>
      <c r="AJF24" s="1852"/>
      <c r="AJG24" s="1852"/>
      <c r="AJH24" s="1852"/>
      <c r="AJI24" s="1852"/>
      <c r="AJJ24" s="1852"/>
      <c r="AJK24" s="1852"/>
      <c r="AJL24" s="1852"/>
      <c r="AJM24" s="1852"/>
      <c r="AJN24" s="1852"/>
      <c r="AJO24" s="1852"/>
      <c r="AJP24" s="1852"/>
      <c r="AJQ24" s="1852"/>
      <c r="AJR24" s="1852"/>
      <c r="AJS24" s="1852"/>
      <c r="AJT24" s="1852"/>
      <c r="AJU24" s="1852"/>
      <c r="AJV24" s="1852"/>
      <c r="AJW24" s="1852"/>
      <c r="AJX24" s="1852"/>
      <c r="AJY24" s="1852"/>
      <c r="AJZ24" s="1852"/>
      <c r="AKA24" s="1852"/>
      <c r="AKB24" s="1852"/>
      <c r="AKC24" s="1852"/>
      <c r="AKD24" s="1852"/>
      <c r="AKE24" s="1852"/>
      <c r="AKF24" s="1852"/>
      <c r="AKG24" s="1852"/>
      <c r="AKH24" s="1852"/>
      <c r="AKI24" s="1852"/>
      <c r="AKJ24" s="1852"/>
      <c r="AKK24" s="1852"/>
      <c r="AKL24" s="1852"/>
      <c r="AKM24" s="1852"/>
      <c r="AKN24" s="1852"/>
      <c r="AKO24" s="1852"/>
      <c r="AKP24" s="1852"/>
      <c r="AKQ24" s="1852"/>
      <c r="AKR24" s="1852"/>
      <c r="AKS24" s="1852"/>
      <c r="AKT24" s="1852"/>
      <c r="AKU24" s="1852"/>
      <c r="AKV24" s="1852"/>
      <c r="AKW24" s="1852"/>
      <c r="AKX24" s="1852"/>
      <c r="AKY24" s="1852"/>
      <c r="AKZ24" s="1852"/>
      <c r="ALA24" s="1852"/>
      <c r="ALB24" s="1852"/>
      <c r="ALC24" s="1852"/>
      <c r="ALD24" s="1852"/>
      <c r="ALE24" s="1852"/>
      <c r="ALF24" s="1852"/>
      <c r="ALG24" s="1852"/>
      <c r="ALH24" s="1852"/>
      <c r="ALI24" s="1852"/>
      <c r="ALJ24" s="1852"/>
      <c r="ALK24" s="1852"/>
      <c r="ALL24" s="1852"/>
      <c r="ALM24" s="1852"/>
      <c r="ALN24" s="1852"/>
      <c r="ALO24" s="1852"/>
      <c r="ALP24" s="1852"/>
      <c r="ALQ24" s="1852"/>
      <c r="ALR24" s="1852"/>
    </row>
    <row r="25" spans="1:1006" x14ac:dyDescent="0.3">
      <c r="A25" s="1854"/>
      <c r="B25" t="s">
        <v>1216</v>
      </c>
      <c r="C25" s="1853" t="s">
        <v>1218</v>
      </c>
      <c r="D25" s="1855">
        <f t="shared" si="0"/>
        <v>0</v>
      </c>
      <c r="E25" s="1855">
        <f t="shared" si="1"/>
        <v>0</v>
      </c>
      <c r="F25" s="1855">
        <f t="shared" si="2"/>
        <v>0</v>
      </c>
      <c r="G25" s="1852"/>
      <c r="H25" s="1852"/>
      <c r="I25" s="1852"/>
      <c r="J25" s="1852"/>
      <c r="K25" s="1852"/>
      <c r="L25" s="1852"/>
      <c r="M25" s="1852"/>
      <c r="N25" s="1852"/>
      <c r="O25" s="1852"/>
      <c r="P25" s="1852"/>
      <c r="Q25" s="1852"/>
      <c r="R25" s="1852"/>
      <c r="S25" s="1852"/>
      <c r="T25" s="1852"/>
      <c r="U25" s="1852"/>
      <c r="V25" s="1852"/>
      <c r="W25" s="1852"/>
      <c r="X25" s="1852"/>
      <c r="Y25" s="1852"/>
      <c r="Z25" s="1852"/>
      <c r="AA25" s="1852"/>
      <c r="AB25" s="1852"/>
      <c r="AC25" s="1852"/>
      <c r="AD25" s="1852"/>
      <c r="AE25" s="1852"/>
      <c r="AF25" s="1852"/>
      <c r="AG25" s="1852"/>
      <c r="AH25" s="1852"/>
      <c r="AI25" s="1852"/>
      <c r="AJ25" s="1852"/>
      <c r="AK25" s="1852"/>
      <c r="AL25" s="1852"/>
      <c r="AM25" s="1852"/>
      <c r="AN25" s="1852"/>
      <c r="AO25" s="1852"/>
      <c r="AP25" s="1852"/>
      <c r="AQ25" s="1852"/>
      <c r="AR25" s="1852"/>
      <c r="AS25" s="1852"/>
      <c r="AT25" s="1852"/>
      <c r="AU25" s="1852"/>
      <c r="AV25" s="1852"/>
      <c r="AW25" s="1852"/>
      <c r="AX25" s="1852"/>
      <c r="AY25" s="1852"/>
      <c r="AZ25" s="1852"/>
      <c r="BA25" s="1852"/>
      <c r="BB25" s="1852"/>
      <c r="BC25" s="1852"/>
      <c r="BD25" s="1852"/>
      <c r="BE25" s="1852"/>
      <c r="BF25" s="1852"/>
      <c r="BG25" s="1852"/>
      <c r="BH25" s="1852"/>
      <c r="BI25" s="1852"/>
      <c r="BJ25" s="1852"/>
      <c r="BK25" s="1852"/>
      <c r="BL25" s="1852"/>
      <c r="BM25" s="1852"/>
      <c r="BN25" s="1852"/>
      <c r="BO25" s="1852"/>
      <c r="BP25" s="1852"/>
      <c r="BQ25" s="1852"/>
      <c r="BR25" s="1852"/>
      <c r="BS25" s="1852"/>
      <c r="BT25" s="1852"/>
      <c r="BU25" s="1852"/>
      <c r="BV25" s="1852"/>
      <c r="BW25" s="1852"/>
      <c r="BX25" s="1852"/>
      <c r="BY25" s="1852"/>
      <c r="BZ25" s="1852"/>
      <c r="CA25" s="1852"/>
      <c r="CB25" s="1852"/>
      <c r="CC25" s="1852"/>
      <c r="CD25" s="1852"/>
      <c r="CE25" s="1852"/>
      <c r="CF25" s="1852"/>
      <c r="CG25" s="1852"/>
      <c r="CH25" s="1852"/>
      <c r="CI25" s="1852"/>
      <c r="CJ25" s="1852"/>
      <c r="CK25" s="1852"/>
      <c r="CL25" s="1852"/>
      <c r="CM25" s="1852"/>
      <c r="CN25" s="1852"/>
      <c r="CO25" s="1852"/>
      <c r="CP25" s="1852"/>
      <c r="CQ25" s="1852"/>
      <c r="CR25" s="1852"/>
      <c r="CS25" s="1852"/>
      <c r="CT25" s="1852"/>
      <c r="CU25" s="1852"/>
      <c r="CV25" s="1852"/>
      <c r="CW25" s="1852"/>
      <c r="CX25" s="1852"/>
      <c r="CY25" s="1852"/>
      <c r="CZ25" s="1852"/>
      <c r="DA25" s="1852"/>
      <c r="DB25" s="1852"/>
      <c r="DC25" s="1852"/>
      <c r="DD25" s="1852"/>
      <c r="DE25" s="1852"/>
      <c r="DF25" s="1852"/>
      <c r="DG25" s="1852"/>
      <c r="DH25" s="1852"/>
      <c r="DI25" s="1852"/>
      <c r="DJ25" s="1852"/>
      <c r="DK25" s="1852"/>
      <c r="DL25" s="1852"/>
      <c r="DM25" s="1852"/>
      <c r="DN25" s="1852"/>
      <c r="DO25" s="1852"/>
      <c r="DP25" s="1852"/>
      <c r="DQ25" s="1852"/>
      <c r="DR25" s="1852"/>
      <c r="DS25" s="1852"/>
      <c r="DT25" s="1852"/>
      <c r="DU25" s="1852"/>
      <c r="DV25" s="1852"/>
      <c r="DW25" s="1852"/>
      <c r="DX25" s="1852"/>
      <c r="DY25" s="1852"/>
      <c r="DZ25" s="1852"/>
      <c r="EA25" s="1852"/>
      <c r="EB25" s="1852"/>
      <c r="EC25" s="1852"/>
      <c r="ED25" s="1852"/>
      <c r="EE25" s="1852"/>
      <c r="EF25" s="1852"/>
      <c r="EG25" s="1852"/>
      <c r="EH25" s="1852"/>
      <c r="EI25" s="1852"/>
      <c r="EJ25" s="1852"/>
      <c r="EK25" s="1852"/>
      <c r="EL25" s="1852"/>
      <c r="EM25" s="1852"/>
      <c r="EN25" s="1852"/>
      <c r="EO25" s="1852"/>
      <c r="EP25" s="1852"/>
      <c r="EQ25" s="1852"/>
      <c r="ER25" s="1852"/>
      <c r="ES25" s="1852"/>
      <c r="ET25" s="1852"/>
      <c r="EU25" s="1852"/>
      <c r="EV25" s="1852"/>
      <c r="EW25" s="1852"/>
      <c r="EX25" s="1852"/>
      <c r="EY25" s="1852"/>
      <c r="EZ25" s="1852"/>
      <c r="FA25" s="1852"/>
      <c r="FB25" s="1852"/>
      <c r="FC25" s="1852"/>
      <c r="FD25" s="1852"/>
      <c r="FE25" s="1852"/>
      <c r="FF25" s="1852"/>
      <c r="FG25" s="1852"/>
      <c r="FH25" s="1852"/>
      <c r="FI25" s="1852"/>
      <c r="FJ25" s="1852"/>
      <c r="FK25" s="1852"/>
      <c r="FL25" s="1852"/>
      <c r="FM25" s="1852"/>
      <c r="FN25" s="1852"/>
      <c r="FO25" s="1852"/>
      <c r="FP25" s="1852"/>
      <c r="FQ25" s="1852"/>
      <c r="FR25" s="1852"/>
      <c r="FS25" s="1852"/>
      <c r="FT25" s="1852"/>
      <c r="FU25" s="1852"/>
      <c r="FV25" s="1852"/>
      <c r="FW25" s="1852"/>
      <c r="FX25" s="1852"/>
      <c r="FY25" s="1852"/>
      <c r="FZ25" s="1852"/>
      <c r="GA25" s="1852"/>
      <c r="GB25" s="1852"/>
      <c r="GC25" s="1852"/>
      <c r="GD25" s="1852"/>
      <c r="GE25" s="1852"/>
      <c r="GF25" s="1852"/>
      <c r="GG25" s="1852"/>
      <c r="GH25" s="1852"/>
      <c r="GI25" s="1852"/>
      <c r="GJ25" s="1852"/>
      <c r="GK25" s="1852"/>
      <c r="GL25" s="1852"/>
      <c r="GM25" s="1852"/>
      <c r="GN25" s="1852"/>
      <c r="GO25" s="1852"/>
      <c r="GP25" s="1852"/>
      <c r="GQ25" s="1852"/>
      <c r="GR25" s="1852"/>
      <c r="GS25" s="1852"/>
      <c r="GT25" s="1852"/>
      <c r="GU25" s="1852"/>
      <c r="GV25" s="1852"/>
      <c r="GW25" s="1852"/>
      <c r="GX25" s="1852"/>
      <c r="GY25" s="1852"/>
      <c r="GZ25" s="1852"/>
      <c r="HA25" s="1852"/>
      <c r="HB25" s="1852"/>
      <c r="HC25" s="1852"/>
      <c r="HD25" s="1852"/>
      <c r="HE25" s="1852"/>
      <c r="HF25" s="1852"/>
      <c r="HG25" s="1852"/>
      <c r="HH25" s="1852"/>
      <c r="HI25" s="1852"/>
      <c r="HJ25" s="1852"/>
      <c r="HK25" s="1852"/>
      <c r="HL25" s="1852"/>
      <c r="HM25" s="1852"/>
      <c r="HN25" s="1852"/>
      <c r="HO25" s="1852"/>
      <c r="HP25" s="1852"/>
      <c r="HQ25" s="1852"/>
      <c r="HR25" s="1852"/>
      <c r="HS25" s="1852"/>
      <c r="HT25" s="1852"/>
      <c r="HU25" s="1852"/>
      <c r="HV25" s="1852"/>
      <c r="HW25" s="1852"/>
      <c r="HX25" s="1852"/>
      <c r="HY25" s="1852"/>
      <c r="HZ25" s="1852"/>
      <c r="IA25" s="1852"/>
      <c r="IB25" s="1852"/>
      <c r="IC25" s="1852"/>
      <c r="ID25" s="1852"/>
      <c r="IE25" s="1852"/>
      <c r="IF25" s="1852"/>
      <c r="IG25" s="1852"/>
      <c r="IH25" s="1852"/>
      <c r="II25" s="1852"/>
      <c r="IJ25" s="1852"/>
      <c r="IK25" s="1852"/>
      <c r="IL25" s="1852"/>
      <c r="IM25" s="1852"/>
      <c r="IN25" s="1852"/>
      <c r="IO25" s="1852"/>
      <c r="IP25" s="1852"/>
      <c r="IQ25" s="1852"/>
      <c r="IR25" s="1852"/>
      <c r="IS25" s="1852"/>
      <c r="IT25" s="1852"/>
      <c r="IU25" s="1852"/>
      <c r="IV25" s="1852"/>
      <c r="IW25" s="1852"/>
      <c r="IX25" s="1852"/>
      <c r="IY25" s="1852"/>
      <c r="IZ25" s="1852"/>
      <c r="JA25" s="1852"/>
      <c r="JB25" s="1852"/>
      <c r="JC25" s="1852"/>
      <c r="JD25" s="1852"/>
      <c r="JE25" s="1852"/>
      <c r="JF25" s="1852"/>
      <c r="JG25" s="1852"/>
      <c r="JH25" s="1852"/>
      <c r="JI25" s="1852"/>
      <c r="JJ25" s="1852"/>
      <c r="JK25" s="1852"/>
      <c r="JL25" s="1852"/>
      <c r="JM25" s="1852"/>
      <c r="JN25" s="1852"/>
      <c r="JO25" s="1852"/>
      <c r="JP25" s="1852"/>
      <c r="JQ25" s="1852"/>
      <c r="JR25" s="1852"/>
      <c r="JS25" s="1852"/>
      <c r="JT25" s="1852"/>
      <c r="JU25" s="1852"/>
      <c r="JV25" s="1852"/>
      <c r="JW25" s="1852"/>
      <c r="JX25" s="1852"/>
      <c r="JY25" s="1852"/>
      <c r="JZ25" s="1852"/>
      <c r="KA25" s="1852"/>
      <c r="KB25" s="1852"/>
      <c r="KC25" s="1852"/>
      <c r="KD25" s="1852"/>
      <c r="KE25" s="1852"/>
      <c r="KF25" s="1852"/>
      <c r="KG25" s="1852"/>
      <c r="KH25" s="1852"/>
      <c r="KI25" s="1852"/>
      <c r="KJ25" s="1852"/>
      <c r="KK25" s="1852"/>
      <c r="KL25" s="1852"/>
      <c r="KM25" s="1852"/>
      <c r="KN25" s="1852"/>
      <c r="KO25" s="1852"/>
      <c r="KP25" s="1852"/>
      <c r="KQ25" s="1852"/>
      <c r="KR25" s="1852"/>
      <c r="KS25" s="1852"/>
      <c r="KT25" s="1852"/>
      <c r="KU25" s="1852"/>
      <c r="KV25" s="1852"/>
      <c r="KW25" s="1852"/>
      <c r="KX25" s="1852"/>
      <c r="KY25" s="1852"/>
      <c r="KZ25" s="1852"/>
      <c r="LA25" s="1852"/>
      <c r="LB25" s="1852"/>
      <c r="LC25" s="1852"/>
      <c r="LD25" s="1852"/>
      <c r="LE25" s="1852"/>
      <c r="LF25" s="1852"/>
      <c r="LG25" s="1852"/>
      <c r="LH25" s="1852"/>
      <c r="LI25" s="1852"/>
      <c r="LJ25" s="1852"/>
      <c r="LK25" s="1852"/>
      <c r="LL25" s="1852"/>
      <c r="LM25" s="1852"/>
      <c r="LN25" s="1852"/>
      <c r="LO25" s="1852"/>
      <c r="LP25" s="1852"/>
      <c r="LQ25" s="1852"/>
      <c r="LR25" s="1852"/>
      <c r="LS25" s="1852"/>
      <c r="LT25" s="1852"/>
      <c r="LU25" s="1852"/>
      <c r="LV25" s="1852"/>
      <c r="LW25" s="1852"/>
      <c r="LX25" s="1852"/>
      <c r="LY25" s="1852"/>
      <c r="LZ25" s="1852"/>
      <c r="MA25" s="1852"/>
      <c r="MB25" s="1852"/>
      <c r="MC25" s="1852"/>
      <c r="MD25" s="1852"/>
      <c r="ME25" s="1852"/>
      <c r="MF25" s="1852"/>
      <c r="MG25" s="1852"/>
      <c r="MH25" s="1852"/>
      <c r="MI25" s="1852"/>
      <c r="MJ25" s="1852"/>
      <c r="MK25" s="1852"/>
      <c r="ML25" s="1852"/>
      <c r="MM25" s="1852"/>
      <c r="MN25" s="1852"/>
      <c r="MO25" s="1852"/>
      <c r="MP25" s="1852"/>
      <c r="MQ25" s="1852"/>
      <c r="MR25" s="1852"/>
      <c r="MS25" s="1852"/>
      <c r="MT25" s="1852"/>
      <c r="MU25" s="1852"/>
      <c r="MV25" s="1852"/>
      <c r="MW25" s="1852"/>
      <c r="MX25" s="1852"/>
      <c r="MY25" s="1852"/>
      <c r="MZ25" s="1852"/>
      <c r="NA25" s="1852"/>
      <c r="NB25" s="1852"/>
      <c r="NC25" s="1852"/>
      <c r="ND25" s="1852"/>
      <c r="NE25" s="1852"/>
      <c r="NF25" s="1852"/>
      <c r="NG25" s="1852"/>
      <c r="NH25" s="1852"/>
      <c r="NI25" s="1852"/>
      <c r="NJ25" s="1852"/>
      <c r="NK25" s="1852"/>
      <c r="NL25" s="1852"/>
      <c r="NM25" s="1852"/>
      <c r="NN25" s="1852"/>
      <c r="NO25" s="1852"/>
      <c r="NP25" s="1852"/>
      <c r="NQ25" s="1852"/>
      <c r="NR25" s="1852"/>
      <c r="NS25" s="1852"/>
      <c r="NT25" s="1852"/>
      <c r="NU25" s="1852"/>
      <c r="NV25" s="1852"/>
      <c r="NW25" s="1852"/>
      <c r="NX25" s="1852"/>
      <c r="NY25" s="1852"/>
      <c r="NZ25" s="1852"/>
      <c r="OA25" s="1852"/>
      <c r="OB25" s="1852"/>
      <c r="OC25" s="1852"/>
      <c r="OD25" s="1852"/>
      <c r="OE25" s="1852"/>
      <c r="OF25" s="1852"/>
      <c r="OG25" s="1852"/>
      <c r="OH25" s="1852"/>
      <c r="OI25" s="1852"/>
      <c r="OJ25" s="1852"/>
      <c r="OK25" s="1852"/>
      <c r="OL25" s="1852"/>
      <c r="OM25" s="1852"/>
      <c r="ON25" s="1852"/>
      <c r="OO25" s="1852"/>
      <c r="OP25" s="1852"/>
      <c r="OQ25" s="1852"/>
      <c r="OR25" s="1852"/>
      <c r="OS25" s="1852"/>
      <c r="OT25" s="1852"/>
      <c r="OU25" s="1852"/>
      <c r="OV25" s="1852"/>
      <c r="OW25" s="1852"/>
      <c r="OX25" s="1852"/>
      <c r="OY25" s="1852"/>
      <c r="OZ25" s="1852"/>
      <c r="PA25" s="1852"/>
      <c r="PB25" s="1852"/>
      <c r="PC25" s="1852"/>
      <c r="PD25" s="1852"/>
      <c r="PE25" s="1852"/>
      <c r="PF25" s="1852"/>
      <c r="PG25" s="1852"/>
      <c r="PH25" s="1852"/>
      <c r="PI25" s="1852"/>
      <c r="PJ25" s="1852"/>
      <c r="PK25" s="1852"/>
      <c r="PL25" s="1852"/>
      <c r="PM25" s="1852"/>
      <c r="PN25" s="1852"/>
      <c r="PO25" s="1852"/>
      <c r="PP25" s="1852"/>
      <c r="PQ25" s="1852"/>
      <c r="PR25" s="1852"/>
      <c r="PS25" s="1852"/>
      <c r="PT25" s="1852"/>
      <c r="PU25" s="1852"/>
      <c r="PV25" s="1852"/>
      <c r="PW25" s="1852"/>
      <c r="PX25" s="1852"/>
      <c r="PY25" s="1852"/>
      <c r="PZ25" s="1852"/>
      <c r="QA25" s="1852"/>
      <c r="QB25" s="1852"/>
      <c r="QC25" s="1852"/>
      <c r="QD25" s="1852"/>
      <c r="QE25" s="1852"/>
      <c r="QF25" s="1852"/>
      <c r="QG25" s="1852"/>
      <c r="QH25" s="1852"/>
      <c r="QI25" s="1852"/>
      <c r="QJ25" s="1852"/>
      <c r="QK25" s="1852"/>
      <c r="QL25" s="1852"/>
      <c r="QM25" s="1852"/>
      <c r="QN25" s="1852"/>
      <c r="QO25" s="1852"/>
      <c r="QP25" s="1852"/>
      <c r="QQ25" s="1852"/>
      <c r="QR25" s="1852"/>
      <c r="QS25" s="1852"/>
      <c r="QT25" s="1852"/>
      <c r="QU25" s="1852"/>
      <c r="QV25" s="1852"/>
      <c r="QW25" s="1852"/>
      <c r="QX25" s="1852"/>
      <c r="QY25" s="1852"/>
      <c r="QZ25" s="1852"/>
      <c r="RA25" s="1852"/>
      <c r="RB25" s="1852"/>
      <c r="RC25" s="1852"/>
      <c r="RD25" s="1852"/>
      <c r="RE25" s="1852"/>
      <c r="RF25" s="1852"/>
      <c r="RG25" s="1852"/>
      <c r="RH25" s="1852"/>
      <c r="RI25" s="1852"/>
      <c r="RJ25" s="1852"/>
      <c r="RK25" s="1852"/>
      <c r="RL25" s="1852"/>
      <c r="RM25" s="1852"/>
      <c r="RN25" s="1852"/>
      <c r="RO25" s="1852"/>
      <c r="RP25" s="1852"/>
      <c r="RQ25" s="1852"/>
      <c r="RR25" s="1852"/>
      <c r="RS25" s="1852"/>
      <c r="RT25" s="1852"/>
      <c r="RU25" s="1852"/>
      <c r="RV25" s="1852"/>
      <c r="RW25" s="1852"/>
      <c r="RX25" s="1852"/>
      <c r="RY25" s="1852"/>
      <c r="RZ25" s="1852"/>
      <c r="SA25" s="1852"/>
      <c r="SB25" s="1852"/>
      <c r="SC25" s="1852"/>
      <c r="SD25" s="1852"/>
      <c r="SE25" s="1852"/>
      <c r="SF25" s="1852"/>
      <c r="SG25" s="1852"/>
      <c r="SH25" s="1852"/>
      <c r="SI25" s="1852"/>
      <c r="SJ25" s="1852"/>
      <c r="SK25" s="1852"/>
      <c r="SL25" s="1852"/>
      <c r="SM25" s="1852"/>
      <c r="SN25" s="1852"/>
      <c r="SO25" s="1852"/>
      <c r="SP25" s="1852"/>
      <c r="SQ25" s="1852"/>
      <c r="SR25" s="1852"/>
      <c r="SS25" s="1852"/>
      <c r="ST25" s="1852"/>
      <c r="SU25" s="1852"/>
      <c r="SV25" s="1852"/>
      <c r="SW25" s="1852"/>
      <c r="SX25" s="1852"/>
      <c r="SY25" s="1852"/>
      <c r="SZ25" s="1852"/>
      <c r="TA25" s="1852"/>
      <c r="TB25" s="1852"/>
      <c r="TC25" s="1852"/>
      <c r="TD25" s="1852"/>
      <c r="TE25" s="1852"/>
      <c r="TF25" s="1852"/>
      <c r="TG25" s="1852"/>
      <c r="TH25" s="1852"/>
      <c r="TI25" s="1852"/>
      <c r="TJ25" s="1852"/>
      <c r="TK25" s="1852"/>
      <c r="TL25" s="1852"/>
      <c r="TM25" s="1852"/>
      <c r="TN25" s="1852"/>
      <c r="TO25" s="1852"/>
      <c r="TP25" s="1852"/>
      <c r="TQ25" s="1852"/>
      <c r="TR25" s="1852"/>
      <c r="TS25" s="1852"/>
      <c r="TT25" s="1852"/>
      <c r="TU25" s="1852"/>
      <c r="TV25" s="1852"/>
      <c r="TW25" s="1852"/>
      <c r="TX25" s="1852"/>
      <c r="TY25" s="1852"/>
      <c r="TZ25" s="1852"/>
      <c r="UA25" s="1852"/>
      <c r="UB25" s="1852"/>
      <c r="UC25" s="1852"/>
      <c r="UD25" s="1852"/>
      <c r="UE25" s="1852"/>
      <c r="UF25" s="1852"/>
      <c r="UG25" s="1852"/>
      <c r="UH25" s="1852"/>
      <c r="UI25" s="1852"/>
      <c r="UJ25" s="1852"/>
      <c r="UK25" s="1852"/>
      <c r="UL25" s="1852"/>
      <c r="UM25" s="1852"/>
      <c r="UN25" s="1852"/>
      <c r="UO25" s="1852"/>
      <c r="UP25" s="1852"/>
      <c r="UQ25" s="1852"/>
      <c r="UR25" s="1852"/>
      <c r="US25" s="1852"/>
      <c r="UT25" s="1852"/>
      <c r="UU25" s="1852"/>
      <c r="UV25" s="1852"/>
      <c r="UW25" s="1852"/>
      <c r="UX25" s="1852"/>
      <c r="UY25" s="1852"/>
      <c r="UZ25" s="1852"/>
      <c r="VA25" s="1852"/>
      <c r="VB25" s="1852"/>
      <c r="VC25" s="1852"/>
      <c r="VD25" s="1852"/>
      <c r="VE25" s="1852"/>
      <c r="VF25" s="1852"/>
      <c r="VG25" s="1852"/>
      <c r="VH25" s="1852"/>
      <c r="VI25" s="1852"/>
      <c r="VJ25" s="1852"/>
      <c r="VK25" s="1852"/>
      <c r="VL25" s="1852"/>
      <c r="VM25" s="1852"/>
      <c r="VN25" s="1852"/>
      <c r="VO25" s="1852"/>
      <c r="VP25" s="1852"/>
      <c r="VQ25" s="1852"/>
      <c r="VR25" s="1852"/>
      <c r="VS25" s="1852"/>
      <c r="VT25" s="1852"/>
      <c r="VU25" s="1852"/>
      <c r="VV25" s="1852"/>
      <c r="VW25" s="1852"/>
      <c r="VX25" s="1852"/>
      <c r="VY25" s="1852"/>
      <c r="VZ25" s="1852"/>
      <c r="WA25" s="1852"/>
      <c r="WB25" s="1852"/>
      <c r="WC25" s="1852"/>
      <c r="WD25" s="1852"/>
      <c r="WE25" s="1852"/>
      <c r="WF25" s="1852"/>
      <c r="WG25" s="1852"/>
      <c r="WH25" s="1852"/>
      <c r="WI25" s="1852"/>
      <c r="WJ25" s="1852"/>
      <c r="WK25" s="1852"/>
      <c r="WL25" s="1852"/>
      <c r="WM25" s="1852"/>
      <c r="WN25" s="1852"/>
      <c r="WO25" s="1852"/>
      <c r="WP25" s="1852"/>
      <c r="WQ25" s="1852"/>
      <c r="WR25" s="1852"/>
      <c r="WS25" s="1852"/>
      <c r="WT25" s="1852"/>
      <c r="WU25" s="1852"/>
      <c r="WV25" s="1852"/>
      <c r="WW25" s="1852"/>
      <c r="WX25" s="1852"/>
      <c r="WY25" s="1852"/>
      <c r="WZ25" s="1852"/>
      <c r="XA25" s="1852"/>
      <c r="XB25" s="1852"/>
      <c r="XC25" s="1852"/>
      <c r="XD25" s="1852"/>
      <c r="XE25" s="1852"/>
      <c r="XF25" s="1852"/>
      <c r="XG25" s="1852"/>
      <c r="XH25" s="1852"/>
      <c r="XI25" s="1852"/>
      <c r="XJ25" s="1852"/>
      <c r="XK25" s="1852"/>
      <c r="XL25" s="1852"/>
      <c r="XM25" s="1852"/>
      <c r="XN25" s="1852"/>
      <c r="XO25" s="1852"/>
      <c r="XP25" s="1852"/>
      <c r="XQ25" s="1852"/>
      <c r="XR25" s="1852"/>
      <c r="XS25" s="1852"/>
      <c r="XT25" s="1852"/>
      <c r="XU25" s="1852"/>
      <c r="XV25" s="1852"/>
      <c r="XW25" s="1852"/>
      <c r="XX25" s="1852"/>
      <c r="XY25" s="1852"/>
      <c r="XZ25" s="1852"/>
      <c r="YA25" s="1852"/>
      <c r="YB25" s="1852"/>
      <c r="YC25" s="1852"/>
      <c r="YD25" s="1852"/>
      <c r="YE25" s="1852"/>
      <c r="YF25" s="1852"/>
      <c r="YG25" s="1852"/>
      <c r="YH25" s="1852"/>
      <c r="YI25" s="1852"/>
      <c r="YJ25" s="1852"/>
      <c r="YK25" s="1852"/>
      <c r="YL25" s="1852"/>
      <c r="YM25" s="1852"/>
      <c r="YN25" s="1852"/>
      <c r="YO25" s="1852"/>
      <c r="YP25" s="1852"/>
      <c r="YQ25" s="1852"/>
      <c r="YR25" s="1852"/>
      <c r="YS25" s="1852"/>
      <c r="YT25" s="1852"/>
      <c r="YU25" s="1852"/>
      <c r="YV25" s="1852"/>
      <c r="YW25" s="1852"/>
      <c r="YX25" s="1852"/>
      <c r="YY25" s="1852"/>
      <c r="YZ25" s="1852"/>
      <c r="ZA25" s="1852"/>
      <c r="ZB25" s="1852"/>
      <c r="ZC25" s="1852"/>
      <c r="ZD25" s="1852"/>
      <c r="ZE25" s="1852"/>
      <c r="ZF25" s="1852"/>
      <c r="ZG25" s="1852"/>
      <c r="ZH25" s="1852"/>
      <c r="ZI25" s="1852"/>
      <c r="ZJ25" s="1852"/>
      <c r="ZK25" s="1852"/>
      <c r="ZL25" s="1852"/>
      <c r="ZM25" s="1852"/>
      <c r="ZN25" s="1852"/>
      <c r="ZO25" s="1852"/>
      <c r="ZP25" s="1852"/>
      <c r="ZQ25" s="1852"/>
      <c r="ZR25" s="1852"/>
      <c r="ZS25" s="1852"/>
      <c r="ZT25" s="1852"/>
      <c r="ZU25" s="1852"/>
      <c r="ZV25" s="1852"/>
      <c r="ZW25" s="1852"/>
      <c r="ZX25" s="1852"/>
      <c r="ZY25" s="1852"/>
      <c r="ZZ25" s="1852"/>
      <c r="AAA25" s="1852"/>
      <c r="AAB25" s="1852"/>
      <c r="AAC25" s="1852"/>
      <c r="AAD25" s="1852"/>
      <c r="AAE25" s="1852"/>
      <c r="AAF25" s="1852"/>
      <c r="AAG25" s="1852"/>
      <c r="AAH25" s="1852"/>
      <c r="AAI25" s="1852"/>
      <c r="AAJ25" s="1852"/>
      <c r="AAK25" s="1852"/>
      <c r="AAL25" s="1852"/>
      <c r="AAM25" s="1852"/>
      <c r="AAN25" s="1852"/>
      <c r="AAO25" s="1852"/>
      <c r="AAP25" s="1852"/>
      <c r="AAQ25" s="1852"/>
      <c r="AAR25" s="1852"/>
      <c r="AAS25" s="1852"/>
      <c r="AAT25" s="1852"/>
      <c r="AAU25" s="1852"/>
      <c r="AAV25" s="1852"/>
      <c r="AAW25" s="1852"/>
      <c r="AAX25" s="1852"/>
      <c r="AAY25" s="1852"/>
      <c r="AAZ25" s="1852"/>
      <c r="ABA25" s="1852"/>
      <c r="ABB25" s="1852"/>
      <c r="ABC25" s="1852"/>
      <c r="ABD25" s="1852"/>
      <c r="ABE25" s="1852"/>
      <c r="ABF25" s="1852"/>
      <c r="ABG25" s="1852"/>
      <c r="ABH25" s="1852"/>
      <c r="ABI25" s="1852"/>
      <c r="ABJ25" s="1852"/>
      <c r="ABK25" s="1852"/>
      <c r="ABL25" s="1852"/>
      <c r="ABM25" s="1852"/>
      <c r="ABN25" s="1852"/>
      <c r="ABO25" s="1852"/>
      <c r="ABP25" s="1852"/>
      <c r="ABQ25" s="1852"/>
      <c r="ABR25" s="1852"/>
      <c r="ABS25" s="1852"/>
      <c r="ABT25" s="1852"/>
      <c r="ABU25" s="1852"/>
      <c r="ABV25" s="1852"/>
      <c r="ABW25" s="1852"/>
      <c r="ABX25" s="1852"/>
      <c r="ABY25" s="1852"/>
      <c r="ABZ25" s="1852"/>
      <c r="ACA25" s="1852"/>
      <c r="ACB25" s="1852"/>
      <c r="ACC25" s="1852"/>
      <c r="ACD25" s="1852"/>
      <c r="ACE25" s="1852"/>
      <c r="ACF25" s="1852"/>
      <c r="ACG25" s="1852"/>
      <c r="ACH25" s="1852"/>
      <c r="ACI25" s="1852"/>
      <c r="ACJ25" s="1852"/>
      <c r="ACK25" s="1852"/>
      <c r="ACL25" s="1852"/>
      <c r="ACM25" s="1852"/>
      <c r="ACN25" s="1852"/>
      <c r="ACO25" s="1852"/>
      <c r="ACP25" s="1852"/>
      <c r="ACQ25" s="1852"/>
      <c r="ACR25" s="1852"/>
      <c r="ACS25" s="1852"/>
      <c r="ACT25" s="1852"/>
      <c r="ACU25" s="1852"/>
      <c r="ACV25" s="1852"/>
      <c r="ACW25" s="1852"/>
      <c r="ACX25" s="1852"/>
      <c r="ACY25" s="1852"/>
      <c r="ACZ25" s="1852"/>
      <c r="ADA25" s="1852"/>
      <c r="ADB25" s="1852"/>
      <c r="ADC25" s="1852"/>
      <c r="ADD25" s="1852"/>
      <c r="ADE25" s="1852"/>
      <c r="ADF25" s="1852"/>
      <c r="ADG25" s="1852"/>
      <c r="ADH25" s="1852"/>
      <c r="ADI25" s="1852"/>
      <c r="ADJ25" s="1852"/>
      <c r="ADK25" s="1852"/>
      <c r="ADL25" s="1852"/>
      <c r="ADM25" s="1852"/>
      <c r="ADN25" s="1852"/>
      <c r="ADO25" s="1852"/>
      <c r="ADP25" s="1852"/>
      <c r="ADQ25" s="1852"/>
      <c r="ADR25" s="1852"/>
      <c r="ADS25" s="1852"/>
      <c r="ADT25" s="1852"/>
      <c r="ADU25" s="1852"/>
      <c r="ADV25" s="1852"/>
      <c r="ADW25" s="1852"/>
      <c r="ADX25" s="1852"/>
      <c r="ADY25" s="1852"/>
      <c r="ADZ25" s="1852"/>
      <c r="AEA25" s="1852"/>
      <c r="AEB25" s="1852"/>
      <c r="AEC25" s="1852"/>
      <c r="AED25" s="1852"/>
      <c r="AEE25" s="1852"/>
      <c r="AEF25" s="1852"/>
      <c r="AEG25" s="1852"/>
      <c r="AEH25" s="1852"/>
      <c r="AEI25" s="1852"/>
      <c r="AEJ25" s="1852"/>
      <c r="AEK25" s="1852"/>
      <c r="AEL25" s="1852"/>
      <c r="AEM25" s="1852"/>
      <c r="AEN25" s="1852"/>
      <c r="AEO25" s="1852"/>
      <c r="AEP25" s="1852"/>
      <c r="AEQ25" s="1852"/>
      <c r="AER25" s="1852"/>
      <c r="AES25" s="1852"/>
      <c r="AET25" s="1852"/>
      <c r="AEU25" s="1852"/>
      <c r="AEV25" s="1852"/>
      <c r="AEW25" s="1852"/>
      <c r="AEX25" s="1852"/>
      <c r="AEY25" s="1852"/>
      <c r="AEZ25" s="1852"/>
      <c r="AFA25" s="1852"/>
      <c r="AFB25" s="1852"/>
      <c r="AFC25" s="1852"/>
      <c r="AFD25" s="1852"/>
      <c r="AFE25" s="1852"/>
      <c r="AFF25" s="1852"/>
      <c r="AFG25" s="1852"/>
      <c r="AFH25" s="1852"/>
      <c r="AFI25" s="1852"/>
      <c r="AFJ25" s="1852"/>
      <c r="AFK25" s="1852"/>
      <c r="AFL25" s="1852"/>
      <c r="AFM25" s="1852"/>
      <c r="AFN25" s="1852"/>
      <c r="AFO25" s="1852"/>
      <c r="AFP25" s="1852"/>
      <c r="AFQ25" s="1852"/>
      <c r="AFR25" s="1852"/>
      <c r="AFS25" s="1852"/>
      <c r="AFT25" s="1852"/>
      <c r="AFU25" s="1852"/>
      <c r="AFV25" s="1852"/>
      <c r="AFW25" s="1852"/>
      <c r="AFX25" s="1852"/>
      <c r="AFY25" s="1852"/>
      <c r="AFZ25" s="1852"/>
      <c r="AGA25" s="1852"/>
      <c r="AGB25" s="1852"/>
      <c r="AGC25" s="1852"/>
      <c r="AGD25" s="1852"/>
      <c r="AGE25" s="1852"/>
      <c r="AGF25" s="1852"/>
      <c r="AGG25" s="1852"/>
      <c r="AGH25" s="1852"/>
      <c r="AGI25" s="1852"/>
      <c r="AGJ25" s="1852"/>
      <c r="AGK25" s="1852"/>
      <c r="AGL25" s="1852"/>
      <c r="AGM25" s="1852"/>
      <c r="AGN25" s="1852"/>
      <c r="AGO25" s="1852"/>
      <c r="AGP25" s="1852"/>
      <c r="AGQ25" s="1852"/>
      <c r="AGR25" s="1852"/>
      <c r="AGS25" s="1852"/>
      <c r="AGT25" s="1852"/>
      <c r="AGU25" s="1852"/>
      <c r="AGV25" s="1852"/>
      <c r="AGW25" s="1852"/>
      <c r="AGX25" s="1852"/>
      <c r="AGY25" s="1852"/>
      <c r="AGZ25" s="1852"/>
      <c r="AHA25" s="1852"/>
      <c r="AHB25" s="1852"/>
      <c r="AHC25" s="1852"/>
      <c r="AHD25" s="1852"/>
      <c r="AHE25" s="1852"/>
      <c r="AHF25" s="1852"/>
      <c r="AHG25" s="1852"/>
      <c r="AHH25" s="1852"/>
      <c r="AHI25" s="1852"/>
      <c r="AHJ25" s="1852"/>
      <c r="AHK25" s="1852"/>
      <c r="AHL25" s="1852"/>
      <c r="AHM25" s="1852"/>
      <c r="AHN25" s="1852"/>
      <c r="AHO25" s="1852"/>
      <c r="AHP25" s="1852"/>
      <c r="AHQ25" s="1852"/>
      <c r="AHR25" s="1852"/>
      <c r="AHS25" s="1852"/>
      <c r="AHT25" s="1852"/>
      <c r="AHU25" s="1852"/>
      <c r="AHV25" s="1852"/>
      <c r="AHW25" s="1852"/>
      <c r="AHX25" s="1852"/>
      <c r="AHY25" s="1852"/>
      <c r="AHZ25" s="1852"/>
      <c r="AIA25" s="1852"/>
      <c r="AIB25" s="1852"/>
      <c r="AIC25" s="1852"/>
      <c r="AID25" s="1852"/>
      <c r="AIE25" s="1852"/>
      <c r="AIF25" s="1852"/>
      <c r="AIG25" s="1852"/>
      <c r="AIH25" s="1852"/>
      <c r="AII25" s="1852"/>
      <c r="AIJ25" s="1852"/>
      <c r="AIK25" s="1852"/>
      <c r="AIL25" s="1852"/>
      <c r="AIM25" s="1852"/>
      <c r="AIN25" s="1852"/>
      <c r="AIO25" s="1852"/>
      <c r="AIP25" s="1852"/>
      <c r="AIQ25" s="1852"/>
      <c r="AIR25" s="1852"/>
      <c r="AIS25" s="1852"/>
      <c r="AIT25" s="1852"/>
      <c r="AIU25" s="1852"/>
      <c r="AIV25" s="1852"/>
      <c r="AIW25" s="1852"/>
      <c r="AIX25" s="1852"/>
      <c r="AIY25" s="1852"/>
      <c r="AIZ25" s="1852"/>
      <c r="AJA25" s="1852"/>
      <c r="AJB25" s="1852"/>
      <c r="AJC25" s="1852"/>
      <c r="AJD25" s="1852"/>
      <c r="AJE25" s="1852"/>
      <c r="AJF25" s="1852"/>
      <c r="AJG25" s="1852"/>
      <c r="AJH25" s="1852"/>
      <c r="AJI25" s="1852"/>
      <c r="AJJ25" s="1852"/>
      <c r="AJK25" s="1852"/>
      <c r="AJL25" s="1852"/>
      <c r="AJM25" s="1852"/>
      <c r="AJN25" s="1852"/>
      <c r="AJO25" s="1852"/>
      <c r="AJP25" s="1852"/>
      <c r="AJQ25" s="1852"/>
      <c r="AJR25" s="1852"/>
      <c r="AJS25" s="1852"/>
      <c r="AJT25" s="1852"/>
      <c r="AJU25" s="1852"/>
      <c r="AJV25" s="1852"/>
      <c r="AJW25" s="1852"/>
      <c r="AJX25" s="1852"/>
      <c r="AJY25" s="1852"/>
      <c r="AJZ25" s="1852"/>
      <c r="AKA25" s="1852"/>
      <c r="AKB25" s="1852"/>
      <c r="AKC25" s="1852"/>
      <c r="AKD25" s="1852"/>
      <c r="AKE25" s="1852"/>
      <c r="AKF25" s="1852"/>
      <c r="AKG25" s="1852"/>
      <c r="AKH25" s="1852"/>
      <c r="AKI25" s="1852"/>
      <c r="AKJ25" s="1852"/>
      <c r="AKK25" s="1852"/>
      <c r="AKL25" s="1852"/>
      <c r="AKM25" s="1852"/>
      <c r="AKN25" s="1852"/>
      <c r="AKO25" s="1852"/>
      <c r="AKP25" s="1852"/>
      <c r="AKQ25" s="1852"/>
      <c r="AKR25" s="1852"/>
      <c r="AKS25" s="1852"/>
      <c r="AKT25" s="1852"/>
      <c r="AKU25" s="1852"/>
      <c r="AKV25" s="1852"/>
      <c r="AKW25" s="1852"/>
      <c r="AKX25" s="1852"/>
      <c r="AKY25" s="1852"/>
      <c r="AKZ25" s="1852"/>
      <c r="ALA25" s="1852"/>
      <c r="ALB25" s="1852"/>
      <c r="ALC25" s="1852"/>
      <c r="ALD25" s="1852"/>
      <c r="ALE25" s="1852"/>
      <c r="ALF25" s="1852"/>
      <c r="ALG25" s="1852"/>
      <c r="ALH25" s="1852"/>
      <c r="ALI25" s="1852"/>
      <c r="ALJ25" s="1852"/>
      <c r="ALK25" s="1852"/>
      <c r="ALL25" s="1852"/>
      <c r="ALM25" s="1852"/>
      <c r="ALN25" s="1852"/>
      <c r="ALO25" s="1852"/>
      <c r="ALP25" s="1852"/>
      <c r="ALQ25" s="1852"/>
      <c r="ALR25" s="1852"/>
    </row>
    <row r="26" spans="1:1006" x14ac:dyDescent="0.3">
      <c r="A26" s="1854"/>
      <c r="B26" t="s">
        <v>1216</v>
      </c>
      <c r="C26" s="1853" t="s">
        <v>1218</v>
      </c>
      <c r="D26" s="1855">
        <f t="shared" si="0"/>
        <v>0</v>
      </c>
      <c r="E26" s="1855">
        <f t="shared" si="1"/>
        <v>0</v>
      </c>
      <c r="F26" s="1855">
        <f t="shared" si="2"/>
        <v>0</v>
      </c>
      <c r="G26" s="1852"/>
      <c r="H26" s="1852"/>
      <c r="I26" s="1852"/>
      <c r="J26" s="1852"/>
      <c r="K26" s="1852"/>
      <c r="L26" s="1852"/>
      <c r="M26" s="1852"/>
      <c r="N26" s="1852"/>
      <c r="O26" s="1852"/>
      <c r="P26" s="1852"/>
      <c r="Q26" s="1852"/>
      <c r="R26" s="1852"/>
      <c r="S26" s="1852"/>
      <c r="T26" s="1852"/>
      <c r="U26" s="1852"/>
      <c r="V26" s="1852"/>
      <c r="W26" s="1852"/>
      <c r="X26" s="1852"/>
      <c r="Y26" s="1852"/>
      <c r="Z26" s="1852"/>
      <c r="AA26" s="1852"/>
      <c r="AB26" s="1852"/>
      <c r="AC26" s="1852"/>
      <c r="AD26" s="1852"/>
      <c r="AE26" s="1852"/>
      <c r="AF26" s="1852"/>
      <c r="AG26" s="1852"/>
      <c r="AH26" s="1852"/>
      <c r="AI26" s="1852"/>
      <c r="AJ26" s="1852"/>
      <c r="AK26" s="1852"/>
      <c r="AL26" s="1852"/>
      <c r="AM26" s="1852"/>
      <c r="AN26" s="1852"/>
      <c r="AO26" s="1852"/>
      <c r="AP26" s="1852"/>
      <c r="AQ26" s="1852"/>
      <c r="AR26" s="1852"/>
      <c r="AS26" s="1852"/>
      <c r="AT26" s="1852"/>
      <c r="AU26" s="1852"/>
      <c r="AV26" s="1852"/>
      <c r="AW26" s="1852"/>
      <c r="AX26" s="1852"/>
      <c r="AY26" s="1852"/>
      <c r="AZ26" s="1852"/>
      <c r="BA26" s="1852"/>
      <c r="BB26" s="1852"/>
      <c r="BC26" s="1852"/>
      <c r="BD26" s="1852"/>
      <c r="BE26" s="1852"/>
      <c r="BF26" s="1852"/>
      <c r="BG26" s="1852"/>
      <c r="BH26" s="1852"/>
      <c r="BI26" s="1852"/>
      <c r="BJ26" s="1852"/>
      <c r="BK26" s="1852"/>
      <c r="BL26" s="1852"/>
      <c r="BM26" s="1852"/>
      <c r="BN26" s="1852"/>
      <c r="BO26" s="1852"/>
      <c r="BP26" s="1852"/>
      <c r="BQ26" s="1852"/>
      <c r="BR26" s="1852"/>
      <c r="BS26" s="1852"/>
      <c r="BT26" s="1852"/>
      <c r="BU26" s="1852"/>
      <c r="BV26" s="1852"/>
      <c r="BW26" s="1852"/>
      <c r="BX26" s="1852"/>
      <c r="BY26" s="1852"/>
      <c r="BZ26" s="1852"/>
      <c r="CA26" s="1852"/>
      <c r="CB26" s="1852"/>
      <c r="CC26" s="1852"/>
      <c r="CD26" s="1852"/>
      <c r="CE26" s="1852"/>
      <c r="CF26" s="1852"/>
      <c r="CG26" s="1852"/>
      <c r="CH26" s="1852"/>
      <c r="CI26" s="1852"/>
      <c r="CJ26" s="1852"/>
      <c r="CK26" s="1852"/>
      <c r="CL26" s="1852"/>
      <c r="CM26" s="1852"/>
      <c r="CN26" s="1852"/>
      <c r="CO26" s="1852"/>
      <c r="CP26" s="1852"/>
      <c r="CQ26" s="1852"/>
      <c r="CR26" s="1852"/>
      <c r="CS26" s="1852"/>
      <c r="CT26" s="1852"/>
      <c r="CU26" s="1852"/>
      <c r="CV26" s="1852"/>
      <c r="CW26" s="1852"/>
      <c r="CX26" s="1852"/>
      <c r="CY26" s="1852"/>
      <c r="CZ26" s="1852"/>
      <c r="DA26" s="1852"/>
      <c r="DB26" s="1852"/>
      <c r="DC26" s="1852"/>
      <c r="DD26" s="1852"/>
      <c r="DE26" s="1852"/>
      <c r="DF26" s="1852"/>
      <c r="DG26" s="1852"/>
      <c r="DH26" s="1852"/>
      <c r="DI26" s="1852"/>
      <c r="DJ26" s="1852"/>
      <c r="DK26" s="1852"/>
      <c r="DL26" s="1852"/>
      <c r="DM26" s="1852"/>
      <c r="DN26" s="1852"/>
      <c r="DO26" s="1852"/>
      <c r="DP26" s="1852"/>
      <c r="DQ26" s="1852"/>
      <c r="DR26" s="1852"/>
      <c r="DS26" s="1852"/>
      <c r="DT26" s="1852"/>
      <c r="DU26" s="1852"/>
      <c r="DV26" s="1852"/>
      <c r="DW26" s="1852"/>
      <c r="DX26" s="1852"/>
      <c r="DY26" s="1852"/>
      <c r="DZ26" s="1852"/>
      <c r="EA26" s="1852"/>
      <c r="EB26" s="1852"/>
      <c r="EC26" s="1852"/>
      <c r="ED26" s="1852"/>
      <c r="EE26" s="1852"/>
      <c r="EF26" s="1852"/>
      <c r="EG26" s="1852"/>
      <c r="EH26" s="1852"/>
      <c r="EI26" s="1852"/>
      <c r="EJ26" s="1852"/>
      <c r="EK26" s="1852"/>
      <c r="EL26" s="1852"/>
      <c r="EM26" s="1852"/>
      <c r="EN26" s="1852"/>
      <c r="EO26" s="1852"/>
      <c r="EP26" s="1852"/>
      <c r="EQ26" s="1852"/>
      <c r="ER26" s="1852"/>
      <c r="ES26" s="1852"/>
      <c r="ET26" s="1852"/>
      <c r="EU26" s="1852"/>
      <c r="EV26" s="1852"/>
      <c r="EW26" s="1852"/>
      <c r="EX26" s="1852"/>
      <c r="EY26" s="1852"/>
      <c r="EZ26" s="1852"/>
      <c r="FA26" s="1852"/>
      <c r="FB26" s="1852"/>
      <c r="FC26" s="1852"/>
      <c r="FD26" s="1852"/>
      <c r="FE26" s="1852"/>
      <c r="FF26" s="1852"/>
      <c r="FG26" s="1852"/>
      <c r="FH26" s="1852"/>
      <c r="FI26" s="1852"/>
      <c r="FJ26" s="1852"/>
      <c r="FK26" s="1852"/>
      <c r="FL26" s="1852"/>
      <c r="FM26" s="1852"/>
      <c r="FN26" s="1852"/>
      <c r="FO26" s="1852"/>
      <c r="FP26" s="1852"/>
      <c r="FQ26" s="1852"/>
      <c r="FR26" s="1852"/>
      <c r="FS26" s="1852"/>
      <c r="FT26" s="1852"/>
      <c r="FU26" s="1852"/>
      <c r="FV26" s="1852"/>
      <c r="FW26" s="1852"/>
      <c r="FX26" s="1852"/>
      <c r="FY26" s="1852"/>
      <c r="FZ26" s="1852"/>
      <c r="GA26" s="1852"/>
      <c r="GB26" s="1852"/>
      <c r="GC26" s="1852"/>
      <c r="GD26" s="1852"/>
      <c r="GE26" s="1852"/>
      <c r="GF26" s="1852"/>
      <c r="GG26" s="1852"/>
      <c r="GH26" s="1852"/>
      <c r="GI26" s="1852"/>
      <c r="GJ26" s="1852"/>
      <c r="GK26" s="1852"/>
      <c r="GL26" s="1852"/>
      <c r="GM26" s="1852"/>
      <c r="GN26" s="1852"/>
      <c r="GO26" s="1852"/>
      <c r="GP26" s="1852"/>
      <c r="GQ26" s="1852"/>
      <c r="GR26" s="1852"/>
      <c r="GS26" s="1852"/>
      <c r="GT26" s="1852"/>
      <c r="GU26" s="1852"/>
      <c r="GV26" s="1852"/>
      <c r="GW26" s="1852"/>
      <c r="GX26" s="1852"/>
      <c r="GY26" s="1852"/>
      <c r="GZ26" s="1852"/>
      <c r="HA26" s="1852"/>
      <c r="HB26" s="1852"/>
      <c r="HC26" s="1852"/>
      <c r="HD26" s="1852"/>
      <c r="HE26" s="1852"/>
      <c r="HF26" s="1852"/>
      <c r="HG26" s="1852"/>
      <c r="HH26" s="1852"/>
      <c r="HI26" s="1852"/>
      <c r="HJ26" s="1852"/>
      <c r="HK26" s="1852"/>
      <c r="HL26" s="1852"/>
      <c r="HM26" s="1852"/>
      <c r="HN26" s="1852"/>
      <c r="HO26" s="1852"/>
      <c r="HP26" s="1852"/>
      <c r="HQ26" s="1852"/>
      <c r="HR26" s="1852"/>
      <c r="HS26" s="1852"/>
      <c r="HT26" s="1852"/>
      <c r="HU26" s="1852"/>
      <c r="HV26" s="1852"/>
      <c r="HW26" s="1852"/>
      <c r="HX26" s="1852"/>
      <c r="HY26" s="1852"/>
      <c r="HZ26" s="1852"/>
      <c r="IA26" s="1852"/>
      <c r="IB26" s="1852"/>
      <c r="IC26" s="1852"/>
      <c r="ID26" s="1852"/>
      <c r="IE26" s="1852"/>
      <c r="IF26" s="1852"/>
      <c r="IG26" s="1852"/>
      <c r="IH26" s="1852"/>
      <c r="II26" s="1852"/>
      <c r="IJ26" s="1852"/>
      <c r="IK26" s="1852"/>
      <c r="IL26" s="1852"/>
      <c r="IM26" s="1852"/>
      <c r="IN26" s="1852"/>
      <c r="IO26" s="1852"/>
      <c r="IP26" s="1852"/>
      <c r="IQ26" s="1852"/>
      <c r="IR26" s="1852"/>
      <c r="IS26" s="1852"/>
      <c r="IT26" s="1852"/>
      <c r="IU26" s="1852"/>
      <c r="IV26" s="1852"/>
      <c r="IW26" s="1852"/>
      <c r="IX26" s="1852"/>
      <c r="IY26" s="1852"/>
      <c r="IZ26" s="1852"/>
      <c r="JA26" s="1852"/>
      <c r="JB26" s="1852"/>
      <c r="JC26" s="1852"/>
      <c r="JD26" s="1852"/>
      <c r="JE26" s="1852"/>
      <c r="JF26" s="1852"/>
      <c r="JG26" s="1852"/>
      <c r="JH26" s="1852"/>
      <c r="JI26" s="1852"/>
      <c r="JJ26" s="1852"/>
      <c r="JK26" s="1852"/>
      <c r="JL26" s="1852"/>
      <c r="JM26" s="1852"/>
      <c r="JN26" s="1852"/>
      <c r="JO26" s="1852"/>
      <c r="JP26" s="1852"/>
      <c r="JQ26" s="1852"/>
      <c r="JR26" s="1852"/>
      <c r="JS26" s="1852"/>
      <c r="JT26" s="1852"/>
      <c r="JU26" s="1852"/>
      <c r="JV26" s="1852"/>
      <c r="JW26" s="1852"/>
      <c r="JX26" s="1852"/>
      <c r="JY26" s="1852"/>
      <c r="JZ26" s="1852"/>
      <c r="KA26" s="1852"/>
      <c r="KB26" s="1852"/>
      <c r="KC26" s="1852"/>
      <c r="KD26" s="1852"/>
      <c r="KE26" s="1852"/>
      <c r="KF26" s="1852"/>
      <c r="KG26" s="1852"/>
      <c r="KH26" s="1852"/>
      <c r="KI26" s="1852"/>
      <c r="KJ26" s="1852"/>
      <c r="KK26" s="1852"/>
      <c r="KL26" s="1852"/>
      <c r="KM26" s="1852"/>
      <c r="KN26" s="1852"/>
      <c r="KO26" s="1852"/>
      <c r="KP26" s="1852"/>
      <c r="KQ26" s="1852"/>
      <c r="KR26" s="1852"/>
      <c r="KS26" s="1852"/>
      <c r="KT26" s="1852"/>
      <c r="KU26" s="1852"/>
      <c r="KV26" s="1852"/>
      <c r="KW26" s="1852"/>
      <c r="KX26" s="1852"/>
      <c r="KY26" s="1852"/>
      <c r="KZ26" s="1852"/>
      <c r="LA26" s="1852"/>
      <c r="LB26" s="1852"/>
      <c r="LC26" s="1852"/>
      <c r="LD26" s="1852"/>
      <c r="LE26" s="1852"/>
      <c r="LF26" s="1852"/>
      <c r="LG26" s="1852"/>
      <c r="LH26" s="1852"/>
      <c r="LI26" s="1852"/>
      <c r="LJ26" s="1852"/>
      <c r="LK26" s="1852"/>
      <c r="LL26" s="1852"/>
      <c r="LM26" s="1852"/>
      <c r="LN26" s="1852"/>
      <c r="LO26" s="1852"/>
      <c r="LP26" s="1852"/>
      <c r="LQ26" s="1852"/>
      <c r="LR26" s="1852"/>
      <c r="LS26" s="1852"/>
      <c r="LT26" s="1852"/>
      <c r="LU26" s="1852"/>
      <c r="LV26" s="1852"/>
      <c r="LW26" s="1852"/>
      <c r="LX26" s="1852"/>
      <c r="LY26" s="1852"/>
      <c r="LZ26" s="1852"/>
      <c r="MA26" s="1852"/>
      <c r="MB26" s="1852"/>
      <c r="MC26" s="1852"/>
      <c r="MD26" s="1852"/>
      <c r="ME26" s="1852"/>
      <c r="MF26" s="1852"/>
      <c r="MG26" s="1852"/>
      <c r="MH26" s="1852"/>
      <c r="MI26" s="1852"/>
      <c r="MJ26" s="1852"/>
      <c r="MK26" s="1852"/>
      <c r="ML26" s="1852"/>
      <c r="MM26" s="1852"/>
      <c r="MN26" s="1852"/>
      <c r="MO26" s="1852"/>
      <c r="MP26" s="1852"/>
      <c r="MQ26" s="1852"/>
      <c r="MR26" s="1852"/>
      <c r="MS26" s="1852"/>
      <c r="MT26" s="1852"/>
      <c r="MU26" s="1852"/>
      <c r="MV26" s="1852"/>
      <c r="MW26" s="1852"/>
      <c r="MX26" s="1852"/>
      <c r="MY26" s="1852"/>
      <c r="MZ26" s="1852"/>
      <c r="NA26" s="1852"/>
      <c r="NB26" s="1852"/>
      <c r="NC26" s="1852"/>
      <c r="ND26" s="1852"/>
      <c r="NE26" s="1852"/>
      <c r="NF26" s="1852"/>
      <c r="NG26" s="1852"/>
      <c r="NH26" s="1852"/>
      <c r="NI26" s="1852"/>
      <c r="NJ26" s="1852"/>
      <c r="NK26" s="1852"/>
      <c r="NL26" s="1852"/>
      <c r="NM26" s="1852"/>
      <c r="NN26" s="1852"/>
      <c r="NO26" s="1852"/>
      <c r="NP26" s="1852"/>
      <c r="NQ26" s="1852"/>
      <c r="NR26" s="1852"/>
      <c r="NS26" s="1852"/>
      <c r="NT26" s="1852"/>
      <c r="NU26" s="1852"/>
      <c r="NV26" s="1852"/>
      <c r="NW26" s="1852"/>
      <c r="NX26" s="1852"/>
      <c r="NY26" s="1852"/>
      <c r="NZ26" s="1852"/>
      <c r="OA26" s="1852"/>
      <c r="OB26" s="1852"/>
      <c r="OC26" s="1852"/>
      <c r="OD26" s="1852"/>
      <c r="OE26" s="1852"/>
      <c r="OF26" s="1852"/>
      <c r="OG26" s="1852"/>
      <c r="OH26" s="1852"/>
      <c r="OI26" s="1852"/>
      <c r="OJ26" s="1852"/>
      <c r="OK26" s="1852"/>
      <c r="OL26" s="1852"/>
      <c r="OM26" s="1852"/>
      <c r="ON26" s="1852"/>
      <c r="OO26" s="1852"/>
      <c r="OP26" s="1852"/>
      <c r="OQ26" s="1852"/>
      <c r="OR26" s="1852"/>
      <c r="OS26" s="1852"/>
      <c r="OT26" s="1852"/>
      <c r="OU26" s="1852"/>
      <c r="OV26" s="1852"/>
      <c r="OW26" s="1852"/>
      <c r="OX26" s="1852"/>
      <c r="OY26" s="1852"/>
      <c r="OZ26" s="1852"/>
      <c r="PA26" s="1852"/>
      <c r="PB26" s="1852"/>
      <c r="PC26" s="1852"/>
      <c r="PD26" s="1852"/>
      <c r="PE26" s="1852"/>
      <c r="PF26" s="1852"/>
      <c r="PG26" s="1852"/>
      <c r="PH26" s="1852"/>
      <c r="PI26" s="1852"/>
      <c r="PJ26" s="1852"/>
      <c r="PK26" s="1852"/>
      <c r="PL26" s="1852"/>
      <c r="PM26" s="1852"/>
      <c r="PN26" s="1852"/>
      <c r="PO26" s="1852"/>
      <c r="PP26" s="1852"/>
      <c r="PQ26" s="1852"/>
      <c r="PR26" s="1852"/>
      <c r="PS26" s="1852"/>
      <c r="PT26" s="1852"/>
      <c r="PU26" s="1852"/>
      <c r="PV26" s="1852"/>
      <c r="PW26" s="1852"/>
      <c r="PX26" s="1852"/>
      <c r="PY26" s="1852"/>
      <c r="PZ26" s="1852"/>
      <c r="QA26" s="1852"/>
      <c r="QB26" s="1852"/>
      <c r="QC26" s="1852"/>
      <c r="QD26" s="1852"/>
      <c r="QE26" s="1852"/>
      <c r="QF26" s="1852"/>
      <c r="QG26" s="1852"/>
      <c r="QH26" s="1852"/>
      <c r="QI26" s="1852"/>
      <c r="QJ26" s="1852"/>
      <c r="QK26" s="1852"/>
      <c r="QL26" s="1852"/>
      <c r="QM26" s="1852"/>
      <c r="QN26" s="1852"/>
      <c r="QO26" s="1852"/>
      <c r="QP26" s="1852"/>
      <c r="QQ26" s="1852"/>
      <c r="QR26" s="1852"/>
      <c r="QS26" s="1852"/>
      <c r="QT26" s="1852"/>
      <c r="QU26" s="1852"/>
      <c r="QV26" s="1852"/>
      <c r="QW26" s="1852"/>
      <c r="QX26" s="1852"/>
      <c r="QY26" s="1852"/>
      <c r="QZ26" s="1852"/>
      <c r="RA26" s="1852"/>
      <c r="RB26" s="1852"/>
      <c r="RC26" s="1852"/>
      <c r="RD26" s="1852"/>
      <c r="RE26" s="1852"/>
      <c r="RF26" s="1852"/>
      <c r="RG26" s="1852"/>
      <c r="RH26" s="1852"/>
      <c r="RI26" s="1852"/>
      <c r="RJ26" s="1852"/>
      <c r="RK26" s="1852"/>
      <c r="RL26" s="1852"/>
      <c r="RM26" s="1852"/>
      <c r="RN26" s="1852"/>
      <c r="RO26" s="1852"/>
      <c r="RP26" s="1852"/>
      <c r="RQ26" s="1852"/>
      <c r="RR26" s="1852"/>
      <c r="RS26" s="1852"/>
      <c r="RT26" s="1852"/>
      <c r="RU26" s="1852"/>
      <c r="RV26" s="1852"/>
      <c r="RW26" s="1852"/>
      <c r="RX26" s="1852"/>
      <c r="RY26" s="1852"/>
      <c r="RZ26" s="1852"/>
      <c r="SA26" s="1852"/>
      <c r="SB26" s="1852"/>
      <c r="SC26" s="1852"/>
      <c r="SD26" s="1852"/>
      <c r="SE26" s="1852"/>
      <c r="SF26" s="1852"/>
      <c r="SG26" s="1852"/>
      <c r="SH26" s="1852"/>
      <c r="SI26" s="1852"/>
      <c r="SJ26" s="1852"/>
      <c r="SK26" s="1852"/>
      <c r="SL26" s="1852"/>
      <c r="SM26" s="1852"/>
      <c r="SN26" s="1852"/>
      <c r="SO26" s="1852"/>
      <c r="SP26" s="1852"/>
      <c r="SQ26" s="1852"/>
      <c r="SR26" s="1852"/>
      <c r="SS26" s="1852"/>
      <c r="ST26" s="1852"/>
      <c r="SU26" s="1852"/>
      <c r="SV26" s="1852"/>
      <c r="SW26" s="1852"/>
      <c r="SX26" s="1852"/>
      <c r="SY26" s="1852"/>
      <c r="SZ26" s="1852"/>
      <c r="TA26" s="1852"/>
      <c r="TB26" s="1852"/>
      <c r="TC26" s="1852"/>
      <c r="TD26" s="1852"/>
      <c r="TE26" s="1852"/>
      <c r="TF26" s="1852"/>
      <c r="TG26" s="1852"/>
      <c r="TH26" s="1852"/>
      <c r="TI26" s="1852"/>
      <c r="TJ26" s="1852"/>
      <c r="TK26" s="1852"/>
      <c r="TL26" s="1852"/>
      <c r="TM26" s="1852"/>
      <c r="TN26" s="1852"/>
      <c r="TO26" s="1852"/>
      <c r="TP26" s="1852"/>
      <c r="TQ26" s="1852"/>
      <c r="TR26" s="1852"/>
      <c r="TS26" s="1852"/>
      <c r="TT26" s="1852"/>
      <c r="TU26" s="1852"/>
      <c r="TV26" s="1852"/>
      <c r="TW26" s="1852"/>
      <c r="TX26" s="1852"/>
      <c r="TY26" s="1852"/>
      <c r="TZ26" s="1852"/>
      <c r="UA26" s="1852"/>
      <c r="UB26" s="1852"/>
      <c r="UC26" s="1852"/>
      <c r="UD26" s="1852"/>
      <c r="UE26" s="1852"/>
      <c r="UF26" s="1852"/>
      <c r="UG26" s="1852"/>
      <c r="UH26" s="1852"/>
      <c r="UI26" s="1852"/>
      <c r="UJ26" s="1852"/>
      <c r="UK26" s="1852"/>
      <c r="UL26" s="1852"/>
      <c r="UM26" s="1852"/>
      <c r="UN26" s="1852"/>
      <c r="UO26" s="1852"/>
      <c r="UP26" s="1852"/>
      <c r="UQ26" s="1852"/>
      <c r="UR26" s="1852"/>
      <c r="US26" s="1852"/>
      <c r="UT26" s="1852"/>
      <c r="UU26" s="1852"/>
      <c r="UV26" s="1852"/>
      <c r="UW26" s="1852"/>
      <c r="UX26" s="1852"/>
      <c r="UY26" s="1852"/>
      <c r="UZ26" s="1852"/>
      <c r="VA26" s="1852"/>
      <c r="VB26" s="1852"/>
      <c r="VC26" s="1852"/>
      <c r="VD26" s="1852"/>
      <c r="VE26" s="1852"/>
      <c r="VF26" s="1852"/>
      <c r="VG26" s="1852"/>
      <c r="VH26" s="1852"/>
      <c r="VI26" s="1852"/>
      <c r="VJ26" s="1852"/>
      <c r="VK26" s="1852"/>
      <c r="VL26" s="1852"/>
      <c r="VM26" s="1852"/>
      <c r="VN26" s="1852"/>
      <c r="VO26" s="1852"/>
      <c r="VP26" s="1852"/>
      <c r="VQ26" s="1852"/>
      <c r="VR26" s="1852"/>
      <c r="VS26" s="1852"/>
      <c r="VT26" s="1852"/>
      <c r="VU26" s="1852"/>
      <c r="VV26" s="1852"/>
      <c r="VW26" s="1852"/>
      <c r="VX26" s="1852"/>
      <c r="VY26" s="1852"/>
      <c r="VZ26" s="1852"/>
      <c r="WA26" s="1852"/>
      <c r="WB26" s="1852"/>
      <c r="WC26" s="1852"/>
      <c r="WD26" s="1852"/>
      <c r="WE26" s="1852"/>
      <c r="WF26" s="1852"/>
      <c r="WG26" s="1852"/>
      <c r="WH26" s="1852"/>
      <c r="WI26" s="1852"/>
      <c r="WJ26" s="1852"/>
      <c r="WK26" s="1852"/>
      <c r="WL26" s="1852"/>
      <c r="WM26" s="1852"/>
      <c r="WN26" s="1852"/>
      <c r="WO26" s="1852"/>
      <c r="WP26" s="1852"/>
      <c r="WQ26" s="1852"/>
      <c r="WR26" s="1852"/>
      <c r="WS26" s="1852"/>
      <c r="WT26" s="1852"/>
      <c r="WU26" s="1852"/>
      <c r="WV26" s="1852"/>
      <c r="WW26" s="1852"/>
      <c r="WX26" s="1852"/>
      <c r="WY26" s="1852"/>
      <c r="WZ26" s="1852"/>
      <c r="XA26" s="1852"/>
      <c r="XB26" s="1852"/>
      <c r="XC26" s="1852"/>
      <c r="XD26" s="1852"/>
      <c r="XE26" s="1852"/>
      <c r="XF26" s="1852"/>
      <c r="XG26" s="1852"/>
      <c r="XH26" s="1852"/>
      <c r="XI26" s="1852"/>
      <c r="XJ26" s="1852"/>
      <c r="XK26" s="1852"/>
      <c r="XL26" s="1852"/>
      <c r="XM26" s="1852"/>
      <c r="XN26" s="1852"/>
      <c r="XO26" s="1852"/>
      <c r="XP26" s="1852"/>
      <c r="XQ26" s="1852"/>
      <c r="XR26" s="1852"/>
      <c r="XS26" s="1852"/>
      <c r="XT26" s="1852"/>
      <c r="XU26" s="1852"/>
      <c r="XV26" s="1852"/>
      <c r="XW26" s="1852"/>
      <c r="XX26" s="1852"/>
      <c r="XY26" s="1852"/>
      <c r="XZ26" s="1852"/>
      <c r="YA26" s="1852"/>
      <c r="YB26" s="1852"/>
      <c r="YC26" s="1852"/>
      <c r="YD26" s="1852"/>
      <c r="YE26" s="1852"/>
      <c r="YF26" s="1852"/>
      <c r="YG26" s="1852"/>
      <c r="YH26" s="1852"/>
      <c r="YI26" s="1852"/>
      <c r="YJ26" s="1852"/>
      <c r="YK26" s="1852"/>
      <c r="YL26" s="1852"/>
      <c r="YM26" s="1852"/>
      <c r="YN26" s="1852"/>
      <c r="YO26" s="1852"/>
      <c r="YP26" s="1852"/>
      <c r="YQ26" s="1852"/>
      <c r="YR26" s="1852"/>
      <c r="YS26" s="1852"/>
      <c r="YT26" s="1852"/>
      <c r="YU26" s="1852"/>
      <c r="YV26" s="1852"/>
      <c r="YW26" s="1852"/>
      <c r="YX26" s="1852"/>
      <c r="YY26" s="1852"/>
      <c r="YZ26" s="1852"/>
      <c r="ZA26" s="1852"/>
      <c r="ZB26" s="1852"/>
      <c r="ZC26" s="1852"/>
      <c r="ZD26" s="1852"/>
      <c r="ZE26" s="1852"/>
      <c r="ZF26" s="1852"/>
      <c r="ZG26" s="1852"/>
      <c r="ZH26" s="1852"/>
      <c r="ZI26" s="1852"/>
      <c r="ZJ26" s="1852"/>
      <c r="ZK26" s="1852"/>
      <c r="ZL26" s="1852"/>
      <c r="ZM26" s="1852"/>
      <c r="ZN26" s="1852"/>
      <c r="ZO26" s="1852"/>
      <c r="ZP26" s="1852"/>
      <c r="ZQ26" s="1852"/>
      <c r="ZR26" s="1852"/>
      <c r="ZS26" s="1852"/>
      <c r="ZT26" s="1852"/>
      <c r="ZU26" s="1852"/>
      <c r="ZV26" s="1852"/>
      <c r="ZW26" s="1852"/>
      <c r="ZX26" s="1852"/>
      <c r="ZY26" s="1852"/>
      <c r="ZZ26" s="1852"/>
      <c r="AAA26" s="1852"/>
      <c r="AAB26" s="1852"/>
      <c r="AAC26" s="1852"/>
      <c r="AAD26" s="1852"/>
      <c r="AAE26" s="1852"/>
      <c r="AAF26" s="1852"/>
      <c r="AAG26" s="1852"/>
      <c r="AAH26" s="1852"/>
      <c r="AAI26" s="1852"/>
      <c r="AAJ26" s="1852"/>
      <c r="AAK26" s="1852"/>
      <c r="AAL26" s="1852"/>
      <c r="AAM26" s="1852"/>
      <c r="AAN26" s="1852"/>
      <c r="AAO26" s="1852"/>
      <c r="AAP26" s="1852"/>
      <c r="AAQ26" s="1852"/>
      <c r="AAR26" s="1852"/>
      <c r="AAS26" s="1852"/>
      <c r="AAT26" s="1852"/>
      <c r="AAU26" s="1852"/>
      <c r="AAV26" s="1852"/>
      <c r="AAW26" s="1852"/>
      <c r="AAX26" s="1852"/>
      <c r="AAY26" s="1852"/>
      <c r="AAZ26" s="1852"/>
      <c r="ABA26" s="1852"/>
      <c r="ABB26" s="1852"/>
      <c r="ABC26" s="1852"/>
      <c r="ABD26" s="1852"/>
      <c r="ABE26" s="1852"/>
      <c r="ABF26" s="1852"/>
      <c r="ABG26" s="1852"/>
      <c r="ABH26" s="1852"/>
      <c r="ABI26" s="1852"/>
      <c r="ABJ26" s="1852"/>
      <c r="ABK26" s="1852"/>
      <c r="ABL26" s="1852"/>
      <c r="ABM26" s="1852"/>
      <c r="ABN26" s="1852"/>
      <c r="ABO26" s="1852"/>
      <c r="ABP26" s="1852"/>
      <c r="ABQ26" s="1852"/>
      <c r="ABR26" s="1852"/>
      <c r="ABS26" s="1852"/>
      <c r="ABT26" s="1852"/>
      <c r="ABU26" s="1852"/>
      <c r="ABV26" s="1852"/>
      <c r="ABW26" s="1852"/>
      <c r="ABX26" s="1852"/>
      <c r="ABY26" s="1852"/>
      <c r="ABZ26" s="1852"/>
      <c r="ACA26" s="1852"/>
      <c r="ACB26" s="1852"/>
      <c r="ACC26" s="1852"/>
      <c r="ACD26" s="1852"/>
      <c r="ACE26" s="1852"/>
      <c r="ACF26" s="1852"/>
      <c r="ACG26" s="1852"/>
      <c r="ACH26" s="1852"/>
      <c r="ACI26" s="1852"/>
      <c r="ACJ26" s="1852"/>
      <c r="ACK26" s="1852"/>
      <c r="ACL26" s="1852"/>
      <c r="ACM26" s="1852"/>
      <c r="ACN26" s="1852"/>
      <c r="ACO26" s="1852"/>
      <c r="ACP26" s="1852"/>
      <c r="ACQ26" s="1852"/>
      <c r="ACR26" s="1852"/>
      <c r="ACS26" s="1852"/>
      <c r="ACT26" s="1852"/>
      <c r="ACU26" s="1852"/>
      <c r="ACV26" s="1852"/>
      <c r="ACW26" s="1852"/>
      <c r="ACX26" s="1852"/>
      <c r="ACY26" s="1852"/>
      <c r="ACZ26" s="1852"/>
      <c r="ADA26" s="1852"/>
      <c r="ADB26" s="1852"/>
      <c r="ADC26" s="1852"/>
      <c r="ADD26" s="1852"/>
      <c r="ADE26" s="1852"/>
      <c r="ADF26" s="1852"/>
      <c r="ADG26" s="1852"/>
      <c r="ADH26" s="1852"/>
      <c r="ADI26" s="1852"/>
      <c r="ADJ26" s="1852"/>
      <c r="ADK26" s="1852"/>
      <c r="ADL26" s="1852"/>
      <c r="ADM26" s="1852"/>
      <c r="ADN26" s="1852"/>
      <c r="ADO26" s="1852"/>
      <c r="ADP26" s="1852"/>
      <c r="ADQ26" s="1852"/>
      <c r="ADR26" s="1852"/>
      <c r="ADS26" s="1852"/>
      <c r="ADT26" s="1852"/>
      <c r="ADU26" s="1852"/>
      <c r="ADV26" s="1852"/>
      <c r="ADW26" s="1852"/>
      <c r="ADX26" s="1852"/>
      <c r="ADY26" s="1852"/>
      <c r="ADZ26" s="1852"/>
      <c r="AEA26" s="1852"/>
      <c r="AEB26" s="1852"/>
      <c r="AEC26" s="1852"/>
      <c r="AED26" s="1852"/>
      <c r="AEE26" s="1852"/>
      <c r="AEF26" s="1852"/>
      <c r="AEG26" s="1852"/>
      <c r="AEH26" s="1852"/>
      <c r="AEI26" s="1852"/>
      <c r="AEJ26" s="1852"/>
      <c r="AEK26" s="1852"/>
      <c r="AEL26" s="1852"/>
      <c r="AEM26" s="1852"/>
      <c r="AEN26" s="1852"/>
      <c r="AEO26" s="1852"/>
      <c r="AEP26" s="1852"/>
      <c r="AEQ26" s="1852"/>
      <c r="AER26" s="1852"/>
      <c r="AES26" s="1852"/>
      <c r="AET26" s="1852"/>
      <c r="AEU26" s="1852"/>
      <c r="AEV26" s="1852"/>
      <c r="AEW26" s="1852"/>
      <c r="AEX26" s="1852"/>
      <c r="AEY26" s="1852"/>
      <c r="AEZ26" s="1852"/>
      <c r="AFA26" s="1852"/>
      <c r="AFB26" s="1852"/>
      <c r="AFC26" s="1852"/>
      <c r="AFD26" s="1852"/>
      <c r="AFE26" s="1852"/>
      <c r="AFF26" s="1852"/>
      <c r="AFG26" s="1852"/>
      <c r="AFH26" s="1852"/>
      <c r="AFI26" s="1852"/>
      <c r="AFJ26" s="1852"/>
      <c r="AFK26" s="1852"/>
      <c r="AFL26" s="1852"/>
      <c r="AFM26" s="1852"/>
      <c r="AFN26" s="1852"/>
      <c r="AFO26" s="1852"/>
      <c r="AFP26" s="1852"/>
      <c r="AFQ26" s="1852"/>
      <c r="AFR26" s="1852"/>
      <c r="AFS26" s="1852"/>
      <c r="AFT26" s="1852"/>
      <c r="AFU26" s="1852"/>
      <c r="AFV26" s="1852"/>
      <c r="AFW26" s="1852"/>
      <c r="AFX26" s="1852"/>
      <c r="AFY26" s="1852"/>
      <c r="AFZ26" s="1852"/>
      <c r="AGA26" s="1852"/>
      <c r="AGB26" s="1852"/>
      <c r="AGC26" s="1852"/>
      <c r="AGD26" s="1852"/>
      <c r="AGE26" s="1852"/>
      <c r="AGF26" s="1852"/>
      <c r="AGG26" s="1852"/>
      <c r="AGH26" s="1852"/>
      <c r="AGI26" s="1852"/>
      <c r="AGJ26" s="1852"/>
      <c r="AGK26" s="1852"/>
      <c r="AGL26" s="1852"/>
      <c r="AGM26" s="1852"/>
      <c r="AGN26" s="1852"/>
      <c r="AGO26" s="1852"/>
      <c r="AGP26" s="1852"/>
      <c r="AGQ26" s="1852"/>
      <c r="AGR26" s="1852"/>
      <c r="AGS26" s="1852"/>
      <c r="AGT26" s="1852"/>
      <c r="AGU26" s="1852"/>
      <c r="AGV26" s="1852"/>
      <c r="AGW26" s="1852"/>
      <c r="AGX26" s="1852"/>
      <c r="AGY26" s="1852"/>
      <c r="AGZ26" s="1852"/>
      <c r="AHA26" s="1852"/>
      <c r="AHB26" s="1852"/>
      <c r="AHC26" s="1852"/>
      <c r="AHD26" s="1852"/>
      <c r="AHE26" s="1852"/>
      <c r="AHF26" s="1852"/>
      <c r="AHG26" s="1852"/>
      <c r="AHH26" s="1852"/>
      <c r="AHI26" s="1852"/>
      <c r="AHJ26" s="1852"/>
      <c r="AHK26" s="1852"/>
      <c r="AHL26" s="1852"/>
      <c r="AHM26" s="1852"/>
      <c r="AHN26" s="1852"/>
      <c r="AHO26" s="1852"/>
      <c r="AHP26" s="1852"/>
      <c r="AHQ26" s="1852"/>
      <c r="AHR26" s="1852"/>
      <c r="AHS26" s="1852"/>
      <c r="AHT26" s="1852"/>
      <c r="AHU26" s="1852"/>
      <c r="AHV26" s="1852"/>
      <c r="AHW26" s="1852"/>
      <c r="AHX26" s="1852"/>
      <c r="AHY26" s="1852"/>
      <c r="AHZ26" s="1852"/>
      <c r="AIA26" s="1852"/>
      <c r="AIB26" s="1852"/>
      <c r="AIC26" s="1852"/>
      <c r="AID26" s="1852"/>
      <c r="AIE26" s="1852"/>
      <c r="AIF26" s="1852"/>
      <c r="AIG26" s="1852"/>
      <c r="AIH26" s="1852"/>
      <c r="AII26" s="1852"/>
      <c r="AIJ26" s="1852"/>
      <c r="AIK26" s="1852"/>
      <c r="AIL26" s="1852"/>
      <c r="AIM26" s="1852"/>
      <c r="AIN26" s="1852"/>
      <c r="AIO26" s="1852"/>
      <c r="AIP26" s="1852"/>
      <c r="AIQ26" s="1852"/>
      <c r="AIR26" s="1852"/>
      <c r="AIS26" s="1852"/>
      <c r="AIT26" s="1852"/>
      <c r="AIU26" s="1852"/>
      <c r="AIV26" s="1852"/>
      <c r="AIW26" s="1852"/>
      <c r="AIX26" s="1852"/>
      <c r="AIY26" s="1852"/>
      <c r="AIZ26" s="1852"/>
      <c r="AJA26" s="1852"/>
      <c r="AJB26" s="1852"/>
      <c r="AJC26" s="1852"/>
      <c r="AJD26" s="1852"/>
      <c r="AJE26" s="1852"/>
      <c r="AJF26" s="1852"/>
      <c r="AJG26" s="1852"/>
      <c r="AJH26" s="1852"/>
      <c r="AJI26" s="1852"/>
      <c r="AJJ26" s="1852"/>
      <c r="AJK26" s="1852"/>
      <c r="AJL26" s="1852"/>
      <c r="AJM26" s="1852"/>
      <c r="AJN26" s="1852"/>
      <c r="AJO26" s="1852"/>
      <c r="AJP26" s="1852"/>
      <c r="AJQ26" s="1852"/>
      <c r="AJR26" s="1852"/>
      <c r="AJS26" s="1852"/>
      <c r="AJT26" s="1852"/>
      <c r="AJU26" s="1852"/>
      <c r="AJV26" s="1852"/>
      <c r="AJW26" s="1852"/>
      <c r="AJX26" s="1852"/>
      <c r="AJY26" s="1852"/>
      <c r="AJZ26" s="1852"/>
      <c r="AKA26" s="1852"/>
      <c r="AKB26" s="1852"/>
      <c r="AKC26" s="1852"/>
      <c r="AKD26" s="1852"/>
      <c r="AKE26" s="1852"/>
      <c r="AKF26" s="1852"/>
      <c r="AKG26" s="1852"/>
      <c r="AKH26" s="1852"/>
      <c r="AKI26" s="1852"/>
      <c r="AKJ26" s="1852"/>
      <c r="AKK26" s="1852"/>
      <c r="AKL26" s="1852"/>
      <c r="AKM26" s="1852"/>
      <c r="AKN26" s="1852"/>
      <c r="AKO26" s="1852"/>
      <c r="AKP26" s="1852"/>
      <c r="AKQ26" s="1852"/>
      <c r="AKR26" s="1852"/>
      <c r="AKS26" s="1852"/>
      <c r="AKT26" s="1852"/>
      <c r="AKU26" s="1852"/>
      <c r="AKV26" s="1852"/>
      <c r="AKW26" s="1852"/>
      <c r="AKX26" s="1852"/>
      <c r="AKY26" s="1852"/>
      <c r="AKZ26" s="1852"/>
      <c r="ALA26" s="1852"/>
      <c r="ALB26" s="1852"/>
      <c r="ALC26" s="1852"/>
      <c r="ALD26" s="1852"/>
      <c r="ALE26" s="1852"/>
      <c r="ALF26" s="1852"/>
      <c r="ALG26" s="1852"/>
      <c r="ALH26" s="1852"/>
      <c r="ALI26" s="1852"/>
      <c r="ALJ26" s="1852"/>
      <c r="ALK26" s="1852"/>
      <c r="ALL26" s="1852"/>
      <c r="ALM26" s="1852"/>
      <c r="ALN26" s="1852"/>
      <c r="ALO26" s="1852"/>
      <c r="ALP26" s="1852"/>
      <c r="ALQ26" s="1852"/>
      <c r="ALR26" s="1852"/>
    </row>
    <row r="27" spans="1:1006" x14ac:dyDescent="0.3">
      <c r="A27" s="1854"/>
      <c r="B27" t="s">
        <v>1216</v>
      </c>
      <c r="C27" s="1853" t="s">
        <v>1218</v>
      </c>
      <c r="D27" s="1855">
        <f t="shared" si="0"/>
        <v>0</v>
      </c>
      <c r="E27" s="1855">
        <f t="shared" si="1"/>
        <v>0</v>
      </c>
      <c r="F27" s="1855">
        <f t="shared" si="2"/>
        <v>0</v>
      </c>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852"/>
      <c r="AU27" s="1852"/>
      <c r="AV27" s="1852"/>
      <c r="AW27" s="1852"/>
      <c r="AX27" s="1852"/>
      <c r="AY27" s="1852"/>
      <c r="AZ27" s="1852"/>
      <c r="BA27" s="1852"/>
      <c r="BB27" s="1852"/>
      <c r="BC27" s="1852"/>
      <c r="BD27" s="1852"/>
      <c r="BE27" s="1852"/>
      <c r="BF27" s="1852"/>
      <c r="BG27" s="1852"/>
      <c r="BH27" s="1852"/>
      <c r="BI27" s="1852"/>
      <c r="BJ27" s="1852"/>
      <c r="BK27" s="1852"/>
      <c r="BL27" s="1852"/>
      <c r="BM27" s="1852"/>
      <c r="BN27" s="1852"/>
      <c r="BO27" s="1852"/>
      <c r="BP27" s="1852"/>
      <c r="BQ27" s="1852"/>
      <c r="BR27" s="1852"/>
      <c r="BS27" s="1852"/>
      <c r="BT27" s="1852"/>
      <c r="BU27" s="1852"/>
      <c r="BV27" s="1852"/>
      <c r="BW27" s="1852"/>
      <c r="BX27" s="1852"/>
      <c r="BY27" s="1852"/>
      <c r="BZ27" s="1852"/>
      <c r="CA27" s="1852"/>
      <c r="CB27" s="1852"/>
      <c r="CC27" s="1852"/>
      <c r="CD27" s="1852"/>
      <c r="CE27" s="1852"/>
      <c r="CF27" s="1852"/>
      <c r="CG27" s="1852"/>
      <c r="CH27" s="1852"/>
      <c r="CI27" s="1852"/>
      <c r="CJ27" s="1852"/>
      <c r="CK27" s="1852"/>
      <c r="CL27" s="1852"/>
      <c r="CM27" s="1852"/>
      <c r="CN27" s="1852"/>
      <c r="CO27" s="1852"/>
      <c r="CP27" s="1852"/>
      <c r="CQ27" s="1852"/>
      <c r="CR27" s="1852"/>
      <c r="CS27" s="1852"/>
      <c r="CT27" s="1852"/>
      <c r="CU27" s="1852"/>
      <c r="CV27" s="1852"/>
      <c r="CW27" s="1852"/>
      <c r="CX27" s="1852"/>
      <c r="CY27" s="1852"/>
      <c r="CZ27" s="1852"/>
      <c r="DA27" s="1852"/>
      <c r="DB27" s="1852"/>
      <c r="DC27" s="1852"/>
      <c r="DD27" s="1852"/>
      <c r="DE27" s="1852"/>
      <c r="DF27" s="1852"/>
      <c r="DG27" s="1852"/>
      <c r="DH27" s="1852"/>
      <c r="DI27" s="1852"/>
      <c r="DJ27" s="1852"/>
      <c r="DK27" s="1852"/>
      <c r="DL27" s="1852"/>
      <c r="DM27" s="1852"/>
      <c r="DN27" s="1852"/>
      <c r="DO27" s="1852"/>
      <c r="DP27" s="1852"/>
      <c r="DQ27" s="1852"/>
      <c r="DR27" s="1852"/>
      <c r="DS27" s="1852"/>
      <c r="DT27" s="1852"/>
      <c r="DU27" s="1852"/>
      <c r="DV27" s="1852"/>
      <c r="DW27" s="1852"/>
      <c r="DX27" s="1852"/>
      <c r="DY27" s="1852"/>
      <c r="DZ27" s="1852"/>
      <c r="EA27" s="1852"/>
      <c r="EB27" s="1852"/>
      <c r="EC27" s="1852"/>
      <c r="ED27" s="1852"/>
      <c r="EE27" s="1852"/>
      <c r="EF27" s="1852"/>
      <c r="EG27" s="1852"/>
      <c r="EH27" s="1852"/>
      <c r="EI27" s="1852"/>
      <c r="EJ27" s="1852"/>
      <c r="EK27" s="1852"/>
      <c r="EL27" s="1852"/>
      <c r="EM27" s="1852"/>
      <c r="EN27" s="1852"/>
      <c r="EO27" s="1852"/>
      <c r="EP27" s="1852"/>
      <c r="EQ27" s="1852"/>
      <c r="ER27" s="1852"/>
      <c r="ES27" s="1852"/>
      <c r="ET27" s="1852"/>
      <c r="EU27" s="1852"/>
      <c r="EV27" s="1852"/>
      <c r="EW27" s="1852"/>
      <c r="EX27" s="1852"/>
      <c r="EY27" s="1852"/>
      <c r="EZ27" s="1852"/>
      <c r="FA27" s="1852"/>
      <c r="FB27" s="1852"/>
      <c r="FC27" s="1852"/>
      <c r="FD27" s="1852"/>
      <c r="FE27" s="1852"/>
      <c r="FF27" s="1852"/>
      <c r="FG27" s="1852"/>
      <c r="FH27" s="1852"/>
      <c r="FI27" s="1852"/>
      <c r="FJ27" s="1852"/>
      <c r="FK27" s="1852"/>
      <c r="FL27" s="1852"/>
      <c r="FM27" s="1852"/>
      <c r="FN27" s="1852"/>
      <c r="FO27" s="1852"/>
      <c r="FP27" s="1852"/>
      <c r="FQ27" s="1852"/>
      <c r="FR27" s="1852"/>
      <c r="FS27" s="1852"/>
      <c r="FT27" s="1852"/>
      <c r="FU27" s="1852"/>
      <c r="FV27" s="1852"/>
      <c r="FW27" s="1852"/>
      <c r="FX27" s="1852"/>
      <c r="FY27" s="1852"/>
      <c r="FZ27" s="1852"/>
      <c r="GA27" s="1852"/>
      <c r="GB27" s="1852"/>
      <c r="GC27" s="1852"/>
      <c r="GD27" s="1852"/>
      <c r="GE27" s="1852"/>
      <c r="GF27" s="1852"/>
      <c r="GG27" s="1852"/>
      <c r="GH27" s="1852"/>
      <c r="GI27" s="1852"/>
      <c r="GJ27" s="1852"/>
      <c r="GK27" s="1852"/>
      <c r="GL27" s="1852"/>
      <c r="GM27" s="1852"/>
      <c r="GN27" s="1852"/>
      <c r="GO27" s="1852"/>
      <c r="GP27" s="1852"/>
      <c r="GQ27" s="1852"/>
      <c r="GR27" s="1852"/>
      <c r="GS27" s="1852"/>
      <c r="GT27" s="1852"/>
      <c r="GU27" s="1852"/>
      <c r="GV27" s="1852"/>
      <c r="GW27" s="1852"/>
      <c r="GX27" s="1852"/>
      <c r="GY27" s="1852"/>
      <c r="GZ27" s="1852"/>
      <c r="HA27" s="1852"/>
      <c r="HB27" s="1852"/>
      <c r="HC27" s="1852"/>
      <c r="HD27" s="1852"/>
      <c r="HE27" s="1852"/>
      <c r="HF27" s="1852"/>
      <c r="HG27" s="1852"/>
      <c r="HH27" s="1852"/>
      <c r="HI27" s="1852"/>
      <c r="HJ27" s="1852"/>
      <c r="HK27" s="1852"/>
      <c r="HL27" s="1852"/>
      <c r="HM27" s="1852"/>
      <c r="HN27" s="1852"/>
      <c r="HO27" s="1852"/>
      <c r="HP27" s="1852"/>
      <c r="HQ27" s="1852"/>
      <c r="HR27" s="1852"/>
      <c r="HS27" s="1852"/>
      <c r="HT27" s="1852"/>
      <c r="HU27" s="1852"/>
      <c r="HV27" s="1852"/>
      <c r="HW27" s="1852"/>
      <c r="HX27" s="1852"/>
      <c r="HY27" s="1852"/>
      <c r="HZ27" s="1852"/>
      <c r="IA27" s="1852"/>
      <c r="IB27" s="1852"/>
      <c r="IC27" s="1852"/>
      <c r="ID27" s="1852"/>
      <c r="IE27" s="1852"/>
      <c r="IF27" s="1852"/>
      <c r="IG27" s="1852"/>
      <c r="IH27" s="1852"/>
      <c r="II27" s="1852"/>
      <c r="IJ27" s="1852"/>
      <c r="IK27" s="1852"/>
      <c r="IL27" s="1852"/>
      <c r="IM27" s="1852"/>
      <c r="IN27" s="1852"/>
      <c r="IO27" s="1852"/>
      <c r="IP27" s="1852"/>
      <c r="IQ27" s="1852"/>
      <c r="IR27" s="1852"/>
      <c r="IS27" s="1852"/>
      <c r="IT27" s="1852"/>
      <c r="IU27" s="1852"/>
      <c r="IV27" s="1852"/>
      <c r="IW27" s="1852"/>
      <c r="IX27" s="1852"/>
      <c r="IY27" s="1852"/>
      <c r="IZ27" s="1852"/>
      <c r="JA27" s="1852"/>
      <c r="JB27" s="1852"/>
      <c r="JC27" s="1852"/>
      <c r="JD27" s="1852"/>
      <c r="JE27" s="1852"/>
      <c r="JF27" s="1852"/>
      <c r="JG27" s="1852"/>
      <c r="JH27" s="1852"/>
      <c r="JI27" s="1852"/>
      <c r="JJ27" s="1852"/>
      <c r="JK27" s="1852"/>
      <c r="JL27" s="1852"/>
      <c r="JM27" s="1852"/>
      <c r="JN27" s="1852"/>
      <c r="JO27" s="1852"/>
      <c r="JP27" s="1852"/>
      <c r="JQ27" s="1852"/>
      <c r="JR27" s="1852"/>
      <c r="JS27" s="1852"/>
      <c r="JT27" s="1852"/>
      <c r="JU27" s="1852"/>
      <c r="JV27" s="1852"/>
      <c r="JW27" s="1852"/>
      <c r="JX27" s="1852"/>
      <c r="JY27" s="1852"/>
      <c r="JZ27" s="1852"/>
      <c r="KA27" s="1852"/>
      <c r="KB27" s="1852"/>
      <c r="KC27" s="1852"/>
      <c r="KD27" s="1852"/>
      <c r="KE27" s="1852"/>
      <c r="KF27" s="1852"/>
      <c r="KG27" s="1852"/>
      <c r="KH27" s="1852"/>
      <c r="KI27" s="1852"/>
      <c r="KJ27" s="1852"/>
      <c r="KK27" s="1852"/>
      <c r="KL27" s="1852"/>
      <c r="KM27" s="1852"/>
      <c r="KN27" s="1852"/>
      <c r="KO27" s="1852"/>
      <c r="KP27" s="1852"/>
      <c r="KQ27" s="1852"/>
      <c r="KR27" s="1852"/>
      <c r="KS27" s="1852"/>
      <c r="KT27" s="1852"/>
      <c r="KU27" s="1852"/>
      <c r="KV27" s="1852"/>
      <c r="KW27" s="1852"/>
      <c r="KX27" s="1852"/>
      <c r="KY27" s="1852"/>
      <c r="KZ27" s="1852"/>
      <c r="LA27" s="1852"/>
      <c r="LB27" s="1852"/>
      <c r="LC27" s="1852"/>
      <c r="LD27" s="1852"/>
      <c r="LE27" s="1852"/>
      <c r="LF27" s="1852"/>
      <c r="LG27" s="1852"/>
      <c r="LH27" s="1852"/>
      <c r="LI27" s="1852"/>
      <c r="LJ27" s="1852"/>
      <c r="LK27" s="1852"/>
      <c r="LL27" s="1852"/>
      <c r="LM27" s="1852"/>
      <c r="LN27" s="1852"/>
      <c r="LO27" s="1852"/>
      <c r="LP27" s="1852"/>
      <c r="LQ27" s="1852"/>
      <c r="LR27" s="1852"/>
      <c r="LS27" s="1852"/>
      <c r="LT27" s="1852"/>
      <c r="LU27" s="1852"/>
      <c r="LV27" s="1852"/>
      <c r="LW27" s="1852"/>
      <c r="LX27" s="1852"/>
      <c r="LY27" s="1852"/>
      <c r="LZ27" s="1852"/>
      <c r="MA27" s="1852"/>
      <c r="MB27" s="1852"/>
      <c r="MC27" s="1852"/>
      <c r="MD27" s="1852"/>
      <c r="ME27" s="1852"/>
      <c r="MF27" s="1852"/>
      <c r="MG27" s="1852"/>
      <c r="MH27" s="1852"/>
      <c r="MI27" s="1852"/>
      <c r="MJ27" s="1852"/>
      <c r="MK27" s="1852"/>
      <c r="ML27" s="1852"/>
      <c r="MM27" s="1852"/>
      <c r="MN27" s="1852"/>
      <c r="MO27" s="1852"/>
      <c r="MP27" s="1852"/>
      <c r="MQ27" s="1852"/>
      <c r="MR27" s="1852"/>
      <c r="MS27" s="1852"/>
      <c r="MT27" s="1852"/>
      <c r="MU27" s="1852"/>
      <c r="MV27" s="1852"/>
      <c r="MW27" s="1852"/>
      <c r="MX27" s="1852"/>
      <c r="MY27" s="1852"/>
      <c r="MZ27" s="1852"/>
      <c r="NA27" s="1852"/>
      <c r="NB27" s="1852"/>
      <c r="NC27" s="1852"/>
      <c r="ND27" s="1852"/>
      <c r="NE27" s="1852"/>
      <c r="NF27" s="1852"/>
      <c r="NG27" s="1852"/>
      <c r="NH27" s="1852"/>
      <c r="NI27" s="1852"/>
      <c r="NJ27" s="1852"/>
      <c r="NK27" s="1852"/>
      <c r="NL27" s="1852"/>
      <c r="NM27" s="1852"/>
      <c r="NN27" s="1852"/>
      <c r="NO27" s="1852"/>
      <c r="NP27" s="1852"/>
      <c r="NQ27" s="1852"/>
      <c r="NR27" s="1852"/>
      <c r="NS27" s="1852"/>
      <c r="NT27" s="1852"/>
      <c r="NU27" s="1852"/>
      <c r="NV27" s="1852"/>
      <c r="NW27" s="1852"/>
      <c r="NX27" s="1852"/>
      <c r="NY27" s="1852"/>
      <c r="NZ27" s="1852"/>
      <c r="OA27" s="1852"/>
      <c r="OB27" s="1852"/>
      <c r="OC27" s="1852"/>
      <c r="OD27" s="1852"/>
      <c r="OE27" s="1852"/>
      <c r="OF27" s="1852"/>
      <c r="OG27" s="1852"/>
      <c r="OH27" s="1852"/>
      <c r="OI27" s="1852"/>
      <c r="OJ27" s="1852"/>
      <c r="OK27" s="1852"/>
      <c r="OL27" s="1852"/>
      <c r="OM27" s="1852"/>
      <c r="ON27" s="1852"/>
      <c r="OO27" s="1852"/>
      <c r="OP27" s="1852"/>
      <c r="OQ27" s="1852"/>
      <c r="OR27" s="1852"/>
      <c r="OS27" s="1852"/>
      <c r="OT27" s="1852"/>
      <c r="OU27" s="1852"/>
      <c r="OV27" s="1852"/>
      <c r="OW27" s="1852"/>
      <c r="OX27" s="1852"/>
      <c r="OY27" s="1852"/>
      <c r="OZ27" s="1852"/>
      <c r="PA27" s="1852"/>
      <c r="PB27" s="1852"/>
      <c r="PC27" s="1852"/>
      <c r="PD27" s="1852"/>
      <c r="PE27" s="1852"/>
      <c r="PF27" s="1852"/>
      <c r="PG27" s="1852"/>
      <c r="PH27" s="1852"/>
      <c r="PI27" s="1852"/>
      <c r="PJ27" s="1852"/>
      <c r="PK27" s="1852"/>
      <c r="PL27" s="1852"/>
      <c r="PM27" s="1852"/>
      <c r="PN27" s="1852"/>
      <c r="PO27" s="1852"/>
      <c r="PP27" s="1852"/>
      <c r="PQ27" s="1852"/>
      <c r="PR27" s="1852"/>
      <c r="PS27" s="1852"/>
      <c r="PT27" s="1852"/>
      <c r="PU27" s="1852"/>
      <c r="PV27" s="1852"/>
      <c r="PW27" s="1852"/>
      <c r="PX27" s="1852"/>
      <c r="PY27" s="1852"/>
      <c r="PZ27" s="1852"/>
      <c r="QA27" s="1852"/>
      <c r="QB27" s="1852"/>
      <c r="QC27" s="1852"/>
      <c r="QD27" s="1852"/>
      <c r="QE27" s="1852"/>
      <c r="QF27" s="1852"/>
      <c r="QG27" s="1852"/>
      <c r="QH27" s="1852"/>
      <c r="QI27" s="1852"/>
      <c r="QJ27" s="1852"/>
      <c r="QK27" s="1852"/>
      <c r="QL27" s="1852"/>
      <c r="QM27" s="1852"/>
      <c r="QN27" s="1852"/>
      <c r="QO27" s="1852"/>
      <c r="QP27" s="1852"/>
      <c r="QQ27" s="1852"/>
      <c r="QR27" s="1852"/>
      <c r="QS27" s="1852"/>
      <c r="QT27" s="1852"/>
      <c r="QU27" s="1852"/>
      <c r="QV27" s="1852"/>
      <c r="QW27" s="1852"/>
      <c r="QX27" s="1852"/>
      <c r="QY27" s="1852"/>
      <c r="QZ27" s="1852"/>
      <c r="RA27" s="1852"/>
      <c r="RB27" s="1852"/>
      <c r="RC27" s="1852"/>
      <c r="RD27" s="1852"/>
      <c r="RE27" s="1852"/>
      <c r="RF27" s="1852"/>
      <c r="RG27" s="1852"/>
      <c r="RH27" s="1852"/>
      <c r="RI27" s="1852"/>
      <c r="RJ27" s="1852"/>
      <c r="RK27" s="1852"/>
      <c r="RL27" s="1852"/>
      <c r="RM27" s="1852"/>
      <c r="RN27" s="1852"/>
      <c r="RO27" s="1852"/>
      <c r="RP27" s="1852"/>
      <c r="RQ27" s="1852"/>
      <c r="RR27" s="1852"/>
      <c r="RS27" s="1852"/>
      <c r="RT27" s="1852"/>
      <c r="RU27" s="1852"/>
      <c r="RV27" s="1852"/>
      <c r="RW27" s="1852"/>
      <c r="RX27" s="1852"/>
      <c r="RY27" s="1852"/>
      <c r="RZ27" s="1852"/>
      <c r="SA27" s="1852"/>
      <c r="SB27" s="1852"/>
      <c r="SC27" s="1852"/>
      <c r="SD27" s="1852"/>
      <c r="SE27" s="1852"/>
      <c r="SF27" s="1852"/>
      <c r="SG27" s="1852"/>
      <c r="SH27" s="1852"/>
      <c r="SI27" s="1852"/>
      <c r="SJ27" s="1852"/>
      <c r="SK27" s="1852"/>
      <c r="SL27" s="1852"/>
      <c r="SM27" s="1852"/>
      <c r="SN27" s="1852"/>
      <c r="SO27" s="1852"/>
      <c r="SP27" s="1852"/>
      <c r="SQ27" s="1852"/>
      <c r="SR27" s="1852"/>
      <c r="SS27" s="1852"/>
      <c r="ST27" s="1852"/>
      <c r="SU27" s="1852"/>
      <c r="SV27" s="1852"/>
      <c r="SW27" s="1852"/>
      <c r="SX27" s="1852"/>
      <c r="SY27" s="1852"/>
      <c r="SZ27" s="1852"/>
      <c r="TA27" s="1852"/>
      <c r="TB27" s="1852"/>
      <c r="TC27" s="1852"/>
      <c r="TD27" s="1852"/>
      <c r="TE27" s="1852"/>
      <c r="TF27" s="1852"/>
      <c r="TG27" s="1852"/>
      <c r="TH27" s="1852"/>
      <c r="TI27" s="1852"/>
      <c r="TJ27" s="1852"/>
      <c r="TK27" s="1852"/>
      <c r="TL27" s="1852"/>
      <c r="TM27" s="1852"/>
      <c r="TN27" s="1852"/>
      <c r="TO27" s="1852"/>
      <c r="TP27" s="1852"/>
      <c r="TQ27" s="1852"/>
      <c r="TR27" s="1852"/>
      <c r="TS27" s="1852"/>
      <c r="TT27" s="1852"/>
      <c r="TU27" s="1852"/>
      <c r="TV27" s="1852"/>
      <c r="TW27" s="1852"/>
      <c r="TX27" s="1852"/>
      <c r="TY27" s="1852"/>
      <c r="TZ27" s="1852"/>
      <c r="UA27" s="1852"/>
      <c r="UB27" s="1852"/>
      <c r="UC27" s="1852"/>
      <c r="UD27" s="1852"/>
      <c r="UE27" s="1852"/>
      <c r="UF27" s="1852"/>
      <c r="UG27" s="1852"/>
      <c r="UH27" s="1852"/>
      <c r="UI27" s="1852"/>
      <c r="UJ27" s="1852"/>
      <c r="UK27" s="1852"/>
      <c r="UL27" s="1852"/>
      <c r="UM27" s="1852"/>
      <c r="UN27" s="1852"/>
      <c r="UO27" s="1852"/>
      <c r="UP27" s="1852"/>
      <c r="UQ27" s="1852"/>
      <c r="UR27" s="1852"/>
      <c r="US27" s="1852"/>
      <c r="UT27" s="1852"/>
      <c r="UU27" s="1852"/>
      <c r="UV27" s="1852"/>
      <c r="UW27" s="1852"/>
      <c r="UX27" s="1852"/>
      <c r="UY27" s="1852"/>
      <c r="UZ27" s="1852"/>
      <c r="VA27" s="1852"/>
      <c r="VB27" s="1852"/>
      <c r="VC27" s="1852"/>
      <c r="VD27" s="1852"/>
      <c r="VE27" s="1852"/>
      <c r="VF27" s="1852"/>
      <c r="VG27" s="1852"/>
      <c r="VH27" s="1852"/>
      <c r="VI27" s="1852"/>
      <c r="VJ27" s="1852"/>
      <c r="VK27" s="1852"/>
      <c r="VL27" s="1852"/>
      <c r="VM27" s="1852"/>
      <c r="VN27" s="1852"/>
      <c r="VO27" s="1852"/>
      <c r="VP27" s="1852"/>
      <c r="VQ27" s="1852"/>
      <c r="VR27" s="1852"/>
      <c r="VS27" s="1852"/>
      <c r="VT27" s="1852"/>
      <c r="VU27" s="1852"/>
      <c r="VV27" s="1852"/>
      <c r="VW27" s="1852"/>
      <c r="VX27" s="1852"/>
      <c r="VY27" s="1852"/>
      <c r="VZ27" s="1852"/>
      <c r="WA27" s="1852"/>
      <c r="WB27" s="1852"/>
      <c r="WC27" s="1852"/>
      <c r="WD27" s="1852"/>
      <c r="WE27" s="1852"/>
      <c r="WF27" s="1852"/>
      <c r="WG27" s="1852"/>
      <c r="WH27" s="1852"/>
      <c r="WI27" s="1852"/>
      <c r="WJ27" s="1852"/>
      <c r="WK27" s="1852"/>
      <c r="WL27" s="1852"/>
      <c r="WM27" s="1852"/>
      <c r="WN27" s="1852"/>
      <c r="WO27" s="1852"/>
      <c r="WP27" s="1852"/>
      <c r="WQ27" s="1852"/>
      <c r="WR27" s="1852"/>
      <c r="WS27" s="1852"/>
      <c r="WT27" s="1852"/>
      <c r="WU27" s="1852"/>
      <c r="WV27" s="1852"/>
      <c r="WW27" s="1852"/>
      <c r="WX27" s="1852"/>
      <c r="WY27" s="1852"/>
      <c r="WZ27" s="1852"/>
      <c r="XA27" s="1852"/>
      <c r="XB27" s="1852"/>
      <c r="XC27" s="1852"/>
      <c r="XD27" s="1852"/>
      <c r="XE27" s="1852"/>
      <c r="XF27" s="1852"/>
      <c r="XG27" s="1852"/>
      <c r="XH27" s="1852"/>
      <c r="XI27" s="1852"/>
      <c r="XJ27" s="1852"/>
      <c r="XK27" s="1852"/>
      <c r="XL27" s="1852"/>
      <c r="XM27" s="1852"/>
      <c r="XN27" s="1852"/>
      <c r="XO27" s="1852"/>
      <c r="XP27" s="1852"/>
      <c r="XQ27" s="1852"/>
      <c r="XR27" s="1852"/>
      <c r="XS27" s="1852"/>
      <c r="XT27" s="1852"/>
      <c r="XU27" s="1852"/>
      <c r="XV27" s="1852"/>
      <c r="XW27" s="1852"/>
      <c r="XX27" s="1852"/>
      <c r="XY27" s="1852"/>
      <c r="XZ27" s="1852"/>
      <c r="YA27" s="1852"/>
      <c r="YB27" s="1852"/>
      <c r="YC27" s="1852"/>
      <c r="YD27" s="1852"/>
      <c r="YE27" s="1852"/>
      <c r="YF27" s="1852"/>
      <c r="YG27" s="1852"/>
      <c r="YH27" s="1852"/>
      <c r="YI27" s="1852"/>
      <c r="YJ27" s="1852"/>
      <c r="YK27" s="1852"/>
      <c r="YL27" s="1852"/>
      <c r="YM27" s="1852"/>
      <c r="YN27" s="1852"/>
      <c r="YO27" s="1852"/>
      <c r="YP27" s="1852"/>
      <c r="YQ27" s="1852"/>
      <c r="YR27" s="1852"/>
      <c r="YS27" s="1852"/>
      <c r="YT27" s="1852"/>
      <c r="YU27" s="1852"/>
      <c r="YV27" s="1852"/>
      <c r="YW27" s="1852"/>
      <c r="YX27" s="1852"/>
      <c r="YY27" s="1852"/>
      <c r="YZ27" s="1852"/>
      <c r="ZA27" s="1852"/>
      <c r="ZB27" s="1852"/>
      <c r="ZC27" s="1852"/>
      <c r="ZD27" s="1852"/>
      <c r="ZE27" s="1852"/>
      <c r="ZF27" s="1852"/>
      <c r="ZG27" s="1852"/>
      <c r="ZH27" s="1852"/>
      <c r="ZI27" s="1852"/>
      <c r="ZJ27" s="1852"/>
      <c r="ZK27" s="1852"/>
      <c r="ZL27" s="1852"/>
      <c r="ZM27" s="1852"/>
      <c r="ZN27" s="1852"/>
      <c r="ZO27" s="1852"/>
      <c r="ZP27" s="1852"/>
      <c r="ZQ27" s="1852"/>
      <c r="ZR27" s="1852"/>
      <c r="ZS27" s="1852"/>
      <c r="ZT27" s="1852"/>
      <c r="ZU27" s="1852"/>
      <c r="ZV27" s="1852"/>
      <c r="ZW27" s="1852"/>
      <c r="ZX27" s="1852"/>
      <c r="ZY27" s="1852"/>
      <c r="ZZ27" s="1852"/>
      <c r="AAA27" s="1852"/>
      <c r="AAB27" s="1852"/>
      <c r="AAC27" s="1852"/>
      <c r="AAD27" s="1852"/>
      <c r="AAE27" s="1852"/>
      <c r="AAF27" s="1852"/>
      <c r="AAG27" s="1852"/>
      <c r="AAH27" s="1852"/>
      <c r="AAI27" s="1852"/>
      <c r="AAJ27" s="1852"/>
      <c r="AAK27" s="1852"/>
      <c r="AAL27" s="1852"/>
      <c r="AAM27" s="1852"/>
      <c r="AAN27" s="1852"/>
      <c r="AAO27" s="1852"/>
      <c r="AAP27" s="1852"/>
      <c r="AAQ27" s="1852"/>
      <c r="AAR27" s="1852"/>
      <c r="AAS27" s="1852"/>
      <c r="AAT27" s="1852"/>
      <c r="AAU27" s="1852"/>
      <c r="AAV27" s="1852"/>
      <c r="AAW27" s="1852"/>
      <c r="AAX27" s="1852"/>
      <c r="AAY27" s="1852"/>
      <c r="AAZ27" s="1852"/>
      <c r="ABA27" s="1852"/>
      <c r="ABB27" s="1852"/>
      <c r="ABC27" s="1852"/>
      <c r="ABD27" s="1852"/>
      <c r="ABE27" s="1852"/>
      <c r="ABF27" s="1852"/>
      <c r="ABG27" s="1852"/>
      <c r="ABH27" s="1852"/>
      <c r="ABI27" s="1852"/>
      <c r="ABJ27" s="1852"/>
      <c r="ABK27" s="1852"/>
      <c r="ABL27" s="1852"/>
      <c r="ABM27" s="1852"/>
      <c r="ABN27" s="1852"/>
      <c r="ABO27" s="1852"/>
      <c r="ABP27" s="1852"/>
      <c r="ABQ27" s="1852"/>
      <c r="ABR27" s="1852"/>
      <c r="ABS27" s="1852"/>
      <c r="ABT27" s="1852"/>
      <c r="ABU27" s="1852"/>
      <c r="ABV27" s="1852"/>
      <c r="ABW27" s="1852"/>
      <c r="ABX27" s="1852"/>
      <c r="ABY27" s="1852"/>
      <c r="ABZ27" s="1852"/>
      <c r="ACA27" s="1852"/>
      <c r="ACB27" s="1852"/>
      <c r="ACC27" s="1852"/>
      <c r="ACD27" s="1852"/>
      <c r="ACE27" s="1852"/>
      <c r="ACF27" s="1852"/>
      <c r="ACG27" s="1852"/>
      <c r="ACH27" s="1852"/>
      <c r="ACI27" s="1852"/>
      <c r="ACJ27" s="1852"/>
      <c r="ACK27" s="1852"/>
      <c r="ACL27" s="1852"/>
      <c r="ACM27" s="1852"/>
      <c r="ACN27" s="1852"/>
      <c r="ACO27" s="1852"/>
      <c r="ACP27" s="1852"/>
      <c r="ACQ27" s="1852"/>
      <c r="ACR27" s="1852"/>
      <c r="ACS27" s="1852"/>
      <c r="ACT27" s="1852"/>
      <c r="ACU27" s="1852"/>
      <c r="ACV27" s="1852"/>
      <c r="ACW27" s="1852"/>
      <c r="ACX27" s="1852"/>
      <c r="ACY27" s="1852"/>
      <c r="ACZ27" s="1852"/>
      <c r="ADA27" s="1852"/>
      <c r="ADB27" s="1852"/>
      <c r="ADC27" s="1852"/>
      <c r="ADD27" s="1852"/>
      <c r="ADE27" s="1852"/>
      <c r="ADF27" s="1852"/>
      <c r="ADG27" s="1852"/>
      <c r="ADH27" s="1852"/>
      <c r="ADI27" s="1852"/>
      <c r="ADJ27" s="1852"/>
      <c r="ADK27" s="1852"/>
      <c r="ADL27" s="1852"/>
      <c r="ADM27" s="1852"/>
      <c r="ADN27" s="1852"/>
      <c r="ADO27" s="1852"/>
      <c r="ADP27" s="1852"/>
      <c r="ADQ27" s="1852"/>
      <c r="ADR27" s="1852"/>
      <c r="ADS27" s="1852"/>
      <c r="ADT27" s="1852"/>
      <c r="ADU27" s="1852"/>
      <c r="ADV27" s="1852"/>
      <c r="ADW27" s="1852"/>
      <c r="ADX27" s="1852"/>
      <c r="ADY27" s="1852"/>
      <c r="ADZ27" s="1852"/>
      <c r="AEA27" s="1852"/>
      <c r="AEB27" s="1852"/>
      <c r="AEC27" s="1852"/>
      <c r="AED27" s="1852"/>
      <c r="AEE27" s="1852"/>
      <c r="AEF27" s="1852"/>
      <c r="AEG27" s="1852"/>
      <c r="AEH27" s="1852"/>
      <c r="AEI27" s="1852"/>
      <c r="AEJ27" s="1852"/>
      <c r="AEK27" s="1852"/>
      <c r="AEL27" s="1852"/>
      <c r="AEM27" s="1852"/>
      <c r="AEN27" s="1852"/>
      <c r="AEO27" s="1852"/>
      <c r="AEP27" s="1852"/>
      <c r="AEQ27" s="1852"/>
      <c r="AER27" s="1852"/>
      <c r="AES27" s="1852"/>
      <c r="AET27" s="1852"/>
      <c r="AEU27" s="1852"/>
      <c r="AEV27" s="1852"/>
      <c r="AEW27" s="1852"/>
      <c r="AEX27" s="1852"/>
      <c r="AEY27" s="1852"/>
      <c r="AEZ27" s="1852"/>
      <c r="AFA27" s="1852"/>
      <c r="AFB27" s="1852"/>
      <c r="AFC27" s="1852"/>
      <c r="AFD27" s="1852"/>
      <c r="AFE27" s="1852"/>
      <c r="AFF27" s="1852"/>
      <c r="AFG27" s="1852"/>
      <c r="AFH27" s="1852"/>
      <c r="AFI27" s="1852"/>
      <c r="AFJ27" s="1852"/>
      <c r="AFK27" s="1852"/>
      <c r="AFL27" s="1852"/>
      <c r="AFM27" s="1852"/>
      <c r="AFN27" s="1852"/>
      <c r="AFO27" s="1852"/>
      <c r="AFP27" s="1852"/>
      <c r="AFQ27" s="1852"/>
      <c r="AFR27" s="1852"/>
      <c r="AFS27" s="1852"/>
      <c r="AFT27" s="1852"/>
      <c r="AFU27" s="1852"/>
      <c r="AFV27" s="1852"/>
      <c r="AFW27" s="1852"/>
      <c r="AFX27" s="1852"/>
      <c r="AFY27" s="1852"/>
      <c r="AFZ27" s="1852"/>
      <c r="AGA27" s="1852"/>
      <c r="AGB27" s="1852"/>
      <c r="AGC27" s="1852"/>
      <c r="AGD27" s="1852"/>
      <c r="AGE27" s="1852"/>
      <c r="AGF27" s="1852"/>
      <c r="AGG27" s="1852"/>
      <c r="AGH27" s="1852"/>
      <c r="AGI27" s="1852"/>
      <c r="AGJ27" s="1852"/>
      <c r="AGK27" s="1852"/>
      <c r="AGL27" s="1852"/>
      <c r="AGM27" s="1852"/>
      <c r="AGN27" s="1852"/>
      <c r="AGO27" s="1852"/>
      <c r="AGP27" s="1852"/>
      <c r="AGQ27" s="1852"/>
      <c r="AGR27" s="1852"/>
      <c r="AGS27" s="1852"/>
      <c r="AGT27" s="1852"/>
      <c r="AGU27" s="1852"/>
      <c r="AGV27" s="1852"/>
      <c r="AGW27" s="1852"/>
      <c r="AGX27" s="1852"/>
      <c r="AGY27" s="1852"/>
      <c r="AGZ27" s="1852"/>
      <c r="AHA27" s="1852"/>
      <c r="AHB27" s="1852"/>
      <c r="AHC27" s="1852"/>
      <c r="AHD27" s="1852"/>
      <c r="AHE27" s="1852"/>
      <c r="AHF27" s="1852"/>
      <c r="AHG27" s="1852"/>
      <c r="AHH27" s="1852"/>
      <c r="AHI27" s="1852"/>
      <c r="AHJ27" s="1852"/>
      <c r="AHK27" s="1852"/>
      <c r="AHL27" s="1852"/>
      <c r="AHM27" s="1852"/>
      <c r="AHN27" s="1852"/>
      <c r="AHO27" s="1852"/>
      <c r="AHP27" s="1852"/>
      <c r="AHQ27" s="1852"/>
      <c r="AHR27" s="1852"/>
      <c r="AHS27" s="1852"/>
      <c r="AHT27" s="1852"/>
      <c r="AHU27" s="1852"/>
      <c r="AHV27" s="1852"/>
      <c r="AHW27" s="1852"/>
      <c r="AHX27" s="1852"/>
      <c r="AHY27" s="1852"/>
      <c r="AHZ27" s="1852"/>
      <c r="AIA27" s="1852"/>
      <c r="AIB27" s="1852"/>
      <c r="AIC27" s="1852"/>
      <c r="AID27" s="1852"/>
      <c r="AIE27" s="1852"/>
      <c r="AIF27" s="1852"/>
      <c r="AIG27" s="1852"/>
      <c r="AIH27" s="1852"/>
      <c r="AII27" s="1852"/>
      <c r="AIJ27" s="1852"/>
      <c r="AIK27" s="1852"/>
      <c r="AIL27" s="1852"/>
      <c r="AIM27" s="1852"/>
      <c r="AIN27" s="1852"/>
      <c r="AIO27" s="1852"/>
      <c r="AIP27" s="1852"/>
      <c r="AIQ27" s="1852"/>
      <c r="AIR27" s="1852"/>
      <c r="AIS27" s="1852"/>
      <c r="AIT27" s="1852"/>
      <c r="AIU27" s="1852"/>
      <c r="AIV27" s="1852"/>
      <c r="AIW27" s="1852"/>
      <c r="AIX27" s="1852"/>
      <c r="AIY27" s="1852"/>
      <c r="AIZ27" s="1852"/>
      <c r="AJA27" s="1852"/>
      <c r="AJB27" s="1852"/>
      <c r="AJC27" s="1852"/>
      <c r="AJD27" s="1852"/>
      <c r="AJE27" s="1852"/>
      <c r="AJF27" s="1852"/>
      <c r="AJG27" s="1852"/>
      <c r="AJH27" s="1852"/>
      <c r="AJI27" s="1852"/>
      <c r="AJJ27" s="1852"/>
      <c r="AJK27" s="1852"/>
      <c r="AJL27" s="1852"/>
      <c r="AJM27" s="1852"/>
      <c r="AJN27" s="1852"/>
      <c r="AJO27" s="1852"/>
      <c r="AJP27" s="1852"/>
      <c r="AJQ27" s="1852"/>
      <c r="AJR27" s="1852"/>
      <c r="AJS27" s="1852"/>
      <c r="AJT27" s="1852"/>
      <c r="AJU27" s="1852"/>
      <c r="AJV27" s="1852"/>
      <c r="AJW27" s="1852"/>
      <c r="AJX27" s="1852"/>
      <c r="AJY27" s="1852"/>
      <c r="AJZ27" s="1852"/>
      <c r="AKA27" s="1852"/>
      <c r="AKB27" s="1852"/>
      <c r="AKC27" s="1852"/>
      <c r="AKD27" s="1852"/>
      <c r="AKE27" s="1852"/>
      <c r="AKF27" s="1852"/>
      <c r="AKG27" s="1852"/>
      <c r="AKH27" s="1852"/>
      <c r="AKI27" s="1852"/>
      <c r="AKJ27" s="1852"/>
      <c r="AKK27" s="1852"/>
      <c r="AKL27" s="1852"/>
      <c r="AKM27" s="1852"/>
      <c r="AKN27" s="1852"/>
      <c r="AKO27" s="1852"/>
      <c r="AKP27" s="1852"/>
      <c r="AKQ27" s="1852"/>
      <c r="AKR27" s="1852"/>
      <c r="AKS27" s="1852"/>
      <c r="AKT27" s="1852"/>
      <c r="AKU27" s="1852"/>
      <c r="AKV27" s="1852"/>
      <c r="AKW27" s="1852"/>
      <c r="AKX27" s="1852"/>
      <c r="AKY27" s="1852"/>
      <c r="AKZ27" s="1852"/>
      <c r="ALA27" s="1852"/>
      <c r="ALB27" s="1852"/>
      <c r="ALC27" s="1852"/>
      <c r="ALD27" s="1852"/>
      <c r="ALE27" s="1852"/>
      <c r="ALF27" s="1852"/>
      <c r="ALG27" s="1852"/>
      <c r="ALH27" s="1852"/>
      <c r="ALI27" s="1852"/>
      <c r="ALJ27" s="1852"/>
      <c r="ALK27" s="1852"/>
      <c r="ALL27" s="1852"/>
      <c r="ALM27" s="1852"/>
      <c r="ALN27" s="1852"/>
      <c r="ALO27" s="1852"/>
      <c r="ALP27" s="1852"/>
      <c r="ALQ27" s="1852"/>
      <c r="ALR27" s="1852"/>
    </row>
    <row r="28" spans="1:1006" x14ac:dyDescent="0.3">
      <c r="A28" s="1854"/>
      <c r="B28" t="s">
        <v>1216</v>
      </c>
      <c r="C28" s="1853" t="s">
        <v>1218</v>
      </c>
      <c r="D28" s="1855">
        <f t="shared" si="0"/>
        <v>0</v>
      </c>
      <c r="E28" s="1855">
        <f t="shared" si="1"/>
        <v>0</v>
      </c>
      <c r="F28" s="1855">
        <f t="shared" si="2"/>
        <v>0</v>
      </c>
      <c r="G28" s="1852"/>
      <c r="H28" s="1852"/>
      <c r="I28" s="1852"/>
      <c r="J28" s="1852"/>
      <c r="K28" s="1852"/>
      <c r="L28" s="1852"/>
      <c r="M28" s="1852"/>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c r="AL28" s="1852"/>
      <c r="AM28" s="1852"/>
      <c r="AN28" s="1852"/>
      <c r="AO28" s="1852"/>
      <c r="AP28" s="1852"/>
      <c r="AQ28" s="1852"/>
      <c r="AR28" s="1852"/>
      <c r="AS28" s="1852"/>
      <c r="AT28" s="1852"/>
      <c r="AU28" s="1852"/>
      <c r="AV28" s="1852"/>
      <c r="AW28" s="1852"/>
      <c r="AX28" s="1852"/>
      <c r="AY28" s="1852"/>
      <c r="AZ28" s="1852"/>
      <c r="BA28" s="1852"/>
      <c r="BB28" s="1852"/>
      <c r="BC28" s="1852"/>
      <c r="BD28" s="1852"/>
      <c r="BE28" s="1852"/>
      <c r="BF28" s="1852"/>
      <c r="BG28" s="1852"/>
      <c r="BH28" s="1852"/>
      <c r="BI28" s="1852"/>
      <c r="BJ28" s="1852"/>
      <c r="BK28" s="1852"/>
      <c r="BL28" s="1852"/>
      <c r="BM28" s="1852"/>
      <c r="BN28" s="1852"/>
      <c r="BO28" s="1852"/>
      <c r="BP28" s="1852"/>
      <c r="BQ28" s="1852"/>
      <c r="BR28" s="1852"/>
      <c r="BS28" s="1852"/>
      <c r="BT28" s="1852"/>
      <c r="BU28" s="1852"/>
      <c r="BV28" s="1852"/>
      <c r="BW28" s="1852"/>
      <c r="BX28" s="1852"/>
      <c r="BY28" s="1852"/>
      <c r="BZ28" s="1852"/>
      <c r="CA28" s="1852"/>
      <c r="CB28" s="1852"/>
      <c r="CC28" s="1852"/>
      <c r="CD28" s="1852"/>
      <c r="CE28" s="1852"/>
      <c r="CF28" s="1852"/>
      <c r="CG28" s="1852"/>
      <c r="CH28" s="1852"/>
      <c r="CI28" s="1852"/>
      <c r="CJ28" s="1852"/>
      <c r="CK28" s="1852"/>
      <c r="CL28" s="1852"/>
      <c r="CM28" s="1852"/>
      <c r="CN28" s="1852"/>
      <c r="CO28" s="1852"/>
      <c r="CP28" s="1852"/>
      <c r="CQ28" s="1852"/>
      <c r="CR28" s="1852"/>
      <c r="CS28" s="1852"/>
      <c r="CT28" s="1852"/>
      <c r="CU28" s="1852"/>
      <c r="CV28" s="1852"/>
      <c r="CW28" s="1852"/>
      <c r="CX28" s="1852"/>
      <c r="CY28" s="1852"/>
      <c r="CZ28" s="1852"/>
      <c r="DA28" s="1852"/>
      <c r="DB28" s="1852"/>
      <c r="DC28" s="1852"/>
      <c r="DD28" s="1852"/>
      <c r="DE28" s="1852"/>
      <c r="DF28" s="1852"/>
      <c r="DG28" s="1852"/>
      <c r="DH28" s="1852"/>
      <c r="DI28" s="1852"/>
      <c r="DJ28" s="1852"/>
      <c r="DK28" s="1852"/>
      <c r="DL28" s="1852"/>
      <c r="DM28" s="1852"/>
      <c r="DN28" s="1852"/>
      <c r="DO28" s="1852"/>
      <c r="DP28" s="1852"/>
      <c r="DQ28" s="1852"/>
      <c r="DR28" s="1852"/>
      <c r="DS28" s="1852"/>
      <c r="DT28" s="1852"/>
      <c r="DU28" s="1852"/>
      <c r="DV28" s="1852"/>
      <c r="DW28" s="1852"/>
      <c r="DX28" s="1852"/>
      <c r="DY28" s="1852"/>
      <c r="DZ28" s="1852"/>
      <c r="EA28" s="1852"/>
      <c r="EB28" s="1852"/>
      <c r="EC28" s="1852"/>
      <c r="ED28" s="1852"/>
      <c r="EE28" s="1852"/>
      <c r="EF28" s="1852"/>
      <c r="EG28" s="1852"/>
      <c r="EH28" s="1852"/>
      <c r="EI28" s="1852"/>
      <c r="EJ28" s="1852"/>
      <c r="EK28" s="1852"/>
      <c r="EL28" s="1852"/>
      <c r="EM28" s="1852"/>
      <c r="EN28" s="1852"/>
      <c r="EO28" s="1852"/>
      <c r="EP28" s="1852"/>
      <c r="EQ28" s="1852"/>
      <c r="ER28" s="1852"/>
      <c r="ES28" s="1852"/>
      <c r="ET28" s="1852"/>
      <c r="EU28" s="1852"/>
      <c r="EV28" s="1852"/>
      <c r="EW28" s="1852"/>
      <c r="EX28" s="1852"/>
      <c r="EY28" s="1852"/>
      <c r="EZ28" s="1852"/>
      <c r="FA28" s="1852"/>
      <c r="FB28" s="1852"/>
      <c r="FC28" s="1852"/>
      <c r="FD28" s="1852"/>
      <c r="FE28" s="1852"/>
      <c r="FF28" s="1852"/>
      <c r="FG28" s="1852"/>
      <c r="FH28" s="1852"/>
      <c r="FI28" s="1852"/>
      <c r="FJ28" s="1852"/>
      <c r="FK28" s="1852"/>
      <c r="FL28" s="1852"/>
      <c r="FM28" s="1852"/>
      <c r="FN28" s="1852"/>
      <c r="FO28" s="1852"/>
      <c r="FP28" s="1852"/>
      <c r="FQ28" s="1852"/>
      <c r="FR28" s="1852"/>
      <c r="FS28" s="1852"/>
      <c r="FT28" s="1852"/>
      <c r="FU28" s="1852"/>
      <c r="FV28" s="1852"/>
      <c r="FW28" s="1852"/>
      <c r="FX28" s="1852"/>
      <c r="FY28" s="1852"/>
      <c r="FZ28" s="1852"/>
      <c r="GA28" s="1852"/>
      <c r="GB28" s="1852"/>
      <c r="GC28" s="1852"/>
      <c r="GD28" s="1852"/>
      <c r="GE28" s="1852"/>
      <c r="GF28" s="1852"/>
      <c r="GG28" s="1852"/>
      <c r="GH28" s="1852"/>
      <c r="GI28" s="1852"/>
      <c r="GJ28" s="1852"/>
      <c r="GK28" s="1852"/>
      <c r="GL28" s="1852"/>
      <c r="GM28" s="1852"/>
      <c r="GN28" s="1852"/>
      <c r="GO28" s="1852"/>
      <c r="GP28" s="1852"/>
      <c r="GQ28" s="1852"/>
      <c r="GR28" s="1852"/>
      <c r="GS28" s="1852"/>
      <c r="GT28" s="1852"/>
      <c r="GU28" s="1852"/>
      <c r="GV28" s="1852"/>
      <c r="GW28" s="1852"/>
      <c r="GX28" s="1852"/>
      <c r="GY28" s="1852"/>
      <c r="GZ28" s="1852"/>
      <c r="HA28" s="1852"/>
      <c r="HB28" s="1852"/>
      <c r="HC28" s="1852"/>
      <c r="HD28" s="1852"/>
      <c r="HE28" s="1852"/>
      <c r="HF28" s="1852"/>
      <c r="HG28" s="1852"/>
      <c r="HH28" s="1852"/>
      <c r="HI28" s="1852"/>
      <c r="HJ28" s="1852"/>
      <c r="HK28" s="1852"/>
      <c r="HL28" s="1852"/>
      <c r="HM28" s="1852"/>
      <c r="HN28" s="1852"/>
      <c r="HO28" s="1852"/>
      <c r="HP28" s="1852"/>
      <c r="HQ28" s="1852"/>
      <c r="HR28" s="1852"/>
      <c r="HS28" s="1852"/>
      <c r="HT28" s="1852"/>
      <c r="HU28" s="1852"/>
      <c r="HV28" s="1852"/>
      <c r="HW28" s="1852"/>
      <c r="HX28" s="1852"/>
      <c r="HY28" s="1852"/>
      <c r="HZ28" s="1852"/>
      <c r="IA28" s="1852"/>
      <c r="IB28" s="1852"/>
      <c r="IC28" s="1852"/>
      <c r="ID28" s="1852"/>
      <c r="IE28" s="1852"/>
      <c r="IF28" s="1852"/>
      <c r="IG28" s="1852"/>
      <c r="IH28" s="1852"/>
      <c r="II28" s="1852"/>
      <c r="IJ28" s="1852"/>
      <c r="IK28" s="1852"/>
      <c r="IL28" s="1852"/>
      <c r="IM28" s="1852"/>
      <c r="IN28" s="1852"/>
      <c r="IO28" s="1852"/>
      <c r="IP28" s="1852"/>
      <c r="IQ28" s="1852"/>
      <c r="IR28" s="1852"/>
      <c r="IS28" s="1852"/>
      <c r="IT28" s="1852"/>
      <c r="IU28" s="1852"/>
      <c r="IV28" s="1852"/>
      <c r="IW28" s="1852"/>
      <c r="IX28" s="1852"/>
      <c r="IY28" s="1852"/>
      <c r="IZ28" s="1852"/>
      <c r="JA28" s="1852"/>
      <c r="JB28" s="1852"/>
      <c r="JC28" s="1852"/>
      <c r="JD28" s="1852"/>
      <c r="JE28" s="1852"/>
      <c r="JF28" s="1852"/>
      <c r="JG28" s="1852"/>
      <c r="JH28" s="1852"/>
      <c r="JI28" s="1852"/>
      <c r="JJ28" s="1852"/>
      <c r="JK28" s="1852"/>
      <c r="JL28" s="1852"/>
      <c r="JM28" s="1852"/>
      <c r="JN28" s="1852"/>
      <c r="JO28" s="1852"/>
      <c r="JP28" s="1852"/>
      <c r="JQ28" s="1852"/>
      <c r="JR28" s="1852"/>
      <c r="JS28" s="1852"/>
      <c r="JT28" s="1852"/>
      <c r="JU28" s="1852"/>
      <c r="JV28" s="1852"/>
      <c r="JW28" s="1852"/>
      <c r="JX28" s="1852"/>
      <c r="JY28" s="1852"/>
      <c r="JZ28" s="1852"/>
      <c r="KA28" s="1852"/>
      <c r="KB28" s="1852"/>
      <c r="KC28" s="1852"/>
      <c r="KD28" s="1852"/>
      <c r="KE28" s="1852"/>
      <c r="KF28" s="1852"/>
      <c r="KG28" s="1852"/>
      <c r="KH28" s="1852"/>
      <c r="KI28" s="1852"/>
      <c r="KJ28" s="1852"/>
      <c r="KK28" s="1852"/>
      <c r="KL28" s="1852"/>
      <c r="KM28" s="1852"/>
      <c r="KN28" s="1852"/>
      <c r="KO28" s="1852"/>
      <c r="KP28" s="1852"/>
      <c r="KQ28" s="1852"/>
      <c r="KR28" s="1852"/>
      <c r="KS28" s="1852"/>
      <c r="KT28" s="1852"/>
      <c r="KU28" s="1852"/>
      <c r="KV28" s="1852"/>
      <c r="KW28" s="1852"/>
      <c r="KX28" s="1852"/>
      <c r="KY28" s="1852"/>
      <c r="KZ28" s="1852"/>
      <c r="LA28" s="1852"/>
      <c r="LB28" s="1852"/>
      <c r="LC28" s="1852"/>
      <c r="LD28" s="1852"/>
      <c r="LE28" s="1852"/>
      <c r="LF28" s="1852"/>
      <c r="LG28" s="1852"/>
      <c r="LH28" s="1852"/>
      <c r="LI28" s="1852"/>
      <c r="LJ28" s="1852"/>
      <c r="LK28" s="1852"/>
      <c r="LL28" s="1852"/>
      <c r="LM28" s="1852"/>
      <c r="LN28" s="1852"/>
      <c r="LO28" s="1852"/>
      <c r="LP28" s="1852"/>
      <c r="LQ28" s="1852"/>
      <c r="LR28" s="1852"/>
      <c r="LS28" s="1852"/>
      <c r="LT28" s="1852"/>
      <c r="LU28" s="1852"/>
      <c r="LV28" s="1852"/>
      <c r="LW28" s="1852"/>
      <c r="LX28" s="1852"/>
      <c r="LY28" s="1852"/>
      <c r="LZ28" s="1852"/>
      <c r="MA28" s="1852"/>
      <c r="MB28" s="1852"/>
      <c r="MC28" s="1852"/>
      <c r="MD28" s="1852"/>
      <c r="ME28" s="1852"/>
      <c r="MF28" s="1852"/>
      <c r="MG28" s="1852"/>
      <c r="MH28" s="1852"/>
      <c r="MI28" s="1852"/>
      <c r="MJ28" s="1852"/>
      <c r="MK28" s="1852"/>
      <c r="ML28" s="1852"/>
      <c r="MM28" s="1852"/>
      <c r="MN28" s="1852"/>
      <c r="MO28" s="1852"/>
      <c r="MP28" s="1852"/>
      <c r="MQ28" s="1852"/>
      <c r="MR28" s="1852"/>
      <c r="MS28" s="1852"/>
      <c r="MT28" s="1852"/>
      <c r="MU28" s="1852"/>
      <c r="MV28" s="1852"/>
      <c r="MW28" s="1852"/>
      <c r="MX28" s="1852"/>
      <c r="MY28" s="1852"/>
      <c r="MZ28" s="1852"/>
      <c r="NA28" s="1852"/>
      <c r="NB28" s="1852"/>
      <c r="NC28" s="1852"/>
      <c r="ND28" s="1852"/>
      <c r="NE28" s="1852"/>
      <c r="NF28" s="1852"/>
      <c r="NG28" s="1852"/>
      <c r="NH28" s="1852"/>
      <c r="NI28" s="1852"/>
      <c r="NJ28" s="1852"/>
      <c r="NK28" s="1852"/>
      <c r="NL28" s="1852"/>
      <c r="NM28" s="1852"/>
      <c r="NN28" s="1852"/>
      <c r="NO28" s="1852"/>
      <c r="NP28" s="1852"/>
      <c r="NQ28" s="1852"/>
      <c r="NR28" s="1852"/>
      <c r="NS28" s="1852"/>
      <c r="NT28" s="1852"/>
      <c r="NU28" s="1852"/>
      <c r="NV28" s="1852"/>
      <c r="NW28" s="1852"/>
      <c r="NX28" s="1852"/>
      <c r="NY28" s="1852"/>
      <c r="NZ28" s="1852"/>
      <c r="OA28" s="1852"/>
      <c r="OB28" s="1852"/>
      <c r="OC28" s="1852"/>
      <c r="OD28" s="1852"/>
      <c r="OE28" s="1852"/>
      <c r="OF28" s="1852"/>
      <c r="OG28" s="1852"/>
      <c r="OH28" s="1852"/>
      <c r="OI28" s="1852"/>
      <c r="OJ28" s="1852"/>
      <c r="OK28" s="1852"/>
      <c r="OL28" s="1852"/>
      <c r="OM28" s="1852"/>
      <c r="ON28" s="1852"/>
      <c r="OO28" s="1852"/>
      <c r="OP28" s="1852"/>
      <c r="OQ28" s="1852"/>
      <c r="OR28" s="1852"/>
      <c r="OS28" s="1852"/>
      <c r="OT28" s="1852"/>
      <c r="OU28" s="1852"/>
      <c r="OV28" s="1852"/>
      <c r="OW28" s="1852"/>
      <c r="OX28" s="1852"/>
      <c r="OY28" s="1852"/>
      <c r="OZ28" s="1852"/>
      <c r="PA28" s="1852"/>
      <c r="PB28" s="1852"/>
      <c r="PC28" s="1852"/>
      <c r="PD28" s="1852"/>
      <c r="PE28" s="1852"/>
      <c r="PF28" s="1852"/>
      <c r="PG28" s="1852"/>
      <c r="PH28" s="1852"/>
      <c r="PI28" s="1852"/>
      <c r="PJ28" s="1852"/>
      <c r="PK28" s="1852"/>
      <c r="PL28" s="1852"/>
      <c r="PM28" s="1852"/>
      <c r="PN28" s="1852"/>
      <c r="PO28" s="1852"/>
      <c r="PP28" s="1852"/>
      <c r="PQ28" s="1852"/>
      <c r="PR28" s="1852"/>
      <c r="PS28" s="1852"/>
      <c r="PT28" s="1852"/>
      <c r="PU28" s="1852"/>
      <c r="PV28" s="1852"/>
      <c r="PW28" s="1852"/>
      <c r="PX28" s="1852"/>
      <c r="PY28" s="1852"/>
      <c r="PZ28" s="1852"/>
      <c r="QA28" s="1852"/>
      <c r="QB28" s="1852"/>
      <c r="QC28" s="1852"/>
      <c r="QD28" s="1852"/>
      <c r="QE28" s="1852"/>
      <c r="QF28" s="1852"/>
      <c r="QG28" s="1852"/>
      <c r="QH28" s="1852"/>
      <c r="QI28" s="1852"/>
      <c r="QJ28" s="1852"/>
      <c r="QK28" s="1852"/>
      <c r="QL28" s="1852"/>
      <c r="QM28" s="1852"/>
      <c r="QN28" s="1852"/>
      <c r="QO28" s="1852"/>
      <c r="QP28" s="1852"/>
      <c r="QQ28" s="1852"/>
      <c r="QR28" s="1852"/>
      <c r="QS28" s="1852"/>
      <c r="QT28" s="1852"/>
      <c r="QU28" s="1852"/>
      <c r="QV28" s="1852"/>
      <c r="QW28" s="1852"/>
      <c r="QX28" s="1852"/>
      <c r="QY28" s="1852"/>
      <c r="QZ28" s="1852"/>
      <c r="RA28" s="1852"/>
      <c r="RB28" s="1852"/>
      <c r="RC28" s="1852"/>
      <c r="RD28" s="1852"/>
      <c r="RE28" s="1852"/>
      <c r="RF28" s="1852"/>
      <c r="RG28" s="1852"/>
      <c r="RH28" s="1852"/>
      <c r="RI28" s="1852"/>
      <c r="RJ28" s="1852"/>
      <c r="RK28" s="1852"/>
      <c r="RL28" s="1852"/>
      <c r="RM28" s="1852"/>
      <c r="RN28" s="1852"/>
      <c r="RO28" s="1852"/>
      <c r="RP28" s="1852"/>
      <c r="RQ28" s="1852"/>
      <c r="RR28" s="1852"/>
      <c r="RS28" s="1852"/>
      <c r="RT28" s="1852"/>
      <c r="RU28" s="1852"/>
      <c r="RV28" s="1852"/>
      <c r="RW28" s="1852"/>
      <c r="RX28" s="1852"/>
      <c r="RY28" s="1852"/>
      <c r="RZ28" s="1852"/>
      <c r="SA28" s="1852"/>
      <c r="SB28" s="1852"/>
      <c r="SC28" s="1852"/>
      <c r="SD28" s="1852"/>
      <c r="SE28" s="1852"/>
      <c r="SF28" s="1852"/>
      <c r="SG28" s="1852"/>
      <c r="SH28" s="1852"/>
      <c r="SI28" s="1852"/>
      <c r="SJ28" s="1852"/>
      <c r="SK28" s="1852"/>
      <c r="SL28" s="1852"/>
      <c r="SM28" s="1852"/>
      <c r="SN28" s="1852"/>
      <c r="SO28" s="1852"/>
      <c r="SP28" s="1852"/>
      <c r="SQ28" s="1852"/>
      <c r="SR28" s="1852"/>
      <c r="SS28" s="1852"/>
      <c r="ST28" s="1852"/>
      <c r="SU28" s="1852"/>
      <c r="SV28" s="1852"/>
      <c r="SW28" s="1852"/>
      <c r="SX28" s="1852"/>
      <c r="SY28" s="1852"/>
      <c r="SZ28" s="1852"/>
      <c r="TA28" s="1852"/>
      <c r="TB28" s="1852"/>
      <c r="TC28" s="1852"/>
      <c r="TD28" s="1852"/>
      <c r="TE28" s="1852"/>
      <c r="TF28" s="1852"/>
      <c r="TG28" s="1852"/>
      <c r="TH28" s="1852"/>
      <c r="TI28" s="1852"/>
      <c r="TJ28" s="1852"/>
      <c r="TK28" s="1852"/>
      <c r="TL28" s="1852"/>
      <c r="TM28" s="1852"/>
      <c r="TN28" s="1852"/>
      <c r="TO28" s="1852"/>
      <c r="TP28" s="1852"/>
      <c r="TQ28" s="1852"/>
      <c r="TR28" s="1852"/>
      <c r="TS28" s="1852"/>
      <c r="TT28" s="1852"/>
      <c r="TU28" s="1852"/>
      <c r="TV28" s="1852"/>
      <c r="TW28" s="1852"/>
      <c r="TX28" s="1852"/>
      <c r="TY28" s="1852"/>
      <c r="TZ28" s="1852"/>
      <c r="UA28" s="1852"/>
      <c r="UB28" s="1852"/>
      <c r="UC28" s="1852"/>
      <c r="UD28" s="1852"/>
      <c r="UE28" s="1852"/>
      <c r="UF28" s="1852"/>
      <c r="UG28" s="1852"/>
      <c r="UH28" s="1852"/>
      <c r="UI28" s="1852"/>
      <c r="UJ28" s="1852"/>
      <c r="UK28" s="1852"/>
      <c r="UL28" s="1852"/>
      <c r="UM28" s="1852"/>
      <c r="UN28" s="1852"/>
      <c r="UO28" s="1852"/>
      <c r="UP28" s="1852"/>
      <c r="UQ28" s="1852"/>
      <c r="UR28" s="1852"/>
      <c r="US28" s="1852"/>
      <c r="UT28" s="1852"/>
      <c r="UU28" s="1852"/>
      <c r="UV28" s="1852"/>
      <c r="UW28" s="1852"/>
      <c r="UX28" s="1852"/>
      <c r="UY28" s="1852"/>
      <c r="UZ28" s="1852"/>
      <c r="VA28" s="1852"/>
      <c r="VB28" s="1852"/>
      <c r="VC28" s="1852"/>
      <c r="VD28" s="1852"/>
      <c r="VE28" s="1852"/>
      <c r="VF28" s="1852"/>
      <c r="VG28" s="1852"/>
      <c r="VH28" s="1852"/>
      <c r="VI28" s="1852"/>
      <c r="VJ28" s="1852"/>
      <c r="VK28" s="1852"/>
      <c r="VL28" s="1852"/>
      <c r="VM28" s="1852"/>
      <c r="VN28" s="1852"/>
      <c r="VO28" s="1852"/>
      <c r="VP28" s="1852"/>
      <c r="VQ28" s="1852"/>
      <c r="VR28" s="1852"/>
      <c r="VS28" s="1852"/>
      <c r="VT28" s="1852"/>
      <c r="VU28" s="1852"/>
      <c r="VV28" s="1852"/>
      <c r="VW28" s="1852"/>
      <c r="VX28" s="1852"/>
      <c r="VY28" s="1852"/>
      <c r="VZ28" s="1852"/>
      <c r="WA28" s="1852"/>
      <c r="WB28" s="1852"/>
      <c r="WC28" s="1852"/>
      <c r="WD28" s="1852"/>
      <c r="WE28" s="1852"/>
      <c r="WF28" s="1852"/>
      <c r="WG28" s="1852"/>
      <c r="WH28" s="1852"/>
      <c r="WI28" s="1852"/>
      <c r="WJ28" s="1852"/>
      <c r="WK28" s="1852"/>
      <c r="WL28" s="1852"/>
      <c r="WM28" s="1852"/>
      <c r="WN28" s="1852"/>
      <c r="WO28" s="1852"/>
      <c r="WP28" s="1852"/>
      <c r="WQ28" s="1852"/>
      <c r="WR28" s="1852"/>
      <c r="WS28" s="1852"/>
      <c r="WT28" s="1852"/>
      <c r="WU28" s="1852"/>
      <c r="WV28" s="1852"/>
      <c r="WW28" s="1852"/>
      <c r="WX28" s="1852"/>
      <c r="WY28" s="1852"/>
      <c r="WZ28" s="1852"/>
      <c r="XA28" s="1852"/>
      <c r="XB28" s="1852"/>
      <c r="XC28" s="1852"/>
      <c r="XD28" s="1852"/>
      <c r="XE28" s="1852"/>
      <c r="XF28" s="1852"/>
      <c r="XG28" s="1852"/>
      <c r="XH28" s="1852"/>
      <c r="XI28" s="1852"/>
      <c r="XJ28" s="1852"/>
      <c r="XK28" s="1852"/>
      <c r="XL28" s="1852"/>
      <c r="XM28" s="1852"/>
      <c r="XN28" s="1852"/>
      <c r="XO28" s="1852"/>
      <c r="XP28" s="1852"/>
      <c r="XQ28" s="1852"/>
      <c r="XR28" s="1852"/>
      <c r="XS28" s="1852"/>
      <c r="XT28" s="1852"/>
      <c r="XU28" s="1852"/>
      <c r="XV28" s="1852"/>
      <c r="XW28" s="1852"/>
      <c r="XX28" s="1852"/>
      <c r="XY28" s="1852"/>
      <c r="XZ28" s="1852"/>
      <c r="YA28" s="1852"/>
      <c r="YB28" s="1852"/>
      <c r="YC28" s="1852"/>
      <c r="YD28" s="1852"/>
      <c r="YE28" s="1852"/>
      <c r="YF28" s="1852"/>
      <c r="YG28" s="1852"/>
      <c r="YH28" s="1852"/>
      <c r="YI28" s="1852"/>
      <c r="YJ28" s="1852"/>
      <c r="YK28" s="1852"/>
      <c r="YL28" s="1852"/>
      <c r="YM28" s="1852"/>
      <c r="YN28" s="1852"/>
      <c r="YO28" s="1852"/>
      <c r="YP28" s="1852"/>
      <c r="YQ28" s="1852"/>
      <c r="YR28" s="1852"/>
      <c r="YS28" s="1852"/>
      <c r="YT28" s="1852"/>
      <c r="YU28" s="1852"/>
      <c r="YV28" s="1852"/>
      <c r="YW28" s="1852"/>
      <c r="YX28" s="1852"/>
      <c r="YY28" s="1852"/>
      <c r="YZ28" s="1852"/>
      <c r="ZA28" s="1852"/>
      <c r="ZB28" s="1852"/>
      <c r="ZC28" s="1852"/>
      <c r="ZD28" s="1852"/>
      <c r="ZE28" s="1852"/>
      <c r="ZF28" s="1852"/>
      <c r="ZG28" s="1852"/>
      <c r="ZH28" s="1852"/>
      <c r="ZI28" s="1852"/>
      <c r="ZJ28" s="1852"/>
      <c r="ZK28" s="1852"/>
      <c r="ZL28" s="1852"/>
      <c r="ZM28" s="1852"/>
      <c r="ZN28" s="1852"/>
      <c r="ZO28" s="1852"/>
      <c r="ZP28" s="1852"/>
      <c r="ZQ28" s="1852"/>
      <c r="ZR28" s="1852"/>
      <c r="ZS28" s="1852"/>
      <c r="ZT28" s="1852"/>
      <c r="ZU28" s="1852"/>
      <c r="ZV28" s="1852"/>
      <c r="ZW28" s="1852"/>
      <c r="ZX28" s="1852"/>
      <c r="ZY28" s="1852"/>
      <c r="ZZ28" s="1852"/>
      <c r="AAA28" s="1852"/>
      <c r="AAB28" s="1852"/>
      <c r="AAC28" s="1852"/>
      <c r="AAD28" s="1852"/>
      <c r="AAE28" s="1852"/>
      <c r="AAF28" s="1852"/>
      <c r="AAG28" s="1852"/>
      <c r="AAH28" s="1852"/>
      <c r="AAI28" s="1852"/>
      <c r="AAJ28" s="1852"/>
      <c r="AAK28" s="1852"/>
      <c r="AAL28" s="1852"/>
      <c r="AAM28" s="1852"/>
      <c r="AAN28" s="1852"/>
      <c r="AAO28" s="1852"/>
      <c r="AAP28" s="1852"/>
      <c r="AAQ28" s="1852"/>
      <c r="AAR28" s="1852"/>
      <c r="AAS28" s="1852"/>
      <c r="AAT28" s="1852"/>
      <c r="AAU28" s="1852"/>
      <c r="AAV28" s="1852"/>
      <c r="AAW28" s="1852"/>
      <c r="AAX28" s="1852"/>
      <c r="AAY28" s="1852"/>
      <c r="AAZ28" s="1852"/>
      <c r="ABA28" s="1852"/>
      <c r="ABB28" s="1852"/>
      <c r="ABC28" s="1852"/>
      <c r="ABD28" s="1852"/>
      <c r="ABE28" s="1852"/>
      <c r="ABF28" s="1852"/>
      <c r="ABG28" s="1852"/>
      <c r="ABH28" s="1852"/>
      <c r="ABI28" s="1852"/>
      <c r="ABJ28" s="1852"/>
      <c r="ABK28" s="1852"/>
      <c r="ABL28" s="1852"/>
      <c r="ABM28" s="1852"/>
      <c r="ABN28" s="1852"/>
      <c r="ABO28" s="1852"/>
      <c r="ABP28" s="1852"/>
      <c r="ABQ28" s="1852"/>
      <c r="ABR28" s="1852"/>
      <c r="ABS28" s="1852"/>
      <c r="ABT28" s="1852"/>
      <c r="ABU28" s="1852"/>
      <c r="ABV28" s="1852"/>
      <c r="ABW28" s="1852"/>
      <c r="ABX28" s="1852"/>
      <c r="ABY28" s="1852"/>
      <c r="ABZ28" s="1852"/>
      <c r="ACA28" s="1852"/>
      <c r="ACB28" s="1852"/>
      <c r="ACC28" s="1852"/>
      <c r="ACD28" s="1852"/>
      <c r="ACE28" s="1852"/>
      <c r="ACF28" s="1852"/>
      <c r="ACG28" s="1852"/>
      <c r="ACH28" s="1852"/>
      <c r="ACI28" s="1852"/>
      <c r="ACJ28" s="1852"/>
      <c r="ACK28" s="1852"/>
      <c r="ACL28" s="1852"/>
      <c r="ACM28" s="1852"/>
      <c r="ACN28" s="1852"/>
      <c r="ACO28" s="1852"/>
      <c r="ACP28" s="1852"/>
      <c r="ACQ28" s="1852"/>
      <c r="ACR28" s="1852"/>
      <c r="ACS28" s="1852"/>
      <c r="ACT28" s="1852"/>
      <c r="ACU28" s="1852"/>
      <c r="ACV28" s="1852"/>
      <c r="ACW28" s="1852"/>
      <c r="ACX28" s="1852"/>
      <c r="ACY28" s="1852"/>
      <c r="ACZ28" s="1852"/>
      <c r="ADA28" s="1852"/>
      <c r="ADB28" s="1852"/>
      <c r="ADC28" s="1852"/>
      <c r="ADD28" s="1852"/>
      <c r="ADE28" s="1852"/>
      <c r="ADF28" s="1852"/>
      <c r="ADG28" s="1852"/>
      <c r="ADH28" s="1852"/>
      <c r="ADI28" s="1852"/>
      <c r="ADJ28" s="1852"/>
      <c r="ADK28" s="1852"/>
      <c r="ADL28" s="1852"/>
      <c r="ADM28" s="1852"/>
      <c r="ADN28" s="1852"/>
      <c r="ADO28" s="1852"/>
      <c r="ADP28" s="1852"/>
      <c r="ADQ28" s="1852"/>
      <c r="ADR28" s="1852"/>
      <c r="ADS28" s="1852"/>
      <c r="ADT28" s="1852"/>
      <c r="ADU28" s="1852"/>
      <c r="ADV28" s="1852"/>
      <c r="ADW28" s="1852"/>
      <c r="ADX28" s="1852"/>
      <c r="ADY28" s="1852"/>
      <c r="ADZ28" s="1852"/>
      <c r="AEA28" s="1852"/>
      <c r="AEB28" s="1852"/>
      <c r="AEC28" s="1852"/>
      <c r="AED28" s="1852"/>
      <c r="AEE28" s="1852"/>
      <c r="AEF28" s="1852"/>
      <c r="AEG28" s="1852"/>
      <c r="AEH28" s="1852"/>
      <c r="AEI28" s="1852"/>
      <c r="AEJ28" s="1852"/>
      <c r="AEK28" s="1852"/>
      <c r="AEL28" s="1852"/>
      <c r="AEM28" s="1852"/>
      <c r="AEN28" s="1852"/>
      <c r="AEO28" s="1852"/>
      <c r="AEP28" s="1852"/>
      <c r="AEQ28" s="1852"/>
      <c r="AER28" s="1852"/>
      <c r="AES28" s="1852"/>
      <c r="AET28" s="1852"/>
      <c r="AEU28" s="1852"/>
      <c r="AEV28" s="1852"/>
      <c r="AEW28" s="1852"/>
      <c r="AEX28" s="1852"/>
      <c r="AEY28" s="1852"/>
      <c r="AEZ28" s="1852"/>
      <c r="AFA28" s="1852"/>
      <c r="AFB28" s="1852"/>
      <c r="AFC28" s="1852"/>
      <c r="AFD28" s="1852"/>
      <c r="AFE28" s="1852"/>
      <c r="AFF28" s="1852"/>
      <c r="AFG28" s="1852"/>
      <c r="AFH28" s="1852"/>
      <c r="AFI28" s="1852"/>
      <c r="AFJ28" s="1852"/>
      <c r="AFK28" s="1852"/>
      <c r="AFL28" s="1852"/>
      <c r="AFM28" s="1852"/>
      <c r="AFN28" s="1852"/>
      <c r="AFO28" s="1852"/>
      <c r="AFP28" s="1852"/>
      <c r="AFQ28" s="1852"/>
      <c r="AFR28" s="1852"/>
      <c r="AFS28" s="1852"/>
      <c r="AFT28" s="1852"/>
      <c r="AFU28" s="1852"/>
      <c r="AFV28" s="1852"/>
      <c r="AFW28" s="1852"/>
      <c r="AFX28" s="1852"/>
      <c r="AFY28" s="1852"/>
      <c r="AFZ28" s="1852"/>
      <c r="AGA28" s="1852"/>
      <c r="AGB28" s="1852"/>
      <c r="AGC28" s="1852"/>
      <c r="AGD28" s="1852"/>
      <c r="AGE28" s="1852"/>
      <c r="AGF28" s="1852"/>
      <c r="AGG28" s="1852"/>
      <c r="AGH28" s="1852"/>
      <c r="AGI28" s="1852"/>
      <c r="AGJ28" s="1852"/>
      <c r="AGK28" s="1852"/>
      <c r="AGL28" s="1852"/>
      <c r="AGM28" s="1852"/>
      <c r="AGN28" s="1852"/>
      <c r="AGO28" s="1852"/>
      <c r="AGP28" s="1852"/>
      <c r="AGQ28" s="1852"/>
      <c r="AGR28" s="1852"/>
      <c r="AGS28" s="1852"/>
      <c r="AGT28" s="1852"/>
      <c r="AGU28" s="1852"/>
      <c r="AGV28" s="1852"/>
      <c r="AGW28" s="1852"/>
      <c r="AGX28" s="1852"/>
      <c r="AGY28" s="1852"/>
      <c r="AGZ28" s="1852"/>
      <c r="AHA28" s="1852"/>
      <c r="AHB28" s="1852"/>
      <c r="AHC28" s="1852"/>
      <c r="AHD28" s="1852"/>
      <c r="AHE28" s="1852"/>
      <c r="AHF28" s="1852"/>
      <c r="AHG28" s="1852"/>
      <c r="AHH28" s="1852"/>
      <c r="AHI28" s="1852"/>
      <c r="AHJ28" s="1852"/>
      <c r="AHK28" s="1852"/>
      <c r="AHL28" s="1852"/>
      <c r="AHM28" s="1852"/>
      <c r="AHN28" s="1852"/>
      <c r="AHO28" s="1852"/>
      <c r="AHP28" s="1852"/>
      <c r="AHQ28" s="1852"/>
      <c r="AHR28" s="1852"/>
      <c r="AHS28" s="1852"/>
      <c r="AHT28" s="1852"/>
      <c r="AHU28" s="1852"/>
      <c r="AHV28" s="1852"/>
      <c r="AHW28" s="1852"/>
      <c r="AHX28" s="1852"/>
      <c r="AHY28" s="1852"/>
      <c r="AHZ28" s="1852"/>
      <c r="AIA28" s="1852"/>
      <c r="AIB28" s="1852"/>
      <c r="AIC28" s="1852"/>
      <c r="AID28" s="1852"/>
      <c r="AIE28" s="1852"/>
      <c r="AIF28" s="1852"/>
      <c r="AIG28" s="1852"/>
      <c r="AIH28" s="1852"/>
      <c r="AII28" s="1852"/>
      <c r="AIJ28" s="1852"/>
      <c r="AIK28" s="1852"/>
      <c r="AIL28" s="1852"/>
      <c r="AIM28" s="1852"/>
      <c r="AIN28" s="1852"/>
      <c r="AIO28" s="1852"/>
      <c r="AIP28" s="1852"/>
      <c r="AIQ28" s="1852"/>
      <c r="AIR28" s="1852"/>
      <c r="AIS28" s="1852"/>
      <c r="AIT28" s="1852"/>
      <c r="AIU28" s="1852"/>
      <c r="AIV28" s="1852"/>
      <c r="AIW28" s="1852"/>
      <c r="AIX28" s="1852"/>
      <c r="AIY28" s="1852"/>
      <c r="AIZ28" s="1852"/>
      <c r="AJA28" s="1852"/>
      <c r="AJB28" s="1852"/>
      <c r="AJC28" s="1852"/>
      <c r="AJD28" s="1852"/>
      <c r="AJE28" s="1852"/>
      <c r="AJF28" s="1852"/>
      <c r="AJG28" s="1852"/>
      <c r="AJH28" s="1852"/>
      <c r="AJI28" s="1852"/>
      <c r="AJJ28" s="1852"/>
      <c r="AJK28" s="1852"/>
      <c r="AJL28" s="1852"/>
      <c r="AJM28" s="1852"/>
      <c r="AJN28" s="1852"/>
      <c r="AJO28" s="1852"/>
      <c r="AJP28" s="1852"/>
      <c r="AJQ28" s="1852"/>
      <c r="AJR28" s="1852"/>
      <c r="AJS28" s="1852"/>
      <c r="AJT28" s="1852"/>
      <c r="AJU28" s="1852"/>
      <c r="AJV28" s="1852"/>
      <c r="AJW28" s="1852"/>
      <c r="AJX28" s="1852"/>
      <c r="AJY28" s="1852"/>
      <c r="AJZ28" s="1852"/>
      <c r="AKA28" s="1852"/>
      <c r="AKB28" s="1852"/>
      <c r="AKC28" s="1852"/>
      <c r="AKD28" s="1852"/>
      <c r="AKE28" s="1852"/>
      <c r="AKF28" s="1852"/>
      <c r="AKG28" s="1852"/>
      <c r="AKH28" s="1852"/>
      <c r="AKI28" s="1852"/>
      <c r="AKJ28" s="1852"/>
      <c r="AKK28" s="1852"/>
      <c r="AKL28" s="1852"/>
      <c r="AKM28" s="1852"/>
      <c r="AKN28" s="1852"/>
      <c r="AKO28" s="1852"/>
      <c r="AKP28" s="1852"/>
      <c r="AKQ28" s="1852"/>
      <c r="AKR28" s="1852"/>
      <c r="AKS28" s="1852"/>
      <c r="AKT28" s="1852"/>
      <c r="AKU28" s="1852"/>
      <c r="AKV28" s="1852"/>
      <c r="AKW28" s="1852"/>
      <c r="AKX28" s="1852"/>
      <c r="AKY28" s="1852"/>
      <c r="AKZ28" s="1852"/>
      <c r="ALA28" s="1852"/>
      <c r="ALB28" s="1852"/>
      <c r="ALC28" s="1852"/>
      <c r="ALD28" s="1852"/>
      <c r="ALE28" s="1852"/>
      <c r="ALF28" s="1852"/>
      <c r="ALG28" s="1852"/>
      <c r="ALH28" s="1852"/>
      <c r="ALI28" s="1852"/>
      <c r="ALJ28" s="1852"/>
      <c r="ALK28" s="1852"/>
      <c r="ALL28" s="1852"/>
      <c r="ALM28" s="1852"/>
      <c r="ALN28" s="1852"/>
      <c r="ALO28" s="1852"/>
      <c r="ALP28" s="1852"/>
      <c r="ALQ28" s="1852"/>
      <c r="ALR28" s="1852"/>
    </row>
    <row r="29" spans="1:1006" x14ac:dyDescent="0.3">
      <c r="A29" s="173" t="str">
        <f>DISCLAIMER!$A$35</f>
        <v>© 2025 by WinsWithMike.com or Michael Forsberg Nampa, Idaho. All rights reserved</v>
      </c>
      <c r="B29" s="174"/>
      <c r="C29" s="174"/>
      <c r="D29" s="174"/>
      <c r="E29" s="174"/>
      <c r="F29" s="174"/>
      <c r="G29" s="174"/>
      <c r="H29" s="174"/>
      <c r="I29" s="174"/>
      <c r="J29" s="174"/>
      <c r="K29" s="174"/>
      <c r="L29" s="174"/>
      <c r="M29" s="174"/>
      <c r="N29" s="174"/>
      <c r="O29" s="174"/>
      <c r="P29" s="174"/>
      <c r="Q29" s="174"/>
      <c r="R29" s="174"/>
      <c r="S29" s="174"/>
      <c r="T29" s="174"/>
      <c r="U29" s="174"/>
      <c r="V29" s="174"/>
      <c r="W29" s="174"/>
      <c r="X29" s="174"/>
    </row>
  </sheetData>
  <sheetProtection sheet="1" objects="1" scenarios="1" selectLockedCells="1"/>
  <phoneticPr fontId="2" type="noConversion"/>
  <pageMargins left="0.7" right="0.7" top="0.75" bottom="0.75" header="0.3" footer="0.3"/>
  <drawing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B360C-5488-4139-9B33-93525FD00880}">
  <sheetPr codeName="Sheet11">
    <tabColor theme="9" tint="0.79998168889431442"/>
  </sheetPr>
  <dimension ref="A1:BJ16"/>
  <sheetViews>
    <sheetView showGridLines="0" showRowColHeaders="0" topLeftCell="C1" workbookViewId="0">
      <pane ySplit="5" topLeftCell="A6" activePane="bottomLeft" state="frozen"/>
      <selection pane="bottomLeft" activeCell="Y3" sqref="Y3"/>
    </sheetView>
  </sheetViews>
  <sheetFormatPr defaultColWidth="9.109375" defaultRowHeight="14.4" x14ac:dyDescent="0.3"/>
  <cols>
    <col min="1" max="1" width="2.88671875" style="330" customWidth="1"/>
    <col min="2" max="4" width="9.109375" style="330"/>
    <col min="5" max="5" width="9.109375" style="330" customWidth="1"/>
    <col min="6" max="6" width="9.109375" style="330"/>
    <col min="7" max="8" width="9.109375" style="330" customWidth="1"/>
    <col min="9" max="16384" width="9.109375" style="330"/>
  </cols>
  <sheetData>
    <row r="1" spans="1:62" s="1244" customFormat="1" ht="30" customHeight="1" x14ac:dyDescent="0.25">
      <c r="A1" s="1870" t="s">
        <v>1070</v>
      </c>
      <c r="AS1" s="1292"/>
      <c r="AT1" s="1292"/>
      <c r="AU1" s="1292"/>
      <c r="AY1" s="1264"/>
    </row>
    <row r="2" spans="1:62" s="673" customFormat="1" ht="18.75" customHeight="1" x14ac:dyDescent="0.25">
      <c r="A2" s="1685"/>
      <c r="B2" s="1244"/>
      <c r="C2" s="1244"/>
      <c r="D2" s="1244"/>
      <c r="E2" s="1244"/>
      <c r="F2" s="1244"/>
      <c r="G2" s="1244"/>
      <c r="H2" s="1244"/>
      <c r="I2" s="1244"/>
      <c r="J2" s="1244"/>
      <c r="K2" s="1244"/>
      <c r="L2" s="1244"/>
      <c r="M2" s="1244"/>
      <c r="N2" s="1244"/>
      <c r="O2" s="1244"/>
      <c r="P2" s="1244"/>
      <c r="Q2" s="1244"/>
      <c r="R2" s="1244"/>
      <c r="S2" s="1244"/>
      <c r="T2" s="1244"/>
      <c r="U2" s="1244"/>
      <c r="V2" s="1244"/>
      <c r="W2" s="1244"/>
      <c r="X2" s="1244"/>
      <c r="Y2" s="1496"/>
      <c r="Z2" s="1496"/>
      <c r="AA2" s="1496"/>
      <c r="AB2" s="1496"/>
      <c r="AC2" s="1496"/>
      <c r="AD2" s="1496"/>
      <c r="AE2" s="1496"/>
      <c r="AF2" s="1496"/>
      <c r="AG2" s="1496"/>
      <c r="AH2" s="1009"/>
    </row>
    <row r="3" spans="1:62" ht="15.6" x14ac:dyDescent="0.3">
      <c r="A3" s="1685"/>
      <c r="B3" s="1244"/>
      <c r="C3" s="1244"/>
      <c r="D3" s="1244"/>
      <c r="E3" s="1244"/>
      <c r="F3" s="1244"/>
      <c r="G3" s="1244"/>
      <c r="H3" s="1244"/>
      <c r="I3" s="1244"/>
      <c r="J3" s="1244"/>
      <c r="K3" s="1244"/>
      <c r="L3" s="1244"/>
      <c r="M3" s="1244"/>
      <c r="N3" s="1244"/>
      <c r="O3" s="1244"/>
      <c r="P3" s="1244"/>
      <c r="Q3" s="1244"/>
      <c r="R3" s="1244"/>
      <c r="S3" s="1244"/>
      <c r="T3" s="1244"/>
      <c r="U3" s="1244"/>
      <c r="V3" s="1244"/>
      <c r="W3" s="1244"/>
      <c r="X3" s="1244"/>
    </row>
    <row r="4" spans="1:62" ht="15.6" x14ac:dyDescent="0.3">
      <c r="A4" s="1685"/>
      <c r="B4" s="1244"/>
      <c r="C4" s="1244"/>
      <c r="D4" s="1244"/>
      <c r="E4" s="1244"/>
      <c r="F4" s="1244"/>
      <c r="G4" s="1244"/>
      <c r="H4" s="1244"/>
      <c r="I4" s="1244"/>
      <c r="J4" s="1244"/>
      <c r="K4" s="1244"/>
      <c r="L4" s="1244"/>
      <c r="M4" s="1244"/>
      <c r="N4" s="1244"/>
      <c r="O4" s="1244"/>
      <c r="P4" s="1244"/>
      <c r="Q4" s="1244"/>
      <c r="R4" s="1244"/>
      <c r="S4" s="1244"/>
      <c r="T4" s="1244"/>
      <c r="U4" s="1244"/>
      <c r="V4" s="1244"/>
      <c r="W4" s="1244"/>
      <c r="X4" s="1244"/>
    </row>
    <row r="5" spans="1:62" x14ac:dyDescent="0.3">
      <c r="A5" s="1876"/>
      <c r="B5" s="174"/>
      <c r="C5" s="174"/>
      <c r="D5" s="174"/>
      <c r="E5" s="174"/>
      <c r="F5" s="174"/>
      <c r="G5" s="174"/>
      <c r="H5" s="174"/>
      <c r="I5" s="174"/>
      <c r="J5" s="1876"/>
      <c r="K5" s="1876"/>
      <c r="L5" s="173" t="str">
        <f>DISCLAIMER!$A$35</f>
        <v>© 2025 by WinsWithMike.com or Michael Forsberg Nampa, Idaho. All rights reserved</v>
      </c>
      <c r="M5" s="1876"/>
      <c r="N5" s="1876"/>
      <c r="O5" s="1876"/>
      <c r="P5" s="1876"/>
      <c r="Q5" s="1876"/>
      <c r="R5" s="1876"/>
      <c r="S5" s="1876"/>
      <c r="T5" s="1876"/>
      <c r="U5" s="1876"/>
      <c r="V5" s="1876"/>
      <c r="W5" s="1876"/>
      <c r="X5" s="1876"/>
      <c r="Y5" s="1876"/>
      <c r="Z5" s="1876"/>
      <c r="AA5" s="1876"/>
      <c r="AB5" s="1876"/>
      <c r="AC5" s="1876"/>
      <c r="AD5" s="1876"/>
      <c r="AE5" s="1876"/>
      <c r="AF5" s="1876"/>
      <c r="AG5" s="1876"/>
      <c r="AH5" s="1876"/>
      <c r="AI5" s="1876"/>
      <c r="AJ5" s="1876"/>
      <c r="AK5" s="1876"/>
      <c r="AL5" s="1876"/>
      <c r="AM5" s="1876"/>
      <c r="AN5" s="1876"/>
      <c r="AO5" s="1876"/>
      <c r="AP5" s="1876"/>
      <c r="AQ5" s="1876"/>
      <c r="AR5" s="1876"/>
      <c r="AS5" s="1876"/>
      <c r="AT5" s="1876"/>
      <c r="AU5" s="1876"/>
      <c r="AV5" s="1876"/>
      <c r="AW5" s="1876"/>
      <c r="AX5" s="1876"/>
      <c r="AY5" s="1876"/>
      <c r="AZ5" s="1876"/>
      <c r="BA5" s="1876"/>
      <c r="BB5" s="1876"/>
      <c r="BC5" s="1876"/>
      <c r="BD5" s="1876"/>
      <c r="BE5" s="1876"/>
      <c r="BF5" s="1876"/>
      <c r="BG5" s="1876"/>
      <c r="BH5" s="1876"/>
      <c r="BI5" s="1876"/>
      <c r="BJ5" s="1876"/>
    </row>
    <row r="6" spans="1:62" x14ac:dyDescent="0.3">
      <c r="A6" s="1868"/>
    </row>
    <row r="16" spans="1:62" x14ac:dyDescent="0.3">
      <c r="G16" s="342"/>
    </row>
  </sheetData>
  <sheetProtection sheet="1" selectLockedCell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5FC31-DD89-49C5-B760-4BC4B1AA9184}">
  <sheetPr codeName="Sheet9"/>
  <dimension ref="B2:S27"/>
  <sheetViews>
    <sheetView showGridLines="0" showRowColHeaders="0" workbookViewId="0">
      <selection activeCell="H27" sqref="H27"/>
    </sheetView>
  </sheetViews>
  <sheetFormatPr defaultRowHeight="14.4" x14ac:dyDescent="0.3"/>
  <cols>
    <col min="3" max="3" width="20.109375" bestFit="1" customWidth="1"/>
    <col min="4" max="12" width="10" customWidth="1"/>
    <col min="19" max="19" width="9.6640625" bestFit="1" customWidth="1"/>
  </cols>
  <sheetData>
    <row r="2" spans="2:19" x14ac:dyDescent="0.3">
      <c r="I2" t="s">
        <v>423</v>
      </c>
      <c r="J2" t="s">
        <v>424</v>
      </c>
      <c r="K2" t="s">
        <v>425</v>
      </c>
      <c r="L2" t="s">
        <v>426</v>
      </c>
    </row>
    <row r="3" spans="2:19" x14ac:dyDescent="0.3">
      <c r="D3" s="30"/>
      <c r="E3" s="30"/>
      <c r="F3" s="30"/>
      <c r="G3" s="30"/>
      <c r="H3" s="30"/>
    </row>
    <row r="4" spans="2:19" x14ac:dyDescent="0.3">
      <c r="C4" s="50"/>
      <c r="D4" s="51">
        <v>1</v>
      </c>
      <c r="E4" s="51">
        <f>D4+1</f>
        <v>2</v>
      </c>
      <c r="F4" s="51">
        <f>E4+1</f>
        <v>3</v>
      </c>
      <c r="G4" s="51">
        <f>F4+1</f>
        <v>4</v>
      </c>
      <c r="H4" s="51">
        <f>G4+1</f>
        <v>5</v>
      </c>
      <c r="I4" s="51">
        <f>H4+5</f>
        <v>10</v>
      </c>
      <c r="J4" s="51">
        <f>I4+5</f>
        <v>15</v>
      </c>
      <c r="K4" s="51">
        <f>J4+5</f>
        <v>20</v>
      </c>
      <c r="L4" s="51">
        <f>K4+10</f>
        <v>30</v>
      </c>
      <c r="R4" t="s">
        <v>124</v>
      </c>
      <c r="S4" s="66">
        <f>SUM(D5:L5)-SUM(D10:L10)-SUM(D6:L6)</f>
        <v>0</v>
      </c>
    </row>
    <row r="5" spans="2:19" x14ac:dyDescent="0.3">
      <c r="C5" s="54" t="s">
        <v>1066</v>
      </c>
      <c r="D5" s="102">
        <f>FORECASTS!E26</f>
        <v>0</v>
      </c>
      <c r="E5" s="102">
        <f>FORECASTS!F26</f>
        <v>0</v>
      </c>
      <c r="F5" s="102">
        <f>FORECASTS!G26</f>
        <v>0</v>
      </c>
      <c r="G5" s="102">
        <f>FORECASTS!H26</f>
        <v>0</v>
      </c>
      <c r="H5" s="102">
        <f>FORECASTS!I26</f>
        <v>0</v>
      </c>
      <c r="I5" s="102">
        <f>FORECASTS!N26</f>
        <v>0</v>
      </c>
      <c r="J5" s="102">
        <f>FORECASTS!S26</f>
        <v>0</v>
      </c>
      <c r="K5" s="102">
        <f>FORECASTS!X26</f>
        <v>0</v>
      </c>
      <c r="L5" s="102">
        <f>FORECASTS!AH26</f>
        <v>0</v>
      </c>
      <c r="M5" s="59"/>
      <c r="S5" s="66">
        <f>SUM(D15:L15)-SUM(D16:L16)-SUM(D17:L17)</f>
        <v>0</v>
      </c>
    </row>
    <row r="6" spans="2:19" x14ac:dyDescent="0.3">
      <c r="C6" s="54" t="s">
        <v>122</v>
      </c>
      <c r="D6" s="103">
        <f>SUM(D7:D9)</f>
        <v>0</v>
      </c>
      <c r="E6" s="103">
        <f t="shared" ref="E6:L6" si="0">SUM(E7:E9)</f>
        <v>0</v>
      </c>
      <c r="F6" s="103">
        <f t="shared" si="0"/>
        <v>0</v>
      </c>
      <c r="G6" s="103">
        <f t="shared" si="0"/>
        <v>0</v>
      </c>
      <c r="H6" s="103">
        <f t="shared" si="0"/>
        <v>0</v>
      </c>
      <c r="I6" s="103">
        <f t="shared" si="0"/>
        <v>0</v>
      </c>
      <c r="J6" s="103">
        <f t="shared" si="0"/>
        <v>0</v>
      </c>
      <c r="K6" s="103">
        <f t="shared" si="0"/>
        <v>0</v>
      </c>
      <c r="L6" s="103">
        <f t="shared" si="0"/>
        <v>0</v>
      </c>
      <c r="M6" s="59"/>
      <c r="S6" s="66"/>
    </row>
    <row r="7" spans="2:19" s="49" customFormat="1" x14ac:dyDescent="0.3">
      <c r="C7" s="64" t="s">
        <v>44</v>
      </c>
      <c r="D7" s="104">
        <f>-FORECASTS!E68</f>
        <v>0</v>
      </c>
      <c r="E7" s="104">
        <f>-FORECASTS!F68</f>
        <v>0</v>
      </c>
      <c r="F7" s="104">
        <f>-FORECASTS!G68</f>
        <v>0</v>
      </c>
      <c r="G7" s="104">
        <f>-FORECASTS!H68</f>
        <v>0</v>
      </c>
      <c r="H7" s="104">
        <f>-FORECASTS!I68</f>
        <v>0</v>
      </c>
      <c r="I7" s="104">
        <f>-FORECASTS!N68</f>
        <v>0</v>
      </c>
      <c r="J7" s="104">
        <f>-FORECASTS!S68</f>
        <v>0</v>
      </c>
      <c r="K7" s="104">
        <f>-FORECASTS!X68</f>
        <v>0</v>
      </c>
      <c r="L7" s="104">
        <f>-FORECASTS!AH68</f>
        <v>0</v>
      </c>
      <c r="M7" s="60"/>
    </row>
    <row r="8" spans="2:19" s="49" customFormat="1" x14ac:dyDescent="0.3">
      <c r="C8" s="64" t="s">
        <v>410</v>
      </c>
      <c r="D8" s="104">
        <f>-FORECASTS!E74+IF(D4&lt;=holding,-FORECASTS!E76-FORECASTS!E77)</f>
        <v>0</v>
      </c>
      <c r="E8" s="104">
        <f>-FORECASTS!F74+IF(E4&lt;=holding,-FORECASTS!F76-FORECASTS!F77)</f>
        <v>0</v>
      </c>
      <c r="F8" s="104">
        <f>-FORECASTS!G74+IF(F4&lt;=holding,-FORECASTS!G76-FORECASTS!G77)</f>
        <v>0</v>
      </c>
      <c r="G8" s="104">
        <f>-FORECASTS!H74+IF(G4&lt;=holding,-FORECASTS!H76-FORECASTS!H77)</f>
        <v>0</v>
      </c>
      <c r="H8" s="104">
        <f>-FORECASTS!I74+IF(H4&lt;=holding,-FORECASTS!I76-FORECASTS!I77)</f>
        <v>0</v>
      </c>
      <c r="I8" s="104">
        <f>-FORECASTS!N74+IF(I4&lt;=holding,-FORECASTS!N76-FORECASTS!N77)</f>
        <v>0</v>
      </c>
      <c r="J8" s="104">
        <f>-FORECASTS!S74+IF(J4&lt;=holding,-FORECASTS!S76-FORECASTS!S77)</f>
        <v>0</v>
      </c>
      <c r="K8" s="104">
        <f>-FORECASTS!X74+IF(K4&lt;=holding,-FORECASTS!X76-FORECASTS!X77)</f>
        <v>0</v>
      </c>
      <c r="L8" s="104">
        <f>-FORECASTS!AH74+IF(L4&lt;=holding,-FORECASTS!AH76-FORECASTS!AH77)</f>
        <v>0</v>
      </c>
      <c r="M8" s="60"/>
      <c r="N8" s="104"/>
      <c r="O8" s="104"/>
      <c r="P8" s="104"/>
      <c r="Q8" s="104"/>
    </row>
    <row r="9" spans="2:19" s="49" customFormat="1" x14ac:dyDescent="0.3">
      <c r="C9" s="64" t="s">
        <v>126</v>
      </c>
      <c r="D9" s="104">
        <f>-FORECASTS!E99+DEBT!D16+FORECASTS!E94+FORECASTS!E95</f>
        <v>0</v>
      </c>
      <c r="E9" s="104">
        <f>-FORECASTS!F99+DEBT!E16+FORECASTS!F94+FORECASTS!F95</f>
        <v>0</v>
      </c>
      <c r="F9" s="104">
        <f>-FORECASTS!G99+DEBT!F16+FORECASTS!G94+FORECASTS!G95</f>
        <v>0</v>
      </c>
      <c r="G9" s="104">
        <f>-FORECASTS!H99+DEBT!G16+FORECASTS!H94+FORECASTS!H95</f>
        <v>0</v>
      </c>
      <c r="H9" s="104">
        <f>-FORECASTS!I99+DEBT!H16+FORECASTS!I94+FORECASTS!I95</f>
        <v>0</v>
      </c>
      <c r="I9" s="104">
        <f>-FORECASTS!N99+DEBT!M16+FORECASTS!N94+FORECASTS!N95</f>
        <v>0</v>
      </c>
      <c r="J9" s="104">
        <f>-FORECASTS!S99+DEBT!R16+FORECASTS!S94+FORECASTS!S95</f>
        <v>0</v>
      </c>
      <c r="K9" s="104">
        <f>-FORECASTS!X99+DEBT!W16+FORECASTS!X94+FORECASTS!X95</f>
        <v>0</v>
      </c>
      <c r="L9" s="104">
        <f>-FORECASTS!AH99+DEBT!AG16+FORECASTS!AH94+FORECASTS!AH95</f>
        <v>0</v>
      </c>
      <c r="M9" s="60"/>
    </row>
    <row r="10" spans="2:19" s="12" customFormat="1" x14ac:dyDescent="0.3">
      <c r="C10" s="55" t="s">
        <v>123</v>
      </c>
      <c r="D10" s="105">
        <f>FORECASTS!E101-FORECASTS!E82-FORECASTS!E83-DEBT!D16-FORECASTS!E95-FORECASTS!E94</f>
        <v>0</v>
      </c>
      <c r="E10" s="105">
        <f>FORECASTS!F101-FORECASTS!F82-FORECASTS!F83-DEBT!E16-FORECASTS!F95-FORECASTS!F94</f>
        <v>0</v>
      </c>
      <c r="F10" s="105">
        <f>FORECASTS!G101-FORECASTS!G82-FORECASTS!G83-DEBT!F16-FORECASTS!G95-FORECASTS!G94</f>
        <v>0</v>
      </c>
      <c r="G10" s="105">
        <f>FORECASTS!H101-FORECASTS!H82-FORECASTS!H83-DEBT!G16-FORECASTS!H95-FORECASTS!H94</f>
        <v>0</v>
      </c>
      <c r="H10" s="105">
        <f>FORECASTS!I101-FORECASTS!I82-FORECASTS!I83-DEBT!H16-FORECASTS!I95-FORECASTS!I94</f>
        <v>0</v>
      </c>
      <c r="I10" s="105">
        <f>FORECASTS!N101-FORECASTS!N82-FORECASTS!N83-DEBT!M16-FORECASTS!N94-FORECASTS!N95</f>
        <v>0</v>
      </c>
      <c r="J10" s="105">
        <f>FORECASTS!S101-FORECASTS!S82-FORECASTS!S83-DEBT!R16-FORECASTS!S94-FORECASTS!S95</f>
        <v>0</v>
      </c>
      <c r="K10" s="105">
        <f>FORECASTS!X101-FORECASTS!X82-FORECASTS!X83-DEBT!W16-FORECASTS!X94-FORECASTS!X95</f>
        <v>0</v>
      </c>
      <c r="L10" s="105">
        <f>FORECASTS!AH101-FORECASTS!AH82-FORECASTS!AH83-DEBT!AG16-FORECASTS!AH94-FORECASTS!AH95</f>
        <v>0</v>
      </c>
      <c r="M10" s="61"/>
    </row>
    <row r="11" spans="2:19" ht="7.5" customHeight="1" x14ac:dyDescent="0.3">
      <c r="D11" s="63"/>
      <c r="E11" s="63"/>
      <c r="F11" s="63"/>
      <c r="G11" s="63"/>
      <c r="H11" s="63"/>
      <c r="I11" s="63"/>
      <c r="J11" s="63"/>
      <c r="K11" s="63"/>
      <c r="L11" s="63"/>
      <c r="M11" s="59"/>
    </row>
    <row r="12" spans="2:19" x14ac:dyDescent="0.3">
      <c r="C12" s="56" t="s">
        <v>76</v>
      </c>
      <c r="D12" s="108">
        <f>FORECASTS!E150</f>
        <v>0</v>
      </c>
      <c r="E12" s="108">
        <f>FORECASTS!F150</f>
        <v>0</v>
      </c>
      <c r="F12" s="108">
        <f>FORECASTS!G150</f>
        <v>0</v>
      </c>
      <c r="G12" s="108">
        <f>FORECASTS!H150</f>
        <v>0</v>
      </c>
      <c r="H12" s="108">
        <f>FORECASTS!I150</f>
        <v>0</v>
      </c>
      <c r="I12" s="108">
        <f>FORECASTS!N150</f>
        <v>0</v>
      </c>
      <c r="J12" s="108">
        <f>FORECASTS!S150</f>
        <v>0</v>
      </c>
      <c r="K12" s="108">
        <f>FORECASTS!X150</f>
        <v>0</v>
      </c>
      <c r="L12" s="106">
        <f>FORECASTS!AH150</f>
        <v>0</v>
      </c>
      <c r="M12" s="59"/>
    </row>
    <row r="13" spans="2:19" x14ac:dyDescent="0.3">
      <c r="C13" s="57" t="s">
        <v>39</v>
      </c>
      <c r="D13" s="109">
        <f>FORECASTS!E142</f>
        <v>0</v>
      </c>
      <c r="E13" s="109">
        <f>FORECASTS!F142</f>
        <v>0</v>
      </c>
      <c r="F13" s="109">
        <f>FORECASTS!G142</f>
        <v>0</v>
      </c>
      <c r="G13" s="109">
        <f>FORECASTS!H142</f>
        <v>0</v>
      </c>
      <c r="H13" s="109">
        <f>FORECASTS!I142</f>
        <v>0</v>
      </c>
      <c r="I13" s="109">
        <f>FORECASTS!N142</f>
        <v>0</v>
      </c>
      <c r="J13" s="109">
        <f>FORECASTS!S142</f>
        <v>0</v>
      </c>
      <c r="K13" s="109">
        <f>FORECASTS!X142</f>
        <v>0</v>
      </c>
      <c r="L13" s="107">
        <f>FORECASTS!AH142</f>
        <v>0</v>
      </c>
      <c r="M13" s="59"/>
    </row>
    <row r="14" spans="2:19" ht="7.5" customHeight="1" x14ac:dyDescent="0.3">
      <c r="D14" s="62"/>
      <c r="E14" s="62"/>
      <c r="F14" s="62"/>
      <c r="G14" s="62"/>
      <c r="H14" s="62"/>
      <c r="I14" s="62"/>
      <c r="J14" s="62"/>
      <c r="K14" s="62"/>
      <c r="L14" s="62"/>
      <c r="M14" s="59"/>
    </row>
    <row r="15" spans="2:19" x14ac:dyDescent="0.3">
      <c r="C15" s="52" t="s">
        <v>45</v>
      </c>
      <c r="D15" s="70">
        <f>FORECASTS!E122</f>
        <v>347250.41095890407</v>
      </c>
      <c r="E15" s="70">
        <f>FORECASTS!F122</f>
        <v>0</v>
      </c>
      <c r="F15" s="70">
        <f>FORECASTS!G122</f>
        <v>0</v>
      </c>
      <c r="G15" s="70">
        <f>FORECASTS!H122</f>
        <v>0</v>
      </c>
      <c r="H15" s="70">
        <f>FORECASTS!I122</f>
        <v>0</v>
      </c>
      <c r="I15" s="70">
        <f>FORECASTS!N122</f>
        <v>0</v>
      </c>
      <c r="J15" s="70">
        <f>FORECASTS!S122</f>
        <v>0</v>
      </c>
      <c r="K15" s="70">
        <f>FORECASTS!X122</f>
        <v>0</v>
      </c>
      <c r="L15" s="75">
        <f>FORECASTS!AH122</f>
        <v>0</v>
      </c>
      <c r="M15" s="59"/>
    </row>
    <row r="16" spans="2:19" s="48" customFormat="1" ht="10.199999999999999" x14ac:dyDescent="0.2">
      <c r="B16" s="72"/>
      <c r="C16" s="73" t="s">
        <v>93</v>
      </c>
      <c r="D16" s="74">
        <f>FORECASTS!E129</f>
        <v>347250.41095890407</v>
      </c>
      <c r="E16" s="74">
        <f>FORECASTS!F129</f>
        <v>0</v>
      </c>
      <c r="F16" s="74">
        <f>FORECASTS!G129</f>
        <v>0</v>
      </c>
      <c r="G16" s="74">
        <f>FORECASTS!H129</f>
        <v>0</v>
      </c>
      <c r="H16" s="74">
        <f>FORECASTS!I129</f>
        <v>0</v>
      </c>
      <c r="I16" s="74">
        <f>FORECASTS!N129</f>
        <v>0</v>
      </c>
      <c r="J16" s="74">
        <f>FORECASTS!S129</f>
        <v>0</v>
      </c>
      <c r="K16" s="74">
        <f>FORECASTS!X129</f>
        <v>0</v>
      </c>
      <c r="L16" s="76">
        <f>FORECASTS!AH129</f>
        <v>0</v>
      </c>
      <c r="M16" s="10"/>
    </row>
    <row r="17" spans="2:13" s="48" customFormat="1" ht="10.199999999999999" x14ac:dyDescent="0.2">
      <c r="B17" s="72"/>
      <c r="C17" s="73" t="s">
        <v>94</v>
      </c>
      <c r="D17" s="74">
        <f>FORECASTS!E128</f>
        <v>0</v>
      </c>
      <c r="E17" s="74">
        <f>FORECASTS!F128</f>
        <v>0</v>
      </c>
      <c r="F17" s="74">
        <f>FORECASTS!G128</f>
        <v>0</v>
      </c>
      <c r="G17" s="74">
        <f>FORECASTS!H128</f>
        <v>0</v>
      </c>
      <c r="H17" s="74">
        <f>FORECASTS!I128</f>
        <v>0</v>
      </c>
      <c r="I17" s="74">
        <f>FORECASTS!N128</f>
        <v>0</v>
      </c>
      <c r="J17" s="74">
        <f>FORECASTS!S128</f>
        <v>0</v>
      </c>
      <c r="K17" s="74">
        <f>FORECASTS!X128</f>
        <v>0</v>
      </c>
      <c r="L17" s="76">
        <f>FORECASTS!AH128</f>
        <v>0</v>
      </c>
      <c r="M17" s="10"/>
    </row>
    <row r="18" spans="2:13" x14ac:dyDescent="0.3">
      <c r="C18" s="53" t="s">
        <v>55</v>
      </c>
      <c r="D18" s="71">
        <f>IFERROR(D17/D15,0)</f>
        <v>0</v>
      </c>
      <c r="E18" s="71">
        <f t="shared" ref="E18:L18" si="1">IFERROR(E17/E15,0)</f>
        <v>0</v>
      </c>
      <c r="F18" s="71">
        <f t="shared" si="1"/>
        <v>0</v>
      </c>
      <c r="G18" s="71">
        <f t="shared" si="1"/>
        <v>0</v>
      </c>
      <c r="H18" s="71">
        <f t="shared" si="1"/>
        <v>0</v>
      </c>
      <c r="I18" s="71">
        <f t="shared" si="1"/>
        <v>0</v>
      </c>
      <c r="J18" s="71">
        <f t="shared" si="1"/>
        <v>0</v>
      </c>
      <c r="K18" s="71">
        <f t="shared" si="1"/>
        <v>0</v>
      </c>
      <c r="L18" s="77">
        <f t="shared" si="1"/>
        <v>0</v>
      </c>
      <c r="M18" s="59"/>
    </row>
    <row r="19" spans="2:13" ht="7.5" customHeight="1" x14ac:dyDescent="0.3">
      <c r="D19" s="62"/>
      <c r="E19" s="62"/>
      <c r="F19" s="62"/>
      <c r="G19" s="62"/>
      <c r="H19" s="62"/>
      <c r="I19" s="62"/>
      <c r="J19" s="62"/>
      <c r="K19" s="62"/>
      <c r="L19" s="62"/>
      <c r="M19" s="59"/>
    </row>
    <row r="20" spans="2:13" x14ac:dyDescent="0.3">
      <c r="C20" s="78" t="s">
        <v>84</v>
      </c>
      <c r="D20" s="110">
        <f t="shared" ref="D20:L20" si="2">D10</f>
        <v>0</v>
      </c>
      <c r="E20" s="110">
        <f t="shared" si="2"/>
        <v>0</v>
      </c>
      <c r="F20" s="110">
        <f t="shared" si="2"/>
        <v>0</v>
      </c>
      <c r="G20" s="110">
        <f t="shared" si="2"/>
        <v>0</v>
      </c>
      <c r="H20" s="110">
        <f t="shared" si="2"/>
        <v>0</v>
      </c>
      <c r="I20" s="110">
        <f t="shared" si="2"/>
        <v>0</v>
      </c>
      <c r="J20" s="110">
        <f t="shared" si="2"/>
        <v>0</v>
      </c>
      <c r="K20" s="110">
        <f t="shared" si="2"/>
        <v>0</v>
      </c>
      <c r="L20" s="111">
        <f t="shared" si="2"/>
        <v>0</v>
      </c>
      <c r="M20" s="59"/>
    </row>
    <row r="21" spans="2:13" x14ac:dyDescent="0.3">
      <c r="C21" s="79" t="s">
        <v>31</v>
      </c>
      <c r="D21" s="112">
        <f>-FORECASTS!E96+DEBT!D16</f>
        <v>0</v>
      </c>
      <c r="E21" s="112">
        <f>-FORECASTS!F96+DEBT!E16</f>
        <v>0</v>
      </c>
      <c r="F21" s="112">
        <f>-FORECASTS!G96+DEBT!F16</f>
        <v>0</v>
      </c>
      <c r="G21" s="112">
        <f>-FORECASTS!H96+DEBT!G16</f>
        <v>0</v>
      </c>
      <c r="H21" s="112">
        <f>-FORECASTS!I96+DEBT!H16</f>
        <v>0</v>
      </c>
      <c r="I21" s="112">
        <f>-FORECASTS!N96+DEBT!M16</f>
        <v>0</v>
      </c>
      <c r="J21" s="112">
        <f>-FORECASTS!S96+DEBT!R16</f>
        <v>0</v>
      </c>
      <c r="K21" s="112">
        <f>-FORECASTS!X96+DEBT!W16</f>
        <v>0</v>
      </c>
      <c r="L21" s="113">
        <f>-FORECASTS!AH96+DEBT!AG16</f>
        <v>0</v>
      </c>
      <c r="M21" s="59"/>
    </row>
    <row r="22" spans="2:13" x14ac:dyDescent="0.3">
      <c r="C22" s="79" t="s">
        <v>85</v>
      </c>
      <c r="D22" s="112">
        <f>FORECASTS!E155</f>
        <v>17250.41</v>
      </c>
      <c r="E22" s="112">
        <f>FORECASTS!F155</f>
        <v>0</v>
      </c>
      <c r="F22" s="112">
        <f>FORECASTS!G155</f>
        <v>0</v>
      </c>
      <c r="G22" s="112">
        <f>FORECASTS!H155</f>
        <v>0</v>
      </c>
      <c r="H22" s="112">
        <f>FORECASTS!I155</f>
        <v>0</v>
      </c>
      <c r="I22" s="112">
        <f>FORECASTS!N155</f>
        <v>0</v>
      </c>
      <c r="J22" s="112">
        <f>FORECASTS!S155</f>
        <v>0</v>
      </c>
      <c r="K22" s="112">
        <f>FORECASTS!X155</f>
        <v>0</v>
      </c>
      <c r="L22" s="113">
        <f>FORECASTS!AH155</f>
        <v>0</v>
      </c>
      <c r="M22" s="59"/>
    </row>
    <row r="23" spans="2:13" s="12" customFormat="1" x14ac:dyDescent="0.3">
      <c r="C23" s="58" t="s">
        <v>86</v>
      </c>
      <c r="D23" s="114">
        <f t="shared" ref="D23:L23" si="3">SUM(D20:D22)</f>
        <v>17250.41</v>
      </c>
      <c r="E23" s="114">
        <f t="shared" si="3"/>
        <v>0</v>
      </c>
      <c r="F23" s="114">
        <f t="shared" si="3"/>
        <v>0</v>
      </c>
      <c r="G23" s="114">
        <f t="shared" si="3"/>
        <v>0</v>
      </c>
      <c r="H23" s="114">
        <f t="shared" si="3"/>
        <v>0</v>
      </c>
      <c r="I23" s="114">
        <f t="shared" si="3"/>
        <v>0</v>
      </c>
      <c r="J23" s="114">
        <f t="shared" si="3"/>
        <v>0</v>
      </c>
      <c r="K23" s="114">
        <f t="shared" si="3"/>
        <v>0</v>
      </c>
      <c r="L23" s="115">
        <f t="shared" si="3"/>
        <v>0</v>
      </c>
      <c r="M23" s="61"/>
    </row>
    <row r="24" spans="2:13" x14ac:dyDescent="0.3">
      <c r="D24" s="59"/>
      <c r="E24" s="59"/>
      <c r="F24" s="59"/>
      <c r="G24" s="59"/>
      <c r="H24" s="59"/>
      <c r="I24" s="59"/>
      <c r="J24" s="59"/>
      <c r="K24" s="59"/>
      <c r="L24" s="59"/>
      <c r="M24" s="59"/>
    </row>
    <row r="25" spans="2:13" x14ac:dyDescent="0.3">
      <c r="D25" s="59"/>
      <c r="E25" s="59"/>
      <c r="F25" s="59"/>
      <c r="G25" s="59"/>
      <c r="H25" s="59"/>
      <c r="I25" s="59"/>
      <c r="J25" s="59"/>
      <c r="K25" s="59"/>
      <c r="L25" s="59"/>
      <c r="M25" s="59"/>
    </row>
    <row r="26" spans="2:13" x14ac:dyDescent="0.3">
      <c r="D26" s="65"/>
      <c r="E26" s="65"/>
      <c r="F26" s="65"/>
      <c r="G26" s="65"/>
      <c r="H26" s="65"/>
      <c r="I26" s="65"/>
      <c r="J26" s="65"/>
      <c r="K26" s="65"/>
      <c r="L26" s="65"/>
      <c r="M26" s="59"/>
    </row>
    <row r="27" spans="2:13" x14ac:dyDescent="0.3">
      <c r="D27" s="59"/>
      <c r="E27" s="59"/>
      <c r="F27" s="59"/>
      <c r="G27" s="59"/>
      <c r="H27" s="59"/>
      <c r="I27" s="59"/>
      <c r="J27" s="59"/>
      <c r="K27" s="59"/>
      <c r="L27" s="59"/>
      <c r="M27" s="59"/>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6DFF6-B920-4D7A-90D2-C01F4ABC9A1D}">
  <sheetPr codeName="Sheet5"/>
  <dimension ref="A1:AT67"/>
  <sheetViews>
    <sheetView showGridLines="0" showRowColHeaders="0" topLeftCell="A29" zoomScaleNormal="100" workbookViewId="0">
      <selection activeCell="A65" sqref="A65:P79"/>
    </sheetView>
  </sheetViews>
  <sheetFormatPr defaultColWidth="0" defaultRowHeight="13.8" x14ac:dyDescent="0.25"/>
  <cols>
    <col min="1" max="1" width="18.88671875" style="1395" bestFit="1" customWidth="1"/>
    <col min="2" max="2" width="8.44140625" style="1395" bestFit="1" customWidth="1"/>
    <col min="3" max="3" width="17.44140625" style="1395" bestFit="1" customWidth="1"/>
    <col min="4" max="4" width="11" style="1395" bestFit="1" customWidth="1"/>
    <col min="5" max="5" width="7.109375" style="1395" bestFit="1" customWidth="1"/>
    <col min="6" max="6" width="11" style="1395" bestFit="1" customWidth="1"/>
    <col min="7" max="7" width="18.88671875" style="1395" bestFit="1" customWidth="1"/>
    <col min="8" max="12" width="9" style="1395" customWidth="1"/>
    <col min="13" max="13" width="17.5546875" style="1395" customWidth="1"/>
    <col min="14" max="26" width="9" style="1395" customWidth="1"/>
    <col min="27" max="27" width="9.109375" style="1395" customWidth="1"/>
    <col min="28" max="46" width="0" style="1395" hidden="1" customWidth="1"/>
    <col min="47" max="16383" width="9.109375" style="1395" hidden="1"/>
    <col min="16384" max="16384" width="9.109375" style="1395" hidden="1" customWidth="1"/>
  </cols>
  <sheetData>
    <row r="1" spans="1:26" x14ac:dyDescent="0.25">
      <c r="B1" s="1396"/>
      <c r="C1" s="1396"/>
      <c r="D1" s="1396"/>
      <c r="E1" s="1396"/>
      <c r="F1" s="1396"/>
      <c r="G1" s="1396"/>
      <c r="H1" s="1396"/>
      <c r="I1" s="1396"/>
      <c r="J1" s="1396"/>
      <c r="K1" s="1396"/>
      <c r="L1" s="1396"/>
      <c r="M1" s="1396"/>
      <c r="N1" s="1396"/>
      <c r="O1" s="1396"/>
      <c r="P1" s="1396"/>
      <c r="Q1" s="1396"/>
      <c r="R1" s="1396"/>
      <c r="S1" s="1396"/>
      <c r="T1" s="1396"/>
      <c r="U1" s="1396"/>
      <c r="V1" s="1396"/>
      <c r="W1" s="1396"/>
    </row>
    <row r="2" spans="1:26" x14ac:dyDescent="0.25">
      <c r="B2" s="1396"/>
      <c r="C2" s="1396"/>
      <c r="D2" s="1396"/>
      <c r="E2" s="1396"/>
      <c r="F2" s="1396"/>
      <c r="G2" s="1396"/>
      <c r="H2" s="1396"/>
      <c r="I2" s="1396"/>
      <c r="J2" s="1396"/>
      <c r="K2" s="1396"/>
      <c r="L2" s="1396"/>
      <c r="M2" s="1396"/>
      <c r="N2" s="1396"/>
      <c r="O2" s="1396"/>
      <c r="P2" s="1396"/>
      <c r="Q2" s="1396"/>
      <c r="R2" s="1396"/>
      <c r="S2" s="1396"/>
      <c r="T2" s="1396"/>
      <c r="U2" s="1396"/>
      <c r="V2" s="1396"/>
      <c r="W2" s="1396"/>
    </row>
    <row r="3" spans="1:26" x14ac:dyDescent="0.25">
      <c r="B3" s="1396"/>
      <c r="C3" s="1396"/>
      <c r="D3" s="1396"/>
      <c r="E3" s="1396"/>
      <c r="F3" s="1396"/>
      <c r="G3" s="1396"/>
      <c r="H3" s="1396"/>
      <c r="I3" s="1396"/>
      <c r="J3" s="1396"/>
      <c r="K3" s="1396"/>
      <c r="L3" s="1396"/>
      <c r="M3" s="1396"/>
      <c r="N3" s="1396"/>
      <c r="O3" s="1396"/>
      <c r="P3" s="1396"/>
      <c r="Q3" s="1396"/>
      <c r="R3" s="1396"/>
      <c r="S3" s="1396"/>
      <c r="T3" s="1396"/>
      <c r="U3" s="1396"/>
      <c r="V3" s="1396"/>
      <c r="W3" s="1396"/>
    </row>
    <row r="4" spans="1:26" x14ac:dyDescent="0.25">
      <c r="B4" s="1396"/>
      <c r="C4" s="1396"/>
      <c r="D4" s="1396"/>
      <c r="E4" s="1396"/>
      <c r="F4" s="1396"/>
      <c r="G4" s="1396"/>
      <c r="H4" s="1396"/>
      <c r="I4" s="1396"/>
      <c r="J4" s="1396"/>
      <c r="K4" s="1396"/>
      <c r="L4" s="1396"/>
      <c r="M4" s="1396"/>
      <c r="N4" s="1396"/>
      <c r="O4" s="1396"/>
      <c r="P4" s="1396"/>
      <c r="Q4" s="1396"/>
      <c r="R4" s="1396"/>
      <c r="S4" s="1396"/>
      <c r="T4" s="1396"/>
      <c r="U4" s="1396"/>
      <c r="V4" s="1396"/>
      <c r="W4" s="1396"/>
    </row>
    <row r="5" spans="1:26" x14ac:dyDescent="0.25">
      <c r="B5" s="1396"/>
      <c r="C5" s="1396"/>
      <c r="D5" s="1396"/>
      <c r="E5" s="1396"/>
      <c r="F5" s="1396"/>
      <c r="G5" s="1396"/>
      <c r="H5" s="1396"/>
      <c r="I5" s="1396"/>
      <c r="J5" s="1396"/>
      <c r="K5" s="1396"/>
      <c r="L5" s="1396"/>
      <c r="M5" s="1396"/>
      <c r="N5" s="1396"/>
      <c r="O5" s="1396"/>
      <c r="P5" s="1396"/>
      <c r="Q5" s="1396"/>
      <c r="R5" s="1396"/>
      <c r="S5" s="1396"/>
      <c r="T5" s="1396"/>
      <c r="U5" s="1396"/>
      <c r="V5" s="1396"/>
      <c r="W5" s="1396"/>
    </row>
    <row r="6" spans="1:26" x14ac:dyDescent="0.25">
      <c r="B6" s="1396"/>
      <c r="C6" s="1396"/>
      <c r="D6" s="1396"/>
      <c r="E6" s="1396"/>
      <c r="F6" s="1396"/>
      <c r="G6" s="1396"/>
      <c r="H6" s="1396"/>
      <c r="I6" s="1396"/>
      <c r="J6" s="1396"/>
      <c r="K6" s="1396"/>
      <c r="L6" s="1396"/>
      <c r="M6" s="1396"/>
      <c r="N6" s="1396"/>
      <c r="O6" s="1396"/>
      <c r="P6" s="1396"/>
      <c r="Q6" s="1396"/>
      <c r="R6" s="1396"/>
      <c r="S6" s="1396"/>
      <c r="T6" s="1396"/>
      <c r="U6" s="1396"/>
      <c r="V6" s="1396"/>
      <c r="W6" s="1396"/>
    </row>
    <row r="7" spans="1:26" x14ac:dyDescent="0.25">
      <c r="A7" s="1396"/>
      <c r="B7" s="1396"/>
      <c r="C7" s="1396"/>
      <c r="D7" s="1396"/>
      <c r="E7" s="1397">
        <f>'FORECASTS (R)'!L23</f>
        <v>2025</v>
      </c>
      <c r="F7" s="1397">
        <f>'FORECASTS (R)'!O23</f>
        <v>2026</v>
      </c>
      <c r="G7" s="1397">
        <f>'FORECASTS (R)'!R23</f>
        <v>2027</v>
      </c>
      <c r="H7" s="1397">
        <f>'FORECASTS (R)'!U23</f>
        <v>2028</v>
      </c>
      <c r="I7" s="1397">
        <f>'FORECASTS (R)'!X23</f>
        <v>2029</v>
      </c>
      <c r="J7" s="1397">
        <f>'FORECASTS (R)'!AA23</f>
        <v>2030</v>
      </c>
      <c r="K7" s="1397">
        <f>'FORECASTS (R)'!AD23</f>
        <v>2031</v>
      </c>
      <c r="L7" s="1397">
        <f>'FORECASTS (R)'!AG23</f>
        <v>2032</v>
      </c>
      <c r="M7" s="1397">
        <f>'FORECASTS (R)'!AJ23</f>
        <v>2033</v>
      </c>
      <c r="N7" s="1397">
        <f>'FORECASTS (R)'!AM23</f>
        <v>2034</v>
      </c>
      <c r="O7" s="1396"/>
      <c r="P7" s="1396"/>
      <c r="Q7" s="1397"/>
      <c r="R7" s="1397"/>
      <c r="S7" s="1397"/>
      <c r="T7" s="1397"/>
      <c r="U7" s="1397"/>
      <c r="V7" s="1397"/>
      <c r="W7" s="1397"/>
      <c r="X7" s="1397"/>
      <c r="Y7" s="1397"/>
      <c r="Z7" s="1397"/>
    </row>
    <row r="8" spans="1:26" x14ac:dyDescent="0.25">
      <c r="A8" s="1396"/>
      <c r="B8" s="1396"/>
      <c r="C8" s="1396" t="s">
        <v>44</v>
      </c>
      <c r="D8" s="1396"/>
      <c r="E8" s="1398">
        <f>-'FORECASTS (R)'!L29-'FORECASTS (R)'!L40</f>
        <v>0</v>
      </c>
      <c r="F8" s="1398">
        <f>-'FORECASTS (R)'!O29-'FORECASTS (R)'!O40</f>
        <v>0</v>
      </c>
      <c r="G8" s="1398">
        <f>-'FORECASTS (R)'!R29-'FORECASTS (R)'!R40</f>
        <v>0</v>
      </c>
      <c r="H8" s="1398">
        <f>-'FORECASTS (R)'!U29-'FORECASTS (R)'!U40</f>
        <v>0</v>
      </c>
      <c r="I8" s="1398">
        <f>-'FORECASTS (R)'!X29-'FORECASTS (R)'!X40</f>
        <v>0</v>
      </c>
      <c r="J8" s="1398">
        <f>-'FORECASTS (R)'!AA29-'FORECASTS (R)'!AA40</f>
        <v>0</v>
      </c>
      <c r="K8" s="1398">
        <f>-'FORECASTS (R)'!AD29-'FORECASTS (R)'!AD40</f>
        <v>0</v>
      </c>
      <c r="L8" s="1398">
        <f>-'FORECASTS (R)'!AG29-'FORECASTS (R)'!AG40</f>
        <v>0</v>
      </c>
      <c r="M8" s="1398">
        <f>-'FORECASTS (R)'!AJ29-'FORECASTS (R)'!AJ40</f>
        <v>0</v>
      </c>
      <c r="N8" s="1398">
        <f>-'FORECASTS (R)'!AM29-'FORECASTS (R)'!AM40</f>
        <v>0</v>
      </c>
      <c r="O8" s="1396"/>
      <c r="P8" s="1396"/>
      <c r="Q8" s="1399"/>
      <c r="R8" s="1399"/>
      <c r="S8" s="1399"/>
      <c r="T8" s="1399"/>
      <c r="U8" s="1399"/>
      <c r="V8" s="1399"/>
      <c r="W8" s="1399"/>
      <c r="X8" s="1399"/>
      <c r="Y8" s="1399"/>
      <c r="Z8" s="1399"/>
    </row>
    <row r="9" spans="1:26" x14ac:dyDescent="0.25">
      <c r="A9" s="1396"/>
      <c r="B9" s="1396"/>
      <c r="C9" s="1396" t="s">
        <v>90</v>
      </c>
      <c r="D9" s="1396"/>
      <c r="E9" s="1398">
        <f>-'FORECASTS (R)'!L35-'FORECASTS (R)'!L36</f>
        <v>0</v>
      </c>
      <c r="F9" s="1398">
        <f>-'FORECASTS (R)'!O35-'FORECASTS (R)'!O36</f>
        <v>0</v>
      </c>
      <c r="G9" s="1398">
        <f>-'FORECASTS (R)'!R35-'FORECASTS (R)'!R36</f>
        <v>0</v>
      </c>
      <c r="H9" s="1398">
        <f>-'FORECASTS (R)'!U35-'FORECASTS (R)'!U36</f>
        <v>0</v>
      </c>
      <c r="I9" s="1398">
        <f>-'FORECASTS (R)'!X35-'FORECASTS (R)'!X36</f>
        <v>0</v>
      </c>
      <c r="J9" s="1398">
        <f>-'FORECASTS (R)'!AA35-'FORECASTS (R)'!AA36</f>
        <v>0</v>
      </c>
      <c r="K9" s="1398">
        <f>-'FORECASTS (R)'!AD35-'FORECASTS (R)'!AD36</f>
        <v>0</v>
      </c>
      <c r="L9" s="1398">
        <f>-'FORECASTS (R)'!AG35-'FORECASTS (R)'!AG36</f>
        <v>0</v>
      </c>
      <c r="M9" s="1398">
        <f>-'FORECASTS (R)'!AJ35-'FORECASTS (R)'!AJ36</f>
        <v>0</v>
      </c>
      <c r="N9" s="1398">
        <f>-'FORECASTS (R)'!AM35-'FORECASTS (R)'!AM36</f>
        <v>0</v>
      </c>
      <c r="O9" s="1396"/>
      <c r="P9" s="1396"/>
      <c r="Q9" s="1399"/>
      <c r="R9" s="1399"/>
      <c r="S9" s="1399"/>
      <c r="T9" s="1399"/>
      <c r="U9" s="1399"/>
      <c r="V9" s="1399"/>
      <c r="W9" s="1399"/>
      <c r="X9" s="1399"/>
      <c r="Y9" s="1399"/>
      <c r="Z9" s="1399"/>
    </row>
    <row r="10" spans="1:26" x14ac:dyDescent="0.25">
      <c r="A10" s="1396"/>
      <c r="B10" s="1396"/>
      <c r="C10" s="1396" t="s">
        <v>91</v>
      </c>
      <c r="D10" s="1396"/>
      <c r="E10" s="1398">
        <f>-'FORECASTS (R)'!L39</f>
        <v>0</v>
      </c>
      <c r="F10" s="1398">
        <f>-'FORECASTS (R)'!O39</f>
        <v>0</v>
      </c>
      <c r="G10" s="1398">
        <f>-'FORECASTS (R)'!R39</f>
        <v>0</v>
      </c>
      <c r="H10" s="1398">
        <f>-'FORECASTS (R)'!U39</f>
        <v>0</v>
      </c>
      <c r="I10" s="1398">
        <f>-'FORECASTS (R)'!X39</f>
        <v>0</v>
      </c>
      <c r="J10" s="1398">
        <f>-'FORECASTS (R)'!AA39</f>
        <v>0</v>
      </c>
      <c r="K10" s="1398">
        <f>-'FORECASTS (R)'!AD39</f>
        <v>0</v>
      </c>
      <c r="L10" s="1398">
        <f>-'FORECASTS (R)'!AG39</f>
        <v>0</v>
      </c>
      <c r="M10" s="1398">
        <f>-'FORECASTS (R)'!AJ39</f>
        <v>0</v>
      </c>
      <c r="N10" s="1398">
        <f>-'FORECASTS (R)'!AM39</f>
        <v>0</v>
      </c>
      <c r="O10" s="1396"/>
      <c r="P10" s="1396"/>
      <c r="Q10" s="1399"/>
      <c r="R10" s="1399"/>
      <c r="S10" s="1399"/>
      <c r="T10" s="1399"/>
      <c r="U10" s="1399"/>
      <c r="V10" s="1399"/>
      <c r="W10" s="1399"/>
      <c r="X10" s="1399"/>
      <c r="Y10" s="1399"/>
      <c r="Z10" s="1399"/>
    </row>
    <row r="11" spans="1:26" x14ac:dyDescent="0.25">
      <c r="A11" s="1396"/>
      <c r="B11" s="1396"/>
      <c r="C11" s="1396" t="s">
        <v>31</v>
      </c>
      <c r="D11" s="1396"/>
      <c r="E11" s="1398">
        <f>-'FORECASTS (R)'!L38</f>
        <v>0</v>
      </c>
      <c r="F11" s="1398">
        <f>-'FORECASTS (R)'!O38</f>
        <v>0</v>
      </c>
      <c r="G11" s="1398">
        <f>-'FORECASTS (R)'!R38</f>
        <v>0</v>
      </c>
      <c r="H11" s="1398">
        <f>-'FORECASTS (R)'!U38</f>
        <v>0</v>
      </c>
      <c r="I11" s="1398">
        <f>-'FORECASTS (R)'!X38</f>
        <v>0</v>
      </c>
      <c r="J11" s="1398">
        <f>-'FORECASTS (R)'!AA38</f>
        <v>0</v>
      </c>
      <c r="K11" s="1398">
        <f>-'FORECASTS (R)'!AD38</f>
        <v>0</v>
      </c>
      <c r="L11" s="1398">
        <f>-'FORECASTS (R)'!AG38</f>
        <v>0</v>
      </c>
      <c r="M11" s="1398">
        <f>-'FORECASTS (R)'!AJ38</f>
        <v>0</v>
      </c>
      <c r="N11" s="1398">
        <f>-'FORECASTS (R)'!AM38</f>
        <v>0</v>
      </c>
      <c r="O11" s="1396"/>
      <c r="P11" s="1396"/>
      <c r="Q11" s="1400"/>
      <c r="R11" s="1400"/>
      <c r="S11" s="1400"/>
      <c r="T11" s="1400"/>
      <c r="U11" s="1400"/>
      <c r="V11" s="1400"/>
      <c r="W11" s="1400"/>
      <c r="X11" s="1400"/>
      <c r="Y11" s="1400"/>
      <c r="Z11" s="1400"/>
    </row>
    <row r="12" spans="1:26" x14ac:dyDescent="0.25">
      <c r="A12" s="1396"/>
      <c r="B12" s="1396"/>
      <c r="C12" s="1396" t="s">
        <v>92</v>
      </c>
      <c r="D12" s="1396"/>
      <c r="E12" s="1398">
        <f>'FORECASTS (R)'!L42</f>
        <v>0</v>
      </c>
      <c r="F12" s="1398">
        <f>'FORECASTS (R)'!O42</f>
        <v>0</v>
      </c>
      <c r="G12" s="1398">
        <f>'FORECASTS (R)'!R42</f>
        <v>0</v>
      </c>
      <c r="H12" s="1398">
        <f>'FORECASTS (R)'!U42</f>
        <v>0</v>
      </c>
      <c r="I12" s="1398">
        <f>'FORECASTS (R)'!X42</f>
        <v>0</v>
      </c>
      <c r="J12" s="1398">
        <f>'FORECASTS (R)'!AA42</f>
        <v>0</v>
      </c>
      <c r="K12" s="1398">
        <f>'FORECASTS (R)'!AD42</f>
        <v>0</v>
      </c>
      <c r="L12" s="1398">
        <f>'FORECASTS (R)'!AG42</f>
        <v>0</v>
      </c>
      <c r="M12" s="1398">
        <f>'FORECASTS (R)'!AJ42</f>
        <v>0</v>
      </c>
      <c r="N12" s="1398">
        <f>'FORECASTS (R)'!AM42</f>
        <v>0</v>
      </c>
      <c r="O12" s="1396"/>
      <c r="P12" s="1396"/>
      <c r="Q12" s="1396"/>
      <c r="R12" s="1396"/>
      <c r="S12" s="1396"/>
      <c r="T12" s="1396"/>
      <c r="U12" s="1396"/>
      <c r="V12" s="1396"/>
      <c r="W12" s="1396"/>
    </row>
    <row r="13" spans="1:26" x14ac:dyDescent="0.25">
      <c r="A13" s="1396"/>
      <c r="B13" s="1396"/>
      <c r="C13" s="1396"/>
      <c r="D13" s="1396"/>
      <c r="E13" s="1396"/>
      <c r="F13" s="1396"/>
      <c r="G13" s="1396"/>
      <c r="H13" s="1396"/>
      <c r="I13" s="1396"/>
      <c r="J13" s="1396"/>
      <c r="K13" s="1396"/>
      <c r="L13" s="1396"/>
      <c r="M13" s="1396"/>
      <c r="N13" s="1396"/>
      <c r="O13" s="1396"/>
      <c r="P13" s="1396"/>
      <c r="Q13" s="1396"/>
      <c r="R13" s="1396"/>
      <c r="S13" s="1396"/>
      <c r="T13" s="1396"/>
      <c r="U13" s="1396"/>
      <c r="V13" s="1396"/>
      <c r="W13" s="1396"/>
    </row>
    <row r="14" spans="1:26" x14ac:dyDescent="0.25">
      <c r="A14" s="1396"/>
      <c r="B14" s="1396"/>
      <c r="C14" s="1396"/>
      <c r="D14" s="1396"/>
      <c r="E14" s="1396"/>
      <c r="F14" s="1396"/>
      <c r="G14" s="1396"/>
      <c r="H14" s="1396"/>
      <c r="I14" s="1396"/>
      <c r="J14" s="1396"/>
      <c r="K14" s="1396"/>
      <c r="L14" s="1396"/>
      <c r="M14" s="1396"/>
      <c r="N14" s="1396"/>
      <c r="O14" s="1396"/>
      <c r="P14" s="1396"/>
      <c r="Q14" s="1396"/>
      <c r="R14" s="1396"/>
      <c r="S14" s="1396"/>
      <c r="T14" s="1396"/>
      <c r="U14" s="1396"/>
      <c r="V14" s="1396"/>
      <c r="W14" s="1396"/>
    </row>
    <row r="15" spans="1:26" x14ac:dyDescent="0.25">
      <c r="A15" s="1396"/>
      <c r="B15" s="1396"/>
      <c r="C15" s="1396"/>
      <c r="D15" s="1396"/>
      <c r="E15" s="1396"/>
      <c r="F15" s="1396"/>
      <c r="G15" s="1396"/>
      <c r="H15" s="1396"/>
      <c r="I15" s="1396"/>
      <c r="J15" s="1396"/>
      <c r="K15" s="1396"/>
      <c r="L15" s="1396"/>
      <c r="M15" s="1396"/>
      <c r="N15" s="1396"/>
      <c r="O15" s="1396"/>
      <c r="P15" s="1396"/>
      <c r="Q15" s="1396"/>
      <c r="R15" s="1396"/>
      <c r="S15" s="1396"/>
      <c r="T15" s="1396"/>
      <c r="U15" s="1396"/>
      <c r="V15" s="1396"/>
      <c r="W15" s="1396"/>
    </row>
    <row r="16" spans="1:26" x14ac:dyDescent="0.25">
      <c r="A16" s="1396"/>
      <c r="B16" s="1396"/>
      <c r="C16" s="1396"/>
      <c r="D16" s="1396"/>
      <c r="E16" s="1396"/>
      <c r="F16" s="1396"/>
      <c r="G16" s="1396"/>
      <c r="H16" s="1396"/>
      <c r="I16" s="1396"/>
      <c r="J16" s="1396"/>
      <c r="K16" s="1396"/>
      <c r="L16" s="1396"/>
      <c r="M16" s="1396"/>
      <c r="N16" s="1396"/>
      <c r="O16" s="1396"/>
      <c r="P16" s="1396"/>
      <c r="Q16" s="1396"/>
      <c r="R16" s="1396"/>
      <c r="S16" s="1396"/>
      <c r="T16" s="1396"/>
      <c r="U16" s="1396"/>
      <c r="V16" s="1396"/>
      <c r="W16" s="1396"/>
    </row>
    <row r="17" spans="1:23" x14ac:dyDescent="0.25">
      <c r="A17" s="1396"/>
      <c r="B17" s="1396"/>
      <c r="C17" s="1396"/>
      <c r="D17" s="1396"/>
      <c r="E17" s="1396"/>
      <c r="F17" s="1396"/>
      <c r="G17" s="1396"/>
      <c r="H17" s="1396"/>
      <c r="I17" s="1396"/>
      <c r="J17" s="1396"/>
      <c r="K17" s="1396"/>
      <c r="L17" s="1396"/>
      <c r="M17" s="1396"/>
      <c r="N17" s="1396"/>
      <c r="O17" s="1396"/>
      <c r="P17" s="1396"/>
      <c r="Q17" s="1396"/>
      <c r="R17" s="1396"/>
      <c r="S17" s="1396"/>
      <c r="T17" s="1396"/>
      <c r="U17" s="1396"/>
      <c r="V17" s="1396"/>
      <c r="W17" s="1396"/>
    </row>
    <row r="18" spans="1:23" x14ac:dyDescent="0.25">
      <c r="A18" s="1396"/>
      <c r="B18" s="1396"/>
      <c r="C18" s="1401" t="s">
        <v>505</v>
      </c>
      <c r="D18" s="1401"/>
      <c r="E18" s="1401"/>
      <c r="F18" s="1401"/>
      <c r="G18" s="1401"/>
      <c r="H18" s="1401"/>
      <c r="I18" s="1401"/>
      <c r="J18" s="1401"/>
      <c r="K18" s="1401"/>
      <c r="L18" s="1401"/>
      <c r="M18" s="1401"/>
      <c r="N18" s="1401"/>
      <c r="O18" s="1396"/>
      <c r="P18" s="1396"/>
      <c r="Q18" s="1396"/>
      <c r="R18" s="1396"/>
      <c r="S18" s="1396"/>
      <c r="T18" s="1396"/>
      <c r="U18" s="1396"/>
      <c r="V18" s="1396"/>
      <c r="W18" s="1396"/>
    </row>
    <row r="19" spans="1:23" x14ac:dyDescent="0.25">
      <c r="A19" s="1396"/>
      <c r="B19" s="1396"/>
      <c r="C19" s="1401"/>
      <c r="D19" s="1401"/>
      <c r="E19" s="1401"/>
      <c r="F19" s="1401"/>
      <c r="G19" s="1401"/>
      <c r="H19" s="1401"/>
      <c r="I19" s="1401"/>
      <c r="J19" s="1401"/>
      <c r="K19" s="1401"/>
      <c r="L19" s="1401"/>
      <c r="M19" s="1401"/>
      <c r="N19" s="1401"/>
      <c r="O19" s="1396"/>
      <c r="P19" s="1396"/>
      <c r="Q19" s="1396"/>
      <c r="R19" s="1396"/>
      <c r="S19" s="1396"/>
      <c r="T19" s="1396"/>
      <c r="U19" s="1396"/>
      <c r="V19" s="1396"/>
      <c r="W19" s="1396"/>
    </row>
    <row r="20" spans="1:23" x14ac:dyDescent="0.25">
      <c r="A20" s="1396"/>
      <c r="B20" s="1396"/>
      <c r="C20" s="1402" t="s">
        <v>504</v>
      </c>
      <c r="D20" s="1401"/>
      <c r="E20" s="1401"/>
      <c r="F20" s="1401"/>
      <c r="G20" s="1401"/>
      <c r="H20" s="1401"/>
      <c r="I20" s="1401"/>
      <c r="J20" s="1401"/>
      <c r="K20" s="1401"/>
      <c r="L20" s="1401"/>
      <c r="M20" s="1401"/>
      <c r="N20" s="1401"/>
      <c r="O20" s="1396"/>
      <c r="P20" s="1396"/>
      <c r="Q20" s="1396"/>
      <c r="R20" s="1396"/>
      <c r="S20" s="1396"/>
      <c r="T20" s="1396"/>
      <c r="U20" s="1396"/>
      <c r="V20" s="1396"/>
      <c r="W20" s="1396"/>
    </row>
    <row r="21" spans="1:23" x14ac:dyDescent="0.25">
      <c r="A21" s="1396"/>
      <c r="B21" s="1396"/>
      <c r="C21" s="1403">
        <f>IF(holding&lt;refi_year+DASHBOARD!AD102,0,ROUND(DEBT!C20+MORTGAGE!J24,0))</f>
        <v>0</v>
      </c>
      <c r="D21" s="1401"/>
      <c r="E21" s="1401"/>
      <c r="F21" s="1401"/>
      <c r="G21" s="1401"/>
      <c r="H21" s="1401"/>
      <c r="I21" s="1401"/>
      <c r="J21" s="1401"/>
      <c r="K21" s="1401"/>
      <c r="L21" s="1401"/>
      <c r="M21" s="1401"/>
      <c r="N21" s="1401"/>
      <c r="O21" s="1396"/>
      <c r="P21" s="1396"/>
      <c r="Q21" s="1396"/>
      <c r="R21" s="1396"/>
      <c r="S21" s="1396"/>
      <c r="T21" s="1396"/>
      <c r="U21" s="1396"/>
      <c r="V21" s="1396"/>
      <c r="W21" s="1396"/>
    </row>
    <row r="22" spans="1:23" x14ac:dyDescent="0.25">
      <c r="A22" s="1396"/>
      <c r="B22" s="1396"/>
      <c r="C22" s="1403">
        <f>ROUND(DEBT!C15-DASHBOARD!AZ104+DASHBOARD!AZ98,3)</f>
        <v>0</v>
      </c>
      <c r="D22" s="1401"/>
      <c r="E22" s="1401"/>
      <c r="F22" s="1401"/>
      <c r="G22" s="1401"/>
      <c r="H22" s="1401"/>
      <c r="I22" s="1401"/>
      <c r="J22" s="1401"/>
      <c r="K22" s="1401"/>
      <c r="L22" s="1401"/>
      <c r="M22" s="1401"/>
      <c r="N22" s="1401"/>
      <c r="O22" s="1396"/>
      <c r="P22" s="1396"/>
      <c r="Q22" s="1396"/>
      <c r="R22" s="1396"/>
      <c r="S22" s="1396"/>
      <c r="T22" s="1396"/>
      <c r="U22" s="1396"/>
      <c r="V22" s="1396"/>
      <c r="W22" s="1396"/>
    </row>
    <row r="23" spans="1:23" x14ac:dyDescent="0.25">
      <c r="A23" s="1396"/>
      <c r="B23" s="1396"/>
      <c r="C23" s="1403">
        <f>ROUND(DEBT!C23+MORTGAGE!K24,3)</f>
        <v>0</v>
      </c>
      <c r="D23" s="1401"/>
      <c r="E23" s="1401"/>
      <c r="F23" s="1401"/>
      <c r="G23" s="1401"/>
      <c r="H23" s="1401"/>
      <c r="I23" s="1401"/>
      <c r="J23" s="1401"/>
      <c r="K23" s="1401"/>
      <c r="L23" s="1401"/>
      <c r="M23" s="1401"/>
      <c r="N23" s="1401"/>
      <c r="O23" s="1396"/>
      <c r="P23" s="1396"/>
      <c r="Q23" s="1396"/>
      <c r="R23" s="1396"/>
      <c r="S23" s="1396"/>
      <c r="T23" s="1396"/>
      <c r="U23" s="1396"/>
      <c r="V23" s="1396"/>
      <c r="W23" s="1396"/>
    </row>
    <row r="24" spans="1:23" x14ac:dyDescent="0.25">
      <c r="B24" s="1396"/>
      <c r="C24" s="1401"/>
      <c r="D24" s="1401"/>
      <c r="E24" s="1401"/>
      <c r="F24" s="1401"/>
      <c r="G24" s="1401"/>
      <c r="H24" s="1401"/>
      <c r="I24" s="1401"/>
      <c r="J24" s="1401"/>
      <c r="K24" s="1401"/>
      <c r="L24" s="1401"/>
      <c r="M24" s="1401"/>
      <c r="N24" s="1401"/>
      <c r="O24" s="1396"/>
      <c r="P24" s="1396"/>
      <c r="Q24" s="1396"/>
      <c r="R24" s="1396"/>
      <c r="S24" s="1396"/>
      <c r="T24" s="1396"/>
      <c r="U24" s="1396"/>
      <c r="V24" s="1396"/>
    </row>
    <row r="25" spans="1:23" x14ac:dyDescent="0.25">
      <c r="B25" s="1396"/>
      <c r="C25" s="1401"/>
      <c r="D25" s="1401"/>
      <c r="E25" s="1401"/>
      <c r="F25" s="1401"/>
      <c r="G25" s="1401"/>
      <c r="H25" s="1401"/>
      <c r="I25" s="1401"/>
      <c r="J25" s="1401"/>
      <c r="K25" s="1401"/>
      <c r="L25" s="1401"/>
      <c r="M25" s="1401"/>
      <c r="N25" s="1401"/>
      <c r="O25" s="1396"/>
      <c r="P25" s="1396"/>
      <c r="Q25" s="1396"/>
      <c r="R25" s="1396"/>
      <c r="S25" s="1396"/>
      <c r="T25" s="1396"/>
      <c r="U25" s="1396"/>
      <c r="V25" s="1396"/>
    </row>
    <row r="26" spans="1:23" x14ac:dyDescent="0.25">
      <c r="B26" s="1396"/>
      <c r="C26" s="1401"/>
      <c r="D26" s="1401"/>
      <c r="E26" s="1401"/>
      <c r="F26" s="1401"/>
      <c r="G26" s="1401"/>
      <c r="H26" s="1401"/>
      <c r="I26" s="1401"/>
      <c r="J26" s="1401"/>
      <c r="K26" s="1401"/>
      <c r="L26" s="1401"/>
      <c r="M26" s="1401"/>
      <c r="N26" s="1401"/>
      <c r="O26" s="1396"/>
      <c r="P26" s="1396"/>
      <c r="Q26" s="1396"/>
      <c r="R26" s="1396"/>
      <c r="S26" s="1396"/>
      <c r="T26" s="1396"/>
      <c r="U26" s="1396"/>
      <c r="V26" s="1396"/>
    </row>
    <row r="27" spans="1:23" x14ac:dyDescent="0.25">
      <c r="B27" s="1396"/>
      <c r="C27" s="1401"/>
      <c r="D27" s="1401">
        <v>1</v>
      </c>
      <c r="E27" s="1401">
        <f>D27+1</f>
        <v>2</v>
      </c>
      <c r="F27" s="1401">
        <f t="shared" ref="F27:O27" si="0">E27+1</f>
        <v>3</v>
      </c>
      <c r="G27" s="1401">
        <f t="shared" si="0"/>
        <v>4</v>
      </c>
      <c r="H27" s="1401">
        <f t="shared" si="0"/>
        <v>5</v>
      </c>
      <c r="I27" s="1401">
        <f t="shared" si="0"/>
        <v>6</v>
      </c>
      <c r="J27" s="1401">
        <f t="shared" si="0"/>
        <v>7</v>
      </c>
      <c r="K27" s="1401">
        <f t="shared" si="0"/>
        <v>8</v>
      </c>
      <c r="L27" s="1401">
        <f t="shared" si="0"/>
        <v>9</v>
      </c>
      <c r="M27" s="1401">
        <f t="shared" si="0"/>
        <v>10</v>
      </c>
      <c r="N27" s="1401">
        <f t="shared" si="0"/>
        <v>11</v>
      </c>
      <c r="O27" s="1401">
        <f t="shared" si="0"/>
        <v>12</v>
      </c>
      <c r="P27" s="1396"/>
      <c r="Q27" s="1396"/>
      <c r="R27" s="1396"/>
      <c r="S27" s="1396"/>
      <c r="T27" s="1396"/>
      <c r="U27" s="1396"/>
      <c r="V27" s="1396"/>
    </row>
    <row r="28" spans="1:23" x14ac:dyDescent="0.25">
      <c r="B28" s="1396"/>
      <c r="C28" s="1401"/>
      <c r="D28" s="1401" t="s">
        <v>1028</v>
      </c>
      <c r="E28" s="1401" t="s">
        <v>1029</v>
      </c>
      <c r="F28" s="1401" t="s">
        <v>1030</v>
      </c>
      <c r="G28" s="1401" t="s">
        <v>1031</v>
      </c>
      <c r="H28" s="1401" t="s">
        <v>557</v>
      </c>
      <c r="I28" s="1401" t="s">
        <v>1032</v>
      </c>
      <c r="J28" s="1401" t="s">
        <v>1033</v>
      </c>
      <c r="K28" s="1401" t="s">
        <v>1034</v>
      </c>
      <c r="L28" s="1401" t="s">
        <v>1035</v>
      </c>
      <c r="M28" s="1401" t="s">
        <v>1036</v>
      </c>
      <c r="N28" s="1401" t="s">
        <v>1037</v>
      </c>
      <c r="O28" s="1401" t="s">
        <v>1038</v>
      </c>
      <c r="P28" s="1396"/>
      <c r="Q28" s="1396"/>
      <c r="R28" s="1396"/>
      <c r="S28" s="1396"/>
      <c r="T28" s="1396"/>
      <c r="U28" s="1396"/>
      <c r="V28" s="1396"/>
    </row>
    <row r="29" spans="1:23" x14ac:dyDescent="0.25">
      <c r="B29" s="1396"/>
      <c r="C29" s="1401" t="s">
        <v>569</v>
      </c>
      <c r="D29" s="1405">
        <f>SUMIFS('ACTUALS (M)'!$G$11:$DV$11,'ACTUALS (M)'!$G$7:$DV$7,'YTD (R)'!$AS$8,'ACTUALS (M)'!$G$6:$DV$6,HIDE3!D27)</f>
        <v>0</v>
      </c>
      <c r="E29" s="1405">
        <f>SUMIFS('ACTUALS (M)'!$G$11:$DV$11,'ACTUALS (M)'!$G$7:$DV$7,'YTD (R)'!$AS$8,'ACTUALS (M)'!$G$6:$DV$6,HIDE3!E27)</f>
        <v>0</v>
      </c>
      <c r="F29" s="1405">
        <f>SUMIFS('ACTUALS (M)'!$G$11:$DV$11,'ACTUALS (M)'!$G$7:$DV$7,'YTD (R)'!$AS$8,'ACTUALS (M)'!$G$6:$DV$6,HIDE3!F27)</f>
        <v>0</v>
      </c>
      <c r="G29" s="1405">
        <f>SUMIFS('ACTUALS (M)'!$G$11:$DV$11,'ACTUALS (M)'!$G$7:$DV$7,'YTD (R)'!$AS$8,'ACTUALS (M)'!$G$6:$DV$6,HIDE3!G27)</f>
        <v>0</v>
      </c>
      <c r="H29" s="1405">
        <f>SUMIFS('ACTUALS (M)'!$G$11:$DV$11,'ACTUALS (M)'!$G$7:$DV$7,'YTD (R)'!$AS$8,'ACTUALS (M)'!$G$6:$DV$6,HIDE3!H27)</f>
        <v>0</v>
      </c>
      <c r="I29" s="1405">
        <f>SUMIFS('ACTUALS (M)'!$G$11:$DV$11,'ACTUALS (M)'!$G$7:$DV$7,'YTD (R)'!$AS$8,'ACTUALS (M)'!$G$6:$DV$6,HIDE3!I27)</f>
        <v>0</v>
      </c>
      <c r="J29" s="1405">
        <f>SUMIFS('ACTUALS (M)'!$G$11:$DV$11,'ACTUALS (M)'!$G$7:$DV$7,'YTD (R)'!$AS$8,'ACTUALS (M)'!$G$6:$DV$6,HIDE3!J27)</f>
        <v>0</v>
      </c>
      <c r="K29" s="1405">
        <f>SUMIFS('ACTUALS (M)'!$G$11:$DV$11,'ACTUALS (M)'!$G$7:$DV$7,'YTD (R)'!$AS$8,'ACTUALS (M)'!$G$6:$DV$6,HIDE3!K27)</f>
        <v>0</v>
      </c>
      <c r="L29" s="1405">
        <f>SUMIFS('ACTUALS (M)'!$G$11:$DV$11,'ACTUALS (M)'!$G$7:$DV$7,'YTD (R)'!$AS$8,'ACTUALS (M)'!$G$6:$DV$6,HIDE3!L27)</f>
        <v>0</v>
      </c>
      <c r="M29" s="1405">
        <f>SUMIFS('ACTUALS (M)'!$G$11:$DV$11,'ACTUALS (M)'!$G$7:$DV$7,'YTD (R)'!$AS$8,'ACTUALS (M)'!$G$6:$DV$6,HIDE3!M27)</f>
        <v>0</v>
      </c>
      <c r="N29" s="1405">
        <f>SUMIFS('ACTUALS (M)'!$G$11:$DV$11,'ACTUALS (M)'!$G$7:$DV$7,'YTD (R)'!$AS$8,'ACTUALS (M)'!$G$6:$DV$6,HIDE3!N27)</f>
        <v>0</v>
      </c>
      <c r="O29" s="1405">
        <f>SUMIFS('ACTUALS (M)'!$G$11:$DV$11,'ACTUALS (M)'!$G$7:$DV$7,'YTD (R)'!$AS$8,'ACTUALS (M)'!$G$6:$DV$6,HIDE3!O27)</f>
        <v>0</v>
      </c>
      <c r="P29" s="1396"/>
      <c r="Q29" s="1396"/>
      <c r="R29" s="1396"/>
      <c r="S29" s="1396"/>
      <c r="T29" s="1396"/>
      <c r="U29" s="1396"/>
      <c r="V29" s="1396"/>
    </row>
    <row r="30" spans="1:23" x14ac:dyDescent="0.25">
      <c r="B30" s="1396"/>
      <c r="C30" s="1401" t="s">
        <v>584</v>
      </c>
      <c r="D30" s="1413">
        <f>SUMIFS('ACTUALS (M)'!$G$19:$DV$19,'ACTUALS (M)'!$G$7:$DV$7,'YTD (R)'!$AS$8,'ACTUALS (M)'!$G$6:$DV$6,HIDE3!D27)</f>
        <v>0</v>
      </c>
      <c r="E30" s="1413">
        <f>SUMIFS('ACTUALS (M)'!$G$19:$DV$19,'ACTUALS (M)'!$G$7:$DV$7,'YTD (R)'!$AS$8,'ACTUALS (M)'!$G$6:$DV$6,HIDE3!E27)</f>
        <v>0</v>
      </c>
      <c r="F30" s="1413">
        <f>SUMIFS('ACTUALS (M)'!$G$19:$DV$19,'ACTUALS (M)'!$G$7:$DV$7,'YTD (R)'!$AS$8,'ACTUALS (M)'!$G$6:$DV$6,HIDE3!F27)</f>
        <v>0</v>
      </c>
      <c r="G30" s="1413">
        <f>SUMIFS('ACTUALS (M)'!$G$19:$DV$19,'ACTUALS (M)'!$G$7:$DV$7,'YTD (R)'!$AS$8,'ACTUALS (M)'!$G$6:$DV$6,HIDE3!G27)</f>
        <v>0</v>
      </c>
      <c r="H30" s="1413">
        <f>SUMIFS('ACTUALS (M)'!$G$19:$DV$19,'ACTUALS (M)'!$G$7:$DV$7,'YTD (R)'!$AS$8,'ACTUALS (M)'!$G$6:$DV$6,HIDE3!H27)</f>
        <v>0</v>
      </c>
      <c r="I30" s="1413">
        <f>SUMIFS('ACTUALS (M)'!$G$19:$DV$19,'ACTUALS (M)'!$G$7:$DV$7,'YTD (R)'!$AS$8,'ACTUALS (M)'!$G$6:$DV$6,HIDE3!I27)</f>
        <v>0</v>
      </c>
      <c r="J30" s="1413">
        <f>SUMIFS('ACTUALS (M)'!$G$19:$DV$19,'ACTUALS (M)'!$G$7:$DV$7,'YTD (R)'!$AS$8,'ACTUALS (M)'!$G$6:$DV$6,HIDE3!J27)</f>
        <v>0</v>
      </c>
      <c r="K30" s="1413">
        <f>SUMIFS('ACTUALS (M)'!$G$19:$DV$19,'ACTUALS (M)'!$G$7:$DV$7,'YTD (R)'!$AS$8,'ACTUALS (M)'!$G$6:$DV$6,HIDE3!K27)</f>
        <v>0</v>
      </c>
      <c r="L30" s="1413">
        <f>SUMIFS('ACTUALS (M)'!$G$19:$DV$19,'ACTUALS (M)'!$G$7:$DV$7,'YTD (R)'!$AS$8,'ACTUALS (M)'!$G$6:$DV$6,HIDE3!L27)</f>
        <v>0</v>
      </c>
      <c r="M30" s="1413">
        <f>SUMIFS('ACTUALS (M)'!$G$19:$DV$19,'ACTUALS (M)'!$G$7:$DV$7,'YTD (R)'!$AS$8,'ACTUALS (M)'!$G$6:$DV$6,HIDE3!M27)</f>
        <v>0</v>
      </c>
      <c r="N30" s="1413">
        <f>SUMIFS('ACTUALS (M)'!$G$19:$DV$19,'ACTUALS (M)'!$G$7:$DV$7,'YTD (R)'!$AS$8,'ACTUALS (M)'!$G$6:$DV$6,HIDE3!N27)</f>
        <v>0</v>
      </c>
      <c r="O30" s="1413">
        <f>SUMIFS('ACTUALS (M)'!$G$19:$DV$19,'ACTUALS (M)'!$G$7:$DV$7,'YTD (R)'!$AS$8,'ACTUALS (M)'!$G$6:$DV$6,HIDE3!O27)</f>
        <v>0</v>
      </c>
      <c r="P30" s="1396"/>
      <c r="Q30" s="1396"/>
      <c r="R30" s="1396"/>
      <c r="S30" s="1396"/>
      <c r="T30" s="1396"/>
      <c r="U30" s="1396"/>
      <c r="V30" s="1396"/>
    </row>
    <row r="31" spans="1:23" x14ac:dyDescent="0.25">
      <c r="B31" s="1396"/>
      <c r="C31" s="1401" t="s">
        <v>1009</v>
      </c>
      <c r="D31" s="1413">
        <f>D30-D32</f>
        <v>0</v>
      </c>
      <c r="E31" s="1413">
        <f t="shared" ref="E31:O31" si="1">E30-E32</f>
        <v>0</v>
      </c>
      <c r="F31" s="1413">
        <f t="shared" si="1"/>
        <v>0</v>
      </c>
      <c r="G31" s="1413">
        <f t="shared" si="1"/>
        <v>0</v>
      </c>
      <c r="H31" s="1413">
        <f t="shared" si="1"/>
        <v>0</v>
      </c>
      <c r="I31" s="1413">
        <f t="shared" si="1"/>
        <v>0</v>
      </c>
      <c r="J31" s="1413">
        <f t="shared" si="1"/>
        <v>0</v>
      </c>
      <c r="K31" s="1413">
        <f t="shared" si="1"/>
        <v>0</v>
      </c>
      <c r="L31" s="1413">
        <f t="shared" si="1"/>
        <v>0</v>
      </c>
      <c r="M31" s="1413">
        <f t="shared" si="1"/>
        <v>0</v>
      </c>
      <c r="N31" s="1413">
        <f t="shared" si="1"/>
        <v>0</v>
      </c>
      <c r="O31" s="1413">
        <f t="shared" si="1"/>
        <v>0</v>
      </c>
      <c r="P31" s="1396"/>
      <c r="Q31" s="1396"/>
      <c r="R31" s="1396"/>
      <c r="S31" s="1396"/>
      <c r="T31" s="1396"/>
      <c r="U31" s="1396"/>
      <c r="V31" s="1396"/>
    </row>
    <row r="32" spans="1:23" x14ac:dyDescent="0.25">
      <c r="B32" s="1396"/>
      <c r="C32" s="1401" t="s">
        <v>84</v>
      </c>
      <c r="D32" s="1413">
        <f>SUMIFS('ACTUALS (M)'!$G$58:$DV$58,'ACTUALS (M)'!$G$7:$DV$7,'YTD (R)'!$AS$8,'ACTUALS (M)'!$G$6:$DV$6,HIDE3!D27)</f>
        <v>0</v>
      </c>
      <c r="E32" s="1413">
        <f>SUMIFS('ACTUALS (M)'!$G$58:$DV$58,'ACTUALS (M)'!$G$7:$DV$7,'YTD (R)'!$AS$8,'ACTUALS (M)'!$G$6:$DV$6,HIDE3!E27)</f>
        <v>0</v>
      </c>
      <c r="F32" s="1413">
        <f>SUMIFS('ACTUALS (M)'!$G$58:$DV$58,'ACTUALS (M)'!$G$7:$DV$7,'YTD (R)'!$AS$8,'ACTUALS (M)'!$G$6:$DV$6,HIDE3!F27)</f>
        <v>0</v>
      </c>
      <c r="G32" s="1413">
        <f>SUMIFS('ACTUALS (M)'!$G$58:$DV$58,'ACTUALS (M)'!$G$7:$DV$7,'YTD (R)'!$AS$8,'ACTUALS (M)'!$G$6:$DV$6,HIDE3!G27)</f>
        <v>0</v>
      </c>
      <c r="H32" s="1413">
        <f>SUMIFS('ACTUALS (M)'!$G$58:$DV$58,'ACTUALS (M)'!$G$7:$DV$7,'YTD (R)'!$AS$8,'ACTUALS (M)'!$G$6:$DV$6,HIDE3!H27)</f>
        <v>0</v>
      </c>
      <c r="I32" s="1413">
        <f>SUMIFS('ACTUALS (M)'!$G$58:$DV$58,'ACTUALS (M)'!$G$7:$DV$7,'YTD (R)'!$AS$8,'ACTUALS (M)'!$G$6:$DV$6,HIDE3!I27)</f>
        <v>0</v>
      </c>
      <c r="J32" s="1413">
        <f>SUMIFS('ACTUALS (M)'!$G$58:$DV$58,'ACTUALS (M)'!$G$7:$DV$7,'YTD (R)'!$AS$8,'ACTUALS (M)'!$G$6:$DV$6,HIDE3!J27)</f>
        <v>0</v>
      </c>
      <c r="K32" s="1413">
        <f>SUMIFS('ACTUALS (M)'!$G$58:$DV$58,'ACTUALS (M)'!$G$7:$DV$7,'YTD (R)'!$AS$8,'ACTUALS (M)'!$G$6:$DV$6,HIDE3!K27)</f>
        <v>0</v>
      </c>
      <c r="L32" s="1413">
        <f>SUMIFS('ACTUALS (M)'!$G$58:$DV$58,'ACTUALS (M)'!$G$7:$DV$7,'YTD (R)'!$AS$8,'ACTUALS (M)'!$G$6:$DV$6,HIDE3!L27)</f>
        <v>0</v>
      </c>
      <c r="M32" s="1413">
        <f>SUMIFS('ACTUALS (M)'!$G$58:$DV$58,'ACTUALS (M)'!$G$7:$DV$7,'YTD (R)'!$AS$8,'ACTUALS (M)'!$G$6:$DV$6,HIDE3!M27)</f>
        <v>0</v>
      </c>
      <c r="N32" s="1413">
        <f>SUMIFS('ACTUALS (M)'!$G$58:$DV$58,'ACTUALS (M)'!$G$7:$DV$7,'YTD (R)'!$AS$8,'ACTUALS (M)'!$G$6:$DV$6,HIDE3!N27)</f>
        <v>0</v>
      </c>
      <c r="O32" s="1413">
        <f>SUMIFS('ACTUALS (M)'!$G$58:$DV$58,'ACTUALS (M)'!$G$7:$DV$7,'YTD (R)'!$AS$8,'ACTUALS (M)'!$G$6:$DV$6,HIDE3!O27)</f>
        <v>0</v>
      </c>
      <c r="P32" s="1396"/>
      <c r="Q32" s="1396"/>
      <c r="R32" s="1396"/>
      <c r="S32" s="1396"/>
      <c r="T32" s="1396"/>
      <c r="U32" s="1396"/>
      <c r="V32" s="1396"/>
    </row>
    <row r="33" spans="2:22" x14ac:dyDescent="0.25">
      <c r="B33" s="1396"/>
      <c r="C33" s="1401"/>
      <c r="D33" s="1404"/>
      <c r="E33" s="1396"/>
      <c r="F33" s="1401"/>
      <c r="G33" s="1404"/>
      <c r="H33" s="1396"/>
      <c r="I33" s="1396"/>
      <c r="J33" s="1396"/>
      <c r="K33" s="1396"/>
      <c r="L33" s="1396"/>
      <c r="M33" s="1396"/>
      <c r="N33" s="1396"/>
      <c r="O33" s="1396"/>
      <c r="P33" s="1396"/>
      <c r="Q33" s="1396"/>
      <c r="R33" s="1396"/>
      <c r="S33" s="1396"/>
      <c r="T33" s="1396"/>
      <c r="U33" s="1396"/>
      <c r="V33" s="1396"/>
    </row>
    <row r="34" spans="2:22" x14ac:dyDescent="0.25">
      <c r="B34" s="1396"/>
      <c r="C34" s="1401"/>
      <c r="D34" s="1404"/>
      <c r="E34" s="1396"/>
      <c r="F34" s="1401"/>
      <c r="G34" s="1405"/>
      <c r="H34" s="1396"/>
      <c r="I34" s="1396"/>
      <c r="J34" s="1396" t="e">
        <f>'MONTHLY (R)'!AT8</f>
        <v>#N/A</v>
      </c>
      <c r="K34" s="1396">
        <f>'MONTHLY (R)'!AS9</f>
        <v>0</v>
      </c>
      <c r="L34" s="1396"/>
      <c r="M34" s="1396"/>
      <c r="N34" s="1396"/>
      <c r="O34" s="1396"/>
      <c r="P34" s="1396"/>
      <c r="Q34" s="1396"/>
      <c r="R34" s="1396"/>
      <c r="S34" s="1396"/>
      <c r="T34" s="1396"/>
      <c r="U34" s="1396"/>
      <c r="V34" s="1396"/>
    </row>
    <row r="35" spans="2:22" x14ac:dyDescent="0.25">
      <c r="B35" s="1396"/>
      <c r="C35" s="1401"/>
      <c r="D35" s="1404"/>
      <c r="E35" s="1396"/>
      <c r="F35" s="1401"/>
      <c r="G35" s="1404"/>
      <c r="H35" s="1396" t="s">
        <v>597</v>
      </c>
      <c r="I35" s="1396"/>
      <c r="J35" s="1396"/>
      <c r="K35" s="1396"/>
      <c r="L35" s="1396"/>
      <c r="M35" s="1396"/>
      <c r="N35" s="1396"/>
      <c r="O35" s="1396"/>
      <c r="P35" s="1396"/>
      <c r="Q35" s="1396"/>
      <c r="R35" s="1396"/>
      <c r="S35" s="1396"/>
      <c r="T35" s="1396"/>
      <c r="U35" s="1396"/>
      <c r="V35" s="1396"/>
    </row>
    <row r="36" spans="2:22" x14ac:dyDescent="0.25">
      <c r="B36" s="1396"/>
      <c r="C36" s="1401" t="str">
        <f>'ACTUALS (M)'!B21</f>
        <v>Electrical Utilities</v>
      </c>
      <c r="D36" s="1408">
        <f>-SUMIFS('ACTUALS (M)'!G21:DV21,'ACTUALS (M)'!$G$7:$DV$7,'YTD (R)'!$AS$8)</f>
        <v>0</v>
      </c>
      <c r="E36" s="1396"/>
      <c r="G36" s="1404" t="str" cm="1">
        <f t="array" ref="G36">IFERROR(INDEX(C$36:C$60,SMALL(IF(D$36:D$60=H36,ROW(D$36:D$60)-ROW(H$36)+1),COUNTIF(H$36:H36,H36))),"")</f>
        <v>Electrical Utilities</v>
      </c>
      <c r="H36" s="1404">
        <f>IFERROR(LARGE($D$36:$D$60,ROWS($H$36:H36)),"")</f>
        <v>0</v>
      </c>
      <c r="I36" s="1396"/>
      <c r="J36" s="1396"/>
      <c r="K36" s="1396"/>
      <c r="L36" s="1396"/>
      <c r="M36" s="1396"/>
      <c r="N36" s="1396"/>
      <c r="O36" s="1396"/>
      <c r="P36" s="1396"/>
      <c r="Q36" s="1396"/>
      <c r="R36" s="1396"/>
      <c r="S36" s="1396"/>
      <c r="T36" s="1396"/>
      <c r="U36" s="1396"/>
      <c r="V36" s="1396"/>
    </row>
    <row r="37" spans="2:22" x14ac:dyDescent="0.25">
      <c r="B37" s="1396"/>
      <c r="C37" s="1401" t="str">
        <f>'ACTUALS (M)'!B22</f>
        <v>Gas Utilities</v>
      </c>
      <c r="D37" s="1408">
        <f>-SUMIFS('ACTUALS (M)'!G22:DV22,'ACTUALS (M)'!$G$7:$DV$7,'YTD (R)'!$AS$8)</f>
        <v>0</v>
      </c>
      <c r="E37" s="1396"/>
      <c r="G37" s="1404" t="str" cm="1">
        <f t="array" ref="G37">IFERROR(INDEX(C$36:C$60,SMALL(IF(D$36:D$60=H37,ROW(D$36:D$60)-ROW(H$36)+1),COUNTIF(H$36:H37,H37))),"")</f>
        <v>Gas Utilities</v>
      </c>
      <c r="H37" s="1404">
        <f>IFERROR(LARGE($D$36:$D$60,ROWS($H$36:H37)),"")</f>
        <v>0</v>
      </c>
      <c r="I37" s="1396"/>
      <c r="J37" s="1417"/>
      <c r="K37" s="1396"/>
      <c r="L37" s="1396"/>
      <c r="M37" s="1396"/>
      <c r="N37" s="1396"/>
      <c r="O37" s="1396"/>
      <c r="P37" s="1396"/>
      <c r="Q37" s="1396"/>
      <c r="R37" s="1396"/>
      <c r="S37" s="1396"/>
      <c r="T37" s="1396"/>
      <c r="U37" s="1396"/>
      <c r="V37" s="1396"/>
    </row>
    <row r="38" spans="2:22" x14ac:dyDescent="0.25">
      <c r="B38" s="1396"/>
      <c r="C38" s="1401" t="str">
        <f>'ACTUALS (M)'!B23</f>
        <v>Water Utilities</v>
      </c>
      <c r="D38" s="1408">
        <f>-SUMIFS('ACTUALS (M)'!G23:DV23,'ACTUALS (M)'!$G$7:$DV$7,'YTD (R)'!$AS$8)</f>
        <v>0</v>
      </c>
      <c r="E38" s="1396"/>
      <c r="G38" s="1404" t="str" cm="1">
        <f t="array" ref="G38">IFERROR(INDEX(C$36:C$60,SMALL(IF(D$36:D$60=H38,ROW(D$36:D$60)-ROW(H$36)+1),COUNTIF(H$36:H38,H38))),"")</f>
        <v>Water Utilities</v>
      </c>
      <c r="H38" s="1404">
        <f>IFERROR(LARGE($D$36:$D$60,ROWS($H$36:H38)),"")</f>
        <v>0</v>
      </c>
      <c r="I38" s="1396"/>
      <c r="J38" s="1396"/>
      <c r="K38" s="1396"/>
      <c r="L38" s="1396"/>
      <c r="M38" s="1396"/>
      <c r="N38" s="1396"/>
      <c r="O38" s="1396"/>
      <c r="P38" s="1396"/>
      <c r="Q38" s="1396"/>
      <c r="R38" s="1396"/>
      <c r="S38" s="1396"/>
      <c r="T38" s="1396"/>
      <c r="U38" s="1396"/>
      <c r="V38" s="1396"/>
    </row>
    <row r="39" spans="2:22" x14ac:dyDescent="0.25">
      <c r="B39" s="1396"/>
      <c r="C39" s="1401" t="str">
        <f>'ACTUALS (M)'!B24</f>
        <v>Phone</v>
      </c>
      <c r="D39" s="1408">
        <f>-SUMIFS('ACTUALS (M)'!G24:DV24,'ACTUALS (M)'!$G$7:$DV$7,'YTD (R)'!$AS$8)</f>
        <v>0</v>
      </c>
      <c r="E39" s="1396"/>
      <c r="G39" s="1404" t="str" cm="1">
        <f t="array" ref="G39">IFERROR(INDEX(C$36:C$60,SMALL(IF(D$36:D$60=H39,ROW(D$36:D$60)-ROW(H$36)+1),COUNTIF(H$36:H39,H39))),"")</f>
        <v>Phone</v>
      </c>
      <c r="H39" s="1404">
        <f>IFERROR(LARGE($D$36:$D$60,ROWS($H$36:H39)),"")</f>
        <v>0</v>
      </c>
      <c r="I39" s="1396"/>
      <c r="J39" s="1396"/>
      <c r="K39" s="1396"/>
      <c r="L39" s="1396"/>
      <c r="M39" s="1396"/>
      <c r="N39" s="1396"/>
      <c r="O39" s="1396"/>
      <c r="P39" s="1396"/>
      <c r="Q39" s="1396"/>
      <c r="R39" s="1396"/>
      <c r="S39" s="1396"/>
      <c r="T39" s="1396"/>
      <c r="U39" s="1396"/>
      <c r="V39" s="1396"/>
    </row>
    <row r="40" spans="2:22" x14ac:dyDescent="0.25">
      <c r="B40" s="1396"/>
      <c r="C40" s="1401" t="str">
        <f>'ACTUALS (M)'!B25</f>
        <v>Internet</v>
      </c>
      <c r="D40" s="1408">
        <f>-SUMIFS('ACTUALS (M)'!G25:DV25,'ACTUALS (M)'!$G$7:$DV$7,'YTD (R)'!$AS$8)</f>
        <v>0</v>
      </c>
      <c r="E40" s="1396"/>
      <c r="G40" s="1404" t="str" cm="1">
        <f t="array" ref="G40">IFERROR(INDEX(C$36:C$60,SMALL(IF(D$36:D$60=H40,ROW(D$36:D$60)-ROW(H$36)+1),COUNTIF(H$36:H40,H40))),"")</f>
        <v>Internet</v>
      </c>
      <c r="H40" s="1404">
        <f>IFERROR(LARGE($D$36:$D$60,ROWS($H$36:H40)),"")</f>
        <v>0</v>
      </c>
      <c r="I40" s="1396"/>
      <c r="J40" s="1396"/>
      <c r="K40" s="1396"/>
      <c r="L40" s="1396"/>
      <c r="M40" s="1396"/>
      <c r="N40" s="1396"/>
      <c r="O40" s="1396"/>
      <c r="P40" s="1396"/>
      <c r="Q40" s="1396"/>
      <c r="R40" s="1396"/>
      <c r="S40" s="1396"/>
      <c r="T40" s="1396"/>
      <c r="U40" s="1396"/>
      <c r="V40" s="1396"/>
    </row>
    <row r="41" spans="2:22" x14ac:dyDescent="0.25">
      <c r="B41" s="1396"/>
      <c r="C41" s="1401" t="str">
        <f>'ACTUALS (M)'!B26</f>
        <v>Property Insurance + Tax</v>
      </c>
      <c r="D41" s="1408">
        <f>-SUMIFS('ACTUALS (M)'!G26:DV26,'ACTUALS (M)'!$G$7:$DV$7,'YTD (R)'!$AS$8)</f>
        <v>0</v>
      </c>
      <c r="E41" s="1401"/>
      <c r="G41" s="1404" t="str" cm="1">
        <f t="array" ref="G41">IFERROR(INDEX(C$36:C$60,SMALL(IF(D$36:D$60=H41,ROW(D$36:D$60)-ROW(H$36)+1),COUNTIF(H$36:H41,H41))),"")</f>
        <v>Property Insurance + Tax</v>
      </c>
      <c r="H41" s="1404">
        <f>IFERROR(LARGE($D$36:$D$60,ROWS($H$36:H41)),"")</f>
        <v>0</v>
      </c>
      <c r="I41" s="1396"/>
      <c r="J41" s="1401"/>
      <c r="K41" s="1401"/>
      <c r="L41" s="1401"/>
      <c r="M41" s="1401"/>
      <c r="N41" s="1401"/>
      <c r="O41" s="1396"/>
      <c r="P41" s="1396"/>
      <c r="Q41" s="1396"/>
      <c r="R41" s="1396"/>
      <c r="S41" s="1396"/>
      <c r="T41" s="1396"/>
      <c r="U41" s="1396"/>
      <c r="V41" s="1396"/>
    </row>
    <row r="42" spans="2:22" x14ac:dyDescent="0.25">
      <c r="B42" s="1396"/>
      <c r="C42" s="1401" t="str">
        <f>'ACTUALS (M)'!B27</f>
        <v>Irrigation</v>
      </c>
      <c r="D42" s="1408">
        <f>-SUMIFS('ACTUALS (M)'!G27:DV27,'ACTUALS (M)'!$G$7:$DV$7,'YTD (R)'!$AS$8)</f>
        <v>0</v>
      </c>
      <c r="E42" s="1396"/>
      <c r="G42" s="1404" t="str" cm="1">
        <f t="array" ref="G42">IFERROR(INDEX(C$36:C$60,SMALL(IF(D$36:D$60=H42,ROW(D$36:D$60)-ROW(H$36)+1),COUNTIF(H$36:H42,H42))),"")</f>
        <v>Irrigation</v>
      </c>
      <c r="H42" s="1404">
        <f>IFERROR(LARGE($D$36:$D$60,ROWS($H$36:H42)),"")</f>
        <v>0</v>
      </c>
      <c r="I42" s="1396"/>
      <c r="J42" s="1396"/>
      <c r="K42" s="1396"/>
      <c r="L42" s="1396"/>
      <c r="M42" s="1396"/>
      <c r="N42" s="1396"/>
      <c r="O42" s="1396"/>
      <c r="P42" s="1396"/>
      <c r="Q42" s="1396"/>
      <c r="R42" s="1396"/>
      <c r="S42" s="1396"/>
      <c r="T42" s="1396"/>
      <c r="U42" s="1396"/>
      <c r="V42" s="1396"/>
    </row>
    <row r="43" spans="2:22" x14ac:dyDescent="0.25">
      <c r="B43" s="1396"/>
      <c r="C43" s="1401" t="str">
        <f>'ACTUALS (M)'!B28</f>
        <v>Security</v>
      </c>
      <c r="D43" s="1408">
        <f>-SUMIFS('ACTUALS (M)'!G28:DV28,'ACTUALS (M)'!$G$7:$DV$7,'YTD (R)'!$AS$8)</f>
        <v>0</v>
      </c>
      <c r="E43" s="1401"/>
      <c r="G43" s="1404" t="str" cm="1">
        <f t="array" ref="G43">IFERROR(INDEX(C$36:C$60,SMALL(IF(D$36:D$60=H43,ROW(D$36:D$60)-ROW(H$36)+1),COUNTIF(H$36:H43,H43))),"")</f>
        <v>Security</v>
      </c>
      <c r="H43" s="1404">
        <f>IFERROR(LARGE($D$36:$D$60,ROWS($H$36:H43)),"")</f>
        <v>0</v>
      </c>
      <c r="I43" s="1396"/>
      <c r="J43" s="1401"/>
      <c r="K43" s="1396"/>
      <c r="L43" s="1396"/>
      <c r="M43" s="1396"/>
      <c r="N43" s="1396"/>
      <c r="O43" s="1396"/>
      <c r="P43" s="1396"/>
      <c r="Q43" s="1396"/>
      <c r="R43" s="1396"/>
      <c r="S43" s="1396"/>
      <c r="T43" s="1396"/>
      <c r="U43" s="1396"/>
      <c r="V43" s="1396"/>
    </row>
    <row r="44" spans="2:22" x14ac:dyDescent="0.25">
      <c r="B44" s="1396"/>
      <c r="C44" s="1401" t="str">
        <f>'ACTUALS (M)'!B29</f>
        <v>Accounting</v>
      </c>
      <c r="D44" s="1408">
        <f>-SUMIFS('ACTUALS (M)'!G29:DV29,'ACTUALS (M)'!$G$7:$DV$7,'YTD (R)'!$AS$8)</f>
        <v>0</v>
      </c>
      <c r="E44" s="1396"/>
      <c r="G44" s="1404" t="str" cm="1">
        <f t="array" ref="G44">IFERROR(INDEX(C$36:C$60,SMALL(IF(D$36:D$60=H44,ROW(D$36:D$60)-ROW(H$36)+1),COUNTIF(H$36:H44,H44))),"")</f>
        <v>Accounting</v>
      </c>
      <c r="H44" s="1404">
        <f>IFERROR(LARGE($D$36:$D$60,ROWS($H$36:H44)),"")</f>
        <v>0</v>
      </c>
      <c r="I44" s="1396"/>
      <c r="J44" s="1396"/>
      <c r="K44" s="1396"/>
      <c r="L44" s="1396"/>
      <c r="M44" s="1396"/>
      <c r="N44" s="1396"/>
      <c r="O44" s="1396"/>
      <c r="P44" s="1396"/>
      <c r="Q44" s="1396"/>
      <c r="R44" s="1396"/>
      <c r="S44" s="1396"/>
      <c r="T44" s="1396"/>
      <c r="U44" s="1396"/>
      <c r="V44" s="1396"/>
    </row>
    <row r="45" spans="2:22" x14ac:dyDescent="0.25">
      <c r="B45" s="1396"/>
      <c r="C45" s="1401" t="str">
        <f>'ACTUALS (M)'!B30</f>
        <v>Repairs &amp; Maintenance</v>
      </c>
      <c r="D45" s="1408">
        <f>-SUMIFS('ACTUALS (M)'!G30:DV30,'ACTUALS (M)'!$G$7:$DV$7,'YTD (R)'!$AS$8)</f>
        <v>0</v>
      </c>
      <c r="E45" s="1396"/>
      <c r="G45" s="1404" t="str" cm="1">
        <f t="array" ref="G45">IFERROR(INDEX(C$36:C$60,SMALL(IF(D$36:D$60=H45,ROW(D$36:D$60)-ROW(H$36)+1),COUNTIF(H$36:H45,H45))),"")</f>
        <v>Repairs &amp; Maintenance</v>
      </c>
      <c r="H45" s="1404">
        <f>IFERROR(LARGE($D$36:$D$60,ROWS($H$36:H45)),"")</f>
        <v>0</v>
      </c>
      <c r="I45" s="1396"/>
      <c r="J45" s="1396"/>
      <c r="K45" s="1396"/>
      <c r="L45" s="1396"/>
      <c r="M45" s="1396"/>
      <c r="N45" s="1396"/>
      <c r="O45" s="1396"/>
      <c r="P45" s="1396"/>
      <c r="Q45" s="1396"/>
      <c r="R45" s="1396"/>
      <c r="S45" s="1396"/>
      <c r="T45" s="1396"/>
      <c r="U45" s="1396"/>
      <c r="V45" s="1396"/>
    </row>
    <row r="46" spans="2:22" x14ac:dyDescent="0.25">
      <c r="B46" s="1396"/>
      <c r="C46" s="1401" t="str">
        <f>'ACTUALS (M)'!B31</f>
        <v xml:space="preserve">Property Management </v>
      </c>
      <c r="D46" s="1408">
        <f>-SUMIFS('ACTUALS (M)'!G31:DV31,'ACTUALS (M)'!$G$7:$DV$7,'YTD (R)'!$AS$8)</f>
        <v>0</v>
      </c>
      <c r="E46" s="1396"/>
      <c r="G46" s="1404" t="str" cm="1">
        <f t="array" ref="G46">IFERROR(INDEX(C$36:C$60,SMALL(IF(D$36:D$60=H46,ROW(D$36:D$60)-ROW(H$36)+1),COUNTIF(H$36:H46,H46))),"")</f>
        <v xml:space="preserve">Property Management </v>
      </c>
      <c r="H46" s="1404">
        <f>IFERROR(LARGE($D$36:$D$60,ROWS($H$36:H46)),"")</f>
        <v>0</v>
      </c>
      <c r="I46" s="1396"/>
      <c r="J46" s="1396"/>
      <c r="K46" s="1396"/>
      <c r="L46" s="1396"/>
      <c r="M46" s="1396"/>
      <c r="N46" s="1396"/>
      <c r="O46" s="1396"/>
      <c r="P46" s="1396"/>
      <c r="Q46" s="1396"/>
      <c r="R46" s="1396"/>
      <c r="S46" s="1396"/>
      <c r="T46" s="1396"/>
      <c r="U46" s="1396"/>
      <c r="V46" s="1396"/>
    </row>
    <row r="47" spans="2:22" x14ac:dyDescent="0.25">
      <c r="B47" s="1396"/>
      <c r="C47" s="1401" t="str">
        <f>'ACTUALS (M)'!B32</f>
        <v>Vacancy Insurance</v>
      </c>
      <c r="D47" s="1408">
        <f>-SUMIFS('ACTUALS (M)'!G32:DV32,'ACTUALS (M)'!$G$7:$DV$7,'YTD (R)'!$AS$8)</f>
        <v>0</v>
      </c>
      <c r="E47" s="1396"/>
      <c r="G47" s="1404" t="str" cm="1">
        <f t="array" ref="G47">IFERROR(INDEX(C$36:C$60,SMALL(IF(D$36:D$60=H47,ROW(D$36:D$60)-ROW(H$36)+1),COUNTIF(H$36:H47,H47))),"")</f>
        <v>Vacancy Insurance</v>
      </c>
      <c r="H47" s="1404">
        <f>IFERROR(LARGE($D$36:$D$60,ROWS($H$36:H47)),"")</f>
        <v>0</v>
      </c>
      <c r="I47" s="1396"/>
      <c r="J47" s="1396"/>
      <c r="K47" s="1396"/>
      <c r="L47" s="1396"/>
      <c r="M47" s="1396"/>
      <c r="N47" s="1396"/>
      <c r="O47" s="1396"/>
      <c r="P47" s="1396"/>
      <c r="Q47" s="1396"/>
      <c r="R47" s="1396"/>
      <c r="S47" s="1396"/>
      <c r="T47" s="1396"/>
      <c r="U47" s="1396"/>
      <c r="V47" s="1396"/>
    </row>
    <row r="48" spans="2:22" x14ac:dyDescent="0.25">
      <c r="B48" s="1396"/>
      <c r="C48" s="1401" t="str">
        <f>'ACTUALS (M)'!B33</f>
        <v>Rent Insurance</v>
      </c>
      <c r="D48" s="1408">
        <f>-SUMIFS('ACTUALS (M)'!G33:DV33,'ACTUALS (M)'!$G$7:$DV$7,'YTD (R)'!$AS$8)</f>
        <v>0</v>
      </c>
      <c r="E48" s="1396"/>
      <c r="G48" s="1404" t="str" cm="1">
        <f t="array" ref="G48">IFERROR(INDEX(C$36:C$60,SMALL(IF(D$36:D$60=H48,ROW(D$36:D$60)-ROW(H$36)+1),COUNTIF(H$36:H48,H48))),"")</f>
        <v>Rent Insurance</v>
      </c>
      <c r="H48" s="1404">
        <f>IFERROR(LARGE($D$36:$D$60,ROWS($H$36:H48)),"")</f>
        <v>0</v>
      </c>
      <c r="I48" s="1396"/>
      <c r="J48" s="1396"/>
      <c r="K48" s="1396"/>
      <c r="L48" s="1396"/>
      <c r="M48" s="1396"/>
      <c r="N48" s="1396"/>
      <c r="O48" s="1396"/>
      <c r="P48" s="1396"/>
      <c r="Q48" s="1396"/>
      <c r="R48" s="1396"/>
      <c r="S48" s="1396"/>
      <c r="T48" s="1396"/>
      <c r="U48" s="1396"/>
      <c r="V48" s="1396"/>
    </row>
    <row r="49" spans="2:22" x14ac:dyDescent="0.25">
      <c r="B49" s="1396"/>
      <c r="C49" s="1401" t="str">
        <f>'ACTUALS (M)'!B34</f>
        <v>Legal</v>
      </c>
      <c r="D49" s="1408">
        <f>-SUMIFS('ACTUALS (M)'!G34:DV34,'ACTUALS (M)'!$G$7:$DV$7,'YTD (R)'!$AS$8)</f>
        <v>0</v>
      </c>
      <c r="E49" s="1396"/>
      <c r="G49" s="1404" t="str" cm="1">
        <f t="array" ref="G49">IFERROR(INDEX(C$36:C$60,SMALL(IF(D$36:D$60=H49,ROW(D$36:D$60)-ROW(H$36)+1),COUNTIF(H$36:H49,H49))),"")</f>
        <v>Legal</v>
      </c>
      <c r="H49" s="1404">
        <f>IFERROR(LARGE($D$36:$D$60,ROWS($H$36:H49)),"")</f>
        <v>0</v>
      </c>
      <c r="I49" s="1396"/>
      <c r="J49" s="1396"/>
      <c r="K49" s="1396"/>
      <c r="L49" s="1396"/>
      <c r="M49" s="1396"/>
      <c r="N49" s="1396"/>
      <c r="O49" s="1396"/>
      <c r="P49" s="1396"/>
      <c r="Q49" s="1396"/>
      <c r="R49" s="1396"/>
      <c r="S49" s="1396"/>
      <c r="T49" s="1396"/>
      <c r="U49" s="1396"/>
      <c r="V49" s="1396"/>
    </row>
    <row r="50" spans="2:22" x14ac:dyDescent="0.25">
      <c r="B50" s="1396"/>
      <c r="C50" s="1401" t="str">
        <f>'ACTUALS (M)'!B35</f>
        <v>Advertising</v>
      </c>
      <c r="D50" s="1408">
        <f>-SUMIFS('ACTUALS (M)'!G35:DV35,'ACTUALS (M)'!$G$7:$DV$7,'YTD (R)'!$AS$8)</f>
        <v>0</v>
      </c>
      <c r="E50" s="1401"/>
      <c r="G50" s="1404" t="str" cm="1">
        <f t="array" ref="G50">IFERROR(INDEX(C$36:C$60,SMALL(IF(D$36:D$60=H50,ROW(D$36:D$60)-ROW(H$36)+1),COUNTIF(H$36:H50,H50))),"")</f>
        <v>Advertising</v>
      </c>
      <c r="H50" s="1404">
        <f>IFERROR(LARGE($D$36:$D$60,ROWS($H$36:H50)),"")</f>
        <v>0</v>
      </c>
      <c r="I50" s="1396"/>
      <c r="J50" s="1401"/>
      <c r="K50" s="1396"/>
      <c r="L50" s="1396"/>
      <c r="M50" s="1396"/>
      <c r="N50" s="1396"/>
      <c r="O50" s="1396"/>
      <c r="P50" s="1396"/>
      <c r="Q50" s="1396"/>
      <c r="R50" s="1396"/>
      <c r="S50" s="1396"/>
      <c r="T50" s="1396"/>
      <c r="U50" s="1396"/>
      <c r="V50" s="1396"/>
    </row>
    <row r="51" spans="2:22" x14ac:dyDescent="0.25">
      <c r="B51" s="1396"/>
      <c r="C51" s="1401" t="str">
        <f>'ACTUALS (M)'!B36</f>
        <v>Other Cost 1</v>
      </c>
      <c r="D51" s="1408">
        <f>-SUMIFS('ACTUALS (M)'!G36:DV36,'ACTUALS (M)'!$G$7:$DV$7,'YTD (R)'!$AS$8)</f>
        <v>0</v>
      </c>
      <c r="E51" s="1401"/>
      <c r="G51" s="1404" t="str" cm="1">
        <f t="array" ref="G51">IFERROR(INDEX(C$36:C$60,SMALL(IF(D$36:D$60=H51,ROW(D$36:D$60)-ROW(H$36)+1),COUNTIF(H$36:H51,H51))),"")</f>
        <v>Other Cost 1</v>
      </c>
      <c r="H51" s="1404">
        <f>IFERROR(LARGE($D$36:$D$60,ROWS($H$36:H51)),"")</f>
        <v>0</v>
      </c>
      <c r="I51" s="1396"/>
      <c r="J51" s="1401"/>
      <c r="K51" s="1396"/>
      <c r="L51" s="1396"/>
      <c r="M51" s="1396"/>
      <c r="N51" s="1396"/>
      <c r="O51" s="1396"/>
      <c r="P51" s="1396"/>
      <c r="Q51" s="1396"/>
      <c r="R51" s="1396"/>
      <c r="S51" s="1396"/>
      <c r="T51" s="1396"/>
      <c r="U51" s="1396"/>
      <c r="V51" s="1396"/>
    </row>
    <row r="52" spans="2:22" x14ac:dyDescent="0.25">
      <c r="B52" s="1396"/>
      <c r="C52" s="1401" t="str">
        <f>'ACTUALS (M)'!B37</f>
        <v>Other Cost 2</v>
      </c>
      <c r="D52" s="1408">
        <f>-SUMIFS('ACTUALS (M)'!G37:DV37,'ACTUALS (M)'!$G$7:$DV$7,'YTD (R)'!$AS$8)</f>
        <v>0</v>
      </c>
      <c r="E52" s="1401"/>
      <c r="G52" s="1404" t="str" cm="1">
        <f t="array" ref="G52">IFERROR(INDEX(C$36:C$60,SMALL(IF(D$36:D$60=H52,ROW(D$36:D$60)-ROW(H$36)+1),COUNTIF(H$36:H52,H52))),"")</f>
        <v>Other Cost 2</v>
      </c>
      <c r="H52" s="1404">
        <f>IFERROR(LARGE($D$36:$D$60,ROWS($H$36:H52)),"")</f>
        <v>0</v>
      </c>
      <c r="I52" s="1396"/>
      <c r="J52" s="1401"/>
      <c r="K52" s="1396"/>
      <c r="L52" s="1396"/>
      <c r="M52" s="1396"/>
      <c r="N52" s="1396"/>
      <c r="O52" s="1396"/>
      <c r="P52" s="1396"/>
      <c r="Q52" s="1396"/>
      <c r="R52" s="1396"/>
      <c r="S52" s="1396"/>
      <c r="T52" s="1396"/>
      <c r="U52" s="1396"/>
      <c r="V52" s="1396"/>
    </row>
    <row r="53" spans="2:22" x14ac:dyDescent="0.25">
      <c r="B53" s="1396"/>
      <c r="C53" s="1401" t="str">
        <f>'ACTUALS (M)'!B38</f>
        <v>Miscellaneous (Variable)</v>
      </c>
      <c r="D53" s="1408">
        <f>-SUMIFS('ACTUALS (M)'!G38:DV38,'ACTUALS (M)'!$G$7:$DV$7,'YTD (R)'!$AS$8)</f>
        <v>0</v>
      </c>
      <c r="E53" s="1401"/>
      <c r="G53" s="1404" t="str" cm="1">
        <f t="array" ref="G53">IFERROR(INDEX(C$36:C$60,SMALL(IF(D$36:D$60=H53,ROW(D$36:D$60)-ROW(H$36)+1),COUNTIF(H$36:H53,H53))),"")</f>
        <v>Miscellaneous (Variable)</v>
      </c>
      <c r="H53" s="1404">
        <f>IFERROR(LARGE($D$36:$D$60,ROWS($H$36:H53)),"")</f>
        <v>0</v>
      </c>
      <c r="I53" s="1396"/>
      <c r="J53" s="1401"/>
      <c r="K53" s="1396"/>
      <c r="L53" s="1396"/>
      <c r="M53" s="1396"/>
      <c r="N53" s="1396"/>
      <c r="O53" s="1396"/>
      <c r="P53" s="1396"/>
      <c r="Q53" s="1396"/>
      <c r="R53" s="1396"/>
      <c r="S53" s="1396"/>
      <c r="T53" s="1396"/>
      <c r="U53" s="1396"/>
      <c r="V53" s="1396"/>
    </row>
    <row r="54" spans="2:22" x14ac:dyDescent="0.25">
      <c r="B54" s="1396"/>
      <c r="C54" s="1401" t="str">
        <f>'ACTUALS (M)'!B39</f>
        <v>Custom Op. Expense 1</v>
      </c>
      <c r="D54" s="1408">
        <f>-SUMIFS('ACTUALS (M)'!G39:DV39,'ACTUALS (M)'!$G$7:$DV$7,'YTD (R)'!$AS$8)</f>
        <v>0</v>
      </c>
      <c r="E54" s="1396"/>
      <c r="G54" s="1404" t="str" cm="1">
        <f t="array" ref="G54">IFERROR(INDEX(C$36:C$60,SMALL(IF(D$36:D$60=H54,ROW(D$36:D$60)-ROW(H$36)+1),COUNTIF(H$36:H54,H54))),"")</f>
        <v>Custom Op. Expense 1</v>
      </c>
      <c r="H54" s="1404">
        <f>IFERROR(LARGE($D$36:$D$60,ROWS($H$36:H54)),"")</f>
        <v>0</v>
      </c>
      <c r="I54" s="1396"/>
      <c r="J54" s="1396"/>
      <c r="K54" s="1396"/>
      <c r="L54" s="1396"/>
      <c r="M54" s="1396"/>
      <c r="N54" s="1396"/>
      <c r="O54" s="1396"/>
      <c r="P54" s="1396"/>
      <c r="Q54" s="1396"/>
      <c r="R54" s="1396"/>
      <c r="S54" s="1396"/>
      <c r="T54" s="1396"/>
      <c r="U54" s="1396"/>
      <c r="V54" s="1396"/>
    </row>
    <row r="55" spans="2:22" x14ac:dyDescent="0.25">
      <c r="C55" s="1401" t="str">
        <f>'ACTUALS (M)'!B40</f>
        <v>Custom Op. Expense 2</v>
      </c>
      <c r="D55" s="1408">
        <f>-SUMIFS('ACTUALS (M)'!G40:DV40,'ACTUALS (M)'!$G$7:$DV$7,'YTD (R)'!$AS$8)</f>
        <v>0</v>
      </c>
      <c r="G55" s="1404" t="str" cm="1">
        <f t="array" ref="G55">IFERROR(INDEX(C$36:C$60,SMALL(IF(D$36:D$60=H55,ROW(D$36:D$60)-ROW(H$36)+1),COUNTIF(H$36:H55,H55))),"")</f>
        <v>Custom Op. Expense 2</v>
      </c>
      <c r="H55" s="1404">
        <f>IFERROR(LARGE($D$36:$D$60,ROWS($H$36:H55)),"")</f>
        <v>0</v>
      </c>
      <c r="I55" s="1396"/>
      <c r="J55" s="1396"/>
      <c r="K55" s="1396"/>
      <c r="L55" s="1396"/>
      <c r="M55" s="1396"/>
      <c r="N55" s="1396"/>
      <c r="O55" s="1396"/>
      <c r="P55" s="1396"/>
      <c r="Q55" s="1396"/>
      <c r="R55" s="1396"/>
      <c r="S55" s="1396"/>
      <c r="T55" s="1396"/>
      <c r="U55" s="1396"/>
      <c r="V55" s="1396"/>
    </row>
    <row r="56" spans="2:22" x14ac:dyDescent="0.25">
      <c r="C56" s="1401" t="str">
        <f>'ACTUALS (M)'!B47</f>
        <v>Capital Expenditures</v>
      </c>
      <c r="D56" s="1408">
        <f>-SUMIFS('ACTUALS (M)'!G47:DV47,'ACTUALS (M)'!$G$7:$DV$7,'YTD (R)'!$AS$8)</f>
        <v>0</v>
      </c>
      <c r="G56" s="1404" t="str" cm="1">
        <f t="array" ref="G56">IFERROR(INDEX(C$36:C$60,SMALL(IF(D$36:D$60=H56,ROW(D$36:D$60)-ROW(H$36)+1),COUNTIF(H$36:H56,H56))),"")</f>
        <v>Capital Expenditures</v>
      </c>
      <c r="H56" s="1404">
        <f>IFERROR(LARGE($D$36:$D$60,ROWS($H$36:H56)),"")</f>
        <v>0</v>
      </c>
      <c r="I56" s="1396"/>
      <c r="J56" s="1396"/>
      <c r="K56" s="1396"/>
      <c r="L56" s="1396"/>
      <c r="M56" s="1396"/>
      <c r="N56" s="1396"/>
      <c r="O56" s="1396"/>
      <c r="P56" s="1396"/>
      <c r="Q56" s="1396"/>
      <c r="R56" s="1396"/>
      <c r="S56" s="1396"/>
      <c r="T56" s="1396"/>
      <c r="U56" s="1396"/>
      <c r="V56" s="1396"/>
    </row>
    <row r="57" spans="2:22" x14ac:dyDescent="0.25">
      <c r="C57" s="1401" t="str">
        <f>'ACTUALS (M)'!B48</f>
        <v>Non Op. Expense 1</v>
      </c>
      <c r="D57" s="1408">
        <f>-SUMIFS('ACTUALS (M)'!G48:DV48,'ACTUALS (M)'!$G$7:$DV$7,'YTD (R)'!$AS$8)</f>
        <v>0</v>
      </c>
      <c r="G57" s="1404" t="str" cm="1">
        <f t="array" ref="G57">IFERROR(INDEX(C$36:C$60,SMALL(IF(D$36:D$60=H57,ROW(D$36:D$60)-ROW(H$36)+1),COUNTIF(H$36:H57,H57))),"")</f>
        <v>Non Op. Expense 1</v>
      </c>
      <c r="H57" s="1404">
        <f>IFERROR(LARGE($D$36:$D$60,ROWS($H$36:H57)),"")</f>
        <v>0</v>
      </c>
      <c r="I57" s="1396"/>
      <c r="J57" s="1396"/>
      <c r="K57" s="1396"/>
      <c r="L57" s="1396"/>
      <c r="M57" s="1396"/>
      <c r="N57" s="1396"/>
      <c r="O57" s="1396"/>
      <c r="P57" s="1396"/>
      <c r="Q57" s="1396"/>
      <c r="R57" s="1396"/>
      <c r="S57" s="1396"/>
      <c r="T57" s="1396"/>
      <c r="U57" s="1396"/>
      <c r="V57" s="1396"/>
    </row>
    <row r="58" spans="2:22" x14ac:dyDescent="0.25">
      <c r="C58" s="1401" t="str">
        <f>'ACTUALS (M)'!B49</f>
        <v>Non Op. Expense 2</v>
      </c>
      <c r="D58" s="1408">
        <f>-SUMIFS('ACTUALS (M)'!G49:DV49,'ACTUALS (M)'!$G$7:$DV$7,'YTD (R)'!$AS$8)</f>
        <v>0</v>
      </c>
      <c r="G58" s="1404" t="str" cm="1">
        <f t="array" ref="G58">IFERROR(INDEX(C$36:C$60,SMALL(IF(D$36:D$60=H58,ROW(D$36:D$60)-ROW(H$36)+1),COUNTIF(H$36:H58,H58))),"")</f>
        <v>Non Op. Expense 2</v>
      </c>
      <c r="H58" s="1404">
        <f>IFERROR(LARGE($D$36:$D$60,ROWS($H$36:H58)),"")</f>
        <v>0</v>
      </c>
      <c r="I58" s="1396"/>
      <c r="J58" s="1396"/>
      <c r="K58" s="1396"/>
      <c r="L58" s="1396"/>
      <c r="M58" s="1396"/>
      <c r="N58" s="1396"/>
      <c r="O58" s="1396"/>
      <c r="P58" s="1396"/>
      <c r="Q58" s="1396"/>
      <c r="R58" s="1396"/>
      <c r="S58" s="1396"/>
      <c r="T58" s="1396"/>
      <c r="U58" s="1396"/>
      <c r="V58" s="1396"/>
    </row>
    <row r="59" spans="2:22" x14ac:dyDescent="0.25">
      <c r="C59" s="1401" t="str">
        <f>'ACTUALS (M)'!B54</f>
        <v>Mortgage Payment</v>
      </c>
      <c r="D59" s="1408">
        <f>-SUMIFS('ACTUALS (M)'!G54:DV54,'ACTUALS (M)'!$G$7:$DV$7,'YTD (R)'!$AS$8)</f>
        <v>0</v>
      </c>
      <c r="G59" s="1404" t="str" cm="1">
        <f t="array" ref="G59">IFERROR(INDEX(C$36:C$60,SMALL(IF(D$36:D$60=H59,ROW(D$36:D$60)-ROW(H$36)+1),COUNTIF(H$36:H59,H59))),"")</f>
        <v>Mortgage Payment</v>
      </c>
      <c r="H59" s="1404">
        <f>IFERROR(LARGE($D$36:$D$60,ROWS($H$36:H59)),"")</f>
        <v>0</v>
      </c>
      <c r="I59" s="1396"/>
      <c r="J59" s="1396"/>
      <c r="K59" s="1396"/>
      <c r="L59" s="1396"/>
      <c r="M59" s="1396"/>
      <c r="N59" s="1396"/>
      <c r="O59" s="1396"/>
      <c r="P59" s="1396"/>
      <c r="Q59" s="1396"/>
      <c r="R59" s="1396"/>
      <c r="S59" s="1396"/>
      <c r="T59" s="1396"/>
      <c r="U59" s="1396"/>
      <c r="V59" s="1396"/>
    </row>
    <row r="60" spans="2:22" x14ac:dyDescent="0.25">
      <c r="C60" s="1401" t="str">
        <f>'ACTUALS (M)'!B55</f>
        <v>Loan Insurance</v>
      </c>
      <c r="D60" s="1408">
        <f>-SUMIFS('ACTUALS (M)'!G55:DV55,'ACTUALS (M)'!$G$7:$DV$7,'YTD (R)'!$AS$8)</f>
        <v>0</v>
      </c>
      <c r="G60" s="1404" t="str" cm="1">
        <f t="array" ref="G60">IFERROR(INDEX(C$36:C$60,SMALL(IF(D$36:D$60=H60,ROW(D$36:D$60)-ROW(H$36)+1),COUNTIF(H$36:H60,H60))),"")</f>
        <v>Loan Insurance</v>
      </c>
      <c r="H60" s="1404">
        <f>IFERROR(LARGE($D$36:$D$60,ROWS($H$36:H60)),"")</f>
        <v>0</v>
      </c>
      <c r="I60" s="1396"/>
      <c r="J60" s="1396"/>
      <c r="K60" s="1396"/>
      <c r="L60" s="1396"/>
      <c r="M60" s="1396"/>
      <c r="N60" s="1396"/>
      <c r="O60" s="1396"/>
      <c r="P60" s="1396"/>
      <c r="Q60" s="1396"/>
      <c r="R60" s="1396"/>
      <c r="S60" s="1396"/>
      <c r="T60" s="1396"/>
      <c r="U60" s="1396"/>
      <c r="V60" s="1396"/>
    </row>
    <row r="61" spans="2:22" x14ac:dyDescent="0.25">
      <c r="C61" s="1407" t="s">
        <v>20</v>
      </c>
      <c r="D61" s="1406">
        <f>SUM(D36:D60)</f>
        <v>0</v>
      </c>
      <c r="H61" s="1396"/>
      <c r="I61" s="1396"/>
      <c r="J61" s="1396"/>
      <c r="K61" s="1396"/>
      <c r="L61" s="1396"/>
      <c r="M61" s="1396"/>
      <c r="N61" s="1396"/>
      <c r="O61" s="1396"/>
      <c r="P61" s="1396"/>
      <c r="Q61" s="1396"/>
      <c r="R61" s="1396"/>
      <c r="S61" s="1396"/>
      <c r="T61" s="1396"/>
      <c r="U61" s="1396"/>
      <c r="V61" s="1396"/>
    </row>
    <row r="62" spans="2:22" x14ac:dyDescent="0.25">
      <c r="C62" s="1401"/>
      <c r="D62" s="1406"/>
      <c r="H62" s="1396"/>
      <c r="I62" s="1396"/>
      <c r="J62" s="1396"/>
      <c r="K62" s="1396"/>
      <c r="L62" s="1396"/>
      <c r="M62" s="1396"/>
      <c r="N62" s="1396"/>
      <c r="O62" s="1396"/>
      <c r="P62" s="1396"/>
      <c r="Q62" s="1396"/>
      <c r="R62" s="1396"/>
      <c r="S62" s="1396"/>
      <c r="T62" s="1396"/>
      <c r="U62" s="1396"/>
      <c r="V62" s="1396"/>
    </row>
    <row r="63" spans="2:22" x14ac:dyDescent="0.25">
      <c r="C63" s="1401"/>
      <c r="D63" s="1406"/>
      <c r="H63" s="1396"/>
      <c r="I63" s="1396"/>
      <c r="J63" s="1396"/>
      <c r="K63" s="1396"/>
      <c r="L63" s="1396"/>
      <c r="M63" s="1396"/>
      <c r="N63" s="1396"/>
      <c r="O63" s="1396"/>
      <c r="P63" s="1396"/>
      <c r="Q63" s="1396"/>
      <c r="R63" s="1396"/>
      <c r="S63" s="1396"/>
      <c r="T63" s="1396"/>
      <c r="U63" s="1396"/>
      <c r="V63" s="1396"/>
    </row>
    <row r="64" spans="2:22" x14ac:dyDescent="0.25">
      <c r="C64" s="1401"/>
      <c r="D64" s="1406"/>
      <c r="H64" s="1396"/>
      <c r="I64" s="1396"/>
      <c r="J64" s="1396"/>
      <c r="K64" s="1396"/>
      <c r="L64" s="1396"/>
      <c r="M64" s="1396"/>
      <c r="N64" s="1396"/>
      <c r="O64" s="1396"/>
      <c r="P64" s="1396"/>
      <c r="Q64" s="1396"/>
      <c r="R64" s="1396"/>
      <c r="S64" s="1396"/>
      <c r="T64" s="1396"/>
      <c r="U64" s="1396"/>
      <c r="V64" s="1396"/>
    </row>
    <row r="65" spans="17:22" x14ac:dyDescent="0.25">
      <c r="Q65" s="1396"/>
      <c r="R65" s="1396"/>
      <c r="S65" s="1396"/>
      <c r="T65" s="1396"/>
      <c r="U65" s="1396"/>
      <c r="V65" s="1396"/>
    </row>
    <row r="66" spans="17:22" x14ac:dyDescent="0.25">
      <c r="Q66" s="1396"/>
      <c r="R66" s="1396"/>
      <c r="S66" s="1396"/>
      <c r="T66" s="1396"/>
      <c r="U66" s="1396"/>
      <c r="V66" s="1396"/>
    </row>
    <row r="67" spans="17:22" x14ac:dyDescent="0.25">
      <c r="Q67" s="1396"/>
      <c r="R67" s="1396"/>
      <c r="S67" s="1396"/>
      <c r="T67" s="1396"/>
      <c r="U67" s="1396"/>
      <c r="V67" s="1396"/>
    </row>
  </sheetData>
  <conditionalFormatting sqref="C21">
    <cfRule type="expression" dxfId="772" priority="3">
      <formula>$C$21&lt;&gt;0</formula>
    </cfRule>
  </conditionalFormatting>
  <conditionalFormatting sqref="C22">
    <cfRule type="expression" dxfId="771" priority="2">
      <formula>$C$22&lt;&gt;0</formula>
    </cfRule>
  </conditionalFormatting>
  <conditionalFormatting sqref="C23">
    <cfRule type="expression" dxfId="770" priority="1">
      <formula>$C$23&lt;&gt;0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4CD42-153A-43FB-AA9B-A8D198C39348}">
  <sheetPr codeName="Sheet8"/>
  <dimension ref="A2:AD163"/>
  <sheetViews>
    <sheetView showGridLines="0" topLeftCell="C1" workbookViewId="0">
      <selection activeCell="M12" sqref="M12"/>
    </sheetView>
  </sheetViews>
  <sheetFormatPr defaultRowHeight="14.4" x14ac:dyDescent="0.3"/>
  <cols>
    <col min="1" max="1" width="10.109375" customWidth="1"/>
    <col min="2" max="2" width="18" bestFit="1" customWidth="1"/>
    <col min="3" max="3" width="23.33203125" bestFit="1" customWidth="1"/>
    <col min="4" max="4" width="14" bestFit="1" customWidth="1"/>
    <col min="5" max="5" width="7.88671875" bestFit="1" customWidth="1"/>
    <col min="6" max="6" width="14" bestFit="1" customWidth="1"/>
    <col min="8" max="8" width="18.88671875" bestFit="1" customWidth="1"/>
    <col min="18" max="18" width="9.6640625" bestFit="1" customWidth="1"/>
  </cols>
  <sheetData>
    <row r="2" spans="1:24" s="12" customFormat="1" x14ac:dyDescent="0.3">
      <c r="B2" s="12" t="s">
        <v>61</v>
      </c>
      <c r="D2" s="12" t="s">
        <v>62</v>
      </c>
      <c r="F2" s="12" t="s">
        <v>79</v>
      </c>
      <c r="I2" s="116"/>
      <c r="J2" s="12" t="s">
        <v>814</v>
      </c>
      <c r="L2" s="116"/>
      <c r="N2" s="12" t="s">
        <v>600</v>
      </c>
      <c r="Q2" s="12" t="s">
        <v>705</v>
      </c>
      <c r="X2" s="12" t="s">
        <v>707</v>
      </c>
    </row>
    <row r="3" spans="1:24" x14ac:dyDescent="0.3">
      <c r="A3">
        <v>1</v>
      </c>
      <c r="B3" t="s">
        <v>73</v>
      </c>
      <c r="D3" t="s">
        <v>63</v>
      </c>
      <c r="F3" s="13">
        <v>0</v>
      </c>
      <c r="J3" t="s">
        <v>495</v>
      </c>
      <c r="N3" t="s">
        <v>601</v>
      </c>
      <c r="Q3" t="s">
        <v>706</v>
      </c>
      <c r="X3" t="s">
        <v>708</v>
      </c>
    </row>
    <row r="4" spans="1:24" x14ac:dyDescent="0.3">
      <c r="A4">
        <v>2</v>
      </c>
      <c r="B4" t="s">
        <v>56</v>
      </c>
      <c r="D4" t="s">
        <v>64</v>
      </c>
      <c r="F4" s="13">
        <v>0.25</v>
      </c>
      <c r="J4" t="s">
        <v>496</v>
      </c>
      <c r="N4" t="s">
        <v>602</v>
      </c>
      <c r="X4" t="s">
        <v>709</v>
      </c>
    </row>
    <row r="5" spans="1:24" x14ac:dyDescent="0.3">
      <c r="D5" t="s">
        <v>65</v>
      </c>
      <c r="F5" s="13">
        <v>0.3</v>
      </c>
      <c r="N5" t="s">
        <v>686</v>
      </c>
      <c r="X5" t="s">
        <v>713</v>
      </c>
    </row>
    <row r="6" spans="1:24" x14ac:dyDescent="0.3">
      <c r="D6" t="s">
        <v>66</v>
      </c>
      <c r="F6" s="13">
        <v>0.35</v>
      </c>
      <c r="N6" t="s">
        <v>603</v>
      </c>
      <c r="X6" t="s">
        <v>710</v>
      </c>
    </row>
    <row r="7" spans="1:24" x14ac:dyDescent="0.3">
      <c r="F7" s="13">
        <v>0.4</v>
      </c>
      <c r="K7" t="s">
        <v>124</v>
      </c>
      <c r="X7" t="s">
        <v>714</v>
      </c>
    </row>
    <row r="8" spans="1:24" x14ac:dyDescent="0.3">
      <c r="F8" s="13">
        <v>0.45</v>
      </c>
      <c r="K8" t="s">
        <v>706</v>
      </c>
      <c r="X8" t="s">
        <v>1145</v>
      </c>
    </row>
    <row r="9" spans="1:24" x14ac:dyDescent="0.3">
      <c r="B9" t="s">
        <v>477</v>
      </c>
      <c r="C9" s="12" t="s">
        <v>165</v>
      </c>
      <c r="F9" s="13">
        <v>0.5</v>
      </c>
      <c r="N9" s="12" t="s">
        <v>692</v>
      </c>
      <c r="Q9" s="12" t="s">
        <v>1127</v>
      </c>
      <c r="X9" t="s">
        <v>1146</v>
      </c>
    </row>
    <row r="10" spans="1:24" x14ac:dyDescent="0.3">
      <c r="B10">
        <f>YEAR(CHOOSE('ACTUALS (M)'!A5,purchase_date,'ACTUALS (M)'!D5))</f>
        <v>2025</v>
      </c>
      <c r="C10" t="s">
        <v>553</v>
      </c>
      <c r="F10" s="13">
        <v>0.55000000000000004</v>
      </c>
      <c r="N10" s="547" t="str">
        <f>REPAIRS!AF10</f>
        <v>Living Room</v>
      </c>
      <c r="Q10" t="str">
        <f>DASHBOARD!D68</f>
        <v>Living Room</v>
      </c>
      <c r="X10" t="s">
        <v>711</v>
      </c>
    </row>
    <row r="11" spans="1:24" x14ac:dyDescent="0.3">
      <c r="B11">
        <f>B10+1</f>
        <v>2026</v>
      </c>
      <c r="C11" t="s">
        <v>554</v>
      </c>
      <c r="F11" s="13">
        <v>0.6</v>
      </c>
      <c r="N11" s="547" t="str">
        <f>REPAIRS!AF11</f>
        <v>Dining Room</v>
      </c>
      <c r="Q11" t="str">
        <f>DASHBOARD!D69</f>
        <v>Dining Room</v>
      </c>
      <c r="X11" t="s">
        <v>712</v>
      </c>
    </row>
    <row r="12" spans="1:24" x14ac:dyDescent="0.3">
      <c r="B12">
        <f t="shared" ref="B12:B19" si="0">B11+1</f>
        <v>2027</v>
      </c>
      <c r="C12" t="s">
        <v>555</v>
      </c>
      <c r="F12" s="13">
        <v>0.65</v>
      </c>
      <c r="N12" s="547" t="str">
        <f>REPAIRS!AF12</f>
        <v>Kitchen</v>
      </c>
      <c r="Q12" t="str">
        <f>DASHBOARD!D70</f>
        <v>Kitchen</v>
      </c>
      <c r="U12" s="12" t="s">
        <v>705</v>
      </c>
      <c r="X12" t="s">
        <v>520</v>
      </c>
    </row>
    <row r="13" spans="1:24" x14ac:dyDescent="0.3">
      <c r="B13">
        <f t="shared" si="0"/>
        <v>2028</v>
      </c>
      <c r="C13" t="s">
        <v>556</v>
      </c>
      <c r="F13" s="13">
        <v>0.7</v>
      </c>
      <c r="N13" s="547" t="str">
        <f>REPAIRS!AF13</f>
        <v>Bedroom #1</v>
      </c>
      <c r="Q13" t="str">
        <f>DASHBOARD!D71</f>
        <v>Bedroom #1</v>
      </c>
      <c r="U13" t="s">
        <v>700</v>
      </c>
    </row>
    <row r="14" spans="1:24" x14ac:dyDescent="0.3">
      <c r="B14">
        <f t="shared" si="0"/>
        <v>2029</v>
      </c>
      <c r="C14" t="s">
        <v>557</v>
      </c>
      <c r="N14" s="547" t="str">
        <f>REPAIRS!AF14</f>
        <v>Bedroom #2</v>
      </c>
      <c r="Q14" t="str">
        <f>DASHBOARD!D72</f>
        <v>Bedroom #2</v>
      </c>
      <c r="U14" t="s">
        <v>701</v>
      </c>
    </row>
    <row r="15" spans="1:24" x14ac:dyDescent="0.3">
      <c r="B15">
        <f t="shared" si="0"/>
        <v>2030</v>
      </c>
      <c r="C15" t="s">
        <v>558</v>
      </c>
      <c r="D15" s="12" t="s">
        <v>415</v>
      </c>
      <c r="F15" s="12" t="s">
        <v>415</v>
      </c>
      <c r="H15" s="12" t="s">
        <v>468</v>
      </c>
      <c r="K15" s="12" t="s">
        <v>478</v>
      </c>
      <c r="N15" s="547" t="str">
        <f>REPAIRS!AF15</f>
        <v>Bedroom #3</v>
      </c>
      <c r="Q15" t="str">
        <f>DASHBOARD!W68</f>
        <v>Bedroom #3</v>
      </c>
      <c r="U15" t="s">
        <v>702</v>
      </c>
    </row>
    <row r="16" spans="1:24" x14ac:dyDescent="0.3">
      <c r="B16">
        <f t="shared" si="0"/>
        <v>2031</v>
      </c>
      <c r="C16" t="s">
        <v>559</v>
      </c>
      <c r="D16" t="s">
        <v>418</v>
      </c>
      <c r="F16" t="s">
        <v>421</v>
      </c>
      <c r="H16" t="s">
        <v>469</v>
      </c>
      <c r="K16" t="s">
        <v>144</v>
      </c>
      <c r="N16" s="547" t="str">
        <f>REPAIRS!AF16</f>
        <v>Bedroom #4</v>
      </c>
      <c r="Q16" t="str">
        <f>DASHBOARD!W69</f>
        <v>Bedroom #4</v>
      </c>
      <c r="U16" t="s">
        <v>703</v>
      </c>
    </row>
    <row r="17" spans="2:24" x14ac:dyDescent="0.3">
      <c r="B17">
        <f t="shared" si="0"/>
        <v>2032</v>
      </c>
      <c r="C17" t="s">
        <v>560</v>
      </c>
      <c r="D17" t="s">
        <v>419</v>
      </c>
      <c r="F17" t="s">
        <v>422</v>
      </c>
      <c r="H17" t="s">
        <v>470</v>
      </c>
      <c r="K17" t="s">
        <v>477</v>
      </c>
      <c r="N17" s="547" t="str">
        <f>REPAIRS!AF17</f>
        <v>Bathroom #1</v>
      </c>
      <c r="Q17" t="str">
        <f>DASHBOARD!W70</f>
        <v>Bathroom #1</v>
      </c>
      <c r="U17" t="s">
        <v>704</v>
      </c>
    </row>
    <row r="18" spans="2:24" x14ac:dyDescent="0.3">
      <c r="B18">
        <f t="shared" si="0"/>
        <v>2033</v>
      </c>
      <c r="C18" t="s">
        <v>561</v>
      </c>
      <c r="D18" t="s">
        <v>198</v>
      </c>
      <c r="N18" s="547" t="str">
        <f>REPAIRS!AQ10</f>
        <v>Bathroom #2</v>
      </c>
      <c r="Q18" t="str">
        <f>DASHBOARD!W71</f>
        <v>Bathroom #2</v>
      </c>
    </row>
    <row r="19" spans="2:24" x14ac:dyDescent="0.3">
      <c r="B19">
        <f t="shared" si="0"/>
        <v>2034</v>
      </c>
      <c r="C19" t="s">
        <v>562</v>
      </c>
      <c r="D19" t="s">
        <v>416</v>
      </c>
      <c r="H19" s="12" t="s">
        <v>494</v>
      </c>
      <c r="K19" s="12" t="s">
        <v>481</v>
      </c>
      <c r="N19" s="547" t="str">
        <f>REPAIRS!AQ11</f>
        <v>Bathroom #3</v>
      </c>
      <c r="Q19" t="str">
        <f>DASHBOARD!W72</f>
        <v>Bathroom #3</v>
      </c>
    </row>
    <row r="20" spans="2:24" x14ac:dyDescent="0.3">
      <c r="C20" t="s">
        <v>563</v>
      </c>
      <c r="D20" t="s">
        <v>417</v>
      </c>
      <c r="H20" t="s">
        <v>495</v>
      </c>
      <c r="K20" t="s">
        <v>130</v>
      </c>
      <c r="N20" s="547" t="str">
        <f>REPAIRS!AQ12</f>
        <v>Bathroom #4</v>
      </c>
      <c r="Q20" t="str">
        <f>DASHBOARD!AP68</f>
        <v>Bathroom #4</v>
      </c>
      <c r="U20" s="12" t="s">
        <v>795</v>
      </c>
      <c r="W20" s="12" t="s">
        <v>809</v>
      </c>
    </row>
    <row r="21" spans="2:24" x14ac:dyDescent="0.3">
      <c r="C21" t="s">
        <v>564</v>
      </c>
      <c r="H21" t="s">
        <v>496</v>
      </c>
      <c r="K21" t="s">
        <v>476</v>
      </c>
      <c r="N21" s="547" t="str">
        <f>REPAIRS!AQ13</f>
        <v>General</v>
      </c>
      <c r="Q21" t="str">
        <f>DASHBOARD!AP69</f>
        <v>General</v>
      </c>
      <c r="U21" t="s">
        <v>797</v>
      </c>
      <c r="W21" t="s">
        <v>809</v>
      </c>
      <c r="X21">
        <v>1</v>
      </c>
    </row>
    <row r="22" spans="2:24" x14ac:dyDescent="0.3">
      <c r="B22" s="1058" t="s">
        <v>980</v>
      </c>
      <c r="N22" s="547" t="str">
        <f>REPAIRS!AQ14</f>
        <v>Basement</v>
      </c>
      <c r="Q22" t="str">
        <f>DASHBOARD!AP70</f>
        <v>Basement</v>
      </c>
      <c r="U22" t="s">
        <v>798</v>
      </c>
      <c r="W22" t="s">
        <v>810</v>
      </c>
      <c r="X22">
        <v>7</v>
      </c>
    </row>
    <row r="23" spans="2:24" x14ac:dyDescent="0.3">
      <c r="B23" t="s">
        <v>979</v>
      </c>
      <c r="N23" s="547" t="str">
        <f>REPAIRS!AQ15</f>
        <v>Exterior</v>
      </c>
      <c r="Q23" t="str">
        <f>DASHBOARD!AP71</f>
        <v>Exterior</v>
      </c>
      <c r="U23" t="s">
        <v>799</v>
      </c>
      <c r="W23" t="s">
        <v>811</v>
      </c>
      <c r="X23">
        <v>30</v>
      </c>
    </row>
    <row r="24" spans="2:24" x14ac:dyDescent="0.3">
      <c r="B24" t="s">
        <v>396</v>
      </c>
      <c r="D24" s="12" t="s">
        <v>523</v>
      </c>
      <c r="F24" s="12" t="s">
        <v>530</v>
      </c>
      <c r="H24" s="12" t="s">
        <v>542</v>
      </c>
      <c r="J24" s="12" t="s">
        <v>420</v>
      </c>
      <c r="L24" s="12" t="s">
        <v>575</v>
      </c>
      <c r="N24" s="547" t="str">
        <f>REPAIRS!AQ16</f>
        <v>Other</v>
      </c>
      <c r="Q24" t="str">
        <f>DASHBOARD!AP72</f>
        <v>Other</v>
      </c>
      <c r="U24" t="s">
        <v>800</v>
      </c>
    </row>
    <row r="25" spans="2:24" x14ac:dyDescent="0.3">
      <c r="D25" t="s">
        <v>524</v>
      </c>
      <c r="F25" t="s">
        <v>531</v>
      </c>
      <c r="H25" t="s">
        <v>396</v>
      </c>
      <c r="J25" t="str">
        <f>DASHBOARD!K146</f>
        <v>Studio</v>
      </c>
      <c r="L25" t="str">
        <f>"Below "&amp;IFERROR(LEFT(DASHBOARD!C169,FIND(" ",DASHBOARD!C169)-1),DASHBOARD!C169)</f>
        <v>Below Custom</v>
      </c>
      <c r="N25" s="547"/>
      <c r="U25" t="s">
        <v>801</v>
      </c>
    </row>
    <row r="26" spans="2:24" x14ac:dyDescent="0.3">
      <c r="D26" t="s">
        <v>532</v>
      </c>
      <c r="F26" t="s">
        <v>532</v>
      </c>
      <c r="H26" t="s">
        <v>537</v>
      </c>
      <c r="J26" t="str">
        <f>DASHBOARD!S146</f>
        <v>1-bedroom</v>
      </c>
      <c r="L26" t="str">
        <f>"Below "&amp;IFERROR(LEFT(DASHBOARD!C166,FIND(" ",DASHBOARD!C166)-1),DASHBOARD!C166)</f>
        <v>Below Flat</v>
      </c>
      <c r="N26" s="547"/>
      <c r="U26" t="s">
        <v>796</v>
      </c>
    </row>
    <row r="27" spans="2:24" x14ac:dyDescent="0.3">
      <c r="J27" t="str">
        <f>DASHBOARD!AA146</f>
        <v>2-bedroom</v>
      </c>
      <c r="N27" s="547"/>
      <c r="Q27" s="12" t="s">
        <v>821</v>
      </c>
      <c r="U27" t="s">
        <v>802</v>
      </c>
    </row>
    <row r="28" spans="2:24" x14ac:dyDescent="0.3">
      <c r="J28" t="str">
        <f>DASHBOARD!AI146</f>
        <v>3-bedroom</v>
      </c>
      <c r="L28" t="str">
        <f>"Above "&amp;IFERROR(LEFT(DASHBOARD!C169,FIND(" ",DASHBOARD!C169)-1),DASHBOARD!C169)</f>
        <v>Above Custom</v>
      </c>
      <c r="N28" s="547"/>
      <c r="Q28" t="s">
        <v>443</v>
      </c>
      <c r="U28" t="s">
        <v>66</v>
      </c>
    </row>
    <row r="29" spans="2:24" x14ac:dyDescent="0.3">
      <c r="J29" t="str">
        <f>DASHBOARD!AQ146</f>
        <v>4-bedroom</v>
      </c>
      <c r="L29" t="str">
        <f>"Above "&amp;IFERROR(LEFT(DASHBOARD!C166,FIND(" ",DASHBOARD!C166)-1),DASHBOARD!C166)</f>
        <v>Above Flat</v>
      </c>
      <c r="N29" s="547"/>
      <c r="Q29" t="s">
        <v>822</v>
      </c>
    </row>
    <row r="30" spans="2:24" x14ac:dyDescent="0.3">
      <c r="J30" t="str">
        <f>DASHBOARD!AY146</f>
        <v>5-bedroom</v>
      </c>
      <c r="Q30" t="s">
        <v>818</v>
      </c>
    </row>
    <row r="31" spans="2:24" x14ac:dyDescent="0.3">
      <c r="J31" t="str">
        <f>DASHBOARD!BH146</f>
        <v>Blended Average</v>
      </c>
      <c r="Q31" t="s">
        <v>817</v>
      </c>
    </row>
    <row r="32" spans="2:24" x14ac:dyDescent="0.3">
      <c r="P32" s="884"/>
      <c r="Q32" t="s">
        <v>823</v>
      </c>
    </row>
    <row r="33" spans="3:21" x14ac:dyDescent="0.3">
      <c r="P33" s="884"/>
      <c r="Q33" t="s">
        <v>824</v>
      </c>
    </row>
    <row r="34" spans="3:21" x14ac:dyDescent="0.3">
      <c r="Q34" t="s">
        <v>825</v>
      </c>
    </row>
    <row r="35" spans="3:21" x14ac:dyDescent="0.3">
      <c r="P35" s="884"/>
      <c r="Q35" t="s">
        <v>908</v>
      </c>
    </row>
    <row r="36" spans="3:21" x14ac:dyDescent="0.3">
      <c r="P36" s="884"/>
      <c r="Q36" s="894" t="s">
        <v>761</v>
      </c>
      <c r="R36" s="895">
        <f>FORECASTS!K3</f>
        <v>45870</v>
      </c>
    </row>
    <row r="37" spans="3:21" x14ac:dyDescent="0.3">
      <c r="P37" s="884"/>
      <c r="Q37" s="883"/>
    </row>
    <row r="38" spans="3:21" x14ac:dyDescent="0.3">
      <c r="D38" s="886">
        <f>MAX(MIN(D39,$R$38-SUM(E39:$P$39)),0)</f>
        <v>0</v>
      </c>
      <c r="E38" s="887">
        <f>MAX(MIN(E39,$R$38-SUM(F39:$P$39)),0)</f>
        <v>0</v>
      </c>
      <c r="F38" s="887">
        <f>MAX(MIN(F39,$R$38-SUM(G39:$P$39)),0)</f>
        <v>0</v>
      </c>
      <c r="G38" s="887">
        <f>MAX(MIN(G39,$R$38-SUM(H39:$P$39)),0)</f>
        <v>0</v>
      </c>
      <c r="H38" s="887">
        <f>MAX(MIN(H39,$R$38-SUM(I39:$P$39)),0)</f>
        <v>0</v>
      </c>
      <c r="I38" s="887">
        <f>MAX(MIN(I39,$R$38-SUM(J39:$P$39)),0)</f>
        <v>0</v>
      </c>
      <c r="J38" s="887">
        <f>MAX(MIN(J39,$R$38-SUM(K39:$P$39)),0)</f>
        <v>0</v>
      </c>
      <c r="K38" s="887">
        <f>MAX(MIN(K39,$R$38-SUM(L39:$P$39)),0)</f>
        <v>0</v>
      </c>
      <c r="L38" s="887">
        <f>MAX(MIN(L39,$R$38-SUM(M39:$P$39)),0)</f>
        <v>0</v>
      </c>
      <c r="M38" s="887">
        <f>MAX(MIN(M39,$R$38-SUM(N39:$P$39)),0)</f>
        <v>0</v>
      </c>
      <c r="N38" s="887">
        <f>MAX(MIN(N39,$R$38-SUM(O39:$P$39)),0)</f>
        <v>0</v>
      </c>
      <c r="O38" s="888">
        <f>MAX(MIN(O39,$R$38-SUM(P39:$P$39)),0)</f>
        <v>1</v>
      </c>
      <c r="P38" s="884"/>
      <c r="Q38" s="884" t="s">
        <v>764</v>
      </c>
      <c r="R38" s="688">
        <f>FORECASTS!E13</f>
        <v>1</v>
      </c>
    </row>
    <row r="39" spans="3:21" x14ac:dyDescent="0.3">
      <c r="D39" s="889">
        <v>31</v>
      </c>
      <c r="E39">
        <f t="shared" ref="E39:O39" si="1">E42-D42</f>
        <v>28</v>
      </c>
      <c r="F39">
        <f t="shared" si="1"/>
        <v>31</v>
      </c>
      <c r="G39">
        <f t="shared" si="1"/>
        <v>30</v>
      </c>
      <c r="H39">
        <f t="shared" si="1"/>
        <v>31</v>
      </c>
      <c r="I39">
        <f t="shared" si="1"/>
        <v>30</v>
      </c>
      <c r="J39">
        <f t="shared" si="1"/>
        <v>31</v>
      </c>
      <c r="K39">
        <f t="shared" si="1"/>
        <v>31</v>
      </c>
      <c r="L39">
        <f t="shared" si="1"/>
        <v>30</v>
      </c>
      <c r="M39">
        <f t="shared" si="1"/>
        <v>31</v>
      </c>
      <c r="N39">
        <f t="shared" si="1"/>
        <v>30</v>
      </c>
      <c r="O39" s="890">
        <f t="shared" si="1"/>
        <v>31</v>
      </c>
      <c r="P39" s="884"/>
      <c r="Q39" s="883"/>
    </row>
    <row r="40" spans="3:21" x14ac:dyDescent="0.3">
      <c r="D40" s="891">
        <f t="shared" ref="D40:O40" si="2">D38/D39</f>
        <v>0</v>
      </c>
      <c r="E40" s="892">
        <f t="shared" si="2"/>
        <v>0</v>
      </c>
      <c r="F40" s="892">
        <f t="shared" si="2"/>
        <v>0</v>
      </c>
      <c r="G40" s="892">
        <f t="shared" si="2"/>
        <v>0</v>
      </c>
      <c r="H40" s="892">
        <f t="shared" si="2"/>
        <v>0</v>
      </c>
      <c r="I40" s="892">
        <f t="shared" si="2"/>
        <v>0</v>
      </c>
      <c r="J40" s="892">
        <f t="shared" si="2"/>
        <v>0</v>
      </c>
      <c r="K40" s="892">
        <f t="shared" si="2"/>
        <v>0</v>
      </c>
      <c r="L40" s="892">
        <f t="shared" si="2"/>
        <v>0</v>
      </c>
      <c r="M40" s="892">
        <f t="shared" si="2"/>
        <v>0</v>
      </c>
      <c r="N40" s="892">
        <f t="shared" si="2"/>
        <v>0</v>
      </c>
      <c r="O40" s="893">
        <f t="shared" si="2"/>
        <v>3.2258064516129031E-2</v>
      </c>
    </row>
    <row r="41" spans="3:21" x14ac:dyDescent="0.3">
      <c r="D41">
        <f>MONTH(D42)</f>
        <v>1</v>
      </c>
      <c r="E41">
        <f t="shared" ref="E41:O41" si="3">MONTH(E42)</f>
        <v>2</v>
      </c>
      <c r="F41">
        <f t="shared" si="3"/>
        <v>3</v>
      </c>
      <c r="G41">
        <f t="shared" si="3"/>
        <v>4</v>
      </c>
      <c r="H41">
        <f t="shared" si="3"/>
        <v>5</v>
      </c>
      <c r="I41">
        <f t="shared" si="3"/>
        <v>6</v>
      </c>
      <c r="J41">
        <f t="shared" si="3"/>
        <v>7</v>
      </c>
      <c r="K41">
        <f t="shared" si="3"/>
        <v>8</v>
      </c>
      <c r="L41">
        <f t="shared" si="3"/>
        <v>9</v>
      </c>
      <c r="M41">
        <f t="shared" si="3"/>
        <v>10</v>
      </c>
      <c r="N41">
        <f t="shared" si="3"/>
        <v>11</v>
      </c>
      <c r="O41">
        <f t="shared" si="3"/>
        <v>12</v>
      </c>
    </row>
    <row r="42" spans="3:21" x14ac:dyDescent="0.3">
      <c r="C42" s="10" t="s">
        <v>746</v>
      </c>
      <c r="D42" s="681">
        <f>DASHBOARD!K186</f>
        <v>45688</v>
      </c>
      <c r="E42" s="681">
        <f>DASHBOARD!O186</f>
        <v>45716</v>
      </c>
      <c r="F42" s="681">
        <f>DASHBOARD!S186</f>
        <v>45747</v>
      </c>
      <c r="G42" s="681">
        <f>DASHBOARD!W186</f>
        <v>45777</v>
      </c>
      <c r="H42" s="681">
        <f>DASHBOARD!AA186</f>
        <v>45808</v>
      </c>
      <c r="I42" s="681">
        <f>DASHBOARD!AE186</f>
        <v>45838</v>
      </c>
      <c r="J42" s="681">
        <f>DASHBOARD!AI186</f>
        <v>45869</v>
      </c>
      <c r="K42" s="681">
        <f>DASHBOARD!AM186</f>
        <v>45900</v>
      </c>
      <c r="L42" s="681">
        <f>DASHBOARD!AQ186</f>
        <v>45930</v>
      </c>
      <c r="M42" s="681">
        <f>DASHBOARD!AU186</f>
        <v>45961</v>
      </c>
      <c r="N42" s="681">
        <f>DASHBOARD!AY186</f>
        <v>45991</v>
      </c>
      <c r="O42" s="681">
        <f>DASHBOARD!BC186</f>
        <v>46022</v>
      </c>
      <c r="P42" s="10"/>
      <c r="Q42" s="686" t="s">
        <v>747</v>
      </c>
      <c r="R42" s="686" t="s">
        <v>989</v>
      </c>
      <c r="S42" s="10"/>
      <c r="T42" s="10"/>
    </row>
    <row r="43" spans="3:21" x14ac:dyDescent="0.3">
      <c r="C43" s="10"/>
      <c r="D43" s="680"/>
      <c r="E43" s="680"/>
      <c r="F43" s="680"/>
      <c r="G43" s="680"/>
      <c r="H43" s="680"/>
      <c r="I43" s="680"/>
      <c r="J43" s="680"/>
      <c r="K43" s="680"/>
      <c r="L43" s="680"/>
      <c r="M43" s="680"/>
      <c r="N43" s="680"/>
      <c r="O43" s="680"/>
      <c r="P43" s="10"/>
      <c r="Q43" s="687"/>
      <c r="R43" s="687"/>
      <c r="S43" s="10"/>
      <c r="T43" s="10"/>
    </row>
    <row r="44" spans="3:21" x14ac:dyDescent="0.3">
      <c r="C44" s="10" t="str">
        <f>DASHBOARD!C188</f>
        <v># of Days</v>
      </c>
      <c r="D44" s="682">
        <f>DASHBOARD!K188</f>
        <v>31</v>
      </c>
      <c r="E44" s="682">
        <f>DASHBOARD!O188</f>
        <v>28</v>
      </c>
      <c r="F44" s="682">
        <f>DASHBOARD!S188</f>
        <v>31</v>
      </c>
      <c r="G44" s="682">
        <f>DASHBOARD!W188</f>
        <v>30</v>
      </c>
      <c r="H44" s="682">
        <f>DASHBOARD!AA188</f>
        <v>31</v>
      </c>
      <c r="I44" s="682">
        <f>DASHBOARD!AE188</f>
        <v>30</v>
      </c>
      <c r="J44" s="682">
        <f>DASHBOARD!AI188</f>
        <v>31</v>
      </c>
      <c r="K44" s="682">
        <f>DASHBOARD!AM188</f>
        <v>31</v>
      </c>
      <c r="L44" s="682">
        <f>DASHBOARD!AQ188</f>
        <v>30</v>
      </c>
      <c r="M44" s="682">
        <f>DASHBOARD!AU188</f>
        <v>31</v>
      </c>
      <c r="N44" s="682">
        <f>DASHBOARD!AY188</f>
        <v>30</v>
      </c>
      <c r="O44" s="682">
        <f>DASHBOARD!BC188</f>
        <v>31</v>
      </c>
      <c r="P44" s="10"/>
      <c r="Q44" s="689">
        <f>O42-R36+1</f>
        <v>153</v>
      </c>
      <c r="R44" s="689">
        <f>SUM(D44:O44)</f>
        <v>365</v>
      </c>
      <c r="S44" s="10"/>
      <c r="T44" s="10"/>
    </row>
    <row r="45" spans="3:21" x14ac:dyDescent="0.3">
      <c r="C45" s="10" t="str">
        <f>DASHBOARD!C189</f>
        <v>Occupancy %</v>
      </c>
      <c r="D45" s="685">
        <f>DASHBOARD!K189</f>
        <v>0</v>
      </c>
      <c r="E45" s="685">
        <f>DASHBOARD!O189</f>
        <v>0</v>
      </c>
      <c r="F45" s="685">
        <f>DASHBOARD!S189</f>
        <v>0</v>
      </c>
      <c r="G45" s="685">
        <f>DASHBOARD!W189</f>
        <v>0</v>
      </c>
      <c r="H45" s="685">
        <f>DASHBOARD!AA189</f>
        <v>0</v>
      </c>
      <c r="I45" s="685">
        <f>DASHBOARD!AE189</f>
        <v>0</v>
      </c>
      <c r="J45" s="685">
        <f>DASHBOARD!AI189</f>
        <v>0</v>
      </c>
      <c r="K45" s="685">
        <f>DASHBOARD!AM189</f>
        <v>0</v>
      </c>
      <c r="L45" s="685">
        <f>DASHBOARD!AQ189</f>
        <v>0</v>
      </c>
      <c r="M45" s="685">
        <f>DASHBOARD!AU189</f>
        <v>0</v>
      </c>
      <c r="N45" s="685">
        <f>DASHBOARD!AY189</f>
        <v>0</v>
      </c>
      <c r="O45" s="685">
        <f>DASHBOARD!BC189</f>
        <v>0</v>
      </c>
      <c r="P45" s="10"/>
      <c r="Q45" s="692">
        <f>Q46/Q44</f>
        <v>0</v>
      </c>
      <c r="R45" s="692">
        <f>R46/R44</f>
        <v>0</v>
      </c>
      <c r="S45" s="10"/>
      <c r="T45" s="10"/>
    </row>
    <row r="46" spans="3:21" x14ac:dyDescent="0.3">
      <c r="C46" s="10" t="str">
        <f>DASHBOARD!C190</f>
        <v>Days Booked</v>
      </c>
      <c r="D46" s="682">
        <f>DASHBOARD!K190</f>
        <v>0</v>
      </c>
      <c r="E46" s="682">
        <f>DASHBOARD!O190</f>
        <v>0</v>
      </c>
      <c r="F46" s="682">
        <f>DASHBOARD!S190</f>
        <v>0</v>
      </c>
      <c r="G46" s="682">
        <f>DASHBOARD!W190</f>
        <v>0</v>
      </c>
      <c r="H46" s="682">
        <f>DASHBOARD!AA190</f>
        <v>0</v>
      </c>
      <c r="I46" s="682">
        <f>DASHBOARD!AE190</f>
        <v>0</v>
      </c>
      <c r="J46" s="682">
        <f>DASHBOARD!AI190</f>
        <v>0</v>
      </c>
      <c r="K46" s="682">
        <f>DASHBOARD!AM190</f>
        <v>0</v>
      </c>
      <c r="L46" s="682">
        <f>DASHBOARD!AQ190</f>
        <v>0</v>
      </c>
      <c r="M46" s="682">
        <f>DASHBOARD!AU190</f>
        <v>0</v>
      </c>
      <c r="N46" s="682">
        <f>DASHBOARD!AY190</f>
        <v>0</v>
      </c>
      <c r="O46" s="682">
        <f>DASHBOARD!BC190</f>
        <v>0</v>
      </c>
      <c r="P46" s="10"/>
      <c r="Q46" s="689">
        <f>SUMPRODUCT($D$40:$O$40,D46:O46)</f>
        <v>0</v>
      </c>
      <c r="R46" s="689">
        <f>SUM(D46:O46)</f>
        <v>0</v>
      </c>
      <c r="S46" s="10"/>
      <c r="T46" s="10"/>
    </row>
    <row r="47" spans="3:21" x14ac:dyDescent="0.3">
      <c r="C47" s="10" t="str">
        <f>DASHBOARD!C191</f>
        <v>Nightly Rate</v>
      </c>
      <c r="D47" s="682">
        <f>DASHBOARD!K191</f>
        <v>0</v>
      </c>
      <c r="E47" s="682">
        <f>DASHBOARD!O191</f>
        <v>0</v>
      </c>
      <c r="F47" s="682">
        <f>DASHBOARD!S191</f>
        <v>0</v>
      </c>
      <c r="G47" s="682">
        <f>DASHBOARD!W191</f>
        <v>0</v>
      </c>
      <c r="H47" s="682">
        <f>DASHBOARD!AA191</f>
        <v>0</v>
      </c>
      <c r="I47" s="682">
        <f>DASHBOARD!AE191</f>
        <v>0</v>
      </c>
      <c r="J47" s="682">
        <f>DASHBOARD!AI191</f>
        <v>0</v>
      </c>
      <c r="K47" s="682">
        <f>DASHBOARD!AM191</f>
        <v>0</v>
      </c>
      <c r="L47" s="682">
        <f>DASHBOARD!AQ191</f>
        <v>0</v>
      </c>
      <c r="M47" s="682">
        <f>DASHBOARD!AU191</f>
        <v>0</v>
      </c>
      <c r="N47" s="682">
        <f>DASHBOARD!AY191</f>
        <v>0</v>
      </c>
      <c r="O47" s="682">
        <f>DASHBOARD!BC191</f>
        <v>0</v>
      </c>
      <c r="P47" s="10"/>
      <c r="Q47" s="693" t="e">
        <f>Q48/Q46</f>
        <v>#DIV/0!</v>
      </c>
      <c r="R47" s="693" t="e">
        <f>R48/R46</f>
        <v>#DIV/0!</v>
      </c>
      <c r="S47" s="10"/>
      <c r="T47" s="10"/>
    </row>
    <row r="48" spans="3:21" s="12" customFormat="1" x14ac:dyDescent="0.3">
      <c r="C48" s="683" t="str">
        <f>DASHBOARD!C192</f>
        <v>Gross Rental Income</v>
      </c>
      <c r="D48" s="684">
        <f>DASHBOARD!K192</f>
        <v>0</v>
      </c>
      <c r="E48" s="684">
        <f>DASHBOARD!O192</f>
        <v>0</v>
      </c>
      <c r="F48" s="684">
        <f>DASHBOARD!S192</f>
        <v>0</v>
      </c>
      <c r="G48" s="684">
        <f>DASHBOARD!W192</f>
        <v>0</v>
      </c>
      <c r="H48" s="684">
        <f>DASHBOARD!AA192</f>
        <v>0</v>
      </c>
      <c r="I48" s="684">
        <f>DASHBOARD!AE192</f>
        <v>0</v>
      </c>
      <c r="J48" s="684">
        <f>DASHBOARD!AI192</f>
        <v>0</v>
      </c>
      <c r="K48" s="684">
        <f>DASHBOARD!AM192</f>
        <v>0</v>
      </c>
      <c r="L48" s="684">
        <f>DASHBOARD!AQ192</f>
        <v>0</v>
      </c>
      <c r="M48" s="684">
        <f>DASHBOARD!AU192</f>
        <v>0</v>
      </c>
      <c r="N48" s="684">
        <f>DASHBOARD!AY192</f>
        <v>0</v>
      </c>
      <c r="O48" s="684">
        <f>DASHBOARD!BC192</f>
        <v>0</v>
      </c>
      <c r="P48" s="683"/>
      <c r="Q48" s="694">
        <f>SUMPRODUCT($D$40:$O$40,D48:O48)</f>
        <v>0</v>
      </c>
      <c r="R48" s="694">
        <f>SUM(D48:O48)</f>
        <v>0</v>
      </c>
      <c r="S48" s="683"/>
      <c r="T48" s="683"/>
      <c r="U48" s="885"/>
    </row>
    <row r="49" spans="3:20" x14ac:dyDescent="0.3">
      <c r="C49" s="10"/>
      <c r="D49" s="682"/>
      <c r="E49" s="682"/>
      <c r="F49" s="682"/>
      <c r="G49" s="682"/>
      <c r="H49" s="682"/>
      <c r="I49" s="682"/>
      <c r="J49" s="682"/>
      <c r="K49" s="682"/>
      <c r="L49" s="682"/>
      <c r="M49" s="682"/>
      <c r="N49" s="682"/>
      <c r="O49" s="682"/>
      <c r="P49" s="10"/>
      <c r="Q49" s="690"/>
      <c r="R49" s="690"/>
      <c r="S49" s="10"/>
      <c r="T49" s="10"/>
    </row>
    <row r="50" spans="3:20" x14ac:dyDescent="0.3">
      <c r="C50" s="10" t="str">
        <f>DASHBOARD!C194</f>
        <v>Other Income</v>
      </c>
      <c r="D50" s="682">
        <f>DASHBOARD!K194</f>
        <v>0</v>
      </c>
      <c r="E50" s="682">
        <f>DASHBOARD!O194</f>
        <v>0</v>
      </c>
      <c r="F50" s="682">
        <f>DASHBOARD!S194</f>
        <v>0</v>
      </c>
      <c r="G50" s="682">
        <f>DASHBOARD!W194</f>
        <v>0</v>
      </c>
      <c r="H50" s="682">
        <f>DASHBOARD!AA194</f>
        <v>0</v>
      </c>
      <c r="I50" s="682">
        <f>DASHBOARD!AE194</f>
        <v>0</v>
      </c>
      <c r="J50" s="682">
        <f>DASHBOARD!AI194</f>
        <v>0</v>
      </c>
      <c r="K50" s="682">
        <f>DASHBOARD!AM194</f>
        <v>0</v>
      </c>
      <c r="L50" s="682">
        <f>DASHBOARD!AQ194</f>
        <v>0</v>
      </c>
      <c r="M50" s="682">
        <f>DASHBOARD!AU194</f>
        <v>0</v>
      </c>
      <c r="N50" s="682">
        <f>DASHBOARD!AY194</f>
        <v>0</v>
      </c>
      <c r="O50" s="682">
        <f>DASHBOARD!BC194</f>
        <v>0</v>
      </c>
      <c r="P50" s="10"/>
      <c r="Q50" s="689">
        <f t="shared" ref="Q50:Q72" si="4">SUMPRODUCT($D$40:$O$40,D50:O50)</f>
        <v>0</v>
      </c>
      <c r="R50" s="689">
        <f>SUM(D50:O50)</f>
        <v>0</v>
      </c>
      <c r="S50" s="10"/>
      <c r="T50" s="10"/>
    </row>
    <row r="51" spans="3:20" x14ac:dyDescent="0.3">
      <c r="C51" s="10" t="str">
        <f>DASHBOARD!C195</f>
        <v>Additional Guest Fee</v>
      </c>
      <c r="D51" s="682">
        <f>DASHBOARD!K195</f>
        <v>0</v>
      </c>
      <c r="E51" s="682">
        <f>DASHBOARD!O195</f>
        <v>0</v>
      </c>
      <c r="F51" s="682">
        <f>DASHBOARD!S195</f>
        <v>0</v>
      </c>
      <c r="G51" s="682">
        <f>DASHBOARD!W195</f>
        <v>0</v>
      </c>
      <c r="H51" s="682">
        <f>DASHBOARD!AA195</f>
        <v>0</v>
      </c>
      <c r="I51" s="682">
        <f>DASHBOARD!AE195</f>
        <v>0</v>
      </c>
      <c r="J51" s="682">
        <f>DASHBOARD!AI195</f>
        <v>0</v>
      </c>
      <c r="K51" s="682">
        <f>DASHBOARD!AM195</f>
        <v>0</v>
      </c>
      <c r="L51" s="682">
        <f>DASHBOARD!AQ195</f>
        <v>0</v>
      </c>
      <c r="M51" s="682">
        <f>DASHBOARD!AU195</f>
        <v>0</v>
      </c>
      <c r="N51" s="682">
        <f>DASHBOARD!AY195</f>
        <v>0</v>
      </c>
      <c r="O51" s="682">
        <f>DASHBOARD!BC195</f>
        <v>0</v>
      </c>
      <c r="P51" s="10"/>
      <c r="Q51" s="689">
        <f>SUMPRODUCT($D$40:$O$40,D51:O51)</f>
        <v>0</v>
      </c>
      <c r="R51" s="689">
        <f>SUM(D51:O51)</f>
        <v>0</v>
      </c>
      <c r="S51" s="10"/>
      <c r="T51" s="10"/>
    </row>
    <row r="52" spans="3:20" x14ac:dyDescent="0.3">
      <c r="C52" s="10" t="str">
        <f>DASHBOARD!C196</f>
        <v>Service Fee - Host</v>
      </c>
      <c r="D52" s="682">
        <f>DASHBOARD!K196</f>
        <v>0</v>
      </c>
      <c r="E52" s="682">
        <f>DASHBOARD!O196</f>
        <v>0</v>
      </c>
      <c r="F52" s="682">
        <f>DASHBOARD!S196</f>
        <v>0</v>
      </c>
      <c r="G52" s="682">
        <f>DASHBOARD!W196</f>
        <v>0</v>
      </c>
      <c r="H52" s="682">
        <f>DASHBOARD!AA196</f>
        <v>0</v>
      </c>
      <c r="I52" s="682">
        <f>DASHBOARD!AE196</f>
        <v>0</v>
      </c>
      <c r="J52" s="682">
        <f>DASHBOARD!AI196</f>
        <v>0</v>
      </c>
      <c r="K52" s="682">
        <f>DASHBOARD!AM196</f>
        <v>0</v>
      </c>
      <c r="L52" s="682">
        <f>DASHBOARD!AQ196</f>
        <v>0</v>
      </c>
      <c r="M52" s="682">
        <f>DASHBOARD!AU196</f>
        <v>0</v>
      </c>
      <c r="N52" s="682">
        <f>DASHBOARD!AY196</f>
        <v>0</v>
      </c>
      <c r="O52" s="682">
        <f>DASHBOARD!BC196</f>
        <v>0</v>
      </c>
      <c r="P52" s="10"/>
      <c r="Q52" s="689">
        <f t="shared" si="4"/>
        <v>0</v>
      </c>
      <c r="R52" s="689">
        <f>SUM(D52:O52)</f>
        <v>0</v>
      </c>
      <c r="S52" s="10"/>
      <c r="T52" s="10"/>
    </row>
    <row r="53" spans="3:20" s="12" customFormat="1" x14ac:dyDescent="0.3">
      <c r="C53" s="683" t="str">
        <f>DASHBOARD!C197</f>
        <v>Net Rental Income</v>
      </c>
      <c r="D53" s="684">
        <f>DASHBOARD!K197</f>
        <v>0</v>
      </c>
      <c r="E53" s="684">
        <f>DASHBOARD!O197</f>
        <v>0</v>
      </c>
      <c r="F53" s="684">
        <f>DASHBOARD!S197</f>
        <v>0</v>
      </c>
      <c r="G53" s="684">
        <f>DASHBOARD!W197</f>
        <v>0</v>
      </c>
      <c r="H53" s="684">
        <f>DASHBOARD!AA197</f>
        <v>0</v>
      </c>
      <c r="I53" s="684">
        <f>DASHBOARD!AE197</f>
        <v>0</v>
      </c>
      <c r="J53" s="684">
        <f>DASHBOARD!AI197</f>
        <v>0</v>
      </c>
      <c r="K53" s="684">
        <f>DASHBOARD!AM197</f>
        <v>0</v>
      </c>
      <c r="L53" s="684">
        <f>DASHBOARD!AQ197</f>
        <v>0</v>
      </c>
      <c r="M53" s="684">
        <f>DASHBOARD!AU197</f>
        <v>0</v>
      </c>
      <c r="N53" s="684">
        <f>DASHBOARD!AY197</f>
        <v>0</v>
      </c>
      <c r="O53" s="684">
        <f>DASHBOARD!BC197</f>
        <v>0</v>
      </c>
      <c r="P53" s="683"/>
      <c r="Q53" s="694">
        <f>Q48+Q50+Q52+Q51</f>
        <v>0</v>
      </c>
      <c r="R53" s="694">
        <f>R48+R50+R52+R51</f>
        <v>0</v>
      </c>
      <c r="S53" s="683"/>
      <c r="T53" s="683"/>
    </row>
    <row r="54" spans="3:20" x14ac:dyDescent="0.3">
      <c r="C54" s="10"/>
      <c r="D54" s="682"/>
      <c r="E54" s="682"/>
      <c r="F54" s="682"/>
      <c r="G54" s="682"/>
      <c r="H54" s="682"/>
      <c r="I54" s="682"/>
      <c r="J54" s="682"/>
      <c r="K54" s="682"/>
      <c r="L54" s="682"/>
      <c r="M54" s="682"/>
      <c r="N54" s="682"/>
      <c r="O54" s="682"/>
      <c r="P54" s="10"/>
      <c r="Q54" s="690"/>
      <c r="R54" s="690"/>
      <c r="S54" s="10"/>
      <c r="T54" s="10"/>
    </row>
    <row r="55" spans="3:20" x14ac:dyDescent="0.3">
      <c r="C55" s="10" t="str">
        <f>DASHBOARD!C199</f>
        <v>Electrical Utilities</v>
      </c>
      <c r="D55" s="682">
        <f>DASHBOARD!K199</f>
        <v>0</v>
      </c>
      <c r="E55" s="682">
        <f>DASHBOARD!O199</f>
        <v>0</v>
      </c>
      <c r="F55" s="682">
        <f>DASHBOARD!S199</f>
        <v>0</v>
      </c>
      <c r="G55" s="682">
        <f>DASHBOARD!W199</f>
        <v>0</v>
      </c>
      <c r="H55" s="682">
        <f>DASHBOARD!AA199</f>
        <v>0</v>
      </c>
      <c r="I55" s="682">
        <f>DASHBOARD!AE199</f>
        <v>0</v>
      </c>
      <c r="J55" s="682">
        <f>DASHBOARD!AI199</f>
        <v>0</v>
      </c>
      <c r="K55" s="682">
        <f>DASHBOARD!AM199</f>
        <v>0</v>
      </c>
      <c r="L55" s="682">
        <f>DASHBOARD!AQ199</f>
        <v>0</v>
      </c>
      <c r="M55" s="682">
        <f>DASHBOARD!AU199</f>
        <v>0</v>
      </c>
      <c r="N55" s="682">
        <f>DASHBOARD!AY199</f>
        <v>0</v>
      </c>
      <c r="O55" s="682">
        <f>DASHBOARD!BC199</f>
        <v>0</v>
      </c>
      <c r="P55" s="10"/>
      <c r="Q55" s="689">
        <f t="shared" si="4"/>
        <v>0</v>
      </c>
      <c r="R55" s="689">
        <f t="shared" ref="R55:R72" si="5">SUM(D55:O55)</f>
        <v>0</v>
      </c>
      <c r="S55" s="10"/>
      <c r="T55" s="10"/>
    </row>
    <row r="56" spans="3:20" x14ac:dyDescent="0.3">
      <c r="C56" s="10" t="str">
        <f>DASHBOARD!C200</f>
        <v>Gas Utilities</v>
      </c>
      <c r="D56" s="682">
        <f>DASHBOARD!K200</f>
        <v>0</v>
      </c>
      <c r="E56" s="682">
        <f>DASHBOARD!O200</f>
        <v>0</v>
      </c>
      <c r="F56" s="682">
        <f>DASHBOARD!S200</f>
        <v>0</v>
      </c>
      <c r="G56" s="682">
        <f>DASHBOARD!W200</f>
        <v>0</v>
      </c>
      <c r="H56" s="682">
        <f>DASHBOARD!AA200</f>
        <v>0</v>
      </c>
      <c r="I56" s="682">
        <f>DASHBOARD!AE200</f>
        <v>0</v>
      </c>
      <c r="J56" s="682">
        <f>DASHBOARD!AI200</f>
        <v>0</v>
      </c>
      <c r="K56" s="682">
        <f>DASHBOARD!AM200</f>
        <v>0</v>
      </c>
      <c r="L56" s="682">
        <f>DASHBOARD!AQ200</f>
        <v>0</v>
      </c>
      <c r="M56" s="682">
        <f>DASHBOARD!AU200</f>
        <v>0</v>
      </c>
      <c r="N56" s="682">
        <f>DASHBOARD!AY200</f>
        <v>0</v>
      </c>
      <c r="O56" s="682">
        <f>DASHBOARD!BC200</f>
        <v>0</v>
      </c>
      <c r="P56" s="10"/>
      <c r="Q56" s="689">
        <f t="shared" si="4"/>
        <v>0</v>
      </c>
      <c r="R56" s="689">
        <f t="shared" si="5"/>
        <v>0</v>
      </c>
      <c r="S56" s="10"/>
      <c r="T56" s="10"/>
    </row>
    <row r="57" spans="3:20" x14ac:dyDescent="0.3">
      <c r="C57" s="10" t="str">
        <f>DASHBOARD!C201</f>
        <v>Water Utilities</v>
      </c>
      <c r="D57" s="682">
        <f>DASHBOARD!K201</f>
        <v>0</v>
      </c>
      <c r="E57" s="682">
        <f>DASHBOARD!O201</f>
        <v>0</v>
      </c>
      <c r="F57" s="682">
        <f>DASHBOARD!S201</f>
        <v>0</v>
      </c>
      <c r="G57" s="682">
        <f>DASHBOARD!W201</f>
        <v>0</v>
      </c>
      <c r="H57" s="682">
        <f>DASHBOARD!AA201</f>
        <v>0</v>
      </c>
      <c r="I57" s="682">
        <f>DASHBOARD!AE201</f>
        <v>0</v>
      </c>
      <c r="J57" s="682">
        <f>DASHBOARD!AI201</f>
        <v>0</v>
      </c>
      <c r="K57" s="682">
        <f>DASHBOARD!AM201</f>
        <v>0</v>
      </c>
      <c r="L57" s="682">
        <f>DASHBOARD!AQ201</f>
        <v>0</v>
      </c>
      <c r="M57" s="682">
        <f>DASHBOARD!AU201</f>
        <v>0</v>
      </c>
      <c r="N57" s="682">
        <f>DASHBOARD!AY201</f>
        <v>0</v>
      </c>
      <c r="O57" s="682">
        <f>DASHBOARD!BC201</f>
        <v>0</v>
      </c>
      <c r="P57" s="10"/>
      <c r="Q57" s="689">
        <f t="shared" si="4"/>
        <v>0</v>
      </c>
      <c r="R57" s="689">
        <f t="shared" si="5"/>
        <v>0</v>
      </c>
      <c r="S57" s="10"/>
      <c r="T57" s="10"/>
    </row>
    <row r="58" spans="3:20" x14ac:dyDescent="0.3">
      <c r="C58" s="10" t="str">
        <f>DASHBOARD!C202</f>
        <v>Phone</v>
      </c>
      <c r="D58" s="682">
        <f>DASHBOARD!K202</f>
        <v>0</v>
      </c>
      <c r="E58" s="682">
        <f>DASHBOARD!O202</f>
        <v>0</v>
      </c>
      <c r="F58" s="682">
        <f>DASHBOARD!S202</f>
        <v>0</v>
      </c>
      <c r="G58" s="682">
        <f>DASHBOARD!W202</f>
        <v>0</v>
      </c>
      <c r="H58" s="682">
        <f>DASHBOARD!AA202</f>
        <v>0</v>
      </c>
      <c r="I58" s="682">
        <f>DASHBOARD!AE202</f>
        <v>0</v>
      </c>
      <c r="J58" s="682">
        <f>DASHBOARD!AI202</f>
        <v>0</v>
      </c>
      <c r="K58" s="682">
        <f>DASHBOARD!AM202</f>
        <v>0</v>
      </c>
      <c r="L58" s="682">
        <f>DASHBOARD!AQ202</f>
        <v>0</v>
      </c>
      <c r="M58" s="682">
        <f>DASHBOARD!AU202</f>
        <v>0</v>
      </c>
      <c r="N58" s="682">
        <f>DASHBOARD!AY202</f>
        <v>0</v>
      </c>
      <c r="O58" s="682">
        <f>DASHBOARD!BC202</f>
        <v>0</v>
      </c>
      <c r="P58" s="10"/>
      <c r="Q58" s="689">
        <f t="shared" si="4"/>
        <v>0</v>
      </c>
      <c r="R58" s="689">
        <f t="shared" si="5"/>
        <v>0</v>
      </c>
      <c r="S58" s="10"/>
      <c r="T58" s="10"/>
    </row>
    <row r="59" spans="3:20" x14ac:dyDescent="0.3">
      <c r="C59" s="10" t="str">
        <f>DASHBOARD!C203</f>
        <v>Internet</v>
      </c>
      <c r="D59" s="682">
        <f>DASHBOARD!K203</f>
        <v>0</v>
      </c>
      <c r="E59" s="682">
        <f>DASHBOARD!O203</f>
        <v>0</v>
      </c>
      <c r="F59" s="682">
        <f>DASHBOARD!S203</f>
        <v>0</v>
      </c>
      <c r="G59" s="682">
        <f>DASHBOARD!W203</f>
        <v>0</v>
      </c>
      <c r="H59" s="682">
        <f>DASHBOARD!AA203</f>
        <v>0</v>
      </c>
      <c r="I59" s="682">
        <f>DASHBOARD!AE203</f>
        <v>0</v>
      </c>
      <c r="J59" s="682">
        <f>DASHBOARD!AI203</f>
        <v>0</v>
      </c>
      <c r="K59" s="682">
        <f>DASHBOARD!AM203</f>
        <v>0</v>
      </c>
      <c r="L59" s="682">
        <f>DASHBOARD!AQ203</f>
        <v>0</v>
      </c>
      <c r="M59" s="682">
        <f>DASHBOARD!AU203</f>
        <v>0</v>
      </c>
      <c r="N59" s="682">
        <f>DASHBOARD!AY203</f>
        <v>0</v>
      </c>
      <c r="O59" s="682">
        <f>DASHBOARD!BC203</f>
        <v>0</v>
      </c>
      <c r="P59" s="10"/>
      <c r="Q59" s="689">
        <f t="shared" si="4"/>
        <v>0</v>
      </c>
      <c r="R59" s="689">
        <f t="shared" si="5"/>
        <v>0</v>
      </c>
      <c r="S59" s="10"/>
      <c r="T59" s="10"/>
    </row>
    <row r="60" spans="3:20" x14ac:dyDescent="0.3">
      <c r="C60" s="10" t="str">
        <f>DASHBOARD!C204</f>
        <v>Property Insurance + Tax</v>
      </c>
      <c r="D60" s="682">
        <f>DASHBOARD!K204</f>
        <v>0</v>
      </c>
      <c r="E60" s="682">
        <f>DASHBOARD!O204</f>
        <v>0</v>
      </c>
      <c r="F60" s="682">
        <f>DASHBOARD!S204</f>
        <v>0</v>
      </c>
      <c r="G60" s="682">
        <f>DASHBOARD!W204</f>
        <v>0</v>
      </c>
      <c r="H60" s="682">
        <f>DASHBOARD!AA204</f>
        <v>0</v>
      </c>
      <c r="I60" s="682">
        <f>DASHBOARD!AE204</f>
        <v>0</v>
      </c>
      <c r="J60" s="682">
        <f>DASHBOARD!AI204</f>
        <v>0</v>
      </c>
      <c r="K60" s="682">
        <f>DASHBOARD!AM204</f>
        <v>0</v>
      </c>
      <c r="L60" s="682">
        <f>DASHBOARD!AQ204</f>
        <v>0</v>
      </c>
      <c r="M60" s="682">
        <f>DASHBOARD!AU204</f>
        <v>0</v>
      </c>
      <c r="N60" s="682">
        <f>DASHBOARD!AY204</f>
        <v>0</v>
      </c>
      <c r="O60" s="682">
        <f>DASHBOARD!BC204</f>
        <v>0</v>
      </c>
      <c r="P60" s="10"/>
      <c r="Q60" s="689">
        <f t="shared" si="4"/>
        <v>0</v>
      </c>
      <c r="R60" s="689">
        <f t="shared" si="5"/>
        <v>0</v>
      </c>
      <c r="S60" s="10"/>
      <c r="T60" s="10"/>
    </row>
    <row r="61" spans="3:20" x14ac:dyDescent="0.3">
      <c r="C61" s="10" t="str">
        <f>DASHBOARD!C205</f>
        <v>Irrigation</v>
      </c>
      <c r="D61" s="682">
        <f>DASHBOARD!K205</f>
        <v>0</v>
      </c>
      <c r="E61" s="682">
        <f>DASHBOARD!O205</f>
        <v>0</v>
      </c>
      <c r="F61" s="682">
        <f>DASHBOARD!S205</f>
        <v>0</v>
      </c>
      <c r="G61" s="682">
        <f>DASHBOARD!W205</f>
        <v>0</v>
      </c>
      <c r="H61" s="682">
        <f>DASHBOARD!AA205</f>
        <v>0</v>
      </c>
      <c r="I61" s="682">
        <f>DASHBOARD!AE205</f>
        <v>0</v>
      </c>
      <c r="J61" s="682">
        <f>DASHBOARD!AI205</f>
        <v>0</v>
      </c>
      <c r="K61" s="682">
        <f>DASHBOARD!AM205</f>
        <v>0</v>
      </c>
      <c r="L61" s="682">
        <f>DASHBOARD!AQ205</f>
        <v>0</v>
      </c>
      <c r="M61" s="682">
        <f>DASHBOARD!AU205</f>
        <v>0</v>
      </c>
      <c r="N61" s="682">
        <f>DASHBOARD!AY205</f>
        <v>0</v>
      </c>
      <c r="O61" s="682">
        <f>DASHBOARD!BC205</f>
        <v>0</v>
      </c>
      <c r="P61" s="10"/>
      <c r="Q61" s="689">
        <f t="shared" si="4"/>
        <v>0</v>
      </c>
      <c r="R61" s="689">
        <f t="shared" si="5"/>
        <v>0</v>
      </c>
      <c r="S61" s="10"/>
      <c r="T61" s="10"/>
    </row>
    <row r="62" spans="3:20" x14ac:dyDescent="0.3">
      <c r="C62" s="10" t="str">
        <f>DASHBOARD!C206</f>
        <v>Security</v>
      </c>
      <c r="D62" s="682">
        <f>DASHBOARD!K206</f>
        <v>0</v>
      </c>
      <c r="E62" s="682">
        <f>DASHBOARD!O206</f>
        <v>0</v>
      </c>
      <c r="F62" s="682">
        <f>DASHBOARD!S206</f>
        <v>0</v>
      </c>
      <c r="G62" s="682">
        <f>DASHBOARD!W206</f>
        <v>0</v>
      </c>
      <c r="H62" s="682">
        <f>DASHBOARD!AA206</f>
        <v>0</v>
      </c>
      <c r="I62" s="682">
        <f>DASHBOARD!AE206</f>
        <v>0</v>
      </c>
      <c r="J62" s="682">
        <f>DASHBOARD!AI206</f>
        <v>0</v>
      </c>
      <c r="K62" s="682">
        <f>DASHBOARD!AM206</f>
        <v>0</v>
      </c>
      <c r="L62" s="682">
        <f>DASHBOARD!AQ206</f>
        <v>0</v>
      </c>
      <c r="M62" s="682">
        <f>DASHBOARD!AU206</f>
        <v>0</v>
      </c>
      <c r="N62" s="682">
        <f>DASHBOARD!AY206</f>
        <v>0</v>
      </c>
      <c r="O62" s="682">
        <f>DASHBOARD!BC206</f>
        <v>0</v>
      </c>
      <c r="P62" s="10"/>
      <c r="Q62" s="689">
        <f t="shared" si="4"/>
        <v>0</v>
      </c>
      <c r="R62" s="689">
        <f t="shared" si="5"/>
        <v>0</v>
      </c>
      <c r="S62" s="10"/>
      <c r="T62" s="10"/>
    </row>
    <row r="63" spans="3:20" x14ac:dyDescent="0.3">
      <c r="C63" s="10" t="str">
        <f>DASHBOARD!C207</f>
        <v>Accounting</v>
      </c>
      <c r="D63" s="682">
        <f>DASHBOARD!K207</f>
        <v>0</v>
      </c>
      <c r="E63" s="682">
        <f>DASHBOARD!O207</f>
        <v>0</v>
      </c>
      <c r="F63" s="682">
        <f>DASHBOARD!S207</f>
        <v>0</v>
      </c>
      <c r="G63" s="682">
        <f>DASHBOARD!W207</f>
        <v>0</v>
      </c>
      <c r="H63" s="682">
        <f>DASHBOARD!AA207</f>
        <v>0</v>
      </c>
      <c r="I63" s="682">
        <f>DASHBOARD!AE207</f>
        <v>0</v>
      </c>
      <c r="J63" s="682">
        <f>DASHBOARD!AI207</f>
        <v>0</v>
      </c>
      <c r="K63" s="682">
        <f>DASHBOARD!AM207</f>
        <v>0</v>
      </c>
      <c r="L63" s="682">
        <f>DASHBOARD!AQ207</f>
        <v>0</v>
      </c>
      <c r="M63" s="682">
        <f>DASHBOARD!AU207</f>
        <v>0</v>
      </c>
      <c r="N63" s="682">
        <f>DASHBOARD!AY207</f>
        <v>0</v>
      </c>
      <c r="O63" s="682">
        <f>DASHBOARD!BC207</f>
        <v>0</v>
      </c>
      <c r="P63" s="10"/>
      <c r="Q63" s="689">
        <f t="shared" si="4"/>
        <v>0</v>
      </c>
      <c r="R63" s="689">
        <f t="shared" si="5"/>
        <v>0</v>
      </c>
      <c r="S63" s="10"/>
      <c r="T63" s="10"/>
    </row>
    <row r="64" spans="3:20" x14ac:dyDescent="0.3">
      <c r="C64" s="10" t="str">
        <f>DASHBOARD!C208</f>
        <v>Repairs &amp; Maintenance</v>
      </c>
      <c r="D64" s="682">
        <f>DASHBOARD!K208</f>
        <v>0</v>
      </c>
      <c r="E64" s="682">
        <f>DASHBOARD!O208</f>
        <v>0</v>
      </c>
      <c r="F64" s="682">
        <f>DASHBOARD!S208</f>
        <v>0</v>
      </c>
      <c r="G64" s="682">
        <f>DASHBOARD!W208</f>
        <v>0</v>
      </c>
      <c r="H64" s="682">
        <f>DASHBOARD!AA208</f>
        <v>0</v>
      </c>
      <c r="I64" s="682">
        <f>DASHBOARD!AE208</f>
        <v>0</v>
      </c>
      <c r="J64" s="682">
        <f>DASHBOARD!AI208</f>
        <v>0</v>
      </c>
      <c r="K64" s="682">
        <f>DASHBOARD!AM208</f>
        <v>0</v>
      </c>
      <c r="L64" s="682">
        <f>DASHBOARD!AQ208</f>
        <v>0</v>
      </c>
      <c r="M64" s="682">
        <f>DASHBOARD!AU208</f>
        <v>0</v>
      </c>
      <c r="N64" s="682">
        <f>DASHBOARD!AY208</f>
        <v>0</v>
      </c>
      <c r="O64" s="682">
        <f>DASHBOARD!BC208</f>
        <v>0</v>
      </c>
      <c r="P64" s="10"/>
      <c r="Q64" s="689">
        <f t="shared" si="4"/>
        <v>0</v>
      </c>
      <c r="R64" s="689">
        <f t="shared" si="5"/>
        <v>0</v>
      </c>
      <c r="S64" s="10"/>
      <c r="T64" s="10"/>
    </row>
    <row r="65" spans="3:20" x14ac:dyDescent="0.3">
      <c r="C65" s="10" t="str">
        <f>DASHBOARD!C209</f>
        <v xml:space="preserve">Property Management </v>
      </c>
      <c r="D65" s="682">
        <f>DASHBOARD!K209</f>
        <v>0</v>
      </c>
      <c r="E65" s="682">
        <f>DASHBOARD!O209</f>
        <v>0</v>
      </c>
      <c r="F65" s="682">
        <f>DASHBOARD!S209</f>
        <v>0</v>
      </c>
      <c r="G65" s="682">
        <f>DASHBOARD!W209</f>
        <v>0</v>
      </c>
      <c r="H65" s="682">
        <f>DASHBOARD!AA209</f>
        <v>0</v>
      </c>
      <c r="I65" s="682">
        <f>DASHBOARD!AE209</f>
        <v>0</v>
      </c>
      <c r="J65" s="682">
        <f>DASHBOARD!AI209</f>
        <v>0</v>
      </c>
      <c r="K65" s="682">
        <f>DASHBOARD!AM209</f>
        <v>0</v>
      </c>
      <c r="L65" s="682">
        <f>DASHBOARD!AQ209</f>
        <v>0</v>
      </c>
      <c r="M65" s="682">
        <f>DASHBOARD!AU209</f>
        <v>0</v>
      </c>
      <c r="N65" s="682">
        <f>DASHBOARD!AY209</f>
        <v>0</v>
      </c>
      <c r="O65" s="682">
        <f>DASHBOARD!BC209</f>
        <v>0</v>
      </c>
      <c r="P65" s="10"/>
      <c r="Q65" s="689">
        <f t="shared" si="4"/>
        <v>0</v>
      </c>
      <c r="R65" s="689">
        <f t="shared" si="5"/>
        <v>0</v>
      </c>
      <c r="S65" s="10"/>
      <c r="T65" s="10"/>
    </row>
    <row r="66" spans="3:20" x14ac:dyDescent="0.3">
      <c r="C66" s="10" t="str">
        <f>DASHBOARD!C210</f>
        <v>Vacancy Insurance</v>
      </c>
      <c r="D66" s="682">
        <f>DASHBOARD!K210</f>
        <v>0</v>
      </c>
      <c r="E66" s="682">
        <f>DASHBOARD!O210</f>
        <v>0</v>
      </c>
      <c r="F66" s="682">
        <f>DASHBOARD!S210</f>
        <v>0</v>
      </c>
      <c r="G66" s="682">
        <f>DASHBOARD!W210</f>
        <v>0</v>
      </c>
      <c r="H66" s="682">
        <f>DASHBOARD!AA210</f>
        <v>0</v>
      </c>
      <c r="I66" s="682">
        <f>DASHBOARD!AE210</f>
        <v>0</v>
      </c>
      <c r="J66" s="682">
        <f>DASHBOARD!AI210</f>
        <v>0</v>
      </c>
      <c r="K66" s="682">
        <f>DASHBOARD!AM210</f>
        <v>0</v>
      </c>
      <c r="L66" s="682">
        <f>DASHBOARD!AQ210</f>
        <v>0</v>
      </c>
      <c r="M66" s="682">
        <f>DASHBOARD!AU210</f>
        <v>0</v>
      </c>
      <c r="N66" s="682">
        <f>DASHBOARD!AY210</f>
        <v>0</v>
      </c>
      <c r="O66" s="682">
        <f>DASHBOARD!BC210</f>
        <v>0</v>
      </c>
      <c r="P66" s="10"/>
      <c r="Q66" s="689">
        <f t="shared" si="4"/>
        <v>0</v>
      </c>
      <c r="R66" s="689">
        <f t="shared" si="5"/>
        <v>0</v>
      </c>
      <c r="S66" s="10"/>
      <c r="T66" s="10"/>
    </row>
    <row r="67" spans="3:20" x14ac:dyDescent="0.3">
      <c r="C67" s="10" t="str">
        <f>DASHBOARD!C211</f>
        <v>Rent Insurance</v>
      </c>
      <c r="D67" s="682">
        <f>DASHBOARD!K211</f>
        <v>0</v>
      </c>
      <c r="E67" s="682">
        <f>DASHBOARD!O211</f>
        <v>0</v>
      </c>
      <c r="F67" s="682">
        <f>DASHBOARD!S211</f>
        <v>0</v>
      </c>
      <c r="G67" s="682">
        <f>DASHBOARD!W211</f>
        <v>0</v>
      </c>
      <c r="H67" s="682">
        <f>DASHBOARD!AA211</f>
        <v>0</v>
      </c>
      <c r="I67" s="682">
        <f>DASHBOARD!AE211</f>
        <v>0</v>
      </c>
      <c r="J67" s="682">
        <f>DASHBOARD!AI211</f>
        <v>0</v>
      </c>
      <c r="K67" s="682">
        <f>DASHBOARD!AM211</f>
        <v>0</v>
      </c>
      <c r="L67" s="682">
        <f>DASHBOARD!AQ211</f>
        <v>0</v>
      </c>
      <c r="M67" s="682">
        <f>DASHBOARD!AU211</f>
        <v>0</v>
      </c>
      <c r="N67" s="682">
        <f>DASHBOARD!AY211</f>
        <v>0</v>
      </c>
      <c r="O67" s="682">
        <f>DASHBOARD!BC211</f>
        <v>0</v>
      </c>
      <c r="P67" s="10"/>
      <c r="Q67" s="689">
        <f t="shared" si="4"/>
        <v>0</v>
      </c>
      <c r="R67" s="689">
        <f t="shared" si="5"/>
        <v>0</v>
      </c>
      <c r="S67" s="10"/>
      <c r="T67" s="10"/>
    </row>
    <row r="68" spans="3:20" x14ac:dyDescent="0.3">
      <c r="C68" s="10" t="str">
        <f>DASHBOARD!C212</f>
        <v>Legal</v>
      </c>
      <c r="D68" s="682">
        <f>DASHBOARD!K212</f>
        <v>0</v>
      </c>
      <c r="E68" s="682">
        <f>DASHBOARD!O212</f>
        <v>0</v>
      </c>
      <c r="F68" s="682">
        <f>DASHBOARD!S212</f>
        <v>0</v>
      </c>
      <c r="G68" s="682">
        <f>DASHBOARD!W212</f>
        <v>0</v>
      </c>
      <c r="H68" s="682">
        <f>DASHBOARD!AA212</f>
        <v>0</v>
      </c>
      <c r="I68" s="682">
        <f>DASHBOARD!AE212</f>
        <v>0</v>
      </c>
      <c r="J68" s="682">
        <f>DASHBOARD!AI212</f>
        <v>0</v>
      </c>
      <c r="K68" s="682">
        <f>DASHBOARD!AM212</f>
        <v>0</v>
      </c>
      <c r="L68" s="682">
        <f>DASHBOARD!AQ212</f>
        <v>0</v>
      </c>
      <c r="M68" s="682">
        <f>DASHBOARD!AU212</f>
        <v>0</v>
      </c>
      <c r="N68" s="682">
        <f>DASHBOARD!AY212</f>
        <v>0</v>
      </c>
      <c r="O68" s="682">
        <f>DASHBOARD!BC212</f>
        <v>0</v>
      </c>
      <c r="P68" s="10"/>
      <c r="Q68" s="689">
        <f t="shared" si="4"/>
        <v>0</v>
      </c>
      <c r="R68" s="689">
        <f t="shared" si="5"/>
        <v>0</v>
      </c>
      <c r="S68" s="10"/>
      <c r="T68" s="10"/>
    </row>
    <row r="69" spans="3:20" x14ac:dyDescent="0.3">
      <c r="C69" s="10" t="str">
        <f>DASHBOARD!C213</f>
        <v>Advertising</v>
      </c>
      <c r="D69" s="682">
        <f>DASHBOARD!K213</f>
        <v>0</v>
      </c>
      <c r="E69" s="682">
        <f>DASHBOARD!O213</f>
        <v>0</v>
      </c>
      <c r="F69" s="682">
        <f>DASHBOARD!S213</f>
        <v>0</v>
      </c>
      <c r="G69" s="682">
        <f>DASHBOARD!W213</f>
        <v>0</v>
      </c>
      <c r="H69" s="682">
        <f>DASHBOARD!AA213</f>
        <v>0</v>
      </c>
      <c r="I69" s="682">
        <f>DASHBOARD!AE213</f>
        <v>0</v>
      </c>
      <c r="J69" s="682">
        <f>DASHBOARD!AI213</f>
        <v>0</v>
      </c>
      <c r="K69" s="682">
        <f>DASHBOARD!AM213</f>
        <v>0</v>
      </c>
      <c r="L69" s="682">
        <f>DASHBOARD!AQ213</f>
        <v>0</v>
      </c>
      <c r="M69" s="682">
        <f>DASHBOARD!AU213</f>
        <v>0</v>
      </c>
      <c r="N69" s="682">
        <f>DASHBOARD!AY213</f>
        <v>0</v>
      </c>
      <c r="O69" s="682">
        <f>DASHBOARD!BC213</f>
        <v>0</v>
      </c>
      <c r="P69" s="10"/>
      <c r="Q69" s="689">
        <f t="shared" si="4"/>
        <v>0</v>
      </c>
      <c r="R69" s="689">
        <f t="shared" si="5"/>
        <v>0</v>
      </c>
      <c r="S69" s="10"/>
      <c r="T69" s="10"/>
    </row>
    <row r="70" spans="3:20" x14ac:dyDescent="0.3">
      <c r="C70" s="10" t="str">
        <f>DASHBOARD!C214</f>
        <v>Other Cost 1</v>
      </c>
      <c r="D70" s="682">
        <f>DASHBOARD!K214</f>
        <v>0</v>
      </c>
      <c r="E70" s="682">
        <f>DASHBOARD!O214</f>
        <v>0</v>
      </c>
      <c r="F70" s="682">
        <f>DASHBOARD!S214</f>
        <v>0</v>
      </c>
      <c r="G70" s="682">
        <f>DASHBOARD!W214</f>
        <v>0</v>
      </c>
      <c r="H70" s="682">
        <f>DASHBOARD!AA214</f>
        <v>0</v>
      </c>
      <c r="I70" s="682">
        <f>DASHBOARD!AE214</f>
        <v>0</v>
      </c>
      <c r="J70" s="682">
        <f>DASHBOARD!AI214</f>
        <v>0</v>
      </c>
      <c r="K70" s="682">
        <f>DASHBOARD!AM214</f>
        <v>0</v>
      </c>
      <c r="L70" s="682">
        <f>DASHBOARD!AQ214</f>
        <v>0</v>
      </c>
      <c r="M70" s="682">
        <f>DASHBOARD!AU214</f>
        <v>0</v>
      </c>
      <c r="N70" s="682">
        <f>DASHBOARD!AY214</f>
        <v>0</v>
      </c>
      <c r="O70" s="682">
        <f>DASHBOARD!BC214</f>
        <v>0</v>
      </c>
      <c r="P70" s="10"/>
      <c r="Q70" s="689">
        <f t="shared" si="4"/>
        <v>0</v>
      </c>
      <c r="R70" s="689">
        <f t="shared" si="5"/>
        <v>0</v>
      </c>
      <c r="S70" s="10"/>
      <c r="T70" s="10"/>
    </row>
    <row r="71" spans="3:20" x14ac:dyDescent="0.3">
      <c r="C71" s="10" t="str">
        <f>DASHBOARD!C215</f>
        <v>Other Cost 2</v>
      </c>
      <c r="D71" s="682">
        <f>DASHBOARD!K215</f>
        <v>0</v>
      </c>
      <c r="E71" s="682">
        <f>DASHBOARD!O215</f>
        <v>0</v>
      </c>
      <c r="F71" s="682">
        <f>DASHBOARD!S215</f>
        <v>0</v>
      </c>
      <c r="G71" s="682">
        <f>DASHBOARD!W215</f>
        <v>0</v>
      </c>
      <c r="H71" s="682">
        <f>DASHBOARD!AA215</f>
        <v>0</v>
      </c>
      <c r="I71" s="682">
        <f>DASHBOARD!AE215</f>
        <v>0</v>
      </c>
      <c r="J71" s="682">
        <f>DASHBOARD!AI215</f>
        <v>0</v>
      </c>
      <c r="K71" s="682">
        <f>DASHBOARD!AM215</f>
        <v>0</v>
      </c>
      <c r="L71" s="682">
        <f>DASHBOARD!AQ215</f>
        <v>0</v>
      </c>
      <c r="M71" s="682">
        <f>DASHBOARD!AU215</f>
        <v>0</v>
      </c>
      <c r="N71" s="682">
        <f>DASHBOARD!AY215</f>
        <v>0</v>
      </c>
      <c r="O71" s="682">
        <f>DASHBOARD!BC215</f>
        <v>0</v>
      </c>
      <c r="P71" s="10"/>
      <c r="Q71" s="689">
        <f t="shared" si="4"/>
        <v>0</v>
      </c>
      <c r="R71" s="689">
        <f t="shared" si="5"/>
        <v>0</v>
      </c>
      <c r="S71" s="10"/>
      <c r="T71" s="10"/>
    </row>
    <row r="72" spans="3:20" x14ac:dyDescent="0.3">
      <c r="C72" s="10" t="str">
        <f>DASHBOARD!C216</f>
        <v>Miscellaneous (Variable)</v>
      </c>
      <c r="D72" s="682">
        <f>DASHBOARD!K216</f>
        <v>0</v>
      </c>
      <c r="E72" s="682">
        <f>DASHBOARD!O216</f>
        <v>0</v>
      </c>
      <c r="F72" s="682">
        <f>DASHBOARD!S216</f>
        <v>0</v>
      </c>
      <c r="G72" s="682">
        <f>DASHBOARD!W216</f>
        <v>0</v>
      </c>
      <c r="H72" s="682">
        <f>DASHBOARD!AA216</f>
        <v>0</v>
      </c>
      <c r="I72" s="682">
        <f>DASHBOARD!AE216</f>
        <v>0</v>
      </c>
      <c r="J72" s="682">
        <f>DASHBOARD!AI216</f>
        <v>0</v>
      </c>
      <c r="K72" s="682">
        <f>DASHBOARD!AM216</f>
        <v>0</v>
      </c>
      <c r="L72" s="682">
        <f>DASHBOARD!AQ216</f>
        <v>0</v>
      </c>
      <c r="M72" s="682">
        <f>DASHBOARD!AU216</f>
        <v>0</v>
      </c>
      <c r="N72" s="682">
        <f>DASHBOARD!AY216</f>
        <v>0</v>
      </c>
      <c r="O72" s="682">
        <f>DASHBOARD!BC216</f>
        <v>0</v>
      </c>
      <c r="P72" s="10"/>
      <c r="Q72" s="689">
        <f t="shared" si="4"/>
        <v>0</v>
      </c>
      <c r="R72" s="689">
        <f t="shared" si="5"/>
        <v>0</v>
      </c>
      <c r="S72" s="10"/>
      <c r="T72" s="10"/>
    </row>
    <row r="73" spans="3:20" s="12" customFormat="1" x14ac:dyDescent="0.3">
      <c r="C73" s="683" t="str">
        <f>DASHBOARD!C217</f>
        <v>Total Operating Expenses</v>
      </c>
      <c r="D73" s="684">
        <f>DASHBOARD!K217</f>
        <v>0</v>
      </c>
      <c r="E73" s="684">
        <f>DASHBOARD!O217</f>
        <v>0</v>
      </c>
      <c r="F73" s="684">
        <f>DASHBOARD!S217</f>
        <v>0</v>
      </c>
      <c r="G73" s="684">
        <f>DASHBOARD!W217</f>
        <v>0</v>
      </c>
      <c r="H73" s="684">
        <f>DASHBOARD!AA217</f>
        <v>0</v>
      </c>
      <c r="I73" s="684">
        <f>DASHBOARD!AE217</f>
        <v>0</v>
      </c>
      <c r="J73" s="684">
        <f>DASHBOARD!AI217</f>
        <v>0</v>
      </c>
      <c r="K73" s="684">
        <f>DASHBOARD!AM217</f>
        <v>0</v>
      </c>
      <c r="L73" s="684">
        <f>DASHBOARD!AQ217</f>
        <v>0</v>
      </c>
      <c r="M73" s="684">
        <f>DASHBOARD!AU217</f>
        <v>0</v>
      </c>
      <c r="N73" s="684">
        <f>DASHBOARD!AY217</f>
        <v>0</v>
      </c>
      <c r="O73" s="684">
        <f>DASHBOARD!BC217</f>
        <v>0</v>
      </c>
      <c r="P73" s="683"/>
      <c r="Q73" s="694">
        <f>SUM(Q55:Q72)</f>
        <v>0</v>
      </c>
      <c r="R73" s="694">
        <f>SUM(R55:R72)</f>
        <v>0</v>
      </c>
      <c r="S73" s="683"/>
      <c r="T73" s="683"/>
    </row>
    <row r="74" spans="3:20" x14ac:dyDescent="0.3">
      <c r="C74" s="10" t="str">
        <f>DASHBOARD!C218</f>
        <v>% Gross Rental Income</v>
      </c>
      <c r="D74" s="685">
        <f>DASHBOARD!K218</f>
        <v>0</v>
      </c>
      <c r="E74" s="685">
        <f>DASHBOARD!O218</f>
        <v>0</v>
      </c>
      <c r="F74" s="685">
        <f>DASHBOARD!S218</f>
        <v>0</v>
      </c>
      <c r="G74" s="685">
        <f>DASHBOARD!W218</f>
        <v>0</v>
      </c>
      <c r="H74" s="685">
        <f>DASHBOARD!AA218</f>
        <v>0</v>
      </c>
      <c r="I74" s="685">
        <f>DASHBOARD!AE218</f>
        <v>0</v>
      </c>
      <c r="J74" s="685">
        <f>DASHBOARD!AI218</f>
        <v>0</v>
      </c>
      <c r="K74" s="685">
        <f>DASHBOARD!AM218</f>
        <v>0</v>
      </c>
      <c r="L74" s="685">
        <f>DASHBOARD!AQ218</f>
        <v>0</v>
      </c>
      <c r="M74" s="685">
        <f>DASHBOARD!AU218</f>
        <v>0</v>
      </c>
      <c r="N74" s="685">
        <f>DASHBOARD!AY218</f>
        <v>0</v>
      </c>
      <c r="O74" s="685">
        <f>DASHBOARD!BC218</f>
        <v>0</v>
      </c>
      <c r="P74" s="10"/>
      <c r="Q74" s="690"/>
      <c r="R74" s="690"/>
      <c r="S74" s="10"/>
      <c r="T74" s="10"/>
    </row>
    <row r="75" spans="3:20" x14ac:dyDescent="0.3">
      <c r="C75" s="10"/>
      <c r="D75" s="682"/>
      <c r="E75" s="682"/>
      <c r="F75" s="682"/>
      <c r="G75" s="682"/>
      <c r="H75" s="682"/>
      <c r="I75" s="682"/>
      <c r="J75" s="682"/>
      <c r="K75" s="682"/>
      <c r="L75" s="682"/>
      <c r="M75" s="682"/>
      <c r="N75" s="682"/>
      <c r="O75" s="682"/>
      <c r="P75" s="10"/>
      <c r="Q75" s="690"/>
      <c r="R75" s="690"/>
      <c r="S75" s="10"/>
      <c r="T75" s="10"/>
    </row>
    <row r="76" spans="3:20" s="12" customFormat="1" x14ac:dyDescent="0.3">
      <c r="C76" s="683" t="str">
        <f>DASHBOARD!C220</f>
        <v>Net Operating Income</v>
      </c>
      <c r="D76" s="684">
        <f>DASHBOARD!K220</f>
        <v>0</v>
      </c>
      <c r="E76" s="684">
        <f>DASHBOARD!O220</f>
        <v>0</v>
      </c>
      <c r="F76" s="684">
        <f>DASHBOARD!S220</f>
        <v>0</v>
      </c>
      <c r="G76" s="684">
        <f>DASHBOARD!W220</f>
        <v>0</v>
      </c>
      <c r="H76" s="684">
        <f>DASHBOARD!AA220</f>
        <v>0</v>
      </c>
      <c r="I76" s="684">
        <f>DASHBOARD!AE220</f>
        <v>0</v>
      </c>
      <c r="J76" s="684">
        <f>DASHBOARD!AI220</f>
        <v>0</v>
      </c>
      <c r="K76" s="684">
        <f>DASHBOARD!AM220</f>
        <v>0</v>
      </c>
      <c r="L76" s="684">
        <f>DASHBOARD!AQ220</f>
        <v>0</v>
      </c>
      <c r="M76" s="684">
        <f>DASHBOARD!AU220</f>
        <v>0</v>
      </c>
      <c r="N76" s="684">
        <f>DASHBOARD!AY220</f>
        <v>0</v>
      </c>
      <c r="O76" s="684">
        <f>DASHBOARD!BC220</f>
        <v>0</v>
      </c>
      <c r="P76" s="683"/>
      <c r="Q76" s="694">
        <f>Q53+Q73</f>
        <v>0</v>
      </c>
      <c r="R76" s="694">
        <f>R53+R73</f>
        <v>0</v>
      </c>
      <c r="S76" s="683"/>
      <c r="T76" s="683"/>
    </row>
    <row r="77" spans="3:20" x14ac:dyDescent="0.3">
      <c r="C77" s="10" t="str">
        <f>DASHBOARD!C221</f>
        <v>% Gross Rental Income</v>
      </c>
      <c r="D77" s="685">
        <f>DASHBOARD!K221</f>
        <v>0</v>
      </c>
      <c r="E77" s="685">
        <f>DASHBOARD!O221</f>
        <v>0</v>
      </c>
      <c r="F77" s="685">
        <f>DASHBOARD!S221</f>
        <v>0</v>
      </c>
      <c r="G77" s="685">
        <f>DASHBOARD!W221</f>
        <v>0</v>
      </c>
      <c r="H77" s="685">
        <f>DASHBOARD!AA221</f>
        <v>0</v>
      </c>
      <c r="I77" s="685">
        <f>DASHBOARD!AE221</f>
        <v>0</v>
      </c>
      <c r="J77" s="685">
        <f>DASHBOARD!AI221</f>
        <v>0</v>
      </c>
      <c r="K77" s="685">
        <f>DASHBOARD!AM221</f>
        <v>0</v>
      </c>
      <c r="L77" s="685">
        <f>DASHBOARD!AQ221</f>
        <v>0</v>
      </c>
      <c r="M77" s="685">
        <f>DASHBOARD!AU221</f>
        <v>0</v>
      </c>
      <c r="N77" s="685">
        <f>DASHBOARD!AY221</f>
        <v>0</v>
      </c>
      <c r="O77" s="685">
        <f>DASHBOARD!BC221</f>
        <v>0</v>
      </c>
      <c r="P77" s="10"/>
      <c r="Q77" s="695" t="e">
        <f>Q76/Q48</f>
        <v>#DIV/0!</v>
      </c>
      <c r="R77" s="695" t="e">
        <f>R76/R48</f>
        <v>#DIV/0!</v>
      </c>
      <c r="S77" s="10"/>
      <c r="T77" s="10"/>
    </row>
    <row r="78" spans="3:20" x14ac:dyDescent="0.3">
      <c r="C78" s="10"/>
      <c r="D78" s="682"/>
      <c r="E78" s="682"/>
      <c r="F78" s="682"/>
      <c r="G78" s="682"/>
      <c r="H78" s="682"/>
      <c r="I78" s="682"/>
      <c r="J78" s="682"/>
      <c r="K78" s="682"/>
      <c r="L78" s="682"/>
      <c r="M78" s="682"/>
      <c r="N78" s="682"/>
      <c r="O78" s="682"/>
      <c r="P78" s="10"/>
      <c r="Q78" s="690"/>
      <c r="R78" s="690"/>
      <c r="S78" s="10"/>
      <c r="T78" s="10"/>
    </row>
    <row r="79" spans="3:20" x14ac:dyDescent="0.3">
      <c r="C79" s="10" t="str">
        <f>DASHBOARD!C223</f>
        <v>CAPEX</v>
      </c>
      <c r="D79" s="682">
        <f>DASHBOARD!K223</f>
        <v>0</v>
      </c>
      <c r="E79" s="682">
        <f>DASHBOARD!O223</f>
        <v>0</v>
      </c>
      <c r="F79" s="682">
        <f>DASHBOARD!S223</f>
        <v>0</v>
      </c>
      <c r="G79" s="682">
        <f>DASHBOARD!W223</f>
        <v>0</v>
      </c>
      <c r="H79" s="682">
        <f>DASHBOARD!AA223</f>
        <v>0</v>
      </c>
      <c r="I79" s="682">
        <f>DASHBOARD!AE223</f>
        <v>0</v>
      </c>
      <c r="J79" s="682">
        <f>DASHBOARD!AI223</f>
        <v>0</v>
      </c>
      <c r="K79" s="682">
        <f>DASHBOARD!AM223</f>
        <v>0</v>
      </c>
      <c r="L79" s="682">
        <f>DASHBOARD!AQ223</f>
        <v>0</v>
      </c>
      <c r="M79" s="682">
        <f>DASHBOARD!AU223</f>
        <v>0</v>
      </c>
      <c r="N79" s="682">
        <f>DASHBOARD!AY223</f>
        <v>0</v>
      </c>
      <c r="O79" s="682">
        <f>DASHBOARD!BC223</f>
        <v>0</v>
      </c>
      <c r="P79" s="10"/>
      <c r="Q79" s="689">
        <f>SUMPRODUCT($D$40:$O$40,D79:O79)</f>
        <v>0</v>
      </c>
      <c r="R79" s="689">
        <f>SUM(D79:O79)</f>
        <v>0</v>
      </c>
      <c r="S79" s="10"/>
      <c r="T79" s="10"/>
    </row>
    <row r="80" spans="3:20" x14ac:dyDescent="0.3">
      <c r="C80" s="10" t="str">
        <f>DASHBOARD!C224</f>
        <v>Principal &amp; Interest</v>
      </c>
      <c r="D80" s="682">
        <f>DASHBOARD!K224</f>
        <v>-1090.7326605107758</v>
      </c>
      <c r="E80" s="682">
        <f>DASHBOARD!O224</f>
        <v>-1090.7326605107758</v>
      </c>
      <c r="F80" s="682">
        <f>DASHBOARD!S224</f>
        <v>-1090.7326605107758</v>
      </c>
      <c r="G80" s="682">
        <f>DASHBOARD!W224</f>
        <v>-1090.7326605107758</v>
      </c>
      <c r="H80" s="682">
        <f>DASHBOARD!AA224</f>
        <v>-1090.7326605107758</v>
      </c>
      <c r="I80" s="682">
        <f>DASHBOARD!AE224</f>
        <v>-1090.7326605107758</v>
      </c>
      <c r="J80" s="682">
        <f>DASHBOARD!AI224</f>
        <v>-1090.7326605107758</v>
      </c>
      <c r="K80" s="682">
        <f>DASHBOARD!AM224</f>
        <v>-1090.7326605107758</v>
      </c>
      <c r="L80" s="682">
        <f>DASHBOARD!AQ224</f>
        <v>-1090.7326605107758</v>
      </c>
      <c r="M80" s="682">
        <f>DASHBOARD!AU224</f>
        <v>-1090.7326605107758</v>
      </c>
      <c r="N80" s="682">
        <f>DASHBOARD!AY224</f>
        <v>-1090.7326605107758</v>
      </c>
      <c r="O80" s="682">
        <f>DASHBOARD!BC224</f>
        <v>-1090.7326605107758</v>
      </c>
      <c r="P80" s="10"/>
      <c r="Q80" s="689"/>
      <c r="R80" s="689"/>
      <c r="S80" s="10"/>
      <c r="T80" s="10"/>
    </row>
    <row r="81" spans="3:30" x14ac:dyDescent="0.3">
      <c r="C81" s="10"/>
      <c r="D81" s="682"/>
      <c r="E81" s="682"/>
      <c r="F81" s="682"/>
      <c r="G81" s="682"/>
      <c r="H81" s="682"/>
      <c r="I81" s="682"/>
      <c r="J81" s="682"/>
      <c r="K81" s="682"/>
      <c r="L81" s="682"/>
      <c r="M81" s="682"/>
      <c r="N81" s="682"/>
      <c r="O81" s="682"/>
      <c r="P81" s="10"/>
      <c r="Q81" s="690"/>
      <c r="R81" s="690"/>
      <c r="S81" s="10"/>
      <c r="T81" s="10"/>
    </row>
    <row r="82" spans="3:30" s="12" customFormat="1" x14ac:dyDescent="0.3">
      <c r="C82" s="683" t="str">
        <f>DASHBOARD!C226</f>
        <v>Cash Flow</v>
      </c>
      <c r="D82" s="684">
        <f>DASHBOARD!K226</f>
        <v>-1090.7326605107758</v>
      </c>
      <c r="E82" s="684">
        <f>DASHBOARD!O226</f>
        <v>-1090.7326605107758</v>
      </c>
      <c r="F82" s="684">
        <f>DASHBOARD!S226</f>
        <v>-1090.7326605107758</v>
      </c>
      <c r="G82" s="684">
        <f>DASHBOARD!W226</f>
        <v>-1090.7326605107758</v>
      </c>
      <c r="H82" s="684">
        <f>DASHBOARD!AA226</f>
        <v>-1090.7326605107758</v>
      </c>
      <c r="I82" s="684">
        <f>DASHBOARD!AE226</f>
        <v>-1090.7326605107758</v>
      </c>
      <c r="J82" s="684">
        <f>DASHBOARD!AI226</f>
        <v>-1090.7326605107758</v>
      </c>
      <c r="K82" s="684">
        <f>DASHBOARD!AM226</f>
        <v>-1090.7326605107758</v>
      </c>
      <c r="L82" s="684">
        <f>DASHBOARD!AQ226</f>
        <v>-1090.7326605107758</v>
      </c>
      <c r="M82" s="684">
        <f>DASHBOARD!AU226</f>
        <v>-1090.7326605107758</v>
      </c>
      <c r="N82" s="684">
        <f>DASHBOARD!AY226</f>
        <v>-1090.7326605107758</v>
      </c>
      <c r="O82" s="684">
        <f>DASHBOARD!BC226</f>
        <v>-1090.7326605107758</v>
      </c>
      <c r="P82" s="683"/>
      <c r="Q82" s="691"/>
      <c r="R82" s="691"/>
      <c r="S82" s="683"/>
      <c r="T82" s="683"/>
    </row>
    <row r="83" spans="3:30" x14ac:dyDescent="0.3">
      <c r="C83" s="10" t="str">
        <f>DASHBOARD!C227</f>
        <v>% Gross Rental Income</v>
      </c>
      <c r="D83" s="685">
        <f>DASHBOARD!K227</f>
        <v>0</v>
      </c>
      <c r="E83" s="685">
        <f>DASHBOARD!O227</f>
        <v>0</v>
      </c>
      <c r="F83" s="685">
        <f>DASHBOARD!S227</f>
        <v>0</v>
      </c>
      <c r="G83" s="685">
        <f>DASHBOARD!W227</f>
        <v>0</v>
      </c>
      <c r="H83" s="685">
        <f>DASHBOARD!AA227</f>
        <v>0</v>
      </c>
      <c r="I83" s="685">
        <f>DASHBOARD!AE227</f>
        <v>0</v>
      </c>
      <c r="J83" s="685">
        <f>DASHBOARD!AI227</f>
        <v>0</v>
      </c>
      <c r="K83" s="685">
        <f>DASHBOARD!AM227</f>
        <v>0</v>
      </c>
      <c r="L83" s="685">
        <f>DASHBOARD!AQ227</f>
        <v>0</v>
      </c>
      <c r="M83" s="685">
        <f>DASHBOARD!AU227</f>
        <v>0</v>
      </c>
      <c r="N83" s="685">
        <f>DASHBOARD!AY227</f>
        <v>0</v>
      </c>
      <c r="O83" s="685">
        <f>DASHBOARD!BC227</f>
        <v>0</v>
      </c>
      <c r="P83" s="10"/>
      <c r="Q83" s="690"/>
      <c r="R83" s="690"/>
      <c r="S83" s="10"/>
      <c r="T83" s="10"/>
    </row>
    <row r="84" spans="3:30" x14ac:dyDescent="0.3">
      <c r="C84" s="10"/>
      <c r="D84" s="10"/>
      <c r="E84" s="10"/>
      <c r="F84" s="10"/>
      <c r="G84" s="10"/>
      <c r="H84" s="10"/>
      <c r="I84" s="10"/>
      <c r="J84" s="10"/>
      <c r="K84" s="10"/>
      <c r="L84" s="10"/>
      <c r="M84" s="10"/>
      <c r="N84" s="10"/>
      <c r="O84" s="10"/>
      <c r="P84" s="10"/>
      <c r="Q84" s="10"/>
      <c r="R84" s="10"/>
      <c r="S84" s="10"/>
      <c r="T84" s="10"/>
    </row>
    <row r="85" spans="3:30" x14ac:dyDescent="0.3">
      <c r="Q85" s="10"/>
      <c r="R85" s="10"/>
      <c r="S85" s="10"/>
      <c r="T85" s="10"/>
      <c r="U85" s="10"/>
      <c r="V85" s="10"/>
      <c r="W85" s="10"/>
      <c r="X85" s="10"/>
      <c r="Y85" s="10"/>
      <c r="Z85" s="10"/>
      <c r="AA85" s="10"/>
      <c r="AB85" s="10"/>
      <c r="AC85" s="10"/>
      <c r="AD85" s="10"/>
    </row>
    <row r="86" spans="3:30" x14ac:dyDescent="0.3">
      <c r="Q86" s="10"/>
      <c r="R86" s="10"/>
      <c r="S86" s="10"/>
      <c r="T86" s="10"/>
      <c r="U86" s="10"/>
      <c r="V86" s="10"/>
      <c r="W86" s="10"/>
      <c r="X86" s="10"/>
      <c r="Y86" s="10"/>
      <c r="Z86" s="10"/>
      <c r="AA86" s="10"/>
      <c r="AB86" s="10"/>
      <c r="AC86" s="10"/>
      <c r="AD86" s="10"/>
    </row>
    <row r="87" spans="3:30" x14ac:dyDescent="0.3">
      <c r="D87" s="1432" t="s">
        <v>1057</v>
      </c>
      <c r="E87" s="1432"/>
      <c r="F87" s="116" t="s">
        <v>986</v>
      </c>
      <c r="G87" s="116"/>
      <c r="H87" s="10"/>
      <c r="I87" s="10"/>
      <c r="J87" s="10"/>
      <c r="K87" s="10"/>
      <c r="L87" s="10"/>
      <c r="M87" s="10"/>
      <c r="N87" s="1455" t="s">
        <v>1058</v>
      </c>
      <c r="O87" s="1432"/>
      <c r="Q87" s="10"/>
      <c r="R87" s="681">
        <f t="shared" ref="R87:AC87" si="6">DATE($N$89,R89,1)</f>
        <v>1</v>
      </c>
      <c r="S87" s="681">
        <f t="shared" si="6"/>
        <v>32</v>
      </c>
      <c r="T87" s="681">
        <f t="shared" si="6"/>
        <v>61</v>
      </c>
      <c r="U87" s="681">
        <f t="shared" si="6"/>
        <v>92</v>
      </c>
      <c r="V87" s="681">
        <f t="shared" si="6"/>
        <v>122</v>
      </c>
      <c r="W87" s="681">
        <f t="shared" si="6"/>
        <v>153</v>
      </c>
      <c r="X87" s="681">
        <f t="shared" si="6"/>
        <v>183</v>
      </c>
      <c r="Y87" s="681">
        <f t="shared" si="6"/>
        <v>214</v>
      </c>
      <c r="Z87" s="681">
        <f t="shared" si="6"/>
        <v>245</v>
      </c>
      <c r="AA87" s="681">
        <f t="shared" si="6"/>
        <v>275</v>
      </c>
      <c r="AB87" s="681">
        <f t="shared" si="6"/>
        <v>306</v>
      </c>
      <c r="AC87" s="681">
        <f t="shared" si="6"/>
        <v>336</v>
      </c>
      <c r="AD87" s="10"/>
    </row>
    <row r="88" spans="3:30" x14ac:dyDescent="0.3">
      <c r="C88" s="10"/>
      <c r="D88" s="1425" t="s">
        <v>152</v>
      </c>
      <c r="E88" s="1440" t="s">
        <v>165</v>
      </c>
      <c r="F88" s="1425" t="s">
        <v>152</v>
      </c>
      <c r="G88" s="1440" t="s">
        <v>165</v>
      </c>
      <c r="H88" s="1441"/>
      <c r="I88" s="1425" t="s">
        <v>152</v>
      </c>
      <c r="J88" s="1441" t="s">
        <v>165</v>
      </c>
      <c r="K88" s="1425" t="s">
        <v>152</v>
      </c>
      <c r="L88" s="1441" t="s">
        <v>165</v>
      </c>
      <c r="M88" s="10"/>
      <c r="N88" s="1425" t="s">
        <v>152</v>
      </c>
      <c r="O88" s="1459" t="s">
        <v>165</v>
      </c>
      <c r="Q88" s="10"/>
      <c r="R88" s="681">
        <f>EOMONTH(R87,0)</f>
        <v>31</v>
      </c>
      <c r="S88" s="681">
        <f t="shared" ref="S88:AC88" si="7">EOMONTH(S87,0)</f>
        <v>59</v>
      </c>
      <c r="T88" s="681">
        <f t="shared" si="7"/>
        <v>91</v>
      </c>
      <c r="U88" s="681">
        <f t="shared" si="7"/>
        <v>121</v>
      </c>
      <c r="V88" s="681">
        <f t="shared" si="7"/>
        <v>152</v>
      </c>
      <c r="W88" s="681">
        <f t="shared" si="7"/>
        <v>182</v>
      </c>
      <c r="X88" s="681">
        <f t="shared" si="7"/>
        <v>213</v>
      </c>
      <c r="Y88" s="681">
        <f t="shared" si="7"/>
        <v>244</v>
      </c>
      <c r="Z88" s="681">
        <f t="shared" si="7"/>
        <v>274</v>
      </c>
      <c r="AA88" s="681">
        <f t="shared" si="7"/>
        <v>305</v>
      </c>
      <c r="AB88" s="681">
        <f t="shared" si="7"/>
        <v>335</v>
      </c>
      <c r="AC88" s="681">
        <f t="shared" si="7"/>
        <v>366</v>
      </c>
      <c r="AD88" s="10"/>
    </row>
    <row r="89" spans="3:30" x14ac:dyDescent="0.3">
      <c r="C89" s="10"/>
      <c r="D89" s="1426">
        <f>'MONTHLY (R)'!AS9</f>
        <v>0</v>
      </c>
      <c r="E89" s="884" t="e">
        <f>'MONTHLY (R)'!AT8</f>
        <v>#N/A</v>
      </c>
      <c r="F89" s="1426">
        <f>'MONTHLY (R)'!AS9</f>
        <v>0</v>
      </c>
      <c r="G89" s="884" t="e">
        <f>'MONTHLY (R)'!AT8</f>
        <v>#N/A</v>
      </c>
      <c r="H89" s="1428"/>
      <c r="I89" s="1426" t="e">
        <f>IF(G89=1,F89-1,F89)</f>
        <v>#N/A</v>
      </c>
      <c r="J89" s="1428" t="e">
        <f>IF(G89=1,12,G89-1)</f>
        <v>#N/A</v>
      </c>
      <c r="K89" s="1426">
        <f>F89-1</f>
        <v>-1</v>
      </c>
      <c r="L89" s="1428" t="e">
        <f>G89</f>
        <v>#N/A</v>
      </c>
      <c r="M89" s="10"/>
      <c r="N89" s="1426">
        <f>'VERSUS (R)'!AS9</f>
        <v>0</v>
      </c>
      <c r="O89" s="1460" t="e">
        <f>'VERSUS (R)'!AT8</f>
        <v>#N/A</v>
      </c>
      <c r="Q89" s="10"/>
      <c r="R89" s="1464">
        <v>1</v>
      </c>
      <c r="S89" s="1464">
        <f t="shared" ref="S89:AC89" si="8">R89+1</f>
        <v>2</v>
      </c>
      <c r="T89" s="1464">
        <f t="shared" si="8"/>
        <v>3</v>
      </c>
      <c r="U89" s="1464">
        <f t="shared" si="8"/>
        <v>4</v>
      </c>
      <c r="V89" s="1464">
        <f t="shared" si="8"/>
        <v>5</v>
      </c>
      <c r="W89" s="1464">
        <f t="shared" si="8"/>
        <v>6</v>
      </c>
      <c r="X89" s="1464">
        <f t="shared" si="8"/>
        <v>7</v>
      </c>
      <c r="Y89" s="1464">
        <f t="shared" si="8"/>
        <v>8</v>
      </c>
      <c r="Z89" s="1464">
        <f t="shared" si="8"/>
        <v>9</v>
      </c>
      <c r="AA89" s="1464">
        <f t="shared" si="8"/>
        <v>10</v>
      </c>
      <c r="AB89" s="1464">
        <f t="shared" si="8"/>
        <v>11</v>
      </c>
      <c r="AC89" s="1464">
        <f t="shared" si="8"/>
        <v>12</v>
      </c>
      <c r="AD89" s="10"/>
    </row>
    <row r="90" spans="3:30" x14ac:dyDescent="0.3">
      <c r="C90" s="10"/>
      <c r="D90" s="1445" t="e">
        <f>DATE(D89,E89,1)</f>
        <v>#N/A</v>
      </c>
      <c r="E90" s="1446" t="e">
        <f>EOMONTH(D90,0)</f>
        <v>#N/A</v>
      </c>
      <c r="F90" s="1445"/>
      <c r="G90" s="1446"/>
      <c r="H90" s="1442"/>
      <c r="I90" s="1445"/>
      <c r="J90" s="1442"/>
      <c r="K90" s="1445"/>
      <c r="L90" s="1442"/>
      <c r="N90" s="1445">
        <f>DATE(N89,1,1)</f>
        <v>1</v>
      </c>
      <c r="O90" s="1461" t="e">
        <f>EOMONTH(N90,O89-1)</f>
        <v>#N/A</v>
      </c>
      <c r="P90" s="10"/>
      <c r="Q90" s="10"/>
      <c r="R90" s="1465" t="s">
        <v>1028</v>
      </c>
      <c r="S90" s="1465" t="s">
        <v>1029</v>
      </c>
      <c r="T90" s="1465" t="s">
        <v>1030</v>
      </c>
      <c r="U90" s="1465" t="s">
        <v>1031</v>
      </c>
      <c r="V90" s="1465" t="s">
        <v>557</v>
      </c>
      <c r="W90" s="1465" t="s">
        <v>1032</v>
      </c>
      <c r="X90" s="1465" t="s">
        <v>1033</v>
      </c>
      <c r="Y90" s="1465" t="s">
        <v>1034</v>
      </c>
      <c r="Z90" s="1465" t="s">
        <v>1035</v>
      </c>
      <c r="AA90" s="1465" t="s">
        <v>1036</v>
      </c>
      <c r="AB90" s="1465" t="s">
        <v>1037</v>
      </c>
      <c r="AC90" s="1465" t="s">
        <v>1038</v>
      </c>
      <c r="AD90" s="10"/>
    </row>
    <row r="91" spans="3:30" x14ac:dyDescent="0.3">
      <c r="C91" s="683"/>
      <c r="D91" s="1427"/>
      <c r="E91" s="1428"/>
      <c r="F91" s="1427"/>
      <c r="G91" s="10"/>
      <c r="H91" s="1428"/>
      <c r="I91" s="1427"/>
      <c r="J91" s="1428"/>
      <c r="K91" s="1427"/>
      <c r="L91" s="1428"/>
      <c r="N91" s="1427"/>
      <c r="O91" s="1428"/>
      <c r="P91" s="10"/>
      <c r="Q91" s="10"/>
      <c r="R91" s="687"/>
      <c r="S91" s="687"/>
      <c r="T91" s="687"/>
      <c r="U91" s="687"/>
      <c r="V91" s="687"/>
      <c r="W91" s="687"/>
      <c r="X91" s="687"/>
      <c r="Y91" s="687"/>
      <c r="Z91" s="687"/>
      <c r="AA91" s="687"/>
      <c r="AB91" s="687"/>
      <c r="AC91" s="687"/>
      <c r="AD91" s="10"/>
    </row>
    <row r="92" spans="3:30" x14ac:dyDescent="0.3">
      <c r="C92" s="10" t="s">
        <v>1059</v>
      </c>
      <c r="D92" s="1427"/>
      <c r="E92" s="1428"/>
      <c r="F92" s="1427"/>
      <c r="G92" s="10"/>
      <c r="H92" s="1428"/>
      <c r="I92" s="1427"/>
      <c r="J92" s="1428"/>
      <c r="K92" s="1427"/>
      <c r="L92" s="1428"/>
      <c r="N92" s="1427"/>
      <c r="O92" s="1462">
        <f>SUMIF(D41:O41,"&lt;="&amp;O89,D46:O46)</f>
        <v>0</v>
      </c>
      <c r="P92" s="10"/>
      <c r="Q92" s="10"/>
      <c r="R92" s="1466">
        <f>IFERROR(IF(R89&gt;$O$89,0,D46),0)</f>
        <v>0</v>
      </c>
      <c r="S92" s="1466">
        <f t="shared" ref="S92:AC92" si="9">IFERROR(IF(S89&gt;$O$89,0,E46),0)</f>
        <v>0</v>
      </c>
      <c r="T92" s="1466">
        <f t="shared" si="9"/>
        <v>0</v>
      </c>
      <c r="U92" s="1466">
        <f t="shared" si="9"/>
        <v>0</v>
      </c>
      <c r="V92" s="1466">
        <f t="shared" si="9"/>
        <v>0</v>
      </c>
      <c r="W92" s="1466">
        <f t="shared" si="9"/>
        <v>0</v>
      </c>
      <c r="X92" s="1466">
        <f t="shared" si="9"/>
        <v>0</v>
      </c>
      <c r="Y92" s="1466">
        <f t="shared" si="9"/>
        <v>0</v>
      </c>
      <c r="Z92" s="1466">
        <f t="shared" si="9"/>
        <v>0</v>
      </c>
      <c r="AA92" s="1466">
        <f t="shared" si="9"/>
        <v>0</v>
      </c>
      <c r="AB92" s="1466">
        <f t="shared" si="9"/>
        <v>0</v>
      </c>
      <c r="AC92" s="1466">
        <f t="shared" si="9"/>
        <v>0</v>
      </c>
      <c r="AD92" s="10"/>
    </row>
    <row r="93" spans="3:30" x14ac:dyDescent="0.3">
      <c r="C93" s="10" t="str">
        <f>FORECASTS!B19</f>
        <v>Gross Rental Income</v>
      </c>
      <c r="D93" s="1427"/>
      <c r="E93" s="1428"/>
      <c r="F93" s="1427"/>
      <c r="G93" s="10"/>
      <c r="H93" s="1428"/>
      <c r="I93" s="1427"/>
      <c r="J93" s="1428"/>
      <c r="K93" s="1427"/>
      <c r="L93" s="1428"/>
      <c r="N93" s="1433">
        <f>IFERROR(SUMIF(FORECASTS!$E$4:$AI$4,N$89,FORECASTS!$E19:$AI19)/$R$48-1,0)</f>
        <v>0</v>
      </c>
      <c r="O93" s="1431">
        <f>SUMIF($D$41:$O$41,"&lt;="&amp;$O$89,$D48:$O48)*(1+$N93)</f>
        <v>0</v>
      </c>
      <c r="P93" s="10"/>
      <c r="Q93" s="10"/>
      <c r="R93" s="1467" t="e">
        <f>IF(R$89&gt;$O$89,0,(1+$N93)*D48)</f>
        <v>#N/A</v>
      </c>
      <c r="S93" s="1467" t="e">
        <f t="shared" ref="S93:AC93" si="10">IF(S$89&gt;$O$89,0,(1+$N93)*E48)</f>
        <v>#N/A</v>
      </c>
      <c r="T93" s="1467" t="e">
        <f t="shared" si="10"/>
        <v>#N/A</v>
      </c>
      <c r="U93" s="1467" t="e">
        <f t="shared" si="10"/>
        <v>#N/A</v>
      </c>
      <c r="V93" s="1467" t="e">
        <f t="shared" si="10"/>
        <v>#N/A</v>
      </c>
      <c r="W93" s="1467" t="e">
        <f t="shared" si="10"/>
        <v>#N/A</v>
      </c>
      <c r="X93" s="1467" t="e">
        <f t="shared" si="10"/>
        <v>#N/A</v>
      </c>
      <c r="Y93" s="1467" t="e">
        <f t="shared" si="10"/>
        <v>#N/A</v>
      </c>
      <c r="Z93" s="1467" t="e">
        <f t="shared" si="10"/>
        <v>#N/A</v>
      </c>
      <c r="AA93" s="1467" t="e">
        <f t="shared" si="10"/>
        <v>#N/A</v>
      </c>
      <c r="AB93" s="1467" t="e">
        <f t="shared" si="10"/>
        <v>#N/A</v>
      </c>
      <c r="AC93" s="1467" t="e">
        <f t="shared" si="10"/>
        <v>#N/A</v>
      </c>
      <c r="AD93" s="10"/>
    </row>
    <row r="94" spans="3:30" x14ac:dyDescent="0.3">
      <c r="C94" s="10" t="str">
        <f>FORECASTS!B21</f>
        <v>Other Income</v>
      </c>
      <c r="D94" s="1427"/>
      <c r="E94" s="1428"/>
      <c r="F94" s="1427"/>
      <c r="G94" s="10"/>
      <c r="H94" s="1428"/>
      <c r="I94" s="1427"/>
      <c r="J94" s="1428"/>
      <c r="K94" s="1427"/>
      <c r="L94" s="1428"/>
      <c r="N94" s="1433">
        <f>IFERROR(SUMIF(FORECASTS!$E$4:$AI$4,N$89,FORECASTS!$E21:$AI21)/$R$50-1,0)</f>
        <v>0</v>
      </c>
      <c r="O94" s="1431">
        <f>SUMIF($D$41:$O$41,"&lt;="&amp;$O$89,$D50:$O50)*(1+$N94)</f>
        <v>0</v>
      </c>
      <c r="P94" s="10"/>
      <c r="Q94" s="10"/>
      <c r="R94" s="1467" t="e">
        <f>IF(R$89&gt;$O$89,0,(1+$N94)*D50)</f>
        <v>#N/A</v>
      </c>
      <c r="S94" s="1467" t="e">
        <f t="shared" ref="S94:AC94" si="11">IF(S$89&gt;$O$89,0,(1+$N94)*E50)</f>
        <v>#N/A</v>
      </c>
      <c r="T94" s="1467" t="e">
        <f t="shared" si="11"/>
        <v>#N/A</v>
      </c>
      <c r="U94" s="1467" t="e">
        <f t="shared" si="11"/>
        <v>#N/A</v>
      </c>
      <c r="V94" s="1467" t="e">
        <f t="shared" si="11"/>
        <v>#N/A</v>
      </c>
      <c r="W94" s="1467" t="e">
        <f t="shared" si="11"/>
        <v>#N/A</v>
      </c>
      <c r="X94" s="1467" t="e">
        <f t="shared" si="11"/>
        <v>#N/A</v>
      </c>
      <c r="Y94" s="1467" t="e">
        <f t="shared" si="11"/>
        <v>#N/A</v>
      </c>
      <c r="Z94" s="1467" t="e">
        <f t="shared" si="11"/>
        <v>#N/A</v>
      </c>
      <c r="AA94" s="1467" t="e">
        <f t="shared" si="11"/>
        <v>#N/A</v>
      </c>
      <c r="AB94" s="1467" t="e">
        <f t="shared" si="11"/>
        <v>#N/A</v>
      </c>
      <c r="AC94" s="1467" t="e">
        <f t="shared" si="11"/>
        <v>#N/A</v>
      </c>
      <c r="AD94" s="10"/>
    </row>
    <row r="95" spans="3:30" x14ac:dyDescent="0.3">
      <c r="C95" s="10" t="str">
        <f>FORECASTS!B23</f>
        <v>Additional Guest Fee</v>
      </c>
      <c r="D95" s="1427"/>
      <c r="E95" s="1428"/>
      <c r="F95" s="1427"/>
      <c r="G95" s="10"/>
      <c r="H95" s="1428"/>
      <c r="I95" s="1427"/>
      <c r="J95" s="1428"/>
      <c r="K95" s="1427"/>
      <c r="L95" s="1428"/>
      <c r="N95" s="1433">
        <f>IFERROR(SUMIF(FORECASTS!$E$4:$AI$4,N$89,FORECASTS!$E23:$AI23)/$R$51-1,0)</f>
        <v>0</v>
      </c>
      <c r="O95" s="1431">
        <f>SUMIF($D$41:$O$41,"&lt;="&amp;$O$89,$D51:$O51)*(1+$N95)</f>
        <v>0</v>
      </c>
      <c r="P95" s="10"/>
      <c r="Q95" s="10"/>
      <c r="R95" s="1467" t="e">
        <f>IF(R$89&gt;$O$89,0,(1+$N95)*D51)</f>
        <v>#N/A</v>
      </c>
      <c r="S95" s="1467" t="e">
        <f t="shared" ref="S95:AC96" si="12">IF(S$89&gt;$O$89,0,(1+$N95)*E51)</f>
        <v>#N/A</v>
      </c>
      <c r="T95" s="1467" t="e">
        <f t="shared" si="12"/>
        <v>#N/A</v>
      </c>
      <c r="U95" s="1467" t="e">
        <f t="shared" si="12"/>
        <v>#N/A</v>
      </c>
      <c r="V95" s="1467" t="e">
        <f t="shared" si="12"/>
        <v>#N/A</v>
      </c>
      <c r="W95" s="1467" t="e">
        <f t="shared" si="12"/>
        <v>#N/A</v>
      </c>
      <c r="X95" s="1467" t="e">
        <f t="shared" si="12"/>
        <v>#N/A</v>
      </c>
      <c r="Y95" s="1467" t="e">
        <f t="shared" si="12"/>
        <v>#N/A</v>
      </c>
      <c r="Z95" s="1467" t="e">
        <f t="shared" si="12"/>
        <v>#N/A</v>
      </c>
      <c r="AA95" s="1467" t="e">
        <f t="shared" si="12"/>
        <v>#N/A</v>
      </c>
      <c r="AB95" s="1467" t="e">
        <f t="shared" si="12"/>
        <v>#N/A</v>
      </c>
      <c r="AC95" s="1467" t="e">
        <f t="shared" si="12"/>
        <v>#N/A</v>
      </c>
      <c r="AD95" s="10"/>
    </row>
    <row r="96" spans="3:30" x14ac:dyDescent="0.3">
      <c r="C96" s="10" t="str">
        <f>FORECASTS!B25</f>
        <v>Service Fee - Host</v>
      </c>
      <c r="D96" s="1427"/>
      <c r="E96" s="1428"/>
      <c r="F96" s="1427"/>
      <c r="G96" s="10"/>
      <c r="H96" s="1428"/>
      <c r="I96" s="1427"/>
      <c r="J96" s="1428"/>
      <c r="K96" s="1427"/>
      <c r="L96" s="1428"/>
      <c r="N96" s="1433">
        <f>IFERROR(SUMIF(FORECASTS!$E$4:$AI$4,N$89,FORECASTS!$E25:$AI25)/$R$52-1,0)</f>
        <v>0</v>
      </c>
      <c r="O96" s="1431">
        <f>SUMIF($D$41:$O$41,"&lt;="&amp;$O$89,$D52:$O52)*(1+$N96)</f>
        <v>0</v>
      </c>
      <c r="P96" s="10"/>
      <c r="Q96" s="10"/>
      <c r="R96" s="1467" t="e">
        <f>IF(R$89&gt;$O$89,0,(1+$N96)*D52)</f>
        <v>#N/A</v>
      </c>
      <c r="S96" s="1467" t="e">
        <f t="shared" si="12"/>
        <v>#N/A</v>
      </c>
      <c r="T96" s="1467" t="e">
        <f t="shared" si="12"/>
        <v>#N/A</v>
      </c>
      <c r="U96" s="1467" t="e">
        <f t="shared" si="12"/>
        <v>#N/A</v>
      </c>
      <c r="V96" s="1467" t="e">
        <f t="shared" si="12"/>
        <v>#N/A</v>
      </c>
      <c r="W96" s="1467" t="e">
        <f t="shared" si="12"/>
        <v>#N/A</v>
      </c>
      <c r="X96" s="1467" t="e">
        <f t="shared" si="12"/>
        <v>#N/A</v>
      </c>
      <c r="Y96" s="1467" t="e">
        <f t="shared" si="12"/>
        <v>#N/A</v>
      </c>
      <c r="Z96" s="1467" t="e">
        <f t="shared" si="12"/>
        <v>#N/A</v>
      </c>
      <c r="AA96" s="1467" t="e">
        <f t="shared" si="12"/>
        <v>#N/A</v>
      </c>
      <c r="AB96" s="1467" t="e">
        <f t="shared" si="12"/>
        <v>#N/A</v>
      </c>
      <c r="AC96" s="1467" t="e">
        <f t="shared" si="12"/>
        <v>#N/A</v>
      </c>
      <c r="AD96" s="10"/>
    </row>
    <row r="97" spans="2:30" s="12" customFormat="1" x14ac:dyDescent="0.3">
      <c r="C97" s="683" t="s">
        <v>584</v>
      </c>
      <c r="D97" s="1457"/>
      <c r="E97" s="1458"/>
      <c r="F97" s="1457"/>
      <c r="G97" s="683"/>
      <c r="H97" s="1458"/>
      <c r="I97" s="1457"/>
      <c r="J97" s="1458"/>
      <c r="K97" s="1457"/>
      <c r="L97" s="1458"/>
      <c r="N97" s="1457"/>
      <c r="O97" s="1463">
        <f>SUM(O93:O96)</f>
        <v>0</v>
      </c>
      <c r="P97" s="683"/>
      <c r="Q97" s="683"/>
      <c r="R97" s="1468">
        <f>IFERROR(SUM(R93:R96),0)</f>
        <v>0</v>
      </c>
      <c r="S97" s="1468">
        <f t="shared" ref="S97:AC97" si="13">IFERROR(SUM(S93:S96),0)</f>
        <v>0</v>
      </c>
      <c r="T97" s="1468">
        <f t="shared" si="13"/>
        <v>0</v>
      </c>
      <c r="U97" s="1468">
        <f t="shared" si="13"/>
        <v>0</v>
      </c>
      <c r="V97" s="1468">
        <f t="shared" si="13"/>
        <v>0</v>
      </c>
      <c r="W97" s="1468">
        <f t="shared" si="13"/>
        <v>0</v>
      </c>
      <c r="X97" s="1468">
        <f t="shared" si="13"/>
        <v>0</v>
      </c>
      <c r="Y97" s="1468">
        <f t="shared" si="13"/>
        <v>0</v>
      </c>
      <c r="Z97" s="1468">
        <f t="shared" si="13"/>
        <v>0</v>
      </c>
      <c r="AA97" s="1468">
        <f t="shared" si="13"/>
        <v>0</v>
      </c>
      <c r="AB97" s="1468">
        <f t="shared" si="13"/>
        <v>0</v>
      </c>
      <c r="AC97" s="1468">
        <f t="shared" si="13"/>
        <v>0</v>
      </c>
      <c r="AD97" s="683"/>
    </row>
    <row r="98" spans="2:30" x14ac:dyDescent="0.3">
      <c r="C98" s="10"/>
      <c r="D98" s="1427"/>
      <c r="E98" s="1428"/>
      <c r="F98" s="1427"/>
      <c r="G98" s="10"/>
      <c r="H98" s="1428"/>
      <c r="I98" s="1427"/>
      <c r="J98" s="1428"/>
      <c r="K98" s="1427"/>
      <c r="L98" s="1428"/>
      <c r="N98" s="1427"/>
      <c r="O98" s="1428"/>
      <c r="P98" s="10"/>
      <c r="Q98" s="10"/>
      <c r="R98" s="687"/>
      <c r="S98" s="687"/>
      <c r="T98" s="687"/>
      <c r="U98" s="687"/>
      <c r="V98" s="687"/>
      <c r="W98" s="687"/>
      <c r="X98" s="687"/>
      <c r="Y98" s="687"/>
      <c r="Z98" s="687"/>
      <c r="AA98" s="687"/>
      <c r="AB98" s="687"/>
      <c r="AC98" s="687"/>
      <c r="AD98" s="10"/>
    </row>
    <row r="99" spans="2:30" x14ac:dyDescent="0.3">
      <c r="C99" s="683" t="s">
        <v>1009</v>
      </c>
      <c r="D99" s="1427"/>
      <c r="E99" s="1428"/>
      <c r="F99" s="1427"/>
      <c r="G99" s="10"/>
      <c r="H99" s="1428"/>
      <c r="I99" s="1427"/>
      <c r="J99" s="1428"/>
      <c r="K99" s="1427"/>
      <c r="L99" s="1428"/>
      <c r="N99" s="1427"/>
      <c r="O99" s="1428"/>
      <c r="P99" s="10"/>
      <c r="Q99" s="10"/>
      <c r="R99" s="687"/>
      <c r="S99" s="687"/>
      <c r="T99" s="687"/>
      <c r="U99" s="687"/>
      <c r="V99" s="687"/>
      <c r="W99" s="687"/>
      <c r="X99" s="687"/>
      <c r="Y99" s="687"/>
      <c r="Z99" s="687"/>
      <c r="AA99" s="687"/>
      <c r="AB99" s="687"/>
      <c r="AC99" s="687"/>
      <c r="AD99" s="10"/>
    </row>
    <row r="100" spans="2:30" x14ac:dyDescent="0.3">
      <c r="C100" s="10" t="str">
        <f t="shared" ref="C100:C117" si="14">C55</f>
        <v>Electrical Utilities</v>
      </c>
      <c r="D100" s="1433">
        <f>IFERROR(SUMIF(FORECASTS!$E$4:$AI$4,D$89,FORECASTS!$E30:$AI30)/$Q$55-1,0)</f>
        <v>0</v>
      </c>
      <c r="E100" s="1431" t="e" cm="1">
        <f t="array" ref="E100">INDEX($D55:$O55,0,E$89)*(1+$D100)</f>
        <v>#N/A</v>
      </c>
      <c r="F100" s="1429">
        <f>-SUMIFS('ACTUALS (M)'!$G21:$DV21,'ACTUALS (M)'!$G$7:$DV$7,HIDE5!$F$89,'ACTUALS (M)'!$G$6:$DV$6,HIDE5!$G$89)</f>
        <v>0</v>
      </c>
      <c r="G100" s="682">
        <f>IFERROR(LARGE($F$100:$F$124,ROWS($G$100:G100)),"")</f>
        <v>0</v>
      </c>
      <c r="H100" s="1428" t="str" cm="1">
        <f t="array" ref="H100">IFERROR(INDEX(C$100:C$124,SMALL(IF(F$100:F$124=G100,ROW(F$100:F$124)-ROW(G$100)+1),COUNTIF(G$100:G100,G100))),"")</f>
        <v>Electrical Utilities</v>
      </c>
      <c r="I100" s="1429">
        <f>-SUMIFS('ACTUALS (M)'!$G21:$DV21,'ACTUALS (M)'!$G$7:$DV$7,HIDE5!I$89,'ACTUALS (M)'!$G$6:$DV$6,HIDE5!J$89)</f>
        <v>0</v>
      </c>
      <c r="J100" s="1428"/>
      <c r="K100" s="1429">
        <f>-SUMIFS('ACTUALS (M)'!$G21:$DV21,'ACTUALS (M)'!$G$7:$DV$7,HIDE5!K$89,'ACTUALS (M)'!$G$6:$DV$6,HIDE5!L$89)</f>
        <v>0</v>
      </c>
      <c r="L100" s="1428"/>
      <c r="N100" s="1433">
        <f>IFERROR(SUMIF(FORECASTS!$E$4:$AI$4,N$89,FORECASTS!$E30:$AI30)/$R$55-1,0)</f>
        <v>0</v>
      </c>
      <c r="O100" s="1431">
        <f t="shared" ref="O100:O117" si="15">SUMIF($D$41:$O$41,"&lt;="&amp;$O$89,$D55:$O55)*(1+$N100)</f>
        <v>0</v>
      </c>
      <c r="P100" s="10"/>
      <c r="Q100" s="10"/>
      <c r="R100" s="1467" t="e">
        <f>IF(R$89&gt;$O$89,0,(1+$N100)*D55)</f>
        <v>#N/A</v>
      </c>
      <c r="S100" s="1467" t="e">
        <f t="shared" ref="S100:AC100" si="16">IF(S$89&gt;$O$89,0,(1+$N100)*E55)</f>
        <v>#N/A</v>
      </c>
      <c r="T100" s="1467" t="e">
        <f t="shared" si="16"/>
        <v>#N/A</v>
      </c>
      <c r="U100" s="1467" t="e">
        <f t="shared" si="16"/>
        <v>#N/A</v>
      </c>
      <c r="V100" s="1467" t="e">
        <f t="shared" si="16"/>
        <v>#N/A</v>
      </c>
      <c r="W100" s="1467" t="e">
        <f t="shared" si="16"/>
        <v>#N/A</v>
      </c>
      <c r="X100" s="1467" t="e">
        <f t="shared" si="16"/>
        <v>#N/A</v>
      </c>
      <c r="Y100" s="1467" t="e">
        <f t="shared" si="16"/>
        <v>#N/A</v>
      </c>
      <c r="Z100" s="1467" t="e">
        <f t="shared" si="16"/>
        <v>#N/A</v>
      </c>
      <c r="AA100" s="1467" t="e">
        <f t="shared" si="16"/>
        <v>#N/A</v>
      </c>
      <c r="AB100" s="1467" t="e">
        <f t="shared" si="16"/>
        <v>#N/A</v>
      </c>
      <c r="AC100" s="1467" t="e">
        <f t="shared" si="16"/>
        <v>#N/A</v>
      </c>
      <c r="AD100" s="10"/>
    </row>
    <row r="101" spans="2:30" x14ac:dyDescent="0.3">
      <c r="C101" s="10" t="str">
        <f t="shared" si="14"/>
        <v>Gas Utilities</v>
      </c>
      <c r="D101" s="1433">
        <f>IFERROR(SUMIF(FORECASTS!$E$4:$AI$4,D$89,FORECASTS!$E32:$AI32)/$Q$56-1,0)</f>
        <v>0</v>
      </c>
      <c r="E101" s="1431" t="e" cm="1">
        <f t="array" ref="E101">INDEX($D56:$O56,0,E$89)*(1+$D101)</f>
        <v>#N/A</v>
      </c>
      <c r="F101" s="1429">
        <f>-SUMIFS('ACTUALS (M)'!$G22:$DV22,'ACTUALS (M)'!$G$7:$DV$7,HIDE5!$F$89,'ACTUALS (M)'!$G$6:$DV$6,HIDE5!$G$89)</f>
        <v>0</v>
      </c>
      <c r="G101" s="682">
        <f>IFERROR(LARGE($F$100:$F$124,ROWS($G$100:G101)),"")</f>
        <v>0</v>
      </c>
      <c r="H101" s="1428" t="str" cm="1">
        <f t="array" ref="H101">IFERROR(INDEX(C$100:C$124,SMALL(IF(F$100:F$124=G101,ROW(F$100:F$124)-ROW(G$100)+1),COUNTIF(G$100:G101,G101))),"")</f>
        <v>Gas Utilities</v>
      </c>
      <c r="I101" s="1429">
        <f>-SUMIFS('ACTUALS (M)'!$G22:$DV22,'ACTUALS (M)'!$G$7:$DV$7,HIDE5!I$89,'ACTUALS (M)'!$G$6:$DV$6,HIDE5!J$89)</f>
        <v>0</v>
      </c>
      <c r="J101" s="1428"/>
      <c r="K101" s="1429">
        <f>-SUMIFS('ACTUALS (M)'!$G22:$DV22,'ACTUALS (M)'!$G$7:$DV$7,HIDE5!K$89,'ACTUALS (M)'!$G$6:$DV$6,HIDE5!L$89)</f>
        <v>0</v>
      </c>
      <c r="L101" s="1428"/>
      <c r="N101" s="1433">
        <f>IFERROR(SUMIF(FORECASTS!$E$4:$AI$4,N$89,FORECASTS!$E32:$AI32)/$R$56-1,0)</f>
        <v>0</v>
      </c>
      <c r="O101" s="1431">
        <f t="shared" si="15"/>
        <v>0</v>
      </c>
      <c r="P101" s="10"/>
      <c r="Q101" s="10"/>
      <c r="R101" s="1467" t="e">
        <f t="shared" ref="R101:R117" si="17">IF(R$89&gt;$O$89,0,(1+$N101)*D56)</f>
        <v>#N/A</v>
      </c>
      <c r="S101" s="1467" t="e">
        <f t="shared" ref="S101:S117" si="18">IF(S$89&gt;$O$89,0,(1+$N101)*E56)</f>
        <v>#N/A</v>
      </c>
      <c r="T101" s="1467" t="e">
        <f t="shared" ref="T101:T117" si="19">IF(T$89&gt;$O$89,0,(1+$N101)*F56)</f>
        <v>#N/A</v>
      </c>
      <c r="U101" s="1467" t="e">
        <f t="shared" ref="U101:U117" si="20">IF(U$89&gt;$O$89,0,(1+$N101)*G56)</f>
        <v>#N/A</v>
      </c>
      <c r="V101" s="1467" t="e">
        <f t="shared" ref="V101:V117" si="21">IF(V$89&gt;$O$89,0,(1+$N101)*H56)</f>
        <v>#N/A</v>
      </c>
      <c r="W101" s="1467" t="e">
        <f t="shared" ref="W101:W117" si="22">IF(W$89&gt;$O$89,0,(1+$N101)*I56)</f>
        <v>#N/A</v>
      </c>
      <c r="X101" s="1467" t="e">
        <f t="shared" ref="X101:X117" si="23">IF(X$89&gt;$O$89,0,(1+$N101)*J56)</f>
        <v>#N/A</v>
      </c>
      <c r="Y101" s="1467" t="e">
        <f t="shared" ref="Y101:Y117" si="24">IF(Y$89&gt;$O$89,0,(1+$N101)*K56)</f>
        <v>#N/A</v>
      </c>
      <c r="Z101" s="1467" t="e">
        <f t="shared" ref="Z101:Z117" si="25">IF(Z$89&gt;$O$89,0,(1+$N101)*L56)</f>
        <v>#N/A</v>
      </c>
      <c r="AA101" s="1467" t="e">
        <f t="shared" ref="AA101:AA117" si="26">IF(AA$89&gt;$O$89,0,(1+$N101)*M56)</f>
        <v>#N/A</v>
      </c>
      <c r="AB101" s="1467" t="e">
        <f t="shared" ref="AB101:AB117" si="27">IF(AB$89&gt;$O$89,0,(1+$N101)*N56)</f>
        <v>#N/A</v>
      </c>
      <c r="AC101" s="1467" t="e">
        <f t="shared" ref="AC101:AC117" si="28">IF(AC$89&gt;$O$89,0,(1+$N101)*O56)</f>
        <v>#N/A</v>
      </c>
      <c r="AD101" s="10"/>
    </row>
    <row r="102" spans="2:30" x14ac:dyDescent="0.3">
      <c r="C102" s="10" t="str">
        <f t="shared" si="14"/>
        <v>Water Utilities</v>
      </c>
      <c r="D102" s="1433">
        <f>IFERROR(SUMIF(FORECASTS!$E$4:$AI$4,D$89,FORECASTS!$E34:$AI34)/$Q$57-1,0)</f>
        <v>0</v>
      </c>
      <c r="E102" s="1431" t="e" cm="1">
        <f t="array" ref="E102">INDEX($D57:$O57,0,E$89)*(1+$D102)</f>
        <v>#N/A</v>
      </c>
      <c r="F102" s="1429">
        <f>-SUMIFS('ACTUALS (M)'!$G23:$DV23,'ACTUALS (M)'!$G$7:$DV$7,HIDE5!$F$89,'ACTUALS (M)'!$G$6:$DV$6,HIDE5!$G$89)</f>
        <v>0</v>
      </c>
      <c r="G102" s="682">
        <f>IFERROR(LARGE($F$100:$F$124,ROWS($G$100:G102)),"")</f>
        <v>0</v>
      </c>
      <c r="H102" s="1428" t="str" cm="1">
        <f t="array" ref="H102">IFERROR(INDEX(C$100:C$124,SMALL(IF(F$100:F$124=G102,ROW(F$100:F$124)-ROW(G$100)+1),COUNTIF(G$100:G102,G102))),"")</f>
        <v>Water Utilities</v>
      </c>
      <c r="I102" s="1429">
        <f>-SUMIFS('ACTUALS (M)'!$G23:$DV23,'ACTUALS (M)'!$G$7:$DV$7,HIDE5!I$89,'ACTUALS (M)'!$G$6:$DV$6,HIDE5!J$89)</f>
        <v>0</v>
      </c>
      <c r="J102" s="1428"/>
      <c r="K102" s="1429">
        <f>-SUMIFS('ACTUALS (M)'!$G23:$DV23,'ACTUALS (M)'!$G$7:$DV$7,HIDE5!K$89,'ACTUALS (M)'!$G$6:$DV$6,HIDE5!L$89)</f>
        <v>0</v>
      </c>
      <c r="L102" s="1428"/>
      <c r="N102" s="1433">
        <f>IFERROR(SUMIF(FORECASTS!$E$4:$AI$4,N$89,FORECASTS!$E34:$AI34)/$R$57-1,0)</f>
        <v>0</v>
      </c>
      <c r="O102" s="1431">
        <f t="shared" si="15"/>
        <v>0</v>
      </c>
      <c r="P102" s="10"/>
      <c r="Q102" s="10"/>
      <c r="R102" s="1467" t="e">
        <f t="shared" si="17"/>
        <v>#N/A</v>
      </c>
      <c r="S102" s="1467" t="e">
        <f t="shared" si="18"/>
        <v>#N/A</v>
      </c>
      <c r="T102" s="1467" t="e">
        <f t="shared" si="19"/>
        <v>#N/A</v>
      </c>
      <c r="U102" s="1467" t="e">
        <f t="shared" si="20"/>
        <v>#N/A</v>
      </c>
      <c r="V102" s="1467" t="e">
        <f t="shared" si="21"/>
        <v>#N/A</v>
      </c>
      <c r="W102" s="1467" t="e">
        <f t="shared" si="22"/>
        <v>#N/A</v>
      </c>
      <c r="X102" s="1467" t="e">
        <f t="shared" si="23"/>
        <v>#N/A</v>
      </c>
      <c r="Y102" s="1467" t="e">
        <f t="shared" si="24"/>
        <v>#N/A</v>
      </c>
      <c r="Z102" s="1467" t="e">
        <f t="shared" si="25"/>
        <v>#N/A</v>
      </c>
      <c r="AA102" s="1467" t="e">
        <f t="shared" si="26"/>
        <v>#N/A</v>
      </c>
      <c r="AB102" s="1467" t="e">
        <f t="shared" si="27"/>
        <v>#N/A</v>
      </c>
      <c r="AC102" s="1467" t="e">
        <f t="shared" si="28"/>
        <v>#N/A</v>
      </c>
      <c r="AD102" s="10"/>
    </row>
    <row r="103" spans="2:30" x14ac:dyDescent="0.3">
      <c r="C103" s="10" t="str">
        <f t="shared" si="14"/>
        <v>Phone</v>
      </c>
      <c r="D103" s="1433">
        <f>IFERROR(SUMIF(FORECASTS!$E$4:$AI$4,D$89,FORECASTS!$E36:$AI36)/$Q$58-1,0)</f>
        <v>0</v>
      </c>
      <c r="E103" s="1431" t="e" cm="1">
        <f t="array" ref="E103">INDEX($D58:$O58,0,E$89)*(1+$D103)</f>
        <v>#N/A</v>
      </c>
      <c r="F103" s="1429">
        <f>-SUMIFS('ACTUALS (M)'!$G24:$DV24,'ACTUALS (M)'!$G$7:$DV$7,HIDE5!$F$89,'ACTUALS (M)'!$G$6:$DV$6,HIDE5!$G$89)</f>
        <v>0</v>
      </c>
      <c r="G103" s="682">
        <f>IFERROR(LARGE($F$100:$F$124,ROWS($G$100:G103)),"")</f>
        <v>0</v>
      </c>
      <c r="H103" s="1428" t="str" cm="1">
        <f t="array" ref="H103">IFERROR(INDEX(C$100:C$124,SMALL(IF(F$100:F$124=G103,ROW(F$100:F$124)-ROW(G$100)+1),COUNTIF(G$100:G103,G103))),"")</f>
        <v>Phone</v>
      </c>
      <c r="I103" s="1429">
        <f>-SUMIFS('ACTUALS (M)'!$G24:$DV24,'ACTUALS (M)'!$G$7:$DV$7,HIDE5!I$89,'ACTUALS (M)'!$G$6:$DV$6,HIDE5!J$89)</f>
        <v>0</v>
      </c>
      <c r="J103" s="1428"/>
      <c r="K103" s="1429">
        <f>-SUMIFS('ACTUALS (M)'!$G24:$DV24,'ACTUALS (M)'!$G$7:$DV$7,HIDE5!K$89,'ACTUALS (M)'!$G$6:$DV$6,HIDE5!L$89)</f>
        <v>0</v>
      </c>
      <c r="L103" s="1428"/>
      <c r="N103" s="1433">
        <f>IFERROR(SUMIF(FORECASTS!$E$4:$AI$4,N$89,FORECASTS!$E36:$AI36)/$R$58-1,0)</f>
        <v>0</v>
      </c>
      <c r="O103" s="1431">
        <f t="shared" si="15"/>
        <v>0</v>
      </c>
      <c r="P103" s="10"/>
      <c r="Q103" s="10"/>
      <c r="R103" s="1467" t="e">
        <f t="shared" si="17"/>
        <v>#N/A</v>
      </c>
      <c r="S103" s="1467" t="e">
        <f t="shared" si="18"/>
        <v>#N/A</v>
      </c>
      <c r="T103" s="1467" t="e">
        <f t="shared" si="19"/>
        <v>#N/A</v>
      </c>
      <c r="U103" s="1467" t="e">
        <f t="shared" si="20"/>
        <v>#N/A</v>
      </c>
      <c r="V103" s="1467" t="e">
        <f t="shared" si="21"/>
        <v>#N/A</v>
      </c>
      <c r="W103" s="1467" t="e">
        <f t="shared" si="22"/>
        <v>#N/A</v>
      </c>
      <c r="X103" s="1467" t="e">
        <f t="shared" si="23"/>
        <v>#N/A</v>
      </c>
      <c r="Y103" s="1467" t="e">
        <f t="shared" si="24"/>
        <v>#N/A</v>
      </c>
      <c r="Z103" s="1467" t="e">
        <f t="shared" si="25"/>
        <v>#N/A</v>
      </c>
      <c r="AA103" s="1467" t="e">
        <f t="shared" si="26"/>
        <v>#N/A</v>
      </c>
      <c r="AB103" s="1467" t="e">
        <f t="shared" si="27"/>
        <v>#N/A</v>
      </c>
      <c r="AC103" s="1467" t="e">
        <f t="shared" si="28"/>
        <v>#N/A</v>
      </c>
      <c r="AD103" s="10"/>
    </row>
    <row r="104" spans="2:30" x14ac:dyDescent="0.3">
      <c r="C104" s="10" t="str">
        <f t="shared" si="14"/>
        <v>Internet</v>
      </c>
      <c r="D104" s="1433">
        <f>IFERROR(SUMIF(FORECASTS!$E$4:$AI$4,D$89,FORECASTS!$E38:$AI38)/$Q$59-1,0)</f>
        <v>0</v>
      </c>
      <c r="E104" s="1431" t="e" cm="1">
        <f t="array" ref="E104">INDEX($D59:$O59,0,E$89)*(1+$D104)</f>
        <v>#N/A</v>
      </c>
      <c r="F104" s="1429">
        <f>-SUMIFS('ACTUALS (M)'!$G25:$DV25,'ACTUALS (M)'!$G$7:$DV$7,HIDE5!$F$89,'ACTUALS (M)'!$G$6:$DV$6,HIDE5!$G$89)</f>
        <v>0</v>
      </c>
      <c r="G104" s="682">
        <f>IFERROR(LARGE($F$100:$F$124,ROWS($G$100:G104)),"")</f>
        <v>0</v>
      </c>
      <c r="H104" s="1428" t="str" cm="1">
        <f t="array" ref="H104">IFERROR(INDEX(C$100:C$124,SMALL(IF(F$100:F$124=G104,ROW(F$100:F$124)-ROW(G$100)+1),COUNTIF(G$100:G104,G104))),"")</f>
        <v>Internet</v>
      </c>
      <c r="I104" s="1429">
        <f>-SUMIFS('ACTUALS (M)'!$G25:$DV25,'ACTUALS (M)'!$G$7:$DV$7,HIDE5!I$89,'ACTUALS (M)'!$G$6:$DV$6,HIDE5!J$89)</f>
        <v>0</v>
      </c>
      <c r="J104" s="1428"/>
      <c r="K104" s="1429">
        <f>-SUMIFS('ACTUALS (M)'!$G25:$DV25,'ACTUALS (M)'!$G$7:$DV$7,HIDE5!K$89,'ACTUALS (M)'!$G$6:$DV$6,HIDE5!L$89)</f>
        <v>0</v>
      </c>
      <c r="L104" s="1428"/>
      <c r="N104" s="1433">
        <f>IFERROR(SUMIF(FORECASTS!$E$4:$AI$4,N$89,FORECASTS!$E38:$AI38)/$R$59-1,0)</f>
        <v>0</v>
      </c>
      <c r="O104" s="1431">
        <f t="shared" si="15"/>
        <v>0</v>
      </c>
      <c r="P104" s="10"/>
      <c r="Q104" s="10"/>
      <c r="R104" s="1467" t="e">
        <f t="shared" si="17"/>
        <v>#N/A</v>
      </c>
      <c r="S104" s="1467" t="e">
        <f t="shared" si="18"/>
        <v>#N/A</v>
      </c>
      <c r="T104" s="1467" t="e">
        <f t="shared" si="19"/>
        <v>#N/A</v>
      </c>
      <c r="U104" s="1467" t="e">
        <f t="shared" si="20"/>
        <v>#N/A</v>
      </c>
      <c r="V104" s="1467" t="e">
        <f t="shared" si="21"/>
        <v>#N/A</v>
      </c>
      <c r="W104" s="1467" t="e">
        <f t="shared" si="22"/>
        <v>#N/A</v>
      </c>
      <c r="X104" s="1467" t="e">
        <f t="shared" si="23"/>
        <v>#N/A</v>
      </c>
      <c r="Y104" s="1467" t="e">
        <f t="shared" si="24"/>
        <v>#N/A</v>
      </c>
      <c r="Z104" s="1467" t="e">
        <f t="shared" si="25"/>
        <v>#N/A</v>
      </c>
      <c r="AA104" s="1467" t="e">
        <f t="shared" si="26"/>
        <v>#N/A</v>
      </c>
      <c r="AB104" s="1467" t="e">
        <f t="shared" si="27"/>
        <v>#N/A</v>
      </c>
      <c r="AC104" s="1467" t="e">
        <f t="shared" si="28"/>
        <v>#N/A</v>
      </c>
      <c r="AD104" s="10"/>
    </row>
    <row r="105" spans="2:30" x14ac:dyDescent="0.3">
      <c r="C105" s="10" t="str">
        <f t="shared" si="14"/>
        <v>Property Insurance + Tax</v>
      </c>
      <c r="D105" s="1433">
        <f>IFERROR(SUMIF(FORECASTS!$E$4:$AI$4,D$89,FORECASTS!$E40:$AI40)/$Q$60-1,0)</f>
        <v>0</v>
      </c>
      <c r="E105" s="1431" t="e" cm="1">
        <f t="array" ref="E105">INDEX($D60:$O60,0,E$89)*(1+$D105)</f>
        <v>#N/A</v>
      </c>
      <c r="F105" s="1429">
        <f>-SUMIFS('ACTUALS (M)'!$G26:$DV26,'ACTUALS (M)'!$G$7:$DV$7,HIDE5!$F$89,'ACTUALS (M)'!$G$6:$DV$6,HIDE5!$G$89)</f>
        <v>0</v>
      </c>
      <c r="G105" s="682">
        <f>IFERROR(LARGE($F$100:$F$124,ROWS($G$100:G105)),"")</f>
        <v>0</v>
      </c>
      <c r="H105" s="1428" t="str" cm="1">
        <f t="array" ref="H105">IFERROR(INDEX(C$100:C$124,SMALL(IF(F$100:F$124=G105,ROW(F$100:F$124)-ROW(G$100)+1),COUNTIF(G$100:G105,G105))),"")</f>
        <v>Property Insurance + Tax</v>
      </c>
      <c r="I105" s="1429">
        <f>-SUMIFS('ACTUALS (M)'!$G26:$DV26,'ACTUALS (M)'!$G$7:$DV$7,HIDE5!I$89,'ACTUALS (M)'!$G$6:$DV$6,HIDE5!J$89)</f>
        <v>0</v>
      </c>
      <c r="J105" s="1428"/>
      <c r="K105" s="1429">
        <f>-SUMIFS('ACTUALS (M)'!$G26:$DV26,'ACTUALS (M)'!$G$7:$DV$7,HIDE5!K$89,'ACTUALS (M)'!$G$6:$DV$6,HIDE5!L$89)</f>
        <v>0</v>
      </c>
      <c r="L105" s="1428"/>
      <c r="N105" s="1433">
        <f>IFERROR(SUMIF(FORECASTS!$E$4:$AI$4,N$89,FORECASTS!$E40:$AI40)/$R$60-1,0)</f>
        <v>0</v>
      </c>
      <c r="O105" s="1431">
        <f t="shared" si="15"/>
        <v>0</v>
      </c>
      <c r="P105" s="10"/>
      <c r="Q105" s="10"/>
      <c r="R105" s="1467" t="e">
        <f t="shared" si="17"/>
        <v>#N/A</v>
      </c>
      <c r="S105" s="1467" t="e">
        <f t="shared" si="18"/>
        <v>#N/A</v>
      </c>
      <c r="T105" s="1467" t="e">
        <f t="shared" si="19"/>
        <v>#N/A</v>
      </c>
      <c r="U105" s="1467" t="e">
        <f t="shared" si="20"/>
        <v>#N/A</v>
      </c>
      <c r="V105" s="1467" t="e">
        <f t="shared" si="21"/>
        <v>#N/A</v>
      </c>
      <c r="W105" s="1467" t="e">
        <f t="shared" si="22"/>
        <v>#N/A</v>
      </c>
      <c r="X105" s="1467" t="e">
        <f t="shared" si="23"/>
        <v>#N/A</v>
      </c>
      <c r="Y105" s="1467" t="e">
        <f t="shared" si="24"/>
        <v>#N/A</v>
      </c>
      <c r="Z105" s="1467" t="e">
        <f t="shared" si="25"/>
        <v>#N/A</v>
      </c>
      <c r="AA105" s="1467" t="e">
        <f t="shared" si="26"/>
        <v>#N/A</v>
      </c>
      <c r="AB105" s="1467" t="e">
        <f t="shared" si="27"/>
        <v>#N/A</v>
      </c>
      <c r="AC105" s="1467" t="e">
        <f t="shared" si="28"/>
        <v>#N/A</v>
      </c>
      <c r="AD105" s="10"/>
    </row>
    <row r="106" spans="2:30" x14ac:dyDescent="0.3">
      <c r="C106" s="10" t="str">
        <f t="shared" si="14"/>
        <v>Irrigation</v>
      </c>
      <c r="D106" s="1433">
        <f>IFERROR(SUMIF(FORECASTS!$E$4:$AI$4,D$89,FORECASTS!$E42:$AI42)/$Q$61-1,0)</f>
        <v>0</v>
      </c>
      <c r="E106" s="1431" t="e" cm="1">
        <f t="array" ref="E106">INDEX($D61:$O61,0,E$89)*(1+$D106)</f>
        <v>#N/A</v>
      </c>
      <c r="F106" s="1429">
        <f>-SUMIFS('ACTUALS (M)'!$G27:$DV27,'ACTUALS (M)'!$G$7:$DV$7,HIDE5!$F$89,'ACTUALS (M)'!$G$6:$DV$6,HIDE5!$G$89)</f>
        <v>0</v>
      </c>
      <c r="G106" s="682">
        <f>IFERROR(LARGE($F$100:$F$124,ROWS($G$100:G106)),"")</f>
        <v>0</v>
      </c>
      <c r="H106" s="1428" t="str" cm="1">
        <f t="array" ref="H106">IFERROR(INDEX(C$100:C$124,SMALL(IF(F$100:F$124=G106,ROW(F$100:F$124)-ROW(G$100)+1),COUNTIF(G$100:G106,G106))),"")</f>
        <v>Irrigation</v>
      </c>
      <c r="I106" s="1429">
        <f>-SUMIFS('ACTUALS (M)'!$G27:$DV27,'ACTUALS (M)'!$G$7:$DV$7,HIDE5!I$89,'ACTUALS (M)'!$G$6:$DV$6,HIDE5!J$89)</f>
        <v>0</v>
      </c>
      <c r="J106" s="1428"/>
      <c r="K106" s="1429">
        <f>-SUMIFS('ACTUALS (M)'!$G27:$DV27,'ACTUALS (M)'!$G$7:$DV$7,HIDE5!K$89,'ACTUALS (M)'!$G$6:$DV$6,HIDE5!L$89)</f>
        <v>0</v>
      </c>
      <c r="L106" s="1428"/>
      <c r="N106" s="1433">
        <f>IFERROR(SUMIF(FORECASTS!$E$4:$AI$4,N$89,FORECASTS!$E42:$AI42)/$R$61-1,0)</f>
        <v>0</v>
      </c>
      <c r="O106" s="1431">
        <f t="shared" si="15"/>
        <v>0</v>
      </c>
      <c r="P106" s="10"/>
      <c r="Q106" s="10"/>
      <c r="R106" s="1467" t="e">
        <f t="shared" si="17"/>
        <v>#N/A</v>
      </c>
      <c r="S106" s="1467" t="e">
        <f t="shared" si="18"/>
        <v>#N/A</v>
      </c>
      <c r="T106" s="1467" t="e">
        <f t="shared" si="19"/>
        <v>#N/A</v>
      </c>
      <c r="U106" s="1467" t="e">
        <f t="shared" si="20"/>
        <v>#N/A</v>
      </c>
      <c r="V106" s="1467" t="e">
        <f t="shared" si="21"/>
        <v>#N/A</v>
      </c>
      <c r="W106" s="1467" t="e">
        <f t="shared" si="22"/>
        <v>#N/A</v>
      </c>
      <c r="X106" s="1467" t="e">
        <f t="shared" si="23"/>
        <v>#N/A</v>
      </c>
      <c r="Y106" s="1467" t="e">
        <f t="shared" si="24"/>
        <v>#N/A</v>
      </c>
      <c r="Z106" s="1467" t="e">
        <f t="shared" si="25"/>
        <v>#N/A</v>
      </c>
      <c r="AA106" s="1467" t="e">
        <f t="shared" si="26"/>
        <v>#N/A</v>
      </c>
      <c r="AB106" s="1467" t="e">
        <f t="shared" si="27"/>
        <v>#N/A</v>
      </c>
      <c r="AC106" s="1467" t="e">
        <f t="shared" si="28"/>
        <v>#N/A</v>
      </c>
      <c r="AD106" s="10"/>
    </row>
    <row r="107" spans="2:30" x14ac:dyDescent="0.3">
      <c r="C107" s="10" t="str">
        <f t="shared" si="14"/>
        <v>Security</v>
      </c>
      <c r="D107" s="1433">
        <f>IFERROR(SUMIF(FORECASTS!$E$4:$AI$4,D$89,FORECASTS!$E44:$AI44)/$Q$62-1,0)</f>
        <v>0</v>
      </c>
      <c r="E107" s="1431" t="e" cm="1">
        <f t="array" ref="E107">INDEX($D62:$O62,0,E$89)*(1+$D107)</f>
        <v>#N/A</v>
      </c>
      <c r="F107" s="1429">
        <f>-SUMIFS('ACTUALS (M)'!$G28:$DV28,'ACTUALS (M)'!$G$7:$DV$7,HIDE5!$F$89,'ACTUALS (M)'!$G$6:$DV$6,HIDE5!$G$89)</f>
        <v>0</v>
      </c>
      <c r="G107" s="682">
        <f>IFERROR(LARGE($F$100:$F$124,ROWS($G$100:G107)),"")</f>
        <v>0</v>
      </c>
      <c r="H107" s="1428" t="str" cm="1">
        <f t="array" ref="H107">IFERROR(INDEX(C$100:C$124,SMALL(IF(F$100:F$124=G107,ROW(F$100:F$124)-ROW(G$100)+1),COUNTIF(G$100:G107,G107))),"")</f>
        <v>Security</v>
      </c>
      <c r="I107" s="1429">
        <f>-SUMIFS('ACTUALS (M)'!$G28:$DV28,'ACTUALS (M)'!$G$7:$DV$7,HIDE5!I$89,'ACTUALS (M)'!$G$6:$DV$6,HIDE5!J$89)</f>
        <v>0</v>
      </c>
      <c r="J107" s="1428"/>
      <c r="K107" s="1429">
        <f>-SUMIFS('ACTUALS (M)'!$G28:$DV28,'ACTUALS (M)'!$G$7:$DV$7,HIDE5!K$89,'ACTUALS (M)'!$G$6:$DV$6,HIDE5!L$89)</f>
        <v>0</v>
      </c>
      <c r="L107" s="1428"/>
      <c r="N107" s="1433">
        <f>IFERROR(SUMIF(FORECASTS!$E$4:$AI$4,N$89,FORECASTS!$E44:$AI44)/$R$62-1,0)</f>
        <v>0</v>
      </c>
      <c r="O107" s="1431">
        <f t="shared" si="15"/>
        <v>0</v>
      </c>
      <c r="P107" s="10"/>
      <c r="Q107" s="10"/>
      <c r="R107" s="1467" t="e">
        <f t="shared" si="17"/>
        <v>#N/A</v>
      </c>
      <c r="S107" s="1467" t="e">
        <f t="shared" si="18"/>
        <v>#N/A</v>
      </c>
      <c r="T107" s="1467" t="e">
        <f t="shared" si="19"/>
        <v>#N/A</v>
      </c>
      <c r="U107" s="1467" t="e">
        <f t="shared" si="20"/>
        <v>#N/A</v>
      </c>
      <c r="V107" s="1467" t="e">
        <f t="shared" si="21"/>
        <v>#N/A</v>
      </c>
      <c r="W107" s="1467" t="e">
        <f t="shared" si="22"/>
        <v>#N/A</v>
      </c>
      <c r="X107" s="1467" t="e">
        <f t="shared" si="23"/>
        <v>#N/A</v>
      </c>
      <c r="Y107" s="1467" t="e">
        <f t="shared" si="24"/>
        <v>#N/A</v>
      </c>
      <c r="Z107" s="1467" t="e">
        <f t="shared" si="25"/>
        <v>#N/A</v>
      </c>
      <c r="AA107" s="1467" t="e">
        <f t="shared" si="26"/>
        <v>#N/A</v>
      </c>
      <c r="AB107" s="1467" t="e">
        <f t="shared" si="27"/>
        <v>#N/A</v>
      </c>
      <c r="AC107" s="1467" t="e">
        <f t="shared" si="28"/>
        <v>#N/A</v>
      </c>
      <c r="AD107" s="10"/>
    </row>
    <row r="108" spans="2:30" x14ac:dyDescent="0.3">
      <c r="C108" s="10" t="str">
        <f t="shared" si="14"/>
        <v>Accounting</v>
      </c>
      <c r="D108" s="1433">
        <f>IFERROR(SUMIF(FORECASTS!$E$4:$AI$4,D$89,FORECASTS!$E46:$AI46)/$Q$63-1,0)</f>
        <v>0</v>
      </c>
      <c r="E108" s="1431" t="e" cm="1">
        <f t="array" ref="E108">INDEX($D63:$O63,0,E$89)*(1+$D108)</f>
        <v>#N/A</v>
      </c>
      <c r="F108" s="1429">
        <f>-SUMIFS('ACTUALS (M)'!$G29:$DV29,'ACTUALS (M)'!$G$7:$DV$7,HIDE5!$F$89,'ACTUALS (M)'!$G$6:$DV$6,HIDE5!$G$89)</f>
        <v>0</v>
      </c>
      <c r="G108" s="682">
        <f>IFERROR(LARGE($F$100:$F$124,ROWS($G$100:G108)),"")</f>
        <v>0</v>
      </c>
      <c r="H108" s="1428" t="str" cm="1">
        <f t="array" ref="H108">IFERROR(INDEX(C$100:C$124,SMALL(IF(F$100:F$124=G108,ROW(F$100:F$124)-ROW(G$100)+1),COUNTIF(G$100:G108,G108))),"")</f>
        <v>Accounting</v>
      </c>
      <c r="I108" s="1429">
        <f>-SUMIFS('ACTUALS (M)'!$G29:$DV29,'ACTUALS (M)'!$G$7:$DV$7,HIDE5!I$89,'ACTUALS (M)'!$G$6:$DV$6,HIDE5!J$89)</f>
        <v>0</v>
      </c>
      <c r="J108" s="1428"/>
      <c r="K108" s="1429">
        <f>-SUMIFS('ACTUALS (M)'!$G29:$DV29,'ACTUALS (M)'!$G$7:$DV$7,HIDE5!K$89,'ACTUALS (M)'!$G$6:$DV$6,HIDE5!L$89)</f>
        <v>0</v>
      </c>
      <c r="L108" s="1428"/>
      <c r="N108" s="1433">
        <f>IFERROR(SUMIF(FORECASTS!$E$4:$AI$4,N$89,FORECASTS!$E46:$AI46)/$R$63-1,0)</f>
        <v>0</v>
      </c>
      <c r="O108" s="1431">
        <f t="shared" si="15"/>
        <v>0</v>
      </c>
      <c r="P108" s="10"/>
      <c r="Q108" s="10"/>
      <c r="R108" s="1467" t="e">
        <f t="shared" si="17"/>
        <v>#N/A</v>
      </c>
      <c r="S108" s="1467" t="e">
        <f t="shared" si="18"/>
        <v>#N/A</v>
      </c>
      <c r="T108" s="1467" t="e">
        <f t="shared" si="19"/>
        <v>#N/A</v>
      </c>
      <c r="U108" s="1467" t="e">
        <f t="shared" si="20"/>
        <v>#N/A</v>
      </c>
      <c r="V108" s="1467" t="e">
        <f t="shared" si="21"/>
        <v>#N/A</v>
      </c>
      <c r="W108" s="1467" t="e">
        <f t="shared" si="22"/>
        <v>#N/A</v>
      </c>
      <c r="X108" s="1467" t="e">
        <f t="shared" si="23"/>
        <v>#N/A</v>
      </c>
      <c r="Y108" s="1467" t="e">
        <f t="shared" si="24"/>
        <v>#N/A</v>
      </c>
      <c r="Z108" s="1467" t="e">
        <f t="shared" si="25"/>
        <v>#N/A</v>
      </c>
      <c r="AA108" s="1467" t="e">
        <f t="shared" si="26"/>
        <v>#N/A</v>
      </c>
      <c r="AB108" s="1467" t="e">
        <f t="shared" si="27"/>
        <v>#N/A</v>
      </c>
      <c r="AC108" s="1467" t="e">
        <f t="shared" si="28"/>
        <v>#N/A</v>
      </c>
      <c r="AD108" s="10"/>
    </row>
    <row r="109" spans="2:30" x14ac:dyDescent="0.3">
      <c r="B109" s="1418"/>
      <c r="C109" s="1419" t="str">
        <f t="shared" si="14"/>
        <v>Repairs &amp; Maintenance</v>
      </c>
      <c r="D109" s="1434">
        <f>IFERROR(SUMIF(FORECASTS!$E$4:$AI$4,D$89,FORECASTS!$E48:$AI48)/$Q$64-1,0)</f>
        <v>0</v>
      </c>
      <c r="E109" s="1435" t="e" cm="1">
        <f t="array" ref="E109">INDEX($D64:$O64,0,E$89)*(1+$D109)</f>
        <v>#N/A</v>
      </c>
      <c r="F109" s="1429">
        <f>-SUMIFS('ACTUALS (M)'!$G30:$DV30,'ACTUALS (M)'!$G$7:$DV$7,HIDE5!$F$89,'ACTUALS (M)'!$G$6:$DV$6,HIDE5!$G$89)</f>
        <v>0</v>
      </c>
      <c r="G109" s="682">
        <f>IFERROR(LARGE($F$100:$F$124,ROWS($G$100:G109)),"")</f>
        <v>0</v>
      </c>
      <c r="H109" s="1428" t="str" cm="1">
        <f t="array" ref="H109">IFERROR(INDEX(C$100:C$124,SMALL(IF(F$100:F$124=G109,ROW(F$100:F$124)-ROW(G$100)+1),COUNTIF(G$100:G109,G109))),"")</f>
        <v>Repairs &amp; Maintenance</v>
      </c>
      <c r="I109" s="1429">
        <f>-SUMIFS('ACTUALS (M)'!$G30:$DV30,'ACTUALS (M)'!$G$7:$DV$7,HIDE5!I$89,'ACTUALS (M)'!$G$6:$DV$6,HIDE5!J$89)</f>
        <v>0</v>
      </c>
      <c r="J109" s="1428"/>
      <c r="K109" s="1429">
        <f>-SUMIFS('ACTUALS (M)'!$G30:$DV30,'ACTUALS (M)'!$G$7:$DV$7,HIDE5!K$89,'ACTUALS (M)'!$G$6:$DV$6,HIDE5!L$89)</f>
        <v>0</v>
      </c>
      <c r="L109" s="1428"/>
      <c r="N109" s="1434">
        <f>IFERROR(SUMIF(FORECASTS!$E$4:$AI$4,N$89,FORECASTS!$E48:$AI48)/$R$64-1,0)</f>
        <v>0</v>
      </c>
      <c r="O109" s="1435">
        <f t="shared" si="15"/>
        <v>0</v>
      </c>
      <c r="P109" s="10"/>
      <c r="Q109" s="10"/>
      <c r="R109" s="1467" t="e">
        <f t="shared" si="17"/>
        <v>#N/A</v>
      </c>
      <c r="S109" s="1467" t="e">
        <f t="shared" si="18"/>
        <v>#N/A</v>
      </c>
      <c r="T109" s="1467" t="e">
        <f t="shared" si="19"/>
        <v>#N/A</v>
      </c>
      <c r="U109" s="1467" t="e">
        <f t="shared" si="20"/>
        <v>#N/A</v>
      </c>
      <c r="V109" s="1467" t="e">
        <f t="shared" si="21"/>
        <v>#N/A</v>
      </c>
      <c r="W109" s="1467" t="e">
        <f t="shared" si="22"/>
        <v>#N/A</v>
      </c>
      <c r="X109" s="1467" t="e">
        <f t="shared" si="23"/>
        <v>#N/A</v>
      </c>
      <c r="Y109" s="1467" t="e">
        <f t="shared" si="24"/>
        <v>#N/A</v>
      </c>
      <c r="Z109" s="1467" t="e">
        <f t="shared" si="25"/>
        <v>#N/A</v>
      </c>
      <c r="AA109" s="1467" t="e">
        <f t="shared" si="26"/>
        <v>#N/A</v>
      </c>
      <c r="AB109" s="1467" t="e">
        <f t="shared" si="27"/>
        <v>#N/A</v>
      </c>
      <c r="AC109" s="1467" t="e">
        <f t="shared" si="28"/>
        <v>#N/A</v>
      </c>
      <c r="AD109" s="10"/>
    </row>
    <row r="110" spans="2:30" x14ac:dyDescent="0.3">
      <c r="C110" s="10" t="str">
        <f t="shared" si="14"/>
        <v xml:space="preserve">Property Management </v>
      </c>
      <c r="D110" s="1433">
        <f>IFERROR(SUMIF(FORECASTS!$E$4:$AI$4,D$89,FORECASTS!$E50:$AI50)/$Q$65-1,0)</f>
        <v>0</v>
      </c>
      <c r="E110" s="1431" t="e" cm="1">
        <f t="array" ref="E110">INDEX($D65:$O65,0,E$89)*(1+$D110)</f>
        <v>#N/A</v>
      </c>
      <c r="F110" s="1429">
        <f>-SUMIFS('ACTUALS (M)'!$G31:$DV31,'ACTUALS (M)'!$G$7:$DV$7,HIDE5!$F$89,'ACTUALS (M)'!$G$6:$DV$6,HIDE5!$G$89)</f>
        <v>0</v>
      </c>
      <c r="G110" s="682">
        <f>IFERROR(LARGE($F$100:$F$124,ROWS($G$100:G110)),"")</f>
        <v>0</v>
      </c>
      <c r="H110" s="1428" t="str" cm="1">
        <f t="array" ref="H110">IFERROR(INDEX(C$100:C$124,SMALL(IF(F$100:F$124=G110,ROW(F$100:F$124)-ROW(G$100)+1),COUNTIF(G$100:G110,G110))),"")</f>
        <v xml:space="preserve">Property Management </v>
      </c>
      <c r="I110" s="1429">
        <f>-SUMIFS('ACTUALS (M)'!$G31:$DV31,'ACTUALS (M)'!$G$7:$DV$7,HIDE5!I$89,'ACTUALS (M)'!$G$6:$DV$6,HIDE5!J$89)</f>
        <v>0</v>
      </c>
      <c r="J110" s="1428"/>
      <c r="K110" s="1429">
        <f>-SUMIFS('ACTUALS (M)'!$G31:$DV31,'ACTUALS (M)'!$G$7:$DV$7,HIDE5!K$89,'ACTUALS (M)'!$G$6:$DV$6,HIDE5!L$89)</f>
        <v>0</v>
      </c>
      <c r="L110" s="1428"/>
      <c r="N110" s="1433">
        <f>IFERROR(SUMIF(FORECASTS!$E$4:$AI$4,N$89,FORECASTS!$E50:$AI50)/$R$65-1,0)</f>
        <v>0</v>
      </c>
      <c r="O110" s="1431">
        <f t="shared" si="15"/>
        <v>0</v>
      </c>
      <c r="P110" s="10"/>
      <c r="Q110" s="10"/>
      <c r="R110" s="1467" t="e">
        <f t="shared" si="17"/>
        <v>#N/A</v>
      </c>
      <c r="S110" s="1467" t="e">
        <f t="shared" si="18"/>
        <v>#N/A</v>
      </c>
      <c r="T110" s="1467" t="e">
        <f t="shared" si="19"/>
        <v>#N/A</v>
      </c>
      <c r="U110" s="1467" t="e">
        <f t="shared" si="20"/>
        <v>#N/A</v>
      </c>
      <c r="V110" s="1467" t="e">
        <f t="shared" si="21"/>
        <v>#N/A</v>
      </c>
      <c r="W110" s="1467" t="e">
        <f t="shared" si="22"/>
        <v>#N/A</v>
      </c>
      <c r="X110" s="1467" t="e">
        <f t="shared" si="23"/>
        <v>#N/A</v>
      </c>
      <c r="Y110" s="1467" t="e">
        <f t="shared" si="24"/>
        <v>#N/A</v>
      </c>
      <c r="Z110" s="1467" t="e">
        <f t="shared" si="25"/>
        <v>#N/A</v>
      </c>
      <c r="AA110" s="1467" t="e">
        <f t="shared" si="26"/>
        <v>#N/A</v>
      </c>
      <c r="AB110" s="1467" t="e">
        <f t="shared" si="27"/>
        <v>#N/A</v>
      </c>
      <c r="AC110" s="1467" t="e">
        <f t="shared" si="28"/>
        <v>#N/A</v>
      </c>
      <c r="AD110" s="10"/>
    </row>
    <row r="111" spans="2:30" x14ac:dyDescent="0.3">
      <c r="C111" s="10" t="str">
        <f t="shared" si="14"/>
        <v>Vacancy Insurance</v>
      </c>
      <c r="D111" s="1433">
        <f>IFERROR(SUMIF(FORECASTS!$E$4:$AI$4,D$89,FORECASTS!$E52:$AI52)/$Q$66-1,0)</f>
        <v>0</v>
      </c>
      <c r="E111" s="1431" t="e" cm="1">
        <f t="array" ref="E111">INDEX($D66:$O66,0,E$89)*(1+$D111)</f>
        <v>#N/A</v>
      </c>
      <c r="F111" s="1429">
        <f>-SUMIFS('ACTUALS (M)'!$G32:$DV32,'ACTUALS (M)'!$G$7:$DV$7,HIDE5!$F$89,'ACTUALS (M)'!$G$6:$DV$6,HIDE5!$G$89)</f>
        <v>0</v>
      </c>
      <c r="G111" s="682">
        <f>IFERROR(LARGE($F$100:$F$124,ROWS($G$100:G111)),"")</f>
        <v>0</v>
      </c>
      <c r="H111" s="1428" t="str" cm="1">
        <f t="array" ref="H111">IFERROR(INDEX(C$100:C$124,SMALL(IF(F$100:F$124=G111,ROW(F$100:F$124)-ROW(G$100)+1),COUNTIF(G$100:G111,G111))),"")</f>
        <v>Vacancy Insurance</v>
      </c>
      <c r="I111" s="1429">
        <f>-SUMIFS('ACTUALS (M)'!$G32:$DV32,'ACTUALS (M)'!$G$7:$DV$7,HIDE5!I$89,'ACTUALS (M)'!$G$6:$DV$6,HIDE5!J$89)</f>
        <v>0</v>
      </c>
      <c r="J111" s="1428"/>
      <c r="K111" s="1429">
        <f>-SUMIFS('ACTUALS (M)'!$G32:$DV32,'ACTUALS (M)'!$G$7:$DV$7,HIDE5!K$89,'ACTUALS (M)'!$G$6:$DV$6,HIDE5!L$89)</f>
        <v>0</v>
      </c>
      <c r="L111" s="1428"/>
      <c r="N111" s="1433">
        <f>IFERROR(SUMIF(FORECASTS!$E$4:$AI$4,N$89,FORECASTS!$E52:$AI52)/$R$66-1,0)</f>
        <v>0</v>
      </c>
      <c r="O111" s="1431">
        <f t="shared" si="15"/>
        <v>0</v>
      </c>
      <c r="P111" s="10"/>
      <c r="Q111" s="10"/>
      <c r="R111" s="1467" t="e">
        <f t="shared" si="17"/>
        <v>#N/A</v>
      </c>
      <c r="S111" s="1467" t="e">
        <f t="shared" si="18"/>
        <v>#N/A</v>
      </c>
      <c r="T111" s="1467" t="e">
        <f t="shared" si="19"/>
        <v>#N/A</v>
      </c>
      <c r="U111" s="1467" t="e">
        <f t="shared" si="20"/>
        <v>#N/A</v>
      </c>
      <c r="V111" s="1467" t="e">
        <f t="shared" si="21"/>
        <v>#N/A</v>
      </c>
      <c r="W111" s="1467" t="e">
        <f t="shared" si="22"/>
        <v>#N/A</v>
      </c>
      <c r="X111" s="1467" t="e">
        <f t="shared" si="23"/>
        <v>#N/A</v>
      </c>
      <c r="Y111" s="1467" t="e">
        <f t="shared" si="24"/>
        <v>#N/A</v>
      </c>
      <c r="Z111" s="1467" t="e">
        <f t="shared" si="25"/>
        <v>#N/A</v>
      </c>
      <c r="AA111" s="1467" t="e">
        <f t="shared" si="26"/>
        <v>#N/A</v>
      </c>
      <c r="AB111" s="1467" t="e">
        <f t="shared" si="27"/>
        <v>#N/A</v>
      </c>
      <c r="AC111" s="1467" t="e">
        <f t="shared" si="28"/>
        <v>#N/A</v>
      </c>
      <c r="AD111" s="10"/>
    </row>
    <row r="112" spans="2:30" x14ac:dyDescent="0.3">
      <c r="C112" s="10" t="str">
        <f t="shared" si="14"/>
        <v>Rent Insurance</v>
      </c>
      <c r="D112" s="1433">
        <f>IFERROR(SUMIF(FORECASTS!$E$4:$AI$4,D$89,FORECASTS!$E54:$AI54)/$Q$67-1,0)</f>
        <v>0</v>
      </c>
      <c r="E112" s="1431" t="e" cm="1">
        <f t="array" ref="E112">INDEX($D67:$O67,0,E$89)*(1+$D112)</f>
        <v>#N/A</v>
      </c>
      <c r="F112" s="1429">
        <f>-SUMIFS('ACTUALS (M)'!$G33:$DV33,'ACTUALS (M)'!$G$7:$DV$7,HIDE5!$F$89,'ACTUALS (M)'!$G$6:$DV$6,HIDE5!$G$89)</f>
        <v>0</v>
      </c>
      <c r="G112" s="682">
        <f>IFERROR(LARGE($F$100:$F$124,ROWS($G$100:G112)),"")</f>
        <v>0</v>
      </c>
      <c r="H112" s="1428" t="str" cm="1">
        <f t="array" ref="H112">IFERROR(INDEX(C$100:C$124,SMALL(IF(F$100:F$124=G112,ROW(F$100:F$124)-ROW(G$100)+1),COUNTIF(G$100:G112,G112))),"")</f>
        <v>Rent Insurance</v>
      </c>
      <c r="I112" s="1429">
        <f>-SUMIFS('ACTUALS (M)'!$G33:$DV33,'ACTUALS (M)'!$G$7:$DV$7,HIDE5!I$89,'ACTUALS (M)'!$G$6:$DV$6,HIDE5!J$89)</f>
        <v>0</v>
      </c>
      <c r="J112" s="1428"/>
      <c r="K112" s="1429">
        <f>-SUMIFS('ACTUALS (M)'!$G33:$DV33,'ACTUALS (M)'!$G$7:$DV$7,HIDE5!K$89,'ACTUALS (M)'!$G$6:$DV$6,HIDE5!L$89)</f>
        <v>0</v>
      </c>
      <c r="L112" s="1428"/>
      <c r="N112" s="1433">
        <f>IFERROR(SUMIF(FORECASTS!$E$4:$AI$4,N$89,FORECASTS!$E54:$AI54)/$R$67-1,0)</f>
        <v>0</v>
      </c>
      <c r="O112" s="1431">
        <f t="shared" si="15"/>
        <v>0</v>
      </c>
      <c r="P112" s="10"/>
      <c r="Q112" s="10"/>
      <c r="R112" s="1467" t="e">
        <f t="shared" si="17"/>
        <v>#N/A</v>
      </c>
      <c r="S112" s="1467" t="e">
        <f t="shared" si="18"/>
        <v>#N/A</v>
      </c>
      <c r="T112" s="1467" t="e">
        <f t="shared" si="19"/>
        <v>#N/A</v>
      </c>
      <c r="U112" s="1467" t="e">
        <f t="shared" si="20"/>
        <v>#N/A</v>
      </c>
      <c r="V112" s="1467" t="e">
        <f t="shared" si="21"/>
        <v>#N/A</v>
      </c>
      <c r="W112" s="1467" t="e">
        <f t="shared" si="22"/>
        <v>#N/A</v>
      </c>
      <c r="X112" s="1467" t="e">
        <f t="shared" si="23"/>
        <v>#N/A</v>
      </c>
      <c r="Y112" s="1467" t="e">
        <f t="shared" si="24"/>
        <v>#N/A</v>
      </c>
      <c r="Z112" s="1467" t="e">
        <f t="shared" si="25"/>
        <v>#N/A</v>
      </c>
      <c r="AA112" s="1467" t="e">
        <f t="shared" si="26"/>
        <v>#N/A</v>
      </c>
      <c r="AB112" s="1467" t="e">
        <f t="shared" si="27"/>
        <v>#N/A</v>
      </c>
      <c r="AC112" s="1467" t="e">
        <f t="shared" si="28"/>
        <v>#N/A</v>
      </c>
      <c r="AD112" s="10"/>
    </row>
    <row r="113" spans="2:30" x14ac:dyDescent="0.3">
      <c r="C113" s="10" t="str">
        <f t="shared" si="14"/>
        <v>Legal</v>
      </c>
      <c r="D113" s="1433">
        <f>IFERROR(SUMIF(FORECASTS!$E$4:$AI$4,D$89,FORECASTS!$E56:$AI56)/$Q$68-1,0)</f>
        <v>0</v>
      </c>
      <c r="E113" s="1431" t="e" cm="1">
        <f t="array" ref="E113">INDEX($D68:$O68,0,E$89)*(1+$D113)</f>
        <v>#N/A</v>
      </c>
      <c r="F113" s="1429">
        <f>-SUMIFS('ACTUALS (M)'!$G34:$DV34,'ACTUALS (M)'!$G$7:$DV$7,HIDE5!$F$89,'ACTUALS (M)'!$G$6:$DV$6,HIDE5!$G$89)</f>
        <v>0</v>
      </c>
      <c r="G113" s="682">
        <f>IFERROR(LARGE($F$100:$F$124,ROWS($G$100:G113)),"")</f>
        <v>0</v>
      </c>
      <c r="H113" s="1428" t="str" cm="1">
        <f t="array" ref="H113">IFERROR(INDEX(C$100:C$124,SMALL(IF(F$100:F$124=G113,ROW(F$100:F$124)-ROW(G$100)+1),COUNTIF(G$100:G113,G113))),"")</f>
        <v>Legal</v>
      </c>
      <c r="I113" s="1429">
        <f>-SUMIFS('ACTUALS (M)'!$G34:$DV34,'ACTUALS (M)'!$G$7:$DV$7,HIDE5!I$89,'ACTUALS (M)'!$G$6:$DV$6,HIDE5!J$89)</f>
        <v>0</v>
      </c>
      <c r="J113" s="1428"/>
      <c r="K113" s="1429">
        <f>-SUMIFS('ACTUALS (M)'!$G34:$DV34,'ACTUALS (M)'!$G$7:$DV$7,HIDE5!K$89,'ACTUALS (M)'!$G$6:$DV$6,HIDE5!L$89)</f>
        <v>0</v>
      </c>
      <c r="L113" s="1428"/>
      <c r="N113" s="1433">
        <f>IFERROR(SUMIF(FORECASTS!$E$4:$AI$4,N$89,FORECASTS!$E56:$AI56)/$R$68-1,0)</f>
        <v>0</v>
      </c>
      <c r="O113" s="1431">
        <f t="shared" si="15"/>
        <v>0</v>
      </c>
      <c r="P113" s="10"/>
      <c r="Q113" s="10"/>
      <c r="R113" s="1467" t="e">
        <f t="shared" si="17"/>
        <v>#N/A</v>
      </c>
      <c r="S113" s="1467" t="e">
        <f t="shared" si="18"/>
        <v>#N/A</v>
      </c>
      <c r="T113" s="1467" t="e">
        <f t="shared" si="19"/>
        <v>#N/A</v>
      </c>
      <c r="U113" s="1467" t="e">
        <f t="shared" si="20"/>
        <v>#N/A</v>
      </c>
      <c r="V113" s="1467" t="e">
        <f t="shared" si="21"/>
        <v>#N/A</v>
      </c>
      <c r="W113" s="1467" t="e">
        <f t="shared" si="22"/>
        <v>#N/A</v>
      </c>
      <c r="X113" s="1467" t="e">
        <f t="shared" si="23"/>
        <v>#N/A</v>
      </c>
      <c r="Y113" s="1467" t="e">
        <f t="shared" si="24"/>
        <v>#N/A</v>
      </c>
      <c r="Z113" s="1467" t="e">
        <f t="shared" si="25"/>
        <v>#N/A</v>
      </c>
      <c r="AA113" s="1467" t="e">
        <f t="shared" si="26"/>
        <v>#N/A</v>
      </c>
      <c r="AB113" s="1467" t="e">
        <f t="shared" si="27"/>
        <v>#N/A</v>
      </c>
      <c r="AC113" s="1467" t="e">
        <f t="shared" si="28"/>
        <v>#N/A</v>
      </c>
      <c r="AD113" s="10"/>
    </row>
    <row r="114" spans="2:30" x14ac:dyDescent="0.3">
      <c r="C114" s="10" t="str">
        <f t="shared" si="14"/>
        <v>Advertising</v>
      </c>
      <c r="D114" s="1433">
        <f>IFERROR(SUMIF(FORECASTS!$E$4:$AI$4,D$89,FORECASTS!$E58:$AI58)/$Q$69-1,0)</f>
        <v>0</v>
      </c>
      <c r="E114" s="1431" t="e" cm="1">
        <f t="array" ref="E114">INDEX($D69:$O69,0,E$89)*(1+$D114)</f>
        <v>#N/A</v>
      </c>
      <c r="F114" s="1429">
        <f>-SUMIFS('ACTUALS (M)'!$G35:$DV35,'ACTUALS (M)'!$G$7:$DV$7,HIDE5!$F$89,'ACTUALS (M)'!$G$6:$DV$6,HIDE5!$G$89)</f>
        <v>0</v>
      </c>
      <c r="G114" s="682">
        <f>IFERROR(LARGE($F$100:$F$124,ROWS($G$100:G114)),"")</f>
        <v>0</v>
      </c>
      <c r="H114" s="1428" t="str" cm="1">
        <f t="array" ref="H114">IFERROR(INDEX(C$100:C$124,SMALL(IF(F$100:F$124=G114,ROW(F$100:F$124)-ROW(G$100)+1),COUNTIF(G$100:G114,G114))),"")</f>
        <v>Advertising</v>
      </c>
      <c r="I114" s="1429">
        <f>-SUMIFS('ACTUALS (M)'!$G35:$DV35,'ACTUALS (M)'!$G$7:$DV$7,HIDE5!I$89,'ACTUALS (M)'!$G$6:$DV$6,HIDE5!J$89)</f>
        <v>0</v>
      </c>
      <c r="J114" s="1428"/>
      <c r="K114" s="1429">
        <f>-SUMIFS('ACTUALS (M)'!$G35:$DV35,'ACTUALS (M)'!$G$7:$DV$7,HIDE5!K$89,'ACTUALS (M)'!$G$6:$DV$6,HIDE5!L$89)</f>
        <v>0</v>
      </c>
      <c r="L114" s="1428"/>
      <c r="N114" s="1433">
        <f>IFERROR(SUMIF(FORECASTS!$E$4:$AI$4,N$89,FORECASTS!$E58:$AI58)/$R$69-1,0)</f>
        <v>0</v>
      </c>
      <c r="O114" s="1431">
        <f t="shared" si="15"/>
        <v>0</v>
      </c>
      <c r="P114" s="10"/>
      <c r="Q114" s="10"/>
      <c r="R114" s="1467" t="e">
        <f t="shared" si="17"/>
        <v>#N/A</v>
      </c>
      <c r="S114" s="1467" t="e">
        <f t="shared" si="18"/>
        <v>#N/A</v>
      </c>
      <c r="T114" s="1467" t="e">
        <f t="shared" si="19"/>
        <v>#N/A</v>
      </c>
      <c r="U114" s="1467" t="e">
        <f t="shared" si="20"/>
        <v>#N/A</v>
      </c>
      <c r="V114" s="1467" t="e">
        <f t="shared" si="21"/>
        <v>#N/A</v>
      </c>
      <c r="W114" s="1467" t="e">
        <f t="shared" si="22"/>
        <v>#N/A</v>
      </c>
      <c r="X114" s="1467" t="e">
        <f t="shared" si="23"/>
        <v>#N/A</v>
      </c>
      <c r="Y114" s="1467" t="e">
        <f t="shared" si="24"/>
        <v>#N/A</v>
      </c>
      <c r="Z114" s="1467" t="e">
        <f t="shared" si="25"/>
        <v>#N/A</v>
      </c>
      <c r="AA114" s="1467" t="e">
        <f t="shared" si="26"/>
        <v>#N/A</v>
      </c>
      <c r="AB114" s="1467" t="e">
        <f t="shared" si="27"/>
        <v>#N/A</v>
      </c>
      <c r="AC114" s="1467" t="e">
        <f t="shared" si="28"/>
        <v>#N/A</v>
      </c>
      <c r="AD114" s="10"/>
    </row>
    <row r="115" spans="2:30" x14ac:dyDescent="0.3">
      <c r="C115" s="10" t="str">
        <f t="shared" si="14"/>
        <v>Other Cost 1</v>
      </c>
      <c r="D115" s="1433">
        <f>IFERROR(SUMIF(FORECASTS!$E$4:$AI$4,D$89,FORECASTS!$E60:$AI60)/$Q$70-1,0)</f>
        <v>0</v>
      </c>
      <c r="E115" s="1431" t="e" cm="1">
        <f t="array" ref="E115">INDEX($D70:$O70,0,E$89)*(1+$D115)</f>
        <v>#N/A</v>
      </c>
      <c r="F115" s="1429">
        <f>-SUMIFS('ACTUALS (M)'!$G36:$DV36,'ACTUALS (M)'!$G$7:$DV$7,HIDE5!$F$89,'ACTUALS (M)'!$G$6:$DV$6,HIDE5!$G$89)</f>
        <v>0</v>
      </c>
      <c r="G115" s="682">
        <f>IFERROR(LARGE($F$100:$F$124,ROWS($G$100:G115)),"")</f>
        <v>0</v>
      </c>
      <c r="H115" s="1428" t="str" cm="1">
        <f t="array" ref="H115">IFERROR(INDEX(C$100:C$124,SMALL(IF(F$100:F$124=G115,ROW(F$100:F$124)-ROW(G$100)+1),COUNTIF(G$100:G115,G115))),"")</f>
        <v>Other Cost 1</v>
      </c>
      <c r="I115" s="1429">
        <f>-SUMIFS('ACTUALS (M)'!$G36:$DV36,'ACTUALS (M)'!$G$7:$DV$7,HIDE5!I$89,'ACTUALS (M)'!$G$6:$DV$6,HIDE5!J$89)</f>
        <v>0</v>
      </c>
      <c r="J115" s="1428"/>
      <c r="K115" s="1429">
        <f>-SUMIFS('ACTUALS (M)'!$G36:$DV36,'ACTUALS (M)'!$G$7:$DV$7,HIDE5!K$89,'ACTUALS (M)'!$G$6:$DV$6,HIDE5!L$89)</f>
        <v>0</v>
      </c>
      <c r="L115" s="1428"/>
      <c r="N115" s="1433">
        <f>IFERROR(SUMIF(FORECASTS!$E$4:$AI$4,N$89,FORECASTS!$E60:$AI60)/$R$70-1,0)</f>
        <v>0</v>
      </c>
      <c r="O115" s="1431">
        <f t="shared" si="15"/>
        <v>0</v>
      </c>
      <c r="P115" s="10"/>
      <c r="Q115" s="10"/>
      <c r="R115" s="1467" t="e">
        <f t="shared" si="17"/>
        <v>#N/A</v>
      </c>
      <c r="S115" s="1467" t="e">
        <f t="shared" si="18"/>
        <v>#N/A</v>
      </c>
      <c r="T115" s="1467" t="e">
        <f t="shared" si="19"/>
        <v>#N/A</v>
      </c>
      <c r="U115" s="1467" t="e">
        <f t="shared" si="20"/>
        <v>#N/A</v>
      </c>
      <c r="V115" s="1467" t="e">
        <f t="shared" si="21"/>
        <v>#N/A</v>
      </c>
      <c r="W115" s="1467" t="e">
        <f t="shared" si="22"/>
        <v>#N/A</v>
      </c>
      <c r="X115" s="1467" t="e">
        <f t="shared" si="23"/>
        <v>#N/A</v>
      </c>
      <c r="Y115" s="1467" t="e">
        <f t="shared" si="24"/>
        <v>#N/A</v>
      </c>
      <c r="Z115" s="1467" t="e">
        <f t="shared" si="25"/>
        <v>#N/A</v>
      </c>
      <c r="AA115" s="1467" t="e">
        <f t="shared" si="26"/>
        <v>#N/A</v>
      </c>
      <c r="AB115" s="1467" t="e">
        <f t="shared" si="27"/>
        <v>#N/A</v>
      </c>
      <c r="AC115" s="1467" t="e">
        <f t="shared" si="28"/>
        <v>#N/A</v>
      </c>
      <c r="AD115" s="10"/>
    </row>
    <row r="116" spans="2:30" x14ac:dyDescent="0.3">
      <c r="C116" s="10" t="str">
        <f t="shared" si="14"/>
        <v>Other Cost 2</v>
      </c>
      <c r="D116" s="1433">
        <f>IFERROR(SUMIF(FORECASTS!$E$4:$AI$4,D$89,FORECASTS!$E62:$AI62)/$Q$71-1,0)</f>
        <v>0</v>
      </c>
      <c r="E116" s="1431" t="e" cm="1">
        <f t="array" ref="E116">INDEX($D71:$O71,0,E$89)*(1+$D116)</f>
        <v>#N/A</v>
      </c>
      <c r="F116" s="1429">
        <f>-SUMIFS('ACTUALS (M)'!$G37:$DV37,'ACTUALS (M)'!$G$7:$DV$7,HIDE5!$F$89,'ACTUALS (M)'!$G$6:$DV$6,HIDE5!$G$89)</f>
        <v>0</v>
      </c>
      <c r="G116" s="682">
        <f>IFERROR(LARGE($F$100:$F$124,ROWS($G$100:G116)),"")</f>
        <v>0</v>
      </c>
      <c r="H116" s="1428" t="str" cm="1">
        <f t="array" ref="H116">IFERROR(INDEX(C$100:C$124,SMALL(IF(F$100:F$124=G116,ROW(F$100:F$124)-ROW(G$100)+1),COUNTIF(G$100:G116,G116))),"")</f>
        <v>Other Cost 2</v>
      </c>
      <c r="I116" s="1429">
        <f>-SUMIFS('ACTUALS (M)'!$G37:$DV37,'ACTUALS (M)'!$G$7:$DV$7,HIDE5!I$89,'ACTUALS (M)'!$G$6:$DV$6,HIDE5!J$89)</f>
        <v>0</v>
      </c>
      <c r="J116" s="1428"/>
      <c r="K116" s="1429">
        <f>-SUMIFS('ACTUALS (M)'!$G37:$DV37,'ACTUALS (M)'!$G$7:$DV$7,HIDE5!K$89,'ACTUALS (M)'!$G$6:$DV$6,HIDE5!L$89)</f>
        <v>0</v>
      </c>
      <c r="L116" s="1428"/>
      <c r="N116" s="1433">
        <f>IFERROR(SUMIF(FORECASTS!$E$4:$AI$4,N$89,FORECASTS!$E62:$AI62)/$R$71-1,0)</f>
        <v>0</v>
      </c>
      <c r="O116" s="1431">
        <f t="shared" si="15"/>
        <v>0</v>
      </c>
      <c r="P116" s="10"/>
      <c r="Q116" s="10"/>
      <c r="R116" s="1467" t="e">
        <f t="shared" si="17"/>
        <v>#N/A</v>
      </c>
      <c r="S116" s="1467" t="e">
        <f t="shared" si="18"/>
        <v>#N/A</v>
      </c>
      <c r="T116" s="1467" t="e">
        <f t="shared" si="19"/>
        <v>#N/A</v>
      </c>
      <c r="U116" s="1467" t="e">
        <f t="shared" si="20"/>
        <v>#N/A</v>
      </c>
      <c r="V116" s="1467" t="e">
        <f t="shared" si="21"/>
        <v>#N/A</v>
      </c>
      <c r="W116" s="1467" t="e">
        <f t="shared" si="22"/>
        <v>#N/A</v>
      </c>
      <c r="X116" s="1467" t="e">
        <f t="shared" si="23"/>
        <v>#N/A</v>
      </c>
      <c r="Y116" s="1467" t="e">
        <f t="shared" si="24"/>
        <v>#N/A</v>
      </c>
      <c r="Z116" s="1467" t="e">
        <f t="shared" si="25"/>
        <v>#N/A</v>
      </c>
      <c r="AA116" s="1467" t="e">
        <f t="shared" si="26"/>
        <v>#N/A</v>
      </c>
      <c r="AB116" s="1467" t="e">
        <f t="shared" si="27"/>
        <v>#N/A</v>
      </c>
      <c r="AC116" s="1467" t="e">
        <f t="shared" si="28"/>
        <v>#N/A</v>
      </c>
      <c r="AD116" s="10"/>
    </row>
    <row r="117" spans="2:30" x14ac:dyDescent="0.3">
      <c r="C117" s="10" t="str">
        <f t="shared" si="14"/>
        <v>Miscellaneous (Variable)</v>
      </c>
      <c r="D117" s="1433">
        <f>IFERROR(SUMIF(FORECASTS!$E$4:$AI$4,D$89,FORECASTS!$E64:$AI64)/$Q$72-1,0)</f>
        <v>0</v>
      </c>
      <c r="E117" s="1431" t="e" cm="1">
        <f t="array" ref="E117">INDEX($D72:$O72,0,E$89)*(1+$D117)</f>
        <v>#N/A</v>
      </c>
      <c r="F117" s="1429">
        <f>-SUMIFS('ACTUALS (M)'!$G38:$DV38,'ACTUALS (M)'!$G$7:$DV$7,HIDE5!$F$89,'ACTUALS (M)'!$G$6:$DV$6,HIDE5!$G$89)</f>
        <v>0</v>
      </c>
      <c r="G117" s="682">
        <f>IFERROR(LARGE($F$100:$F$124,ROWS($G$100:G117)),"")</f>
        <v>0</v>
      </c>
      <c r="H117" s="1428" t="str" cm="1">
        <f t="array" ref="H117">IFERROR(INDEX(C$100:C$124,SMALL(IF(F$100:F$124=G117,ROW(F$100:F$124)-ROW(G$100)+1),COUNTIF(G$100:G117,G117))),"")</f>
        <v>Miscellaneous (Variable)</v>
      </c>
      <c r="I117" s="1429">
        <f>-SUMIFS('ACTUALS (M)'!$G38:$DV38,'ACTUALS (M)'!$G$7:$DV$7,HIDE5!I$89,'ACTUALS (M)'!$G$6:$DV$6,HIDE5!J$89)</f>
        <v>0</v>
      </c>
      <c r="J117" s="1428"/>
      <c r="K117" s="1429">
        <f>-SUMIFS('ACTUALS (M)'!$G38:$DV38,'ACTUALS (M)'!$G$7:$DV$7,HIDE5!K$89,'ACTUALS (M)'!$G$6:$DV$6,HIDE5!L$89)</f>
        <v>0</v>
      </c>
      <c r="L117" s="1428"/>
      <c r="N117" s="1433">
        <f>IFERROR(SUMIF(FORECASTS!$E$4:$AI$4,N$89,FORECASTS!$E64:$AI64)/$R$72-1,0)</f>
        <v>0</v>
      </c>
      <c r="O117" s="1431">
        <f t="shared" si="15"/>
        <v>0</v>
      </c>
      <c r="P117" s="10"/>
      <c r="Q117" s="10"/>
      <c r="R117" s="1467" t="e">
        <f t="shared" si="17"/>
        <v>#N/A</v>
      </c>
      <c r="S117" s="1467" t="e">
        <f t="shared" si="18"/>
        <v>#N/A</v>
      </c>
      <c r="T117" s="1467" t="e">
        <f t="shared" si="19"/>
        <v>#N/A</v>
      </c>
      <c r="U117" s="1467" t="e">
        <f t="shared" si="20"/>
        <v>#N/A</v>
      </c>
      <c r="V117" s="1467" t="e">
        <f t="shared" si="21"/>
        <v>#N/A</v>
      </c>
      <c r="W117" s="1467" t="e">
        <f t="shared" si="22"/>
        <v>#N/A</v>
      </c>
      <c r="X117" s="1467" t="e">
        <f t="shared" si="23"/>
        <v>#N/A</v>
      </c>
      <c r="Y117" s="1467" t="e">
        <f t="shared" si="24"/>
        <v>#N/A</v>
      </c>
      <c r="Z117" s="1467" t="e">
        <f t="shared" si="25"/>
        <v>#N/A</v>
      </c>
      <c r="AA117" s="1467" t="e">
        <f t="shared" si="26"/>
        <v>#N/A</v>
      </c>
      <c r="AB117" s="1467" t="e">
        <f t="shared" si="27"/>
        <v>#N/A</v>
      </c>
      <c r="AC117" s="1467" t="e">
        <f t="shared" si="28"/>
        <v>#N/A</v>
      </c>
      <c r="AD117" s="10"/>
    </row>
    <row r="118" spans="2:30" x14ac:dyDescent="0.3">
      <c r="B118" s="1418"/>
      <c r="C118" s="1419" t="str">
        <f>FORECASTS!B66</f>
        <v>Custom Op. Expense 1</v>
      </c>
      <c r="D118" s="1434"/>
      <c r="E118" s="1435">
        <f>SUMIF(FORECASTS!$E$4:$AI$4,D$89,FORECASTS!$E66:$AI66)/12</f>
        <v>0</v>
      </c>
      <c r="F118" s="1429">
        <f>-SUMIFS('ACTUALS (M)'!$G39:$DV39,'ACTUALS (M)'!$G$7:$DV$7,HIDE5!$F$89,'ACTUALS (M)'!$G$6:$DV$6,HIDE5!$G$89)</f>
        <v>0</v>
      </c>
      <c r="G118" s="682">
        <f>IFERROR(LARGE($F$100:$F$124,ROWS($G$100:G118)),"")</f>
        <v>0</v>
      </c>
      <c r="H118" s="1428" t="str" cm="1">
        <f t="array" ref="H118">IFERROR(INDEX(C$100:C$124,SMALL(IF(F$100:F$124=G118,ROW(F$100:F$124)-ROW(G$100)+1),COUNTIF(G$100:G118,G118))),"")</f>
        <v>Custom Op. Expense 1</v>
      </c>
      <c r="I118" s="1429">
        <f>-SUMIFS('ACTUALS (M)'!$G39:$DV39,'ACTUALS (M)'!$G$7:$DV$7,HIDE5!I$89,'ACTUALS (M)'!$G$6:$DV$6,HIDE5!J$89)</f>
        <v>0</v>
      </c>
      <c r="J118" s="1428"/>
      <c r="K118" s="1429">
        <f>-SUMIFS('ACTUALS (M)'!$G39:$DV39,'ACTUALS (M)'!$G$7:$DV$7,HIDE5!K$89,'ACTUALS (M)'!$G$6:$DV$6,HIDE5!L$89)</f>
        <v>0</v>
      </c>
      <c r="L118" s="1428"/>
      <c r="N118" s="1434"/>
      <c r="O118" s="1435" t="e">
        <f>SUMIF(FORECASTS!$E$4:$AI$4,N$89,FORECASTS!$E66:$AI66)/12*O89</f>
        <v>#N/A</v>
      </c>
      <c r="P118" s="10"/>
      <c r="Q118" s="10"/>
      <c r="R118" s="1467" t="e">
        <f>IF(R$89&gt;$O$89,0,SUMIF(FORECASTS!$E$4:$AI$4,$N$89,FORECASTS!$E66:$AI66)/12)</f>
        <v>#N/A</v>
      </c>
      <c r="S118" s="1467" t="e">
        <f>IF(S$89&gt;$O$89,0,SUMIF(FORECASTS!$E$4:$AI$4,$N$89,FORECASTS!$E66:$AI66)/12)</f>
        <v>#N/A</v>
      </c>
      <c r="T118" s="1467" t="e">
        <f>IF(T$89&gt;$O$89,0,SUMIF(FORECASTS!$E$4:$AI$4,$N$89,FORECASTS!$E66:$AI66)/12)</f>
        <v>#N/A</v>
      </c>
      <c r="U118" s="1467" t="e">
        <f>IF(U$89&gt;$O$89,0,SUMIF(FORECASTS!$E$4:$AI$4,$N$89,FORECASTS!$E66:$AI66)/12)</f>
        <v>#N/A</v>
      </c>
      <c r="V118" s="1467" t="e">
        <f>IF(V$89&gt;$O$89,0,SUMIF(FORECASTS!$E$4:$AI$4,$N$89,FORECASTS!$E66:$AI66)/12)</f>
        <v>#N/A</v>
      </c>
      <c r="W118" s="1467" t="e">
        <f>IF(W$89&gt;$O$89,0,SUMIF(FORECASTS!$E$4:$AI$4,$N$89,FORECASTS!$E66:$AI66)/12)</f>
        <v>#N/A</v>
      </c>
      <c r="X118" s="1467" t="e">
        <f>IF(X$89&gt;$O$89,0,SUMIF(FORECASTS!$E$4:$AI$4,$N$89,FORECASTS!$E66:$AI66)/12)</f>
        <v>#N/A</v>
      </c>
      <c r="Y118" s="1467" t="e">
        <f>IF(Y$89&gt;$O$89,0,SUMIF(FORECASTS!$E$4:$AI$4,$N$89,FORECASTS!$E66:$AI66)/12)</f>
        <v>#N/A</v>
      </c>
      <c r="Z118" s="1467" t="e">
        <f>IF(Z$89&gt;$O$89,0,SUMIF(FORECASTS!$E$4:$AI$4,$N$89,FORECASTS!$E66:$AI66)/12)</f>
        <v>#N/A</v>
      </c>
      <c r="AA118" s="1467" t="e">
        <f>IF(AA$89&gt;$O$89,0,SUMIF(FORECASTS!$E$4:$AI$4,$N$89,FORECASTS!$E66:$AI66)/12)</f>
        <v>#N/A</v>
      </c>
      <c r="AB118" s="1467" t="e">
        <f>IF(AB$89&gt;$O$89,0,SUMIF(FORECASTS!$E$4:$AI$4,$N$89,FORECASTS!$E66:$AI66)/12)</f>
        <v>#N/A</v>
      </c>
      <c r="AC118" s="1467" t="e">
        <f>IF(AC$89&gt;$O$89,0,SUMIF(FORECASTS!$E$4:$AI$4,$N$89,FORECASTS!$E66:$AI66)/12)</f>
        <v>#N/A</v>
      </c>
      <c r="AD118" s="10"/>
    </row>
    <row r="119" spans="2:30" x14ac:dyDescent="0.3">
      <c r="C119" s="10" t="str">
        <f>FORECASTS!B67</f>
        <v>Custom Op. Expense 2</v>
      </c>
      <c r="D119" s="1427"/>
      <c r="E119" s="1431">
        <f>SUMIF(FORECASTS!$E$4:$AI$4,D$89,FORECASTS!$E67:$AI67)/12</f>
        <v>0</v>
      </c>
      <c r="F119" s="1429">
        <f>-SUMIFS('ACTUALS (M)'!$G40:$DV40,'ACTUALS (M)'!$G$7:$DV$7,HIDE5!$F$89,'ACTUALS (M)'!$G$6:$DV$6,HIDE5!$G$89)</f>
        <v>0</v>
      </c>
      <c r="G119" s="682">
        <f>IFERROR(LARGE($F$100:$F$124,ROWS($G$100:G119)),"")</f>
        <v>0</v>
      </c>
      <c r="H119" s="1428" t="str" cm="1">
        <f t="array" ref="H119">IFERROR(INDEX(C$100:C$124,SMALL(IF(F$100:F$124=G119,ROW(F$100:F$124)-ROW(G$100)+1),COUNTIF(G$100:G119,G119))),"")</f>
        <v>Custom Op. Expense 2</v>
      </c>
      <c r="I119" s="1429">
        <f>-SUMIFS('ACTUALS (M)'!$G40:$DV40,'ACTUALS (M)'!$G$7:$DV$7,HIDE5!I$89,'ACTUALS (M)'!$G$6:$DV$6,HIDE5!J$89)</f>
        <v>0</v>
      </c>
      <c r="J119" s="1428"/>
      <c r="K119" s="1429">
        <f>-SUMIFS('ACTUALS (M)'!$G40:$DV40,'ACTUALS (M)'!$G$7:$DV$7,HIDE5!K$89,'ACTUALS (M)'!$G$6:$DV$6,HIDE5!L$89)</f>
        <v>0</v>
      </c>
      <c r="L119" s="1428"/>
      <c r="N119" s="1427"/>
      <c r="O119" s="1456" t="e">
        <f>SUMIF(FORECASTS!$E$4:$AI$4,N$89,FORECASTS!$E67:$AI67)/12*O89</f>
        <v>#N/A</v>
      </c>
      <c r="P119" s="10"/>
      <c r="Q119" s="10"/>
      <c r="R119" s="1467" t="e">
        <f>IF(R$89&gt;$O$89,0,SUMIF(FORECASTS!$E$4:$AI$4,$N$89,FORECASTS!$E67:$AI67)/12)</f>
        <v>#N/A</v>
      </c>
      <c r="S119" s="1467" t="e">
        <f>IF(S$89&gt;$O$89,0,SUMIF(FORECASTS!$E$4:$AI$4,$N$89,FORECASTS!$E67:$AI67)/12)</f>
        <v>#N/A</v>
      </c>
      <c r="T119" s="1467" t="e">
        <f>IF(T$89&gt;$O$89,0,SUMIF(FORECASTS!$E$4:$AI$4,$N$89,FORECASTS!$E67:$AI67)/12)</f>
        <v>#N/A</v>
      </c>
      <c r="U119" s="1467" t="e">
        <f>IF(U$89&gt;$O$89,0,SUMIF(FORECASTS!$E$4:$AI$4,$N$89,FORECASTS!$E67:$AI67)/12)</f>
        <v>#N/A</v>
      </c>
      <c r="V119" s="1467" t="e">
        <f>IF(V$89&gt;$O$89,0,SUMIF(FORECASTS!$E$4:$AI$4,$N$89,FORECASTS!$E67:$AI67)/12)</f>
        <v>#N/A</v>
      </c>
      <c r="W119" s="1467" t="e">
        <f>IF(W$89&gt;$O$89,0,SUMIF(FORECASTS!$E$4:$AI$4,$N$89,FORECASTS!$E67:$AI67)/12)</f>
        <v>#N/A</v>
      </c>
      <c r="X119" s="1467" t="e">
        <f>IF(X$89&gt;$O$89,0,SUMIF(FORECASTS!$E$4:$AI$4,$N$89,FORECASTS!$E67:$AI67)/12)</f>
        <v>#N/A</v>
      </c>
      <c r="Y119" s="1467" t="e">
        <f>IF(Y$89&gt;$O$89,0,SUMIF(FORECASTS!$E$4:$AI$4,$N$89,FORECASTS!$E67:$AI67)/12)</f>
        <v>#N/A</v>
      </c>
      <c r="Z119" s="1467" t="e">
        <f>IF(Z$89&gt;$O$89,0,SUMIF(FORECASTS!$E$4:$AI$4,$N$89,FORECASTS!$E67:$AI67)/12)</f>
        <v>#N/A</v>
      </c>
      <c r="AA119" s="1467" t="e">
        <f>IF(AA$89&gt;$O$89,0,SUMIF(FORECASTS!$E$4:$AI$4,$N$89,FORECASTS!$E67:$AI67)/12)</f>
        <v>#N/A</v>
      </c>
      <c r="AB119" s="1467" t="e">
        <f>IF(AB$89&gt;$O$89,0,SUMIF(FORECASTS!$E$4:$AI$4,$N$89,FORECASTS!$E67:$AI67)/12)</f>
        <v>#N/A</v>
      </c>
      <c r="AC119" s="1467" t="e">
        <f>IF(AC$89&gt;$O$89,0,SUMIF(FORECASTS!$E$4:$AI$4,$N$89,FORECASTS!$E67:$AI67)/12)</f>
        <v>#N/A</v>
      </c>
      <c r="AD119" s="10"/>
    </row>
    <row r="120" spans="2:30" x14ac:dyDescent="0.3">
      <c r="B120" s="1420"/>
      <c r="C120" s="1421" t="str">
        <f>FORECASTS!B74</f>
        <v>Capital Expenditures</v>
      </c>
      <c r="D120" s="1436">
        <f>IFERROR(SUMIF(FORECASTS!$E$4:$AI$4,D$89,FORECASTS!$E74:$AI74)/$Q$79-1,0)</f>
        <v>0</v>
      </c>
      <c r="E120" s="1437" t="e" cm="1">
        <f t="array" ref="E120">INDEX($D79:$O79,0,E$89)*(1+$D120)</f>
        <v>#N/A</v>
      </c>
      <c r="F120" s="1429">
        <f>-SUMIFS('ACTUALS (M)'!$G47:$DV47,'ACTUALS (M)'!$G$7:$DV$7,HIDE5!$F$89,'ACTUALS (M)'!$G$6:$DV$6,HIDE5!$G$89)</f>
        <v>0</v>
      </c>
      <c r="G120" s="682">
        <f>IFERROR(LARGE($F$100:$F$124,ROWS($G$100:G120)),"")</f>
        <v>0</v>
      </c>
      <c r="H120" s="1428" t="str" cm="1">
        <f t="array" ref="H120">IFERROR(INDEX(C$100:C$124,SMALL(IF(F$100:F$124=G120,ROW(F$100:F$124)-ROW(G$100)+1),COUNTIF(G$100:G120,G120))),"")</f>
        <v>Capital Expenditures</v>
      </c>
      <c r="I120" s="1429">
        <f>-SUMIFS('ACTUALS (M)'!$G47:$DV47,'ACTUALS (M)'!$G$7:$DV$7,HIDE5!I$89,'ACTUALS (M)'!$G$6:$DV$6,HIDE5!J$89)</f>
        <v>0</v>
      </c>
      <c r="J120" s="1428"/>
      <c r="K120" s="1429">
        <f>-SUMIFS('ACTUALS (M)'!$G47:$DV47,'ACTUALS (M)'!$G$7:$DV$7,HIDE5!K$89,'ACTUALS (M)'!$G$6:$DV$6,HIDE5!L$89)</f>
        <v>0</v>
      </c>
      <c r="L120" s="1428"/>
      <c r="N120" s="1436">
        <f>IFERROR(SUMIF(FORECASTS!$E$4:$AI$4,N$89,FORECASTS!$E74:$AI74)/$R$79-1,0)</f>
        <v>0</v>
      </c>
      <c r="O120" s="1437">
        <f>SUMIF($D$41:$O$41,"&lt;="&amp;$O$89,$D79:$O79)*(1+$N120)</f>
        <v>0</v>
      </c>
      <c r="P120" s="10"/>
      <c r="Q120" s="10"/>
      <c r="R120" s="1467" t="e">
        <f>IF(R$89&gt;$O$89,0,(1+$N120)*D79)</f>
        <v>#N/A</v>
      </c>
      <c r="S120" s="1467" t="e">
        <f t="shared" ref="S120:AC120" si="29">IF(S$89&gt;$O$89,0,(1+$N120)*E79)</f>
        <v>#N/A</v>
      </c>
      <c r="T120" s="1467" t="e">
        <f t="shared" si="29"/>
        <v>#N/A</v>
      </c>
      <c r="U120" s="1467" t="e">
        <f t="shared" si="29"/>
        <v>#N/A</v>
      </c>
      <c r="V120" s="1467" t="e">
        <f t="shared" si="29"/>
        <v>#N/A</v>
      </c>
      <c r="W120" s="1467" t="e">
        <f t="shared" si="29"/>
        <v>#N/A</v>
      </c>
      <c r="X120" s="1467" t="e">
        <f t="shared" si="29"/>
        <v>#N/A</v>
      </c>
      <c r="Y120" s="1467" t="e">
        <f t="shared" si="29"/>
        <v>#N/A</v>
      </c>
      <c r="Z120" s="1467" t="e">
        <f t="shared" si="29"/>
        <v>#N/A</v>
      </c>
      <c r="AA120" s="1467" t="e">
        <f t="shared" si="29"/>
        <v>#N/A</v>
      </c>
      <c r="AB120" s="1467" t="e">
        <f t="shared" si="29"/>
        <v>#N/A</v>
      </c>
      <c r="AC120" s="1467" t="e">
        <f t="shared" si="29"/>
        <v>#N/A</v>
      </c>
      <c r="AD120" s="10"/>
    </row>
    <row r="121" spans="2:30" x14ac:dyDescent="0.3">
      <c r="C121" s="10" t="str">
        <f>FORECASTS!B76</f>
        <v>Non Op. Expense 1</v>
      </c>
      <c r="D121" s="1427"/>
      <c r="E121" s="1431">
        <f>SUMIF(FORECASTS!$E$4:$AI$4,D$89,FORECASTS!$E76:$AI76)/12</f>
        <v>0</v>
      </c>
      <c r="F121" s="1429">
        <f>-SUMIFS('ACTUALS (M)'!$G48:$DV48,'ACTUALS (M)'!$G$7:$DV$7,HIDE5!$F$89,'ACTUALS (M)'!$G$6:$DV$6,HIDE5!$G$89)</f>
        <v>0</v>
      </c>
      <c r="G121" s="682">
        <f>IFERROR(LARGE($F$100:$F$124,ROWS($G$100:G121)),"")</f>
        <v>0</v>
      </c>
      <c r="H121" s="1428" t="str" cm="1">
        <f t="array" ref="H121">IFERROR(INDEX(C$100:C$124,SMALL(IF(F$100:F$124=G121,ROW(F$100:F$124)-ROW(G$100)+1),COUNTIF(G$100:G121,G121))),"")</f>
        <v>Non Op. Expense 1</v>
      </c>
      <c r="I121" s="1429">
        <f>-SUMIFS('ACTUALS (M)'!$G48:$DV48,'ACTUALS (M)'!$G$7:$DV$7,HIDE5!I$89,'ACTUALS (M)'!$G$6:$DV$6,HIDE5!J$89)</f>
        <v>0</v>
      </c>
      <c r="J121" s="1428"/>
      <c r="K121" s="1429">
        <f>-SUMIFS('ACTUALS (M)'!$G48:$DV48,'ACTUALS (M)'!$G$7:$DV$7,HIDE5!K$89,'ACTUALS (M)'!$G$6:$DV$6,HIDE5!L$89)</f>
        <v>0</v>
      </c>
      <c r="L121" s="1428"/>
      <c r="N121" s="1427"/>
      <c r="O121" s="1431" t="e">
        <f>SUMIF(FORECASTS!$E$4:$AI$4,N$89,FORECASTS!$E76:$AI76)/12*$O$89</f>
        <v>#N/A</v>
      </c>
      <c r="P121" s="10"/>
      <c r="Q121" s="10"/>
      <c r="R121" s="1467" t="e">
        <f>IF(R$89&gt;$O$89,0,SUMIF(FORECASTS!$E$4:$AI$4,$N$89,FORECASTS!$E76:$AI76)/12)</f>
        <v>#N/A</v>
      </c>
      <c r="S121" s="1467" t="e">
        <f>IF(S$89&gt;$O$89,0,SUMIF(FORECASTS!$E$4:$AI$4,$N$89,FORECASTS!$E76:$AI76)/12)</f>
        <v>#N/A</v>
      </c>
      <c r="T121" s="1467" t="e">
        <f>IF(T$89&gt;$O$89,0,SUMIF(FORECASTS!$E$4:$AI$4,$N$89,FORECASTS!$E76:$AI76)/12)</f>
        <v>#N/A</v>
      </c>
      <c r="U121" s="1467" t="e">
        <f>IF(U$89&gt;$O$89,0,SUMIF(FORECASTS!$E$4:$AI$4,$N$89,FORECASTS!$E76:$AI76)/12)</f>
        <v>#N/A</v>
      </c>
      <c r="V121" s="1467" t="e">
        <f>IF(V$89&gt;$O$89,0,SUMIF(FORECASTS!$E$4:$AI$4,$N$89,FORECASTS!$E76:$AI76)/12)</f>
        <v>#N/A</v>
      </c>
      <c r="W121" s="1467" t="e">
        <f>IF(W$89&gt;$O$89,0,SUMIF(FORECASTS!$E$4:$AI$4,$N$89,FORECASTS!$E76:$AI76)/12)</f>
        <v>#N/A</v>
      </c>
      <c r="X121" s="1467" t="e">
        <f>IF(X$89&gt;$O$89,0,SUMIF(FORECASTS!$E$4:$AI$4,$N$89,FORECASTS!$E76:$AI76)/12)</f>
        <v>#N/A</v>
      </c>
      <c r="Y121" s="1467" t="e">
        <f>IF(Y$89&gt;$O$89,0,SUMIF(FORECASTS!$E$4:$AI$4,$N$89,FORECASTS!$E76:$AI76)/12)</f>
        <v>#N/A</v>
      </c>
      <c r="Z121" s="1467" t="e">
        <f>IF(Z$89&gt;$O$89,0,SUMIF(FORECASTS!$E$4:$AI$4,$N$89,FORECASTS!$E76:$AI76)/12)</f>
        <v>#N/A</v>
      </c>
      <c r="AA121" s="1467" t="e">
        <f>IF(AA$89&gt;$O$89,0,SUMIF(FORECASTS!$E$4:$AI$4,$N$89,FORECASTS!$E76:$AI76)/12)</f>
        <v>#N/A</v>
      </c>
      <c r="AB121" s="1467" t="e">
        <f>IF(AB$89&gt;$O$89,0,SUMIF(FORECASTS!$E$4:$AI$4,$N$89,FORECASTS!$E76:$AI76)/12)</f>
        <v>#N/A</v>
      </c>
      <c r="AC121" s="1467" t="e">
        <f>IF(AC$89&gt;$O$89,0,SUMIF(FORECASTS!$E$4:$AI$4,$N$89,FORECASTS!$E76:$AI76)/12)</f>
        <v>#N/A</v>
      </c>
      <c r="AD121" s="10"/>
    </row>
    <row r="122" spans="2:30" x14ac:dyDescent="0.3">
      <c r="C122" s="10" t="str">
        <f>FORECASTS!B77</f>
        <v>Non Op. Expense 2</v>
      </c>
      <c r="D122" s="1427"/>
      <c r="E122" s="1431">
        <f>SUMIF(FORECASTS!$E$4:$AI$4,D$89,FORECASTS!$E77:$AI77)/12</f>
        <v>0</v>
      </c>
      <c r="F122" s="1429">
        <f>-SUMIFS('ACTUALS (M)'!$G49:$DV49,'ACTUALS (M)'!$G$7:$DV$7,HIDE5!$F$89,'ACTUALS (M)'!$G$6:$DV$6,HIDE5!$G$89)</f>
        <v>0</v>
      </c>
      <c r="G122" s="682">
        <f>IFERROR(LARGE($F$100:$F$124,ROWS($G$100:G122)),"")</f>
        <v>0</v>
      </c>
      <c r="H122" s="1428" t="str" cm="1">
        <f t="array" ref="H122">IFERROR(INDEX(C$100:C$124,SMALL(IF(F$100:F$124=G122,ROW(F$100:F$124)-ROW(G$100)+1),COUNTIF(G$100:G122,G122))),"")</f>
        <v>Non Op. Expense 2</v>
      </c>
      <c r="I122" s="1429">
        <f>-SUMIFS('ACTUALS (M)'!$G49:$DV49,'ACTUALS (M)'!$G$7:$DV$7,HIDE5!I$89,'ACTUALS (M)'!$G$6:$DV$6,HIDE5!J$89)</f>
        <v>0</v>
      </c>
      <c r="J122" s="1428"/>
      <c r="K122" s="1429">
        <f>-SUMIFS('ACTUALS (M)'!$G49:$DV49,'ACTUALS (M)'!$G$7:$DV$7,HIDE5!K$89,'ACTUALS (M)'!$G$6:$DV$6,HIDE5!L$89)</f>
        <v>0</v>
      </c>
      <c r="L122" s="1428"/>
      <c r="N122" s="1427"/>
      <c r="O122" s="1431" t="e">
        <f>SUMIF(FORECASTS!$E$4:$AI$4,N$89,FORECASTS!$E77:$AI77)/12*$O$89</f>
        <v>#N/A</v>
      </c>
      <c r="P122" s="10"/>
      <c r="Q122" s="10"/>
      <c r="R122" s="1467" t="e">
        <f>IF(R$89&gt;$O$89,0,SUMIF(FORECASTS!$E$4:$AI$4,$N$89,FORECASTS!$E77:$AI77)/12)</f>
        <v>#N/A</v>
      </c>
      <c r="S122" s="1467" t="e">
        <f>IF(S$89&gt;$O$89,0,SUMIF(FORECASTS!$E$4:$AI$4,$N$89,FORECASTS!$E77:$AI77)/12)</f>
        <v>#N/A</v>
      </c>
      <c r="T122" s="1467" t="e">
        <f>IF(T$89&gt;$O$89,0,SUMIF(FORECASTS!$E$4:$AI$4,$N$89,FORECASTS!$E77:$AI77)/12)</f>
        <v>#N/A</v>
      </c>
      <c r="U122" s="1467" t="e">
        <f>IF(U$89&gt;$O$89,0,SUMIF(FORECASTS!$E$4:$AI$4,$N$89,FORECASTS!$E77:$AI77)/12)</f>
        <v>#N/A</v>
      </c>
      <c r="V122" s="1467" t="e">
        <f>IF(V$89&gt;$O$89,0,SUMIF(FORECASTS!$E$4:$AI$4,$N$89,FORECASTS!$E77:$AI77)/12)</f>
        <v>#N/A</v>
      </c>
      <c r="W122" s="1467" t="e">
        <f>IF(W$89&gt;$O$89,0,SUMIF(FORECASTS!$E$4:$AI$4,$N$89,FORECASTS!$E77:$AI77)/12)</f>
        <v>#N/A</v>
      </c>
      <c r="X122" s="1467" t="e">
        <f>IF(X$89&gt;$O$89,0,SUMIF(FORECASTS!$E$4:$AI$4,$N$89,FORECASTS!$E77:$AI77)/12)</f>
        <v>#N/A</v>
      </c>
      <c r="Y122" s="1467" t="e">
        <f>IF(Y$89&gt;$O$89,0,SUMIF(FORECASTS!$E$4:$AI$4,$N$89,FORECASTS!$E77:$AI77)/12)</f>
        <v>#N/A</v>
      </c>
      <c r="Z122" s="1467" t="e">
        <f>IF(Z$89&gt;$O$89,0,SUMIF(FORECASTS!$E$4:$AI$4,$N$89,FORECASTS!$E77:$AI77)/12)</f>
        <v>#N/A</v>
      </c>
      <c r="AA122" s="1467" t="e">
        <f>IF(AA$89&gt;$O$89,0,SUMIF(FORECASTS!$E$4:$AI$4,$N$89,FORECASTS!$E77:$AI77)/12)</f>
        <v>#N/A</v>
      </c>
      <c r="AB122" s="1467" t="e">
        <f>IF(AB$89&gt;$O$89,0,SUMIF(FORECASTS!$E$4:$AI$4,$N$89,FORECASTS!$E77:$AI77)/12)</f>
        <v>#N/A</v>
      </c>
      <c r="AC122" s="1467" t="e">
        <f>IF(AC$89&gt;$O$89,0,SUMIF(FORECASTS!$E$4:$AI$4,$N$89,FORECASTS!$E77:$AI77)/12)</f>
        <v>#N/A</v>
      </c>
      <c r="AD122" s="10"/>
    </row>
    <row r="123" spans="2:30" x14ac:dyDescent="0.3">
      <c r="B123" s="1418"/>
      <c r="C123" s="1419" t="str">
        <f>FORECASTS!B104</f>
        <v>Mortgage Payment</v>
      </c>
      <c r="D123" s="1438"/>
      <c r="E123" s="1435">
        <f>-SUMIFS(MORTGAGE!$J$25:$J$384,MORTGAGE!$C$25:$C$384,"&gt;="&amp;HIDE5!D90,MORTGAGE!$C$25:$C$384,"&lt;="&amp;HIDE5!E90)-SUMIFS(MORTGAGE!$I$25:$I$384,MORTGAGE!$C$25:$C$384,"&gt;="&amp;HIDE5!D90,MORTGAGE!$C$25:$C$384,"&lt;="&amp;HIDE5!E90)</f>
        <v>0</v>
      </c>
      <c r="F123" s="1429">
        <f>-SUMIFS('ACTUALS (M)'!$G54:$DV54,'ACTUALS (M)'!$G$7:$DV$7,HIDE5!$F$89,'ACTUALS (M)'!$G$6:$DV$6,HIDE5!$G$89)</f>
        <v>0</v>
      </c>
      <c r="G123" s="682">
        <f>IFERROR(LARGE($F$100:$F$124,ROWS($G$100:G123)),"")</f>
        <v>0</v>
      </c>
      <c r="H123" s="1428" t="str" cm="1">
        <f t="array" ref="H123">IFERROR(INDEX(C$100:C$124,SMALL(IF(F$100:F$124=G123,ROW(F$100:F$124)-ROW(G$100)+1),COUNTIF(G$100:G123,G123))),"")</f>
        <v>Mortgage Payment</v>
      </c>
      <c r="I123" s="1429">
        <f>-SUMIFS('ACTUALS (M)'!$G54:$DV54,'ACTUALS (M)'!$G$7:$DV$7,HIDE5!I$89,'ACTUALS (M)'!$G$6:$DV$6,HIDE5!J$89)</f>
        <v>0</v>
      </c>
      <c r="J123" s="1428"/>
      <c r="K123" s="1429">
        <f>-SUMIFS('ACTUALS (M)'!$G54:$DV54,'ACTUALS (M)'!$G$7:$DV$7,HIDE5!K$89,'ACTUALS (M)'!$G$6:$DV$6,HIDE5!L$89)</f>
        <v>0</v>
      </c>
      <c r="L123" s="1428"/>
      <c r="N123" s="1438"/>
      <c r="O123" s="1435">
        <f>-SUMIFS(MORTGAGE!$J$25:$J$384,MORTGAGE!$C$25:$C$384,"&gt;="&amp;HIDE5!N90,MORTGAGE!$C$25:$C$384,"&lt;="&amp;HIDE5!O90)-SUMIFS(MORTGAGE!$I$25:$I$384,MORTGAGE!$C$25:$C$384,"&gt;="&amp;HIDE5!N90,MORTGAGE!$C$25:$C$384,"&lt;="&amp;HIDE5!O90)</f>
        <v>0</v>
      </c>
      <c r="P123" s="10"/>
      <c r="Q123" s="10"/>
      <c r="R123" s="1467">
        <f>IFERROR(IF(R89&gt;$O$89,0,-SUMIFS(MORTGAGE!$J$25:$J$384,MORTGAGE!$C$25:$C$384,"&gt;="&amp;HIDE5!R87,MORTGAGE!$C$25:$C$384,"&lt;="&amp;HIDE5!R88)-SUMIFS(MORTGAGE!$I$25:$I$384,MORTGAGE!$C$25:$C$384,"&gt;="&amp;HIDE5!R87,MORTGAGE!$C$25:$C$384,"&lt;="&amp;HIDE5!R88)),0)</f>
        <v>0</v>
      </c>
      <c r="S123" s="1467">
        <f>IFERROR(IF(S89&gt;$O$89,0,-SUMIFS(MORTGAGE!$J$25:$J$384,MORTGAGE!$C$25:$C$384,"&gt;="&amp;HIDE5!S87,MORTGAGE!$C$25:$C$384,"&lt;="&amp;HIDE5!S88)-SUMIFS(MORTGAGE!$I$25:$I$384,MORTGAGE!$C$25:$C$384,"&gt;="&amp;HIDE5!S87,MORTGAGE!$C$25:$C$384,"&lt;="&amp;HIDE5!S88)),0)</f>
        <v>0</v>
      </c>
      <c r="T123" s="1467">
        <f>IFERROR(IF(T89&gt;$O$89,0,-SUMIFS(MORTGAGE!$J$25:$J$384,MORTGAGE!$C$25:$C$384,"&gt;="&amp;HIDE5!T87,MORTGAGE!$C$25:$C$384,"&lt;="&amp;HIDE5!T88)-SUMIFS(MORTGAGE!$I$25:$I$384,MORTGAGE!$C$25:$C$384,"&gt;="&amp;HIDE5!T87,MORTGAGE!$C$25:$C$384,"&lt;="&amp;HIDE5!T88)),0)</f>
        <v>0</v>
      </c>
      <c r="U123" s="1467">
        <f>IFERROR(IF(U89&gt;$O$89,0,-SUMIFS(MORTGAGE!$J$25:$J$384,MORTGAGE!$C$25:$C$384,"&gt;="&amp;HIDE5!U87,MORTGAGE!$C$25:$C$384,"&lt;="&amp;HIDE5!U88)-SUMIFS(MORTGAGE!$I$25:$I$384,MORTGAGE!$C$25:$C$384,"&gt;="&amp;HIDE5!U87,MORTGAGE!$C$25:$C$384,"&lt;="&amp;HIDE5!U88)),0)</f>
        <v>0</v>
      </c>
      <c r="V123" s="1467">
        <f>IFERROR(IF(V89&gt;$O$89,0,-SUMIFS(MORTGAGE!$J$25:$J$384,MORTGAGE!$C$25:$C$384,"&gt;="&amp;HIDE5!V87,MORTGAGE!$C$25:$C$384,"&lt;="&amp;HIDE5!V88)-SUMIFS(MORTGAGE!$I$25:$I$384,MORTGAGE!$C$25:$C$384,"&gt;="&amp;HIDE5!V87,MORTGAGE!$C$25:$C$384,"&lt;="&amp;HIDE5!V88)),0)</f>
        <v>0</v>
      </c>
      <c r="W123" s="1467">
        <f>IFERROR(IF(W89&gt;$O$89,0,-SUMIFS(MORTGAGE!$J$25:$J$384,MORTGAGE!$C$25:$C$384,"&gt;="&amp;HIDE5!W87,MORTGAGE!$C$25:$C$384,"&lt;="&amp;HIDE5!W88)-SUMIFS(MORTGAGE!$I$25:$I$384,MORTGAGE!$C$25:$C$384,"&gt;="&amp;HIDE5!W87,MORTGAGE!$C$25:$C$384,"&lt;="&amp;HIDE5!W88)),0)</f>
        <v>0</v>
      </c>
      <c r="X123" s="1467">
        <f>IFERROR(IF(X89&gt;$O$89,0,-SUMIFS(MORTGAGE!$J$25:$J$384,MORTGAGE!$C$25:$C$384,"&gt;="&amp;HIDE5!X87,MORTGAGE!$C$25:$C$384,"&lt;="&amp;HIDE5!X88)-SUMIFS(MORTGAGE!$I$25:$I$384,MORTGAGE!$C$25:$C$384,"&gt;="&amp;HIDE5!X87,MORTGAGE!$C$25:$C$384,"&lt;="&amp;HIDE5!X88)),0)</f>
        <v>0</v>
      </c>
      <c r="Y123" s="1467">
        <f>IFERROR(IF(Y89&gt;$O$89,0,-SUMIFS(MORTGAGE!$J$25:$J$384,MORTGAGE!$C$25:$C$384,"&gt;="&amp;HIDE5!Y87,MORTGAGE!$C$25:$C$384,"&lt;="&amp;HIDE5!Y88)-SUMIFS(MORTGAGE!$I$25:$I$384,MORTGAGE!$C$25:$C$384,"&gt;="&amp;HIDE5!Y87,MORTGAGE!$C$25:$C$384,"&lt;="&amp;HIDE5!Y88)),0)</f>
        <v>0</v>
      </c>
      <c r="Z123" s="1467">
        <f>IFERROR(IF(Z89&gt;$O$89,0,-SUMIFS(MORTGAGE!$J$25:$J$384,MORTGAGE!$C$25:$C$384,"&gt;="&amp;HIDE5!Z87,MORTGAGE!$C$25:$C$384,"&lt;="&amp;HIDE5!Z88)-SUMIFS(MORTGAGE!$I$25:$I$384,MORTGAGE!$C$25:$C$384,"&gt;="&amp;HIDE5!Z87,MORTGAGE!$C$25:$C$384,"&lt;="&amp;HIDE5!Z88)),0)</f>
        <v>0</v>
      </c>
      <c r="AA123" s="1467">
        <f>IFERROR(IF(AA89&gt;$O$89,0,-SUMIFS(MORTGAGE!$J$25:$J$384,MORTGAGE!$C$25:$C$384,"&gt;="&amp;HIDE5!AA87,MORTGAGE!$C$25:$C$384,"&lt;="&amp;HIDE5!AA88)-SUMIFS(MORTGAGE!$I$25:$I$384,MORTGAGE!$C$25:$C$384,"&gt;="&amp;HIDE5!AA87,MORTGAGE!$C$25:$C$384,"&lt;="&amp;HIDE5!AA88)),0)</f>
        <v>0</v>
      </c>
      <c r="AB123" s="1467">
        <f>IFERROR(IF(AB89&gt;$O$89,0,-SUMIFS(MORTGAGE!$J$25:$J$384,MORTGAGE!$C$25:$C$384,"&gt;="&amp;HIDE5!AB87,MORTGAGE!$C$25:$C$384,"&lt;="&amp;HIDE5!AB88)-SUMIFS(MORTGAGE!$I$25:$I$384,MORTGAGE!$C$25:$C$384,"&gt;="&amp;HIDE5!AB87,MORTGAGE!$C$25:$C$384,"&lt;="&amp;HIDE5!AB88)),0)</f>
        <v>0</v>
      </c>
      <c r="AC123" s="1467">
        <f>IFERROR(IF(AC89&gt;$O$89,0,-SUMIFS(MORTGAGE!$J$25:$J$384,MORTGAGE!$C$25:$C$384,"&gt;="&amp;HIDE5!AC87,MORTGAGE!$C$25:$C$384,"&lt;="&amp;HIDE5!AC88)-SUMIFS(MORTGAGE!$I$25:$I$384,MORTGAGE!$C$25:$C$384,"&gt;="&amp;HIDE5!AC87,MORTGAGE!$C$25:$C$384,"&lt;="&amp;HIDE5!AC88)),0)</f>
        <v>0</v>
      </c>
      <c r="AD123" s="10"/>
    </row>
    <row r="124" spans="2:30" x14ac:dyDescent="0.3">
      <c r="B124" s="1422"/>
      <c r="C124" s="1423" t="str">
        <f>FORECASTS!B98</f>
        <v>Loan Insurance</v>
      </c>
      <c r="D124" s="1439"/>
      <c r="E124" s="1431">
        <f>-SUMIFS(MORTGAGE!$K$25:$K$384,MORTGAGE!$C$25:$C$384,"&gt;="&amp;HIDE5!D90,MORTGAGE!$C$25:$C$384,"&lt;="&amp;HIDE5!E90)</f>
        <v>0</v>
      </c>
      <c r="F124" s="1429">
        <f>-SUMIFS('ACTUALS (M)'!$G55:$DV55,'ACTUALS (M)'!$G$7:$DV$7,HIDE5!$F$89,'ACTUALS (M)'!$G$6:$DV$6,HIDE5!$G$89)</f>
        <v>0</v>
      </c>
      <c r="G124" s="682">
        <f>IFERROR(LARGE($F$100:$F$124,ROWS($G$100:G124)),"")</f>
        <v>0</v>
      </c>
      <c r="H124" s="1428" t="str" cm="1">
        <f t="array" ref="H124">IFERROR(INDEX(C$100:C$124,SMALL(IF(F$100:F$124=G124,ROW(F$100:F$124)-ROW(G$100)+1),COUNTIF(G$100:G124,G124))),"")</f>
        <v>Loan Insurance</v>
      </c>
      <c r="I124" s="1429">
        <f>-SUMIFS('ACTUALS (M)'!$G55:$DV55,'ACTUALS (M)'!$G$7:$DV$7,HIDE5!I$89,'ACTUALS (M)'!$G$6:$DV$6,HIDE5!J$89)</f>
        <v>0</v>
      </c>
      <c r="J124" s="1428"/>
      <c r="K124" s="1429">
        <f>-SUMIFS('ACTUALS (M)'!$G55:$DV55,'ACTUALS (M)'!$G$7:$DV$7,HIDE5!K$89,'ACTUALS (M)'!$G$6:$DV$6,HIDE5!L$89)</f>
        <v>0</v>
      </c>
      <c r="L124" s="1428"/>
      <c r="N124" s="1439"/>
      <c r="O124" s="1431">
        <f>-SUMIFS(MORTGAGE!$K$25:$K$384,MORTGAGE!$C$25:$C$384,"&gt;="&amp;HIDE5!N90,MORTGAGE!$C$25:$C$384,"&lt;="&amp;HIDE5!O90)</f>
        <v>0</v>
      </c>
      <c r="P124" s="10"/>
      <c r="Q124" s="10"/>
      <c r="R124" s="1467" t="e">
        <f>IF(R89&gt;$O$89,0,-SUMIFS(MORTGAGE!$K$25:$K$384,MORTGAGE!$C$25:$C$384,"&gt;="&amp;HIDE5!R87,MORTGAGE!$C$25:$C$384,"&lt;="&amp;HIDE5!R88))</f>
        <v>#N/A</v>
      </c>
      <c r="S124" s="1467" t="e">
        <f>IF(S89&gt;$O$89,0,-SUMIFS(MORTGAGE!$K$25:$K$384,MORTGAGE!$C$25:$C$384,"&gt;="&amp;HIDE5!S87,MORTGAGE!$C$25:$C$384,"&lt;="&amp;HIDE5!S88))</f>
        <v>#N/A</v>
      </c>
      <c r="T124" s="1467" t="e">
        <f>IF(T89&gt;$O$89,0,-SUMIFS(MORTGAGE!$K$25:$K$384,MORTGAGE!$C$25:$C$384,"&gt;="&amp;HIDE5!T87,MORTGAGE!$C$25:$C$384,"&lt;="&amp;HIDE5!T88))</f>
        <v>#N/A</v>
      </c>
      <c r="U124" s="1467" t="e">
        <f>IF(U89&gt;$O$89,0,-SUMIFS(MORTGAGE!$K$25:$K$384,MORTGAGE!$C$25:$C$384,"&gt;="&amp;HIDE5!U87,MORTGAGE!$C$25:$C$384,"&lt;="&amp;HIDE5!U88))</f>
        <v>#N/A</v>
      </c>
      <c r="V124" s="1467" t="e">
        <f>IF(V89&gt;$O$89,0,-SUMIFS(MORTGAGE!$K$25:$K$384,MORTGAGE!$C$25:$C$384,"&gt;="&amp;HIDE5!V87,MORTGAGE!$C$25:$C$384,"&lt;="&amp;HIDE5!V88))</f>
        <v>#N/A</v>
      </c>
      <c r="W124" s="1467" t="e">
        <f>IF(W89&gt;$O$89,0,-SUMIFS(MORTGAGE!$K$25:$K$384,MORTGAGE!$C$25:$C$384,"&gt;="&amp;HIDE5!W87,MORTGAGE!$C$25:$C$384,"&lt;="&amp;HIDE5!W88))</f>
        <v>#N/A</v>
      </c>
      <c r="X124" s="1467" t="e">
        <f>IF(X89&gt;$O$89,0,-SUMIFS(MORTGAGE!$K$25:$K$384,MORTGAGE!$C$25:$C$384,"&gt;="&amp;HIDE5!X87,MORTGAGE!$C$25:$C$384,"&lt;="&amp;HIDE5!X88))</f>
        <v>#N/A</v>
      </c>
      <c r="Y124" s="1467" t="e">
        <f>IF(Y89&gt;$O$89,0,-SUMIFS(MORTGAGE!$K$25:$K$384,MORTGAGE!$C$25:$C$384,"&gt;="&amp;HIDE5!Y87,MORTGAGE!$C$25:$C$384,"&lt;="&amp;HIDE5!Y88))</f>
        <v>#N/A</v>
      </c>
      <c r="Z124" s="1467" t="e">
        <f>IF(Z89&gt;$O$89,0,-SUMIFS(MORTGAGE!$K$25:$K$384,MORTGAGE!$C$25:$C$384,"&gt;="&amp;HIDE5!Z87,MORTGAGE!$C$25:$C$384,"&lt;="&amp;HIDE5!Z88))</f>
        <v>#N/A</v>
      </c>
      <c r="AA124" s="1467" t="e">
        <f>IF(AA89&gt;$O$89,0,-SUMIFS(MORTGAGE!$K$25:$K$384,MORTGAGE!$C$25:$C$384,"&gt;="&amp;HIDE5!AA87,MORTGAGE!$C$25:$C$384,"&lt;="&amp;HIDE5!AA88))</f>
        <v>#N/A</v>
      </c>
      <c r="AB124" s="1467" t="e">
        <f>IF(AB89&gt;$O$89,0,-SUMIFS(MORTGAGE!$K$25:$K$384,MORTGAGE!$C$25:$C$384,"&gt;="&amp;HIDE5!AB87,MORTGAGE!$C$25:$C$384,"&lt;="&amp;HIDE5!AB88))</f>
        <v>#N/A</v>
      </c>
      <c r="AC124" s="1467" t="e">
        <f>IF(AC89&gt;$O$89,0,-SUMIFS(MORTGAGE!$K$25:$K$384,MORTGAGE!$C$25:$C$384,"&gt;="&amp;HIDE5!AC87,MORTGAGE!$C$25:$C$384,"&lt;="&amp;HIDE5!AC88))</f>
        <v>#N/A</v>
      </c>
      <c r="AD124" s="10"/>
    </row>
    <row r="125" spans="2:30" x14ac:dyDescent="0.3">
      <c r="C125" s="1419"/>
      <c r="D125" s="1439"/>
      <c r="E125" s="1437" t="e">
        <f>SUM(E100:E124)</f>
        <v>#N/A</v>
      </c>
      <c r="F125" s="1430">
        <f>SUM(F100:F124)</f>
        <v>0</v>
      </c>
      <c r="G125" s="1443">
        <f>SUM(G100:G124)</f>
        <v>0</v>
      </c>
      <c r="H125" s="1444"/>
      <c r="I125" s="1430">
        <f>SUM(I100:I124)</f>
        <v>0</v>
      </c>
      <c r="J125" s="1444"/>
      <c r="K125" s="1430">
        <f>SUM(K100:K124)</f>
        <v>0</v>
      </c>
      <c r="L125" s="1444"/>
      <c r="N125" s="1439"/>
      <c r="O125" s="1437" t="e">
        <f>SUM(O100:O124)</f>
        <v>#N/A</v>
      </c>
      <c r="P125" s="10"/>
      <c r="Q125" s="10"/>
      <c r="R125" s="691">
        <f>IFERROR(SUM(R100:R124),0)</f>
        <v>0</v>
      </c>
      <c r="S125" s="691">
        <f t="shared" ref="S125:AC125" si="30">IFERROR(SUM(S100:S124),0)</f>
        <v>0</v>
      </c>
      <c r="T125" s="691">
        <f t="shared" si="30"/>
        <v>0</v>
      </c>
      <c r="U125" s="691">
        <f t="shared" si="30"/>
        <v>0</v>
      </c>
      <c r="V125" s="691">
        <f t="shared" si="30"/>
        <v>0</v>
      </c>
      <c r="W125" s="691">
        <f t="shared" si="30"/>
        <v>0</v>
      </c>
      <c r="X125" s="691">
        <f t="shared" si="30"/>
        <v>0</v>
      </c>
      <c r="Y125" s="691">
        <f t="shared" si="30"/>
        <v>0</v>
      </c>
      <c r="Z125" s="691">
        <f t="shared" si="30"/>
        <v>0</v>
      </c>
      <c r="AA125" s="691">
        <f t="shared" si="30"/>
        <v>0</v>
      </c>
      <c r="AB125" s="691">
        <f t="shared" si="30"/>
        <v>0</v>
      </c>
      <c r="AC125" s="691">
        <f t="shared" si="30"/>
        <v>0</v>
      </c>
      <c r="AD125" s="10"/>
    </row>
    <row r="126" spans="2:30" x14ac:dyDescent="0.3">
      <c r="M126" s="10"/>
      <c r="N126" s="10"/>
      <c r="O126" s="10"/>
      <c r="P126" s="10"/>
      <c r="Q126" s="10"/>
      <c r="R126" s="10"/>
      <c r="S126" s="10"/>
      <c r="T126" s="10"/>
      <c r="U126" s="10"/>
      <c r="V126" s="10"/>
      <c r="W126" s="10"/>
      <c r="X126" s="10"/>
      <c r="Y126" s="10"/>
      <c r="Z126" s="10"/>
      <c r="AA126" s="10"/>
      <c r="AB126" s="10"/>
      <c r="AC126" s="10"/>
      <c r="AD126" s="10"/>
    </row>
    <row r="127" spans="2:30" x14ac:dyDescent="0.3">
      <c r="M127" s="10"/>
      <c r="N127" s="10"/>
      <c r="O127" s="10"/>
      <c r="P127" s="10"/>
      <c r="Q127" s="10"/>
    </row>
    <row r="128" spans="2:30" x14ac:dyDescent="0.3">
      <c r="D128" t="s">
        <v>986</v>
      </c>
      <c r="E128" s="66">
        <f>F125</f>
        <v>0</v>
      </c>
      <c r="G128" t="s">
        <v>986</v>
      </c>
      <c r="H128" s="66">
        <f>HIDE2!C87-HIDE5!E128</f>
        <v>0</v>
      </c>
    </row>
    <row r="129" spans="1:16" x14ac:dyDescent="0.3">
      <c r="D129" t="s">
        <v>1046</v>
      </c>
      <c r="E129" s="66" t="e">
        <f>-E125</f>
        <v>#N/A</v>
      </c>
      <c r="G129" t="s">
        <v>1046</v>
      </c>
      <c r="H129" s="66" t="e">
        <f>HIDE2!C88-HIDE5!E129</f>
        <v>#N/A</v>
      </c>
    </row>
    <row r="130" spans="1:16" x14ac:dyDescent="0.3">
      <c r="D130" t="s">
        <v>1044</v>
      </c>
      <c r="E130" s="66">
        <f>I125</f>
        <v>0</v>
      </c>
      <c r="G130" t="s">
        <v>1044</v>
      </c>
      <c r="H130" s="66">
        <f>HIDE2!C89-HIDE5!E130</f>
        <v>0</v>
      </c>
    </row>
    <row r="131" spans="1:16" x14ac:dyDescent="0.3">
      <c r="D131" t="s">
        <v>1045</v>
      </c>
      <c r="E131" s="66">
        <f>K125</f>
        <v>0</v>
      </c>
      <c r="G131" t="s">
        <v>1045</v>
      </c>
      <c r="H131" s="66">
        <f>HIDE2!C90-HIDE5!E131</f>
        <v>0</v>
      </c>
    </row>
    <row r="133" spans="1:16" x14ac:dyDescent="0.3">
      <c r="C133" t="s">
        <v>1062</v>
      </c>
    </row>
    <row r="134" spans="1:16" x14ac:dyDescent="0.3">
      <c r="A134" s="1477"/>
      <c r="B134" s="1477"/>
      <c r="C134" s="1478"/>
      <c r="D134" s="1465">
        <v>1</v>
      </c>
      <c r="E134" s="1465">
        <f t="shared" ref="E134:O134" si="31">D134+1</f>
        <v>2</v>
      </c>
      <c r="F134" s="1465">
        <f t="shared" si="31"/>
        <v>3</v>
      </c>
      <c r="G134" s="1465">
        <f t="shared" si="31"/>
        <v>4</v>
      </c>
      <c r="H134" s="1465">
        <f t="shared" si="31"/>
        <v>5</v>
      </c>
      <c r="I134" s="1465">
        <f t="shared" si="31"/>
        <v>6</v>
      </c>
      <c r="J134" s="1465">
        <f t="shared" si="31"/>
        <v>7</v>
      </c>
      <c r="K134" s="1465">
        <f t="shared" si="31"/>
        <v>8</v>
      </c>
      <c r="L134" s="1465">
        <f t="shared" si="31"/>
        <v>9</v>
      </c>
      <c r="M134" s="1465">
        <f t="shared" si="31"/>
        <v>10</v>
      </c>
      <c r="N134" s="1465">
        <f t="shared" si="31"/>
        <v>11</v>
      </c>
      <c r="O134" s="1465">
        <f t="shared" si="31"/>
        <v>12</v>
      </c>
      <c r="P134" s="1396"/>
    </row>
    <row r="135" spans="1:16" x14ac:dyDescent="0.3">
      <c r="A135" s="1477"/>
      <c r="B135" s="1477"/>
      <c r="C135" s="1478"/>
      <c r="D135" s="1465" t="s">
        <v>1028</v>
      </c>
      <c r="E135" s="1465" t="s">
        <v>1029</v>
      </c>
      <c r="F135" s="1465" t="s">
        <v>1030</v>
      </c>
      <c r="G135" s="1465" t="s">
        <v>1031</v>
      </c>
      <c r="H135" s="1465" t="s">
        <v>557</v>
      </c>
      <c r="I135" s="1465" t="s">
        <v>1032</v>
      </c>
      <c r="J135" s="1465" t="s">
        <v>1033</v>
      </c>
      <c r="K135" s="1465" t="s">
        <v>1034</v>
      </c>
      <c r="L135" s="1465" t="s">
        <v>1035</v>
      </c>
      <c r="M135" s="1465" t="s">
        <v>1036</v>
      </c>
      <c r="N135" s="1465" t="s">
        <v>1037</v>
      </c>
      <c r="O135" s="1465" t="s">
        <v>1038</v>
      </c>
      <c r="P135" s="1396"/>
    </row>
    <row r="136" spans="1:16" x14ac:dyDescent="0.3">
      <c r="A136" s="1477" t="s">
        <v>569</v>
      </c>
      <c r="B136" s="1477"/>
      <c r="C136" s="1478" t="s">
        <v>597</v>
      </c>
      <c r="D136" s="1479">
        <f>IFERROR(IF(D134&gt;'VERSUS (R)'!$AT$8,0,SUMIFS('ACTUALS (M)'!$G$11:$DV$11,'ACTUALS (M)'!$G$7:$DV$7,'VERSUS (R)'!$AS$9,'ACTUALS (M)'!$G$6:$DV$6,D134)),0)</f>
        <v>0</v>
      </c>
      <c r="E136" s="1479">
        <f>IFERROR(IF(E134&gt;'VERSUS (R)'!$AT$8,0,SUMIFS('ACTUALS (M)'!$G$11:$DV$11,'ACTUALS (M)'!$G$7:$DV$7,'VERSUS (R)'!$AS$9,'ACTUALS (M)'!$G$6:$DV$6,E134)),0)</f>
        <v>0</v>
      </c>
      <c r="F136" s="1479">
        <f>IFERROR(IF(F134&gt;'VERSUS (R)'!$AT$8,0,SUMIFS('ACTUALS (M)'!$G$11:$DV$11,'ACTUALS (M)'!$G$7:$DV$7,'VERSUS (R)'!$AS$9,'ACTUALS (M)'!$G$6:$DV$6,F134)),0)</f>
        <v>0</v>
      </c>
      <c r="G136" s="1479">
        <f>IFERROR(IF(G134&gt;'VERSUS (R)'!$AT$8,0,SUMIFS('ACTUALS (M)'!$G$11:$DV$11,'ACTUALS (M)'!$G$7:$DV$7,'VERSUS (R)'!$AS$9,'ACTUALS (M)'!$G$6:$DV$6,G134)),0)</f>
        <v>0</v>
      </c>
      <c r="H136" s="1479">
        <f>IFERROR(IF(H134&gt;'VERSUS (R)'!$AT$8,0,SUMIFS('ACTUALS (M)'!$G$11:$DV$11,'ACTUALS (M)'!$G$7:$DV$7,'VERSUS (R)'!$AS$9,'ACTUALS (M)'!$G$6:$DV$6,H134)),0)</f>
        <v>0</v>
      </c>
      <c r="I136" s="1479">
        <f>IFERROR(IF(I134&gt;'VERSUS (R)'!$AT$8,0,SUMIFS('ACTUALS (M)'!$G$11:$DV$11,'ACTUALS (M)'!$G$7:$DV$7,'VERSUS (R)'!$AS$9,'ACTUALS (M)'!$G$6:$DV$6,I134)),0)</f>
        <v>0</v>
      </c>
      <c r="J136" s="1479">
        <f>IFERROR(IF(J134&gt;'VERSUS (R)'!$AT$8,0,SUMIFS('ACTUALS (M)'!$G$11:$DV$11,'ACTUALS (M)'!$G$7:$DV$7,'VERSUS (R)'!$AS$9,'ACTUALS (M)'!$G$6:$DV$6,J134)),0)</f>
        <v>0</v>
      </c>
      <c r="K136" s="1479">
        <f>IFERROR(IF(K134&gt;'VERSUS (R)'!$AT$8,0,SUMIFS('ACTUALS (M)'!$G$11:$DV$11,'ACTUALS (M)'!$G$7:$DV$7,'VERSUS (R)'!$AS$9,'ACTUALS (M)'!$G$6:$DV$6,K134)),0)</f>
        <v>0</v>
      </c>
      <c r="L136" s="1479">
        <f>IFERROR(IF(L134&gt;'VERSUS (R)'!$AT$8,0,SUMIFS('ACTUALS (M)'!$G$11:$DV$11,'ACTUALS (M)'!$G$7:$DV$7,'VERSUS (R)'!$AS$9,'ACTUALS (M)'!$G$6:$DV$6,L134)),0)</f>
        <v>0</v>
      </c>
      <c r="M136" s="1479">
        <f>IFERROR(IF(M134&gt;'VERSUS (R)'!$AT$8,0,SUMIFS('ACTUALS (M)'!$G$11:$DV$11,'ACTUALS (M)'!$G$7:$DV$7,'VERSUS (R)'!$AS$9,'ACTUALS (M)'!$G$6:$DV$6,M134)),0)</f>
        <v>0</v>
      </c>
      <c r="N136" s="1479">
        <f>IFERROR(IF(N134&gt;'VERSUS (R)'!$AT$8,0,SUMIFS('ACTUALS (M)'!$G$11:$DV$11,'ACTUALS (M)'!$G$7:$DV$7,'VERSUS (R)'!$AS$9,'ACTUALS (M)'!$G$6:$DV$6,N134)),0)</f>
        <v>0</v>
      </c>
      <c r="O136" s="1479">
        <f>IFERROR(IF(O134&gt;'VERSUS (R)'!$AT$8,0,SUMIFS('ACTUALS (M)'!$G$11:$DV$11,'ACTUALS (M)'!$G$7:$DV$7,'VERSUS (R)'!$AS$9,'ACTUALS (M)'!$G$6:$DV$6,O134)),0)</f>
        <v>0</v>
      </c>
      <c r="P136" s="1396"/>
    </row>
    <row r="137" spans="1:16" x14ac:dyDescent="0.3">
      <c r="A137" s="1477" t="s">
        <v>584</v>
      </c>
      <c r="B137" s="1477"/>
      <c r="C137" s="1478" t="s">
        <v>597</v>
      </c>
      <c r="D137" s="1481">
        <f>IFERROR(IF(D134&gt;'VERSUS (R)'!$AT$8,0,SUMIFS('ACTUALS (M)'!$G$19:$DV$19,'ACTUALS (M)'!$G$7:$DV$7,'VERSUS (R)'!$AS$9,'ACTUALS (M)'!$G$6:$DV$6,HIDE5!D134)),0)</f>
        <v>0</v>
      </c>
      <c r="E137" s="1481">
        <f>IFERROR(IF(E134&gt;'VERSUS (R)'!$AT$8,0,SUMIFS('ACTUALS (M)'!$G$19:$DV$19,'ACTUALS (M)'!$G$7:$DV$7,'VERSUS (R)'!$AS$9,'ACTUALS (M)'!$G$6:$DV$6,HIDE5!E134)),0)</f>
        <v>0</v>
      </c>
      <c r="F137" s="1481">
        <f>IFERROR(IF(F134&gt;'VERSUS (R)'!$AT$8,0,SUMIFS('ACTUALS (M)'!$G$19:$DV$19,'ACTUALS (M)'!$G$7:$DV$7,'VERSUS (R)'!$AS$9,'ACTUALS (M)'!$G$6:$DV$6,HIDE5!F134)),0)</f>
        <v>0</v>
      </c>
      <c r="G137" s="1481">
        <f>IFERROR(IF(G134&gt;'VERSUS (R)'!$AT$8,0,SUMIFS('ACTUALS (M)'!$G$19:$DV$19,'ACTUALS (M)'!$G$7:$DV$7,'VERSUS (R)'!$AS$9,'ACTUALS (M)'!$G$6:$DV$6,HIDE5!G134)),0)</f>
        <v>0</v>
      </c>
      <c r="H137" s="1481">
        <f>IFERROR(IF(H134&gt;'VERSUS (R)'!$AT$8,0,SUMIFS('ACTUALS (M)'!$G$19:$DV$19,'ACTUALS (M)'!$G$7:$DV$7,'VERSUS (R)'!$AS$9,'ACTUALS (M)'!$G$6:$DV$6,HIDE5!H134)),0)</f>
        <v>0</v>
      </c>
      <c r="I137" s="1481">
        <f>IFERROR(IF(I134&gt;'VERSUS (R)'!$AT$8,0,SUMIFS('ACTUALS (M)'!$G$19:$DV$19,'ACTUALS (M)'!$G$7:$DV$7,'VERSUS (R)'!$AS$9,'ACTUALS (M)'!$G$6:$DV$6,HIDE5!I134)),0)</f>
        <v>0</v>
      </c>
      <c r="J137" s="1481">
        <f>IFERROR(IF(J134&gt;'VERSUS (R)'!$AT$8,0,SUMIFS('ACTUALS (M)'!$G$19:$DV$19,'ACTUALS (M)'!$G$7:$DV$7,'VERSUS (R)'!$AS$9,'ACTUALS (M)'!$G$6:$DV$6,HIDE5!J134)),0)</f>
        <v>0</v>
      </c>
      <c r="K137" s="1481">
        <f>IFERROR(IF(K134&gt;'VERSUS (R)'!$AT$8,0,SUMIFS('ACTUALS (M)'!$G$19:$DV$19,'ACTUALS (M)'!$G$7:$DV$7,'VERSUS (R)'!$AS$9,'ACTUALS (M)'!$G$6:$DV$6,HIDE5!K134)),0)</f>
        <v>0</v>
      </c>
      <c r="L137" s="1481">
        <f>IFERROR(IF(L134&gt;'VERSUS (R)'!$AT$8,0,SUMIFS('ACTUALS (M)'!$G$19:$DV$19,'ACTUALS (M)'!$G$7:$DV$7,'VERSUS (R)'!$AS$9,'ACTUALS (M)'!$G$6:$DV$6,HIDE5!L134)),0)</f>
        <v>0</v>
      </c>
      <c r="M137" s="1481">
        <f>IFERROR(IF(M134&gt;'VERSUS (R)'!$AT$8,0,SUMIFS('ACTUALS (M)'!$G$19:$DV$19,'ACTUALS (M)'!$G$7:$DV$7,'VERSUS (R)'!$AS$9,'ACTUALS (M)'!$G$6:$DV$6,HIDE5!M134)),0)</f>
        <v>0</v>
      </c>
      <c r="N137" s="1481">
        <f>IFERROR(IF(N134&gt;'VERSUS (R)'!$AT$8,0,SUMIFS('ACTUALS (M)'!$G$19:$DV$19,'ACTUALS (M)'!$G$7:$DV$7,'VERSUS (R)'!$AS$9,'ACTUALS (M)'!$G$6:$DV$6,HIDE5!N134)),0)</f>
        <v>0</v>
      </c>
      <c r="O137" s="1481">
        <f>IFERROR(IF(O134&gt;'VERSUS (R)'!$AT$8,0,SUMIFS('ACTUALS (M)'!$G$19:$DV$19,'ACTUALS (M)'!$G$7:$DV$7,'VERSUS (R)'!$AS$9,'ACTUALS (M)'!$G$6:$DV$6,HIDE5!O134)),0)</f>
        <v>0</v>
      </c>
      <c r="P137" s="1395"/>
    </row>
    <row r="138" spans="1:16" x14ac:dyDescent="0.3">
      <c r="A138" s="1477" t="s">
        <v>569</v>
      </c>
      <c r="B138" s="1477"/>
      <c r="C138" s="1478" t="s">
        <v>1046</v>
      </c>
      <c r="D138" s="1479">
        <f t="shared" ref="D138:O138" si="32">R92</f>
        <v>0</v>
      </c>
      <c r="E138" s="1479">
        <f t="shared" si="32"/>
        <v>0</v>
      </c>
      <c r="F138" s="1479">
        <f t="shared" si="32"/>
        <v>0</v>
      </c>
      <c r="G138" s="1479">
        <f t="shared" si="32"/>
        <v>0</v>
      </c>
      <c r="H138" s="1479">
        <f t="shared" si="32"/>
        <v>0</v>
      </c>
      <c r="I138" s="1479">
        <f t="shared" si="32"/>
        <v>0</v>
      </c>
      <c r="J138" s="1479">
        <f t="shared" si="32"/>
        <v>0</v>
      </c>
      <c r="K138" s="1479">
        <f t="shared" si="32"/>
        <v>0</v>
      </c>
      <c r="L138" s="1479">
        <f t="shared" si="32"/>
        <v>0</v>
      </c>
      <c r="M138" s="1479">
        <f t="shared" si="32"/>
        <v>0</v>
      </c>
      <c r="N138" s="1479">
        <f t="shared" si="32"/>
        <v>0</v>
      </c>
      <c r="O138" s="1479">
        <f t="shared" si="32"/>
        <v>0</v>
      </c>
      <c r="P138" s="1395"/>
    </row>
    <row r="139" spans="1:16" x14ac:dyDescent="0.3">
      <c r="A139" s="1477" t="s">
        <v>584</v>
      </c>
      <c r="B139" s="1477"/>
      <c r="C139" s="1478" t="s">
        <v>1046</v>
      </c>
      <c r="D139" s="1481">
        <f t="shared" ref="D139:O139" si="33">R97</f>
        <v>0</v>
      </c>
      <c r="E139" s="1481">
        <f t="shared" si="33"/>
        <v>0</v>
      </c>
      <c r="F139" s="1481">
        <f t="shared" si="33"/>
        <v>0</v>
      </c>
      <c r="G139" s="1481">
        <f t="shared" si="33"/>
        <v>0</v>
      </c>
      <c r="H139" s="1481">
        <f t="shared" si="33"/>
        <v>0</v>
      </c>
      <c r="I139" s="1481">
        <f t="shared" si="33"/>
        <v>0</v>
      </c>
      <c r="J139" s="1481">
        <f t="shared" si="33"/>
        <v>0</v>
      </c>
      <c r="K139" s="1481">
        <f t="shared" si="33"/>
        <v>0</v>
      </c>
      <c r="L139" s="1481">
        <f t="shared" si="33"/>
        <v>0</v>
      </c>
      <c r="M139" s="1481">
        <f t="shared" si="33"/>
        <v>0</v>
      </c>
      <c r="N139" s="1481">
        <f t="shared" si="33"/>
        <v>0</v>
      </c>
      <c r="O139" s="1481">
        <f t="shared" si="33"/>
        <v>0</v>
      </c>
      <c r="P139" s="1395"/>
    </row>
    <row r="140" spans="1:16" x14ac:dyDescent="0.3">
      <c r="A140" s="1477"/>
      <c r="B140" s="1477"/>
      <c r="C140" s="1478"/>
      <c r="D140" s="1480"/>
      <c r="E140" s="1480"/>
      <c r="F140" s="1480"/>
      <c r="G140" s="1480"/>
      <c r="H140" s="1480"/>
      <c r="I140" s="1480"/>
      <c r="J140" s="1480"/>
      <c r="K140" s="1480"/>
      <c r="L140" s="1480"/>
      <c r="M140" s="1480"/>
      <c r="N140" s="1480"/>
      <c r="O140" s="1480"/>
      <c r="P140" s="1395"/>
    </row>
    <row r="141" spans="1:16" x14ac:dyDescent="0.3">
      <c r="A141" s="1477" t="s">
        <v>1009</v>
      </c>
      <c r="B141" s="1477"/>
      <c r="C141" s="1478" t="s">
        <v>597</v>
      </c>
      <c r="D141" s="1481">
        <f t="shared" ref="D141:O141" si="34">D137-D144</f>
        <v>0</v>
      </c>
      <c r="E141" s="1481">
        <f t="shared" si="34"/>
        <v>0</v>
      </c>
      <c r="F141" s="1481">
        <f t="shared" si="34"/>
        <v>0</v>
      </c>
      <c r="G141" s="1481">
        <f t="shared" si="34"/>
        <v>0</v>
      </c>
      <c r="H141" s="1481">
        <f t="shared" si="34"/>
        <v>0</v>
      </c>
      <c r="I141" s="1481">
        <f t="shared" si="34"/>
        <v>0</v>
      </c>
      <c r="J141" s="1481">
        <f t="shared" si="34"/>
        <v>0</v>
      </c>
      <c r="K141" s="1481">
        <f t="shared" si="34"/>
        <v>0</v>
      </c>
      <c r="L141" s="1481">
        <f t="shared" si="34"/>
        <v>0</v>
      </c>
      <c r="M141" s="1481">
        <f t="shared" si="34"/>
        <v>0</v>
      </c>
      <c r="N141" s="1481">
        <f t="shared" si="34"/>
        <v>0</v>
      </c>
      <c r="O141" s="1481">
        <f t="shared" si="34"/>
        <v>0</v>
      </c>
      <c r="P141" s="1395"/>
    </row>
    <row r="142" spans="1:16" x14ac:dyDescent="0.3">
      <c r="A142" s="1477" t="s">
        <v>1009</v>
      </c>
      <c r="B142" s="1477"/>
      <c r="C142" s="1478" t="s">
        <v>1046</v>
      </c>
      <c r="D142" s="1481">
        <f t="shared" ref="D142:O142" si="35">D139-D145</f>
        <v>0</v>
      </c>
      <c r="E142" s="1481">
        <f t="shared" si="35"/>
        <v>0</v>
      </c>
      <c r="F142" s="1481">
        <f t="shared" si="35"/>
        <v>0</v>
      </c>
      <c r="G142" s="1481">
        <f t="shared" si="35"/>
        <v>0</v>
      </c>
      <c r="H142" s="1481">
        <f t="shared" si="35"/>
        <v>0</v>
      </c>
      <c r="I142" s="1481">
        <f t="shared" si="35"/>
        <v>0</v>
      </c>
      <c r="J142" s="1481">
        <f t="shared" si="35"/>
        <v>0</v>
      </c>
      <c r="K142" s="1481">
        <f t="shared" si="35"/>
        <v>0</v>
      </c>
      <c r="L142" s="1481">
        <f t="shared" si="35"/>
        <v>0</v>
      </c>
      <c r="M142" s="1481">
        <f t="shared" si="35"/>
        <v>0</v>
      </c>
      <c r="N142" s="1481">
        <f t="shared" si="35"/>
        <v>0</v>
      </c>
      <c r="O142" s="1481">
        <f t="shared" si="35"/>
        <v>0</v>
      </c>
      <c r="P142" s="1395"/>
    </row>
    <row r="143" spans="1:16" x14ac:dyDescent="0.3">
      <c r="A143" s="1477"/>
      <c r="B143" s="1477"/>
      <c r="C143" s="1478"/>
      <c r="D143" s="1481"/>
      <c r="E143" s="1481"/>
      <c r="F143" s="1481"/>
      <c r="G143" s="1481"/>
      <c r="H143" s="1481"/>
      <c r="I143" s="1481"/>
      <c r="J143" s="1481"/>
      <c r="K143" s="1481"/>
      <c r="L143" s="1481"/>
      <c r="M143" s="1481"/>
      <c r="N143" s="1481"/>
      <c r="O143" s="1481"/>
      <c r="P143" s="1395"/>
    </row>
    <row r="144" spans="1:16" x14ac:dyDescent="0.3">
      <c r="A144" s="1477" t="s">
        <v>84</v>
      </c>
      <c r="B144" s="1477"/>
      <c r="C144" s="1478" t="s">
        <v>597</v>
      </c>
      <c r="D144" s="1481">
        <f>IFERROR(IF(D134&gt;'VERSUS (R)'!$AT$8,0,SUMIFS('ACTUALS (M)'!$G$58:$DV$58,'ACTUALS (M)'!$G$7:$DV$7,'VERSUS (R)'!$AS$9,'ACTUALS (M)'!$G$6:$DV$6,HIDE5!D134)),0)</f>
        <v>0</v>
      </c>
      <c r="E144" s="1481">
        <f>IFERROR(IF(E134&gt;'VERSUS (R)'!$AT$8,0,SUMIFS('ACTUALS (M)'!$G$58:$DV$58,'ACTUALS (M)'!$G$7:$DV$7,'VERSUS (R)'!$AS$9,'ACTUALS (M)'!$G$6:$DV$6,HIDE5!E134)),0)</f>
        <v>0</v>
      </c>
      <c r="F144" s="1481">
        <f>IFERROR(IF(F134&gt;'VERSUS (R)'!$AT$8,0,SUMIFS('ACTUALS (M)'!$G$58:$DV$58,'ACTUALS (M)'!$G$7:$DV$7,'VERSUS (R)'!$AS$9,'ACTUALS (M)'!$G$6:$DV$6,HIDE5!F134)),0)</f>
        <v>0</v>
      </c>
      <c r="G144" s="1481">
        <f>IFERROR(IF(G134&gt;'VERSUS (R)'!$AT$8,0,SUMIFS('ACTUALS (M)'!$G$58:$DV$58,'ACTUALS (M)'!$G$7:$DV$7,'VERSUS (R)'!$AS$9,'ACTUALS (M)'!$G$6:$DV$6,HIDE5!G134)),0)</f>
        <v>0</v>
      </c>
      <c r="H144" s="1481">
        <f>IFERROR(IF(H134&gt;'VERSUS (R)'!$AT$8,0,SUMIFS('ACTUALS (M)'!$G$58:$DV$58,'ACTUALS (M)'!$G$7:$DV$7,'VERSUS (R)'!$AS$9,'ACTUALS (M)'!$G$6:$DV$6,HIDE5!H134)),0)</f>
        <v>0</v>
      </c>
      <c r="I144" s="1481">
        <f>IFERROR(IF(I134&gt;'VERSUS (R)'!$AT$8,0,SUMIFS('ACTUALS (M)'!$G$58:$DV$58,'ACTUALS (M)'!$G$7:$DV$7,'VERSUS (R)'!$AS$9,'ACTUALS (M)'!$G$6:$DV$6,HIDE5!I134)),0)</f>
        <v>0</v>
      </c>
      <c r="J144" s="1481">
        <f>IFERROR(IF(J134&gt;'VERSUS (R)'!$AT$8,0,SUMIFS('ACTUALS (M)'!$G$58:$DV$58,'ACTUALS (M)'!$G$7:$DV$7,'VERSUS (R)'!$AS$9,'ACTUALS (M)'!$G$6:$DV$6,HIDE5!J134)),0)</f>
        <v>0</v>
      </c>
      <c r="K144" s="1481">
        <f>IFERROR(IF(K134&gt;'VERSUS (R)'!$AT$8,0,SUMIFS('ACTUALS (M)'!$G$58:$DV$58,'ACTUALS (M)'!$G$7:$DV$7,'VERSUS (R)'!$AS$9,'ACTUALS (M)'!$G$6:$DV$6,HIDE5!K134)),0)</f>
        <v>0</v>
      </c>
      <c r="L144" s="1481">
        <f>IFERROR(IF(L134&gt;'VERSUS (R)'!$AT$8,0,SUMIFS('ACTUALS (M)'!$G$58:$DV$58,'ACTUALS (M)'!$G$7:$DV$7,'VERSUS (R)'!$AS$9,'ACTUALS (M)'!$G$6:$DV$6,HIDE5!L134)),0)</f>
        <v>0</v>
      </c>
      <c r="M144" s="1481">
        <f>IFERROR(IF(M134&gt;'VERSUS (R)'!$AT$8,0,SUMIFS('ACTUALS (M)'!$G$58:$DV$58,'ACTUALS (M)'!$G$7:$DV$7,'VERSUS (R)'!$AS$9,'ACTUALS (M)'!$G$6:$DV$6,HIDE5!M134)),0)</f>
        <v>0</v>
      </c>
      <c r="N144" s="1481">
        <f>IFERROR(IF(N134&gt;'VERSUS (R)'!$AT$8,0,SUMIFS('ACTUALS (M)'!$G$58:$DV$58,'ACTUALS (M)'!$G$7:$DV$7,'VERSUS (R)'!$AS$9,'ACTUALS (M)'!$G$6:$DV$6,HIDE5!N134)),0)</f>
        <v>0</v>
      </c>
      <c r="O144" s="1481">
        <f>IFERROR(IF(O134&gt;'VERSUS (R)'!$AT$8,0,SUMIFS('ACTUALS (M)'!$G$58:$DV$58,'ACTUALS (M)'!$G$7:$DV$7,'VERSUS (R)'!$AS$9,'ACTUALS (M)'!$G$6:$DV$6,HIDE5!O134)),0)</f>
        <v>0</v>
      </c>
      <c r="P144" s="1395"/>
    </row>
    <row r="145" spans="1:16" x14ac:dyDescent="0.3">
      <c r="A145" s="1477" t="s">
        <v>84</v>
      </c>
      <c r="B145" s="1477"/>
      <c r="C145" s="1478" t="s">
        <v>1046</v>
      </c>
      <c r="D145" s="1481">
        <f>R97+R125</f>
        <v>0</v>
      </c>
      <c r="E145" s="1481">
        <f t="shared" ref="E145:O145" si="36">S97+S125</f>
        <v>0</v>
      </c>
      <c r="F145" s="1481">
        <f t="shared" si="36"/>
        <v>0</v>
      </c>
      <c r="G145" s="1481">
        <f t="shared" si="36"/>
        <v>0</v>
      </c>
      <c r="H145" s="1481">
        <f t="shared" si="36"/>
        <v>0</v>
      </c>
      <c r="I145" s="1481">
        <f t="shared" si="36"/>
        <v>0</v>
      </c>
      <c r="J145" s="1481">
        <f t="shared" si="36"/>
        <v>0</v>
      </c>
      <c r="K145" s="1481">
        <f t="shared" si="36"/>
        <v>0</v>
      </c>
      <c r="L145" s="1481">
        <f t="shared" si="36"/>
        <v>0</v>
      </c>
      <c r="M145" s="1481">
        <f t="shared" si="36"/>
        <v>0</v>
      </c>
      <c r="N145" s="1481">
        <f t="shared" si="36"/>
        <v>0</v>
      </c>
      <c r="O145" s="1481">
        <f t="shared" si="36"/>
        <v>0</v>
      </c>
      <c r="P145" s="1395"/>
    </row>
    <row r="146" spans="1:16" x14ac:dyDescent="0.3">
      <c r="A146" s="1477"/>
      <c r="B146" s="1477"/>
      <c r="C146" s="1478"/>
      <c r="D146" s="1481"/>
      <c r="E146" s="1481"/>
      <c r="F146" s="1481"/>
      <c r="G146" s="1481"/>
      <c r="H146" s="1481"/>
      <c r="I146" s="1481"/>
      <c r="J146" s="1481"/>
      <c r="K146" s="1481"/>
      <c r="L146" s="1481"/>
      <c r="M146" s="1481"/>
      <c r="N146" s="1481"/>
      <c r="O146" s="1481"/>
      <c r="P146" s="1395"/>
    </row>
    <row r="147" spans="1:16" x14ac:dyDescent="0.3">
      <c r="A147" s="1477" t="s">
        <v>44</v>
      </c>
      <c r="B147" s="1477"/>
      <c r="C147" s="1478" t="s">
        <v>597</v>
      </c>
      <c r="D147" s="1481">
        <f>IFERROR(-IF(D134&gt;'VERSUS (R)'!$AT$8,0,SUMIFS('ACTUALS (M)'!$G$41:$DV$41,'ACTUALS (M)'!$G$7:$DV$7,'VERSUS (R)'!$AS$9,'ACTUALS (M)'!$G$6:$DV$6,HIDE5!D134)),0)</f>
        <v>0</v>
      </c>
      <c r="E147" s="1481">
        <f>IFERROR(-IF(E134&gt;'VERSUS (R)'!$AT$8,0,SUMIFS('ACTUALS (M)'!$G$41:$DV$41,'ACTUALS (M)'!$G$7:$DV$7,'VERSUS (R)'!$AS$9,'ACTUALS (M)'!$G$6:$DV$6,HIDE5!E134)),0)</f>
        <v>0</v>
      </c>
      <c r="F147" s="1481">
        <f>IFERROR(-IF(F134&gt;'VERSUS (R)'!$AT$8,0,SUMIFS('ACTUALS (M)'!$G$41:$DV$41,'ACTUALS (M)'!$G$7:$DV$7,'VERSUS (R)'!$AS$9,'ACTUALS (M)'!$G$6:$DV$6,HIDE5!F134)),0)</f>
        <v>0</v>
      </c>
      <c r="G147" s="1481">
        <f>IFERROR(-IF(G134&gt;'VERSUS (R)'!$AT$8,0,SUMIFS('ACTUALS (M)'!$G$41:$DV$41,'ACTUALS (M)'!$G$7:$DV$7,'VERSUS (R)'!$AS$9,'ACTUALS (M)'!$G$6:$DV$6,HIDE5!G134)),0)</f>
        <v>0</v>
      </c>
      <c r="H147" s="1481">
        <f>IFERROR(-IF(H134&gt;'VERSUS (R)'!$AT$8,0,SUMIFS('ACTUALS (M)'!$G$41:$DV$41,'ACTUALS (M)'!$G$7:$DV$7,'VERSUS (R)'!$AS$9,'ACTUALS (M)'!$G$6:$DV$6,HIDE5!H134)),0)</f>
        <v>0</v>
      </c>
      <c r="I147" s="1481">
        <f>IFERROR(-IF(I134&gt;'VERSUS (R)'!$AT$8,0,SUMIFS('ACTUALS (M)'!$G$41:$DV$41,'ACTUALS (M)'!$G$7:$DV$7,'VERSUS (R)'!$AS$9,'ACTUALS (M)'!$G$6:$DV$6,HIDE5!I134)),0)</f>
        <v>0</v>
      </c>
      <c r="J147" s="1481">
        <f>IFERROR(-IF(J134&gt;'VERSUS (R)'!$AT$8,0,SUMIFS('ACTUALS (M)'!$G$41:$DV$41,'ACTUALS (M)'!$G$7:$DV$7,'VERSUS (R)'!$AS$9,'ACTUALS (M)'!$G$6:$DV$6,HIDE5!J134)),0)</f>
        <v>0</v>
      </c>
      <c r="K147" s="1481">
        <f>IFERROR(-IF(K134&gt;'VERSUS (R)'!$AT$8,0,SUMIFS('ACTUALS (M)'!$G$41:$DV$41,'ACTUALS (M)'!$G$7:$DV$7,'VERSUS (R)'!$AS$9,'ACTUALS (M)'!$G$6:$DV$6,HIDE5!K134)),0)</f>
        <v>0</v>
      </c>
      <c r="L147" s="1481">
        <f>IFERROR(-IF(L134&gt;'VERSUS (R)'!$AT$8,0,SUMIFS('ACTUALS (M)'!$G$41:$DV$41,'ACTUALS (M)'!$G$7:$DV$7,'VERSUS (R)'!$AS$9,'ACTUALS (M)'!$G$6:$DV$6,HIDE5!L134)),0)</f>
        <v>0</v>
      </c>
      <c r="M147" s="1481">
        <f>IFERROR(-IF(M134&gt;'VERSUS (R)'!$AT$8,0,SUMIFS('ACTUALS (M)'!$G$41:$DV$41,'ACTUALS (M)'!$G$7:$DV$7,'VERSUS (R)'!$AS$9,'ACTUALS (M)'!$G$6:$DV$6,HIDE5!M134)),0)</f>
        <v>0</v>
      </c>
      <c r="N147" s="1481">
        <f>IFERROR(-IF(N134&gt;'VERSUS (R)'!$AT$8,0,SUMIFS('ACTUALS (M)'!$G$41:$DV$41,'ACTUALS (M)'!$G$7:$DV$7,'VERSUS (R)'!$AS$9,'ACTUALS (M)'!$G$6:$DV$6,HIDE5!N134)),0)</f>
        <v>0</v>
      </c>
      <c r="O147" s="1481">
        <f>IFERROR(-IF(O134&gt;'VERSUS (R)'!$AT$8,0,SUMIFS('ACTUALS (M)'!$G$41:$DV$41,'ACTUALS (M)'!$G$7:$DV$7,'VERSUS (R)'!$AS$9,'ACTUALS (M)'!$G$6:$DV$6,HIDE5!O134)),0)</f>
        <v>0</v>
      </c>
      <c r="P147" s="1395"/>
    </row>
    <row r="148" spans="1:16" x14ac:dyDescent="0.3">
      <c r="A148" s="1477" t="s">
        <v>44</v>
      </c>
      <c r="B148" s="1477"/>
      <c r="C148" s="1478" t="s">
        <v>1046</v>
      </c>
      <c r="D148" s="1481">
        <f>IFERROR(-SUM(R100:R119),0)</f>
        <v>0</v>
      </c>
      <c r="E148" s="1481">
        <f t="shared" ref="E148:O148" si="37">IFERROR(-SUM(S100:S119),0)</f>
        <v>0</v>
      </c>
      <c r="F148" s="1481">
        <f t="shared" si="37"/>
        <v>0</v>
      </c>
      <c r="G148" s="1481">
        <f t="shared" si="37"/>
        <v>0</v>
      </c>
      <c r="H148" s="1481">
        <f t="shared" si="37"/>
        <v>0</v>
      </c>
      <c r="I148" s="1481">
        <f t="shared" si="37"/>
        <v>0</v>
      </c>
      <c r="J148" s="1481">
        <f t="shared" si="37"/>
        <v>0</v>
      </c>
      <c r="K148" s="1481">
        <f t="shared" si="37"/>
        <v>0</v>
      </c>
      <c r="L148" s="1481">
        <f t="shared" si="37"/>
        <v>0</v>
      </c>
      <c r="M148" s="1481">
        <f t="shared" si="37"/>
        <v>0</v>
      </c>
      <c r="N148" s="1481">
        <f t="shared" si="37"/>
        <v>0</v>
      </c>
      <c r="O148" s="1481">
        <f t="shared" si="37"/>
        <v>0</v>
      </c>
      <c r="P148" s="1395"/>
    </row>
    <row r="149" spans="1:16" x14ac:dyDescent="0.3">
      <c r="A149" s="1477"/>
      <c r="B149" s="1477"/>
      <c r="C149" s="1478"/>
      <c r="D149" s="1481"/>
      <c r="E149" s="1481"/>
      <c r="F149" s="1481"/>
      <c r="G149" s="1481"/>
      <c r="H149" s="1481"/>
      <c r="I149" s="1481"/>
      <c r="J149" s="1481"/>
      <c r="K149" s="1481"/>
      <c r="L149" s="1481"/>
      <c r="M149" s="1481"/>
      <c r="N149" s="1481"/>
      <c r="O149" s="1481"/>
      <c r="P149" s="1395"/>
    </row>
    <row r="150" spans="1:16" x14ac:dyDescent="0.3">
      <c r="A150" s="1477" t="s">
        <v>1025</v>
      </c>
      <c r="B150" s="1477"/>
      <c r="C150" s="1478" t="s">
        <v>597</v>
      </c>
      <c r="D150" s="1481">
        <f>IFERROR(-IF(D134&gt;'VERSUS (R)'!$AT$8,0,SUMIFS('ACTUALS (M)'!$G$47:$DV$47,'ACTUALS (M)'!$G$7:$DV$7,'VERSUS (R)'!$AS$9,'ACTUALS (M)'!$G$6:$DV$6,HIDE5!D134))-IF(D134&gt;'VERSUS (R)'!$AT$8,0,SUMIFS('ACTUALS (M)'!$G$48:$DV$48,'ACTUALS (M)'!$G$7:$DV$7,'VERSUS (R)'!$AS$9,'ACTUALS (M)'!$G$6:$DV$6,HIDE5!D134))-IF(D134&gt;'VERSUS (R)'!$AT$8,0,SUMIFS('ACTUALS (M)'!$G$49:$DV$49,'ACTUALS (M)'!$G$7:$DV$7,'VERSUS (R)'!$AS$9,'ACTUALS (M)'!$G$6:$DV$6,HIDE5!D134)),0)</f>
        <v>0</v>
      </c>
      <c r="E150" s="1481">
        <f>IFERROR(-IF(E134&gt;'VERSUS (R)'!$AT$8,0,SUMIFS('ACTUALS (M)'!$G$47:$DV$47,'ACTUALS (M)'!$G$7:$DV$7,'VERSUS (R)'!$AS$9,'ACTUALS (M)'!$G$6:$DV$6,HIDE5!E134))-IF(E134&gt;'VERSUS (R)'!$AT$8,0,SUMIFS('ACTUALS (M)'!$G$48:$DV$48,'ACTUALS (M)'!$G$7:$DV$7,'VERSUS (R)'!$AS$9,'ACTUALS (M)'!$G$6:$DV$6,HIDE5!E134))-IF(E134&gt;'VERSUS (R)'!$AT$8,0,SUMIFS('ACTUALS (M)'!$G$49:$DV$49,'ACTUALS (M)'!$G$7:$DV$7,'VERSUS (R)'!$AS$9,'ACTUALS (M)'!$G$6:$DV$6,HIDE5!E134)),0)</f>
        <v>0</v>
      </c>
      <c r="F150" s="1481">
        <f>IFERROR(-IF(F134&gt;'VERSUS (R)'!$AT$8,0,SUMIFS('ACTUALS (M)'!$G$47:$DV$47,'ACTUALS (M)'!$G$7:$DV$7,'VERSUS (R)'!$AS$9,'ACTUALS (M)'!$G$6:$DV$6,HIDE5!F134))-IF(F134&gt;'VERSUS (R)'!$AT$8,0,SUMIFS('ACTUALS (M)'!$G$48:$DV$48,'ACTUALS (M)'!$G$7:$DV$7,'VERSUS (R)'!$AS$9,'ACTUALS (M)'!$G$6:$DV$6,HIDE5!F134))-IF(F134&gt;'VERSUS (R)'!$AT$8,0,SUMIFS('ACTUALS (M)'!$G$49:$DV$49,'ACTUALS (M)'!$G$7:$DV$7,'VERSUS (R)'!$AS$9,'ACTUALS (M)'!$G$6:$DV$6,HIDE5!F134)),0)</f>
        <v>0</v>
      </c>
      <c r="G150" s="1481">
        <f>IFERROR(-IF(G134&gt;'VERSUS (R)'!$AT$8,0,SUMIFS('ACTUALS (M)'!$G$47:$DV$47,'ACTUALS (M)'!$G$7:$DV$7,'VERSUS (R)'!$AS$9,'ACTUALS (M)'!$G$6:$DV$6,HIDE5!G134))-IF(G134&gt;'VERSUS (R)'!$AT$8,0,SUMIFS('ACTUALS (M)'!$G$48:$DV$48,'ACTUALS (M)'!$G$7:$DV$7,'VERSUS (R)'!$AS$9,'ACTUALS (M)'!$G$6:$DV$6,HIDE5!G134))-IF(G134&gt;'VERSUS (R)'!$AT$8,0,SUMIFS('ACTUALS (M)'!$G$49:$DV$49,'ACTUALS (M)'!$G$7:$DV$7,'VERSUS (R)'!$AS$9,'ACTUALS (M)'!$G$6:$DV$6,HIDE5!G134)),0)</f>
        <v>0</v>
      </c>
      <c r="H150" s="1481">
        <f>IFERROR(-IF(H134&gt;'VERSUS (R)'!$AT$8,0,SUMIFS('ACTUALS (M)'!$G$47:$DV$47,'ACTUALS (M)'!$G$7:$DV$7,'VERSUS (R)'!$AS$9,'ACTUALS (M)'!$G$6:$DV$6,HIDE5!H134))-IF(H134&gt;'VERSUS (R)'!$AT$8,0,SUMIFS('ACTUALS (M)'!$G$48:$DV$48,'ACTUALS (M)'!$G$7:$DV$7,'VERSUS (R)'!$AS$9,'ACTUALS (M)'!$G$6:$DV$6,HIDE5!H134))-IF(H134&gt;'VERSUS (R)'!$AT$8,0,SUMIFS('ACTUALS (M)'!$G$49:$DV$49,'ACTUALS (M)'!$G$7:$DV$7,'VERSUS (R)'!$AS$9,'ACTUALS (M)'!$G$6:$DV$6,HIDE5!H134)),0)</f>
        <v>0</v>
      </c>
      <c r="I150" s="1481">
        <f>IFERROR(-IF(I134&gt;'VERSUS (R)'!$AT$8,0,SUMIFS('ACTUALS (M)'!$G$47:$DV$47,'ACTUALS (M)'!$G$7:$DV$7,'VERSUS (R)'!$AS$9,'ACTUALS (M)'!$G$6:$DV$6,HIDE5!I134))-IF(I134&gt;'VERSUS (R)'!$AT$8,0,SUMIFS('ACTUALS (M)'!$G$48:$DV$48,'ACTUALS (M)'!$G$7:$DV$7,'VERSUS (R)'!$AS$9,'ACTUALS (M)'!$G$6:$DV$6,HIDE5!I134))-IF(I134&gt;'VERSUS (R)'!$AT$8,0,SUMIFS('ACTUALS (M)'!$G$49:$DV$49,'ACTUALS (M)'!$G$7:$DV$7,'VERSUS (R)'!$AS$9,'ACTUALS (M)'!$G$6:$DV$6,HIDE5!I134)),0)</f>
        <v>0</v>
      </c>
      <c r="J150" s="1481">
        <f>IFERROR(-IF(J134&gt;'VERSUS (R)'!$AT$8,0,SUMIFS('ACTUALS (M)'!$G$47:$DV$47,'ACTUALS (M)'!$G$7:$DV$7,'VERSUS (R)'!$AS$9,'ACTUALS (M)'!$G$6:$DV$6,HIDE5!J134))-IF(J134&gt;'VERSUS (R)'!$AT$8,0,SUMIFS('ACTUALS (M)'!$G$48:$DV$48,'ACTUALS (M)'!$G$7:$DV$7,'VERSUS (R)'!$AS$9,'ACTUALS (M)'!$G$6:$DV$6,HIDE5!J134))-IF(J134&gt;'VERSUS (R)'!$AT$8,0,SUMIFS('ACTUALS (M)'!$G$49:$DV$49,'ACTUALS (M)'!$G$7:$DV$7,'VERSUS (R)'!$AS$9,'ACTUALS (M)'!$G$6:$DV$6,HIDE5!J134)),0)</f>
        <v>0</v>
      </c>
      <c r="K150" s="1481">
        <f>IFERROR(-IF(K134&gt;'VERSUS (R)'!$AT$8,0,SUMIFS('ACTUALS (M)'!$G$47:$DV$47,'ACTUALS (M)'!$G$7:$DV$7,'VERSUS (R)'!$AS$9,'ACTUALS (M)'!$G$6:$DV$6,HIDE5!K134))-IF(K134&gt;'VERSUS (R)'!$AT$8,0,SUMIFS('ACTUALS (M)'!$G$48:$DV$48,'ACTUALS (M)'!$G$7:$DV$7,'VERSUS (R)'!$AS$9,'ACTUALS (M)'!$G$6:$DV$6,HIDE5!K134))-IF(K134&gt;'VERSUS (R)'!$AT$8,0,SUMIFS('ACTUALS (M)'!$G$49:$DV$49,'ACTUALS (M)'!$G$7:$DV$7,'VERSUS (R)'!$AS$9,'ACTUALS (M)'!$G$6:$DV$6,HIDE5!K134)),0)</f>
        <v>0</v>
      </c>
      <c r="L150" s="1481">
        <f>IFERROR(-IF(L134&gt;'VERSUS (R)'!$AT$8,0,SUMIFS('ACTUALS (M)'!$G$47:$DV$47,'ACTUALS (M)'!$G$7:$DV$7,'VERSUS (R)'!$AS$9,'ACTUALS (M)'!$G$6:$DV$6,HIDE5!L134))-IF(L134&gt;'VERSUS (R)'!$AT$8,0,SUMIFS('ACTUALS (M)'!$G$48:$DV$48,'ACTUALS (M)'!$G$7:$DV$7,'VERSUS (R)'!$AS$9,'ACTUALS (M)'!$G$6:$DV$6,HIDE5!L134))-IF(L134&gt;'VERSUS (R)'!$AT$8,0,SUMIFS('ACTUALS (M)'!$G$49:$DV$49,'ACTUALS (M)'!$G$7:$DV$7,'VERSUS (R)'!$AS$9,'ACTUALS (M)'!$G$6:$DV$6,HIDE5!L134)),0)</f>
        <v>0</v>
      </c>
      <c r="M150" s="1481">
        <f>IFERROR(-IF(M134&gt;'VERSUS (R)'!$AT$8,0,SUMIFS('ACTUALS (M)'!$G$47:$DV$47,'ACTUALS (M)'!$G$7:$DV$7,'VERSUS (R)'!$AS$9,'ACTUALS (M)'!$G$6:$DV$6,HIDE5!M134))-IF(M134&gt;'VERSUS (R)'!$AT$8,0,SUMIFS('ACTUALS (M)'!$G$48:$DV$48,'ACTUALS (M)'!$G$7:$DV$7,'VERSUS (R)'!$AS$9,'ACTUALS (M)'!$G$6:$DV$6,HIDE5!M134))-IF(M134&gt;'VERSUS (R)'!$AT$8,0,SUMIFS('ACTUALS (M)'!$G$49:$DV$49,'ACTUALS (M)'!$G$7:$DV$7,'VERSUS (R)'!$AS$9,'ACTUALS (M)'!$G$6:$DV$6,HIDE5!M134)),0)</f>
        <v>0</v>
      </c>
      <c r="N150" s="1481">
        <f>IFERROR(-IF(N134&gt;'VERSUS (R)'!$AT$8,0,SUMIFS('ACTUALS (M)'!$G$47:$DV$47,'ACTUALS (M)'!$G$7:$DV$7,'VERSUS (R)'!$AS$9,'ACTUALS (M)'!$G$6:$DV$6,HIDE5!N134))-IF(N134&gt;'VERSUS (R)'!$AT$8,0,SUMIFS('ACTUALS (M)'!$G$48:$DV$48,'ACTUALS (M)'!$G$7:$DV$7,'VERSUS (R)'!$AS$9,'ACTUALS (M)'!$G$6:$DV$6,HIDE5!N134))-IF(N134&gt;'VERSUS (R)'!$AT$8,0,SUMIFS('ACTUALS (M)'!$G$49:$DV$49,'ACTUALS (M)'!$G$7:$DV$7,'VERSUS (R)'!$AS$9,'ACTUALS (M)'!$G$6:$DV$6,HIDE5!N134)),0)</f>
        <v>0</v>
      </c>
      <c r="O150" s="1481">
        <f>IFERROR(-IF(O134&gt;'VERSUS (R)'!$AT$8,0,SUMIFS('ACTUALS (M)'!$G$47:$DV$47,'ACTUALS (M)'!$G$7:$DV$7,'VERSUS (R)'!$AS$9,'ACTUALS (M)'!$G$6:$DV$6,HIDE5!O134))-IF(O134&gt;'VERSUS (R)'!$AT$8,0,SUMIFS('ACTUALS (M)'!$G$48:$DV$48,'ACTUALS (M)'!$G$7:$DV$7,'VERSUS (R)'!$AS$9,'ACTUALS (M)'!$G$6:$DV$6,HIDE5!O134))-IF(O134&gt;'VERSUS (R)'!$AT$8,0,SUMIFS('ACTUALS (M)'!$G$49:$DV$49,'ACTUALS (M)'!$G$7:$DV$7,'VERSUS (R)'!$AS$9,'ACTUALS (M)'!$G$6:$DV$6,HIDE5!O134)),0)</f>
        <v>0</v>
      </c>
      <c r="P150" s="1395"/>
    </row>
    <row r="151" spans="1:16" x14ac:dyDescent="0.3">
      <c r="A151" s="1477" t="s">
        <v>1025</v>
      </c>
      <c r="B151" s="1477"/>
      <c r="C151" s="1478" t="s">
        <v>1046</v>
      </c>
      <c r="D151" s="1481">
        <f>IFERROR(-SUM(R120:R122),0)</f>
        <v>0</v>
      </c>
      <c r="E151" s="1481">
        <f t="shared" ref="E151:O151" si="38">IFERROR(-SUM(S120:S122),0)</f>
        <v>0</v>
      </c>
      <c r="F151" s="1481">
        <f t="shared" si="38"/>
        <v>0</v>
      </c>
      <c r="G151" s="1481">
        <f t="shared" si="38"/>
        <v>0</v>
      </c>
      <c r="H151" s="1481">
        <f t="shared" si="38"/>
        <v>0</v>
      </c>
      <c r="I151" s="1481">
        <f t="shared" si="38"/>
        <v>0</v>
      </c>
      <c r="J151" s="1481">
        <f t="shared" si="38"/>
        <v>0</v>
      </c>
      <c r="K151" s="1481">
        <f t="shared" si="38"/>
        <v>0</v>
      </c>
      <c r="L151" s="1481">
        <f t="shared" si="38"/>
        <v>0</v>
      </c>
      <c r="M151" s="1481">
        <f t="shared" si="38"/>
        <v>0</v>
      </c>
      <c r="N151" s="1481">
        <f t="shared" si="38"/>
        <v>0</v>
      </c>
      <c r="O151" s="1481">
        <f t="shared" si="38"/>
        <v>0</v>
      </c>
      <c r="P151" s="1395"/>
    </row>
    <row r="152" spans="1:16" x14ac:dyDescent="0.3">
      <c r="A152" s="1477"/>
      <c r="B152" s="1477"/>
      <c r="C152" s="1478"/>
      <c r="D152" s="1481"/>
      <c r="E152" s="1481"/>
      <c r="F152" s="1481"/>
      <c r="G152" s="1481"/>
      <c r="H152" s="1481"/>
      <c r="I152" s="1481"/>
      <c r="J152" s="1481"/>
      <c r="K152" s="1481"/>
      <c r="L152" s="1481"/>
      <c r="M152" s="1481"/>
      <c r="N152" s="1481"/>
      <c r="O152" s="1481"/>
      <c r="P152" s="1395"/>
    </row>
    <row r="153" spans="1:16" x14ac:dyDescent="0.3">
      <c r="A153" s="1477" t="s">
        <v>1064</v>
      </c>
      <c r="B153" s="1477"/>
      <c r="C153" s="1478" t="s">
        <v>597</v>
      </c>
      <c r="D153" s="1481">
        <f>IFERROR(-IF(D134&gt;'VERSUS (R)'!$AT$8,0,SUMIFS('ACTUALS (M)'!$G$56:$DV$56,'ACTUALS (M)'!$G$7:$DV$7,'VERSUS (R)'!$AS$9,'ACTUALS (M)'!$G$6:$DV$6,HIDE5!D134)),0)</f>
        <v>0</v>
      </c>
      <c r="E153" s="1481">
        <f>IFERROR(-IF(E134&gt;'VERSUS (R)'!$AT$8,0,SUMIFS('ACTUALS (M)'!$G$56:$DV$56,'ACTUALS (M)'!$G$7:$DV$7,'VERSUS (R)'!$AS$9,'ACTUALS (M)'!$G$6:$DV$6,HIDE5!E134)),0)</f>
        <v>0</v>
      </c>
      <c r="F153" s="1481">
        <f>IFERROR(-IF(F134&gt;'VERSUS (R)'!$AT$8,0,SUMIFS('ACTUALS (M)'!$G$56:$DV$56,'ACTUALS (M)'!$G$7:$DV$7,'VERSUS (R)'!$AS$9,'ACTUALS (M)'!$G$6:$DV$6,HIDE5!F134)),0)</f>
        <v>0</v>
      </c>
      <c r="G153" s="1481">
        <f>IFERROR(-IF(G134&gt;'VERSUS (R)'!$AT$8,0,SUMIFS('ACTUALS (M)'!$G$56:$DV$56,'ACTUALS (M)'!$G$7:$DV$7,'VERSUS (R)'!$AS$9,'ACTUALS (M)'!$G$6:$DV$6,HIDE5!G134)),0)</f>
        <v>0</v>
      </c>
      <c r="H153" s="1481">
        <f>IFERROR(-IF(H134&gt;'VERSUS (R)'!$AT$8,0,SUMIFS('ACTUALS (M)'!$G$56:$DV$56,'ACTUALS (M)'!$G$7:$DV$7,'VERSUS (R)'!$AS$9,'ACTUALS (M)'!$G$6:$DV$6,HIDE5!H134)),0)</f>
        <v>0</v>
      </c>
      <c r="I153" s="1481">
        <f>IFERROR(-IF(I134&gt;'VERSUS (R)'!$AT$8,0,SUMIFS('ACTUALS (M)'!$G$56:$DV$56,'ACTUALS (M)'!$G$7:$DV$7,'VERSUS (R)'!$AS$9,'ACTUALS (M)'!$G$6:$DV$6,HIDE5!I134)),0)</f>
        <v>0</v>
      </c>
      <c r="J153" s="1481">
        <f>IFERROR(-IF(J134&gt;'VERSUS (R)'!$AT$8,0,SUMIFS('ACTUALS (M)'!$G$56:$DV$56,'ACTUALS (M)'!$G$7:$DV$7,'VERSUS (R)'!$AS$9,'ACTUALS (M)'!$G$6:$DV$6,HIDE5!J134)),0)</f>
        <v>0</v>
      </c>
      <c r="K153" s="1481">
        <f>IFERROR(-IF(K134&gt;'VERSUS (R)'!$AT$8,0,SUMIFS('ACTUALS (M)'!$G$56:$DV$56,'ACTUALS (M)'!$G$7:$DV$7,'VERSUS (R)'!$AS$9,'ACTUALS (M)'!$G$6:$DV$6,HIDE5!K134)),0)</f>
        <v>0</v>
      </c>
      <c r="L153" s="1481">
        <f>IFERROR(-IF(L134&gt;'VERSUS (R)'!$AT$8,0,SUMIFS('ACTUALS (M)'!$G$56:$DV$56,'ACTUALS (M)'!$G$7:$DV$7,'VERSUS (R)'!$AS$9,'ACTUALS (M)'!$G$6:$DV$6,HIDE5!L134)),0)</f>
        <v>0</v>
      </c>
      <c r="M153" s="1481">
        <f>IFERROR(-IF(M134&gt;'VERSUS (R)'!$AT$8,0,SUMIFS('ACTUALS (M)'!$G$56:$DV$56,'ACTUALS (M)'!$G$7:$DV$7,'VERSUS (R)'!$AS$9,'ACTUALS (M)'!$G$6:$DV$6,HIDE5!M134)),0)</f>
        <v>0</v>
      </c>
      <c r="N153" s="1481">
        <f>IFERROR(-IF(N134&gt;'VERSUS (R)'!$AT$8,0,SUMIFS('ACTUALS (M)'!$G$56:$DV$56,'ACTUALS (M)'!$G$7:$DV$7,'VERSUS (R)'!$AS$9,'ACTUALS (M)'!$G$6:$DV$6,HIDE5!N134)),0)</f>
        <v>0</v>
      </c>
      <c r="O153" s="1481">
        <f>IFERROR(-IF(O134&gt;'VERSUS (R)'!$AT$8,0,SUMIFS('ACTUALS (M)'!$G$56:$DV$56,'ACTUALS (M)'!$G$7:$DV$7,'VERSUS (R)'!$AS$9,'ACTUALS (M)'!$G$6:$DV$6,HIDE5!O134)),0)</f>
        <v>0</v>
      </c>
      <c r="P153" s="1395"/>
    </row>
    <row r="154" spans="1:16" x14ac:dyDescent="0.3">
      <c r="A154" s="1477" t="s">
        <v>1064</v>
      </c>
      <c r="B154" s="1477"/>
      <c r="C154" s="1478" t="s">
        <v>1046</v>
      </c>
      <c r="D154" s="1481">
        <f>-R123</f>
        <v>0</v>
      </c>
      <c r="E154" s="1481">
        <f t="shared" ref="E154:O154" si="39">-S123</f>
        <v>0</v>
      </c>
      <c r="F154" s="1481">
        <f t="shared" si="39"/>
        <v>0</v>
      </c>
      <c r="G154" s="1481">
        <f t="shared" si="39"/>
        <v>0</v>
      </c>
      <c r="H154" s="1481">
        <f t="shared" si="39"/>
        <v>0</v>
      </c>
      <c r="I154" s="1481">
        <f t="shared" si="39"/>
        <v>0</v>
      </c>
      <c r="J154" s="1481">
        <f t="shared" si="39"/>
        <v>0</v>
      </c>
      <c r="K154" s="1481">
        <f t="shared" si="39"/>
        <v>0</v>
      </c>
      <c r="L154" s="1481">
        <f t="shared" si="39"/>
        <v>0</v>
      </c>
      <c r="M154" s="1481">
        <f t="shared" si="39"/>
        <v>0</v>
      </c>
      <c r="N154" s="1481">
        <f t="shared" si="39"/>
        <v>0</v>
      </c>
      <c r="O154" s="1481">
        <f t="shared" si="39"/>
        <v>0</v>
      </c>
      <c r="P154" s="1395"/>
    </row>
    <row r="155" spans="1:16" x14ac:dyDescent="0.3">
      <c r="A155" s="1477"/>
      <c r="B155" s="1477"/>
      <c r="C155" s="1478"/>
      <c r="D155" s="1481"/>
      <c r="E155" s="1481"/>
      <c r="F155" s="1481"/>
      <c r="G155" s="1481"/>
      <c r="H155" s="1481"/>
      <c r="I155" s="1481"/>
      <c r="J155" s="1481"/>
      <c r="K155" s="1481"/>
      <c r="L155" s="1481"/>
      <c r="M155" s="1481"/>
      <c r="N155" s="1481"/>
      <c r="O155" s="1481"/>
      <c r="P155" s="1395"/>
    </row>
    <row r="156" spans="1:16" x14ac:dyDescent="0.3">
      <c r="A156" s="1477"/>
      <c r="B156" s="1477"/>
      <c r="C156" s="1478" t="s">
        <v>124</v>
      </c>
      <c r="D156" s="1488">
        <f>D147+D150+D153-D141</f>
        <v>0</v>
      </c>
      <c r="E156" s="1488">
        <f t="shared" ref="E156:O157" si="40">E147+E150+E153-E141</f>
        <v>0</v>
      </c>
      <c r="F156" s="1488">
        <f t="shared" si="40"/>
        <v>0</v>
      </c>
      <c r="G156" s="1488">
        <f t="shared" si="40"/>
        <v>0</v>
      </c>
      <c r="H156" s="1488">
        <f t="shared" si="40"/>
        <v>0</v>
      </c>
      <c r="I156" s="1488">
        <f t="shared" si="40"/>
        <v>0</v>
      </c>
      <c r="J156" s="1488">
        <f t="shared" si="40"/>
        <v>0</v>
      </c>
      <c r="K156" s="1488">
        <f t="shared" si="40"/>
        <v>0</v>
      </c>
      <c r="L156" s="1488">
        <f t="shared" si="40"/>
        <v>0</v>
      </c>
      <c r="M156" s="1488">
        <f t="shared" si="40"/>
        <v>0</v>
      </c>
      <c r="N156" s="1488">
        <f t="shared" si="40"/>
        <v>0</v>
      </c>
      <c r="O156" s="1488">
        <f t="shared" si="40"/>
        <v>0</v>
      </c>
      <c r="P156" s="1395"/>
    </row>
    <row r="157" spans="1:16" x14ac:dyDescent="0.3">
      <c r="A157" s="1477"/>
      <c r="B157" s="1477"/>
      <c r="C157" s="1478"/>
      <c r="D157" s="1488">
        <f>D148+D151+D154-D142</f>
        <v>0</v>
      </c>
      <c r="E157" s="1488">
        <f t="shared" si="40"/>
        <v>0</v>
      </c>
      <c r="F157" s="1488">
        <f t="shared" si="40"/>
        <v>0</v>
      </c>
      <c r="G157" s="1488">
        <f t="shared" si="40"/>
        <v>0</v>
      </c>
      <c r="H157" s="1488">
        <f t="shared" si="40"/>
        <v>0</v>
      </c>
      <c r="I157" s="1488">
        <f t="shared" si="40"/>
        <v>0</v>
      </c>
      <c r="J157" s="1488">
        <f t="shared" si="40"/>
        <v>0</v>
      </c>
      <c r="K157" s="1488">
        <f t="shared" si="40"/>
        <v>0</v>
      </c>
      <c r="L157" s="1488">
        <f t="shared" si="40"/>
        <v>0</v>
      </c>
      <c r="M157" s="1488">
        <f t="shared" si="40"/>
        <v>0</v>
      </c>
      <c r="N157" s="1488">
        <f t="shared" si="40"/>
        <v>0</v>
      </c>
      <c r="O157" s="1488">
        <f t="shared" si="40"/>
        <v>0</v>
      </c>
      <c r="P157" s="1395"/>
    </row>
    <row r="158" spans="1:16" x14ac:dyDescent="0.3">
      <c r="A158" s="1477"/>
      <c r="B158" s="1477"/>
      <c r="C158" s="1478"/>
      <c r="D158" s="1481"/>
      <c r="E158" s="1481"/>
      <c r="F158" s="1481"/>
      <c r="G158" s="1481"/>
      <c r="H158" s="1481"/>
      <c r="I158" s="1481"/>
      <c r="J158" s="1481"/>
      <c r="K158" s="1481"/>
      <c r="L158" s="1481"/>
      <c r="M158" s="1481"/>
      <c r="N158" s="1481"/>
      <c r="O158" s="1481"/>
      <c r="P158" s="1395"/>
    </row>
    <row r="159" spans="1:16" x14ac:dyDescent="0.3">
      <c r="A159" s="1477"/>
      <c r="B159" s="1477"/>
      <c r="C159" s="1478"/>
      <c r="D159" s="1481"/>
      <c r="E159" s="1481"/>
      <c r="F159" s="1481"/>
      <c r="G159" s="1481"/>
      <c r="H159" s="1481"/>
      <c r="I159" s="1481"/>
      <c r="J159" s="1481"/>
      <c r="K159" s="1481"/>
      <c r="L159" s="1481"/>
      <c r="M159" s="1481"/>
      <c r="N159" s="1481"/>
      <c r="O159" s="1481"/>
      <c r="P159" s="1395"/>
    </row>
    <row r="160" spans="1:16" x14ac:dyDescent="0.3">
      <c r="A160" s="1395"/>
      <c r="B160" s="1395"/>
      <c r="C160" s="1395"/>
      <c r="D160" s="1395"/>
      <c r="E160" s="1395"/>
      <c r="F160" s="1395"/>
      <c r="G160" s="1395"/>
      <c r="H160" s="1395"/>
      <c r="I160" s="1395"/>
      <c r="J160" s="1395"/>
      <c r="K160" s="1395"/>
      <c r="L160" s="1395"/>
      <c r="M160" s="1395"/>
      <c r="N160" s="1395"/>
      <c r="O160" s="1395"/>
      <c r="P160" s="1395"/>
    </row>
    <row r="161" spans="1:16" x14ac:dyDescent="0.3">
      <c r="A161" s="1395"/>
      <c r="B161" s="1395"/>
      <c r="C161" s="1395"/>
      <c r="D161" s="1395"/>
      <c r="E161" s="1395"/>
      <c r="F161" s="1395"/>
      <c r="G161" s="1395"/>
      <c r="H161" s="1395"/>
      <c r="I161" s="1395"/>
      <c r="J161" s="1395"/>
      <c r="K161" s="1395"/>
      <c r="L161" s="1395"/>
      <c r="M161" s="1395"/>
      <c r="N161" s="1395"/>
      <c r="O161" s="1395"/>
      <c r="P161" s="1395"/>
    </row>
    <row r="162" spans="1:16" x14ac:dyDescent="0.3">
      <c r="A162" s="1395"/>
      <c r="B162" s="1395"/>
      <c r="C162" s="1395"/>
      <c r="D162" s="1395"/>
      <c r="E162" s="1395"/>
      <c r="F162" s="1395"/>
      <c r="G162" s="1395"/>
      <c r="H162" s="1395"/>
      <c r="I162" s="1395"/>
      <c r="J162" s="1395"/>
      <c r="K162" s="1395"/>
      <c r="L162" s="1395"/>
      <c r="M162" s="1395"/>
      <c r="N162" s="1395"/>
      <c r="O162" s="1395"/>
      <c r="P162" s="1395"/>
    </row>
    <row r="163" spans="1:16" x14ac:dyDescent="0.3">
      <c r="C163" s="1401" t="s">
        <v>584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37CE1-8EBE-48D7-A65B-537867294BF2}">
  <sheetPr codeName="Sheet15">
    <tabColor theme="1" tint="0.499984740745262"/>
  </sheetPr>
  <dimension ref="A1:U35"/>
  <sheetViews>
    <sheetView showGridLines="0" showRowColHeaders="0" tabSelected="1" workbookViewId="0"/>
  </sheetViews>
  <sheetFormatPr defaultColWidth="9.109375" defaultRowHeight="13.2" x14ac:dyDescent="0.25"/>
  <cols>
    <col min="1" max="1" width="3.5546875" style="558" customWidth="1"/>
    <col min="2" max="12" width="9.109375" style="558" customWidth="1"/>
    <col min="13" max="13" width="3.5546875" style="558" customWidth="1"/>
    <col min="14" max="14" width="4.5546875" style="558" customWidth="1"/>
    <col min="15" max="15" width="3.33203125" style="558" customWidth="1"/>
    <col min="16" max="16" width="14.6640625" style="558" customWidth="1"/>
    <col min="17" max="17" width="17.33203125" style="558" bestFit="1" customWidth="1"/>
    <col min="18" max="19" width="9.109375" style="558" customWidth="1"/>
    <col min="20" max="20" width="4.109375" style="558" customWidth="1"/>
    <col min="21" max="21" width="9.109375" style="558" customWidth="1"/>
    <col min="22" max="16384" width="9.109375" style="558"/>
  </cols>
  <sheetData>
    <row r="1" spans="1:21" ht="14.4" x14ac:dyDescent="0.3">
      <c r="A1" s="1869"/>
      <c r="B1" s="1809" t="s">
        <v>1179</v>
      </c>
      <c r="C1"/>
      <c r="D1"/>
      <c r="E1"/>
      <c r="F1"/>
      <c r="G1" t="s">
        <v>1190</v>
      </c>
      <c r="H1"/>
      <c r="I1"/>
      <c r="J1" s="1563"/>
      <c r="K1" s="1563"/>
      <c r="L1" s="1563"/>
      <c r="M1" s="1563"/>
      <c r="O1" s="558" t="str">
        <f>DISCLAIMER!$A$35</f>
        <v>© 2025 by WinsWithMike.com or Michael Forsberg Nampa, Idaho. All rights reserved</v>
      </c>
    </row>
    <row r="2" spans="1:21" ht="15" customHeight="1" x14ac:dyDescent="0.25">
      <c r="A2" s="1563"/>
      <c r="B2" s="1563" t="s">
        <v>1191</v>
      </c>
      <c r="C2" s="1563"/>
      <c r="D2" s="1563"/>
      <c r="E2" s="1563"/>
      <c r="F2" s="1563"/>
      <c r="G2" s="1563"/>
      <c r="H2" s="1563"/>
      <c r="I2" s="1563"/>
      <c r="J2" s="1563"/>
      <c r="K2" s="1563"/>
      <c r="L2" s="1563"/>
      <c r="M2" s="1563"/>
      <c r="O2" s="2082" t="s">
        <v>364</v>
      </c>
      <c r="P2" s="2082"/>
      <c r="Q2" s="2082"/>
      <c r="R2" s="2082"/>
      <c r="S2" s="2082"/>
      <c r="T2" s="2082"/>
      <c r="U2" s="2082"/>
    </row>
    <row r="3" spans="1:21" ht="13.8" thickBot="1" x14ac:dyDescent="0.3">
      <c r="A3" s="1563"/>
      <c r="B3" s="1583" t="s">
        <v>195</v>
      </c>
      <c r="C3" s="1583"/>
      <c r="D3" s="1583"/>
      <c r="E3" s="1583"/>
      <c r="F3" s="1563"/>
      <c r="G3" s="1563"/>
      <c r="H3" s="1563"/>
      <c r="I3" s="1563"/>
      <c r="J3" s="1563"/>
      <c r="K3" s="1563"/>
      <c r="L3" s="1563"/>
      <c r="M3" s="1563"/>
      <c r="O3" s="1810"/>
      <c r="P3" s="1811"/>
      <c r="Q3" s="1811"/>
      <c r="R3" s="1811"/>
      <c r="S3" s="1811"/>
      <c r="T3" s="1812"/>
      <c r="U3" s="1812"/>
    </row>
    <row r="4" spans="1:21" ht="15" customHeight="1" thickTop="1" x14ac:dyDescent="0.25">
      <c r="A4" s="1563"/>
      <c r="B4" s="1563"/>
      <c r="C4" s="1563"/>
      <c r="D4" s="1563"/>
      <c r="E4" s="1563"/>
      <c r="F4" s="1563"/>
      <c r="G4" s="1563"/>
      <c r="H4" s="1563"/>
      <c r="I4" s="1563"/>
      <c r="J4" s="1563"/>
      <c r="K4" s="1563"/>
      <c r="L4" s="1563"/>
      <c r="M4" s="1563"/>
      <c r="O4" s="1810"/>
      <c r="P4" s="1813" t="s">
        <v>365</v>
      </c>
      <c r="Q4" s="1810" t="s">
        <v>1180</v>
      </c>
      <c r="R4" s="1810"/>
      <c r="S4" s="1810"/>
      <c r="T4" s="1812"/>
      <c r="U4" s="1812"/>
    </row>
    <row r="5" spans="1:21" ht="15" customHeight="1" x14ac:dyDescent="0.25">
      <c r="A5" s="1563"/>
      <c r="B5" s="2083" t="s">
        <v>1181</v>
      </c>
      <c r="C5" s="2083"/>
      <c r="D5" s="2083"/>
      <c r="E5" s="2083"/>
      <c r="F5" s="2083"/>
      <c r="G5" s="2083"/>
      <c r="H5" s="2083"/>
      <c r="I5" s="2083"/>
      <c r="J5" s="2083"/>
      <c r="K5" s="2083"/>
      <c r="L5" s="2083"/>
      <c r="M5" s="1563"/>
      <c r="O5" s="1810"/>
      <c r="P5" s="1813" t="s">
        <v>366</v>
      </c>
      <c r="Q5" s="1810" t="s">
        <v>1134</v>
      </c>
      <c r="R5" s="1810"/>
      <c r="S5" s="1810"/>
      <c r="T5" s="1812"/>
      <c r="U5" s="1812"/>
    </row>
    <row r="6" spans="1:21" ht="15" customHeight="1" x14ac:dyDescent="0.25">
      <c r="A6" s="1563"/>
      <c r="B6" s="2083"/>
      <c r="C6" s="2083"/>
      <c r="D6" s="2083"/>
      <c r="E6" s="2083"/>
      <c r="F6" s="2083"/>
      <c r="G6" s="2083"/>
      <c r="H6" s="2083"/>
      <c r="I6" s="2083"/>
      <c r="J6" s="2083"/>
      <c r="K6" s="2083"/>
      <c r="L6" s="2083"/>
      <c r="M6" s="1563"/>
      <c r="O6" s="1810"/>
      <c r="P6" s="1813" t="s">
        <v>516</v>
      </c>
      <c r="Q6" s="1814" t="s">
        <v>1186</v>
      </c>
      <c r="R6" s="1810"/>
      <c r="S6" s="1810"/>
      <c r="T6" s="1812"/>
      <c r="U6" s="1812"/>
    </row>
    <row r="7" spans="1:21" ht="15" customHeight="1" x14ac:dyDescent="0.25">
      <c r="A7" s="1563"/>
      <c r="B7" s="2083"/>
      <c r="C7" s="2083"/>
      <c r="D7" s="2083"/>
      <c r="E7" s="2083"/>
      <c r="F7" s="2083"/>
      <c r="G7" s="2083"/>
      <c r="H7" s="2083"/>
      <c r="I7" s="2083"/>
      <c r="J7" s="2083"/>
      <c r="K7" s="2083"/>
      <c r="L7" s="2083"/>
      <c r="M7" s="1563"/>
      <c r="O7" s="1810"/>
      <c r="P7" s="1813" t="s">
        <v>367</v>
      </c>
      <c r="Q7" s="1810" t="s">
        <v>2678</v>
      </c>
      <c r="R7" s="1810"/>
      <c r="S7" s="1810"/>
      <c r="T7" s="1812"/>
      <c r="U7" s="1812"/>
    </row>
    <row r="8" spans="1:21" ht="15" customHeight="1" x14ac:dyDescent="0.25">
      <c r="A8" s="1563"/>
      <c r="B8" s="1563"/>
      <c r="C8" s="1563"/>
      <c r="D8" s="1563"/>
      <c r="E8" s="1563"/>
      <c r="F8" s="1563"/>
      <c r="G8" s="1563"/>
      <c r="H8" s="1563"/>
      <c r="I8" s="1563"/>
      <c r="J8" s="1563"/>
      <c r="K8" s="1563"/>
      <c r="L8" s="1563"/>
      <c r="M8" s="1563"/>
      <c r="O8" s="1810"/>
      <c r="P8" s="1813" t="s">
        <v>522</v>
      </c>
      <c r="Q8" s="1815" t="s">
        <v>1189</v>
      </c>
      <c r="R8" s="1812"/>
      <c r="S8" s="1810"/>
      <c r="T8" s="1812"/>
      <c r="U8" s="1812"/>
    </row>
    <row r="9" spans="1:21" ht="15" customHeight="1" x14ac:dyDescent="0.25">
      <c r="A9" s="1563"/>
      <c r="B9" s="1585" t="s">
        <v>217</v>
      </c>
      <c r="C9" s="1563"/>
      <c r="D9" s="1563"/>
      <c r="E9" s="1563"/>
      <c r="F9" s="1563"/>
      <c r="G9" s="1563"/>
      <c r="H9" s="1563"/>
      <c r="I9" s="1563"/>
      <c r="J9" s="1563"/>
      <c r="K9" s="1563"/>
      <c r="L9" s="1563"/>
      <c r="M9" s="1563"/>
      <c r="O9" s="1810"/>
      <c r="P9" s="1813"/>
      <c r="Q9" s="1813"/>
      <c r="R9" s="1812"/>
      <c r="S9" s="1810"/>
      <c r="T9" s="1812"/>
      <c r="U9" s="1812"/>
    </row>
    <row r="10" spans="1:21" ht="15" customHeight="1" x14ac:dyDescent="0.25">
      <c r="A10" s="1563"/>
      <c r="B10" s="2083" t="s">
        <v>1182</v>
      </c>
      <c r="C10" s="2083"/>
      <c r="D10" s="2083"/>
      <c r="E10" s="2083"/>
      <c r="F10" s="2083"/>
      <c r="G10" s="2083"/>
      <c r="H10" s="2083"/>
      <c r="I10" s="2083"/>
      <c r="J10" s="2083"/>
      <c r="K10" s="2083"/>
      <c r="L10" s="2083"/>
      <c r="M10" s="1563"/>
      <c r="O10" s="2082" t="s">
        <v>1187</v>
      </c>
      <c r="P10" s="2082"/>
      <c r="Q10" s="2082"/>
      <c r="R10" s="2082"/>
      <c r="S10" s="2082"/>
      <c r="T10" s="2082"/>
      <c r="U10" s="2082"/>
    </row>
    <row r="11" spans="1:21" ht="15" customHeight="1" x14ac:dyDescent="0.25">
      <c r="A11" s="1563"/>
      <c r="B11" s="2083"/>
      <c r="C11" s="2083"/>
      <c r="D11" s="2083"/>
      <c r="E11" s="2083"/>
      <c r="F11" s="2083"/>
      <c r="G11" s="2083"/>
      <c r="H11" s="2083"/>
      <c r="I11" s="2083"/>
      <c r="J11" s="2083"/>
      <c r="K11" s="2083"/>
      <c r="L11" s="2083"/>
      <c r="M11" s="1563"/>
      <c r="O11" s="1810"/>
      <c r="P11" s="1812"/>
      <c r="Q11" s="1814"/>
      <c r="R11" s="1812"/>
      <c r="S11" s="1810"/>
      <c r="T11" s="1812"/>
      <c r="U11" s="1812"/>
    </row>
    <row r="12" spans="1:21" ht="15" customHeight="1" x14ac:dyDescent="0.25">
      <c r="A12" s="1563"/>
      <c r="B12" s="2083"/>
      <c r="C12" s="2083"/>
      <c r="D12" s="2083"/>
      <c r="E12" s="2083"/>
      <c r="F12" s="2083"/>
      <c r="G12" s="2083"/>
      <c r="H12" s="2083"/>
      <c r="I12" s="2083"/>
      <c r="J12" s="2083"/>
      <c r="K12" s="2083"/>
      <c r="L12" s="2083"/>
      <c r="M12" s="1563"/>
      <c r="O12" s="1810"/>
      <c r="P12" s="1812"/>
      <c r="Q12" s="1812"/>
      <c r="R12" s="1812"/>
      <c r="S12" s="1810"/>
      <c r="T12" s="1812"/>
      <c r="U12" s="1812"/>
    </row>
    <row r="13" spans="1:21" ht="26.25" customHeight="1" x14ac:dyDescent="0.25">
      <c r="A13" s="1563"/>
      <c r="B13" s="2083"/>
      <c r="C13" s="2083"/>
      <c r="D13" s="2083"/>
      <c r="E13" s="2083"/>
      <c r="F13" s="2083"/>
      <c r="G13" s="2083"/>
      <c r="H13" s="2083"/>
      <c r="I13" s="2083"/>
      <c r="J13" s="2083"/>
      <c r="K13" s="2083"/>
      <c r="L13" s="2083"/>
      <c r="M13" s="1563"/>
      <c r="O13" s="1810"/>
      <c r="P13" s="1810"/>
      <c r="Q13" s="1810"/>
      <c r="R13" s="1810"/>
      <c r="S13" s="1810"/>
      <c r="T13" s="1812"/>
      <c r="U13" s="1812"/>
    </row>
    <row r="14" spans="1:21" ht="15" customHeight="1" x14ac:dyDescent="0.25">
      <c r="A14" s="1563"/>
      <c r="B14" s="1584"/>
      <c r="C14" s="1584"/>
      <c r="D14" s="1584"/>
      <c r="E14" s="1584"/>
      <c r="F14" s="1584"/>
      <c r="G14" s="1584"/>
      <c r="H14" s="1584"/>
      <c r="I14" s="1584"/>
      <c r="J14" s="1584"/>
      <c r="K14" s="1584"/>
      <c r="L14" s="1584"/>
      <c r="M14" s="1563"/>
    </row>
    <row r="15" spans="1:21" ht="15" customHeight="1" x14ac:dyDescent="0.25">
      <c r="A15" s="1563"/>
      <c r="B15" s="1585" t="s">
        <v>218</v>
      </c>
      <c r="C15" s="1563"/>
      <c r="D15" s="1563"/>
      <c r="E15" s="1563"/>
      <c r="F15" s="1563"/>
      <c r="G15" s="1563"/>
      <c r="H15" s="1563"/>
      <c r="I15" s="1563"/>
      <c r="J15" s="1563"/>
      <c r="K15" s="1563"/>
      <c r="L15" s="1563"/>
      <c r="M15" s="1563"/>
    </row>
    <row r="16" spans="1:21" ht="15" customHeight="1" x14ac:dyDescent="0.25">
      <c r="A16" s="1563"/>
      <c r="B16" s="2083" t="s">
        <v>220</v>
      </c>
      <c r="C16" s="2083"/>
      <c r="D16" s="2083"/>
      <c r="E16" s="2083"/>
      <c r="F16" s="2083"/>
      <c r="G16" s="2083"/>
      <c r="H16" s="2083"/>
      <c r="I16" s="2083"/>
      <c r="J16" s="2083"/>
      <c r="K16" s="2083"/>
      <c r="L16" s="2083"/>
      <c r="M16" s="1563"/>
    </row>
    <row r="17" spans="1:13" ht="15" customHeight="1" x14ac:dyDescent="0.25">
      <c r="A17" s="1563"/>
      <c r="B17" s="2083"/>
      <c r="C17" s="2083"/>
      <c r="D17" s="2083"/>
      <c r="E17" s="2083"/>
      <c r="F17" s="2083"/>
      <c r="G17" s="2083"/>
      <c r="H17" s="2083"/>
      <c r="I17" s="2083"/>
      <c r="J17" s="2083"/>
      <c r="K17" s="2083"/>
      <c r="L17" s="2083"/>
      <c r="M17" s="1563"/>
    </row>
    <row r="18" spans="1:13" ht="15" customHeight="1" x14ac:dyDescent="0.25">
      <c r="A18" s="1563"/>
      <c r="B18" s="1584"/>
      <c r="C18" s="1584"/>
      <c r="D18" s="1584"/>
      <c r="E18" s="1584"/>
      <c r="F18" s="1584"/>
      <c r="G18" s="1584"/>
      <c r="H18" s="1584"/>
      <c r="I18" s="1584"/>
      <c r="J18" s="1584"/>
      <c r="K18" s="1584"/>
      <c r="L18" s="1584"/>
      <c r="M18" s="1563"/>
    </row>
    <row r="19" spans="1:13" ht="15" customHeight="1" x14ac:dyDescent="0.25">
      <c r="A19" s="1563"/>
      <c r="B19" s="1585" t="s">
        <v>219</v>
      </c>
      <c r="C19" s="1563"/>
      <c r="D19" s="1563"/>
      <c r="E19" s="1563"/>
      <c r="F19" s="1563"/>
      <c r="G19" s="1563"/>
      <c r="H19" s="1563"/>
      <c r="I19" s="1563"/>
      <c r="J19" s="1563"/>
      <c r="K19" s="1563"/>
      <c r="L19" s="1563"/>
      <c r="M19" s="1563"/>
    </row>
    <row r="20" spans="1:13" ht="15" customHeight="1" x14ac:dyDescent="0.25">
      <c r="A20" s="1563"/>
      <c r="B20" s="2083" t="s">
        <v>1183</v>
      </c>
      <c r="C20" s="2083"/>
      <c r="D20" s="2083"/>
      <c r="E20" s="2083"/>
      <c r="F20" s="2083"/>
      <c r="G20" s="2083"/>
      <c r="H20" s="2083"/>
      <c r="I20" s="2083"/>
      <c r="J20" s="2083"/>
      <c r="K20" s="2083"/>
      <c r="L20" s="2083"/>
      <c r="M20" s="1563"/>
    </row>
    <row r="21" spans="1:13" ht="15" customHeight="1" x14ac:dyDescent="0.25">
      <c r="A21" s="1563"/>
      <c r="B21" s="2083"/>
      <c r="C21" s="2083"/>
      <c r="D21" s="2083"/>
      <c r="E21" s="2083"/>
      <c r="F21" s="2083"/>
      <c r="G21" s="2083"/>
      <c r="H21" s="2083"/>
      <c r="I21" s="2083"/>
      <c r="J21" s="2083"/>
      <c r="K21" s="2083"/>
      <c r="L21" s="2083"/>
      <c r="M21" s="1563"/>
    </row>
    <row r="22" spans="1:13" ht="15" customHeight="1" x14ac:dyDescent="0.25">
      <c r="A22" s="1563"/>
      <c r="B22" s="2083"/>
      <c r="C22" s="2083"/>
      <c r="D22" s="2083"/>
      <c r="E22" s="2083"/>
      <c r="F22" s="2083"/>
      <c r="G22" s="2083"/>
      <c r="H22" s="2083"/>
      <c r="I22" s="2083"/>
      <c r="J22" s="2083"/>
      <c r="K22" s="2083"/>
      <c r="L22" s="2083"/>
      <c r="M22" s="1563"/>
    </row>
    <row r="23" spans="1:13" ht="15" customHeight="1" x14ac:dyDescent="0.25">
      <c r="A23" s="1563"/>
      <c r="B23" s="2083"/>
      <c r="C23" s="2083"/>
      <c r="D23" s="2083"/>
      <c r="E23" s="2083"/>
      <c r="F23" s="2083"/>
      <c r="G23" s="2083"/>
      <c r="H23" s="2083"/>
      <c r="I23" s="2083"/>
      <c r="J23" s="2083"/>
      <c r="K23" s="2083"/>
      <c r="L23" s="2083"/>
      <c r="M23" s="1563"/>
    </row>
    <row r="24" spans="1:13" ht="15" customHeight="1" x14ac:dyDescent="0.25">
      <c r="A24" s="1563"/>
      <c r="B24" s="2083"/>
      <c r="C24" s="2083"/>
      <c r="D24" s="2083"/>
      <c r="E24" s="2083"/>
      <c r="F24" s="2083"/>
      <c r="G24" s="2083"/>
      <c r="H24" s="2083"/>
      <c r="I24" s="2083"/>
      <c r="J24" s="2083"/>
      <c r="K24" s="2083"/>
      <c r="L24" s="2083"/>
      <c r="M24" s="1563"/>
    </row>
    <row r="25" spans="1:13" ht="15" customHeight="1" x14ac:dyDescent="0.25">
      <c r="A25" s="1563"/>
      <c r="B25" s="2083"/>
      <c r="C25" s="2083"/>
      <c r="D25" s="2083"/>
      <c r="E25" s="2083"/>
      <c r="F25" s="2083"/>
      <c r="G25" s="2083"/>
      <c r="H25" s="2083"/>
      <c r="I25" s="2083"/>
      <c r="J25" s="2083"/>
      <c r="K25" s="2083"/>
      <c r="L25" s="2083"/>
      <c r="M25" s="1563"/>
    </row>
    <row r="26" spans="1:13" ht="15" customHeight="1" x14ac:dyDescent="0.25">
      <c r="A26" s="1563"/>
      <c r="B26" s="2083"/>
      <c r="C26" s="2083"/>
      <c r="D26" s="2083"/>
      <c r="E26" s="2083"/>
      <c r="F26" s="2083"/>
      <c r="G26" s="2083"/>
      <c r="H26" s="2083"/>
      <c r="I26" s="2083"/>
      <c r="J26" s="2083"/>
      <c r="K26" s="2083"/>
      <c r="L26" s="2083"/>
      <c r="M26" s="1563"/>
    </row>
    <row r="27" spans="1:13" ht="15" customHeight="1" x14ac:dyDescent="0.25">
      <c r="A27" s="1563"/>
      <c r="B27" s="1563"/>
      <c r="C27" s="1563"/>
      <c r="D27" s="1563"/>
      <c r="E27" s="1563"/>
      <c r="F27" s="1563"/>
      <c r="G27" s="1563"/>
      <c r="H27" s="1563"/>
      <c r="I27" s="1563"/>
      <c r="J27" s="1563"/>
      <c r="K27" s="1563"/>
      <c r="L27" s="1563"/>
      <c r="M27" s="1563"/>
    </row>
    <row r="28" spans="1:13" ht="15" customHeight="1" x14ac:dyDescent="0.25">
      <c r="A28" s="1563"/>
      <c r="B28" s="2083" t="s">
        <v>1184</v>
      </c>
      <c r="C28" s="2083"/>
      <c r="D28" s="2083"/>
      <c r="E28" s="2083"/>
      <c r="F28" s="2083"/>
      <c r="G28" s="2083"/>
      <c r="H28" s="2083"/>
      <c r="I28" s="2083"/>
      <c r="J28" s="2083"/>
      <c r="K28" s="2083"/>
      <c r="L28" s="2083"/>
      <c r="M28" s="1563"/>
    </row>
    <row r="29" spans="1:13" ht="45" customHeight="1" x14ac:dyDescent="0.25">
      <c r="A29" s="1563"/>
      <c r="B29" s="2083"/>
      <c r="C29" s="2083"/>
      <c r="D29" s="2083"/>
      <c r="E29" s="2083"/>
      <c r="F29" s="2083"/>
      <c r="G29" s="2083"/>
      <c r="H29" s="2083"/>
      <c r="I29" s="2083"/>
      <c r="J29" s="2083"/>
      <c r="K29" s="2083"/>
      <c r="L29" s="2083"/>
      <c r="M29" s="1563"/>
    </row>
    <row r="30" spans="1:13" ht="15" customHeight="1" x14ac:dyDescent="0.25">
      <c r="A30" s="1563"/>
      <c r="B30" s="1584"/>
      <c r="C30" s="1584"/>
      <c r="D30" s="1584"/>
      <c r="E30" s="1584"/>
      <c r="F30" s="1584"/>
      <c r="G30" s="1584"/>
      <c r="H30" s="1584"/>
      <c r="I30" s="1584"/>
      <c r="J30" s="1584"/>
      <c r="K30" s="1584"/>
      <c r="L30" s="1584"/>
      <c r="M30" s="1563"/>
    </row>
    <row r="31" spans="1:13" ht="15" customHeight="1" x14ac:dyDescent="0.25">
      <c r="A31" s="1563"/>
      <c r="B31" s="1585" t="s">
        <v>221</v>
      </c>
      <c r="C31" s="1563"/>
      <c r="D31" s="1563"/>
      <c r="E31" s="1563"/>
      <c r="F31" s="1563"/>
      <c r="G31" s="1563"/>
      <c r="H31" s="1563"/>
      <c r="I31" s="1563"/>
      <c r="J31" s="1563"/>
      <c r="K31" s="1563"/>
      <c r="L31" s="1563"/>
      <c r="M31" s="1563"/>
    </row>
    <row r="32" spans="1:13" ht="15" customHeight="1" x14ac:dyDescent="0.25">
      <c r="A32" s="1563"/>
      <c r="B32" s="2084" t="s">
        <v>222</v>
      </c>
      <c r="C32" s="2084"/>
      <c r="D32" s="2084"/>
      <c r="E32" s="2084"/>
      <c r="F32" s="2084"/>
      <c r="G32" s="2084"/>
      <c r="H32" s="2084"/>
      <c r="I32" s="2084"/>
      <c r="J32" s="2084"/>
      <c r="K32" s="2084"/>
      <c r="L32" s="2084"/>
      <c r="M32" s="1563"/>
    </row>
    <row r="33" spans="1:19" ht="15" customHeight="1" x14ac:dyDescent="0.25">
      <c r="A33" s="1563"/>
      <c r="B33" s="2084"/>
      <c r="C33" s="2084"/>
      <c r="D33" s="2084"/>
      <c r="E33" s="2084"/>
      <c r="F33" s="2084"/>
      <c r="G33" s="2084"/>
      <c r="H33" s="2084"/>
      <c r="I33" s="2084"/>
      <c r="J33" s="2084"/>
      <c r="K33" s="2084"/>
      <c r="L33" s="2084"/>
      <c r="M33" s="1563"/>
    </row>
    <row r="34" spans="1:19" ht="15" customHeight="1" x14ac:dyDescent="0.25">
      <c r="A34" s="1563"/>
      <c r="B34" s="1563"/>
      <c r="C34" s="1563"/>
      <c r="D34" s="1563"/>
      <c r="E34" s="1579"/>
      <c r="F34" s="1579"/>
      <c r="G34" s="1576"/>
      <c r="H34" s="1576"/>
      <c r="I34" s="1576"/>
      <c r="J34" s="1576"/>
      <c r="K34" s="1576"/>
      <c r="L34" s="1576"/>
      <c r="M34" s="1563"/>
    </row>
    <row r="35" spans="1:19" s="1588" customFormat="1" ht="15" customHeight="1" x14ac:dyDescent="0.25">
      <c r="A35" s="1816" t="s">
        <v>1188</v>
      </c>
      <c r="B35" s="1586"/>
      <c r="C35" s="1586"/>
      <c r="D35" s="1586"/>
      <c r="E35" s="1586"/>
      <c r="F35" s="1586"/>
      <c r="G35" s="1586"/>
      <c r="H35" s="1586"/>
      <c r="I35" s="1586"/>
      <c r="J35" s="1586"/>
      <c r="K35" s="1586"/>
      <c r="L35" s="1586"/>
      <c r="M35" s="1587"/>
      <c r="O35" s="558"/>
      <c r="P35" s="558"/>
      <c r="Q35" s="558"/>
      <c r="R35" s="558"/>
      <c r="S35" s="558"/>
    </row>
  </sheetData>
  <sheetProtection sheet="1" objects="1" scenarios="1" selectLockedCells="1"/>
  <mergeCells count="8">
    <mergeCell ref="O2:U2"/>
    <mergeCell ref="O10:U10"/>
    <mergeCell ref="B20:L26"/>
    <mergeCell ref="B28:L29"/>
    <mergeCell ref="B32:L33"/>
    <mergeCell ref="B5:L7"/>
    <mergeCell ref="B10:L13"/>
    <mergeCell ref="B16:L17"/>
  </mergeCells>
  <hyperlinks>
    <hyperlink ref="B1" r:id="rId1" xr:uid="{D48A980A-C71A-4375-8F8D-D638BDD84176}"/>
    <hyperlink ref="A35" r:id="rId2" display="© 2019 - 2024 by WinsWithMike.com or Michael Forsberg Nampa, Idaho. All rights reserved" xr:uid="{6643B3FB-B96F-4413-9B37-72DBD6A3ADE1}"/>
  </hyperlinks>
  <pageMargins left="0.7" right="0.7" top="0.75" bottom="0.75" header="0.3" footer="0.3"/>
  <pageSetup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955B3-E9EB-4E1A-8541-A71BED4F0FFA}">
  <sheetPr codeName="Sheet22">
    <tabColor theme="1" tint="0.499984740745262"/>
  </sheetPr>
  <dimension ref="A1:T69"/>
  <sheetViews>
    <sheetView showGridLines="0" showRowColHeaders="0" workbookViewId="0">
      <selection activeCell="M10" sqref="M10:N10"/>
    </sheetView>
  </sheetViews>
  <sheetFormatPr defaultColWidth="9.109375" defaultRowHeight="15" customHeight="1" x14ac:dyDescent="0.25"/>
  <cols>
    <col min="1" max="1" width="3.5546875" style="558" customWidth="1"/>
    <col min="2" max="3" width="9.109375" style="558" customWidth="1"/>
    <col min="4" max="4" width="3.5546875" style="558" customWidth="1"/>
    <col min="5" max="5" width="12.109375" style="558" customWidth="1"/>
    <col min="6" max="6" width="3.5546875" style="558" customWidth="1"/>
    <col min="7" max="7" width="9.109375" style="558" customWidth="1"/>
    <col min="8" max="8" width="12.33203125" style="558" customWidth="1"/>
    <col min="9" max="11" width="9.109375" style="558" customWidth="1"/>
    <col min="12" max="12" width="4.44140625" style="558" customWidth="1"/>
    <col min="13" max="19" width="9.109375" style="558" customWidth="1"/>
    <col min="20" max="20" width="4.33203125" style="558" customWidth="1"/>
    <col min="21" max="16384" width="9.109375" style="558"/>
  </cols>
  <sheetData>
    <row r="1" spans="1:20" ht="13.2" x14ac:dyDescent="0.25">
      <c r="A1" s="1563"/>
      <c r="B1" s="1564" t="s">
        <v>1179</v>
      </c>
      <c r="C1" s="1565"/>
      <c r="D1" s="1565"/>
      <c r="E1" s="1565"/>
      <c r="F1" s="1565"/>
      <c r="G1" s="1565"/>
      <c r="H1" s="1566"/>
      <c r="I1" s="1563"/>
      <c r="J1" s="1563"/>
      <c r="K1" s="1567"/>
      <c r="L1" s="1567"/>
      <c r="M1" s="1563"/>
      <c r="N1" s="1563"/>
      <c r="O1" s="1563"/>
      <c r="P1" s="1563"/>
      <c r="Q1" s="1563"/>
      <c r="R1" s="1563"/>
      <c r="S1" s="1563"/>
      <c r="T1" s="1563"/>
    </row>
    <row r="2" spans="1:20" ht="13.2" x14ac:dyDescent="0.25">
      <c r="A2" s="1563"/>
      <c r="B2" s="1563" t="str">
        <f>DISCLAIMER!$A$35</f>
        <v>© 2025 by WinsWithMike.com or Michael Forsberg Nampa, Idaho. All rights reserved</v>
      </c>
      <c r="C2" s="1563"/>
      <c r="D2" s="1563"/>
      <c r="E2" s="1563"/>
      <c r="F2" s="1563"/>
      <c r="G2" s="1563"/>
      <c r="H2" s="1563"/>
      <c r="I2" s="1563"/>
      <c r="J2" s="1563"/>
      <c r="K2" s="1563"/>
      <c r="L2" s="1563"/>
      <c r="M2" s="1563"/>
      <c r="N2" s="1563"/>
      <c r="O2" s="1563"/>
      <c r="P2" s="1563"/>
      <c r="Q2" s="1563"/>
      <c r="R2" s="1563"/>
      <c r="S2" s="1563"/>
      <c r="T2" s="1563"/>
    </row>
    <row r="3" spans="1:20" ht="13.8" thickBot="1" x14ac:dyDescent="0.3">
      <c r="A3" s="1563"/>
      <c r="B3" s="1568" t="s">
        <v>428</v>
      </c>
      <c r="C3" s="1568"/>
      <c r="D3" s="1568"/>
      <c r="E3" s="1568"/>
      <c r="F3" s="1568"/>
      <c r="G3" s="1568"/>
      <c r="H3" s="1568"/>
      <c r="I3" s="1563"/>
      <c r="J3" s="1563"/>
      <c r="K3" s="1563"/>
      <c r="L3" s="1563"/>
      <c r="M3" s="1563"/>
      <c r="N3" s="1563"/>
      <c r="O3" s="1563"/>
      <c r="P3" s="1563"/>
      <c r="Q3" s="1563"/>
      <c r="R3" s="1563"/>
      <c r="S3" s="1563"/>
      <c r="T3" s="1563"/>
    </row>
    <row r="4" spans="1:20" ht="13.8" thickTop="1" x14ac:dyDescent="0.25">
      <c r="A4" s="1563"/>
      <c r="B4" s="1563"/>
      <c r="C4" s="1563"/>
      <c r="D4" s="1563"/>
      <c r="E4" s="1563"/>
      <c r="F4" s="1563"/>
      <c r="G4" s="1563"/>
      <c r="H4" s="1563"/>
      <c r="I4" s="1563"/>
      <c r="J4" s="1563"/>
      <c r="K4" s="1563"/>
      <c r="L4" s="1563"/>
      <c r="M4" s="1563"/>
      <c r="N4" s="1563"/>
      <c r="O4" s="1563"/>
      <c r="P4" s="1563"/>
      <c r="Q4" s="1563"/>
      <c r="R4" s="1563"/>
      <c r="S4" s="1563"/>
      <c r="T4" s="1563"/>
    </row>
    <row r="5" spans="1:20" ht="15" customHeight="1" x14ac:dyDescent="0.25">
      <c r="A5" s="1563"/>
      <c r="B5" s="2084" t="s">
        <v>1135</v>
      </c>
      <c r="C5" s="2084"/>
      <c r="D5" s="2084"/>
      <c r="E5" s="2084"/>
      <c r="F5" s="2084"/>
      <c r="G5" s="2084"/>
      <c r="H5" s="2084"/>
      <c r="I5" s="2084"/>
      <c r="J5" s="2084"/>
      <c r="K5" s="2084"/>
      <c r="L5" s="2084"/>
      <c r="M5" s="2084"/>
      <c r="N5" s="2084"/>
      <c r="O5" s="2084"/>
      <c r="P5" s="2084"/>
      <c r="Q5" s="2084"/>
      <c r="R5" s="2084"/>
      <c r="S5" s="2084"/>
      <c r="T5" s="1563"/>
    </row>
    <row r="6" spans="1:20" ht="13.2" x14ac:dyDescent="0.25">
      <c r="A6" s="1563"/>
      <c r="B6" s="2084"/>
      <c r="C6" s="2084"/>
      <c r="D6" s="2084"/>
      <c r="E6" s="2084"/>
      <c r="F6" s="2084"/>
      <c r="G6" s="2084"/>
      <c r="H6" s="2084"/>
      <c r="I6" s="2084"/>
      <c r="J6" s="2084"/>
      <c r="K6" s="2084"/>
      <c r="L6" s="2084"/>
      <c r="M6" s="2084"/>
      <c r="N6" s="2084"/>
      <c r="O6" s="2084"/>
      <c r="P6" s="2084"/>
      <c r="Q6" s="2084"/>
      <c r="R6" s="2084"/>
      <c r="S6" s="2084"/>
      <c r="T6" s="1563"/>
    </row>
    <row r="7" spans="1:20" ht="36" customHeight="1" x14ac:dyDescent="0.25">
      <c r="A7" s="1563"/>
      <c r="B7" s="2084"/>
      <c r="C7" s="2084"/>
      <c r="D7" s="2084"/>
      <c r="E7" s="2084"/>
      <c r="F7" s="2084"/>
      <c r="G7" s="2084"/>
      <c r="H7" s="2084"/>
      <c r="I7" s="2084"/>
      <c r="J7" s="2084"/>
      <c r="K7" s="2084"/>
      <c r="L7" s="2084"/>
      <c r="M7" s="2084"/>
      <c r="N7" s="2084"/>
      <c r="O7" s="2084"/>
      <c r="P7" s="2084"/>
      <c r="Q7" s="2084"/>
      <c r="R7" s="2084"/>
      <c r="S7" s="2084"/>
      <c r="T7" s="1563"/>
    </row>
    <row r="8" spans="1:20" ht="13.2" x14ac:dyDescent="0.25">
      <c r="A8" s="1563"/>
      <c r="B8" s="1570"/>
      <c r="C8" s="1570"/>
      <c r="D8" s="1570"/>
      <c r="E8" s="1570"/>
      <c r="F8" s="1570"/>
      <c r="G8" s="1570"/>
      <c r="H8" s="1570"/>
      <c r="I8" s="1570"/>
      <c r="J8" s="1570"/>
      <c r="K8" s="1570"/>
      <c r="L8" s="1570"/>
      <c r="M8" s="1570"/>
      <c r="N8" s="1570"/>
      <c r="O8" s="1570"/>
      <c r="P8" s="1570"/>
      <c r="Q8" s="1570"/>
      <c r="R8" s="1570"/>
      <c r="S8" s="1570"/>
      <c r="T8" s="1563"/>
    </row>
    <row r="9" spans="1:20" ht="13.2" x14ac:dyDescent="0.25">
      <c r="A9" s="1563"/>
      <c r="B9" s="1571" t="s">
        <v>448</v>
      </c>
      <c r="C9" s="1570"/>
      <c r="D9" s="1570"/>
      <c r="E9" s="1570"/>
      <c r="F9" s="1570"/>
      <c r="G9" s="1570"/>
      <c r="H9" s="1570"/>
      <c r="I9" s="1570"/>
      <c r="J9" s="2089" t="s">
        <v>273</v>
      </c>
      <c r="K9" s="2089"/>
      <c r="L9" s="1570"/>
      <c r="M9" s="2090" t="s">
        <v>274</v>
      </c>
      <c r="N9" s="2090"/>
      <c r="O9" s="1570"/>
      <c r="P9" s="1570"/>
      <c r="Q9" s="1570"/>
      <c r="R9" s="1570"/>
      <c r="S9" s="1570"/>
      <c r="T9" s="1563"/>
    </row>
    <row r="10" spans="1:20" ht="18" customHeight="1" x14ac:dyDescent="0.25">
      <c r="A10" s="1563"/>
      <c r="B10" s="1570" t="s">
        <v>451</v>
      </c>
      <c r="C10" s="1570"/>
      <c r="D10" s="1570"/>
      <c r="E10" s="1570"/>
      <c r="F10" s="1570"/>
      <c r="G10" s="1570"/>
      <c r="H10" s="1570"/>
      <c r="I10" s="1570"/>
      <c r="J10" s="2096" t="s">
        <v>363</v>
      </c>
      <c r="K10" s="2097"/>
      <c r="L10" s="1570"/>
      <c r="M10" s="2099" t="s">
        <v>363</v>
      </c>
      <c r="N10" s="2100"/>
      <c r="O10" s="1570"/>
      <c r="P10" s="1570"/>
      <c r="Q10" s="1570"/>
      <c r="R10" s="1570"/>
      <c r="S10" s="1570"/>
      <c r="T10" s="1563"/>
    </row>
    <row r="11" spans="1:20" ht="33.75" customHeight="1" x14ac:dyDescent="0.25">
      <c r="A11" s="1563"/>
      <c r="B11" s="2098" t="s">
        <v>1113</v>
      </c>
      <c r="C11" s="2098"/>
      <c r="D11" s="2098"/>
      <c r="E11" s="2098"/>
      <c r="F11" s="2098"/>
      <c r="G11" s="2098"/>
      <c r="H11" s="2098"/>
      <c r="I11" s="2098"/>
      <c r="J11" s="2098"/>
      <c r="K11" s="2098"/>
      <c r="L11" s="2098"/>
      <c r="M11" s="2098"/>
      <c r="N11" s="2098"/>
      <c r="O11" s="2098"/>
      <c r="P11" s="2098"/>
      <c r="Q11" s="2098"/>
      <c r="R11" s="2098"/>
      <c r="S11" s="2098"/>
      <c r="T11" s="1563"/>
    </row>
    <row r="12" spans="1:20" ht="13.2" x14ac:dyDescent="0.25">
      <c r="A12" s="1563"/>
      <c r="B12" s="1572"/>
      <c r="C12" s="1572"/>
      <c r="D12" s="1572"/>
      <c r="E12" s="1572"/>
      <c r="F12" s="1572"/>
      <c r="G12" s="1572"/>
      <c r="H12" s="1572"/>
      <c r="I12" s="1572"/>
      <c r="J12" s="1572"/>
      <c r="K12" s="1572"/>
      <c r="L12" s="1572"/>
      <c r="M12" s="1572"/>
      <c r="N12" s="1572"/>
      <c r="O12" s="1572"/>
      <c r="P12" s="1572"/>
      <c r="Q12" s="1572"/>
      <c r="R12" s="1572"/>
      <c r="S12" s="1572"/>
      <c r="T12" s="1563"/>
    </row>
    <row r="13" spans="1:20" ht="15" customHeight="1" x14ac:dyDescent="0.25">
      <c r="A13" s="1563"/>
      <c r="B13" s="1570" t="s">
        <v>452</v>
      </c>
      <c r="C13" s="1570"/>
      <c r="D13" s="1570"/>
      <c r="E13" s="1570"/>
      <c r="F13" s="1570"/>
      <c r="G13" s="1572"/>
      <c r="H13" s="1572"/>
      <c r="I13" s="2091" t="s">
        <v>370</v>
      </c>
      <c r="J13" s="2091"/>
      <c r="K13" s="1573" t="s">
        <v>2600</v>
      </c>
      <c r="L13" s="2092" t="s">
        <v>2601</v>
      </c>
      <c r="M13" s="2092"/>
      <c r="N13" s="1570" t="s">
        <v>453</v>
      </c>
      <c r="O13" s="1574"/>
      <c r="P13" s="1574"/>
      <c r="Q13" s="1574"/>
      <c r="R13" s="1574"/>
      <c r="S13" s="1574"/>
      <c r="T13" s="1563"/>
    </row>
    <row r="14" spans="1:20" ht="13.2" x14ac:dyDescent="0.25">
      <c r="A14" s="1563"/>
      <c r="B14" s="1569"/>
      <c r="C14" s="1569"/>
      <c r="D14" s="1569"/>
      <c r="E14" s="1569"/>
      <c r="F14" s="1569"/>
      <c r="G14" s="1569"/>
      <c r="H14" s="1569"/>
      <c r="I14" s="2091"/>
      <c r="J14" s="2091"/>
      <c r="K14" s="1569"/>
      <c r="L14" s="2092"/>
      <c r="M14" s="2092"/>
      <c r="N14" s="1569"/>
      <c r="O14" s="1569"/>
      <c r="P14" s="1569"/>
      <c r="Q14" s="1569"/>
      <c r="R14" s="1569"/>
      <c r="S14" s="1569"/>
      <c r="T14" s="1563"/>
    </row>
    <row r="15" spans="1:20" ht="13.2" x14ac:dyDescent="0.25">
      <c r="A15" s="1563"/>
      <c r="B15" s="2098"/>
      <c r="C15" s="2098"/>
      <c r="D15" s="2098"/>
      <c r="E15" s="2098"/>
      <c r="F15" s="2098"/>
      <c r="G15" s="2098"/>
      <c r="H15" s="2098"/>
      <c r="I15" s="2098"/>
      <c r="J15" s="2098"/>
      <c r="K15" s="2098"/>
      <c r="L15" s="2098"/>
      <c r="M15" s="2098"/>
      <c r="N15" s="2098"/>
      <c r="O15" s="2098"/>
      <c r="P15" s="2098"/>
      <c r="Q15" s="2098"/>
      <c r="R15" s="2098"/>
      <c r="S15" s="1569"/>
      <c r="T15" s="1563"/>
    </row>
    <row r="16" spans="1:20" ht="13.2" x14ac:dyDescent="0.25">
      <c r="A16" s="1563"/>
      <c r="B16" s="1569"/>
      <c r="C16" s="1569"/>
      <c r="D16" s="1569"/>
      <c r="E16" s="1569"/>
      <c r="F16" s="1569"/>
      <c r="G16" s="1569"/>
      <c r="H16" s="1569"/>
      <c r="I16" s="1569"/>
      <c r="J16" s="1569"/>
      <c r="K16" s="1569"/>
      <c r="L16" s="1569"/>
      <c r="M16" s="1569"/>
      <c r="N16" s="1569"/>
      <c r="O16" s="1569"/>
      <c r="P16" s="1569"/>
      <c r="Q16" s="1569"/>
      <c r="R16" s="1569"/>
      <c r="S16" s="1569"/>
      <c r="T16" s="1563"/>
    </row>
    <row r="17" spans="1:20" ht="13.2" x14ac:dyDescent="0.25">
      <c r="A17" s="1563"/>
      <c r="B17" s="1571" t="s">
        <v>449</v>
      </c>
      <c r="C17" s="1570"/>
      <c r="D17" s="1570"/>
      <c r="E17" s="1570"/>
      <c r="F17" s="1570"/>
      <c r="G17" s="1570"/>
      <c r="H17" s="1570"/>
      <c r="I17" s="1570"/>
      <c r="J17" s="1570"/>
      <c r="K17" s="1570"/>
      <c r="L17" s="1570"/>
      <c r="M17" s="1570"/>
      <c r="N17" s="1570"/>
      <c r="O17" s="1570"/>
      <c r="P17" s="1570"/>
      <c r="Q17" s="1570"/>
      <c r="R17" s="1570"/>
      <c r="S17" s="1570"/>
      <c r="T17" s="1563"/>
    </row>
    <row r="18" spans="1:20" ht="13.2" x14ac:dyDescent="0.25">
      <c r="A18" s="1563"/>
      <c r="B18" s="1571"/>
      <c r="C18" s="1570"/>
      <c r="D18" s="1570"/>
      <c r="E18" s="1570"/>
      <c r="F18" s="1570"/>
      <c r="G18" s="1570"/>
      <c r="H18" s="1570"/>
      <c r="I18" s="1570"/>
      <c r="J18" s="1570"/>
      <c r="K18" s="1570"/>
      <c r="L18" s="1570"/>
      <c r="M18" s="1570"/>
      <c r="N18" s="1570"/>
      <c r="O18" s="1570"/>
      <c r="P18" s="1570"/>
      <c r="Q18" s="1570"/>
      <c r="R18" s="1570"/>
      <c r="S18" s="1570"/>
      <c r="T18" s="1563"/>
    </row>
    <row r="19" spans="1:20" ht="13.2" x14ac:dyDescent="0.25">
      <c r="A19" s="1563"/>
      <c r="B19" s="1571" t="s">
        <v>439</v>
      </c>
      <c r="C19" s="1570"/>
      <c r="D19" s="1570"/>
      <c r="E19" s="1571" t="s">
        <v>440</v>
      </c>
      <c r="F19" s="1570"/>
      <c r="G19" s="1571" t="s">
        <v>438</v>
      </c>
      <c r="H19" s="1570"/>
      <c r="I19" s="1570"/>
      <c r="J19" s="1570"/>
      <c r="K19" s="1570"/>
      <c r="L19" s="1570"/>
      <c r="M19" s="1570"/>
      <c r="N19" s="1570"/>
      <c r="O19" s="1570"/>
      <c r="P19" s="1570"/>
      <c r="Q19" s="1570"/>
      <c r="R19" s="1570"/>
      <c r="S19" s="1570"/>
      <c r="T19" s="1563"/>
    </row>
    <row r="20" spans="1:20" ht="13.2" x14ac:dyDescent="0.25">
      <c r="A20" s="1563"/>
      <c r="B20" s="1571"/>
      <c r="C20" s="1570"/>
      <c r="D20" s="1570"/>
      <c r="E20" s="1570"/>
      <c r="F20" s="1570"/>
      <c r="G20" s="1570"/>
      <c r="H20" s="1570"/>
      <c r="I20" s="1570"/>
      <c r="J20" s="1570"/>
      <c r="K20" s="1570"/>
      <c r="L20" s="1570"/>
      <c r="M20" s="1570"/>
      <c r="N20" s="1570"/>
      <c r="O20" s="1570"/>
      <c r="P20" s="1570"/>
      <c r="Q20" s="1570"/>
      <c r="R20" s="1570"/>
      <c r="S20" s="1570"/>
      <c r="T20" s="1563"/>
    </row>
    <row r="21" spans="1:20" ht="13.2" x14ac:dyDescent="0.25">
      <c r="A21" s="1563"/>
      <c r="B21" s="2087" t="s">
        <v>370</v>
      </c>
      <c r="C21" s="2087"/>
      <c r="D21" s="1570"/>
      <c r="E21" s="1575" t="s">
        <v>441</v>
      </c>
      <c r="F21" s="1570"/>
      <c r="G21" s="1570" t="s">
        <v>514</v>
      </c>
      <c r="H21" s="1570"/>
      <c r="I21" s="1570"/>
      <c r="J21" s="1570"/>
      <c r="K21" s="1570"/>
      <c r="L21" s="1570"/>
      <c r="M21" s="1570"/>
      <c r="N21" s="1570"/>
      <c r="O21" s="1570"/>
      <c r="P21" s="1570"/>
      <c r="Q21" s="1570"/>
      <c r="R21" s="1570"/>
      <c r="S21" s="1570"/>
      <c r="T21" s="1563"/>
    </row>
    <row r="22" spans="1:20" ht="13.2" x14ac:dyDescent="0.25">
      <c r="A22" s="1563"/>
      <c r="B22" s="1582"/>
      <c r="C22" s="1582"/>
      <c r="D22" s="1570"/>
      <c r="E22" s="1570"/>
      <c r="F22" s="1570"/>
      <c r="G22" s="1576"/>
      <c r="H22" s="1576"/>
      <c r="I22" s="1576"/>
      <c r="J22" s="1576"/>
      <c r="K22" s="1576"/>
      <c r="L22" s="1576"/>
      <c r="M22" s="1576"/>
      <c r="N22" s="1576"/>
      <c r="O22" s="1576"/>
      <c r="P22" s="1576"/>
      <c r="Q22" s="1576"/>
      <c r="R22" s="1576"/>
      <c r="S22" s="1576"/>
      <c r="T22" s="1563"/>
    </row>
    <row r="23" spans="1:20" ht="13.2" x14ac:dyDescent="0.25">
      <c r="A23" s="1563"/>
      <c r="B23" s="2088" t="s">
        <v>1095</v>
      </c>
      <c r="C23" s="2088"/>
      <c r="D23" s="1570"/>
      <c r="E23" s="1577" t="s">
        <v>442</v>
      </c>
      <c r="F23" s="1570"/>
      <c r="G23" s="1570" t="s">
        <v>1102</v>
      </c>
      <c r="H23" s="1570"/>
      <c r="I23" s="1570"/>
      <c r="J23" s="1570"/>
      <c r="K23" s="1570"/>
      <c r="L23" s="1570"/>
      <c r="M23" s="1570"/>
      <c r="N23" s="1570"/>
      <c r="O23" s="1570"/>
      <c r="P23" s="1570"/>
      <c r="Q23" s="1570"/>
      <c r="R23" s="1570"/>
      <c r="S23" s="1570"/>
      <c r="T23" s="1563"/>
    </row>
    <row r="24" spans="1:20" ht="15" customHeight="1" x14ac:dyDescent="0.25">
      <c r="A24" s="1563"/>
      <c r="B24" s="96"/>
      <c r="C24" s="96"/>
      <c r="D24" s="1570"/>
      <c r="E24" s="1570"/>
      <c r="F24" s="1570"/>
      <c r="G24" s="1570"/>
      <c r="H24" s="1570"/>
      <c r="I24" s="1570"/>
      <c r="J24" s="1570"/>
      <c r="K24" s="1570"/>
      <c r="L24" s="1570"/>
      <c r="M24" s="1570"/>
      <c r="N24" s="1570"/>
      <c r="O24" s="1570"/>
      <c r="P24" s="1570"/>
      <c r="Q24" s="1570"/>
      <c r="R24" s="1570"/>
      <c r="S24" s="1570"/>
      <c r="T24" s="1563"/>
    </row>
    <row r="25" spans="1:20" ht="13.2" x14ac:dyDescent="0.25">
      <c r="A25" s="1563"/>
      <c r="B25" s="2088" t="s">
        <v>1112</v>
      </c>
      <c r="C25" s="2088"/>
      <c r="D25" s="1570"/>
      <c r="E25" s="1577" t="s">
        <v>442</v>
      </c>
      <c r="F25" s="1570"/>
      <c r="G25" s="1570" t="s">
        <v>1131</v>
      </c>
      <c r="H25" s="1570"/>
      <c r="I25" s="1570"/>
      <c r="J25" s="1570"/>
      <c r="K25" s="1570"/>
      <c r="L25" s="1570"/>
      <c r="M25" s="1570"/>
      <c r="N25" s="1570"/>
      <c r="O25" s="1570"/>
      <c r="P25" s="1570"/>
      <c r="Q25" s="1570"/>
      <c r="R25" s="1570"/>
      <c r="S25" s="1570"/>
      <c r="T25" s="1563"/>
    </row>
    <row r="26" spans="1:20" ht="15" customHeight="1" x14ac:dyDescent="0.25">
      <c r="A26" s="1563"/>
      <c r="B26" s="96"/>
      <c r="C26" s="96"/>
      <c r="D26" s="1570"/>
      <c r="E26" s="1570"/>
      <c r="F26" s="1570"/>
      <c r="G26" s="1570"/>
      <c r="H26" s="1570"/>
      <c r="I26" s="1570"/>
      <c r="J26" s="1570"/>
      <c r="K26" s="1570"/>
      <c r="L26" s="1570"/>
      <c r="M26" s="1570"/>
      <c r="N26" s="1570"/>
      <c r="O26" s="1570"/>
      <c r="P26" s="1570"/>
      <c r="Q26" s="1570"/>
      <c r="R26" s="1570"/>
      <c r="S26" s="1570"/>
      <c r="T26" s="1563"/>
    </row>
    <row r="27" spans="1:20" ht="13.2" x14ac:dyDescent="0.25">
      <c r="A27" s="1563"/>
      <c r="B27" s="2088" t="s">
        <v>430</v>
      </c>
      <c r="C27" s="2088"/>
      <c r="D27" s="1570"/>
      <c r="E27" s="1578" t="s">
        <v>443</v>
      </c>
      <c r="F27" s="1570"/>
      <c r="G27" s="1570" t="s">
        <v>445</v>
      </c>
      <c r="H27" s="1570"/>
      <c r="I27" s="1570"/>
      <c r="J27" s="1570"/>
      <c r="K27" s="1570"/>
      <c r="L27" s="1570"/>
      <c r="M27" s="1570"/>
      <c r="N27" s="1570"/>
      <c r="O27" s="1570"/>
      <c r="P27" s="1570"/>
      <c r="Q27" s="1570"/>
      <c r="R27" s="1570"/>
      <c r="S27" s="1570"/>
      <c r="T27" s="1563"/>
    </row>
    <row r="28" spans="1:20" ht="13.2" x14ac:dyDescent="0.25">
      <c r="A28" s="1563"/>
      <c r="B28" s="96"/>
      <c r="C28" s="96"/>
      <c r="D28" s="1570"/>
      <c r="E28" s="1570"/>
      <c r="F28" s="1570"/>
      <c r="G28" s="1570"/>
      <c r="H28" s="1570"/>
      <c r="I28" s="1570"/>
      <c r="J28" s="1570"/>
      <c r="K28" s="1570"/>
      <c r="L28" s="1570"/>
      <c r="M28" s="1570"/>
      <c r="N28" s="1570"/>
      <c r="O28" s="1570"/>
      <c r="P28" s="1570"/>
      <c r="Q28" s="1570"/>
      <c r="R28" s="1570"/>
      <c r="S28" s="1570"/>
      <c r="T28" s="1563"/>
    </row>
    <row r="29" spans="1:20" ht="13.2" x14ac:dyDescent="0.25">
      <c r="A29" s="1563"/>
      <c r="B29" s="2088" t="s">
        <v>431</v>
      </c>
      <c r="C29" s="2088"/>
      <c r="D29" s="1570"/>
      <c r="E29" s="1577" t="s">
        <v>442</v>
      </c>
      <c r="F29" s="1570"/>
      <c r="G29" s="1570" t="s">
        <v>446</v>
      </c>
      <c r="H29" s="1570"/>
      <c r="I29" s="1570"/>
      <c r="J29" s="1570"/>
      <c r="K29" s="1570"/>
      <c r="L29" s="1570"/>
      <c r="M29" s="1570"/>
      <c r="N29" s="1570"/>
      <c r="O29" s="1570"/>
      <c r="P29" s="1570"/>
      <c r="Q29" s="1570"/>
      <c r="R29" s="1570"/>
      <c r="S29" s="1570"/>
      <c r="T29" s="1563"/>
    </row>
    <row r="30" spans="1:20" ht="13.2" x14ac:dyDescent="0.25">
      <c r="A30" s="1563"/>
      <c r="B30" s="96"/>
      <c r="C30" s="96"/>
      <c r="D30" s="1570"/>
      <c r="E30" s="1570"/>
      <c r="F30" s="1570"/>
      <c r="G30" s="1570"/>
      <c r="H30" s="1570"/>
      <c r="I30" s="1570"/>
      <c r="J30" s="1570"/>
      <c r="K30" s="1570"/>
      <c r="L30" s="1570"/>
      <c r="M30" s="1570"/>
      <c r="N30" s="1570"/>
      <c r="O30" s="1570"/>
      <c r="P30" s="1570"/>
      <c r="Q30" s="1570"/>
      <c r="R30" s="1570"/>
      <c r="S30" s="1570"/>
      <c r="T30" s="1563"/>
    </row>
    <row r="31" spans="1:20" ht="13.2" x14ac:dyDescent="0.25">
      <c r="A31" s="1563"/>
      <c r="B31" s="2087" t="s">
        <v>371</v>
      </c>
      <c r="C31" s="2087"/>
      <c r="D31" s="1570"/>
      <c r="E31" s="1577" t="s">
        <v>442</v>
      </c>
      <c r="F31" s="1570"/>
      <c r="G31" s="1570" t="s">
        <v>444</v>
      </c>
      <c r="H31" s="1570"/>
      <c r="I31" s="1570"/>
      <c r="J31" s="1570"/>
      <c r="K31" s="1570"/>
      <c r="L31" s="1570"/>
      <c r="M31" s="1570"/>
      <c r="N31" s="1570"/>
      <c r="O31" s="1570"/>
      <c r="P31" s="1570"/>
      <c r="Q31" s="1570"/>
      <c r="R31" s="1570"/>
      <c r="S31" s="1570"/>
      <c r="T31" s="1563"/>
    </row>
    <row r="32" spans="1:20" ht="15" customHeight="1" x14ac:dyDescent="0.25">
      <c r="A32" s="1563"/>
      <c r="B32" s="96"/>
      <c r="C32" s="96"/>
      <c r="D32" s="1570"/>
      <c r="E32" s="1570"/>
      <c r="F32" s="1570"/>
      <c r="G32" s="1570"/>
      <c r="H32" s="1570"/>
      <c r="I32" s="1570"/>
      <c r="J32" s="1570"/>
      <c r="K32" s="1570"/>
      <c r="L32" s="1570"/>
      <c r="M32" s="1570"/>
      <c r="N32" s="1570"/>
      <c r="O32" s="1570"/>
      <c r="P32" s="1570"/>
      <c r="Q32" s="1570"/>
      <c r="R32" s="1570"/>
      <c r="S32" s="1570"/>
      <c r="T32" s="1563"/>
    </row>
    <row r="33" spans="1:20" ht="13.2" x14ac:dyDescent="0.25">
      <c r="A33" s="1563"/>
      <c r="B33" s="2085" t="s">
        <v>1096</v>
      </c>
      <c r="C33" s="2085"/>
      <c r="D33" s="1570"/>
      <c r="E33" s="1575" t="s">
        <v>441</v>
      </c>
      <c r="F33" s="1570"/>
      <c r="G33" s="1570" t="s">
        <v>1109</v>
      </c>
      <c r="H33" s="1570"/>
      <c r="I33" s="1570"/>
      <c r="J33" s="1570"/>
      <c r="K33" s="1570"/>
      <c r="L33" s="1570"/>
      <c r="M33" s="1570"/>
      <c r="N33" s="1570"/>
      <c r="O33" s="1570"/>
      <c r="P33" s="1570"/>
      <c r="Q33" s="1570"/>
      <c r="R33" s="1570"/>
      <c r="S33" s="1570"/>
      <c r="T33" s="1563"/>
    </row>
    <row r="34" spans="1:20" ht="13.2" x14ac:dyDescent="0.25">
      <c r="A34" s="1563"/>
      <c r="B34" s="96"/>
      <c r="C34" s="96"/>
      <c r="D34" s="1570"/>
      <c r="E34" s="1570"/>
      <c r="F34" s="1570"/>
      <c r="G34" s="1570"/>
      <c r="H34" s="1570"/>
      <c r="I34" s="1570"/>
      <c r="J34" s="1570"/>
      <c r="K34" s="1570"/>
      <c r="L34" s="1570"/>
      <c r="M34" s="1570"/>
      <c r="N34" s="1570"/>
      <c r="O34" s="1570"/>
      <c r="P34" s="1570"/>
      <c r="Q34" s="1570"/>
      <c r="R34" s="1570"/>
      <c r="S34" s="1570"/>
      <c r="T34" s="1563"/>
    </row>
    <row r="35" spans="1:20" ht="13.2" x14ac:dyDescent="0.25">
      <c r="A35" s="1563"/>
      <c r="B35" s="2085" t="s">
        <v>1097</v>
      </c>
      <c r="C35" s="2085"/>
      <c r="D35" s="1570"/>
      <c r="E35" s="1578" t="s">
        <v>443</v>
      </c>
      <c r="F35" s="1570"/>
      <c r="G35" s="1570" t="s">
        <v>1103</v>
      </c>
      <c r="H35" s="1570"/>
      <c r="I35" s="1570"/>
      <c r="J35" s="1570"/>
      <c r="K35" s="1570"/>
      <c r="L35" s="1570"/>
      <c r="M35" s="1570"/>
      <c r="N35" s="1570"/>
      <c r="O35" s="1570"/>
      <c r="P35" s="1570"/>
      <c r="Q35" s="1570"/>
      <c r="R35" s="1570"/>
      <c r="S35" s="1570"/>
      <c r="T35" s="1563"/>
    </row>
    <row r="36" spans="1:20" ht="13.2" x14ac:dyDescent="0.25">
      <c r="A36" s="1563"/>
      <c r="B36" s="96"/>
      <c r="C36" s="96"/>
      <c r="D36" s="1570"/>
      <c r="E36" s="1570"/>
      <c r="F36" s="1570"/>
      <c r="G36" s="1570"/>
      <c r="H36" s="1570"/>
      <c r="I36" s="1570"/>
      <c r="J36" s="1570"/>
      <c r="K36" s="1570"/>
      <c r="L36" s="1570"/>
      <c r="M36" s="1570"/>
      <c r="N36" s="1570"/>
      <c r="O36" s="1570"/>
      <c r="P36" s="1570"/>
      <c r="Q36" s="1570"/>
      <c r="R36" s="1570"/>
      <c r="S36" s="1570"/>
      <c r="T36" s="1563"/>
    </row>
    <row r="37" spans="1:20" ht="13.2" x14ac:dyDescent="0.25">
      <c r="A37" s="1563"/>
      <c r="B37" s="2085" t="s">
        <v>1098</v>
      </c>
      <c r="C37" s="2085"/>
      <c r="D37" s="1570"/>
      <c r="E37" s="1578" t="s">
        <v>443</v>
      </c>
      <c r="F37" s="1570"/>
      <c r="G37" s="1570" t="s">
        <v>1110</v>
      </c>
      <c r="H37" s="1570"/>
      <c r="I37" s="1570"/>
      <c r="J37" s="1570"/>
      <c r="K37" s="1570"/>
      <c r="L37" s="1570"/>
      <c r="M37" s="1570"/>
      <c r="N37" s="1570"/>
      <c r="O37" s="1570"/>
      <c r="P37" s="1570"/>
      <c r="Q37" s="1570"/>
      <c r="R37" s="1570"/>
      <c r="S37" s="1570"/>
      <c r="T37" s="1563"/>
    </row>
    <row r="38" spans="1:20" ht="13.2" x14ac:dyDescent="0.25">
      <c r="A38" s="1563"/>
      <c r="B38" s="96"/>
      <c r="C38" s="96"/>
      <c r="D38" s="1570"/>
      <c r="E38" s="1570"/>
      <c r="F38" s="1570"/>
      <c r="G38" s="1570"/>
      <c r="H38" s="1570"/>
      <c r="I38" s="1570"/>
      <c r="J38" s="1570"/>
      <c r="K38" s="1570"/>
      <c r="L38" s="1570"/>
      <c r="M38" s="1570"/>
      <c r="N38" s="1570"/>
      <c r="O38" s="1570"/>
      <c r="P38" s="1570"/>
      <c r="Q38" s="1570"/>
      <c r="R38" s="1570"/>
      <c r="S38" s="1570"/>
      <c r="T38" s="1563"/>
    </row>
    <row r="39" spans="1:20" ht="13.2" x14ac:dyDescent="0.25">
      <c r="A39" s="1563"/>
      <c r="B39" s="2085" t="s">
        <v>1099</v>
      </c>
      <c r="C39" s="2085"/>
      <c r="D39" s="1570"/>
      <c r="E39" s="1577" t="s">
        <v>442</v>
      </c>
      <c r="F39" s="1570"/>
      <c r="G39" s="1570" t="s">
        <v>1111</v>
      </c>
      <c r="H39" s="1570"/>
      <c r="I39" s="1570"/>
      <c r="J39" s="1570"/>
      <c r="K39" s="1570"/>
      <c r="L39" s="1570"/>
      <c r="M39" s="1570"/>
      <c r="N39" s="1570"/>
      <c r="O39" s="1570"/>
      <c r="P39" s="1570"/>
      <c r="Q39" s="1570"/>
      <c r="R39" s="1570"/>
      <c r="S39" s="1570"/>
      <c r="T39" s="1563"/>
    </row>
    <row r="40" spans="1:20" ht="13.2" x14ac:dyDescent="0.25">
      <c r="A40" s="1563"/>
      <c r="B40" s="96"/>
      <c r="C40" s="96"/>
      <c r="D40" s="1570"/>
      <c r="E40" s="1570"/>
      <c r="F40" s="1570"/>
      <c r="G40" s="1570"/>
      <c r="H40" s="1570"/>
      <c r="I40" s="1570"/>
      <c r="J40" s="1570"/>
      <c r="K40" s="1570"/>
      <c r="L40" s="1570"/>
      <c r="M40" s="1570"/>
      <c r="N40" s="1570"/>
      <c r="O40" s="1570"/>
      <c r="P40" s="1570"/>
      <c r="Q40" s="1570"/>
      <c r="R40" s="1570"/>
      <c r="S40" s="1570"/>
      <c r="T40" s="1563"/>
    </row>
    <row r="41" spans="1:20" ht="13.2" x14ac:dyDescent="0.25">
      <c r="A41" s="1563"/>
      <c r="B41" s="2086" t="s">
        <v>372</v>
      </c>
      <c r="C41" s="2086"/>
      <c r="D41" s="1570"/>
      <c r="E41" s="1578" t="s">
        <v>443</v>
      </c>
      <c r="F41" s="1570"/>
      <c r="G41" s="1570" t="s">
        <v>447</v>
      </c>
      <c r="H41" s="1570"/>
      <c r="I41" s="1570"/>
      <c r="J41" s="1570"/>
      <c r="K41" s="1570"/>
      <c r="L41" s="1570"/>
      <c r="M41" s="1570"/>
      <c r="N41" s="1570"/>
      <c r="O41" s="1570"/>
      <c r="P41" s="1570"/>
      <c r="Q41" s="1570"/>
      <c r="R41" s="1570"/>
      <c r="S41" s="1570"/>
      <c r="T41" s="1563"/>
    </row>
    <row r="42" spans="1:20" ht="13.2" x14ac:dyDescent="0.25">
      <c r="A42" s="1563"/>
      <c r="B42" s="96"/>
      <c r="C42" s="96"/>
      <c r="D42" s="1570"/>
      <c r="E42" s="1570"/>
      <c r="F42" s="1570"/>
      <c r="G42" s="1570"/>
      <c r="H42" s="1570"/>
      <c r="I42" s="1570"/>
      <c r="J42" s="1570"/>
      <c r="K42" s="1570"/>
      <c r="L42" s="1570"/>
      <c r="M42" s="1570"/>
      <c r="N42" s="1570"/>
      <c r="O42" s="1570"/>
      <c r="P42" s="1570"/>
      <c r="Q42" s="1570"/>
      <c r="R42" s="1570"/>
      <c r="S42" s="1570"/>
      <c r="T42" s="1563"/>
    </row>
    <row r="43" spans="1:20" ht="13.2" x14ac:dyDescent="0.25">
      <c r="A43" s="1563"/>
      <c r="B43" s="2086" t="s">
        <v>1100</v>
      </c>
      <c r="C43" s="2086"/>
      <c r="D43" s="1570"/>
      <c r="E43" s="1578" t="s">
        <v>443</v>
      </c>
      <c r="F43" s="1570"/>
      <c r="G43" s="1570" t="s">
        <v>1104</v>
      </c>
      <c r="H43" s="1570"/>
      <c r="I43" s="1570"/>
      <c r="J43" s="1570"/>
      <c r="K43" s="1570"/>
      <c r="L43" s="1570"/>
      <c r="M43" s="1570"/>
      <c r="N43" s="1570"/>
      <c r="O43" s="1570"/>
      <c r="P43" s="1570"/>
      <c r="Q43" s="1570"/>
      <c r="R43" s="1570"/>
      <c r="S43" s="1570"/>
      <c r="T43" s="1563"/>
    </row>
    <row r="44" spans="1:20" ht="13.2" x14ac:dyDescent="0.25">
      <c r="A44" s="1563"/>
      <c r="B44" s="96"/>
      <c r="C44" s="96"/>
      <c r="D44" s="1570"/>
      <c r="E44" s="1570"/>
      <c r="F44" s="1570"/>
      <c r="G44" s="1570"/>
      <c r="H44" s="1570"/>
      <c r="I44" s="1570"/>
      <c r="J44" s="1570"/>
      <c r="K44" s="1570"/>
      <c r="L44" s="1570"/>
      <c r="M44" s="1570"/>
      <c r="N44" s="1570"/>
      <c r="O44" s="1570"/>
      <c r="P44" s="1570"/>
      <c r="Q44" s="1570"/>
      <c r="R44" s="1570"/>
      <c r="S44" s="1570"/>
      <c r="T44" s="1563"/>
    </row>
    <row r="45" spans="1:20" ht="13.2" x14ac:dyDescent="0.25">
      <c r="A45" s="1563"/>
      <c r="B45" s="2086" t="s">
        <v>1018</v>
      </c>
      <c r="C45" s="2086"/>
      <c r="D45" s="1570"/>
      <c r="E45" s="1578" t="s">
        <v>443</v>
      </c>
      <c r="F45" s="1570"/>
      <c r="G45" s="1570" t="s">
        <v>1105</v>
      </c>
      <c r="H45" s="1570"/>
      <c r="I45" s="1570"/>
      <c r="J45" s="1570"/>
      <c r="K45" s="1570"/>
      <c r="L45" s="1570"/>
      <c r="M45" s="1570"/>
      <c r="N45" s="1570"/>
      <c r="O45" s="1570"/>
      <c r="P45" s="1570"/>
      <c r="Q45" s="1570"/>
      <c r="R45" s="1570"/>
      <c r="S45" s="1570"/>
      <c r="T45" s="1563"/>
    </row>
    <row r="46" spans="1:20" ht="13.2" x14ac:dyDescent="0.25">
      <c r="A46" s="1563"/>
      <c r="B46" s="96"/>
      <c r="C46" s="96"/>
      <c r="D46" s="1570"/>
      <c r="E46" s="1570"/>
      <c r="F46" s="1570"/>
      <c r="G46" s="1570"/>
      <c r="H46" s="1570"/>
      <c r="I46" s="1570"/>
      <c r="J46" s="1570"/>
      <c r="K46" s="1570"/>
      <c r="L46" s="1570"/>
      <c r="M46" s="1570"/>
      <c r="N46" s="1570"/>
      <c r="O46" s="1570"/>
      <c r="P46" s="1570"/>
      <c r="Q46" s="1570"/>
      <c r="R46" s="1570"/>
      <c r="S46" s="1570"/>
      <c r="T46" s="1563"/>
    </row>
    <row r="47" spans="1:20" ht="13.2" x14ac:dyDescent="0.25">
      <c r="A47" s="1563"/>
      <c r="B47" s="2086" t="s">
        <v>1101</v>
      </c>
      <c r="C47" s="2086"/>
      <c r="D47" s="1570"/>
      <c r="E47" s="1578" t="s">
        <v>443</v>
      </c>
      <c r="F47" s="1570"/>
      <c r="G47" s="1570" t="s">
        <v>1106</v>
      </c>
      <c r="H47" s="1570"/>
      <c r="I47" s="1570"/>
      <c r="J47" s="1570"/>
      <c r="K47" s="1570"/>
      <c r="L47" s="1570"/>
      <c r="M47" s="1570"/>
      <c r="N47" s="1570"/>
      <c r="O47" s="1570"/>
      <c r="P47" s="1570"/>
      <c r="Q47" s="1570"/>
      <c r="R47" s="1570"/>
      <c r="S47" s="1570"/>
      <c r="T47" s="1563"/>
    </row>
    <row r="48" spans="1:20" ht="13.2" x14ac:dyDescent="0.25">
      <c r="A48" s="1563"/>
      <c r="B48" s="96"/>
      <c r="C48" s="96"/>
      <c r="D48" s="1570"/>
      <c r="E48" s="1570"/>
      <c r="F48" s="1570"/>
      <c r="G48" s="1570"/>
      <c r="H48" s="1570"/>
      <c r="I48" s="1570"/>
      <c r="J48" s="1570"/>
      <c r="K48" s="1570"/>
      <c r="L48" s="1570"/>
      <c r="M48" s="1570"/>
      <c r="N48" s="1570"/>
      <c r="O48" s="1570"/>
      <c r="P48" s="1570"/>
      <c r="Q48" s="1570"/>
      <c r="R48" s="1570"/>
      <c r="S48" s="1570"/>
      <c r="T48" s="1563"/>
    </row>
    <row r="49" spans="1:20" ht="13.2" x14ac:dyDescent="0.25">
      <c r="A49" s="1563"/>
      <c r="B49" s="2086" t="s">
        <v>432</v>
      </c>
      <c r="C49" s="2086"/>
      <c r="D49" s="1570"/>
      <c r="E49" s="1578" t="s">
        <v>443</v>
      </c>
      <c r="F49" s="1570"/>
      <c r="G49" s="1570" t="s">
        <v>454</v>
      </c>
      <c r="H49" s="1570"/>
      <c r="I49" s="1570"/>
      <c r="J49" s="1570"/>
      <c r="K49" s="1570"/>
      <c r="L49" s="1570"/>
      <c r="M49" s="1570"/>
      <c r="N49" s="1570"/>
      <c r="O49" s="1570"/>
      <c r="P49" s="1570"/>
      <c r="Q49" s="1570"/>
      <c r="R49" s="1570"/>
      <c r="S49" s="1570"/>
      <c r="T49" s="1563"/>
    </row>
    <row r="50" spans="1:20" ht="13.2" x14ac:dyDescent="0.25">
      <c r="A50" s="1563"/>
      <c r="B50" s="96"/>
      <c r="C50" s="96"/>
      <c r="D50" s="1570"/>
      <c r="E50" s="1570"/>
      <c r="F50" s="1570"/>
      <c r="G50" s="1570"/>
      <c r="H50" s="1570"/>
      <c r="I50" s="1570"/>
      <c r="J50" s="1570"/>
      <c r="K50" s="1570"/>
      <c r="L50" s="1570"/>
      <c r="M50" s="1570"/>
      <c r="N50" s="1570"/>
      <c r="O50" s="1570"/>
      <c r="P50" s="1570"/>
      <c r="Q50" s="1570"/>
      <c r="R50" s="1570"/>
      <c r="S50" s="1570"/>
      <c r="T50" s="1563"/>
    </row>
    <row r="51" spans="1:20" ht="13.2" x14ac:dyDescent="0.25">
      <c r="A51" s="1563"/>
      <c r="B51" s="2086" t="s">
        <v>433</v>
      </c>
      <c r="C51" s="2086"/>
      <c r="D51" s="1570"/>
      <c r="E51" s="1578" t="s">
        <v>443</v>
      </c>
      <c r="F51" s="1570"/>
      <c r="G51" s="1570" t="s">
        <v>455</v>
      </c>
      <c r="H51" s="1570"/>
      <c r="I51" s="1570"/>
      <c r="J51" s="1570"/>
      <c r="K51" s="1570"/>
      <c r="L51" s="1570"/>
      <c r="M51" s="1570"/>
      <c r="N51" s="1570"/>
      <c r="O51" s="1570"/>
      <c r="P51" s="1570"/>
      <c r="Q51" s="1570"/>
      <c r="R51" s="1570"/>
      <c r="S51" s="1570"/>
      <c r="T51" s="1563"/>
    </row>
    <row r="52" spans="1:20" ht="13.2" x14ac:dyDescent="0.25">
      <c r="A52" s="1563"/>
      <c r="B52" s="96"/>
      <c r="C52" s="96"/>
      <c r="D52" s="1570"/>
      <c r="E52" s="1570"/>
      <c r="F52" s="1570"/>
      <c r="G52" s="1570"/>
      <c r="H52" s="1570"/>
      <c r="I52" s="1570"/>
      <c r="J52" s="1570"/>
      <c r="K52" s="1570"/>
      <c r="L52" s="1570"/>
      <c r="M52" s="1570"/>
      <c r="N52" s="1570"/>
      <c r="O52" s="1570"/>
      <c r="P52" s="1570"/>
      <c r="Q52" s="1570"/>
      <c r="R52" s="1570"/>
      <c r="S52" s="1570"/>
      <c r="T52" s="1563"/>
    </row>
    <row r="53" spans="1:20" ht="13.2" x14ac:dyDescent="0.25">
      <c r="A53" s="1563"/>
      <c r="B53" s="2086" t="s">
        <v>434</v>
      </c>
      <c r="C53" s="2086"/>
      <c r="D53" s="1570"/>
      <c r="E53" s="1578" t="s">
        <v>443</v>
      </c>
      <c r="F53" s="1570"/>
      <c r="G53" s="1570" t="s">
        <v>456</v>
      </c>
      <c r="H53" s="1570"/>
      <c r="I53" s="1570"/>
      <c r="J53" s="1570"/>
      <c r="K53" s="1570"/>
      <c r="L53" s="1570"/>
      <c r="M53" s="1570"/>
      <c r="N53" s="1570"/>
      <c r="O53" s="1570"/>
      <c r="P53" s="1570"/>
      <c r="Q53" s="1570"/>
      <c r="R53" s="1570"/>
      <c r="S53" s="1570"/>
      <c r="T53" s="1563"/>
    </row>
    <row r="54" spans="1:20" ht="13.2" x14ac:dyDescent="0.25">
      <c r="A54" s="1563"/>
      <c r="B54" s="96"/>
      <c r="C54" s="96"/>
      <c r="D54" s="1570"/>
      <c r="E54" s="1570"/>
      <c r="F54" s="1570"/>
      <c r="G54" s="1570"/>
      <c r="H54" s="1570"/>
      <c r="I54" s="1570"/>
      <c r="J54" s="1570"/>
      <c r="K54" s="1570"/>
      <c r="L54" s="1570"/>
      <c r="M54" s="1570"/>
      <c r="N54" s="1570"/>
      <c r="O54" s="1570"/>
      <c r="P54" s="1570"/>
      <c r="Q54" s="1570"/>
      <c r="R54" s="1570"/>
      <c r="S54" s="1570"/>
      <c r="T54" s="1563"/>
    </row>
    <row r="55" spans="1:20" ht="13.2" x14ac:dyDescent="0.25">
      <c r="A55" s="1563"/>
      <c r="B55" s="2086" t="s">
        <v>371</v>
      </c>
      <c r="C55" s="2086"/>
      <c r="D55" s="1570"/>
      <c r="E55" s="1578" t="s">
        <v>443</v>
      </c>
      <c r="F55" s="1570"/>
      <c r="G55" s="1570" t="s">
        <v>1107</v>
      </c>
      <c r="H55" s="1570"/>
      <c r="I55" s="1570"/>
      <c r="J55" s="1570"/>
      <c r="K55" s="1570"/>
      <c r="L55" s="1570"/>
      <c r="M55" s="1570"/>
      <c r="N55" s="1570"/>
      <c r="O55" s="1570"/>
      <c r="P55" s="1570"/>
      <c r="Q55" s="1570"/>
      <c r="R55" s="1570"/>
      <c r="S55" s="1570"/>
      <c r="T55" s="1563"/>
    </row>
    <row r="56" spans="1:20" ht="13.2" x14ac:dyDescent="0.25">
      <c r="A56" s="1563"/>
      <c r="B56" s="96"/>
      <c r="C56" s="96"/>
      <c r="D56" s="1570"/>
      <c r="E56" s="1570"/>
      <c r="F56" s="1570"/>
      <c r="G56" s="1570"/>
      <c r="H56" s="1570"/>
      <c r="I56" s="1570"/>
      <c r="J56" s="1570"/>
      <c r="K56" s="1570"/>
      <c r="L56" s="1570"/>
      <c r="M56" s="1570"/>
      <c r="N56" s="1570"/>
      <c r="O56" s="1570"/>
      <c r="P56" s="1570"/>
      <c r="Q56" s="1570"/>
      <c r="R56" s="1570"/>
      <c r="S56" s="1570"/>
      <c r="T56" s="1563"/>
    </row>
    <row r="57" spans="1:20" ht="13.2" x14ac:dyDescent="0.25">
      <c r="A57" s="1563"/>
      <c r="B57" s="2093" t="s">
        <v>435</v>
      </c>
      <c r="C57" s="2093"/>
      <c r="D57" s="1570"/>
      <c r="E57" s="1577" t="s">
        <v>442</v>
      </c>
      <c r="F57" s="1570"/>
      <c r="G57" s="1570" t="s">
        <v>1108</v>
      </c>
      <c r="H57" s="1570"/>
      <c r="I57" s="1570"/>
      <c r="J57" s="1570"/>
      <c r="K57" s="1570"/>
      <c r="L57" s="1570"/>
      <c r="M57" s="1570"/>
      <c r="N57" s="1570"/>
      <c r="O57" s="1570"/>
      <c r="P57" s="1570"/>
      <c r="Q57" s="1570"/>
      <c r="R57" s="1570"/>
      <c r="S57" s="1570"/>
      <c r="T57" s="1563"/>
    </row>
    <row r="58" spans="1:20" ht="13.2" x14ac:dyDescent="0.25">
      <c r="A58" s="1563"/>
      <c r="B58" s="96"/>
      <c r="C58" s="96"/>
      <c r="D58" s="1570"/>
      <c r="E58" s="1570"/>
      <c r="F58" s="1570"/>
      <c r="G58" s="1570"/>
      <c r="H58" s="1570"/>
      <c r="I58" s="1570"/>
      <c r="J58" s="1570"/>
      <c r="K58" s="1570"/>
      <c r="L58" s="1570"/>
      <c r="M58" s="1570"/>
      <c r="N58" s="1570"/>
      <c r="O58" s="1570"/>
      <c r="P58" s="1570"/>
      <c r="Q58" s="1570"/>
      <c r="R58" s="1570"/>
      <c r="S58" s="1570"/>
      <c r="T58" s="1563"/>
    </row>
    <row r="59" spans="1:20" ht="13.2" x14ac:dyDescent="0.25">
      <c r="A59" s="1563"/>
      <c r="B59" s="2093" t="s">
        <v>436</v>
      </c>
      <c r="C59" s="2093"/>
      <c r="D59" s="1570"/>
      <c r="E59" s="1577" t="s">
        <v>442</v>
      </c>
      <c r="F59" s="1570"/>
      <c r="G59" s="1570" t="s">
        <v>457</v>
      </c>
      <c r="H59" s="1570"/>
      <c r="I59" s="1570"/>
      <c r="J59" s="1570"/>
      <c r="K59" s="1570"/>
      <c r="L59" s="1570"/>
      <c r="M59" s="1570"/>
      <c r="N59" s="1570"/>
      <c r="O59" s="1570"/>
      <c r="P59" s="1570"/>
      <c r="Q59" s="1570"/>
      <c r="R59" s="1570"/>
      <c r="S59" s="1570"/>
      <c r="T59" s="1563"/>
    </row>
    <row r="60" spans="1:20" ht="13.2" x14ac:dyDescent="0.25">
      <c r="A60" s="1563"/>
      <c r="B60" s="96"/>
      <c r="C60" s="96"/>
      <c r="D60" s="1570"/>
      <c r="E60" s="1570"/>
      <c r="F60" s="1570"/>
      <c r="G60" s="1570"/>
      <c r="H60" s="1570"/>
      <c r="I60" s="1570"/>
      <c r="J60" s="1570"/>
      <c r="K60" s="1570"/>
      <c r="L60" s="1570"/>
      <c r="M60" s="1570"/>
      <c r="N60" s="1570"/>
      <c r="O60" s="1570"/>
      <c r="P60" s="1570"/>
      <c r="Q60" s="1570"/>
      <c r="R60" s="1570"/>
      <c r="S60" s="1570"/>
      <c r="T60" s="1563"/>
    </row>
    <row r="61" spans="1:20" ht="13.2" x14ac:dyDescent="0.25">
      <c r="A61" s="1563"/>
      <c r="B61" s="2094" t="s">
        <v>437</v>
      </c>
      <c r="C61" s="2094"/>
      <c r="D61" s="1570"/>
      <c r="E61" s="1577" t="s">
        <v>442</v>
      </c>
      <c r="F61" s="1570"/>
      <c r="G61" s="1570" t="s">
        <v>458</v>
      </c>
      <c r="H61" s="1570"/>
      <c r="I61" s="1570"/>
      <c r="J61" s="1570"/>
      <c r="K61" s="1570"/>
      <c r="L61" s="1570"/>
      <c r="M61" s="1570"/>
      <c r="N61" s="1570"/>
      <c r="O61" s="1570"/>
      <c r="P61" s="1570"/>
      <c r="Q61" s="1570"/>
      <c r="R61" s="1570"/>
      <c r="S61" s="1570"/>
      <c r="T61" s="1563"/>
    </row>
    <row r="62" spans="1:20" ht="13.2" x14ac:dyDescent="0.25">
      <c r="A62" s="1563"/>
      <c r="B62" s="1570"/>
      <c r="C62" s="1570"/>
      <c r="D62" s="1570"/>
      <c r="E62" s="1570"/>
      <c r="F62" s="1570"/>
      <c r="G62" s="1570"/>
      <c r="H62" s="1570"/>
      <c r="I62" s="1570"/>
      <c r="J62" s="1570"/>
      <c r="K62" s="1570"/>
      <c r="L62" s="1570"/>
      <c r="M62" s="1570"/>
      <c r="N62" s="1570"/>
      <c r="O62" s="1570"/>
      <c r="P62" s="1570"/>
      <c r="Q62" s="1570"/>
      <c r="R62" s="1570"/>
      <c r="S62" s="1570"/>
      <c r="T62" s="1563"/>
    </row>
    <row r="63" spans="1:20" ht="13.2" x14ac:dyDescent="0.25">
      <c r="A63" s="1563"/>
      <c r="B63" s="1570"/>
      <c r="C63" s="1570"/>
      <c r="D63" s="1570"/>
      <c r="E63" s="1570"/>
      <c r="F63" s="1570"/>
      <c r="G63" s="1570"/>
      <c r="H63" s="1570"/>
      <c r="I63" s="1570"/>
      <c r="J63" s="1570"/>
      <c r="K63" s="1570"/>
      <c r="L63" s="1570"/>
      <c r="M63" s="1570"/>
      <c r="N63" s="1570"/>
      <c r="O63" s="1570"/>
      <c r="P63" s="1570"/>
      <c r="Q63" s="1570"/>
      <c r="R63" s="1570"/>
      <c r="S63" s="1570"/>
      <c r="T63" s="1563"/>
    </row>
    <row r="64" spans="1:20" ht="13.2" x14ac:dyDescent="0.25">
      <c r="A64" s="1563"/>
      <c r="B64" s="1571" t="s">
        <v>450</v>
      </c>
      <c r="C64" s="1570"/>
      <c r="D64" s="1570"/>
      <c r="E64" s="1570"/>
      <c r="F64" s="1570"/>
      <c r="G64" s="1570"/>
      <c r="H64" s="1570"/>
      <c r="I64" s="1570"/>
      <c r="J64" s="1570"/>
      <c r="K64" s="1570"/>
      <c r="L64" s="1570"/>
      <c r="M64" s="1570"/>
      <c r="N64" s="1570"/>
      <c r="O64" s="1570"/>
      <c r="P64" s="1570"/>
      <c r="Q64" s="1570"/>
      <c r="R64" s="1570"/>
      <c r="S64" s="1570"/>
      <c r="T64" s="1563"/>
    </row>
    <row r="65" spans="1:20" ht="15" customHeight="1" x14ac:dyDescent="0.25">
      <c r="A65" s="1563"/>
      <c r="B65" s="1570" t="s">
        <v>429</v>
      </c>
      <c r="C65" s="1570"/>
      <c r="D65" s="1570"/>
      <c r="E65" s="1570"/>
      <c r="F65" s="1570"/>
      <c r="G65" s="1570"/>
      <c r="H65" s="1570"/>
      <c r="I65" s="1570"/>
      <c r="J65" s="1570"/>
      <c r="K65" s="1570"/>
      <c r="L65" s="1570"/>
      <c r="M65" s="1570"/>
      <c r="N65" s="1570"/>
      <c r="O65" s="1570"/>
      <c r="P65" s="1570"/>
      <c r="Q65" s="1570"/>
      <c r="R65" s="1570"/>
      <c r="S65" s="1570"/>
      <c r="T65" s="1563"/>
    </row>
    <row r="66" spans="1:20" ht="13.2" x14ac:dyDescent="0.25">
      <c r="A66" s="1563"/>
      <c r="B66" s="1570"/>
      <c r="C66" s="1570"/>
      <c r="D66" s="1570"/>
      <c r="E66" s="1570"/>
      <c r="F66" s="1570"/>
      <c r="G66" s="1570"/>
      <c r="H66" s="1570"/>
      <c r="I66" s="1570"/>
      <c r="J66" s="1570"/>
      <c r="K66" s="1570"/>
      <c r="L66" s="1570"/>
      <c r="M66" s="1570"/>
      <c r="N66" s="1570"/>
      <c r="O66" s="1570"/>
      <c r="P66" s="1570"/>
      <c r="Q66" s="1570"/>
      <c r="R66" s="1570"/>
      <c r="S66" s="1570"/>
      <c r="T66" s="1563"/>
    </row>
    <row r="67" spans="1:20" ht="13.2" x14ac:dyDescent="0.25">
      <c r="A67" s="1563"/>
      <c r="B67" s="1576"/>
      <c r="C67" s="1576"/>
      <c r="D67" s="1576"/>
      <c r="E67" s="1576"/>
      <c r="F67" s="1576"/>
      <c r="G67" s="1576"/>
      <c r="H67" s="1576"/>
      <c r="I67" s="1576"/>
      <c r="J67" s="1576"/>
      <c r="K67" s="1576"/>
      <c r="L67" s="1576"/>
      <c r="M67" s="1576"/>
      <c r="N67" s="1576"/>
      <c r="O67" s="1576"/>
      <c r="P67" s="1576"/>
      <c r="Q67" s="1576"/>
      <c r="R67" s="1576"/>
      <c r="S67" s="1576"/>
      <c r="T67" s="1563"/>
    </row>
    <row r="68" spans="1:20" ht="13.2" x14ac:dyDescent="0.25">
      <c r="A68" s="1563"/>
      <c r="B68" s="1563"/>
      <c r="C68" s="1563"/>
      <c r="D68" s="1563"/>
      <c r="E68" s="1563"/>
      <c r="F68" s="1563"/>
      <c r="G68" s="1563"/>
      <c r="H68" s="1579"/>
      <c r="I68" s="1579"/>
      <c r="J68" s="1576"/>
      <c r="K68" s="1576"/>
      <c r="L68" s="1576"/>
      <c r="M68" s="1576"/>
      <c r="N68" s="1576"/>
      <c r="O68" s="1576"/>
      <c r="P68" s="1576"/>
      <c r="Q68" s="1576"/>
      <c r="R68" s="1576"/>
      <c r="S68" s="1576"/>
      <c r="T68" s="1563"/>
    </row>
    <row r="69" spans="1:20" s="1588" customFormat="1" ht="15" customHeight="1" x14ac:dyDescent="0.25">
      <c r="A69" s="1580"/>
      <c r="B69" s="2095" t="str">
        <f>DISCLAIMER!$A$35</f>
        <v>© 2025 by WinsWithMike.com or Michael Forsberg Nampa, Idaho. All rights reserved</v>
      </c>
      <c r="C69" s="2095"/>
      <c r="D69" s="2095"/>
      <c r="E69" s="2095"/>
      <c r="F69" s="2095"/>
      <c r="G69" s="2095"/>
      <c r="H69" s="2095"/>
      <c r="I69" s="2095"/>
      <c r="J69" s="2095"/>
      <c r="K69" s="2095"/>
      <c r="L69" s="2095"/>
      <c r="M69" s="2095"/>
      <c r="N69" s="2095"/>
      <c r="O69" s="2095"/>
      <c r="P69" s="2095"/>
      <c r="Q69" s="2095"/>
      <c r="R69" s="2095"/>
      <c r="S69" s="2095"/>
      <c r="T69" s="1581"/>
    </row>
  </sheetData>
  <sheetProtection sheet="1" objects="1" scenarios="1" selectLockedCells="1"/>
  <mergeCells count="31">
    <mergeCell ref="B57:C57"/>
    <mergeCell ref="B59:C59"/>
    <mergeCell ref="B61:C61"/>
    <mergeCell ref="B69:S69"/>
    <mergeCell ref="J10:K10"/>
    <mergeCell ref="B11:S11"/>
    <mergeCell ref="B41:C41"/>
    <mergeCell ref="B43:C43"/>
    <mergeCell ref="B45:C45"/>
    <mergeCell ref="B49:C49"/>
    <mergeCell ref="B51:C51"/>
    <mergeCell ref="M10:N10"/>
    <mergeCell ref="B53:C53"/>
    <mergeCell ref="B47:C47"/>
    <mergeCell ref="B15:R15"/>
    <mergeCell ref="B33:C33"/>
    <mergeCell ref="B35:C35"/>
    <mergeCell ref="B37:C37"/>
    <mergeCell ref="B39:C39"/>
    <mergeCell ref="B55:C55"/>
    <mergeCell ref="B5:S7"/>
    <mergeCell ref="B21:C21"/>
    <mergeCell ref="B31:C31"/>
    <mergeCell ref="B27:C27"/>
    <mergeCell ref="B29:C29"/>
    <mergeCell ref="J9:K9"/>
    <mergeCell ref="M9:N9"/>
    <mergeCell ref="B25:C25"/>
    <mergeCell ref="B23:C23"/>
    <mergeCell ref="I13:J14"/>
    <mergeCell ref="L13:M14"/>
  </mergeCells>
  <hyperlinks>
    <hyperlink ref="F1" r:id="rId1" display="RealEstateSpreadsheets.com" xr:uid="{220646CF-4408-4DF9-B382-FBB83A2914F8}"/>
    <hyperlink ref="B21:C21" location="DASHBOARD!A1" display="DASHBOARD" xr:uid="{0A73EADB-693C-4AE6-A59B-990914E3B606}"/>
    <hyperlink ref="B31:C31" location="FORECASTS!A1" display="FORECASTS" xr:uid="{1DBC9CC7-061C-45D5-8AB8-72980315B3AC}"/>
    <hyperlink ref="B27:C27" location="DEBT!A1" display="DEBT" xr:uid="{3D8D5134-7B4D-400F-B618-5C4E5DD550CB}"/>
    <hyperlink ref="B29:C29" location="MORTGAGE!A1" display="MORTGAGE" xr:uid="{89C3EAF1-6845-4B1D-BCB9-6A3CE39E3F9B}"/>
    <hyperlink ref="B41:C41" location="'SUMMARY (R)'!A1" display="SUMMARY" xr:uid="{DDE57E23-0273-4A50-BCFD-9E73211744BC}"/>
    <hyperlink ref="B43:C43" location="'MONTHLY (R)'!A1" display="MONTHLY" xr:uid="{8FBFDA4C-F6EF-4C79-84CF-59C3FBAB7A06}"/>
    <hyperlink ref="B45:C45" location="'YTD (R)'!A1" display="YEAR TO DATE" xr:uid="{90D209F3-7B7D-4BAA-8D00-535D67E10DCC}"/>
    <hyperlink ref="B49:C49" location="'AMORTIZATION (R)'!A1" display="AMORTIZATION" xr:uid="{FCA5ADBD-700F-45E3-812A-66FD53DD5DEC}"/>
    <hyperlink ref="B51:C51" location="'FINANCING (R)'!A1" display="FINANCING" xr:uid="{6ACB1CD1-D801-439F-A9CF-03D8201B0CBA}"/>
    <hyperlink ref="B53:C53" location="'EXPENSES (R)'!A1" display="EXPENSES" xr:uid="{52EFFD33-783D-4D59-BE0C-6375FF84FCA7}"/>
    <hyperlink ref="B47:C47" location="'VERSUS (R)'!A1" display="VERSUS" xr:uid="{D6A71537-93B9-48BF-AF4B-B608BFBABD25}"/>
    <hyperlink ref="B57:C57" location="SCENARIOS!A1" display="SCENARIOS" xr:uid="{F791C820-BF0B-4D0B-9216-2C532062903E}"/>
    <hyperlink ref="B59:C59" location="'MAX PRICE'!A1" display="MAX PRICE" xr:uid="{1B52BE0C-9B89-4637-B614-E5044BA93F1E}"/>
    <hyperlink ref="B61:C61" location="CUSTOM!A1" display="CUSTOM" xr:uid="{9A5FA927-D6EC-4C56-BF6D-56FB0ECA1277}"/>
    <hyperlink ref="B25:C25" location="FURNITURES!A1" display="FURNITURES" xr:uid="{A3A02F22-794D-4A03-B1AA-869B9858348B}"/>
    <hyperlink ref="B23:C23" location="REPAIRS!A1" display="REPAIRS" xr:uid="{F7BD2D2A-AD13-428C-AF09-EE5671C9F761}"/>
    <hyperlink ref="B33:C33" location="'ACTUALS (M)'!A1" display="ACTUALS (M)" xr:uid="{5F7A5286-3D93-40DF-BEB1-4126BA2FCD46}"/>
    <hyperlink ref="B35:C35" location="'VERSUS (M)'!A1" display="VERSUS (M)" xr:uid="{192FD113-AD39-4858-AE67-7ABCC891D403}"/>
    <hyperlink ref="B37:C37" location="'ACTUALS (Y)'!A1" display="ACTUALS (Y)" xr:uid="{7D980AD3-A8C2-41F0-A236-3695DED00BD3}"/>
    <hyperlink ref="B39:C39" location="PEERS!A1" display="PEERS" xr:uid="{FE74535D-ACC1-40AE-A349-A40C489E927C}"/>
    <hyperlink ref="B55:C55" location="'FORECASTS (R)'!A1" display="FORECASTS" xr:uid="{C93FD95D-5582-4F58-8FA8-1D60631AA4FB}"/>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ACC90-7347-4F21-803B-B02428A15193}">
  <sheetPr codeName="Sheet2">
    <tabColor rgb="FF3B4E87"/>
    <pageSetUpPr fitToPage="1"/>
  </sheetPr>
  <dimension ref="A1:DN308"/>
  <sheetViews>
    <sheetView showGridLines="0" showRowColHeaders="0" zoomScaleNormal="100" workbookViewId="0">
      <pane ySplit="5" topLeftCell="A11" activePane="bottomLeft" state="frozen"/>
      <selection pane="bottomLeft" activeCell="K19" sqref="K19:R19"/>
    </sheetView>
  </sheetViews>
  <sheetFormatPr defaultColWidth="9.109375" defaultRowHeight="13.8" outlineLevelRow="1" x14ac:dyDescent="0.25"/>
  <cols>
    <col min="1" max="77" width="2.88671875" style="274" customWidth="1"/>
    <col min="78" max="78" width="9.6640625" style="274" hidden="1" customWidth="1"/>
    <col min="79" max="111" width="0" style="274" hidden="1" customWidth="1"/>
    <col min="112" max="16384" width="9.109375" style="274"/>
  </cols>
  <sheetData>
    <row r="1" spans="1:118" s="1244" customFormat="1" ht="30" customHeight="1" x14ac:dyDescent="0.25">
      <c r="A1" s="1685" t="s">
        <v>724</v>
      </c>
    </row>
    <row r="2" spans="1:118" s="1" customFormat="1" ht="18.75" customHeight="1" x14ac:dyDescent="0.25">
      <c r="A2" s="1685"/>
      <c r="B2" s="1244"/>
      <c r="C2" s="1244"/>
      <c r="D2" s="1244"/>
      <c r="E2" s="1244"/>
      <c r="F2" s="1244"/>
      <c r="G2" s="1244"/>
      <c r="H2" s="1244"/>
      <c r="I2" s="1244"/>
      <c r="J2" s="1244"/>
      <c r="K2" s="1244"/>
      <c r="L2" s="1244"/>
      <c r="M2" s="1244"/>
      <c r="N2" s="1244"/>
      <c r="O2" s="1244"/>
      <c r="P2" s="1244"/>
      <c r="Q2" s="1244"/>
      <c r="R2" s="1244"/>
      <c r="S2" s="1244"/>
      <c r="T2" s="1244"/>
      <c r="U2" s="1244"/>
      <c r="V2" s="1244"/>
      <c r="W2" s="1244"/>
      <c r="X2" s="1244"/>
      <c r="Y2" s="1244"/>
      <c r="Z2" s="1244"/>
      <c r="AA2" s="1244"/>
      <c r="AB2" s="1244"/>
      <c r="AC2" s="1244"/>
      <c r="AD2" s="1244"/>
      <c r="AE2" s="1244"/>
      <c r="AF2" s="1244"/>
      <c r="AG2" s="1244"/>
      <c r="AH2" s="1244"/>
      <c r="AI2" s="1244"/>
      <c r="AJ2" s="1244"/>
      <c r="AK2" s="1244"/>
      <c r="AL2" s="1244"/>
      <c r="AM2" s="1244"/>
      <c r="AN2" s="1244"/>
      <c r="AO2" s="1244"/>
      <c r="AP2" s="1244"/>
      <c r="AQ2" s="1244"/>
      <c r="AR2" s="1244"/>
      <c r="AS2" s="1244"/>
      <c r="AT2" s="1244"/>
      <c r="AU2" s="1244"/>
      <c r="AV2" s="1244"/>
      <c r="AW2" s="1244"/>
      <c r="AX2" s="1244"/>
      <c r="AY2" s="1244"/>
      <c r="AZ2" s="1244"/>
      <c r="BA2" s="1244"/>
      <c r="BB2" s="1244"/>
      <c r="BC2" s="1244"/>
      <c r="BD2" s="1244"/>
      <c r="BE2" s="1244"/>
      <c r="BF2" s="1244"/>
      <c r="BG2" s="1244"/>
      <c r="BH2" s="1244"/>
      <c r="BI2" s="1244"/>
      <c r="BJ2" s="1244"/>
      <c r="BK2" s="1244"/>
      <c r="BL2" s="1244"/>
      <c r="BM2" s="1244"/>
      <c r="BN2" s="1244"/>
      <c r="BO2" s="1244"/>
      <c r="BP2" s="1244"/>
      <c r="BQ2" s="1244"/>
      <c r="BR2" s="1244"/>
      <c r="BS2" s="1244"/>
      <c r="BT2" s="1244"/>
      <c r="BU2" s="1244"/>
      <c r="BV2" s="1244"/>
      <c r="BW2" s="1244"/>
      <c r="BX2" s="1244"/>
      <c r="BY2" s="1244"/>
      <c r="BZ2" s="1244"/>
      <c r="CA2" s="1244"/>
      <c r="CB2" s="1244"/>
      <c r="CC2" s="1244"/>
      <c r="CD2" s="1244"/>
      <c r="CE2" s="1244"/>
      <c r="CF2" s="1244"/>
      <c r="CG2" s="1244"/>
      <c r="CH2" s="1244"/>
      <c r="CI2" s="1244"/>
      <c r="CJ2" s="1244"/>
      <c r="CK2" s="1244"/>
      <c r="CL2" s="1244"/>
      <c r="CM2" s="1244"/>
      <c r="CN2" s="1244"/>
      <c r="CO2" s="1244"/>
      <c r="CP2" s="1244"/>
      <c r="CQ2" s="1244"/>
      <c r="CR2" s="1244"/>
      <c r="CS2" s="1244"/>
      <c r="CT2" s="1244"/>
      <c r="CU2" s="1244"/>
      <c r="CV2" s="1244"/>
      <c r="CW2" s="1244"/>
      <c r="CX2" s="1244"/>
      <c r="CY2" s="1244"/>
      <c r="CZ2" s="1244"/>
      <c r="DA2" s="1244"/>
      <c r="DB2" s="1244"/>
      <c r="DC2" s="1244"/>
      <c r="DD2" s="1244"/>
      <c r="DE2" s="1244"/>
      <c r="DF2" s="1244"/>
      <c r="DG2" s="1244"/>
      <c r="DH2" s="1244"/>
      <c r="DI2" s="1244"/>
      <c r="DJ2" s="1244"/>
      <c r="DK2" s="1244"/>
      <c r="DL2" s="1244"/>
      <c r="DM2" s="1244"/>
      <c r="DN2" s="1244"/>
    </row>
    <row r="3" spans="1:118" ht="15" customHeight="1" x14ac:dyDescent="0.25">
      <c r="A3" s="1685"/>
      <c r="B3" s="1244"/>
      <c r="C3" s="1244"/>
      <c r="D3" s="1244"/>
      <c r="E3" s="1244"/>
      <c r="F3" s="1244"/>
      <c r="G3" s="1244"/>
      <c r="H3" s="1244"/>
      <c r="I3" s="1244"/>
      <c r="J3" s="1244"/>
      <c r="K3" s="1244"/>
      <c r="L3" s="1244"/>
      <c r="M3" s="1244"/>
      <c r="N3" s="1244"/>
      <c r="O3" s="1244"/>
      <c r="P3" s="1244"/>
      <c r="Q3" s="1244"/>
      <c r="R3" s="1244"/>
      <c r="S3" s="1244"/>
      <c r="T3" s="1244"/>
      <c r="U3" s="1244"/>
      <c r="V3" s="1244"/>
      <c r="W3" s="1244"/>
      <c r="X3" s="1244"/>
      <c r="Y3" s="1244"/>
      <c r="Z3" s="1244"/>
      <c r="AA3" s="1244"/>
      <c r="AB3" s="1244"/>
      <c r="AC3" s="1244"/>
      <c r="AD3" s="1244"/>
      <c r="AE3" s="1244"/>
      <c r="AF3" s="1244"/>
      <c r="AG3" s="1244"/>
      <c r="AH3" s="1244"/>
      <c r="AI3" s="1244"/>
      <c r="AJ3" s="1244"/>
      <c r="AK3" s="1244"/>
      <c r="AL3" s="1244"/>
      <c r="AM3" s="1244"/>
      <c r="AN3" s="1244"/>
      <c r="AO3" s="1244"/>
      <c r="AP3" s="1244"/>
      <c r="AQ3" s="1244"/>
      <c r="AR3" s="1244"/>
      <c r="AS3" s="1244"/>
      <c r="AT3" s="1244"/>
      <c r="AU3" s="1244"/>
      <c r="AV3" s="1244"/>
      <c r="AW3" s="1244"/>
      <c r="AX3" s="1244"/>
      <c r="AY3" s="1244"/>
      <c r="AZ3" s="1244"/>
      <c r="BA3" s="1244"/>
      <c r="BB3" s="1244"/>
      <c r="BC3" s="1244"/>
      <c r="BD3" s="1244"/>
      <c r="BE3" s="1244"/>
      <c r="BF3" s="1244"/>
      <c r="BG3" s="1244"/>
      <c r="BH3" s="1244"/>
      <c r="BI3" s="1244"/>
      <c r="BJ3" s="1244"/>
      <c r="BK3" s="1244"/>
      <c r="BL3" s="1244"/>
      <c r="BM3" s="1244"/>
      <c r="BN3" s="1244"/>
      <c r="BO3" s="1244"/>
      <c r="BP3" s="1244"/>
      <c r="BQ3" s="1244"/>
      <c r="BR3" s="1244"/>
      <c r="BS3" s="1244"/>
      <c r="BT3" s="1244"/>
      <c r="BU3" s="1244"/>
      <c r="BV3" s="1244"/>
      <c r="BW3" s="1244"/>
      <c r="BX3" s="1244"/>
      <c r="BY3" s="1244"/>
      <c r="BZ3" s="1244"/>
      <c r="CA3" s="1244"/>
      <c r="CB3" s="1244"/>
      <c r="CC3" s="1244"/>
      <c r="CD3" s="1244"/>
      <c r="CE3" s="1244"/>
      <c r="CF3" s="1244"/>
      <c r="CG3" s="1244"/>
      <c r="CH3" s="1244"/>
      <c r="CI3" s="1244"/>
      <c r="CJ3" s="1244"/>
      <c r="CK3" s="1244"/>
      <c r="CL3" s="1244"/>
      <c r="CM3" s="1244"/>
      <c r="CN3" s="1244"/>
      <c r="CO3" s="1244"/>
      <c r="CP3" s="1244"/>
      <c r="CQ3" s="1244"/>
      <c r="CR3" s="1244"/>
      <c r="CS3" s="1244"/>
      <c r="CT3" s="1244"/>
      <c r="CU3" s="1244"/>
      <c r="CV3" s="1244"/>
      <c r="CW3" s="1244"/>
      <c r="CX3" s="1244"/>
      <c r="CY3" s="1244"/>
      <c r="CZ3" s="1244"/>
      <c r="DA3" s="1244"/>
      <c r="DB3" s="1244"/>
      <c r="DC3" s="1244"/>
      <c r="DD3" s="1244"/>
      <c r="DE3" s="1244"/>
      <c r="DF3" s="1244"/>
      <c r="DG3" s="1244"/>
      <c r="DH3" s="1244"/>
      <c r="DI3" s="1244"/>
      <c r="DJ3" s="1244"/>
      <c r="DK3" s="1244"/>
      <c r="DL3" s="1244"/>
      <c r="DM3" s="1244"/>
      <c r="DN3" s="1244"/>
    </row>
    <row r="4" spans="1:118" ht="15" customHeight="1" x14ac:dyDescent="0.25">
      <c r="A4" s="1685"/>
      <c r="B4" s="1244"/>
      <c r="C4" s="1244"/>
      <c r="D4" s="1244"/>
      <c r="E4" s="1244"/>
      <c r="F4" s="1244"/>
      <c r="G4" s="1244"/>
      <c r="H4" s="1244"/>
      <c r="I4" s="1244"/>
      <c r="J4" s="1244"/>
      <c r="K4" s="1244"/>
      <c r="L4" s="1244"/>
      <c r="M4" s="1244"/>
      <c r="N4" s="1244"/>
      <c r="O4" s="1244"/>
      <c r="P4" s="1244"/>
      <c r="Q4" s="1244"/>
      <c r="R4" s="1244"/>
      <c r="S4" s="1244"/>
      <c r="T4" s="1244"/>
      <c r="U4" s="1244"/>
      <c r="V4" s="1244"/>
      <c r="W4" s="1244"/>
      <c r="X4" s="1244"/>
      <c r="Y4" s="1244"/>
      <c r="Z4" s="1244"/>
      <c r="AA4" s="1244"/>
      <c r="AB4" s="1244"/>
      <c r="AC4" s="1244"/>
      <c r="AD4" s="1244"/>
      <c r="AE4" s="1244"/>
      <c r="AF4" s="1244"/>
      <c r="AG4" s="1244"/>
      <c r="AH4" s="1244"/>
      <c r="AI4" s="1244"/>
      <c r="AJ4" s="1244"/>
      <c r="AK4" s="1244"/>
      <c r="AL4" s="1244"/>
      <c r="AM4" s="1244"/>
      <c r="AN4" s="1244"/>
      <c r="AO4" s="1244"/>
      <c r="AP4" s="1244"/>
      <c r="AQ4" s="1244"/>
      <c r="AR4" s="1244"/>
      <c r="AS4" s="1244"/>
      <c r="AT4" s="1244"/>
      <c r="AU4" s="1244"/>
      <c r="AV4" s="1244"/>
      <c r="AW4" s="1244"/>
      <c r="AX4" s="1244"/>
      <c r="AY4" s="1244"/>
      <c r="AZ4" s="1244"/>
      <c r="BA4" s="1244"/>
      <c r="BB4" s="1244"/>
      <c r="BC4" s="1244"/>
      <c r="BD4" s="1244"/>
      <c r="BE4" s="1244"/>
      <c r="BF4" s="1244"/>
      <c r="BG4" s="1244"/>
      <c r="BH4" s="1244"/>
      <c r="BI4" s="1244"/>
      <c r="BJ4" s="1244"/>
      <c r="BK4" s="1244"/>
      <c r="BL4" s="1244"/>
      <c r="BM4" s="1244"/>
      <c r="BN4" s="1244"/>
      <c r="BO4" s="1244"/>
      <c r="BP4" s="1244"/>
      <c r="BQ4" s="1244"/>
      <c r="BR4" s="1244"/>
      <c r="BS4" s="1244"/>
      <c r="BT4" s="1244"/>
      <c r="BU4" s="1244"/>
      <c r="BV4" s="1244"/>
      <c r="BW4" s="1244"/>
      <c r="BX4" s="1244"/>
      <c r="BY4" s="1244"/>
      <c r="BZ4" s="1244"/>
      <c r="CA4" s="1244"/>
      <c r="CB4" s="1244"/>
      <c r="CC4" s="1244"/>
      <c r="CD4" s="1244"/>
      <c r="CE4" s="1244"/>
      <c r="CF4" s="1244"/>
      <c r="CG4" s="1244"/>
      <c r="CH4" s="1244"/>
      <c r="CI4" s="1244"/>
      <c r="CJ4" s="1244"/>
      <c r="CK4" s="1244"/>
      <c r="CL4" s="1244"/>
      <c r="CM4" s="1244"/>
      <c r="CN4" s="1244"/>
      <c r="CO4" s="1244"/>
      <c r="CP4" s="1244"/>
      <c r="CQ4" s="1244"/>
      <c r="CR4" s="1244"/>
      <c r="CS4" s="1244"/>
      <c r="CT4" s="1244"/>
      <c r="CU4" s="1244"/>
      <c r="CV4" s="1244"/>
      <c r="CW4" s="1244"/>
      <c r="CX4" s="1244"/>
      <c r="CY4" s="1244"/>
      <c r="CZ4" s="1244"/>
      <c r="DA4" s="1244"/>
      <c r="DB4" s="1244"/>
      <c r="DC4" s="1244"/>
      <c r="DD4" s="1244"/>
      <c r="DE4" s="1244"/>
      <c r="DF4" s="1244"/>
      <c r="DG4" s="1244"/>
      <c r="DH4" s="1244"/>
      <c r="DI4" s="1244"/>
      <c r="DJ4" s="1244"/>
      <c r="DK4" s="1244"/>
      <c r="DL4" s="1244"/>
      <c r="DM4" s="1244"/>
      <c r="DN4" s="1244"/>
    </row>
    <row r="5" spans="1:118" ht="15" customHeight="1" x14ac:dyDescent="0.25">
      <c r="A5" s="670"/>
      <c r="B5" s="2351" t="s">
        <v>691</v>
      </c>
      <c r="C5" s="2352"/>
      <c r="D5" s="2352"/>
      <c r="E5" s="2353"/>
      <c r="F5" s="2351" t="s">
        <v>720</v>
      </c>
      <c r="G5" s="2352"/>
      <c r="H5" s="2352"/>
      <c r="I5" s="2353"/>
      <c r="J5" s="2351" t="s">
        <v>709</v>
      </c>
      <c r="K5" s="2352"/>
      <c r="L5" s="2352"/>
      <c r="M5" s="2353"/>
      <c r="N5" s="2351" t="s">
        <v>172</v>
      </c>
      <c r="O5" s="2352"/>
      <c r="P5" s="2352"/>
      <c r="Q5" s="2353"/>
      <c r="R5" s="2351" t="s">
        <v>485</v>
      </c>
      <c r="S5" s="2352"/>
      <c r="T5" s="2352"/>
      <c r="U5" s="2353"/>
      <c r="V5" s="2351" t="s">
        <v>210</v>
      </c>
      <c r="W5" s="2352"/>
      <c r="X5" s="2352"/>
      <c r="Y5" s="2353"/>
      <c r="Z5" s="2351" t="s">
        <v>721</v>
      </c>
      <c r="AA5" s="2352"/>
      <c r="AB5" s="2352"/>
      <c r="AC5" s="2353"/>
      <c r="AD5" s="2351" t="s">
        <v>723</v>
      </c>
      <c r="AE5" s="2352"/>
      <c r="AF5" s="2352"/>
      <c r="AG5" s="2353"/>
      <c r="AH5" s="2351" t="s">
        <v>722</v>
      </c>
      <c r="AI5" s="2352"/>
      <c r="AJ5" s="2352"/>
      <c r="AK5" s="2353"/>
      <c r="AL5" s="2351" t="s">
        <v>412</v>
      </c>
      <c r="AM5" s="2352"/>
      <c r="AN5" s="2352"/>
      <c r="AO5" s="2353"/>
      <c r="AP5" s="1"/>
      <c r="AQ5" s="1"/>
      <c r="AR5" s="2350" t="s">
        <v>736</v>
      </c>
      <c r="AS5" s="2350"/>
      <c r="AT5" s="2350"/>
      <c r="AU5" s="2354">
        <f>AA245</f>
        <v>0</v>
      </c>
      <c r="AV5" s="2354"/>
      <c r="AW5" s="2357" t="s">
        <v>737</v>
      </c>
      <c r="AX5" s="2357"/>
      <c r="AY5" s="2354">
        <f>COC_value</f>
        <v>0</v>
      </c>
      <c r="AZ5" s="2354"/>
      <c r="BA5" s="2350" t="s">
        <v>738</v>
      </c>
      <c r="BB5" s="2350"/>
      <c r="BC5" s="2350"/>
      <c r="BD5" s="2355">
        <f>AQ245</f>
        <v>0</v>
      </c>
      <c r="BE5" s="2355"/>
      <c r="BF5" s="2357" t="s">
        <v>739</v>
      </c>
      <c r="BG5" s="2357"/>
      <c r="BH5" s="2354" t="str">
        <f>IRR_value</f>
        <v>n.a</v>
      </c>
      <c r="BI5" s="2354"/>
      <c r="BJ5" s="2357" t="s">
        <v>740</v>
      </c>
      <c r="BK5" s="2357"/>
      <c r="BL5" s="2356">
        <f ca="1">MIRR_value</f>
        <v>31.383204884537385</v>
      </c>
      <c r="BM5" s="2356"/>
      <c r="BN5" s="672"/>
      <c r="BO5" s="1"/>
      <c r="BP5" s="1"/>
      <c r="BQ5" s="1"/>
      <c r="BR5" s="1"/>
      <c r="BS5" s="1"/>
      <c r="BT5" s="1"/>
      <c r="BU5" s="67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row>
    <row r="6" spans="1:118" ht="15" customHeight="1" outlineLevel="1" x14ac:dyDescent="0.25"/>
    <row r="7" spans="1:118" ht="15" customHeight="1" outlineLevel="1" x14ac:dyDescent="0.25"/>
    <row r="8" spans="1:118" ht="15" customHeight="1" outlineLevel="1" x14ac:dyDescent="0.25">
      <c r="B8" s="521" t="s">
        <v>598</v>
      </c>
      <c r="C8" s="598"/>
      <c r="D8" s="598"/>
      <c r="E8" s="598"/>
      <c r="F8" s="598"/>
      <c r="G8" s="598"/>
      <c r="H8" s="598"/>
      <c r="I8" s="598"/>
      <c r="J8" s="598"/>
      <c r="K8" s="598"/>
      <c r="L8" s="598"/>
      <c r="M8" s="598"/>
      <c r="N8" s="598"/>
      <c r="O8" s="598"/>
      <c r="P8" s="598"/>
      <c r="Q8" s="598"/>
      <c r="R8" s="598"/>
      <c r="S8" s="598"/>
      <c r="T8" s="598"/>
      <c r="U8" s="598"/>
      <c r="V8" s="598"/>
      <c r="W8" s="598"/>
      <c r="X8" s="598"/>
      <c r="Y8" s="598"/>
      <c r="Z8" s="598"/>
      <c r="AA8" s="598"/>
      <c r="AB8" s="598"/>
      <c r="AC8" s="598"/>
      <c r="AD8" s="598"/>
      <c r="AE8" s="598"/>
      <c r="AF8" s="598"/>
      <c r="AG8" s="598"/>
      <c r="AH8" s="598"/>
      <c r="AI8" s="598"/>
      <c r="AJ8" s="598"/>
      <c r="AK8" s="598"/>
      <c r="AL8" s="598"/>
      <c r="AM8" s="598"/>
      <c r="AN8" s="598"/>
      <c r="AO8" s="598"/>
      <c r="AP8" s="598"/>
      <c r="AQ8" s="598"/>
      <c r="AR8" s="598"/>
      <c r="AS8" s="598"/>
      <c r="AT8" s="598"/>
      <c r="AU8" s="598"/>
      <c r="AV8" s="598"/>
      <c r="AW8" s="598"/>
      <c r="AX8" s="598"/>
      <c r="AY8" s="598"/>
      <c r="AZ8" s="598"/>
      <c r="BA8" s="598"/>
      <c r="BB8" s="598"/>
      <c r="BC8" s="598"/>
      <c r="BD8" s="598"/>
      <c r="BE8" s="598"/>
      <c r="BF8" s="598"/>
      <c r="BG8" s="598"/>
      <c r="BJ8" s="598" t="s">
        <v>369</v>
      </c>
      <c r="BK8" s="598"/>
      <c r="BL8" s="598"/>
      <c r="BM8" s="598"/>
      <c r="BN8" s="598"/>
      <c r="BO8" s="598"/>
      <c r="BP8" s="598"/>
      <c r="BQ8" s="598"/>
      <c r="BR8" s="598"/>
      <c r="BS8" s="598"/>
    </row>
    <row r="9" spans="1:118" ht="15" customHeight="1" outlineLevel="1" x14ac:dyDescent="0.25">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9"/>
      <c r="AG9" s="9"/>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277"/>
      <c r="BF9" s="277"/>
      <c r="BG9" s="277"/>
      <c r="BH9" s="275"/>
      <c r="BJ9" s="8"/>
      <c r="BK9" s="8"/>
      <c r="BL9" s="8"/>
      <c r="BM9" s="8"/>
      <c r="BN9" s="8"/>
      <c r="BO9" s="8"/>
      <c r="BP9" s="8"/>
      <c r="BQ9" s="8"/>
      <c r="BR9" s="8"/>
      <c r="BS9" s="8"/>
    </row>
    <row r="10" spans="1:118" ht="15" customHeight="1" outlineLevel="1" x14ac:dyDescent="0.25">
      <c r="B10" s="89"/>
      <c r="C10" s="499">
        <v>1</v>
      </c>
      <c r="D10" s="500" t="s">
        <v>257</v>
      </c>
      <c r="E10" s="500"/>
      <c r="F10" s="500"/>
      <c r="G10" s="500"/>
      <c r="H10" s="500"/>
      <c r="I10" s="500"/>
      <c r="J10" s="500"/>
      <c r="K10" s="500"/>
      <c r="L10" s="500"/>
      <c r="M10" s="500"/>
      <c r="N10" s="500"/>
      <c r="O10" s="500"/>
      <c r="P10" s="500"/>
      <c r="Q10" s="500"/>
      <c r="R10" s="501"/>
      <c r="S10" s="89"/>
      <c r="T10" s="2"/>
      <c r="U10" s="2"/>
      <c r="V10" s="499">
        <v>2</v>
      </c>
      <c r="W10" s="499" t="s">
        <v>276</v>
      </c>
      <c r="X10" s="500"/>
      <c r="Y10" s="500"/>
      <c r="Z10" s="500"/>
      <c r="AA10" s="500"/>
      <c r="AB10" s="500"/>
      <c r="AC10" s="500"/>
      <c r="AD10" s="500"/>
      <c r="AE10" s="500"/>
      <c r="AF10" s="500"/>
      <c r="AG10" s="500"/>
      <c r="AH10" s="500"/>
      <c r="AI10" s="500"/>
      <c r="AJ10" s="500"/>
      <c r="AK10" s="501"/>
      <c r="AL10" s="501"/>
      <c r="AM10" s="215"/>
      <c r="AN10" s="215"/>
      <c r="AO10" s="215"/>
      <c r="AP10" s="499">
        <v>4</v>
      </c>
      <c r="AQ10" s="499" t="s">
        <v>527</v>
      </c>
      <c r="AR10" s="500"/>
      <c r="AS10" s="500"/>
      <c r="AT10" s="500"/>
      <c r="AU10" s="500"/>
      <c r="AV10" s="500"/>
      <c r="AW10" s="500"/>
      <c r="AX10" s="500"/>
      <c r="AY10" s="500"/>
      <c r="AZ10" s="500"/>
      <c r="BA10" s="500"/>
      <c r="BB10" s="500"/>
      <c r="BC10" s="500"/>
      <c r="BD10" s="500"/>
      <c r="BE10" s="501"/>
      <c r="BF10" s="501"/>
      <c r="BG10" s="215"/>
      <c r="BH10" s="275"/>
      <c r="BJ10" s="8"/>
      <c r="BK10" s="2333" t="s">
        <v>273</v>
      </c>
      <c r="BL10" s="2334"/>
      <c r="BM10" s="2334"/>
      <c r="BN10" s="2334"/>
      <c r="BO10" s="2334"/>
      <c r="BP10" s="2334"/>
      <c r="BQ10" s="2334"/>
      <c r="BR10" s="2335"/>
      <c r="BS10" s="8"/>
    </row>
    <row r="11" spans="1:118" ht="15" customHeight="1" outlineLevel="1" x14ac:dyDescent="0.25">
      <c r="B11" s="91"/>
      <c r="C11" s="125"/>
      <c r="D11" s="125"/>
      <c r="E11" s="125"/>
      <c r="F11" s="125"/>
      <c r="G11" s="125"/>
      <c r="H11" s="125"/>
      <c r="I11" s="125"/>
      <c r="J11" s="125"/>
      <c r="K11" s="96"/>
      <c r="L11" s="96"/>
      <c r="M11" s="96"/>
      <c r="N11" s="96"/>
      <c r="O11" s="96"/>
      <c r="P11" s="96"/>
      <c r="Q11" s="96"/>
      <c r="R11" s="96"/>
      <c r="S11" s="96"/>
      <c r="T11" s="96"/>
      <c r="U11" s="619"/>
      <c r="V11" s="96"/>
      <c r="W11" s="96"/>
      <c r="X11" s="96"/>
      <c r="Y11" s="96"/>
      <c r="Z11" s="93"/>
      <c r="AA11" s="2"/>
      <c r="AB11" s="2"/>
      <c r="AC11" s="234"/>
      <c r="AD11" s="210"/>
      <c r="AE11" s="2"/>
      <c r="AF11" s="2"/>
      <c r="AG11" s="2"/>
      <c r="AH11" s="2"/>
      <c r="AI11" s="2"/>
      <c r="AJ11" s="2"/>
      <c r="AK11" s="215"/>
      <c r="AL11" s="215"/>
      <c r="AM11" s="215"/>
      <c r="AN11" s="215"/>
      <c r="AO11" s="215"/>
      <c r="AP11" s="93"/>
      <c r="AQ11" s="93"/>
      <c r="AR11" s="93"/>
      <c r="AS11" s="2"/>
      <c r="AT11" s="2"/>
      <c r="AU11" s="2"/>
      <c r="AV11" s="2"/>
      <c r="AW11" s="2"/>
      <c r="AX11" s="2"/>
      <c r="AY11" s="2"/>
      <c r="AZ11" s="2"/>
      <c r="BA11" s="2"/>
      <c r="BB11" s="2"/>
      <c r="BC11" s="2"/>
      <c r="BD11" s="215"/>
      <c r="BE11" s="215"/>
      <c r="BF11" s="215"/>
      <c r="BG11" s="215"/>
      <c r="BH11" s="275"/>
      <c r="BJ11" s="8"/>
      <c r="BK11" s="9"/>
      <c r="BL11" s="9"/>
      <c r="BM11" s="9"/>
      <c r="BN11" s="9"/>
      <c r="BO11" s="9"/>
      <c r="BP11" s="9"/>
      <c r="BQ11" s="9"/>
      <c r="BR11" s="9"/>
      <c r="BS11" s="8"/>
    </row>
    <row r="12" spans="1:118" ht="15" customHeight="1" outlineLevel="1" x14ac:dyDescent="0.25">
      <c r="B12" s="1791" t="s">
        <v>1149</v>
      </c>
      <c r="C12" s="92" t="s">
        <v>255</v>
      </c>
      <c r="D12" s="92"/>
      <c r="E12" s="92"/>
      <c r="F12" s="92"/>
      <c r="G12" s="92"/>
      <c r="H12" s="92"/>
      <c r="I12" s="92"/>
      <c r="J12" s="92"/>
      <c r="K12" s="2297" t="s">
        <v>2525</v>
      </c>
      <c r="L12" s="2298"/>
      <c r="M12" s="2298"/>
      <c r="N12" s="2298"/>
      <c r="O12" s="2298"/>
      <c r="P12" s="2298"/>
      <c r="Q12" s="2298"/>
      <c r="R12" s="2299"/>
      <c r="S12" s="96"/>
      <c r="T12" s="2"/>
      <c r="U12" s="619"/>
      <c r="V12" s="92" t="s">
        <v>258</v>
      </c>
      <c r="W12" s="2"/>
      <c r="X12" s="2"/>
      <c r="Y12" s="2"/>
      <c r="Z12" s="2"/>
      <c r="AA12" s="2"/>
      <c r="AB12" s="2"/>
      <c r="AC12" s="2"/>
      <c r="AD12" s="2"/>
      <c r="AE12" s="2358">
        <v>215000</v>
      </c>
      <c r="AF12" s="2359"/>
      <c r="AG12" s="2359"/>
      <c r="AH12" s="2359"/>
      <c r="AI12" s="2360"/>
      <c r="AJ12" s="2305">
        <f>IFERROR(D27/K20,0)</f>
        <v>81.690140845070417</v>
      </c>
      <c r="AK12" s="2305"/>
      <c r="AL12" s="2305"/>
      <c r="AM12" s="2305"/>
      <c r="AN12" s="215"/>
      <c r="AO12" s="1791" t="s">
        <v>1149</v>
      </c>
      <c r="AP12" s="92" t="s">
        <v>68</v>
      </c>
      <c r="AQ12" s="2"/>
      <c r="AR12" s="2"/>
      <c r="AS12" s="2"/>
      <c r="AT12" s="2"/>
      <c r="AU12" s="2"/>
      <c r="AV12" s="2"/>
      <c r="AW12" s="2"/>
      <c r="AX12" s="2"/>
      <c r="AY12" s="2"/>
      <c r="AZ12" s="2347" t="s">
        <v>56</v>
      </c>
      <c r="BA12" s="2348"/>
      <c r="BB12" s="2348"/>
      <c r="BC12" s="2348"/>
      <c r="BD12" s="2348"/>
      <c r="BE12" s="2348"/>
      <c r="BF12" s="2349"/>
      <c r="BG12" s="1609">
        <f>IFERROR(MATCH(AZ12,HIDE5!B3:B4,0),1)</f>
        <v>2</v>
      </c>
      <c r="BH12" s="275"/>
      <c r="BJ12" s="8"/>
      <c r="BK12" s="2336" t="s">
        <v>274</v>
      </c>
      <c r="BL12" s="2337"/>
      <c r="BM12" s="2337"/>
      <c r="BN12" s="2337"/>
      <c r="BO12" s="2337"/>
      <c r="BP12" s="2337"/>
      <c r="BQ12" s="2337"/>
      <c r="BR12" s="2338"/>
      <c r="BS12" s="8"/>
    </row>
    <row r="13" spans="1:118" ht="15" customHeight="1" outlineLevel="1" x14ac:dyDescent="0.3">
      <c r="B13" s="91"/>
      <c r="C13" s="92" t="s">
        <v>58</v>
      </c>
      <c r="D13" s="92"/>
      <c r="E13" s="92"/>
      <c r="F13" s="92"/>
      <c r="G13" s="92"/>
      <c r="H13" s="92"/>
      <c r="I13" s="92"/>
      <c r="J13" s="92"/>
      <c r="K13" s="2297"/>
      <c r="L13" s="2298"/>
      <c r="M13" s="2298"/>
      <c r="N13" s="2298"/>
      <c r="O13" s="2298"/>
      <c r="P13" s="2298"/>
      <c r="Q13" s="2298"/>
      <c r="R13" s="2299"/>
      <c r="S13" s="200"/>
      <c r="T13" s="2"/>
      <c r="U13" s="1791" t="s">
        <v>1149</v>
      </c>
      <c r="V13" s="92" t="s">
        <v>286</v>
      </c>
      <c r="W13"/>
      <c r="X13"/>
      <c r="Y13"/>
      <c r="Z13"/>
      <c r="AA13"/>
      <c r="AB13"/>
      <c r="AC13"/>
      <c r="AD13" s="1789" t="b">
        <v>1</v>
      </c>
      <c r="AE13" s="2322">
        <f>CHOOSE(AK34,L41,AA41,AO41,BB41)</f>
        <v>0</v>
      </c>
      <c r="AF13" s="2323"/>
      <c r="AG13" s="2323"/>
      <c r="AH13" s="2323"/>
      <c r="AI13" s="2324"/>
      <c r="AJ13" s="2318">
        <f>IFERROR(AE13/$K$20,0)</f>
        <v>0</v>
      </c>
      <c r="AK13" s="2318"/>
      <c r="AL13" s="2318"/>
      <c r="AM13" s="2318"/>
      <c r="AN13" s="215"/>
      <c r="AO13" s="1791"/>
      <c r="AP13" s="93"/>
      <c r="AQ13" s="93"/>
      <c r="AR13" s="93"/>
      <c r="AS13" s="90"/>
      <c r="AT13" s="154"/>
      <c r="AU13" s="2"/>
      <c r="AV13" s="2"/>
      <c r="AW13" s="2"/>
      <c r="AX13" s="2"/>
      <c r="AY13" s="94"/>
      <c r="AZ13" s="9"/>
      <c r="BA13" s="215"/>
      <c r="BB13" s="215"/>
      <c r="BC13" s="215"/>
      <c r="BD13" s="215"/>
      <c r="BE13" s="215"/>
      <c r="BF13" s="215"/>
      <c r="BG13" s="215"/>
      <c r="BH13" s="275"/>
      <c r="BJ13" s="8"/>
      <c r="BK13" s="9"/>
      <c r="BL13" s="9"/>
      <c r="BM13" s="9"/>
      <c r="BN13" s="9"/>
      <c r="BO13" s="9"/>
      <c r="BP13" s="9"/>
      <c r="BQ13" s="9"/>
      <c r="BR13" s="9"/>
      <c r="BS13" s="8"/>
    </row>
    <row r="14" spans="1:118" ht="15" customHeight="1" outlineLevel="1" x14ac:dyDescent="0.3">
      <c r="B14" s="91"/>
      <c r="C14" s="92" t="s">
        <v>47</v>
      </c>
      <c r="D14" s="92"/>
      <c r="E14" s="92"/>
      <c r="F14" s="92"/>
      <c r="G14" s="92"/>
      <c r="H14" s="92"/>
      <c r="I14" s="92"/>
      <c r="J14" s="92"/>
      <c r="K14" s="2297" t="s">
        <v>2627</v>
      </c>
      <c r="L14" s="2298"/>
      <c r="M14" s="2298"/>
      <c r="N14" s="2298"/>
      <c r="O14" s="2298"/>
      <c r="P14" s="2298"/>
      <c r="Q14" s="2298"/>
      <c r="R14" s="2299"/>
      <c r="S14" s="96"/>
      <c r="T14" s="2"/>
      <c r="U14" s="1791"/>
      <c r="V14" s="92" t="s">
        <v>459</v>
      </c>
      <c r="W14" s="2"/>
      <c r="X14" s="2"/>
      <c r="Y14" s="2"/>
      <c r="Z14" s="2"/>
      <c r="AA14" s="2"/>
      <c r="AB14" s="2"/>
      <c r="AC14" s="2"/>
      <c r="AD14" s="1789" t="b">
        <v>1</v>
      </c>
      <c r="AE14" s="2123">
        <f>purchase_price_input*0.03</f>
        <v>6450</v>
      </c>
      <c r="AF14" s="2124"/>
      <c r="AG14" s="2124"/>
      <c r="AH14" s="2124"/>
      <c r="AI14" s="2300"/>
      <c r="AJ14" s="1589"/>
      <c r="AK14" s="1589"/>
      <c r="AL14" s="1589"/>
      <c r="AM14" s="1589"/>
      <c r="AN14" s="215"/>
      <c r="AO14" s="1791"/>
      <c r="AP14" s="620" t="s">
        <v>236</v>
      </c>
      <c r="AQ14" s="621"/>
      <c r="AR14" s="621"/>
      <c r="AS14" s="622"/>
      <c r="AT14" s="616"/>
      <c r="AU14" s="616"/>
      <c r="AV14" s="616"/>
      <c r="AW14" s="616"/>
      <c r="AX14" s="2"/>
      <c r="AY14" s="1689" t="b">
        <v>0</v>
      </c>
      <c r="AZ14" s="9"/>
      <c r="BA14" s="215"/>
      <c r="BB14" s="215"/>
      <c r="BC14" s="215"/>
      <c r="BD14" s="215"/>
      <c r="BE14" s="449" t="s">
        <v>529</v>
      </c>
      <c r="BF14" s="2042" t="b">
        <v>1</v>
      </c>
      <c r="BG14" s="1791" t="s">
        <v>1149</v>
      </c>
      <c r="BH14" s="275"/>
      <c r="BJ14" s="8"/>
      <c r="BK14" s="2339" t="s">
        <v>240</v>
      </c>
      <c r="BL14" s="2340"/>
      <c r="BM14" s="2340"/>
      <c r="BN14" s="2340"/>
      <c r="BO14" s="2340"/>
      <c r="BP14" s="2340"/>
      <c r="BQ14" s="2340"/>
      <c r="BR14" s="2341"/>
      <c r="BS14" s="8"/>
    </row>
    <row r="15" spans="1:118" ht="15" customHeight="1" outlineLevel="1" x14ac:dyDescent="0.3">
      <c r="B15" s="91"/>
      <c r="C15" s="92" t="s">
        <v>48</v>
      </c>
      <c r="D15" s="92"/>
      <c r="E15" s="92"/>
      <c r="F15" s="92"/>
      <c r="G15" s="92"/>
      <c r="H15" s="92"/>
      <c r="I15" s="92"/>
      <c r="J15" s="92"/>
      <c r="K15" s="2297" t="s">
        <v>2628</v>
      </c>
      <c r="L15" s="2298"/>
      <c r="M15" s="2298"/>
      <c r="N15" s="2298"/>
      <c r="O15" s="2298"/>
      <c r="P15" s="2298"/>
      <c r="Q15" s="2298"/>
      <c r="R15" s="2299"/>
      <c r="S15" s="200"/>
      <c r="T15" s="2"/>
      <c r="U15" s="1791"/>
      <c r="V15" s="92" t="s">
        <v>263</v>
      </c>
      <c r="W15" s="2"/>
      <c r="X15" s="2"/>
      <c r="Y15" s="2"/>
      <c r="Z15" s="2"/>
      <c r="AA15" s="2"/>
      <c r="AB15" s="2"/>
      <c r="AC15" s="2"/>
      <c r="AD15" s="1789" t="b">
        <v>0</v>
      </c>
      <c r="AE15" s="2123"/>
      <c r="AF15" s="2124"/>
      <c r="AG15" s="2124"/>
      <c r="AH15" s="2124"/>
      <c r="AI15" s="2300"/>
      <c r="AJ15" s="1589"/>
      <c r="AK15" s="1589"/>
      <c r="AL15" s="1589"/>
      <c r="AM15" s="1589"/>
      <c r="AN15" s="215"/>
      <c r="AO15" s="1791" t="s">
        <v>1149</v>
      </c>
      <c r="AP15" s="206" t="s">
        <v>69</v>
      </c>
      <c r="AQ15" s="211"/>
      <c r="AR15" s="211"/>
      <c r="AS15" s="212"/>
      <c r="AT15" s="211"/>
      <c r="AU15" s="211"/>
      <c r="AV15" s="211"/>
      <c r="AW15" s="211"/>
      <c r="AX15" s="211"/>
      <c r="AY15" s="211"/>
      <c r="AZ15" s="2140">
        <v>0.03</v>
      </c>
      <c r="BA15" s="2141"/>
      <c r="BB15" s="2141"/>
      <c r="BC15" s="2142"/>
      <c r="BD15" s="213"/>
      <c r="BE15" s="203" t="s">
        <v>288</v>
      </c>
      <c r="BF15" s="203"/>
      <c r="BG15" s="215"/>
      <c r="BH15" s="275"/>
      <c r="BJ15" s="8"/>
      <c r="BK15" s="9"/>
      <c r="BL15" s="9"/>
      <c r="BM15" s="9"/>
      <c r="BN15" s="9"/>
      <c r="BO15" s="9"/>
      <c r="BP15" s="9"/>
      <c r="BQ15" s="9"/>
      <c r="BR15" s="9"/>
      <c r="BS15" s="8"/>
    </row>
    <row r="16" spans="1:118" ht="15" customHeight="1" outlineLevel="1" x14ac:dyDescent="0.25">
      <c r="B16" s="91"/>
      <c r="C16" s="92" t="s">
        <v>131</v>
      </c>
      <c r="D16" s="92"/>
      <c r="E16" s="92"/>
      <c r="F16" s="92"/>
      <c r="G16" s="92"/>
      <c r="H16" s="92"/>
      <c r="I16" s="92"/>
      <c r="J16" s="92"/>
      <c r="K16" s="2297"/>
      <c r="L16" s="2298"/>
      <c r="M16" s="2298"/>
      <c r="N16" s="2298"/>
      <c r="O16" s="2298"/>
      <c r="P16" s="2298"/>
      <c r="Q16" s="2298"/>
      <c r="R16" s="2299"/>
      <c r="S16" s="96"/>
      <c r="T16" s="2"/>
      <c r="U16" s="1791" t="s">
        <v>1149</v>
      </c>
      <c r="V16" s="199" t="s">
        <v>1115</v>
      </c>
      <c r="W16" s="199"/>
      <c r="X16" s="199"/>
      <c r="Y16" s="199"/>
      <c r="Z16" s="199"/>
      <c r="AA16" s="92"/>
      <c r="AB16" s="92"/>
      <c r="AC16" s="92"/>
      <c r="AD16" s="1790" t="b">
        <v>0</v>
      </c>
      <c r="AE16" s="2306">
        <f>CHOOSE(AK56,L63,AA63,AO63,BB63)</f>
        <v>0.25</v>
      </c>
      <c r="AF16" s="2307"/>
      <c r="AG16" s="2307"/>
      <c r="AH16" s="2307"/>
      <c r="AI16" s="2308"/>
      <c r="AJ16" s="2318">
        <f>IFERROR(AE16/$K$20,0)</f>
        <v>1.7605633802816902E-4</v>
      </c>
      <c r="AK16" s="2318"/>
      <c r="AL16" s="2318"/>
      <c r="AM16" s="2318"/>
      <c r="AN16" s="215"/>
      <c r="AO16" s="1791" t="s">
        <v>1149</v>
      </c>
      <c r="AP16" s="207" t="s">
        <v>70</v>
      </c>
      <c r="AQ16" s="2"/>
      <c r="AR16" s="2"/>
      <c r="AS16" s="94"/>
      <c r="AT16" s="2"/>
      <c r="AU16" s="2"/>
      <c r="AV16" s="2"/>
      <c r="AW16" s="2"/>
      <c r="AX16" s="2"/>
      <c r="AY16" s="2"/>
      <c r="AZ16" s="2140">
        <v>0.06</v>
      </c>
      <c r="BA16" s="2141"/>
      <c r="BB16" s="2141"/>
      <c r="BC16" s="2142"/>
      <c r="BD16" s="215"/>
      <c r="BE16" s="204" t="s">
        <v>288</v>
      </c>
      <c r="BF16" s="204"/>
      <c r="BG16" s="215"/>
      <c r="BH16" s="275"/>
      <c r="BJ16" s="8"/>
      <c r="BK16" s="2342" t="s">
        <v>240</v>
      </c>
      <c r="BL16" s="2342"/>
      <c r="BM16" s="2342"/>
      <c r="BN16" s="2342"/>
      <c r="BO16" s="2342"/>
      <c r="BP16" s="2342"/>
      <c r="BQ16" s="2342"/>
      <c r="BR16" s="2342"/>
      <c r="BS16" s="8"/>
    </row>
    <row r="17" spans="2:71" ht="15" customHeight="1" outlineLevel="1" x14ac:dyDescent="0.25">
      <c r="B17" s="91"/>
      <c r="C17" s="92" t="s">
        <v>59</v>
      </c>
      <c r="D17" s="92"/>
      <c r="E17" s="92"/>
      <c r="F17" s="92"/>
      <c r="G17" s="92"/>
      <c r="H17" s="92"/>
      <c r="I17" s="92"/>
      <c r="J17" s="92"/>
      <c r="K17" s="2297"/>
      <c r="L17" s="2298"/>
      <c r="M17" s="2298"/>
      <c r="N17" s="2298"/>
      <c r="O17" s="2298"/>
      <c r="P17" s="2298"/>
      <c r="Q17" s="2298"/>
      <c r="R17" s="2299"/>
      <c r="S17" s="96"/>
      <c r="T17" s="2"/>
      <c r="U17" s="1791"/>
      <c r="V17" s="95" t="s">
        <v>129</v>
      </c>
      <c r="W17" s="95"/>
      <c r="X17" s="95"/>
      <c r="Y17" s="95"/>
      <c r="Z17" s="95"/>
      <c r="AA17" s="95"/>
      <c r="AB17" s="95"/>
      <c r="AC17" s="95"/>
      <c r="AD17" s="235" t="s">
        <v>282</v>
      </c>
      <c r="AE17" s="2346">
        <f>SUM(AE12:AI16)</f>
        <v>221450.25</v>
      </c>
      <c r="AF17" s="2346"/>
      <c r="AG17" s="2346"/>
      <c r="AH17" s="2346"/>
      <c r="AI17" s="2346"/>
      <c r="AJ17" s="2"/>
      <c r="AK17" s="2"/>
      <c r="AL17" s="2"/>
      <c r="AM17" s="2"/>
      <c r="AN17" s="215"/>
      <c r="AO17" s="1791" t="s">
        <v>1149</v>
      </c>
      <c r="AP17" s="208" t="s">
        <v>71</v>
      </c>
      <c r="AQ17" s="216"/>
      <c r="AR17" s="216"/>
      <c r="AS17" s="217"/>
      <c r="AT17" s="216"/>
      <c r="AU17" s="216"/>
      <c r="AV17" s="216"/>
      <c r="AW17" s="216"/>
      <c r="AX17" s="216"/>
      <c r="AY17" s="216"/>
      <c r="AZ17" s="2304">
        <f>AZ15+AZ16</f>
        <v>0.09</v>
      </c>
      <c r="BA17" s="2304"/>
      <c r="BB17" s="2304"/>
      <c r="BC17" s="2304"/>
      <c r="BD17" s="218"/>
      <c r="BE17" s="233" t="s">
        <v>288</v>
      </c>
      <c r="BF17" s="205"/>
      <c r="BG17" s="215"/>
      <c r="BH17" s="275"/>
      <c r="BJ17" s="8"/>
      <c r="BK17" s="9"/>
      <c r="BL17" s="9"/>
      <c r="BM17" s="9"/>
      <c r="BN17" s="9"/>
      <c r="BO17" s="9"/>
      <c r="BP17" s="9"/>
      <c r="BQ17" s="9"/>
      <c r="BR17" s="9"/>
      <c r="BS17" s="8"/>
    </row>
    <row r="18" spans="2:71" ht="15" customHeight="1" outlineLevel="1" x14ac:dyDescent="0.25">
      <c r="B18" s="91"/>
      <c r="C18" s="93"/>
      <c r="D18" s="93"/>
      <c r="E18" s="93"/>
      <c r="F18" s="93"/>
      <c r="G18" s="93"/>
      <c r="H18" s="93"/>
      <c r="I18" s="93"/>
      <c r="J18" s="93"/>
      <c r="K18" s="93"/>
      <c r="L18" s="93"/>
      <c r="M18" s="93"/>
      <c r="N18" s="93"/>
      <c r="O18" s="93"/>
      <c r="P18" s="93"/>
      <c r="Q18" s="93"/>
      <c r="R18" s="93"/>
      <c r="S18" s="96"/>
      <c r="T18" s="2"/>
      <c r="U18" s="1791"/>
      <c r="V18" s="93"/>
      <c r="W18" s="2"/>
      <c r="X18" s="2"/>
      <c r="Y18" s="2"/>
      <c r="Z18" s="2"/>
      <c r="AA18" s="2"/>
      <c r="AB18" s="2"/>
      <c r="AC18" s="2"/>
      <c r="AD18" s="99"/>
      <c r="AE18" s="2"/>
      <c r="AF18" s="2"/>
      <c r="AG18" s="2"/>
      <c r="AH18" s="2"/>
      <c r="AI18" s="2"/>
      <c r="AJ18" s="2"/>
      <c r="AK18" s="2"/>
      <c r="AL18" s="2"/>
      <c r="AM18" s="2"/>
      <c r="AN18" s="2"/>
      <c r="AO18" s="1791"/>
      <c r="AP18" s="226" t="s">
        <v>260</v>
      </c>
      <c r="AQ18" s="395"/>
      <c r="AR18" s="395"/>
      <c r="AS18" s="396"/>
      <c r="AT18" s="397"/>
      <c r="AU18" s="397"/>
      <c r="AV18" s="397"/>
      <c r="AW18" s="397"/>
      <c r="AX18" s="397"/>
      <c r="AY18" s="396"/>
      <c r="AZ18" s="2296">
        <f>IF(AY14,AZ26,I27*(1+AZ17)^holding)</f>
        <v>330000</v>
      </c>
      <c r="BA18" s="2296"/>
      <c r="BB18" s="2296"/>
      <c r="BC18" s="2296"/>
      <c r="BD18" s="398" t="s">
        <v>289</v>
      </c>
      <c r="BE18" s="399"/>
      <c r="BF18" s="400"/>
      <c r="BG18" s="215"/>
      <c r="BH18" s="275"/>
      <c r="BJ18" s="8"/>
      <c r="BK18" s="2343" t="s">
        <v>240</v>
      </c>
      <c r="BL18" s="2344"/>
      <c r="BM18" s="2344"/>
      <c r="BN18" s="2344"/>
      <c r="BO18" s="2344"/>
      <c r="BP18" s="2344"/>
      <c r="BQ18" s="2344"/>
      <c r="BR18" s="2345"/>
      <c r="BS18" s="8"/>
    </row>
    <row r="19" spans="2:71" ht="15" customHeight="1" outlineLevel="1" x14ac:dyDescent="0.3">
      <c r="B19" s="89"/>
      <c r="C19" s="92" t="s">
        <v>60</v>
      </c>
      <c r="D19" s="92"/>
      <c r="E19" s="92"/>
      <c r="F19" s="92"/>
      <c r="G19" s="92"/>
      <c r="H19" s="92"/>
      <c r="I19" s="92"/>
      <c r="J19" s="92"/>
      <c r="K19" s="2297" t="s">
        <v>63</v>
      </c>
      <c r="L19" s="2298"/>
      <c r="M19" s="2298"/>
      <c r="N19" s="2298"/>
      <c r="O19" s="2298"/>
      <c r="P19" s="2298"/>
      <c r="Q19" s="2298"/>
      <c r="R19" s="2299"/>
      <c r="S19" s="96"/>
      <c r="T19" s="2"/>
      <c r="U19" s="1791"/>
      <c r="V19" s="2"/>
      <c r="W19" s="2"/>
      <c r="X19" s="2"/>
      <c r="Y19" s="2"/>
      <c r="Z19" s="2"/>
      <c r="AA19" s="2"/>
      <c r="AB19" s="2"/>
      <c r="AC19" s="2"/>
      <c r="AD19" s="2"/>
      <c r="AE19" s="2"/>
      <c r="AF19" s="2"/>
      <c r="AG19" s="2"/>
      <c r="AH19" s="2"/>
      <c r="AI19" s="2"/>
      <c r="AJ19" s="2"/>
      <c r="AK19" s="2"/>
      <c r="AL19" s="2"/>
      <c r="AM19" s="154"/>
      <c r="AN19" s="215"/>
      <c r="AO19" s="215"/>
      <c r="AP19" s="2"/>
      <c r="AQ19" s="2"/>
      <c r="AR19" s="2"/>
      <c r="AS19" s="2"/>
      <c r="AT19" s="2"/>
      <c r="AU19" s="2"/>
      <c r="AV19" s="2"/>
      <c r="AW19" s="2"/>
      <c r="AX19" s="2"/>
      <c r="AY19" s="2"/>
      <c r="AZ19" s="2"/>
      <c r="BA19" s="2"/>
      <c r="BB19" s="2"/>
      <c r="BC19" s="2"/>
      <c r="BD19" s="2"/>
      <c r="BE19" s="2"/>
      <c r="BF19" s="2"/>
      <c r="BG19" s="215"/>
      <c r="BH19" s="275"/>
      <c r="BJ19" s="8"/>
      <c r="BK19" s="9"/>
      <c r="BL19" s="9"/>
      <c r="BM19" s="9"/>
      <c r="BN19" s="9"/>
      <c r="BO19" s="9"/>
      <c r="BP19" s="9"/>
      <c r="BQ19" s="9"/>
      <c r="BR19" s="9"/>
      <c r="BS19" s="8"/>
    </row>
    <row r="20" spans="2:71" ht="15" customHeight="1" outlineLevel="1" x14ac:dyDescent="0.25">
      <c r="B20" s="89"/>
      <c r="C20" s="92" t="s">
        <v>4</v>
      </c>
      <c r="D20" s="92"/>
      <c r="E20" s="92"/>
      <c r="F20" s="92"/>
      <c r="G20" s="92"/>
      <c r="H20" s="92"/>
      <c r="I20" s="92"/>
      <c r="J20" s="92"/>
      <c r="K20" s="2310">
        <v>1420</v>
      </c>
      <c r="L20" s="2311"/>
      <c r="M20" s="2311"/>
      <c r="N20" s="2311"/>
      <c r="O20" s="2311"/>
      <c r="P20" s="2311"/>
      <c r="Q20" s="2311"/>
      <c r="R20" s="2312"/>
      <c r="S20" s="96"/>
      <c r="T20" s="2"/>
      <c r="U20" s="1791"/>
      <c r="V20" s="97"/>
      <c r="W20" s="2"/>
      <c r="X20" s="2"/>
      <c r="Y20" s="2"/>
      <c r="Z20" s="2"/>
      <c r="AA20" s="2"/>
      <c r="AB20" s="2"/>
      <c r="AC20" s="2"/>
      <c r="AD20" s="2"/>
      <c r="AE20" s="2"/>
      <c r="AF20" s="2"/>
      <c r="AG20" s="2"/>
      <c r="AH20" s="2"/>
      <c r="AI20" s="2"/>
      <c r="AJ20" s="215"/>
      <c r="AK20" s="215"/>
      <c r="AL20" s="215"/>
      <c r="AM20" s="215"/>
      <c r="AN20" s="215"/>
      <c r="AO20" s="215"/>
      <c r="AP20" s="223" t="s">
        <v>237</v>
      </c>
      <c r="AQ20" s="93"/>
      <c r="AR20" s="93"/>
      <c r="AS20" s="89"/>
      <c r="AT20" s="2"/>
      <c r="AU20" s="2"/>
      <c r="AV20" s="2"/>
      <c r="AW20" s="2"/>
      <c r="AX20" s="2"/>
      <c r="AY20" s="89"/>
      <c r="AZ20" s="9"/>
      <c r="BA20" s="215"/>
      <c r="BB20" s="215"/>
      <c r="BC20" s="215"/>
      <c r="BD20" s="215"/>
      <c r="BE20" s="215"/>
      <c r="BF20" s="215"/>
      <c r="BG20" s="215"/>
      <c r="BH20" s="275"/>
      <c r="BJ20" s="89"/>
      <c r="BK20" s="1798" t="s">
        <v>1149</v>
      </c>
      <c r="BL20" s="446" t="s">
        <v>373</v>
      </c>
      <c r="BM20" s="447"/>
      <c r="BN20" s="447"/>
      <c r="BO20" s="447"/>
      <c r="BP20" s="447"/>
      <c r="BQ20" s="447"/>
      <c r="BR20" s="448"/>
      <c r="BS20" s="89"/>
    </row>
    <row r="21" spans="2:71" ht="15" customHeight="1" outlineLevel="1" x14ac:dyDescent="0.25">
      <c r="B21" s="89"/>
      <c r="C21" s="92" t="s">
        <v>127</v>
      </c>
      <c r="D21" s="92"/>
      <c r="E21" s="92"/>
      <c r="F21" s="92"/>
      <c r="G21" s="92"/>
      <c r="H21" s="92"/>
      <c r="I21" s="92"/>
      <c r="J21" s="92"/>
      <c r="K21" s="2330">
        <v>3</v>
      </c>
      <c r="L21" s="2331"/>
      <c r="M21" s="2331"/>
      <c r="N21" s="2331"/>
      <c r="O21" s="2331"/>
      <c r="P21" s="2331"/>
      <c r="Q21" s="2331"/>
      <c r="R21" s="2332"/>
      <c r="S21" s="96"/>
      <c r="T21" s="2"/>
      <c r="U21" s="1791" t="s">
        <v>1149</v>
      </c>
      <c r="V21" s="92" t="s">
        <v>287</v>
      </c>
      <c r="W21" s="2"/>
      <c r="X21" s="2"/>
      <c r="Y21" s="2"/>
      <c r="Z21" s="2"/>
      <c r="AA21" s="2"/>
      <c r="AB21" s="2"/>
      <c r="AC21" s="2"/>
      <c r="AD21" s="2"/>
      <c r="AE21" s="2102">
        <f>'FINANCIAL STATEMENT'!C63</f>
        <v>330000</v>
      </c>
      <c r="AF21" s="2103"/>
      <c r="AG21" s="2103"/>
      <c r="AH21" s="2103"/>
      <c r="AI21" s="2104"/>
      <c r="AJ21" s="215"/>
      <c r="AK21" s="215"/>
      <c r="AL21" s="215"/>
      <c r="AM21" s="215"/>
      <c r="AN21" s="215"/>
      <c r="AO21" s="215"/>
      <c r="AP21" s="206" t="s">
        <v>290</v>
      </c>
      <c r="AQ21" s="211"/>
      <c r="AR21" s="211"/>
      <c r="AS21" s="220"/>
      <c r="AT21" s="211"/>
      <c r="AU21" s="211"/>
      <c r="AV21" s="211"/>
      <c r="AW21" s="211"/>
      <c r="AX21" s="211"/>
      <c r="AY21" s="211"/>
      <c r="AZ21" s="2293"/>
      <c r="BA21" s="2294"/>
      <c r="BB21" s="2294"/>
      <c r="BC21" s="2295"/>
      <c r="BD21" s="221"/>
      <c r="BE21" s="213"/>
      <c r="BF21" s="214"/>
      <c r="BG21" s="215"/>
      <c r="BH21" s="275"/>
      <c r="BJ21" s="89"/>
      <c r="BK21" s="2"/>
      <c r="BL21" s="2"/>
      <c r="BM21" s="2"/>
      <c r="BN21" s="2"/>
      <c r="BO21" s="2"/>
      <c r="BP21" s="2"/>
      <c r="BQ21" s="2"/>
      <c r="BR21" s="2"/>
      <c r="BS21" s="89"/>
    </row>
    <row r="22" spans="2:71" ht="15" customHeight="1" outlineLevel="1" x14ac:dyDescent="0.25">
      <c r="B22" s="89"/>
      <c r="C22" s="92" t="s">
        <v>128</v>
      </c>
      <c r="D22" s="92"/>
      <c r="E22" s="92"/>
      <c r="F22" s="92"/>
      <c r="G22" s="92"/>
      <c r="H22" s="92"/>
      <c r="I22" s="92"/>
      <c r="J22" s="92"/>
      <c r="K22" s="2330">
        <v>3</v>
      </c>
      <c r="L22" s="2331"/>
      <c r="M22" s="2331"/>
      <c r="N22" s="2331"/>
      <c r="O22" s="2331"/>
      <c r="P22" s="2331"/>
      <c r="Q22" s="2331"/>
      <c r="R22" s="2332"/>
      <c r="S22" s="96"/>
      <c r="T22" s="2"/>
      <c r="U22" s="1791"/>
      <c r="V22" s="93"/>
      <c r="W22" s="2"/>
      <c r="X22" s="2"/>
      <c r="Y22" s="2"/>
      <c r="Z22" s="2"/>
      <c r="AA22" s="2"/>
      <c r="AB22" s="2"/>
      <c r="AC22" s="2"/>
      <c r="AD22" s="93"/>
      <c r="AE22" s="2"/>
      <c r="AF22" s="2"/>
      <c r="AG22" s="2"/>
      <c r="AH22" s="2"/>
      <c r="AI22" s="2"/>
      <c r="AJ22" s="215"/>
      <c r="AK22" s="215"/>
      <c r="AL22" s="215"/>
      <c r="AM22" s="215"/>
      <c r="AN22" s="215"/>
      <c r="AO22" s="215"/>
      <c r="AP22" s="208" t="str">
        <f>"Exit NOI ("&amp;YEAR(sale_date)&amp;") :"</f>
        <v>Exit NOI (2025) :</v>
      </c>
      <c r="AQ22" s="216"/>
      <c r="AR22" s="216"/>
      <c r="AS22" s="222"/>
      <c r="AT22" s="216"/>
      <c r="AU22" s="216"/>
      <c r="AV22" s="216"/>
      <c r="AW22" s="216"/>
      <c r="AX22" s="216"/>
      <c r="AY22" s="216"/>
      <c r="AZ22" s="2292">
        <f>IFERROR(INDEX(FORECASTS!E71:AH71,$D$28),0)</f>
        <v>0</v>
      </c>
      <c r="BA22" s="2292"/>
      <c r="BB22" s="2292"/>
      <c r="BC22" s="2292"/>
      <c r="BD22" s="232"/>
      <c r="BE22" s="218"/>
      <c r="BF22" s="219"/>
      <c r="BG22" s="215"/>
      <c r="BH22" s="275"/>
    </row>
    <row r="23" spans="2:71" ht="15" customHeight="1" outlineLevel="1" x14ac:dyDescent="0.25">
      <c r="B23" s="89"/>
      <c r="C23" s="92" t="s">
        <v>67</v>
      </c>
      <c r="D23" s="92"/>
      <c r="E23" s="92"/>
      <c r="F23" s="92"/>
      <c r="G23" s="92"/>
      <c r="H23" s="92"/>
      <c r="I23" s="92"/>
      <c r="J23" s="92"/>
      <c r="K23" s="2443">
        <v>2008</v>
      </c>
      <c r="L23" s="2444"/>
      <c r="M23" s="2444"/>
      <c r="N23" s="2444"/>
      <c r="O23" s="2444"/>
      <c r="P23" s="2444"/>
      <c r="Q23" s="2444"/>
      <c r="R23" s="2445"/>
      <c r="S23" s="96"/>
      <c r="T23" s="2"/>
      <c r="U23" s="1791"/>
      <c r="V23" s="499">
        <v>3</v>
      </c>
      <c r="W23" s="499" t="s">
        <v>277</v>
      </c>
      <c r="X23" s="500"/>
      <c r="Y23" s="500"/>
      <c r="Z23" s="500"/>
      <c r="AA23" s="2041"/>
      <c r="AB23" s="2040"/>
      <c r="AC23" s="500"/>
      <c r="AD23" s="500"/>
      <c r="AE23" s="500"/>
      <c r="AF23" s="500"/>
      <c r="AG23" s="500"/>
      <c r="AH23" s="500"/>
      <c r="AI23" s="500"/>
      <c r="AJ23" s="500"/>
      <c r="AK23" s="501"/>
      <c r="AL23" s="501"/>
      <c r="AM23" s="215"/>
      <c r="AN23" s="215"/>
      <c r="AO23" s="215"/>
      <c r="AP23" s="226" t="s">
        <v>260</v>
      </c>
      <c r="AQ23" s="395"/>
      <c r="AR23" s="395"/>
      <c r="AS23" s="396"/>
      <c r="AT23" s="397"/>
      <c r="AU23" s="397"/>
      <c r="AV23" s="397"/>
      <c r="AW23" s="397"/>
      <c r="AX23" s="397"/>
      <c r="AY23" s="396"/>
      <c r="AZ23" s="2296">
        <f>IFERROR(AZ22/AZ21,0)</f>
        <v>0</v>
      </c>
      <c r="BA23" s="2296"/>
      <c r="BB23" s="2296"/>
      <c r="BC23" s="2296"/>
      <c r="BD23" s="398" t="s">
        <v>289</v>
      </c>
      <c r="BE23" s="399"/>
      <c r="BF23" s="400"/>
      <c r="BG23" s="215"/>
      <c r="BH23" s="275"/>
    </row>
    <row r="24" spans="2:71" ht="15" customHeight="1" outlineLevel="1" x14ac:dyDescent="0.25">
      <c r="B24" s="89"/>
      <c r="C24" s="92" t="s">
        <v>202</v>
      </c>
      <c r="D24" s="92"/>
      <c r="E24" s="92"/>
      <c r="F24" s="92"/>
      <c r="G24" s="92"/>
      <c r="H24" s="92"/>
      <c r="I24" s="92"/>
      <c r="J24" s="92"/>
      <c r="K24" s="2443">
        <v>2018</v>
      </c>
      <c r="L24" s="2444"/>
      <c r="M24" s="2444"/>
      <c r="N24" s="2444"/>
      <c r="O24" s="2444"/>
      <c r="P24" s="2444"/>
      <c r="Q24" s="2444"/>
      <c r="R24" s="2445"/>
      <c r="S24" s="96"/>
      <c r="T24" s="2"/>
      <c r="U24" s="1791"/>
      <c r="V24" s="2"/>
      <c r="W24" s="2"/>
      <c r="X24" s="2"/>
      <c r="Y24" s="2"/>
      <c r="Z24" s="2"/>
      <c r="AA24" s="2"/>
      <c r="AB24" s="2"/>
      <c r="AC24" s="2"/>
      <c r="AD24" s="2"/>
      <c r="AE24" s="2"/>
      <c r="AF24" s="2"/>
      <c r="AG24" s="2"/>
      <c r="AH24" s="2"/>
      <c r="AI24" s="2"/>
      <c r="AJ24" s="215"/>
      <c r="AK24" s="215"/>
      <c r="AL24" s="215"/>
      <c r="AM24" s="215"/>
      <c r="AN24" s="215"/>
      <c r="AO24" s="215"/>
      <c r="AP24" s="2"/>
      <c r="AQ24" s="2"/>
      <c r="AR24" s="2"/>
      <c r="AS24" s="2"/>
      <c r="AT24" s="2"/>
      <c r="AU24" s="2"/>
      <c r="AV24" s="2"/>
      <c r="AW24" s="2"/>
      <c r="AX24" s="2"/>
      <c r="AY24" s="2"/>
      <c r="AZ24" s="2"/>
      <c r="BA24" s="2"/>
      <c r="BB24" s="2"/>
      <c r="BC24" s="2"/>
      <c r="BD24" s="2"/>
      <c r="BE24" s="2"/>
      <c r="BF24" s="2"/>
      <c r="BG24" s="215"/>
      <c r="BH24" s="275"/>
    </row>
    <row r="25" spans="2:71" ht="15" customHeight="1" outlineLevel="1" x14ac:dyDescent="0.25">
      <c r="B25" s="89"/>
      <c r="C25" s="92" t="s">
        <v>256</v>
      </c>
      <c r="D25" s="2"/>
      <c r="E25" s="2"/>
      <c r="F25" s="2"/>
      <c r="G25" s="2"/>
      <c r="H25" s="2"/>
      <c r="I25" s="2"/>
      <c r="J25" s="2"/>
      <c r="K25" s="2443"/>
      <c r="L25" s="2444"/>
      <c r="M25" s="2444"/>
      <c r="N25" s="2444"/>
      <c r="O25" s="2444"/>
      <c r="P25" s="2444"/>
      <c r="Q25" s="2444"/>
      <c r="R25" s="2445"/>
      <c r="S25" s="96"/>
      <c r="T25" s="92"/>
      <c r="U25" s="1791" t="s">
        <v>1149</v>
      </c>
      <c r="V25" s="92" t="s">
        <v>262</v>
      </c>
      <c r="W25" s="2"/>
      <c r="X25" s="2"/>
      <c r="Y25" s="2"/>
      <c r="Z25" s="2"/>
      <c r="AA25" s="2"/>
      <c r="AB25" s="2"/>
      <c r="AC25" s="2"/>
      <c r="AD25" s="2"/>
      <c r="AE25" s="2301">
        <v>45870</v>
      </c>
      <c r="AF25" s="2302"/>
      <c r="AG25" s="2302"/>
      <c r="AH25" s="2302"/>
      <c r="AI25" s="2303"/>
      <c r="AJ25" s="2"/>
      <c r="AK25" s="2"/>
      <c r="AL25" s="2"/>
      <c r="AM25" s="215"/>
      <c r="AN25" s="215"/>
      <c r="AO25" s="215"/>
      <c r="AP25" s="236" t="s">
        <v>261</v>
      </c>
      <c r="AQ25" s="2"/>
      <c r="AR25" s="2"/>
      <c r="AS25" s="2"/>
      <c r="AT25" s="2"/>
      <c r="AU25" s="2"/>
      <c r="AV25" s="2"/>
      <c r="AW25" s="2"/>
      <c r="AX25" s="2"/>
      <c r="AY25" s="2"/>
      <c r="AZ25" s="2"/>
      <c r="BA25" s="2"/>
      <c r="BB25" s="2"/>
      <c r="BC25" s="2"/>
      <c r="BD25" s="2"/>
      <c r="BE25" s="2"/>
      <c r="BF25" s="2"/>
      <c r="BG25" s="215"/>
      <c r="BH25" s="275"/>
    </row>
    <row r="26" spans="2:71" ht="15" customHeight="1" outlineLevel="1" x14ac:dyDescent="0.25">
      <c r="B26" s="487"/>
      <c r="C26" s="488"/>
      <c r="D26" s="215"/>
      <c r="E26" s="215"/>
      <c r="F26" s="215"/>
      <c r="G26" s="215"/>
      <c r="H26" s="215"/>
      <c r="I26" s="215"/>
      <c r="J26" s="215"/>
      <c r="K26" s="215"/>
      <c r="L26" s="215"/>
      <c r="M26" s="215"/>
      <c r="N26" s="215"/>
      <c r="O26" s="215"/>
      <c r="P26" s="215"/>
      <c r="Q26" s="215"/>
      <c r="R26" s="215"/>
      <c r="S26" s="489"/>
      <c r="T26" s="488"/>
      <c r="U26" s="1791" t="s">
        <v>1149</v>
      </c>
      <c r="V26" s="92" t="s">
        <v>375</v>
      </c>
      <c r="W26" s="2"/>
      <c r="X26" s="2"/>
      <c r="Y26" s="2"/>
      <c r="Z26" s="2"/>
      <c r="AA26" s="2"/>
      <c r="AB26" s="2"/>
      <c r="AC26" s="2"/>
      <c r="AD26" s="2"/>
      <c r="AE26" s="2105">
        <v>30</v>
      </c>
      <c r="AF26" s="2106"/>
      <c r="AG26" s="2106"/>
      <c r="AH26" s="2106"/>
      <c r="AI26" s="2107"/>
      <c r="AJ26" s="215"/>
      <c r="AK26" s="215"/>
      <c r="AL26" s="215"/>
      <c r="AM26" s="215"/>
      <c r="AN26" s="215"/>
      <c r="AO26" s="215"/>
      <c r="AP26" s="206" t="s">
        <v>259</v>
      </c>
      <c r="AQ26" s="211"/>
      <c r="AR26" s="211"/>
      <c r="AS26" s="220"/>
      <c r="AT26" s="211"/>
      <c r="AU26" s="211"/>
      <c r="AV26" s="211"/>
      <c r="AW26" s="211"/>
      <c r="AX26" s="211"/>
      <c r="AY26" s="211"/>
      <c r="AZ26" s="2403">
        <f>IFERROR(SUMIF(FORECASTS!E5:AI5,2,FORECASTS!E122:AI122),0)</f>
        <v>347250.41095890407</v>
      </c>
      <c r="BA26" s="2403"/>
      <c r="BB26" s="2403"/>
      <c r="BC26" s="2403"/>
      <c r="BD26" s="486"/>
      <c r="BE26" s="213"/>
      <c r="BF26" s="214"/>
      <c r="BG26" s="215"/>
      <c r="BH26" s="275"/>
    </row>
    <row r="27" spans="2:71" ht="15" customHeight="1" x14ac:dyDescent="0.25">
      <c r="B27" s="487"/>
      <c r="C27" s="488"/>
      <c r="D27" s="2319">
        <v>116000</v>
      </c>
      <c r="E27" s="2320"/>
      <c r="F27" s="2320"/>
      <c r="G27" s="2320"/>
      <c r="H27" s="2321"/>
      <c r="I27" s="2328">
        <f>ARV_input</f>
        <v>330000</v>
      </c>
      <c r="J27" s="2328"/>
      <c r="K27" s="2328"/>
      <c r="L27" s="2328"/>
      <c r="M27" s="2329"/>
      <c r="N27" s="215"/>
      <c r="O27" s="215"/>
      <c r="P27" s="215"/>
      <c r="Q27" s="215"/>
      <c r="R27" s="215"/>
      <c r="S27" s="489"/>
      <c r="T27" s="488"/>
      <c r="U27" s="1791" t="s">
        <v>1149</v>
      </c>
      <c r="V27" s="97" t="s">
        <v>758</v>
      </c>
      <c r="W27" s="790"/>
      <c r="X27" s="790"/>
      <c r="Y27" s="790"/>
      <c r="Z27" s="790"/>
      <c r="AA27" s="790"/>
      <c r="AB27" s="790"/>
      <c r="AC27" s="790"/>
      <c r="AD27" s="790"/>
      <c r="AE27" s="2446">
        <f>IF(sale_date=0,"",sale_date-1)</f>
        <v>45869</v>
      </c>
      <c r="AF27" s="2446"/>
      <c r="AG27" s="2446"/>
      <c r="AH27" s="2446"/>
      <c r="AI27" s="2446"/>
      <c r="AJ27" s="215"/>
      <c r="AK27" s="215"/>
      <c r="AL27" s="215"/>
      <c r="AM27" s="215"/>
      <c r="AN27" s="215"/>
      <c r="AO27" s="215"/>
      <c r="AP27" s="208" t="s">
        <v>22</v>
      </c>
      <c r="AQ27" s="216"/>
      <c r="AR27" s="216"/>
      <c r="AS27" s="222"/>
      <c r="AT27" s="216"/>
      <c r="AU27" s="216"/>
      <c r="AV27" s="216"/>
      <c r="AW27" s="216"/>
      <c r="AX27" s="216"/>
      <c r="AY27" s="216"/>
      <c r="AZ27" s="2313">
        <f>IFERROR(-BD27*AZ26,0)</f>
        <v>0</v>
      </c>
      <c r="BA27" s="2313"/>
      <c r="BB27" s="2313"/>
      <c r="BC27" s="2313"/>
      <c r="BD27" s="2459"/>
      <c r="BE27" s="2460"/>
      <c r="BF27" s="2461"/>
      <c r="BG27" s="215"/>
      <c r="BH27" s="275"/>
    </row>
    <row r="28" spans="2:71" ht="15" customHeight="1" x14ac:dyDescent="0.25">
      <c r="B28" s="487"/>
      <c r="C28" s="488"/>
      <c r="D28" s="2447"/>
      <c r="E28" s="2448"/>
      <c r="F28" s="2448"/>
      <c r="G28" s="2448"/>
      <c r="H28" s="2449"/>
      <c r="I28" s="1561"/>
      <c r="J28" s="1561"/>
      <c r="K28" s="1561"/>
      <c r="L28" s="1561"/>
      <c r="M28" s="1561"/>
      <c r="N28" s="215"/>
      <c r="O28" s="215"/>
      <c r="P28" s="215"/>
      <c r="Q28" s="215"/>
      <c r="R28" s="215"/>
      <c r="S28" s="489"/>
      <c r="T28" s="488"/>
      <c r="U28" s="1791" t="s">
        <v>1149</v>
      </c>
      <c r="V28" s="92" t="s">
        <v>335</v>
      </c>
      <c r="W28" s="2"/>
      <c r="X28" s="2"/>
      <c r="Y28" s="2"/>
      <c r="Z28" s="2"/>
      <c r="AA28" s="2"/>
      <c r="AB28" s="2"/>
      <c r="AC28" s="2"/>
      <c r="AD28" s="2"/>
      <c r="AE28" s="2404" t="str">
        <f>IFERROR(FORECASTS!C195,"Not Applicable")</f>
        <v>n.a</v>
      </c>
      <c r="AF28" s="2404"/>
      <c r="AG28" s="2404"/>
      <c r="AH28" s="2404"/>
      <c r="AI28" s="2404"/>
      <c r="AJ28" s="2"/>
      <c r="AK28" s="215"/>
      <c r="AL28" s="2"/>
      <c r="AM28" s="215"/>
      <c r="AN28" s="215"/>
      <c r="AO28" s="215"/>
      <c r="AP28" s="226" t="s">
        <v>21</v>
      </c>
      <c r="AQ28" s="227"/>
      <c r="AR28" s="228"/>
      <c r="AS28" s="229"/>
      <c r="AT28" s="227"/>
      <c r="AU28" s="227"/>
      <c r="AV28" s="227"/>
      <c r="AW28" s="227"/>
      <c r="AX28" s="227"/>
      <c r="AY28" s="229"/>
      <c r="AZ28" s="2467">
        <f>AZ26+AZ27</f>
        <v>347250.41095890407</v>
      </c>
      <c r="BA28" s="2467"/>
      <c r="BB28" s="2467"/>
      <c r="BC28" s="2467"/>
      <c r="BD28" s="230"/>
      <c r="BE28" s="230"/>
      <c r="BF28" s="231"/>
      <c r="BG28" s="215"/>
      <c r="BH28" s="275"/>
    </row>
    <row r="29" spans="2:71" ht="15" customHeight="1" x14ac:dyDescent="0.25">
      <c r="B29" s="277"/>
      <c r="C29" s="277"/>
      <c r="D29" s="277"/>
      <c r="E29" s="277"/>
      <c r="F29" s="277"/>
      <c r="G29" s="277"/>
      <c r="H29" s="277"/>
      <c r="I29" s="277"/>
      <c r="J29" s="277"/>
      <c r="K29" s="277"/>
      <c r="L29" s="277"/>
      <c r="M29" s="277"/>
      <c r="N29" s="277"/>
      <c r="O29" s="277"/>
      <c r="P29" s="277"/>
      <c r="Q29" s="277"/>
      <c r="R29" s="277"/>
      <c r="S29" s="277"/>
      <c r="T29" s="277"/>
      <c r="U29" s="9"/>
      <c r="V29" s="9"/>
      <c r="W29" s="9"/>
      <c r="X29" s="9"/>
      <c r="Y29" s="9"/>
      <c r="Z29" s="9"/>
      <c r="AA29" s="9"/>
      <c r="AB29" s="9"/>
      <c r="AC29" s="9"/>
      <c r="AD29" s="9"/>
      <c r="AE29" s="2309">
        <f>EDATE(AE25,D28*12)</f>
        <v>45870</v>
      </c>
      <c r="AF29" s="2309"/>
      <c r="AG29" s="2309"/>
      <c r="AH29" s="2309"/>
      <c r="AI29" s="2309"/>
      <c r="AJ29" s="277"/>
      <c r="AK29" s="277"/>
      <c r="AL29" s="277"/>
      <c r="AM29" s="277"/>
      <c r="AN29" s="2010" t="s">
        <v>2629</v>
      </c>
      <c r="AO29" s="2009"/>
      <c r="AP29" s="2009"/>
      <c r="AQ29" s="277"/>
      <c r="AR29" s="277"/>
      <c r="AS29" s="277"/>
      <c r="AT29" s="277"/>
      <c r="AU29" s="277"/>
      <c r="AV29" s="277"/>
      <c r="AW29" s="277"/>
      <c r="AX29" s="277"/>
      <c r="AY29" s="277"/>
      <c r="AZ29" s="277"/>
      <c r="BA29" s="277"/>
      <c r="BB29" s="277"/>
      <c r="BC29" s="277"/>
      <c r="BD29" s="2101">
        <f>'BOOK KEEPING LEDGER'!I17</f>
        <v>330000</v>
      </c>
      <c r="BE29" s="2101"/>
      <c r="BF29" s="2101"/>
      <c r="BG29" s="2101"/>
      <c r="BH29" s="275"/>
    </row>
    <row r="30" spans="2:71" ht="15" customHeight="1" outlineLevel="1" x14ac:dyDescent="0.25"/>
    <row r="31" spans="2:71" ht="15" customHeight="1" outlineLevel="1" x14ac:dyDescent="0.25"/>
    <row r="32" spans="2:71" ht="15" customHeight="1" outlineLevel="1" x14ac:dyDescent="0.25">
      <c r="B32" s="521" t="s">
        <v>620</v>
      </c>
      <c r="C32" s="598"/>
      <c r="D32" s="598"/>
      <c r="E32" s="598"/>
      <c r="F32" s="598"/>
      <c r="G32" s="598"/>
      <c r="H32" s="598"/>
      <c r="I32" s="598"/>
      <c r="J32" s="598"/>
      <c r="K32" s="598"/>
      <c r="L32" s="598"/>
      <c r="M32" s="598"/>
      <c r="N32" s="598"/>
      <c r="O32" s="598"/>
      <c r="P32" s="598"/>
      <c r="Q32" s="598"/>
      <c r="R32" s="598"/>
      <c r="S32" s="598"/>
      <c r="T32" s="598"/>
      <c r="U32" s="598"/>
      <c r="V32" s="598"/>
      <c r="W32" s="598"/>
      <c r="X32" s="598"/>
      <c r="Y32" s="598"/>
      <c r="Z32" s="598"/>
      <c r="AA32" s="598"/>
      <c r="AB32" s="598"/>
      <c r="AC32" s="598"/>
      <c r="AD32" s="598"/>
      <c r="AE32" s="598"/>
      <c r="AF32" s="598"/>
      <c r="AG32" s="598"/>
      <c r="AH32" s="598"/>
      <c r="AI32" s="598"/>
      <c r="AJ32" s="598"/>
      <c r="AK32" s="598"/>
      <c r="AL32" s="598"/>
      <c r="AM32" s="598"/>
      <c r="AN32" s="598"/>
      <c r="AO32" s="598"/>
      <c r="AP32" s="598"/>
      <c r="AQ32" s="598"/>
      <c r="AR32" s="598"/>
      <c r="AS32" s="598"/>
      <c r="AT32" s="598"/>
      <c r="AU32" s="598"/>
      <c r="AV32" s="598"/>
      <c r="AW32" s="598"/>
      <c r="AX32" s="598"/>
      <c r="AY32" s="598"/>
      <c r="AZ32" s="598"/>
      <c r="BA32" s="598"/>
      <c r="BB32" s="598"/>
      <c r="BC32" s="598"/>
      <c r="BD32" s="598"/>
      <c r="BE32" s="598"/>
      <c r="BF32" s="598"/>
      <c r="BG32" s="598"/>
    </row>
    <row r="33" spans="2:59" ht="15" customHeight="1" outlineLevel="1" x14ac:dyDescent="0.25">
      <c r="B33" s="8"/>
      <c r="C33" s="8"/>
      <c r="D33" s="8"/>
      <c r="E33" s="8"/>
      <c r="F33" s="8"/>
      <c r="G33" s="8"/>
      <c r="H33" s="8"/>
      <c r="I33" s="8"/>
      <c r="J33" s="8"/>
      <c r="K33" s="8"/>
      <c r="L33" s="8"/>
      <c r="M33" s="8"/>
      <c r="N33" s="8"/>
      <c r="O33" s="8"/>
      <c r="P33" s="8"/>
      <c r="Q33" s="8"/>
      <c r="R33" s="27"/>
      <c r="S33" s="27"/>
      <c r="T33" s="27"/>
      <c r="U33" s="27"/>
      <c r="V33" s="27"/>
      <c r="W33" s="27"/>
      <c r="X33" s="27"/>
      <c r="Y33" s="27"/>
      <c r="Z33" s="27"/>
      <c r="AA33" s="8"/>
      <c r="AB33" s="8"/>
      <c r="AC33" s="8"/>
      <c r="AD33" s="8"/>
      <c r="AE33" s="8"/>
      <c r="AF33" s="9"/>
      <c r="AG33" s="9"/>
      <c r="AH33" s="277"/>
      <c r="AI33" s="277"/>
      <c r="AJ33" s="277"/>
      <c r="AK33" s="277"/>
      <c r="AL33" s="277"/>
      <c r="AM33" s="277"/>
      <c r="AN33" s="277"/>
      <c r="AO33" s="277"/>
      <c r="AP33" s="277"/>
      <c r="AQ33" s="277"/>
      <c r="AR33" s="277"/>
      <c r="AS33" s="277"/>
      <c r="AT33" s="277"/>
      <c r="AU33" s="277"/>
      <c r="AV33" s="277"/>
      <c r="AW33" s="277"/>
      <c r="AX33" s="277"/>
      <c r="AY33" s="277"/>
      <c r="AZ33" s="277"/>
      <c r="BA33" s="277"/>
      <c r="BB33" s="277"/>
      <c r="BC33" s="277"/>
      <c r="BD33" s="277"/>
      <c r="BE33" s="277"/>
      <c r="BF33" s="277"/>
      <c r="BG33" s="277"/>
    </row>
    <row r="34" spans="2:59" ht="15" customHeight="1" outlineLevel="1" x14ac:dyDescent="0.25">
      <c r="B34" s="9"/>
      <c r="C34" s="9"/>
      <c r="D34" s="9"/>
      <c r="E34" s="9"/>
      <c r="F34" s="9"/>
      <c r="G34" s="9"/>
      <c r="H34" s="9"/>
      <c r="I34" s="9"/>
      <c r="J34" s="9"/>
      <c r="K34" s="9"/>
      <c r="L34" s="9"/>
      <c r="M34" s="9"/>
      <c r="N34" s="9"/>
      <c r="O34" s="9"/>
      <c r="P34" s="9"/>
      <c r="Q34" s="9"/>
      <c r="R34" s="198"/>
      <c r="S34" s="198"/>
      <c r="T34" s="198"/>
      <c r="U34" s="2145" t="s">
        <v>599</v>
      </c>
      <c r="V34" s="2146"/>
      <c r="W34" s="2146"/>
      <c r="X34" s="2146"/>
      <c r="Y34" s="2146"/>
      <c r="Z34" s="2146"/>
      <c r="AA34" s="2146"/>
      <c r="AB34" s="2147"/>
      <c r="AC34" s="2148" t="s">
        <v>601</v>
      </c>
      <c r="AD34" s="2149"/>
      <c r="AE34" s="2149"/>
      <c r="AF34" s="2149"/>
      <c r="AG34" s="2149"/>
      <c r="AH34" s="2149"/>
      <c r="AI34" s="2149"/>
      <c r="AJ34" s="2150"/>
      <c r="AK34" s="1686">
        <f>MATCH(AC34,HIDE5!$N$3:$N$6,0)</f>
        <v>1</v>
      </c>
      <c r="AL34" s="502" t="str">
        <f>CHOOSE(MATCH(AC34,HIDE5!$N$3:$N$6,0),"Enter your repair details in the Repairs tab","Enter your repair assumptions below","Enter your % of Purchase Price below","Enter your $ amount below")</f>
        <v>Enter your repair details in the Repairs tab</v>
      </c>
      <c r="AM34" s="9"/>
      <c r="AN34" s="9"/>
      <c r="AO34" s="9"/>
      <c r="AP34" s="9"/>
      <c r="AQ34" s="9"/>
      <c r="AR34" s="9"/>
      <c r="AS34" s="9"/>
      <c r="AT34" s="9"/>
      <c r="AU34" s="9"/>
      <c r="AV34" s="9"/>
      <c r="AW34" s="9"/>
      <c r="AX34" s="9"/>
      <c r="AY34" s="9"/>
      <c r="AZ34" s="9"/>
      <c r="BA34" s="9"/>
      <c r="BB34" s="9"/>
      <c r="BC34" s="9"/>
      <c r="BD34" s="9"/>
      <c r="BE34" s="9"/>
      <c r="BF34" s="9"/>
      <c r="BG34" s="9"/>
    </row>
    <row r="35" spans="2:59" ht="15" customHeight="1" outlineLevel="1" x14ac:dyDescent="0.25">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row>
    <row r="36" spans="2:59" ht="15" customHeight="1" outlineLevel="1" x14ac:dyDescent="0.25">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502"/>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row>
    <row r="37" spans="2:59" ht="15" customHeight="1" outlineLevel="1" x14ac:dyDescent="0.25">
      <c r="B37" s="9"/>
      <c r="C37" s="2274" t="s">
        <v>615</v>
      </c>
      <c r="D37" s="2275"/>
      <c r="E37" s="505" t="s">
        <v>601</v>
      </c>
      <c r="F37" s="506"/>
      <c r="G37" s="506"/>
      <c r="H37" s="506"/>
      <c r="I37" s="506"/>
      <c r="J37" s="506"/>
      <c r="K37" s="506"/>
      <c r="L37" s="506"/>
      <c r="M37" s="506"/>
      <c r="N37" s="506"/>
      <c r="O37" s="1792" t="s">
        <v>1149</v>
      </c>
      <c r="P37" s="2"/>
      <c r="Q37" s="2"/>
      <c r="R37" s="2274" t="s">
        <v>619</v>
      </c>
      <c r="S37" s="2275"/>
      <c r="T37" s="505" t="s">
        <v>602</v>
      </c>
      <c r="U37" s="506"/>
      <c r="V37" s="506"/>
      <c r="W37" s="506"/>
      <c r="X37" s="506"/>
      <c r="Y37" s="506"/>
      <c r="Z37" s="506"/>
      <c r="AA37" s="506"/>
      <c r="AB37" s="506"/>
      <c r="AC37" s="506"/>
      <c r="AD37" s="1792" t="s">
        <v>1149</v>
      </c>
      <c r="AE37" s="2"/>
      <c r="AF37" s="2"/>
      <c r="AG37" s="2274" t="s">
        <v>619</v>
      </c>
      <c r="AH37" s="2275"/>
      <c r="AI37" s="505" t="s">
        <v>686</v>
      </c>
      <c r="AJ37" s="506"/>
      <c r="AK37" s="506"/>
      <c r="AL37" s="506"/>
      <c r="AM37" s="506"/>
      <c r="AN37" s="506"/>
      <c r="AO37" s="506"/>
      <c r="AP37" s="506"/>
      <c r="AQ37" s="506"/>
      <c r="AR37" s="1792" t="s">
        <v>1149</v>
      </c>
      <c r="AS37" s="2"/>
      <c r="AT37" s="2"/>
      <c r="AU37" s="2274" t="s">
        <v>619</v>
      </c>
      <c r="AV37" s="2275"/>
      <c r="AW37" s="505" t="s">
        <v>603</v>
      </c>
      <c r="AX37" s="506"/>
      <c r="AY37" s="506"/>
      <c r="AZ37" s="506"/>
      <c r="BA37" s="506"/>
      <c r="BB37" s="506"/>
      <c r="BC37" s="506"/>
      <c r="BD37" s="506"/>
      <c r="BE37" s="1792" t="s">
        <v>1149</v>
      </c>
      <c r="BF37" s="9"/>
      <c r="BG37" s="9"/>
    </row>
    <row r="38" spans="2:59" ht="15" customHeight="1" outlineLevel="1" x14ac:dyDescent="0.25">
      <c r="B38" s="9"/>
      <c r="C38" s="507"/>
      <c r="D38" s="2"/>
      <c r="E38" s="2"/>
      <c r="F38" s="2"/>
      <c r="G38" s="2"/>
      <c r="H38" s="2"/>
      <c r="I38" s="2"/>
      <c r="J38" s="2"/>
      <c r="K38" s="2"/>
      <c r="L38" s="2"/>
      <c r="M38" s="2"/>
      <c r="N38" s="2"/>
      <c r="O38" s="508"/>
      <c r="P38" s="2"/>
      <c r="Q38" s="2"/>
      <c r="R38" s="507"/>
      <c r="S38" s="2"/>
      <c r="T38" s="2"/>
      <c r="U38" s="2"/>
      <c r="V38" s="2"/>
      <c r="W38" s="2"/>
      <c r="X38" s="2"/>
      <c r="Y38" s="2"/>
      <c r="Z38" s="2"/>
      <c r="AA38" s="2"/>
      <c r="AB38" s="2"/>
      <c r="AC38" s="2"/>
      <c r="AD38" s="508"/>
      <c r="AE38" s="2"/>
      <c r="AF38" s="2"/>
      <c r="AG38" s="507"/>
      <c r="AH38" s="2"/>
      <c r="AI38" s="2"/>
      <c r="AJ38" s="2"/>
      <c r="AK38" s="2"/>
      <c r="AL38" s="2"/>
      <c r="AM38" s="2"/>
      <c r="AN38" s="2"/>
      <c r="AO38" s="2"/>
      <c r="AP38" s="2"/>
      <c r="AQ38" s="2"/>
      <c r="AR38" s="508"/>
      <c r="AS38" s="2"/>
      <c r="AT38" s="2"/>
      <c r="AU38" s="507"/>
      <c r="AV38" s="2"/>
      <c r="AW38" s="2"/>
      <c r="AX38" s="2"/>
      <c r="AY38" s="2"/>
      <c r="AZ38" s="2"/>
      <c r="BA38" s="2"/>
      <c r="BB38" s="2"/>
      <c r="BC38" s="2"/>
      <c r="BD38" s="2"/>
      <c r="BE38" s="508"/>
      <c r="BF38" s="9"/>
      <c r="BG38" s="9"/>
    </row>
    <row r="39" spans="2:59" ht="15" customHeight="1" outlineLevel="1" x14ac:dyDescent="0.25">
      <c r="B39" s="9"/>
      <c r="C39" s="509" t="s">
        <v>687</v>
      </c>
      <c r="D39" s="2"/>
      <c r="E39" s="2"/>
      <c r="F39" s="2"/>
      <c r="G39" s="2"/>
      <c r="H39" s="2"/>
      <c r="I39" s="2"/>
      <c r="J39" s="2"/>
      <c r="K39" s="2"/>
      <c r="L39" s="2122">
        <f>REPAIRS!BH10+REPAIRS!BH11</f>
        <v>0</v>
      </c>
      <c r="M39" s="2122"/>
      <c r="N39" s="2122"/>
      <c r="O39" s="2450"/>
      <c r="P39" s="2"/>
      <c r="Q39" s="2"/>
      <c r="R39" s="509" t="s">
        <v>616</v>
      </c>
      <c r="S39" s="2"/>
      <c r="T39" s="2"/>
      <c r="U39" s="2"/>
      <c r="V39" s="2"/>
      <c r="W39" s="2"/>
      <c r="X39" s="2"/>
      <c r="Y39" s="2"/>
      <c r="Z39" s="2"/>
      <c r="AA39" s="2122">
        <f>SUM(P46:S50,AI46:AL50,BB46:BE50)</f>
        <v>0</v>
      </c>
      <c r="AB39" s="2122"/>
      <c r="AC39" s="2122"/>
      <c r="AD39" s="2450"/>
      <c r="AE39" s="2"/>
      <c r="AF39" s="2"/>
      <c r="AG39" s="509" t="s">
        <v>49</v>
      </c>
      <c r="AH39" s="509"/>
      <c r="AI39" s="509"/>
      <c r="AJ39" s="2"/>
      <c r="AK39" s="2"/>
      <c r="AL39" s="2"/>
      <c r="AM39" s="2"/>
      <c r="AN39" s="2"/>
      <c r="AO39" s="2122">
        <f>purchase_price</f>
        <v>116000</v>
      </c>
      <c r="AP39" s="2122"/>
      <c r="AQ39" s="2122"/>
      <c r="AR39" s="2450"/>
      <c r="AS39" s="2"/>
      <c r="AT39" s="2"/>
      <c r="AU39" s="509" t="s">
        <v>616</v>
      </c>
      <c r="AV39" s="2"/>
      <c r="AW39" s="512"/>
      <c r="AX39" s="2"/>
      <c r="AY39" s="2"/>
      <c r="AZ39" s="2"/>
      <c r="BA39" s="2"/>
      <c r="BB39" s="2451">
        <v>0</v>
      </c>
      <c r="BC39" s="2451"/>
      <c r="BD39" s="2451"/>
      <c r="BE39" s="2452"/>
      <c r="BF39" s="9"/>
      <c r="BG39" s="9"/>
    </row>
    <row r="40" spans="2:59" ht="15" customHeight="1" outlineLevel="1" x14ac:dyDescent="0.25">
      <c r="B40" s="9"/>
      <c r="C40" s="509" t="s">
        <v>685</v>
      </c>
      <c r="D40" s="2"/>
      <c r="E40" s="2"/>
      <c r="F40" s="2"/>
      <c r="G40" s="2"/>
      <c r="H40" s="2"/>
      <c r="I40" s="2"/>
      <c r="J40" s="2"/>
      <c r="K40" s="2"/>
      <c r="L40" s="2455">
        <f>REPAIRS!BH12+REPAIRS!BH14</f>
        <v>0</v>
      </c>
      <c r="M40" s="2455"/>
      <c r="N40" s="2455"/>
      <c r="O40" s="2456"/>
      <c r="P40" s="2"/>
      <c r="Q40" s="2"/>
      <c r="R40" s="509" t="s">
        <v>617</v>
      </c>
      <c r="S40" s="2"/>
      <c r="T40" s="2"/>
      <c r="U40" s="2"/>
      <c r="V40" s="2"/>
      <c r="W40" s="2"/>
      <c r="X40" s="2"/>
      <c r="Y40" s="2"/>
      <c r="Z40" s="2"/>
      <c r="AA40" s="2457">
        <f>AA62</f>
        <v>0.25</v>
      </c>
      <c r="AB40" s="2457"/>
      <c r="AC40" s="2457"/>
      <c r="AD40" s="2458"/>
      <c r="AE40" s="2"/>
      <c r="AF40" s="2"/>
      <c r="AG40" s="509" t="s">
        <v>621</v>
      </c>
      <c r="AH40" s="512"/>
      <c r="AI40" s="512"/>
      <c r="AJ40" s="2"/>
      <c r="AK40" s="2"/>
      <c r="AL40" s="2"/>
      <c r="AM40" s="2"/>
      <c r="AN40" s="2"/>
      <c r="AO40" s="2453">
        <v>0</v>
      </c>
      <c r="AP40" s="2453"/>
      <c r="AQ40" s="2453"/>
      <c r="AR40" s="2454"/>
      <c r="AS40" s="2"/>
      <c r="AT40" s="2"/>
      <c r="AU40" s="509" t="s">
        <v>622</v>
      </c>
      <c r="AV40" s="2"/>
      <c r="AW40" s="512"/>
      <c r="AX40" s="2"/>
      <c r="AY40" s="2"/>
      <c r="AZ40" s="2"/>
      <c r="BA40" s="2"/>
      <c r="BB40" s="2451">
        <v>0</v>
      </c>
      <c r="BC40" s="2451"/>
      <c r="BD40" s="2451"/>
      <c r="BE40" s="2452"/>
      <c r="BF40" s="9"/>
      <c r="BG40" s="9"/>
    </row>
    <row r="41" spans="2:59" ht="15" customHeight="1" outlineLevel="1" x14ac:dyDescent="0.25">
      <c r="B41" s="9"/>
      <c r="C41" s="510" t="s">
        <v>618</v>
      </c>
      <c r="D41" s="511"/>
      <c r="E41" s="511"/>
      <c r="F41" s="511"/>
      <c r="G41" s="511"/>
      <c r="H41" s="511"/>
      <c r="I41" s="511"/>
      <c r="J41" s="511"/>
      <c r="K41" s="511"/>
      <c r="L41" s="2411">
        <f>REPAIRS!BH16</f>
        <v>0</v>
      </c>
      <c r="M41" s="2411"/>
      <c r="N41" s="2411"/>
      <c r="O41" s="2412"/>
      <c r="P41" s="2"/>
      <c r="Q41" s="2"/>
      <c r="R41" s="510" t="s">
        <v>618</v>
      </c>
      <c r="S41" s="511"/>
      <c r="T41" s="511"/>
      <c r="U41" s="511"/>
      <c r="V41" s="511"/>
      <c r="W41" s="511"/>
      <c r="X41" s="511"/>
      <c r="Y41" s="511"/>
      <c r="Z41" s="511"/>
      <c r="AA41" s="2411">
        <f>AA39+AA40</f>
        <v>0.25</v>
      </c>
      <c r="AB41" s="2411"/>
      <c r="AC41" s="2411"/>
      <c r="AD41" s="2412"/>
      <c r="AE41" s="2"/>
      <c r="AF41" s="2"/>
      <c r="AG41" s="510" t="s">
        <v>618</v>
      </c>
      <c r="AH41" s="513"/>
      <c r="AI41" s="513"/>
      <c r="AJ41" s="514"/>
      <c r="AK41" s="514"/>
      <c r="AL41" s="514"/>
      <c r="AM41" s="514"/>
      <c r="AN41" s="514"/>
      <c r="AO41" s="2409">
        <f>IFERROR(AO39*AO40,0)</f>
        <v>0</v>
      </c>
      <c r="AP41" s="2409"/>
      <c r="AQ41" s="2409"/>
      <c r="AR41" s="2410"/>
      <c r="AS41" s="2"/>
      <c r="AT41" s="2"/>
      <c r="AU41" s="510" t="s">
        <v>623</v>
      </c>
      <c r="AV41" s="511"/>
      <c r="AW41" s="513"/>
      <c r="AX41" s="514"/>
      <c r="AY41" s="514"/>
      <c r="AZ41" s="514"/>
      <c r="BA41" s="514"/>
      <c r="BB41" s="2411">
        <f>SUM(BB39:BE40)</f>
        <v>0</v>
      </c>
      <c r="BC41" s="2411"/>
      <c r="BD41" s="2411"/>
      <c r="BE41" s="2412"/>
      <c r="BF41" s="9"/>
      <c r="BG41" s="9"/>
    </row>
    <row r="42" spans="2:59" ht="15" customHeight="1" outlineLevel="1" x14ac:dyDescent="0.25">
      <c r="B42" s="9"/>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9"/>
      <c r="AV42" s="9"/>
      <c r="AW42" s="9"/>
      <c r="AX42" s="9"/>
      <c r="AY42" s="9"/>
      <c r="AZ42" s="9"/>
      <c r="BA42" s="9"/>
      <c r="BB42" s="9"/>
      <c r="BC42" s="9"/>
      <c r="BD42" s="9"/>
      <c r="BE42" s="9"/>
      <c r="BF42" s="9"/>
      <c r="BG42" s="9"/>
    </row>
    <row r="43" spans="2:59" ht="15" customHeight="1" outlineLevel="1" x14ac:dyDescent="0.25">
      <c r="B43" s="9"/>
      <c r="C43" s="499">
        <v>2</v>
      </c>
      <c r="D43" s="499" t="s">
        <v>604</v>
      </c>
      <c r="E43" s="500"/>
      <c r="F43" s="500"/>
      <c r="G43" s="500"/>
      <c r="H43" s="500"/>
      <c r="I43" s="500"/>
      <c r="J43" s="500"/>
      <c r="K43" s="500"/>
      <c r="L43" s="500"/>
      <c r="M43" s="500"/>
      <c r="N43" s="500"/>
      <c r="O43" s="500"/>
      <c r="P43" s="500"/>
      <c r="Q43" s="500"/>
      <c r="R43" s="500"/>
      <c r="S43" s="500"/>
      <c r="T43" s="500"/>
      <c r="U43" s="500"/>
      <c r="V43" s="500"/>
      <c r="W43" s="500"/>
      <c r="X43" s="500"/>
      <c r="Y43" s="500"/>
      <c r="Z43" s="500"/>
      <c r="AA43" s="500"/>
      <c r="AB43" s="500"/>
      <c r="AC43" s="500"/>
      <c r="AD43" s="500"/>
      <c r="AE43" s="500"/>
      <c r="AF43" s="500"/>
      <c r="AG43" s="500"/>
      <c r="AH43" s="500"/>
      <c r="AI43" s="500"/>
      <c r="AJ43" s="500"/>
      <c r="AK43" s="500"/>
      <c r="AL43" s="500"/>
      <c r="AM43" s="500"/>
      <c r="AN43" s="500"/>
      <c r="AO43" s="500"/>
      <c r="AP43" s="500"/>
      <c r="AQ43" s="500"/>
      <c r="AR43" s="500"/>
      <c r="AS43" s="500"/>
      <c r="AT43" s="500"/>
      <c r="AU43" s="500"/>
      <c r="AV43" s="500"/>
      <c r="AW43" s="500"/>
      <c r="AX43" s="500"/>
      <c r="AY43" s="500"/>
      <c r="AZ43" s="500"/>
      <c r="BA43" s="500"/>
      <c r="BB43" s="500"/>
      <c r="BC43" s="500"/>
      <c r="BD43" s="500"/>
      <c r="BE43" s="501"/>
      <c r="BF43" s="9"/>
      <c r="BG43" s="9"/>
    </row>
    <row r="44" spans="2:59" ht="15" customHeight="1" outlineLevel="1" x14ac:dyDescent="0.25">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row>
    <row r="45" spans="2:59" ht="15" customHeight="1" outlineLevel="1" x14ac:dyDescent="0.25">
      <c r="B45" s="9"/>
      <c r="C45" s="9"/>
      <c r="D45" s="2270" t="s">
        <v>293</v>
      </c>
      <c r="E45" s="2270"/>
      <c r="F45" s="2270"/>
      <c r="G45" s="2270"/>
      <c r="H45" s="2270"/>
      <c r="I45" s="2270"/>
      <c r="J45" s="2270"/>
      <c r="K45" s="2270"/>
      <c r="L45" s="2157" t="s">
        <v>605</v>
      </c>
      <c r="M45" s="2157"/>
      <c r="N45" s="2157"/>
      <c r="O45" s="2157"/>
      <c r="P45" s="2157" t="s">
        <v>411</v>
      </c>
      <c r="Q45" s="2157"/>
      <c r="R45" s="2157"/>
      <c r="S45" s="2157"/>
      <c r="T45" s="9"/>
      <c r="U45" s="9"/>
      <c r="V45" s="9"/>
      <c r="W45" s="2270" t="s">
        <v>293</v>
      </c>
      <c r="X45" s="2270"/>
      <c r="Y45" s="2270"/>
      <c r="Z45" s="2270"/>
      <c r="AA45" s="2270"/>
      <c r="AB45" s="2270"/>
      <c r="AC45" s="2270"/>
      <c r="AD45" s="2270"/>
      <c r="AE45" s="2157" t="s">
        <v>605</v>
      </c>
      <c r="AF45" s="2157"/>
      <c r="AG45" s="2157"/>
      <c r="AH45" s="2157"/>
      <c r="AI45" s="2157" t="s">
        <v>411</v>
      </c>
      <c r="AJ45" s="2157"/>
      <c r="AK45" s="2157"/>
      <c r="AL45" s="2157"/>
      <c r="AM45" s="9"/>
      <c r="AN45" s="9"/>
      <c r="AO45" s="9"/>
      <c r="AP45" s="2270" t="s">
        <v>293</v>
      </c>
      <c r="AQ45" s="2270"/>
      <c r="AR45" s="2270"/>
      <c r="AS45" s="2270"/>
      <c r="AT45" s="2270"/>
      <c r="AU45" s="2270"/>
      <c r="AV45" s="2270"/>
      <c r="AW45" s="2270"/>
      <c r="AX45" s="2157" t="s">
        <v>605</v>
      </c>
      <c r="AY45" s="2157"/>
      <c r="AZ45" s="2157"/>
      <c r="BA45" s="2157"/>
      <c r="BB45" s="2157" t="s">
        <v>411</v>
      </c>
      <c r="BC45" s="2157"/>
      <c r="BD45" s="2157"/>
      <c r="BE45" s="2157"/>
      <c r="BF45" s="9"/>
      <c r="BG45" s="9"/>
    </row>
    <row r="46" spans="2:59" ht="15" customHeight="1" outlineLevel="1" x14ac:dyDescent="0.25">
      <c r="B46" s="9"/>
      <c r="C46" s="1590">
        <v>1</v>
      </c>
      <c r="D46" s="2119" t="s">
        <v>606</v>
      </c>
      <c r="E46" s="2120"/>
      <c r="F46" s="2120"/>
      <c r="G46" s="2120"/>
      <c r="H46" s="2120"/>
      <c r="I46" s="2120"/>
      <c r="J46" s="2120"/>
      <c r="K46" s="2121"/>
      <c r="L46" s="2122">
        <f>REPAIRS!L10</f>
        <v>0</v>
      </c>
      <c r="M46" s="2122"/>
      <c r="N46" s="2122"/>
      <c r="O46" s="2122"/>
      <c r="P46" s="2143">
        <v>0</v>
      </c>
      <c r="Q46" s="2144"/>
      <c r="R46" s="2144"/>
      <c r="S46" s="2144"/>
      <c r="T46" s="9"/>
      <c r="U46" s="9"/>
      <c r="V46" s="1590">
        <v>6</v>
      </c>
      <c r="W46" s="2119" t="s">
        <v>611</v>
      </c>
      <c r="X46" s="2120"/>
      <c r="Y46" s="2120"/>
      <c r="Z46" s="2120"/>
      <c r="AA46" s="2120"/>
      <c r="AB46" s="2120"/>
      <c r="AC46" s="2120"/>
      <c r="AD46" s="2121"/>
      <c r="AE46" s="2122">
        <f>REPAIRS!L15</f>
        <v>0</v>
      </c>
      <c r="AF46" s="2122"/>
      <c r="AG46" s="2122"/>
      <c r="AH46" s="2122"/>
      <c r="AI46" s="2143">
        <v>0</v>
      </c>
      <c r="AJ46" s="2144"/>
      <c r="AK46" s="2144"/>
      <c r="AL46" s="2144"/>
      <c r="AM46" s="9"/>
      <c r="AN46" s="9"/>
      <c r="AO46" s="1590">
        <v>11</v>
      </c>
      <c r="AP46" s="2119" t="s">
        <v>611</v>
      </c>
      <c r="AQ46" s="2120"/>
      <c r="AR46" s="2120"/>
      <c r="AS46" s="2120"/>
      <c r="AT46" s="2120"/>
      <c r="AU46" s="2120"/>
      <c r="AV46" s="2120"/>
      <c r="AW46" s="2121"/>
      <c r="AX46" s="2122">
        <f>REPAIRS!Z12</f>
        <v>0</v>
      </c>
      <c r="AY46" s="2122"/>
      <c r="AZ46" s="2122"/>
      <c r="BA46" s="2122"/>
      <c r="BB46" s="2143">
        <v>0</v>
      </c>
      <c r="BC46" s="2144"/>
      <c r="BD46" s="2144"/>
      <c r="BE46" s="2144"/>
      <c r="BF46" s="9"/>
      <c r="BG46" s="9"/>
    </row>
    <row r="47" spans="2:59" ht="15" customHeight="1" outlineLevel="1" x14ac:dyDescent="0.25">
      <c r="B47" s="9"/>
      <c r="C47" s="1591">
        <v>2</v>
      </c>
      <c r="D47" s="2119" t="s">
        <v>607</v>
      </c>
      <c r="E47" s="2120"/>
      <c r="F47" s="2120"/>
      <c r="G47" s="2120"/>
      <c r="H47" s="2120"/>
      <c r="I47" s="2120"/>
      <c r="J47" s="2120"/>
      <c r="K47" s="2121"/>
      <c r="L47" s="2122">
        <f>REPAIRS!L11</f>
        <v>0</v>
      </c>
      <c r="M47" s="2122"/>
      <c r="N47" s="2122"/>
      <c r="O47" s="2122"/>
      <c r="P47" s="2143">
        <v>0</v>
      </c>
      <c r="Q47" s="2144"/>
      <c r="R47" s="2144"/>
      <c r="S47" s="2144"/>
      <c r="T47" s="9"/>
      <c r="U47" s="9"/>
      <c r="V47" s="1591">
        <v>7</v>
      </c>
      <c r="W47" s="2119" t="s">
        <v>612</v>
      </c>
      <c r="X47" s="2120"/>
      <c r="Y47" s="2120"/>
      <c r="Z47" s="2120"/>
      <c r="AA47" s="2120"/>
      <c r="AB47" s="2120"/>
      <c r="AC47" s="2120"/>
      <c r="AD47" s="2121"/>
      <c r="AE47" s="2122">
        <f>REPAIRS!L16</f>
        <v>0</v>
      </c>
      <c r="AF47" s="2122"/>
      <c r="AG47" s="2122"/>
      <c r="AH47" s="2122"/>
      <c r="AI47" s="2143">
        <v>0</v>
      </c>
      <c r="AJ47" s="2144"/>
      <c r="AK47" s="2144"/>
      <c r="AL47" s="2144"/>
      <c r="AM47" s="9"/>
      <c r="AN47" s="9"/>
      <c r="AO47" s="1591">
        <v>12</v>
      </c>
      <c r="AP47" s="2119" t="s">
        <v>612</v>
      </c>
      <c r="AQ47" s="2120"/>
      <c r="AR47" s="2120"/>
      <c r="AS47" s="2120"/>
      <c r="AT47" s="2120"/>
      <c r="AU47" s="2120"/>
      <c r="AV47" s="2120"/>
      <c r="AW47" s="2121"/>
      <c r="AX47" s="2122">
        <f>REPAIRS!Z13</f>
        <v>0</v>
      </c>
      <c r="AY47" s="2122"/>
      <c r="AZ47" s="2122"/>
      <c r="BA47" s="2122"/>
      <c r="BB47" s="2143">
        <v>0</v>
      </c>
      <c r="BC47" s="2144"/>
      <c r="BD47" s="2144"/>
      <c r="BE47" s="2144"/>
      <c r="BF47" s="9"/>
      <c r="BG47" s="9"/>
    </row>
    <row r="48" spans="2:59" ht="15" customHeight="1" outlineLevel="1" x14ac:dyDescent="0.25">
      <c r="B48" s="9"/>
      <c r="C48" s="1591">
        <v>3</v>
      </c>
      <c r="D48" s="2119" t="s">
        <v>614</v>
      </c>
      <c r="E48" s="2120"/>
      <c r="F48" s="2120"/>
      <c r="G48" s="2120"/>
      <c r="H48" s="2120"/>
      <c r="I48" s="2120"/>
      <c r="J48" s="2120"/>
      <c r="K48" s="2121"/>
      <c r="L48" s="2122">
        <f>REPAIRS!L12</f>
        <v>0</v>
      </c>
      <c r="M48" s="2122"/>
      <c r="N48" s="2122"/>
      <c r="O48" s="2122"/>
      <c r="P48" s="2143">
        <v>0</v>
      </c>
      <c r="Q48" s="2144"/>
      <c r="R48" s="2144"/>
      <c r="S48" s="2144"/>
      <c r="T48" s="9"/>
      <c r="U48" s="9"/>
      <c r="V48" s="1591">
        <v>8</v>
      </c>
      <c r="W48" s="2119" t="s">
        <v>613</v>
      </c>
      <c r="X48" s="2120"/>
      <c r="Y48" s="2120"/>
      <c r="Z48" s="2120"/>
      <c r="AA48" s="2120"/>
      <c r="AB48" s="2120"/>
      <c r="AC48" s="2120"/>
      <c r="AD48" s="2121"/>
      <c r="AE48" s="2122">
        <f>REPAIRS!L17</f>
        <v>0</v>
      </c>
      <c r="AF48" s="2122"/>
      <c r="AG48" s="2122"/>
      <c r="AH48" s="2122"/>
      <c r="AI48" s="2143">
        <v>0</v>
      </c>
      <c r="AJ48" s="2144"/>
      <c r="AK48" s="2144"/>
      <c r="AL48" s="2144"/>
      <c r="AM48" s="9"/>
      <c r="AN48" s="9"/>
      <c r="AO48" s="1591">
        <v>13</v>
      </c>
      <c r="AP48" s="2119" t="s">
        <v>613</v>
      </c>
      <c r="AQ48" s="2120"/>
      <c r="AR48" s="2120"/>
      <c r="AS48" s="2120"/>
      <c r="AT48" s="2120"/>
      <c r="AU48" s="2120"/>
      <c r="AV48" s="2120"/>
      <c r="AW48" s="2121"/>
      <c r="AX48" s="2122">
        <f>REPAIRS!Z14</f>
        <v>0</v>
      </c>
      <c r="AY48" s="2122"/>
      <c r="AZ48" s="2122"/>
      <c r="BA48" s="2122"/>
      <c r="BB48" s="2143">
        <v>0</v>
      </c>
      <c r="BC48" s="2144"/>
      <c r="BD48" s="2144"/>
      <c r="BE48" s="2144"/>
      <c r="BF48" s="9"/>
      <c r="BG48" s="9"/>
    </row>
    <row r="49" spans="2:59" ht="15" customHeight="1" x14ac:dyDescent="0.25">
      <c r="B49" s="9"/>
      <c r="C49" s="1591">
        <v>4</v>
      </c>
      <c r="D49" s="2119" t="s">
        <v>609</v>
      </c>
      <c r="E49" s="2120"/>
      <c r="F49" s="2120"/>
      <c r="G49" s="2120"/>
      <c r="H49" s="2120"/>
      <c r="I49" s="2120"/>
      <c r="J49" s="2120"/>
      <c r="K49" s="2121"/>
      <c r="L49" s="2122">
        <f>REPAIRS!L13</f>
        <v>0</v>
      </c>
      <c r="M49" s="2122"/>
      <c r="N49" s="2122"/>
      <c r="O49" s="2122"/>
      <c r="P49" s="2143">
        <v>0</v>
      </c>
      <c r="Q49" s="2144"/>
      <c r="R49" s="2144"/>
      <c r="S49" s="2144"/>
      <c r="T49" s="9"/>
      <c r="U49" s="9"/>
      <c r="V49" s="1591">
        <v>9</v>
      </c>
      <c r="W49" s="2119" t="s">
        <v>608</v>
      </c>
      <c r="X49" s="2120"/>
      <c r="Y49" s="2120"/>
      <c r="Z49" s="2120"/>
      <c r="AA49" s="2120"/>
      <c r="AB49" s="2120"/>
      <c r="AC49" s="2120"/>
      <c r="AD49" s="2121"/>
      <c r="AE49" s="2122">
        <f>REPAIRS!Z10</f>
        <v>0</v>
      </c>
      <c r="AF49" s="2122"/>
      <c r="AG49" s="2122"/>
      <c r="AH49" s="2122"/>
      <c r="AI49" s="2143">
        <v>0</v>
      </c>
      <c r="AJ49" s="2144"/>
      <c r="AK49" s="2144"/>
      <c r="AL49" s="2144"/>
      <c r="AM49" s="9"/>
      <c r="AN49" s="9"/>
      <c r="AO49" s="1591">
        <v>14</v>
      </c>
      <c r="AP49" s="2119" t="s">
        <v>608</v>
      </c>
      <c r="AQ49" s="2120"/>
      <c r="AR49" s="2120"/>
      <c r="AS49" s="2120"/>
      <c r="AT49" s="2120"/>
      <c r="AU49" s="2120"/>
      <c r="AV49" s="2120"/>
      <c r="AW49" s="2121"/>
      <c r="AX49" s="2122">
        <f>REPAIRS!Z15</f>
        <v>0</v>
      </c>
      <c r="AY49" s="2122"/>
      <c r="AZ49" s="2122"/>
      <c r="BA49" s="2122"/>
      <c r="BB49" s="2143">
        <v>0</v>
      </c>
      <c r="BC49" s="2144"/>
      <c r="BD49" s="2144"/>
      <c r="BE49" s="2144"/>
      <c r="BF49" s="9"/>
      <c r="BG49" s="9"/>
    </row>
    <row r="50" spans="2:59" ht="15" customHeight="1" x14ac:dyDescent="0.25">
      <c r="B50" s="9"/>
      <c r="C50" s="1591">
        <v>5</v>
      </c>
      <c r="D50" s="2119" t="s">
        <v>610</v>
      </c>
      <c r="E50" s="2120"/>
      <c r="F50" s="2120"/>
      <c r="G50" s="2120"/>
      <c r="H50" s="2120"/>
      <c r="I50" s="2120"/>
      <c r="J50" s="2120"/>
      <c r="K50" s="2121"/>
      <c r="L50" s="2122">
        <f>REPAIRS!L14</f>
        <v>0</v>
      </c>
      <c r="M50" s="2122"/>
      <c r="N50" s="2122"/>
      <c r="O50" s="2122"/>
      <c r="P50" s="2143">
        <v>0</v>
      </c>
      <c r="Q50" s="2144"/>
      <c r="R50" s="2144"/>
      <c r="S50" s="2144"/>
      <c r="T50" s="9"/>
      <c r="U50" s="9"/>
      <c r="V50" s="1591">
        <v>10</v>
      </c>
      <c r="W50" s="2119" t="s">
        <v>66</v>
      </c>
      <c r="X50" s="2120"/>
      <c r="Y50" s="2120"/>
      <c r="Z50" s="2120"/>
      <c r="AA50" s="2120"/>
      <c r="AB50" s="2120"/>
      <c r="AC50" s="2120"/>
      <c r="AD50" s="2121"/>
      <c r="AE50" s="2122">
        <f>REPAIRS!Z11</f>
        <v>0</v>
      </c>
      <c r="AF50" s="2122"/>
      <c r="AG50" s="2122"/>
      <c r="AH50" s="2122"/>
      <c r="AI50" s="2143">
        <v>0</v>
      </c>
      <c r="AJ50" s="2144"/>
      <c r="AK50" s="2144"/>
      <c r="AL50" s="2144"/>
      <c r="AM50" s="9"/>
      <c r="AN50" s="9"/>
      <c r="AO50" s="1591">
        <v>15</v>
      </c>
      <c r="AP50" s="2119" t="s">
        <v>66</v>
      </c>
      <c r="AQ50" s="2120"/>
      <c r="AR50" s="2120"/>
      <c r="AS50" s="2120"/>
      <c r="AT50" s="2120"/>
      <c r="AU50" s="2120"/>
      <c r="AV50" s="2120"/>
      <c r="AW50" s="2121"/>
      <c r="AX50" s="2122">
        <f>REPAIRS!Z16</f>
        <v>0</v>
      </c>
      <c r="AY50" s="2122"/>
      <c r="AZ50" s="2122"/>
      <c r="BA50" s="2122"/>
      <c r="BB50" s="2143">
        <v>0</v>
      </c>
      <c r="BC50" s="2144"/>
      <c r="BD50" s="2144"/>
      <c r="BE50" s="2144"/>
      <c r="BF50" s="9"/>
      <c r="BG50" s="9"/>
    </row>
    <row r="51" spans="2:59" ht="15" customHeight="1" x14ac:dyDescent="0.25">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row>
    <row r="52" spans="2:59" ht="15" customHeight="1" outlineLevel="1" x14ac:dyDescent="0.25"/>
    <row r="53" spans="2:59" ht="15" customHeight="1" outlineLevel="1" x14ac:dyDescent="0.25"/>
    <row r="54" spans="2:59" ht="15" customHeight="1" outlineLevel="1" x14ac:dyDescent="0.25">
      <c r="B54" s="521" t="s">
        <v>1128</v>
      </c>
      <c r="C54" s="598"/>
      <c r="D54" s="598"/>
      <c r="E54" s="598"/>
      <c r="F54" s="598"/>
      <c r="G54" s="598"/>
      <c r="H54" s="598"/>
      <c r="I54" s="598"/>
      <c r="J54" s="598"/>
      <c r="K54" s="598"/>
      <c r="L54" s="598"/>
      <c r="M54" s="598"/>
      <c r="N54" s="598"/>
      <c r="O54" s="598"/>
      <c r="P54" s="598"/>
      <c r="Q54" s="598"/>
      <c r="R54" s="598"/>
      <c r="S54" s="598"/>
      <c r="T54" s="598"/>
      <c r="U54" s="598"/>
      <c r="V54" s="598"/>
      <c r="W54" s="598"/>
      <c r="X54" s="598"/>
      <c r="Y54" s="598"/>
      <c r="Z54" s="598"/>
      <c r="AA54" s="598"/>
      <c r="AB54" s="598"/>
      <c r="AC54" s="598"/>
      <c r="AD54" s="598"/>
      <c r="AE54" s="598"/>
      <c r="AF54" s="598"/>
      <c r="AG54" s="598"/>
      <c r="AH54" s="598"/>
      <c r="AI54" s="598"/>
      <c r="AJ54" s="598"/>
      <c r="AK54" s="598"/>
      <c r="AL54" s="598"/>
      <c r="AM54" s="598"/>
      <c r="AN54" s="598"/>
      <c r="AO54" s="598"/>
      <c r="AP54" s="598"/>
      <c r="AQ54" s="598"/>
      <c r="AR54" s="598"/>
      <c r="AS54" s="598"/>
      <c r="AT54" s="598"/>
      <c r="AU54" s="598"/>
      <c r="AV54" s="598"/>
      <c r="AW54" s="598"/>
      <c r="AX54" s="598"/>
      <c r="AY54" s="598"/>
      <c r="AZ54" s="598"/>
      <c r="BA54" s="598"/>
      <c r="BB54" s="598"/>
      <c r="BC54" s="598"/>
      <c r="BD54" s="598"/>
      <c r="BE54" s="598"/>
      <c r="BF54" s="598"/>
      <c r="BG54" s="598"/>
    </row>
    <row r="55" spans="2:59" ht="15" customHeight="1" outlineLevel="1" x14ac:dyDescent="0.25">
      <c r="B55" s="8"/>
      <c r="C55" s="8"/>
      <c r="D55" s="8"/>
      <c r="E55" s="8"/>
      <c r="F55" s="8"/>
      <c r="G55" s="8"/>
      <c r="H55" s="8"/>
      <c r="I55" s="8"/>
      <c r="J55" s="8"/>
      <c r="K55" s="8"/>
      <c r="L55" s="8"/>
      <c r="M55" s="8"/>
      <c r="N55" s="8"/>
      <c r="O55" s="8"/>
      <c r="P55" s="8"/>
      <c r="Q55" s="8"/>
      <c r="R55" s="27"/>
      <c r="S55" s="27"/>
      <c r="T55" s="27"/>
      <c r="U55" s="27"/>
      <c r="V55" s="27"/>
      <c r="W55" s="27"/>
      <c r="X55" s="27"/>
      <c r="Y55" s="27"/>
      <c r="Z55" s="27"/>
      <c r="AA55" s="8"/>
      <c r="AB55" s="8"/>
      <c r="AC55" s="8"/>
      <c r="AD55" s="8"/>
      <c r="AE55" s="8"/>
      <c r="AF55" s="9"/>
      <c r="AG55" s="9"/>
      <c r="AH55" s="277"/>
      <c r="AI55" s="277"/>
      <c r="AJ55" s="277"/>
      <c r="AK55" s="277"/>
      <c r="AL55" s="277"/>
      <c r="AM55" s="277"/>
      <c r="AN55" s="277"/>
      <c r="AO55" s="277"/>
      <c r="AP55" s="277"/>
      <c r="AQ55" s="277"/>
      <c r="AR55" s="277"/>
      <c r="AS55" s="277"/>
      <c r="AT55" s="277"/>
      <c r="AU55" s="277"/>
      <c r="AV55" s="277"/>
      <c r="AW55" s="277"/>
      <c r="AX55" s="277"/>
      <c r="AY55" s="277"/>
      <c r="AZ55" s="277"/>
      <c r="BA55" s="277"/>
      <c r="BB55" s="277"/>
      <c r="BC55" s="277"/>
      <c r="BD55" s="277"/>
      <c r="BE55" s="277"/>
      <c r="BF55" s="277"/>
      <c r="BG55" s="277"/>
    </row>
    <row r="56" spans="2:59" ht="15" customHeight="1" outlineLevel="1" x14ac:dyDescent="0.25">
      <c r="B56" s="9"/>
      <c r="C56" s="9"/>
      <c r="D56" s="9"/>
      <c r="E56" s="9"/>
      <c r="F56" s="9"/>
      <c r="G56" s="9"/>
      <c r="H56" s="9"/>
      <c r="I56" s="9"/>
      <c r="J56" s="9"/>
      <c r="K56" s="9"/>
      <c r="L56" s="9"/>
      <c r="M56" s="9"/>
      <c r="N56" s="9"/>
      <c r="O56" s="9"/>
      <c r="P56" s="9"/>
      <c r="Q56" s="9"/>
      <c r="R56" s="198"/>
      <c r="S56" s="198"/>
      <c r="T56" s="198"/>
      <c r="U56" s="2145" t="s">
        <v>688</v>
      </c>
      <c r="V56" s="2146"/>
      <c r="W56" s="2146"/>
      <c r="X56" s="2146"/>
      <c r="Y56" s="2146"/>
      <c r="Z56" s="2146"/>
      <c r="AA56" s="2146"/>
      <c r="AB56" s="2147"/>
      <c r="AC56" s="2148" t="s">
        <v>602</v>
      </c>
      <c r="AD56" s="2149"/>
      <c r="AE56" s="2149"/>
      <c r="AF56" s="2149"/>
      <c r="AG56" s="2149"/>
      <c r="AH56" s="2149"/>
      <c r="AI56" s="2149"/>
      <c r="AJ56" s="2150"/>
      <c r="AK56" s="1686">
        <f>MATCH(AC56,HIDE5!$N$3:$N$6,0)</f>
        <v>2</v>
      </c>
      <c r="AL56" s="9"/>
      <c r="AM56" s="9"/>
      <c r="AN56" s="9"/>
      <c r="AO56" s="9"/>
      <c r="AP56" s="9"/>
      <c r="AQ56" s="9"/>
      <c r="AR56" s="9"/>
      <c r="AS56" s="9"/>
      <c r="AT56" s="9"/>
      <c r="AU56" s="9"/>
      <c r="AV56" s="9"/>
      <c r="AW56" s="9"/>
      <c r="AX56" s="9"/>
      <c r="AY56" s="9"/>
      <c r="AZ56" s="9"/>
      <c r="BA56" s="9"/>
      <c r="BB56" s="9"/>
      <c r="BC56" s="9"/>
      <c r="BD56" s="9"/>
      <c r="BE56" s="9"/>
      <c r="BF56" s="9"/>
      <c r="BG56" s="9"/>
    </row>
    <row r="57" spans="2:59" ht="15" customHeight="1" outlineLevel="1" x14ac:dyDescent="0.25">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502" t="str">
        <f>CHOOSE(MATCH(AC56,HIDE5!$N$3:$N$6,0),"Enter your Furniture details in the Furniture tab","Enter your Furniture assumptions below","","")</f>
        <v>Enter your Furniture assumptions below</v>
      </c>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row>
    <row r="58" spans="2:59" ht="15" customHeight="1" outlineLevel="1" x14ac:dyDescent="0.25">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502"/>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row>
    <row r="59" spans="2:59" ht="15" customHeight="1" outlineLevel="1" x14ac:dyDescent="0.25">
      <c r="B59" s="9"/>
      <c r="C59" s="2274" t="s">
        <v>615</v>
      </c>
      <c r="D59" s="2275"/>
      <c r="E59" s="505" t="s">
        <v>601</v>
      </c>
      <c r="F59" s="506"/>
      <c r="G59" s="506"/>
      <c r="H59" s="506"/>
      <c r="I59" s="506"/>
      <c r="J59" s="506"/>
      <c r="K59" s="506"/>
      <c r="L59" s="506"/>
      <c r="M59" s="506"/>
      <c r="N59" s="506"/>
      <c r="O59" s="1792" t="s">
        <v>1149</v>
      </c>
      <c r="P59" s="2"/>
      <c r="Q59" s="2"/>
      <c r="R59" s="2274" t="s">
        <v>619</v>
      </c>
      <c r="S59" s="2275"/>
      <c r="T59" s="505" t="s">
        <v>602</v>
      </c>
      <c r="U59" s="506"/>
      <c r="V59" s="506"/>
      <c r="W59" s="506"/>
      <c r="X59" s="506"/>
      <c r="Y59" s="506"/>
      <c r="Z59" s="506"/>
      <c r="AA59" s="506"/>
      <c r="AB59" s="506"/>
      <c r="AC59" s="506"/>
      <c r="AD59" s="1792" t="s">
        <v>1149</v>
      </c>
      <c r="AE59" s="2"/>
      <c r="AF59" s="2"/>
      <c r="AG59" s="2274" t="s">
        <v>619</v>
      </c>
      <c r="AH59" s="2275"/>
      <c r="AI59" s="505" t="s">
        <v>686</v>
      </c>
      <c r="AJ59" s="506"/>
      <c r="AK59" s="506"/>
      <c r="AL59" s="506"/>
      <c r="AM59" s="506"/>
      <c r="AN59" s="506"/>
      <c r="AO59" s="506"/>
      <c r="AP59" s="506"/>
      <c r="AQ59" s="506"/>
      <c r="AR59" s="1792" t="s">
        <v>1149</v>
      </c>
      <c r="AS59" s="2"/>
      <c r="AT59" s="2"/>
      <c r="AU59" s="2274" t="s">
        <v>619</v>
      </c>
      <c r="AV59" s="2275"/>
      <c r="AW59" s="505" t="s">
        <v>603</v>
      </c>
      <c r="AX59" s="506"/>
      <c r="AY59" s="506"/>
      <c r="AZ59" s="506"/>
      <c r="BA59" s="506"/>
      <c r="BB59" s="506"/>
      <c r="BC59" s="506"/>
      <c r="BD59" s="506"/>
      <c r="BE59" s="1792" t="s">
        <v>1149</v>
      </c>
      <c r="BF59" s="9"/>
      <c r="BG59" s="9"/>
    </row>
    <row r="60" spans="2:59" ht="15" customHeight="1" outlineLevel="1" x14ac:dyDescent="0.25">
      <c r="B60" s="9"/>
      <c r="C60" s="507"/>
      <c r="D60" s="2"/>
      <c r="E60" s="2"/>
      <c r="F60" s="2"/>
      <c r="G60" s="2"/>
      <c r="H60" s="2"/>
      <c r="I60" s="2"/>
      <c r="J60" s="2"/>
      <c r="K60" s="2"/>
      <c r="L60" s="2"/>
      <c r="M60" s="2"/>
      <c r="N60" s="2"/>
      <c r="O60" s="508"/>
      <c r="P60" s="2"/>
      <c r="Q60" s="2"/>
      <c r="R60" s="507"/>
      <c r="S60" s="2"/>
      <c r="T60" s="2"/>
      <c r="U60" s="2"/>
      <c r="V60" s="2"/>
      <c r="W60" s="2"/>
      <c r="X60" s="2"/>
      <c r="Y60" s="2"/>
      <c r="Z60" s="2"/>
      <c r="AA60" s="2"/>
      <c r="AB60" s="2"/>
      <c r="AC60" s="2"/>
      <c r="AD60" s="508"/>
      <c r="AE60" s="2"/>
      <c r="AF60" s="2"/>
      <c r="AG60" s="507"/>
      <c r="AH60" s="2"/>
      <c r="AI60" s="2"/>
      <c r="AJ60" s="2"/>
      <c r="AK60" s="2"/>
      <c r="AL60" s="2"/>
      <c r="AM60" s="2"/>
      <c r="AN60" s="2"/>
      <c r="AO60" s="2"/>
      <c r="AP60" s="2"/>
      <c r="AQ60" s="2"/>
      <c r="AR60" s="508"/>
      <c r="AS60" s="2"/>
      <c r="AT60" s="2"/>
      <c r="AU60" s="507"/>
      <c r="AV60" s="2"/>
      <c r="AW60" s="2"/>
      <c r="AX60" s="2"/>
      <c r="AY60" s="2"/>
      <c r="AZ60" s="2"/>
      <c r="BA60" s="2"/>
      <c r="BB60" s="2"/>
      <c r="BC60" s="2"/>
      <c r="BD60" s="2"/>
      <c r="BE60" s="508"/>
      <c r="BF60" s="9"/>
      <c r="BG60" s="9"/>
    </row>
    <row r="61" spans="2:59" ht="15" customHeight="1" outlineLevel="1" x14ac:dyDescent="0.25">
      <c r="B61" s="9"/>
      <c r="C61" s="509" t="s">
        <v>689</v>
      </c>
      <c r="D61" s="2"/>
      <c r="E61" s="2"/>
      <c r="F61" s="2"/>
      <c r="G61" s="2"/>
      <c r="H61" s="2"/>
      <c r="I61" s="2"/>
      <c r="J61" s="2"/>
      <c r="K61" s="1687">
        <f>MATCH(L61,HIDE5!U13:U17,0)</f>
        <v>1</v>
      </c>
      <c r="L61" s="2462" t="s">
        <v>700</v>
      </c>
      <c r="M61" s="2462"/>
      <c r="N61" s="2462"/>
      <c r="O61" s="2463"/>
      <c r="P61" s="2"/>
      <c r="Q61" s="2"/>
      <c r="R61" s="509" t="s">
        <v>616</v>
      </c>
      <c r="S61" s="2"/>
      <c r="T61" s="2"/>
      <c r="U61" s="2"/>
      <c r="V61" s="2"/>
      <c r="W61" s="2"/>
      <c r="X61" s="2"/>
      <c r="Y61" s="2"/>
      <c r="Z61" s="2"/>
      <c r="AA61" s="2122">
        <f>SUM(P68:S72,AI68:AL72,BB68:BE72)</f>
        <v>0</v>
      </c>
      <c r="AB61" s="2122"/>
      <c r="AC61" s="2122"/>
      <c r="AD61" s="2450"/>
      <c r="AE61" s="2"/>
      <c r="AF61" s="2"/>
      <c r="AG61" s="509" t="s">
        <v>49</v>
      </c>
      <c r="AH61" s="509"/>
      <c r="AI61" s="509"/>
      <c r="AJ61" s="2"/>
      <c r="AK61" s="2"/>
      <c r="AL61" s="2"/>
      <c r="AM61" s="2"/>
      <c r="AN61" s="2"/>
      <c r="AO61" s="2122">
        <f>purchase_price</f>
        <v>116000</v>
      </c>
      <c r="AP61" s="2122"/>
      <c r="AQ61" s="2122"/>
      <c r="AR61" s="2450"/>
      <c r="AS61" s="2"/>
      <c r="AT61" s="2"/>
      <c r="AU61" s="509" t="s">
        <v>616</v>
      </c>
      <c r="AV61" s="2"/>
      <c r="AW61" s="512"/>
      <c r="AX61" s="2"/>
      <c r="AY61" s="2"/>
      <c r="AZ61" s="2"/>
      <c r="BA61" s="2"/>
      <c r="BB61" s="2451">
        <v>0</v>
      </c>
      <c r="BC61" s="2451"/>
      <c r="BD61" s="2451"/>
      <c r="BE61" s="2452"/>
      <c r="BF61" s="9"/>
      <c r="BG61" s="9"/>
    </row>
    <row r="62" spans="2:59" ht="15" customHeight="1" outlineLevel="1" x14ac:dyDescent="0.25">
      <c r="B62" s="9"/>
      <c r="C62" s="509"/>
      <c r="D62" s="2"/>
      <c r="E62" s="2"/>
      <c r="F62" s="2"/>
      <c r="G62" s="2"/>
      <c r="H62" s="2"/>
      <c r="I62" s="2"/>
      <c r="J62" s="2"/>
      <c r="K62" s="2"/>
      <c r="L62" s="2455"/>
      <c r="M62" s="2455"/>
      <c r="N62" s="2455"/>
      <c r="O62" s="2456"/>
      <c r="P62" s="2"/>
      <c r="Q62" s="2"/>
      <c r="R62" s="509" t="s">
        <v>617</v>
      </c>
      <c r="S62" s="2"/>
      <c r="T62" s="2"/>
      <c r="U62" s="2"/>
      <c r="V62" s="2"/>
      <c r="W62" s="2"/>
      <c r="X62" s="2"/>
      <c r="Y62" s="2"/>
      <c r="Z62" s="2"/>
      <c r="AA62" s="2457">
        <f>REPAIRS!BL14</f>
        <v>0.25</v>
      </c>
      <c r="AB62" s="2457"/>
      <c r="AC62" s="2457"/>
      <c r="AD62" s="2458"/>
      <c r="AE62" s="2"/>
      <c r="AF62" s="2"/>
      <c r="AG62" s="509" t="s">
        <v>621</v>
      </c>
      <c r="AH62" s="512"/>
      <c r="AI62" s="512"/>
      <c r="AJ62" s="2"/>
      <c r="AK62" s="2"/>
      <c r="AL62" s="2"/>
      <c r="AM62" s="2"/>
      <c r="AN62" s="2"/>
      <c r="AO62" s="2453">
        <v>0</v>
      </c>
      <c r="AP62" s="2453"/>
      <c r="AQ62" s="2453"/>
      <c r="AR62" s="2454"/>
      <c r="AS62" s="2"/>
      <c r="AT62" s="2"/>
      <c r="AU62" s="509" t="s">
        <v>622</v>
      </c>
      <c r="AV62" s="2"/>
      <c r="AW62" s="512"/>
      <c r="AX62" s="2"/>
      <c r="AY62" s="2"/>
      <c r="AZ62" s="2"/>
      <c r="BA62" s="2"/>
      <c r="BB62" s="2451">
        <v>0</v>
      </c>
      <c r="BC62" s="2451"/>
      <c r="BD62" s="2451"/>
      <c r="BE62" s="2452"/>
      <c r="BF62" s="9"/>
      <c r="BG62" s="9"/>
    </row>
    <row r="63" spans="2:59" ht="15" customHeight="1" outlineLevel="1" x14ac:dyDescent="0.25">
      <c r="B63" s="9"/>
      <c r="C63" s="510" t="s">
        <v>618</v>
      </c>
      <c r="D63" s="511"/>
      <c r="E63" s="511"/>
      <c r="F63" s="511"/>
      <c r="G63" s="511"/>
      <c r="H63" s="511"/>
      <c r="I63" s="511"/>
      <c r="J63" s="511"/>
      <c r="K63" s="511"/>
      <c r="L63" s="2411">
        <f>FURNITURE!O4</f>
        <v>0</v>
      </c>
      <c r="M63" s="2411"/>
      <c r="N63" s="2411"/>
      <c r="O63" s="2412"/>
      <c r="P63" s="2"/>
      <c r="Q63" s="2"/>
      <c r="R63" s="510" t="s">
        <v>618</v>
      </c>
      <c r="S63" s="511"/>
      <c r="T63" s="511"/>
      <c r="U63" s="511"/>
      <c r="V63" s="511"/>
      <c r="W63" s="511"/>
      <c r="X63" s="511"/>
      <c r="Y63" s="511"/>
      <c r="Z63" s="511"/>
      <c r="AA63" s="2411">
        <f>AA61+AA62</f>
        <v>0.25</v>
      </c>
      <c r="AB63" s="2411"/>
      <c r="AC63" s="2411"/>
      <c r="AD63" s="2412"/>
      <c r="AE63" s="2"/>
      <c r="AF63" s="2"/>
      <c r="AG63" s="510" t="s">
        <v>618</v>
      </c>
      <c r="AH63" s="513"/>
      <c r="AI63" s="513"/>
      <c r="AJ63" s="514"/>
      <c r="AK63" s="514"/>
      <c r="AL63" s="514"/>
      <c r="AM63" s="514"/>
      <c r="AN63" s="514"/>
      <c r="AO63" s="2409">
        <f>IFERROR(AO61*AO62,0)</f>
        <v>0</v>
      </c>
      <c r="AP63" s="2409"/>
      <c r="AQ63" s="2409"/>
      <c r="AR63" s="2410"/>
      <c r="AS63" s="2"/>
      <c r="AT63" s="2"/>
      <c r="AU63" s="510" t="s">
        <v>623</v>
      </c>
      <c r="AV63" s="511"/>
      <c r="AW63" s="513"/>
      <c r="AX63" s="514"/>
      <c r="AY63" s="514"/>
      <c r="AZ63" s="514"/>
      <c r="BA63" s="514"/>
      <c r="BB63" s="2411">
        <f>SUM(BB61:BE62)</f>
        <v>0</v>
      </c>
      <c r="BC63" s="2411"/>
      <c r="BD63" s="2411"/>
      <c r="BE63" s="2412"/>
      <c r="BF63" s="9"/>
      <c r="BG63" s="9"/>
    </row>
    <row r="64" spans="2:59" ht="15" customHeight="1" outlineLevel="1" x14ac:dyDescent="0.25">
      <c r="B64" s="9"/>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9"/>
      <c r="AV64" s="9"/>
      <c r="AW64" s="9"/>
      <c r="AX64" s="9"/>
      <c r="AY64" s="9"/>
      <c r="AZ64" s="9"/>
      <c r="BA64" s="9"/>
      <c r="BB64" s="9"/>
      <c r="BC64" s="9"/>
      <c r="BD64" s="9"/>
      <c r="BE64" s="9"/>
      <c r="BF64" s="9"/>
      <c r="BG64" s="9"/>
    </row>
    <row r="65" spans="2:59" ht="15" customHeight="1" outlineLevel="1" x14ac:dyDescent="0.25">
      <c r="B65" s="9"/>
      <c r="C65" s="499">
        <v>2</v>
      </c>
      <c r="D65" s="499" t="s">
        <v>690</v>
      </c>
      <c r="E65" s="500"/>
      <c r="F65" s="500"/>
      <c r="G65" s="500"/>
      <c r="H65" s="500"/>
      <c r="I65" s="500"/>
      <c r="J65" s="500"/>
      <c r="K65" s="500"/>
      <c r="L65" s="500"/>
      <c r="M65" s="500"/>
      <c r="N65" s="500"/>
      <c r="O65" s="500"/>
      <c r="P65" s="500"/>
      <c r="Q65" s="500"/>
      <c r="R65" s="500"/>
      <c r="S65" s="500"/>
      <c r="T65" s="500"/>
      <c r="U65" s="500"/>
      <c r="V65" s="500"/>
      <c r="W65" s="500"/>
      <c r="X65" s="500"/>
      <c r="Y65" s="500"/>
      <c r="Z65" s="500"/>
      <c r="AA65" s="500"/>
      <c r="AB65" s="500"/>
      <c r="AC65" s="500"/>
      <c r="AD65" s="500"/>
      <c r="AE65" s="500"/>
      <c r="AF65" s="500"/>
      <c r="AG65" s="500"/>
      <c r="AH65" s="500"/>
      <c r="AI65" s="500"/>
      <c r="AJ65" s="500"/>
      <c r="AK65" s="500"/>
      <c r="AL65" s="500"/>
      <c r="AM65" s="500"/>
      <c r="AN65" s="500"/>
      <c r="AO65" s="500"/>
      <c r="AP65" s="500"/>
      <c r="AQ65" s="500"/>
      <c r="AR65" s="500"/>
      <c r="AS65" s="500"/>
      <c r="AT65" s="500"/>
      <c r="AU65" s="500"/>
      <c r="AV65" s="500"/>
      <c r="AW65" s="500"/>
      <c r="AX65" s="500"/>
      <c r="AY65" s="500"/>
      <c r="AZ65" s="500"/>
      <c r="BA65" s="500"/>
      <c r="BB65" s="500"/>
      <c r="BC65" s="500"/>
      <c r="BD65" s="500"/>
      <c r="BE65" s="501"/>
      <c r="BF65" s="9"/>
      <c r="BG65" s="9"/>
    </row>
    <row r="66" spans="2:59" ht="15" customHeight="1" outlineLevel="1" x14ac:dyDescent="0.25">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row>
    <row r="67" spans="2:59" ht="15" customHeight="1" outlineLevel="1" x14ac:dyDescent="0.25">
      <c r="B67" s="9"/>
      <c r="C67" s="9"/>
      <c r="D67" s="2270" t="s">
        <v>293</v>
      </c>
      <c r="E67" s="2270"/>
      <c r="F67" s="2270"/>
      <c r="G67" s="2270"/>
      <c r="H67" s="2270"/>
      <c r="I67" s="2270"/>
      <c r="J67" s="2270"/>
      <c r="K67" s="2270"/>
      <c r="L67" s="2157" t="s">
        <v>605</v>
      </c>
      <c r="M67" s="2157"/>
      <c r="N67" s="2157"/>
      <c r="O67" s="2157"/>
      <c r="P67" s="2157" t="s">
        <v>411</v>
      </c>
      <c r="Q67" s="2157"/>
      <c r="R67" s="2157"/>
      <c r="S67" s="2157"/>
      <c r="T67" s="9"/>
      <c r="U67" s="9"/>
      <c r="V67" s="9"/>
      <c r="W67" s="2270" t="s">
        <v>293</v>
      </c>
      <c r="X67" s="2270"/>
      <c r="Y67" s="2270"/>
      <c r="Z67" s="2270"/>
      <c r="AA67" s="2270"/>
      <c r="AB67" s="2270"/>
      <c r="AC67" s="2270"/>
      <c r="AD67" s="2270"/>
      <c r="AE67" s="2157" t="s">
        <v>605</v>
      </c>
      <c r="AF67" s="2157"/>
      <c r="AG67" s="2157"/>
      <c r="AH67" s="2157"/>
      <c r="AI67" s="2157" t="s">
        <v>411</v>
      </c>
      <c r="AJ67" s="2157"/>
      <c r="AK67" s="2157"/>
      <c r="AL67" s="2157"/>
      <c r="AM67" s="9"/>
      <c r="AN67" s="9"/>
      <c r="AO67" s="9"/>
      <c r="AP67" s="2270" t="s">
        <v>293</v>
      </c>
      <c r="AQ67" s="2270"/>
      <c r="AR67" s="2270"/>
      <c r="AS67" s="2270"/>
      <c r="AT67" s="2270"/>
      <c r="AU67" s="2270"/>
      <c r="AV67" s="2270"/>
      <c r="AW67" s="2270"/>
      <c r="AX67" s="2157" t="s">
        <v>605</v>
      </c>
      <c r="AY67" s="2157"/>
      <c r="AZ67" s="2157"/>
      <c r="BA67" s="2157"/>
      <c r="BB67" s="2157" t="s">
        <v>411</v>
      </c>
      <c r="BC67" s="2157"/>
      <c r="BD67" s="2157"/>
      <c r="BE67" s="2157"/>
      <c r="BF67" s="9"/>
      <c r="BG67" s="9"/>
    </row>
    <row r="68" spans="2:59" ht="15" customHeight="1" outlineLevel="1" x14ac:dyDescent="0.25">
      <c r="B68" s="9"/>
      <c r="C68" s="504">
        <v>1</v>
      </c>
      <c r="D68" s="2119" t="s">
        <v>639</v>
      </c>
      <c r="E68" s="2120"/>
      <c r="F68" s="2120"/>
      <c r="G68" s="2120"/>
      <c r="H68" s="2120"/>
      <c r="I68" s="2120"/>
      <c r="J68" s="2120"/>
      <c r="K68" s="2121"/>
      <c r="L68" s="2122">
        <f>CHOOSE($K$61,FURNITURE!M36,FURNITURE!N36,FURNITURE!O36,FURNITURE!P36,FURNITURE!Q36)</f>
        <v>0</v>
      </c>
      <c r="M68" s="2122"/>
      <c r="N68" s="2122"/>
      <c r="O68" s="2122"/>
      <c r="P68" s="2123">
        <v>0</v>
      </c>
      <c r="Q68" s="2124"/>
      <c r="R68" s="2124"/>
      <c r="S68" s="2124"/>
      <c r="T68" s="9"/>
      <c r="U68" s="9"/>
      <c r="V68" s="504">
        <v>6</v>
      </c>
      <c r="W68" s="2119" t="s">
        <v>653</v>
      </c>
      <c r="X68" s="2120"/>
      <c r="Y68" s="2120"/>
      <c r="Z68" s="2120"/>
      <c r="AA68" s="2120"/>
      <c r="AB68" s="2120"/>
      <c r="AC68" s="2120"/>
      <c r="AD68" s="2121"/>
      <c r="AE68" s="2122">
        <f>CHOOSE($K$61,FURNITURE!M226,FURNITURE!N226,FURNITURE!O226,FURNITURE!P226,FURNITURE!Q226)</f>
        <v>0</v>
      </c>
      <c r="AF68" s="2122"/>
      <c r="AG68" s="2122"/>
      <c r="AH68" s="2122"/>
      <c r="AI68" s="2123">
        <v>0</v>
      </c>
      <c r="AJ68" s="2124"/>
      <c r="AK68" s="2124"/>
      <c r="AL68" s="2124"/>
      <c r="AM68" s="9"/>
      <c r="AN68" s="9"/>
      <c r="AO68" s="504">
        <v>11</v>
      </c>
      <c r="AP68" s="2119" t="s">
        <v>694</v>
      </c>
      <c r="AQ68" s="2120"/>
      <c r="AR68" s="2120"/>
      <c r="AS68" s="2120"/>
      <c r="AT68" s="2120"/>
      <c r="AU68" s="2120"/>
      <c r="AV68" s="2120"/>
      <c r="AW68" s="2121"/>
      <c r="AX68" s="2122">
        <f>CHOOSE($K$61,FURNITURE!M416,FURNITURE!N416,FURNITURE!O416,FURNITURE!P416,FURNITURE!Q416)</f>
        <v>0</v>
      </c>
      <c r="AY68" s="2122"/>
      <c r="AZ68" s="2122"/>
      <c r="BA68" s="2122"/>
      <c r="BB68" s="2123">
        <v>0</v>
      </c>
      <c r="BC68" s="2124"/>
      <c r="BD68" s="2124"/>
      <c r="BE68" s="2124"/>
      <c r="BF68" s="9"/>
      <c r="BG68" s="9"/>
    </row>
    <row r="69" spans="2:59" ht="15" customHeight="1" outlineLevel="1" x14ac:dyDescent="0.25">
      <c r="B69" s="9"/>
      <c r="C69" s="503">
        <v>2</v>
      </c>
      <c r="D69" s="2119" t="s">
        <v>693</v>
      </c>
      <c r="E69" s="2120"/>
      <c r="F69" s="2120"/>
      <c r="G69" s="2120"/>
      <c r="H69" s="2120"/>
      <c r="I69" s="2120"/>
      <c r="J69" s="2120"/>
      <c r="K69" s="2121"/>
      <c r="L69" s="2122">
        <f>CHOOSE($K$61,FURNITURE!M74,FURNITURE!N74,FURNITURE!O74,FURNITURE!P74,FURNITURE!Q74)</f>
        <v>0</v>
      </c>
      <c r="M69" s="2122"/>
      <c r="N69" s="2122"/>
      <c r="O69" s="2122"/>
      <c r="P69" s="2123">
        <v>0</v>
      </c>
      <c r="Q69" s="2124"/>
      <c r="R69" s="2124"/>
      <c r="S69" s="2124"/>
      <c r="T69" s="9"/>
      <c r="U69" s="9"/>
      <c r="V69" s="503">
        <v>7</v>
      </c>
      <c r="W69" s="2119" t="s">
        <v>655</v>
      </c>
      <c r="X69" s="2120"/>
      <c r="Y69" s="2120"/>
      <c r="Z69" s="2120"/>
      <c r="AA69" s="2120"/>
      <c r="AB69" s="2120"/>
      <c r="AC69" s="2120"/>
      <c r="AD69" s="2121"/>
      <c r="AE69" s="2122">
        <f>CHOOSE($K$61,FURNITURE!M264,FURNITURE!N264,FURNITURE!O264,FURNITURE!P264,FURNITURE!Q264)</f>
        <v>0</v>
      </c>
      <c r="AF69" s="2122"/>
      <c r="AG69" s="2122"/>
      <c r="AH69" s="2122"/>
      <c r="AI69" s="2123">
        <v>0</v>
      </c>
      <c r="AJ69" s="2124"/>
      <c r="AK69" s="2124"/>
      <c r="AL69" s="2124"/>
      <c r="AM69" s="9"/>
      <c r="AN69" s="9"/>
      <c r="AO69" s="503">
        <v>12</v>
      </c>
      <c r="AP69" s="2119" t="s">
        <v>421</v>
      </c>
      <c r="AQ69" s="2120"/>
      <c r="AR69" s="2120"/>
      <c r="AS69" s="2120"/>
      <c r="AT69" s="2120"/>
      <c r="AU69" s="2120"/>
      <c r="AV69" s="2120"/>
      <c r="AW69" s="2121"/>
      <c r="AX69" s="2122">
        <f>CHOOSE($K$61,FURNITURE!M454,FURNITURE!N454,FURNITURE!O454,FURNITURE!P454,FURNITURE!Q454)</f>
        <v>0</v>
      </c>
      <c r="AY69" s="2122"/>
      <c r="AZ69" s="2122"/>
      <c r="BA69" s="2122"/>
      <c r="BB69" s="2123">
        <v>0</v>
      </c>
      <c r="BC69" s="2124"/>
      <c r="BD69" s="2124"/>
      <c r="BE69" s="2124"/>
      <c r="BF69" s="9"/>
      <c r="BG69" s="9"/>
    </row>
    <row r="70" spans="2:59" ht="15" customHeight="1" outlineLevel="1" x14ac:dyDescent="0.25">
      <c r="B70" s="9"/>
      <c r="C70" s="503">
        <v>3</v>
      </c>
      <c r="D70" s="2119" t="s">
        <v>643</v>
      </c>
      <c r="E70" s="2120"/>
      <c r="F70" s="2120"/>
      <c r="G70" s="2120"/>
      <c r="H70" s="2120"/>
      <c r="I70" s="2120"/>
      <c r="J70" s="2120"/>
      <c r="K70" s="2121"/>
      <c r="L70" s="2122">
        <f>CHOOSE($K$61,FURNITURE!M112,FURNITURE!N112,FURNITURE!O112,FURNITURE!P112,FURNITURE!Q112)</f>
        <v>0</v>
      </c>
      <c r="M70" s="2122"/>
      <c r="N70" s="2122"/>
      <c r="O70" s="2122"/>
      <c r="P70" s="2123">
        <v>0</v>
      </c>
      <c r="Q70" s="2124"/>
      <c r="R70" s="2124"/>
      <c r="S70" s="2124"/>
      <c r="T70" s="9"/>
      <c r="U70" s="9"/>
      <c r="V70" s="503">
        <v>8</v>
      </c>
      <c r="W70" s="2119" t="s">
        <v>636</v>
      </c>
      <c r="X70" s="2120"/>
      <c r="Y70" s="2120"/>
      <c r="Z70" s="2120"/>
      <c r="AA70" s="2120"/>
      <c r="AB70" s="2120"/>
      <c r="AC70" s="2120"/>
      <c r="AD70" s="2121"/>
      <c r="AE70" s="2122">
        <f>CHOOSE($K$61,FURNITURE!M302,FURNITURE!N302,FURNITURE!O302,FURNITURE!P302,FURNITURE!Q302)</f>
        <v>0</v>
      </c>
      <c r="AF70" s="2122"/>
      <c r="AG70" s="2122"/>
      <c r="AH70" s="2122"/>
      <c r="AI70" s="2123">
        <v>0</v>
      </c>
      <c r="AJ70" s="2124"/>
      <c r="AK70" s="2124"/>
      <c r="AL70" s="2124"/>
      <c r="AM70" s="9"/>
      <c r="AN70" s="9"/>
      <c r="AO70" s="503">
        <v>13</v>
      </c>
      <c r="AP70" s="2119" t="s">
        <v>647</v>
      </c>
      <c r="AQ70" s="2120"/>
      <c r="AR70" s="2120"/>
      <c r="AS70" s="2120"/>
      <c r="AT70" s="2120"/>
      <c r="AU70" s="2120"/>
      <c r="AV70" s="2120"/>
      <c r="AW70" s="2121"/>
      <c r="AX70" s="2122">
        <f>CHOOSE($K$61,FURNITURE!M492,FURNITURE!N492,FURNITURE!O492,FURNITURE!P492,FURNITURE!Q492)</f>
        <v>0</v>
      </c>
      <c r="AY70" s="2122"/>
      <c r="AZ70" s="2122"/>
      <c r="BA70" s="2122"/>
      <c r="BB70" s="2123">
        <v>0</v>
      </c>
      <c r="BC70" s="2124"/>
      <c r="BD70" s="2124"/>
      <c r="BE70" s="2124"/>
      <c r="BF70" s="9"/>
      <c r="BG70" s="9"/>
    </row>
    <row r="71" spans="2:59" ht="15" customHeight="1" x14ac:dyDescent="0.25">
      <c r="B71" s="9"/>
      <c r="C71" s="503">
        <v>4</v>
      </c>
      <c r="D71" s="2119" t="s">
        <v>649</v>
      </c>
      <c r="E71" s="2120"/>
      <c r="F71" s="2120"/>
      <c r="G71" s="2120"/>
      <c r="H71" s="2120"/>
      <c r="I71" s="2120"/>
      <c r="J71" s="2120"/>
      <c r="K71" s="2121"/>
      <c r="L71" s="2122">
        <f>CHOOSE(K61,FURNITURE!M150,FURNITURE!N150,FURNITURE!O150,FURNITURE!P150,FURNITURE!Q150)</f>
        <v>0</v>
      </c>
      <c r="M71" s="2122"/>
      <c r="N71" s="2122"/>
      <c r="O71" s="2122"/>
      <c r="P71" s="2123">
        <v>0</v>
      </c>
      <c r="Q71" s="2124"/>
      <c r="R71" s="2124"/>
      <c r="S71" s="2124"/>
      <c r="T71" s="9"/>
      <c r="U71" s="9"/>
      <c r="V71" s="503">
        <v>9</v>
      </c>
      <c r="W71" s="2119" t="s">
        <v>640</v>
      </c>
      <c r="X71" s="2120"/>
      <c r="Y71" s="2120"/>
      <c r="Z71" s="2120"/>
      <c r="AA71" s="2120"/>
      <c r="AB71" s="2120"/>
      <c r="AC71" s="2120"/>
      <c r="AD71" s="2121"/>
      <c r="AE71" s="2122">
        <f>CHOOSE($K$61,FURNITURE!M340,FURNITURE!N340,FURNITURE!O340,FURNITURE!P340,FURNITURE!Q340)</f>
        <v>0</v>
      </c>
      <c r="AF71" s="2122"/>
      <c r="AG71" s="2122"/>
      <c r="AH71" s="2122"/>
      <c r="AI71" s="2123">
        <v>0</v>
      </c>
      <c r="AJ71" s="2124"/>
      <c r="AK71" s="2124"/>
      <c r="AL71" s="2124"/>
      <c r="AM71" s="9"/>
      <c r="AN71" s="9"/>
      <c r="AO71" s="503">
        <v>14</v>
      </c>
      <c r="AP71" s="2119" t="s">
        <v>606</v>
      </c>
      <c r="AQ71" s="2120"/>
      <c r="AR71" s="2120"/>
      <c r="AS71" s="2120"/>
      <c r="AT71" s="2120"/>
      <c r="AU71" s="2120"/>
      <c r="AV71" s="2120"/>
      <c r="AW71" s="2121"/>
      <c r="AX71" s="2122">
        <f>CHOOSE($K$61,FURNITURE!M530,FURNITURE!N530,FURNITURE!O530,FURNITURE!P530,FURNITURE!Q530)</f>
        <v>0</v>
      </c>
      <c r="AY71" s="2122"/>
      <c r="AZ71" s="2122"/>
      <c r="BA71" s="2122"/>
      <c r="BB71" s="2123">
        <v>0</v>
      </c>
      <c r="BC71" s="2124"/>
      <c r="BD71" s="2124"/>
      <c r="BE71" s="2124"/>
      <c r="BF71" s="9"/>
      <c r="BG71" s="9"/>
    </row>
    <row r="72" spans="2:59" ht="15" customHeight="1" x14ac:dyDescent="0.25">
      <c r="B72" s="9"/>
      <c r="C72" s="503">
        <v>5</v>
      </c>
      <c r="D72" s="2119" t="s">
        <v>651</v>
      </c>
      <c r="E72" s="2120"/>
      <c r="F72" s="2120"/>
      <c r="G72" s="2120"/>
      <c r="H72" s="2120"/>
      <c r="I72" s="2120"/>
      <c r="J72" s="2120"/>
      <c r="K72" s="2121"/>
      <c r="L72" s="2122">
        <f>CHOOSE($K$61,FURNITURE!M188,FURNITURE!N188,FURNITURE!O188,FURNITURE!P188,FURNITURE!Q188)</f>
        <v>0</v>
      </c>
      <c r="M72" s="2122"/>
      <c r="N72" s="2122"/>
      <c r="O72" s="2122"/>
      <c r="P72" s="2123">
        <v>0</v>
      </c>
      <c r="Q72" s="2124"/>
      <c r="R72" s="2124"/>
      <c r="S72" s="2124"/>
      <c r="T72" s="9"/>
      <c r="U72" s="9"/>
      <c r="V72" s="503">
        <v>10</v>
      </c>
      <c r="W72" s="2119" t="s">
        <v>644</v>
      </c>
      <c r="X72" s="2120"/>
      <c r="Y72" s="2120"/>
      <c r="Z72" s="2120"/>
      <c r="AA72" s="2120"/>
      <c r="AB72" s="2120"/>
      <c r="AC72" s="2120"/>
      <c r="AD72" s="2121"/>
      <c r="AE72" s="2122">
        <f>CHOOSE($K$61,FURNITURE!M378,FURNITURE!N378,FURNITURE!O378,FURNITURE!P378,FURNITURE!Q378)</f>
        <v>0</v>
      </c>
      <c r="AF72" s="2122"/>
      <c r="AG72" s="2122"/>
      <c r="AH72" s="2122"/>
      <c r="AI72" s="2123">
        <v>0</v>
      </c>
      <c r="AJ72" s="2124"/>
      <c r="AK72" s="2124"/>
      <c r="AL72" s="2124"/>
      <c r="AM72" s="9"/>
      <c r="AN72" s="9"/>
      <c r="AO72" s="503">
        <v>15</v>
      </c>
      <c r="AP72" s="2119" t="s">
        <v>66</v>
      </c>
      <c r="AQ72" s="2120"/>
      <c r="AR72" s="2120"/>
      <c r="AS72" s="2120"/>
      <c r="AT72" s="2120"/>
      <c r="AU72" s="2120"/>
      <c r="AV72" s="2120"/>
      <c r="AW72" s="2121"/>
      <c r="AX72" s="2122">
        <f>CHOOSE($K$61,FURNITURE!M568,FURNITURE!N568,FURNITURE!O568,FURNITURE!P568,FURNITURE!Q568)</f>
        <v>0</v>
      </c>
      <c r="AY72" s="2122"/>
      <c r="AZ72" s="2122"/>
      <c r="BA72" s="2122"/>
      <c r="BB72" s="2123">
        <v>0</v>
      </c>
      <c r="BC72" s="2124"/>
      <c r="BD72" s="2124"/>
      <c r="BE72" s="2124"/>
      <c r="BF72" s="9"/>
      <c r="BG72" s="9"/>
    </row>
    <row r="73" spans="2:59" ht="15" customHeight="1" x14ac:dyDescent="0.2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row>
    <row r="74" spans="2:59" ht="15" customHeight="1" outlineLevel="1" x14ac:dyDescent="0.25"/>
    <row r="75" spans="2:59" ht="15" customHeight="1" outlineLevel="1" x14ac:dyDescent="0.25"/>
    <row r="76" spans="2:59" ht="15" customHeight="1" outlineLevel="1" x14ac:dyDescent="0.25">
      <c r="B76" s="521" t="s">
        <v>238</v>
      </c>
      <c r="C76" s="598"/>
      <c r="D76" s="598"/>
      <c r="E76" s="598"/>
      <c r="F76" s="598"/>
      <c r="G76" s="598"/>
      <c r="H76" s="598"/>
      <c r="I76" s="598"/>
      <c r="J76" s="598"/>
      <c r="K76" s="598"/>
      <c r="L76" s="598"/>
      <c r="M76" s="598"/>
      <c r="N76" s="598"/>
      <c r="O76" s="598"/>
      <c r="P76" s="598"/>
      <c r="Q76" s="598"/>
      <c r="R76" s="598"/>
      <c r="S76" s="598"/>
      <c r="T76" s="598"/>
      <c r="U76" s="598"/>
      <c r="V76" s="598"/>
      <c r="W76" s="598"/>
      <c r="X76" s="598"/>
      <c r="Y76" s="598"/>
      <c r="Z76" s="598"/>
      <c r="AA76" s="598"/>
      <c r="AB76" s="598"/>
      <c r="AC76" s="598"/>
      <c r="AD76" s="598"/>
      <c r="AE76" s="598"/>
      <c r="AF76" s="598"/>
      <c r="AG76" s="598"/>
      <c r="AH76" s="598"/>
      <c r="AI76" s="598"/>
      <c r="AJ76" s="598"/>
      <c r="AK76" s="598"/>
      <c r="AL76" s="598"/>
      <c r="AM76" s="598"/>
      <c r="AN76" s="598"/>
      <c r="AO76" s="598"/>
      <c r="AP76" s="598"/>
      <c r="AQ76" s="598"/>
      <c r="AR76" s="598"/>
      <c r="AS76" s="598"/>
      <c r="AT76" s="598"/>
      <c r="AU76" s="598"/>
      <c r="AV76" s="598"/>
      <c r="AW76" s="598"/>
      <c r="AX76" s="598"/>
      <c r="AY76" s="598"/>
      <c r="AZ76" s="598"/>
      <c r="BA76" s="598"/>
      <c r="BB76" s="598"/>
      <c r="BC76" s="598"/>
      <c r="BD76" s="598"/>
      <c r="BE76" s="598"/>
      <c r="BF76" s="598"/>
      <c r="BG76" s="598"/>
    </row>
    <row r="77" spans="2:59" ht="15" customHeight="1" outlineLevel="1" x14ac:dyDescent="0.25">
      <c r="B77" s="89"/>
      <c r="C77" s="89"/>
      <c r="D77" s="89"/>
      <c r="E77" s="89"/>
      <c r="F77" s="89"/>
      <c r="G77" s="89"/>
      <c r="H77" s="89"/>
      <c r="I77" s="89"/>
      <c r="J77" s="89"/>
      <c r="K77" s="89"/>
      <c r="L77" s="90"/>
      <c r="M77" s="90"/>
      <c r="N77" s="90"/>
      <c r="O77" s="90"/>
      <c r="P77" s="90"/>
      <c r="Q77" s="90"/>
      <c r="R77" s="90"/>
      <c r="S77" s="90"/>
      <c r="T77" s="2"/>
      <c r="U77" s="2"/>
      <c r="V77" s="2"/>
      <c r="W77" s="2"/>
      <c r="X77" s="2"/>
      <c r="Y77" s="90"/>
      <c r="Z77" s="90"/>
      <c r="AA77" s="2"/>
      <c r="AB77" s="2"/>
      <c r="AC77" s="90"/>
      <c r="AD77" s="90"/>
      <c r="AE77" s="90"/>
      <c r="AF77" s="90"/>
      <c r="AG77" s="90"/>
      <c r="AH77" s="90"/>
      <c r="AI77" s="2"/>
      <c r="AJ77" s="2"/>
      <c r="AK77" s="2"/>
      <c r="AL77" s="2"/>
      <c r="AM77" s="2"/>
      <c r="AN77" s="2"/>
      <c r="AO77" s="2"/>
      <c r="AP77" s="2"/>
      <c r="AQ77" s="2"/>
      <c r="AR77" s="2"/>
      <c r="AS77" s="2"/>
      <c r="AT77" s="2"/>
      <c r="AU77" s="2"/>
      <c r="AV77" s="2"/>
      <c r="AW77" s="2"/>
      <c r="AX77" s="2"/>
      <c r="AY77" s="2"/>
      <c r="AZ77" s="2"/>
      <c r="BA77" s="2"/>
      <c r="BB77" s="2"/>
      <c r="BC77" s="2"/>
      <c r="BD77" s="2"/>
      <c r="BE77" s="2"/>
      <c r="BF77" s="2"/>
      <c r="BG77" s="2"/>
    </row>
    <row r="78" spans="2:59" ht="15" customHeight="1" outlineLevel="1" x14ac:dyDescent="0.25">
      <c r="B78" s="89"/>
      <c r="C78" s="499">
        <v>1</v>
      </c>
      <c r="D78" s="499" t="s">
        <v>278</v>
      </c>
      <c r="E78" s="500"/>
      <c r="F78" s="500"/>
      <c r="G78" s="500"/>
      <c r="H78" s="500"/>
      <c r="I78" s="500"/>
      <c r="J78" s="500"/>
      <c r="K78" s="500"/>
      <c r="L78" s="500"/>
      <c r="M78" s="500"/>
      <c r="N78" s="500"/>
      <c r="O78" s="500"/>
      <c r="P78" s="500"/>
      <c r="Q78" s="500"/>
      <c r="R78" s="501"/>
      <c r="S78" s="90"/>
      <c r="T78" s="2"/>
      <c r="U78" s="2"/>
      <c r="V78" s="499">
        <v>2</v>
      </c>
      <c r="W78" s="499" t="s">
        <v>281</v>
      </c>
      <c r="X78" s="500"/>
      <c r="Y78" s="500"/>
      <c r="Z78" s="500"/>
      <c r="AA78" s="500"/>
      <c r="AB78" s="500"/>
      <c r="AC78" s="500"/>
      <c r="AD78" s="500"/>
      <c r="AE78" s="500"/>
      <c r="AF78" s="500"/>
      <c r="AG78" s="500"/>
      <c r="AH78" s="500"/>
      <c r="AI78" s="500"/>
      <c r="AJ78" s="500"/>
      <c r="AK78" s="501"/>
      <c r="AL78" s="501"/>
      <c r="AM78" s="2"/>
      <c r="AN78" s="2"/>
      <c r="AO78" s="2"/>
      <c r="AP78" s="499">
        <v>4</v>
      </c>
      <c r="AQ78" s="499" t="s">
        <v>280</v>
      </c>
      <c r="AR78" s="500"/>
      <c r="AS78" s="500"/>
      <c r="AT78" s="500"/>
      <c r="AU78" s="500"/>
      <c r="AV78" s="500"/>
      <c r="AW78" s="500"/>
      <c r="AX78" s="500"/>
      <c r="AY78" s="500"/>
      <c r="AZ78" s="500"/>
      <c r="BA78" s="500"/>
      <c r="BB78" s="500"/>
      <c r="BC78" s="500"/>
      <c r="BD78" s="500"/>
      <c r="BE78" s="501"/>
      <c r="BF78" s="501"/>
      <c r="BG78" s="2"/>
    </row>
    <row r="79" spans="2:59" ht="15" customHeight="1" outlineLevel="1" x14ac:dyDescent="0.25">
      <c r="B79" s="89"/>
      <c r="C79" s="2"/>
      <c r="D79" s="96"/>
      <c r="E79" s="96"/>
      <c r="F79" s="96"/>
      <c r="G79" s="96"/>
      <c r="H79" s="96"/>
      <c r="I79" s="96"/>
      <c r="J79" s="96"/>
      <c r="K79" s="2157" t="s">
        <v>267</v>
      </c>
      <c r="L79" s="2157"/>
      <c r="M79" s="2157"/>
      <c r="N79" s="2157"/>
      <c r="O79" s="2157" t="s">
        <v>130</v>
      </c>
      <c r="P79" s="2157"/>
      <c r="Q79" s="2157"/>
      <c r="R79" s="2157"/>
      <c r="S79" s="606"/>
      <c r="T79" s="93"/>
      <c r="U79" s="93"/>
      <c r="V79" s="2"/>
      <c r="W79" s="2"/>
      <c r="X79" s="2"/>
      <c r="Y79" s="2"/>
      <c r="Z79" s="2"/>
      <c r="AA79" s="2"/>
      <c r="AB79" s="2"/>
      <c r="AC79" s="2"/>
      <c r="AD79" s="2157" t="s">
        <v>267</v>
      </c>
      <c r="AE79" s="2157"/>
      <c r="AF79" s="2157"/>
      <c r="AG79" s="2157"/>
      <c r="AH79" s="2157" t="s">
        <v>130</v>
      </c>
      <c r="AI79" s="2157"/>
      <c r="AJ79" s="2157"/>
      <c r="AK79" s="2157"/>
      <c r="AL79" s="2157"/>
      <c r="AM79" s="2"/>
      <c r="AN79" s="2"/>
      <c r="AO79" s="2"/>
      <c r="AP79" s="2"/>
      <c r="AQ79" s="2"/>
      <c r="AR79" s="2"/>
      <c r="AS79" s="2"/>
      <c r="AT79" s="2"/>
      <c r="AU79" s="607"/>
      <c r="AV79" s="607"/>
      <c r="AW79" s="607"/>
      <c r="AX79" s="607"/>
      <c r="AY79" s="607"/>
      <c r="AZ79" s="2"/>
      <c r="BA79" s="608"/>
      <c r="BB79" s="608"/>
      <c r="BC79" s="152"/>
      <c r="BD79" s="152"/>
      <c r="BE79" s="152"/>
      <c r="BF79" s="152"/>
      <c r="BG79" s="2"/>
    </row>
    <row r="80" spans="2:59" ht="15" customHeight="1" outlineLevel="1" x14ac:dyDescent="0.25">
      <c r="B80" s="1791" t="s">
        <v>1149</v>
      </c>
      <c r="C80" s="98" t="s">
        <v>5</v>
      </c>
      <c r="D80" s="92"/>
      <c r="E80" s="92"/>
      <c r="F80" s="92"/>
      <c r="G80" s="92"/>
      <c r="H80" s="92"/>
      <c r="I80" s="92"/>
      <c r="J80" s="92"/>
      <c r="K80" s="2249">
        <v>0.03</v>
      </c>
      <c r="L80" s="2250"/>
      <c r="M80" s="2250"/>
      <c r="N80" s="2251"/>
      <c r="O80" s="2316">
        <f>IFERROR(K80*D27,0)</f>
        <v>3480</v>
      </c>
      <c r="P80" s="2316"/>
      <c r="Q80" s="2316"/>
      <c r="R80" s="2316"/>
      <c r="S80" s="606"/>
      <c r="T80" s="2"/>
      <c r="U80" s="1791" t="s">
        <v>1149</v>
      </c>
      <c r="V80" s="92" t="s">
        <v>78</v>
      </c>
      <c r="W80" s="92"/>
      <c r="X80" s="92"/>
      <c r="Y80" s="92"/>
      <c r="Z80" s="92"/>
      <c r="AA80" s="92"/>
      <c r="AB80" s="92"/>
      <c r="AC80" s="92"/>
      <c r="AD80" s="2154">
        <f>(AE14/(purchase_price_input+AE13+AE15+AE16))</f>
        <v>2.9999965116319631E-2</v>
      </c>
      <c r="AE80" s="2155"/>
      <c r="AF80" s="2155"/>
      <c r="AG80" s="2156"/>
      <c r="AH80" s="2405">
        <f>AD80*AZ88</f>
        <v>3569.0958498885466</v>
      </c>
      <c r="AI80" s="2406"/>
      <c r="AJ80" s="2406"/>
      <c r="AK80" s="2406"/>
      <c r="AL80" s="2407"/>
      <c r="AM80" s="2"/>
      <c r="AN80" s="2"/>
      <c r="AO80" s="2"/>
      <c r="AP80" s="623" t="s">
        <v>49</v>
      </c>
      <c r="AQ80" s="9"/>
      <c r="AR80" s="2"/>
      <c r="AS80" s="610"/>
      <c r="AT80" s="606"/>
      <c r="AU80" s="2"/>
      <c r="AV80" s="2"/>
      <c r="AW80" s="2"/>
      <c r="AX80" s="2"/>
      <c r="AY80" s="2"/>
      <c r="AZ80" s="2402">
        <f>D27</f>
        <v>116000</v>
      </c>
      <c r="BA80" s="2402"/>
      <c r="BB80" s="2402"/>
      <c r="BC80" s="2402"/>
      <c r="BD80" s="2"/>
      <c r="BE80" s="2115">
        <f>IFERROR(AZ80/$AZ$85,0)</f>
        <v>0.92049358943805848</v>
      </c>
      <c r="BF80" s="2115"/>
      <c r="BG80" s="2"/>
    </row>
    <row r="81" spans="2:59" ht="15" customHeight="1" outlineLevel="1" x14ac:dyDescent="0.25">
      <c r="B81" s="611"/>
      <c r="C81" s="98" t="s">
        <v>264</v>
      </c>
      <c r="D81" s="92"/>
      <c r="E81" s="92"/>
      <c r="F81" s="92"/>
      <c r="G81" s="92"/>
      <c r="H81" s="92"/>
      <c r="I81" s="92"/>
      <c r="J81" s="92"/>
      <c r="K81" s="2165">
        <f>IFERROR(1-K80,0)</f>
        <v>0.97</v>
      </c>
      <c r="L81" s="2165"/>
      <c r="M81" s="2165"/>
      <c r="N81" s="2165"/>
      <c r="O81" s="2316">
        <f>IFERROR(K81*D27,0)</f>
        <v>112520</v>
      </c>
      <c r="P81" s="2316"/>
      <c r="Q81" s="2316"/>
      <c r="R81" s="2316"/>
      <c r="S81" s="606"/>
      <c r="T81" s="2"/>
      <c r="U81" s="1791" t="s">
        <v>1149</v>
      </c>
      <c r="V81" s="92" t="s">
        <v>139</v>
      </c>
      <c r="W81" s="92"/>
      <c r="X81" s="92"/>
      <c r="Y81" s="92"/>
      <c r="Z81" s="92"/>
      <c r="AA81" s="92"/>
      <c r="AB81" s="92"/>
      <c r="AC81" s="92"/>
      <c r="AD81" s="2154">
        <v>0</v>
      </c>
      <c r="AE81" s="2155"/>
      <c r="AF81" s="2155"/>
      <c r="AG81" s="2156"/>
      <c r="AH81" s="2"/>
      <c r="AI81" s="2"/>
      <c r="AJ81" s="2"/>
      <c r="AK81" s="2"/>
      <c r="AL81" s="2"/>
      <c r="AM81" s="2"/>
      <c r="AN81" s="2"/>
      <c r="AO81" s="2"/>
      <c r="AP81" s="623" t="s">
        <v>376</v>
      </c>
      <c r="AQ81" s="9"/>
      <c r="AR81" s="2"/>
      <c r="AS81" s="610"/>
      <c r="AT81" s="606"/>
      <c r="AU81" s="2"/>
      <c r="AV81" s="2"/>
      <c r="AW81" s="2"/>
      <c r="AX81" s="2"/>
      <c r="AY81" s="2"/>
      <c r="AZ81" s="2402">
        <f>AE13</f>
        <v>0</v>
      </c>
      <c r="BA81" s="2402"/>
      <c r="BB81" s="2402"/>
      <c r="BC81" s="2402"/>
      <c r="BD81" s="2"/>
      <c r="BE81" s="2115">
        <f>IFERROR(AZ81/$AZ$85,0)</f>
        <v>0</v>
      </c>
      <c r="BF81" s="2115"/>
      <c r="BG81" s="2"/>
    </row>
    <row r="82" spans="2:59" ht="15" customHeight="1" outlineLevel="1" x14ac:dyDescent="0.25">
      <c r="B82" s="611"/>
      <c r="C82" s="401" t="s">
        <v>266</v>
      </c>
      <c r="D82" s="624"/>
      <c r="E82" s="624"/>
      <c r="F82" s="624"/>
      <c r="G82" s="624"/>
      <c r="H82" s="624"/>
      <c r="I82" s="624"/>
      <c r="J82" s="624"/>
      <c r="K82" s="2285">
        <f>SUM(K80:N81)</f>
        <v>1</v>
      </c>
      <c r="L82" s="2285"/>
      <c r="M82" s="2285"/>
      <c r="N82" s="2285"/>
      <c r="O82" s="2315">
        <f>SUM(O80:R81)</f>
        <v>116000</v>
      </c>
      <c r="P82" s="2315"/>
      <c r="Q82" s="2315"/>
      <c r="R82" s="2315"/>
      <c r="S82" s="606"/>
      <c r="T82" s="2"/>
      <c r="U82" s="1791" t="s">
        <v>1149</v>
      </c>
      <c r="V82" s="92" t="s">
        <v>374</v>
      </c>
      <c r="W82" s="92"/>
      <c r="X82" s="92"/>
      <c r="Y82" s="92"/>
      <c r="Z82" s="92"/>
      <c r="AA82" s="92"/>
      <c r="AB82" s="92"/>
      <c r="AC82" s="92"/>
      <c r="AD82" s="2140">
        <v>0</v>
      </c>
      <c r="AE82" s="2141"/>
      <c r="AF82" s="2141"/>
      <c r="AG82" s="2142"/>
      <c r="AH82" s="2"/>
      <c r="AI82" s="2"/>
      <c r="AJ82" s="2"/>
      <c r="AK82" s="2"/>
      <c r="AL82" s="2"/>
      <c r="AM82" s="2"/>
      <c r="AN82" s="2"/>
      <c r="AO82" s="9"/>
      <c r="AP82" s="623" t="str">
        <f>V16</f>
        <v>Furniture &amp; Appliances :</v>
      </c>
      <c r="AQ82" s="9"/>
      <c r="AR82" s="2"/>
      <c r="AS82" s="610"/>
      <c r="AT82" s="606"/>
      <c r="AU82" s="2"/>
      <c r="AV82" s="2"/>
      <c r="AW82" s="2"/>
      <c r="AX82" s="2"/>
      <c r="AY82" s="2"/>
      <c r="AZ82" s="2402">
        <f>AE16</f>
        <v>0.25</v>
      </c>
      <c r="BA82" s="2402"/>
      <c r="BB82" s="2402"/>
      <c r="BC82" s="2402"/>
      <c r="BD82" s="2"/>
      <c r="BE82" s="2115">
        <f>IFERROR(AZ82/$AZ$85,0)</f>
        <v>1.9838223910302983E-6</v>
      </c>
      <c r="BF82" s="2115"/>
      <c r="BG82" s="2"/>
    </row>
    <row r="83" spans="2:59" ht="15" customHeight="1" outlineLevel="1" x14ac:dyDescent="0.25">
      <c r="B83" s="89"/>
      <c r="C83" s="2"/>
      <c r="D83" s="2"/>
      <c r="E83" s="2"/>
      <c r="F83" s="2"/>
      <c r="G83" s="2"/>
      <c r="H83" s="2"/>
      <c r="I83" s="2"/>
      <c r="J83" s="2"/>
      <c r="K83" s="2"/>
      <c r="L83" s="2"/>
      <c r="M83" s="2"/>
      <c r="N83" s="2"/>
      <c r="O83" s="2"/>
      <c r="P83" s="2"/>
      <c r="Q83" s="2"/>
      <c r="R83" s="2"/>
      <c r="S83" s="606"/>
      <c r="T83" s="2"/>
      <c r="U83" s="1791" t="s">
        <v>1149</v>
      </c>
      <c r="V83" s="92" t="s">
        <v>8</v>
      </c>
      <c r="W83" s="92"/>
      <c r="X83" s="92"/>
      <c r="Y83" s="92"/>
      <c r="Z83" s="92"/>
      <c r="AA83" s="92"/>
      <c r="AB83" s="92"/>
      <c r="AC83" s="92"/>
      <c r="AD83" s="2154">
        <v>0</v>
      </c>
      <c r="AE83" s="2155"/>
      <c r="AF83" s="2155"/>
      <c r="AG83" s="2156"/>
      <c r="AH83" s="2"/>
      <c r="AI83" s="2"/>
      <c r="AJ83" s="2"/>
      <c r="AK83" s="2"/>
      <c r="AL83" s="2"/>
      <c r="AM83" s="2"/>
      <c r="AN83" s="2"/>
      <c r="AO83" s="2"/>
      <c r="AP83" s="623" t="s">
        <v>726</v>
      </c>
      <c r="AQ83" s="9"/>
      <c r="AR83" s="9"/>
      <c r="AS83" s="9"/>
      <c r="AT83" s="9"/>
      <c r="AU83" s="9"/>
      <c r="AV83" s="9"/>
      <c r="AW83" s="9"/>
      <c r="AX83" s="9"/>
      <c r="AY83" s="9"/>
      <c r="AZ83" s="2402">
        <f>+AE14+AE15</f>
        <v>6450</v>
      </c>
      <c r="BA83" s="2402"/>
      <c r="BB83" s="2402"/>
      <c r="BC83" s="2402"/>
      <c r="BD83" s="9"/>
      <c r="BE83" s="2115">
        <f>IFERROR(AZ83/$AZ$85,0)</f>
        <v>5.1182617688581698E-2</v>
      </c>
      <c r="BF83" s="2115"/>
      <c r="BG83" s="2"/>
    </row>
    <row r="84" spans="2:59" ht="15" customHeight="1" outlineLevel="1" thickBot="1" x14ac:dyDescent="0.3">
      <c r="B84" s="89"/>
      <c r="C84" s="98" t="s">
        <v>275</v>
      </c>
      <c r="D84" s="2"/>
      <c r="E84" s="2"/>
      <c r="F84" s="2"/>
      <c r="G84" s="2"/>
      <c r="H84" s="2"/>
      <c r="I84" s="2"/>
      <c r="J84" s="2"/>
      <c r="K84" s="2"/>
      <c r="L84" s="2"/>
      <c r="M84" s="2"/>
      <c r="N84" s="612"/>
      <c r="O84" s="2316">
        <f>O81</f>
        <v>112520</v>
      </c>
      <c r="P84" s="2316"/>
      <c r="Q84" s="2316"/>
      <c r="R84" s="2316"/>
      <c r="S84" s="606"/>
      <c r="T84" s="2"/>
      <c r="U84" s="1791"/>
      <c r="V84" s="2"/>
      <c r="W84" s="2"/>
      <c r="X84" s="2"/>
      <c r="Y84" s="2"/>
      <c r="Z84" s="2"/>
      <c r="AA84" s="2"/>
      <c r="AB84" s="2"/>
      <c r="AC84" s="2"/>
      <c r="AD84" s="2"/>
      <c r="AE84" s="2"/>
      <c r="AF84" s="2"/>
      <c r="AG84" s="2"/>
      <c r="AH84" s="2"/>
      <c r="AI84" s="2"/>
      <c r="AJ84" s="2"/>
      <c r="AK84" s="2"/>
      <c r="AL84" s="2"/>
      <c r="AM84" s="2"/>
      <c r="AN84" s="2"/>
      <c r="AO84" s="2"/>
      <c r="AP84" s="98" t="s">
        <v>50</v>
      </c>
      <c r="AQ84" s="2"/>
      <c r="AR84" s="2"/>
      <c r="AS84" s="610"/>
      <c r="AT84" s="606"/>
      <c r="AU84" s="2"/>
      <c r="AV84" s="2"/>
      <c r="AW84" s="2"/>
      <c r="AX84" s="2"/>
      <c r="AY84" s="2"/>
      <c r="AZ84" s="2402">
        <f>AH80</f>
        <v>3569.0958498885466</v>
      </c>
      <c r="BA84" s="2402"/>
      <c r="BB84" s="2402"/>
      <c r="BC84" s="2402"/>
      <c r="BD84" s="2"/>
      <c r="BE84" s="2115">
        <f>IFERROR(AZ84/$AZ$85,0)</f>
        <v>2.8321809050968844E-2</v>
      </c>
      <c r="BF84" s="2115"/>
      <c r="BG84" s="2"/>
    </row>
    <row r="85" spans="2:59" ht="15" customHeight="1" outlineLevel="1" thickTop="1" x14ac:dyDescent="0.25">
      <c r="B85" s="1791" t="s">
        <v>1149</v>
      </c>
      <c r="C85" s="98" t="s">
        <v>269</v>
      </c>
      <c r="D85" s="2"/>
      <c r="E85" s="2"/>
      <c r="F85" s="2"/>
      <c r="G85" s="2"/>
      <c r="H85" s="2"/>
      <c r="I85" s="2"/>
      <c r="J85" s="2"/>
      <c r="K85" s="2"/>
      <c r="L85" s="2"/>
      <c r="M85" s="2"/>
      <c r="N85" s="612"/>
      <c r="O85" s="2316">
        <f>SUMIF(AD13:AD16,"TRUE",AE13:AI16)</f>
        <v>6450</v>
      </c>
      <c r="P85" s="2316"/>
      <c r="Q85" s="2316"/>
      <c r="R85" s="2316"/>
      <c r="S85" s="613"/>
      <c r="T85" s="2"/>
      <c r="U85" s="1791"/>
      <c r="V85" s="499">
        <v>3</v>
      </c>
      <c r="W85" s="499" t="s">
        <v>279</v>
      </c>
      <c r="X85" s="500"/>
      <c r="Y85" s="500"/>
      <c r="Z85" s="500"/>
      <c r="AA85" s="500"/>
      <c r="AB85" s="500"/>
      <c r="AC85" s="500"/>
      <c r="AD85" s="500"/>
      <c r="AE85" s="500"/>
      <c r="AF85" s="500"/>
      <c r="AG85" s="500"/>
      <c r="AH85" s="500"/>
      <c r="AI85" s="500"/>
      <c r="AJ85" s="500"/>
      <c r="AK85" s="501"/>
      <c r="AL85" s="501"/>
      <c r="AM85" s="2"/>
      <c r="AN85" s="2"/>
      <c r="AO85" s="2"/>
      <c r="AP85" s="403" t="s">
        <v>74</v>
      </c>
      <c r="AQ85" s="404"/>
      <c r="AR85" s="404"/>
      <c r="AS85" s="405"/>
      <c r="AT85" s="406"/>
      <c r="AU85" s="404"/>
      <c r="AV85" s="404"/>
      <c r="AW85" s="404"/>
      <c r="AX85" s="404"/>
      <c r="AY85" s="404"/>
      <c r="AZ85" s="2408">
        <f>SUM(AZ80:BC84)</f>
        <v>126019.34584988854</v>
      </c>
      <c r="BA85" s="2408"/>
      <c r="BB85" s="2408"/>
      <c r="BC85" s="2408"/>
      <c r="BD85" s="404"/>
      <c r="BE85" s="2114">
        <f>SUM(BE80:BF84)</f>
        <v>1</v>
      </c>
      <c r="BF85" s="2114"/>
      <c r="BG85" s="2"/>
    </row>
    <row r="86" spans="2:59" ht="15" customHeight="1" outlineLevel="1" x14ac:dyDescent="0.25">
      <c r="B86" s="89"/>
      <c r="C86" s="401" t="s">
        <v>265</v>
      </c>
      <c r="D86" s="624"/>
      <c r="E86" s="624"/>
      <c r="F86" s="624"/>
      <c r="G86" s="624"/>
      <c r="H86" s="624"/>
      <c r="I86" s="624"/>
      <c r="J86" s="624"/>
      <c r="K86" s="2285"/>
      <c r="L86" s="2285"/>
      <c r="M86" s="2285"/>
      <c r="N86" s="2285"/>
      <c r="O86" s="2315">
        <f>O84+O85</f>
        <v>118970</v>
      </c>
      <c r="P86" s="2315"/>
      <c r="Q86" s="2315"/>
      <c r="R86" s="2315"/>
      <c r="S86" s="606"/>
      <c r="T86" s="2"/>
      <c r="U86" s="1791"/>
      <c r="V86" s="93"/>
      <c r="W86" s="93"/>
      <c r="X86" s="93"/>
      <c r="Y86" s="606"/>
      <c r="Z86" s="606"/>
      <c r="AA86" s="93"/>
      <c r="AB86" s="93"/>
      <c r="AC86" s="606"/>
      <c r="AD86" s="2157" t="s">
        <v>10</v>
      </c>
      <c r="AE86" s="2157"/>
      <c r="AF86" s="2157"/>
      <c r="AG86" s="2157"/>
      <c r="AH86" s="2158" t="s">
        <v>11</v>
      </c>
      <c r="AI86" s="2159"/>
      <c r="AJ86" s="2159"/>
      <c r="AK86" s="2159"/>
      <c r="AL86" s="2"/>
      <c r="AM86" s="2"/>
      <c r="AN86" s="2"/>
      <c r="AO86" s="2"/>
      <c r="AP86" s="2"/>
      <c r="AQ86" s="2"/>
      <c r="AR86" s="2"/>
      <c r="AS86" s="2"/>
      <c r="AT86" s="2"/>
      <c r="AU86" s="2"/>
      <c r="AV86" s="2"/>
      <c r="AW86" s="2"/>
      <c r="AX86" s="2"/>
      <c r="AY86" s="2"/>
      <c r="AZ86" s="2"/>
      <c r="BA86" s="2"/>
      <c r="BB86" s="2"/>
      <c r="BC86" s="2"/>
      <c r="BD86" s="2"/>
      <c r="BE86" s="2"/>
      <c r="BF86" s="2"/>
      <c r="BG86" s="2"/>
    </row>
    <row r="87" spans="2:59" ht="15" customHeight="1" outlineLevel="1" x14ac:dyDescent="0.25">
      <c r="B87" s="2"/>
      <c r="C87" s="2"/>
      <c r="D87" s="2"/>
      <c r="E87" s="2"/>
      <c r="F87" s="2"/>
      <c r="G87" s="2"/>
      <c r="H87" s="2"/>
      <c r="I87" s="2"/>
      <c r="J87" s="2"/>
      <c r="K87" s="2"/>
      <c r="L87" s="2"/>
      <c r="M87" s="2"/>
      <c r="N87" s="2"/>
      <c r="O87" s="2"/>
      <c r="P87" s="2"/>
      <c r="Q87" s="2"/>
      <c r="R87" s="2"/>
      <c r="S87" s="606"/>
      <c r="T87" s="2"/>
      <c r="U87" s="1791" t="s">
        <v>1149</v>
      </c>
      <c r="V87" s="92" t="s">
        <v>291</v>
      </c>
      <c r="W87" s="2"/>
      <c r="X87" s="273"/>
      <c r="Y87" s="273"/>
      <c r="Z87" s="273"/>
      <c r="AA87" s="606"/>
      <c r="AB87" s="606"/>
      <c r="AC87" s="2"/>
      <c r="AD87" s="2122">
        <f>IFERROR(-PMT(interest_rate_input/12,(tenor_input-K90)*12,loan_amount),0)</f>
        <v>1090.7326605107758</v>
      </c>
      <c r="AE87" s="2122"/>
      <c r="AF87" s="2122"/>
      <c r="AG87" s="2122"/>
      <c r="AH87" s="2314">
        <f>AD87*12</f>
        <v>13088.79192612931</v>
      </c>
      <c r="AI87" s="2122"/>
      <c r="AJ87" s="2122"/>
      <c r="AK87" s="2122"/>
      <c r="AL87" s="2"/>
      <c r="AM87" s="2"/>
      <c r="AN87" s="2"/>
      <c r="AO87" s="2"/>
      <c r="AP87" s="98" t="s">
        <v>75</v>
      </c>
      <c r="AQ87" s="2"/>
      <c r="AR87" s="2"/>
      <c r="AS87" s="614"/>
      <c r="AT87" s="606"/>
      <c r="AU87" s="2"/>
      <c r="AV87" s="2"/>
      <c r="AW87" s="2"/>
      <c r="AX87" s="2"/>
      <c r="AY87" s="2"/>
      <c r="AZ87" s="2402">
        <f>AZ85-loan_amount</f>
        <v>7049.3458498885448</v>
      </c>
      <c r="BA87" s="2402"/>
      <c r="BB87" s="2402"/>
      <c r="BC87" s="2402"/>
      <c r="BD87" s="2"/>
      <c r="BE87" s="2115">
        <f>IFERROR(AZ87/$AZ$89,0)</f>
        <v>5.5938600556501614E-2</v>
      </c>
      <c r="BF87" s="2115"/>
      <c r="BG87" s="2"/>
    </row>
    <row r="88" spans="2:59" ht="15" customHeight="1" outlineLevel="1" thickBot="1" x14ac:dyDescent="0.3">
      <c r="B88" s="2"/>
      <c r="C88" s="92" t="s">
        <v>7</v>
      </c>
      <c r="D88" s="92"/>
      <c r="E88" s="92"/>
      <c r="F88" s="92"/>
      <c r="G88" s="92"/>
      <c r="H88" s="92"/>
      <c r="I88" s="92"/>
      <c r="J88" s="92"/>
      <c r="K88" s="2108">
        <v>7.3200000000000001E-2</v>
      </c>
      <c r="L88" s="2109"/>
      <c r="M88" s="2109"/>
      <c r="N88" s="2110"/>
      <c r="O88" s="2287"/>
      <c r="P88" s="2288"/>
      <c r="Q88" s="2288"/>
      <c r="R88" s="2288"/>
      <c r="S88" s="606"/>
      <c r="T88" s="2"/>
      <c r="U88" s="1791"/>
      <c r="V88" s="92" t="s">
        <v>9</v>
      </c>
      <c r="W88" s="2"/>
      <c r="X88" s="273"/>
      <c r="Y88" s="273"/>
      <c r="Z88" s="273"/>
      <c r="AA88" s="606"/>
      <c r="AB88" s="606"/>
      <c r="AC88" s="2"/>
      <c r="AD88" s="2122">
        <f>IFERROR(IF(AD90&gt;AD82,AD81*AZ88/12,0),0)</f>
        <v>0</v>
      </c>
      <c r="AE88" s="2122"/>
      <c r="AF88" s="2122"/>
      <c r="AG88" s="2122"/>
      <c r="AH88" s="2314">
        <f>AD88*12</f>
        <v>0</v>
      </c>
      <c r="AI88" s="2122"/>
      <c r="AJ88" s="2122"/>
      <c r="AK88" s="2122"/>
      <c r="AL88" s="2"/>
      <c r="AM88" s="2"/>
      <c r="AN88" s="2"/>
      <c r="AO88" s="2"/>
      <c r="AP88" s="98" t="s">
        <v>6</v>
      </c>
      <c r="AQ88" s="2"/>
      <c r="AR88" s="2"/>
      <c r="AS88" s="614"/>
      <c r="AT88" s="606"/>
      <c r="AU88" s="2"/>
      <c r="AV88" s="2"/>
      <c r="AW88" s="2"/>
      <c r="AX88" s="2"/>
      <c r="AY88" s="2"/>
      <c r="AZ88" s="2402">
        <f>O86</f>
        <v>118970</v>
      </c>
      <c r="BA88" s="2402"/>
      <c r="BB88" s="2402"/>
      <c r="BC88" s="2402"/>
      <c r="BD88" s="2"/>
      <c r="BE88" s="2115">
        <f>IFERROR(AZ88/$AZ$89,0)</f>
        <v>0.94406139944349843</v>
      </c>
      <c r="BF88" s="2115"/>
      <c r="BG88" s="2"/>
    </row>
    <row r="89" spans="2:59" ht="14.4" thickTop="1" x14ac:dyDescent="0.25">
      <c r="B89" s="1791" t="s">
        <v>1149</v>
      </c>
      <c r="C89" s="92" t="s">
        <v>379</v>
      </c>
      <c r="D89" s="92"/>
      <c r="E89" s="92"/>
      <c r="F89" s="92"/>
      <c r="G89" s="92"/>
      <c r="H89" s="92"/>
      <c r="I89" s="92"/>
      <c r="J89" s="92"/>
      <c r="K89" s="2111">
        <v>15</v>
      </c>
      <c r="L89" s="2112"/>
      <c r="M89" s="2112"/>
      <c r="N89" s="2113"/>
      <c r="O89" s="2128"/>
      <c r="P89" s="2129"/>
      <c r="Q89" s="2129"/>
      <c r="R89" s="2129"/>
      <c r="S89" s="606"/>
      <c r="T89" s="2"/>
      <c r="U89" s="1791"/>
      <c r="V89" s="401" t="s">
        <v>727</v>
      </c>
      <c r="W89" s="402"/>
      <c r="X89" s="402"/>
      <c r="Y89" s="402"/>
      <c r="Z89" s="402"/>
      <c r="AA89" s="402"/>
      <c r="AB89" s="402"/>
      <c r="AC89" s="402"/>
      <c r="AD89" s="2161">
        <f>AD87+AD88</f>
        <v>1090.7326605107758</v>
      </c>
      <c r="AE89" s="2161"/>
      <c r="AF89" s="2161"/>
      <c r="AG89" s="2161"/>
      <c r="AH89" s="2160">
        <f>AH87+AH88</f>
        <v>13088.79192612931</v>
      </c>
      <c r="AI89" s="2161"/>
      <c r="AJ89" s="2161"/>
      <c r="AK89" s="2161"/>
      <c r="AL89" s="402"/>
      <c r="AM89" s="2"/>
      <c r="AN89" s="2"/>
      <c r="AO89" s="2"/>
      <c r="AP89" s="403" t="s">
        <v>268</v>
      </c>
      <c r="AQ89" s="404"/>
      <c r="AR89" s="404"/>
      <c r="AS89" s="405"/>
      <c r="AT89" s="406"/>
      <c r="AU89" s="404"/>
      <c r="AV89" s="404"/>
      <c r="AW89" s="404"/>
      <c r="AX89" s="404"/>
      <c r="AY89" s="404"/>
      <c r="AZ89" s="2408">
        <f>SUM(AZ87:BC88)</f>
        <v>126019.34584988854</v>
      </c>
      <c r="BA89" s="2408"/>
      <c r="BB89" s="2408"/>
      <c r="BC89" s="2408"/>
      <c r="BD89" s="404"/>
      <c r="BE89" s="2114">
        <f>SUM(BE87:BF88)</f>
        <v>1</v>
      </c>
      <c r="BF89" s="2114"/>
      <c r="BG89" s="2"/>
    </row>
    <row r="90" spans="2:59" x14ac:dyDescent="0.25">
      <c r="B90" s="1791" t="s">
        <v>1149</v>
      </c>
      <c r="C90" s="92" t="s">
        <v>336</v>
      </c>
      <c r="D90" s="92"/>
      <c r="E90" s="92"/>
      <c r="F90" s="92"/>
      <c r="G90" s="92"/>
      <c r="H90" s="92"/>
      <c r="I90" s="92"/>
      <c r="J90" s="92"/>
      <c r="K90" s="2325">
        <v>0</v>
      </c>
      <c r="L90" s="2326"/>
      <c r="M90" s="2326"/>
      <c r="N90" s="2327"/>
      <c r="O90" s="615"/>
      <c r="P90" s="92"/>
      <c r="Q90" s="92"/>
      <c r="R90" s="92"/>
      <c r="S90" s="92"/>
      <c r="T90" s="92"/>
      <c r="U90" s="1791"/>
      <c r="V90" s="618" t="s">
        <v>145</v>
      </c>
      <c r="W90" s="618"/>
      <c r="X90" s="618"/>
      <c r="Y90" s="618"/>
      <c r="Z90" s="618"/>
      <c r="AA90" s="618"/>
      <c r="AB90" s="618"/>
      <c r="AC90" s="618"/>
      <c r="AD90" s="2177">
        <f>IFERROR(O86/purchase_price,0)</f>
        <v>1.025603448275862</v>
      </c>
      <c r="AE90" s="2177"/>
      <c r="AF90" s="2177"/>
      <c r="AG90" s="2177"/>
      <c r="AH90" s="617"/>
      <c r="AI90" s="92"/>
      <c r="AJ90" s="92"/>
      <c r="AK90" s="92"/>
      <c r="AL90" s="92"/>
      <c r="AM90" s="92"/>
      <c r="AN90" s="92"/>
      <c r="AO90" s="92"/>
      <c r="AP90" s="2"/>
      <c r="AQ90" s="2"/>
      <c r="AR90" s="2"/>
      <c r="AS90" s="2"/>
      <c r="AT90" s="2"/>
      <c r="AU90" s="2"/>
      <c r="AV90" s="2"/>
      <c r="AW90" s="2"/>
      <c r="AX90" s="2"/>
      <c r="AY90" s="2"/>
      <c r="AZ90" s="2"/>
      <c r="BA90" s="2"/>
      <c r="BB90" s="2"/>
      <c r="BC90" s="2"/>
      <c r="BD90" s="2"/>
      <c r="BE90" s="2"/>
      <c r="BF90" s="2"/>
      <c r="BG90" s="2"/>
    </row>
    <row r="91" spans="2:59" x14ac:dyDescent="0.25">
      <c r="B91" s="8"/>
      <c r="C91" s="23"/>
      <c r="D91" s="23"/>
      <c r="E91" s="23"/>
      <c r="F91" s="23"/>
      <c r="G91" s="23"/>
      <c r="H91" s="23"/>
      <c r="I91" s="23"/>
      <c r="J91" s="200"/>
      <c r="K91" s="200"/>
      <c r="L91" s="200"/>
      <c r="M91" s="200"/>
      <c r="N91" s="200"/>
      <c r="O91" s="200"/>
      <c r="P91" s="200"/>
      <c r="Q91" s="200"/>
      <c r="R91" s="200"/>
      <c r="S91" s="200"/>
      <c r="T91" s="200"/>
      <c r="U91" s="200"/>
      <c r="V91" s="200"/>
      <c r="W91" s="200"/>
      <c r="X91" s="200"/>
      <c r="Y91" s="200"/>
      <c r="Z91" s="200"/>
      <c r="AA91" s="23"/>
      <c r="AB91" s="200"/>
      <c r="AC91" s="200"/>
      <c r="AD91" s="94"/>
      <c r="AE91" s="200"/>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row>
    <row r="92" spans="2:59" outlineLevel="1" x14ac:dyDescent="0.25">
      <c r="AB92" s="278"/>
    </row>
    <row r="93" spans="2:59" outlineLevel="1" x14ac:dyDescent="0.25">
      <c r="AB93" s="278"/>
    </row>
    <row r="94" spans="2:59" outlineLevel="1" x14ac:dyDescent="0.25">
      <c r="B94" s="521" t="s">
        <v>480</v>
      </c>
      <c r="C94" s="598"/>
      <c r="D94" s="598"/>
      <c r="E94" s="598"/>
      <c r="F94" s="598"/>
      <c r="G94" s="598"/>
      <c r="H94" s="598"/>
      <c r="I94" s="598"/>
      <c r="J94" s="598"/>
      <c r="K94" s="598"/>
      <c r="L94" s="598"/>
      <c r="M94" s="598"/>
      <c r="N94" s="598"/>
      <c r="O94" s="598"/>
      <c r="P94" s="598"/>
      <c r="Q94" s="598"/>
      <c r="R94" s="598"/>
      <c r="S94" s="598"/>
      <c r="T94" s="598"/>
      <c r="U94" s="598"/>
      <c r="V94" s="598"/>
      <c r="W94" s="598"/>
      <c r="X94" s="598"/>
      <c r="Y94" s="598"/>
      <c r="Z94" s="598"/>
      <c r="AA94" s="598"/>
      <c r="AB94" s="598"/>
      <c r="AC94" s="598"/>
      <c r="AD94" s="598"/>
      <c r="AE94" s="598"/>
      <c r="AF94" s="598"/>
      <c r="AG94" s="598"/>
      <c r="AH94" s="598"/>
      <c r="AI94" s="598"/>
      <c r="AJ94" s="598"/>
      <c r="AK94" s="598"/>
      <c r="AL94" s="598"/>
      <c r="AM94" s="598"/>
      <c r="AN94" s="598"/>
      <c r="AO94" s="598"/>
      <c r="AP94" s="598"/>
      <c r="AQ94" s="598"/>
      <c r="AR94" s="598"/>
      <c r="AS94" s="598"/>
      <c r="AT94" s="598"/>
      <c r="AU94" s="598"/>
      <c r="AV94" s="598"/>
      <c r="AW94" s="598"/>
      <c r="AX94" s="598"/>
      <c r="AY94" s="598"/>
      <c r="AZ94" s="598"/>
      <c r="BA94" s="598"/>
      <c r="BB94" s="598"/>
      <c r="BC94" s="598"/>
      <c r="BD94" s="598"/>
      <c r="BE94" s="598"/>
      <c r="BF94" s="598"/>
      <c r="BG94" s="598"/>
    </row>
    <row r="95" spans="2:59" outlineLevel="1" x14ac:dyDescent="0.25">
      <c r="B95" s="8"/>
      <c r="C95" s="8"/>
      <c r="D95" s="8"/>
      <c r="E95" s="8"/>
      <c r="F95" s="8"/>
      <c r="G95" s="8"/>
      <c r="H95" s="8"/>
      <c r="I95" s="8"/>
      <c r="J95" s="8"/>
      <c r="K95" s="8"/>
      <c r="L95" s="94"/>
      <c r="M95" s="94"/>
      <c r="N95" s="94"/>
      <c r="O95" s="94"/>
      <c r="P95" s="94"/>
      <c r="Q95" s="94"/>
      <c r="R95" s="94"/>
      <c r="S95" s="94"/>
      <c r="T95" s="9"/>
      <c r="U95" s="9"/>
      <c r="V95" s="9"/>
      <c r="W95" s="9"/>
      <c r="X95" s="9"/>
      <c r="Y95" s="94"/>
      <c r="Z95" s="94"/>
      <c r="AA95" s="9"/>
      <c r="AB95" s="9"/>
      <c r="AC95" s="94"/>
      <c r="AD95" s="94"/>
      <c r="AE95" s="94"/>
      <c r="AF95" s="94"/>
      <c r="AG95" s="94"/>
      <c r="AH95" s="94"/>
      <c r="AI95" s="9"/>
      <c r="AJ95" s="9"/>
      <c r="AK95" s="9"/>
      <c r="AL95" s="9"/>
      <c r="AM95" s="9"/>
      <c r="AN95" s="9"/>
      <c r="AO95" s="9"/>
      <c r="AP95" s="9"/>
      <c r="AQ95" s="9"/>
      <c r="AR95" s="9"/>
      <c r="AS95" s="9"/>
      <c r="AT95" s="9"/>
      <c r="AU95" s="9"/>
      <c r="AV95" s="9"/>
      <c r="AW95" s="9"/>
      <c r="AX95" s="9"/>
      <c r="AY95" s="9"/>
      <c r="AZ95" s="9"/>
      <c r="BA95" s="9"/>
      <c r="BB95" s="9"/>
      <c r="BC95" s="9"/>
      <c r="BD95" s="9"/>
      <c r="BE95" s="9"/>
      <c r="BF95" s="9"/>
      <c r="BG95" s="9"/>
    </row>
    <row r="96" spans="2:59" outlineLevel="1" x14ac:dyDescent="0.25">
      <c r="B96" s="8"/>
      <c r="C96" s="499">
        <v>1</v>
      </c>
      <c r="D96" s="499" t="s">
        <v>485</v>
      </c>
      <c r="E96" s="500"/>
      <c r="F96" s="500"/>
      <c r="G96" s="500"/>
      <c r="H96" s="500"/>
      <c r="I96" s="500"/>
      <c r="J96" s="500"/>
      <c r="K96" s="500"/>
      <c r="L96" s="500"/>
      <c r="M96" s="500"/>
      <c r="N96" s="500"/>
      <c r="O96" s="500"/>
      <c r="P96" s="500"/>
      <c r="Q96" s="500"/>
      <c r="R96" s="501"/>
      <c r="S96" s="94"/>
      <c r="T96" s="9"/>
      <c r="U96" s="9"/>
      <c r="V96" s="499">
        <v>2</v>
      </c>
      <c r="W96" s="499" t="s">
        <v>479</v>
      </c>
      <c r="X96" s="500"/>
      <c r="Y96" s="500"/>
      <c r="Z96" s="500"/>
      <c r="AA96" s="500"/>
      <c r="AB96" s="500"/>
      <c r="AC96" s="500"/>
      <c r="AD96" s="500"/>
      <c r="AE96" s="500"/>
      <c r="AF96" s="500"/>
      <c r="AG96" s="500"/>
      <c r="AH96" s="500"/>
      <c r="AI96" s="500"/>
      <c r="AJ96" s="500"/>
      <c r="AK96" s="501"/>
      <c r="AL96" s="501"/>
      <c r="AM96" s="9"/>
      <c r="AN96" s="9"/>
      <c r="AO96" s="9"/>
      <c r="AP96" s="499">
        <v>3</v>
      </c>
      <c r="AQ96" s="499" t="s">
        <v>280</v>
      </c>
      <c r="AR96" s="500"/>
      <c r="AS96" s="500"/>
      <c r="AT96" s="500"/>
      <c r="AU96" s="500"/>
      <c r="AV96" s="500"/>
      <c r="AW96" s="500"/>
      <c r="AX96" s="500"/>
      <c r="AY96" s="500"/>
      <c r="AZ96" s="500"/>
      <c r="BA96" s="500"/>
      <c r="BB96" s="500"/>
      <c r="BC96" s="500"/>
      <c r="BD96" s="500"/>
      <c r="BE96" s="501"/>
      <c r="BF96" s="501"/>
      <c r="BG96" s="9"/>
    </row>
    <row r="97" spans="2:78" ht="15.75" customHeight="1" outlineLevel="1" x14ac:dyDescent="0.25">
      <c r="B97" s="8"/>
      <c r="C97" s="1361"/>
      <c r="D97" s="1361"/>
      <c r="E97" s="1361"/>
      <c r="F97" s="1361"/>
      <c r="G97" s="1361"/>
      <c r="H97" s="1361"/>
      <c r="I97" s="1361"/>
      <c r="J97" s="1361"/>
      <c r="K97" s="1361"/>
      <c r="L97" s="1361"/>
      <c r="M97" s="1361"/>
      <c r="N97" s="1361"/>
      <c r="O97" s="1361"/>
      <c r="P97" s="1361"/>
      <c r="Q97" s="1361"/>
      <c r="R97" s="1361"/>
      <c r="S97" s="23"/>
      <c r="T97" s="23"/>
      <c r="U97" s="23"/>
      <c r="V97" s="1361"/>
      <c r="W97" s="1361"/>
      <c r="X97" s="1361"/>
      <c r="Y97" s="1361"/>
      <c r="Z97" s="1361"/>
      <c r="AA97" s="1361"/>
      <c r="AB97" s="1361"/>
      <c r="AC97" s="1361"/>
      <c r="AD97" s="2136" t="s">
        <v>130</v>
      </c>
      <c r="AE97" s="2136"/>
      <c r="AF97" s="2136"/>
      <c r="AG97" s="2136"/>
      <c r="AH97" s="2136"/>
      <c r="AI97" s="2136" t="s">
        <v>482</v>
      </c>
      <c r="AJ97" s="2136"/>
      <c r="AK97" s="2136"/>
      <c r="AL97" s="2136"/>
      <c r="AM97" s="23"/>
      <c r="AN97" s="23"/>
      <c r="AO97" s="23"/>
      <c r="AP97" s="1361"/>
      <c r="AQ97" s="1361"/>
      <c r="AR97" s="1361"/>
      <c r="AS97" s="1361"/>
      <c r="AT97" s="1361"/>
      <c r="AU97" s="1361"/>
      <c r="AV97" s="1361"/>
      <c r="AW97" s="1361"/>
      <c r="AX97" s="1361"/>
      <c r="AY97" s="1361"/>
      <c r="AZ97" s="1361"/>
      <c r="BA97" s="1361"/>
      <c r="BB97" s="1361"/>
      <c r="BC97" s="1361"/>
      <c r="BD97" s="1361"/>
      <c r="BE97" s="1361"/>
      <c r="BF97" s="1361"/>
      <c r="BG97" s="9"/>
    </row>
    <row r="98" spans="2:78" ht="13.8" customHeight="1" outlineLevel="1" x14ac:dyDescent="0.25">
      <c r="B98" s="1791" t="s">
        <v>1149</v>
      </c>
      <c r="C98" s="2012" t="s">
        <v>493</v>
      </c>
      <c r="D98" s="1361"/>
      <c r="E98" s="1361"/>
      <c r="F98" s="1361"/>
      <c r="G98" s="1361"/>
      <c r="H98" s="1361"/>
      <c r="I98" s="1361"/>
      <c r="J98" s="1361"/>
      <c r="K98" s="268">
        <f>IF(AND(L98="Yes", L99&lt;holding),1,0)</f>
        <v>0</v>
      </c>
      <c r="L98" s="2166" t="s">
        <v>495</v>
      </c>
      <c r="M98" s="2167"/>
      <c r="N98" s="2167"/>
      <c r="O98" s="2167"/>
      <c r="P98" s="2168"/>
      <c r="Q98" s="1361"/>
      <c r="R98" s="1361"/>
      <c r="S98" s="23"/>
      <c r="T98" s="23"/>
      <c r="U98" s="1791" t="s">
        <v>1149</v>
      </c>
      <c r="V98" s="2020" t="s">
        <v>6</v>
      </c>
      <c r="W98" s="1361"/>
      <c r="X98" s="1361"/>
      <c r="Y98" s="1361"/>
      <c r="Z98" s="2246" t="s">
        <v>476</v>
      </c>
      <c r="AA98" s="2247"/>
      <c r="AB98" s="2248"/>
      <c r="AC98" s="268" t="e">
        <f>MATCH(Z95,HIDE5!K20:K21,0)</f>
        <v>#N/A</v>
      </c>
      <c r="AD98" s="2162"/>
      <c r="AE98" s="2163"/>
      <c r="AF98" s="2163"/>
      <c r="AG98" s="2163"/>
      <c r="AH98" s="2164"/>
      <c r="AI98" s="2130">
        <v>0.8</v>
      </c>
      <c r="AJ98" s="2131"/>
      <c r="AK98" s="2131"/>
      <c r="AL98" s="2132"/>
      <c r="AM98" s="23"/>
      <c r="AN98" s="23"/>
      <c r="AO98" s="23"/>
      <c r="AP98" s="2020" t="s">
        <v>488</v>
      </c>
      <c r="AQ98" s="377"/>
      <c r="AR98" s="377"/>
      <c r="AS98" s="2027"/>
      <c r="AT98" s="2022"/>
      <c r="AU98" s="377"/>
      <c r="AV98" s="377"/>
      <c r="AW98" s="377"/>
      <c r="AX98" s="377"/>
      <c r="AY98" s="377"/>
      <c r="AZ98" s="2413">
        <f>L104*active_refi</f>
        <v>0</v>
      </c>
      <c r="BA98" s="2413"/>
      <c r="BB98" s="2413"/>
      <c r="BC98" s="2413"/>
      <c r="BD98" s="2038"/>
      <c r="BE98" s="2414">
        <f>IFERROR(AZ98/$AZ$101,0)</f>
        <v>0</v>
      </c>
      <c r="BF98" s="2414"/>
      <c r="BG98" s="9"/>
    </row>
    <row r="99" spans="2:78" outlineLevel="1" x14ac:dyDescent="0.25">
      <c r="B99" s="1791" t="s">
        <v>1149</v>
      </c>
      <c r="C99" s="2012" t="s">
        <v>498</v>
      </c>
      <c r="D99" s="1361"/>
      <c r="E99" s="1361"/>
      <c r="F99" s="1361"/>
      <c r="G99" s="1361"/>
      <c r="H99" s="1361"/>
      <c r="I99" s="1361"/>
      <c r="J99" s="1361"/>
      <c r="K99" s="1361"/>
      <c r="L99" s="2151">
        <v>15</v>
      </c>
      <c r="M99" s="2152"/>
      <c r="N99" s="2152"/>
      <c r="O99" s="2152"/>
      <c r="P99" s="2153"/>
      <c r="Q99" s="1361"/>
      <c r="R99" s="1361"/>
      <c r="S99" s="23"/>
      <c r="T99" s="23"/>
      <c r="U99" s="23"/>
      <c r="V99" s="1361"/>
      <c r="W99" s="1361"/>
      <c r="X99" s="1361"/>
      <c r="Y99" s="1361"/>
      <c r="Z99" s="1361"/>
      <c r="AA99" s="1361"/>
      <c r="AB99" s="1361"/>
      <c r="AC99" s="1361"/>
      <c r="AD99" s="1361"/>
      <c r="AE99" s="1361"/>
      <c r="AF99" s="1361"/>
      <c r="AG99" s="1361"/>
      <c r="AH99" s="1361"/>
      <c r="AI99" s="1361"/>
      <c r="AJ99" s="1361"/>
      <c r="AK99" s="1361"/>
      <c r="AL99" s="1361"/>
      <c r="AM99" s="23"/>
      <c r="AN99" s="23"/>
      <c r="AO99" s="23"/>
      <c r="AP99" s="2020" t="s">
        <v>50</v>
      </c>
      <c r="AQ99" s="377"/>
      <c r="AR99" s="377"/>
      <c r="AS99" s="2027"/>
      <c r="AT99" s="2022"/>
      <c r="AU99" s="377"/>
      <c r="AV99" s="377"/>
      <c r="AW99" s="377"/>
      <c r="AX99" s="377"/>
      <c r="AY99" s="377"/>
      <c r="AZ99" s="2413">
        <f>AI104*active_refi</f>
        <v>0</v>
      </c>
      <c r="BA99" s="2413"/>
      <c r="BB99" s="2413"/>
      <c r="BC99" s="2413"/>
      <c r="BD99" s="2038"/>
      <c r="BE99" s="2414">
        <f>IFERROR(AZ99/$AZ$101,0)</f>
        <v>0</v>
      </c>
      <c r="BF99" s="2414"/>
      <c r="BG99" s="9"/>
    </row>
    <row r="100" spans="2:78" ht="14.4" outlineLevel="1" thickBot="1" x14ac:dyDescent="0.3">
      <c r="B100" s="1791"/>
      <c r="C100" s="1361"/>
      <c r="D100" s="1361"/>
      <c r="E100" s="1361"/>
      <c r="F100" s="1361"/>
      <c r="G100" s="1361"/>
      <c r="H100" s="1361"/>
      <c r="I100" s="1361"/>
      <c r="J100" s="1361"/>
      <c r="K100" s="2252" t="str">
        <f>IF(L99&gt;=holding,"Date is past property sale","")</f>
        <v>Date is past property sale</v>
      </c>
      <c r="L100" s="2252"/>
      <c r="M100" s="2252"/>
      <c r="N100" s="2252"/>
      <c r="O100" s="2252"/>
      <c r="P100" s="2252"/>
      <c r="Q100" s="2252"/>
      <c r="R100" s="1361"/>
      <c r="S100" s="23"/>
      <c r="T100" s="23"/>
      <c r="U100" s="23"/>
      <c r="V100" s="2012" t="s">
        <v>6</v>
      </c>
      <c r="W100" s="1361"/>
      <c r="X100" s="1361"/>
      <c r="Y100" s="1361"/>
      <c r="Z100" s="1361"/>
      <c r="AA100" s="1361"/>
      <c r="AB100" s="1361"/>
      <c r="AC100" s="1361"/>
      <c r="AD100" s="2266">
        <f>IFERROR(CHOOSE(AC95,AD95,AI95*L102),0)</f>
        <v>0</v>
      </c>
      <c r="AE100" s="2266"/>
      <c r="AF100" s="2266"/>
      <c r="AG100" s="2266"/>
      <c r="AH100" s="2266"/>
      <c r="AI100" s="2266">
        <f>IFERROR(AD100/$L$105,0)</f>
        <v>0</v>
      </c>
      <c r="AJ100" s="2266"/>
      <c r="AK100" s="2266"/>
      <c r="AL100" s="2266"/>
      <c r="AM100" s="23"/>
      <c r="AN100" s="23"/>
      <c r="AO100" s="23"/>
      <c r="AP100" s="2020" t="s">
        <v>489</v>
      </c>
      <c r="AQ100" s="377"/>
      <c r="AR100" s="377"/>
      <c r="AS100" s="377"/>
      <c r="AT100" s="377"/>
      <c r="AU100" s="377"/>
      <c r="AV100" s="377"/>
      <c r="AW100" s="377"/>
      <c r="AX100" s="377"/>
      <c r="AY100" s="377"/>
      <c r="AZ100" s="2416">
        <f>ROUND(AZ105-AZ98-AZ99,0)*active_refi</f>
        <v>0</v>
      </c>
      <c r="BA100" s="2416"/>
      <c r="BB100" s="2416"/>
      <c r="BC100" s="2416"/>
      <c r="BD100" s="2039"/>
      <c r="BE100" s="2417">
        <f>IFERROR(AZ100/$AZ$101,0)</f>
        <v>0</v>
      </c>
      <c r="BF100" s="2417"/>
      <c r="BG100" s="9"/>
    </row>
    <row r="101" spans="2:78" ht="14.4" outlineLevel="1" thickTop="1" x14ac:dyDescent="0.25">
      <c r="B101" s="1791" t="s">
        <v>1149</v>
      </c>
      <c r="C101" s="2013" t="s">
        <v>497</v>
      </c>
      <c r="D101" s="2014"/>
      <c r="E101" s="2014"/>
      <c r="F101" s="2014"/>
      <c r="G101" s="2014"/>
      <c r="H101" s="2014"/>
      <c r="I101" s="2014"/>
      <c r="J101" s="2014"/>
      <c r="K101" s="2015"/>
      <c r="L101" s="2282">
        <f>L99</f>
        <v>15</v>
      </c>
      <c r="M101" s="2283"/>
      <c r="N101" s="2283"/>
      <c r="O101" s="2283"/>
      <c r="P101" s="2284"/>
      <c r="Q101" s="1361"/>
      <c r="R101" s="1361"/>
      <c r="S101" s="23"/>
      <c r="T101" s="23"/>
      <c r="U101" s="23"/>
      <c r="V101" s="2012" t="s">
        <v>7</v>
      </c>
      <c r="W101" s="1361"/>
      <c r="X101" s="1361"/>
      <c r="Y101" s="1361"/>
      <c r="Z101" s="1361"/>
      <c r="AA101" s="1361"/>
      <c r="AB101" s="1361"/>
      <c r="AC101" s="1361"/>
      <c r="AD101" s="2399">
        <v>7.3200000000000001E-2</v>
      </c>
      <c r="AE101" s="2400"/>
      <c r="AF101" s="2400"/>
      <c r="AG101" s="2400"/>
      <c r="AH101" s="2401"/>
      <c r="AI101" s="1361"/>
      <c r="AJ101" s="1361"/>
      <c r="AK101" s="1361"/>
      <c r="AL101" s="1361"/>
      <c r="AM101" s="23"/>
      <c r="AN101" s="23"/>
      <c r="AO101" s="23"/>
      <c r="AP101" s="2028" t="s">
        <v>486</v>
      </c>
      <c r="AQ101" s="2029"/>
      <c r="AR101" s="2029"/>
      <c r="AS101" s="2030"/>
      <c r="AT101" s="2031"/>
      <c r="AU101" s="2029"/>
      <c r="AV101" s="2029"/>
      <c r="AW101" s="2029"/>
      <c r="AX101" s="2029"/>
      <c r="AY101" s="2029"/>
      <c r="AZ101" s="2418">
        <f>SUM(AZ98:BC100)</f>
        <v>0</v>
      </c>
      <c r="BA101" s="2418"/>
      <c r="BB101" s="2418"/>
      <c r="BC101" s="2418"/>
      <c r="BD101" s="2029"/>
      <c r="BE101" s="2415">
        <f>SUM(BE98:BF100)</f>
        <v>0</v>
      </c>
      <c r="BF101" s="2415"/>
      <c r="BG101" s="9"/>
    </row>
    <row r="102" spans="2:78" outlineLevel="1" x14ac:dyDescent="0.25">
      <c r="B102" s="1791"/>
      <c r="C102" s="2016" t="s">
        <v>756</v>
      </c>
      <c r="D102" s="2017"/>
      <c r="E102" s="2017"/>
      <c r="F102" s="2017"/>
      <c r="G102" s="2017"/>
      <c r="H102" s="2017"/>
      <c r="I102" s="2017"/>
      <c r="J102" s="2017"/>
      <c r="K102" s="2017"/>
      <c r="L102" s="2279">
        <f>DATE(YEAR(FORECASTS!E7)+DASHBOARD!L96,1,1)</f>
        <v>1</v>
      </c>
      <c r="M102" s="2280"/>
      <c r="N102" s="2280"/>
      <c r="O102" s="2280"/>
      <c r="P102" s="2281"/>
      <c r="Q102" s="1361"/>
      <c r="R102" s="1361"/>
      <c r="S102" s="23"/>
      <c r="T102" s="23"/>
      <c r="U102" s="23"/>
      <c r="V102" s="2012" t="s">
        <v>379</v>
      </c>
      <c r="W102" s="1361"/>
      <c r="X102" s="1361"/>
      <c r="Y102" s="1361"/>
      <c r="Z102" s="1361"/>
      <c r="AA102" s="1361"/>
      <c r="AB102" s="1361"/>
      <c r="AC102" s="1361"/>
      <c r="AD102" s="2276">
        <v>15</v>
      </c>
      <c r="AE102" s="2277"/>
      <c r="AF102" s="2277"/>
      <c r="AG102" s="2277"/>
      <c r="AH102" s="2278"/>
      <c r="AI102" s="1361"/>
      <c r="AJ102" s="1361"/>
      <c r="AK102" s="1361"/>
      <c r="AL102" s="1361"/>
      <c r="AM102" s="23"/>
      <c r="AN102" s="23"/>
      <c r="AO102" s="23"/>
      <c r="AP102" s="1361"/>
      <c r="AQ102" s="1361"/>
      <c r="AR102" s="1361"/>
      <c r="AS102" s="1361"/>
      <c r="AT102" s="1361"/>
      <c r="AU102" s="1361"/>
      <c r="AV102" s="1361"/>
      <c r="AW102" s="1361"/>
      <c r="AX102" s="1361"/>
      <c r="AY102" s="1361"/>
      <c r="AZ102" s="2037"/>
      <c r="BA102" s="2037"/>
      <c r="BB102" s="2037"/>
      <c r="BC102" s="2037"/>
      <c r="BD102" s="2036"/>
      <c r="BE102" s="2037"/>
      <c r="BF102" s="2037"/>
      <c r="BG102" s="9"/>
    </row>
    <row r="103" spans="2:78" outlineLevel="1" x14ac:dyDescent="0.25">
      <c r="B103" s="1791" t="s">
        <v>1149</v>
      </c>
      <c r="C103" s="2016" t="s">
        <v>517</v>
      </c>
      <c r="D103" s="2017"/>
      <c r="E103" s="2017"/>
      <c r="F103" s="2017"/>
      <c r="G103" s="2017"/>
      <c r="H103" s="2017"/>
      <c r="I103" s="2017"/>
      <c r="J103" s="2017"/>
      <c r="K103" s="2017"/>
      <c r="L103" s="2243" cm="1">
        <f t="array" ref="L103">IFERROR(INDEX(FORECASTS!E132:AH132,0,MATCH(D_Refinancing_Activate,FORECASTS!E120:AH120,0)),0)</f>
        <v>0</v>
      </c>
      <c r="M103" s="2244"/>
      <c r="N103" s="2244"/>
      <c r="O103" s="2244"/>
      <c r="P103" s="2245"/>
      <c r="Q103" s="1361"/>
      <c r="R103" s="1361"/>
      <c r="S103" s="23"/>
      <c r="T103" s="23"/>
      <c r="U103" s="23"/>
      <c r="V103" s="2012" t="s">
        <v>336</v>
      </c>
      <c r="W103" s="1361"/>
      <c r="X103" s="1361"/>
      <c r="Y103" s="1361"/>
      <c r="Z103" s="1361"/>
      <c r="AA103" s="1361"/>
      <c r="AB103" s="1361"/>
      <c r="AC103" s="1361"/>
      <c r="AD103" s="2276">
        <v>0</v>
      </c>
      <c r="AE103" s="2277"/>
      <c r="AF103" s="2277"/>
      <c r="AG103" s="2277"/>
      <c r="AH103" s="2278"/>
      <c r="AI103" s="2021"/>
      <c r="AJ103" s="1361"/>
      <c r="AK103" s="1361"/>
      <c r="AL103" s="1361"/>
      <c r="AM103" s="23"/>
      <c r="AN103" s="23"/>
      <c r="AO103" s="23"/>
      <c r="AP103" s="2020" t="s">
        <v>75</v>
      </c>
      <c r="AQ103" s="377"/>
      <c r="AR103" s="377"/>
      <c r="AS103" s="2032"/>
      <c r="AT103" s="2022"/>
      <c r="AU103" s="377"/>
      <c r="AV103" s="377"/>
      <c r="AW103" s="377"/>
      <c r="AX103" s="377"/>
      <c r="AY103" s="377"/>
      <c r="AZ103" s="2413">
        <f>MAX(L104-AD100+AI104,0)*active_refi</f>
        <v>0</v>
      </c>
      <c r="BA103" s="2413"/>
      <c r="BB103" s="2413"/>
      <c r="BC103" s="2413"/>
      <c r="BD103" s="2038"/>
      <c r="BE103" s="2414">
        <f>IFERROR(AZ103/$AZ$105,0)</f>
        <v>0</v>
      </c>
      <c r="BF103" s="2414"/>
      <c r="BG103" s="9"/>
    </row>
    <row r="104" spans="2:78" ht="14.4" outlineLevel="1" thickBot="1" x14ac:dyDescent="0.3">
      <c r="B104" s="1791"/>
      <c r="C104" s="2016" t="s">
        <v>484</v>
      </c>
      <c r="D104" s="2017"/>
      <c r="E104" s="2017"/>
      <c r="F104" s="2017"/>
      <c r="G104" s="2017"/>
      <c r="H104" s="2017"/>
      <c r="I104" s="2017"/>
      <c r="J104" s="2017"/>
      <c r="K104" s="2017"/>
      <c r="L104" s="2271" cm="1">
        <f t="array" ref="L104">IFERROR(INDEX(FORECASTS!E128:AH128,0,MATCH(L98,FORECASTS!E120:AH120,0)),0)</f>
        <v>0</v>
      </c>
      <c r="M104" s="2272"/>
      <c r="N104" s="2272"/>
      <c r="O104" s="2272"/>
      <c r="P104" s="2273"/>
      <c r="Q104" s="1361"/>
      <c r="R104" s="1361"/>
      <c r="S104" s="23"/>
      <c r="T104" s="23"/>
      <c r="U104" s="23"/>
      <c r="V104" s="2012" t="s">
        <v>78</v>
      </c>
      <c r="W104" s="1361"/>
      <c r="X104" s="1361"/>
      <c r="Y104" s="1361"/>
      <c r="Z104" s="1361"/>
      <c r="AA104" s="1361"/>
      <c r="AB104" s="1361"/>
      <c r="AC104" s="1361"/>
      <c r="AD104" s="2289">
        <f>AD80</f>
        <v>2.9999965116319631E-2</v>
      </c>
      <c r="AE104" s="2290"/>
      <c r="AF104" s="2290"/>
      <c r="AG104" s="2290"/>
      <c r="AH104" s="2291"/>
      <c r="AI104" s="2286">
        <f>AD104*AZ104</f>
        <v>0</v>
      </c>
      <c r="AJ104" s="2286"/>
      <c r="AK104" s="2286"/>
      <c r="AL104" s="2286"/>
      <c r="AM104" s="23"/>
      <c r="AN104" s="23"/>
      <c r="AO104" s="23"/>
      <c r="AP104" s="2020" t="s">
        <v>6</v>
      </c>
      <c r="AQ104" s="377"/>
      <c r="AR104" s="377"/>
      <c r="AS104" s="2032"/>
      <c r="AT104" s="2022"/>
      <c r="AU104" s="377"/>
      <c r="AV104" s="377"/>
      <c r="AW104" s="377"/>
      <c r="AX104" s="377"/>
      <c r="AY104" s="377"/>
      <c r="AZ104" s="2416">
        <f>AD100*active_refi</f>
        <v>0</v>
      </c>
      <c r="BA104" s="2416"/>
      <c r="BB104" s="2416"/>
      <c r="BC104" s="2416"/>
      <c r="BD104" s="2039"/>
      <c r="BE104" s="2417">
        <f>IFERROR(AZ104/$AZ$105,0)</f>
        <v>0</v>
      </c>
      <c r="BF104" s="2417"/>
      <c r="BG104" s="9"/>
    </row>
    <row r="105" spans="2:78" ht="14.4" thickTop="1" x14ac:dyDescent="0.25">
      <c r="B105" s="8"/>
      <c r="C105" s="2018" t="s">
        <v>483</v>
      </c>
      <c r="D105" s="2019"/>
      <c r="E105" s="2019"/>
      <c r="F105" s="2019"/>
      <c r="G105" s="2019"/>
      <c r="H105" s="2019"/>
      <c r="I105" s="2019"/>
      <c r="J105" s="2019"/>
      <c r="K105" s="2019"/>
      <c r="L105" s="2271" cm="1">
        <f t="array" ref="L105">IFERROR(INDEX(FORECASTS!E122:AH122,0,MATCH(L98,FORECASTS!E120:AH120,0)),0)</f>
        <v>0</v>
      </c>
      <c r="M105" s="2272"/>
      <c r="N105" s="2272"/>
      <c r="O105" s="2272"/>
      <c r="P105" s="2273"/>
      <c r="Q105" s="1361"/>
      <c r="R105" s="1361"/>
      <c r="S105" s="23"/>
      <c r="T105" s="23"/>
      <c r="U105" s="23"/>
      <c r="V105" s="2012" t="s">
        <v>139</v>
      </c>
      <c r="W105" s="1361"/>
      <c r="X105" s="1361"/>
      <c r="Y105" s="1361"/>
      <c r="Z105" s="1361"/>
      <c r="AA105" s="1361"/>
      <c r="AB105" s="1361"/>
      <c r="AC105" s="1361"/>
      <c r="AD105" s="2289"/>
      <c r="AE105" s="2290"/>
      <c r="AF105" s="2290"/>
      <c r="AG105" s="2290"/>
      <c r="AH105" s="2291"/>
      <c r="AI105" s="1361"/>
      <c r="AJ105" s="1361"/>
      <c r="AK105" s="1361"/>
      <c r="AL105" s="1361"/>
      <c r="AM105" s="23"/>
      <c r="AN105" s="23"/>
      <c r="AO105" s="23"/>
      <c r="AP105" s="2028" t="s">
        <v>487</v>
      </c>
      <c r="AQ105" s="2029"/>
      <c r="AR105" s="2029"/>
      <c r="AS105" s="2030"/>
      <c r="AT105" s="2031"/>
      <c r="AU105" s="2029"/>
      <c r="AV105" s="2029"/>
      <c r="AW105" s="2029"/>
      <c r="AX105" s="2029"/>
      <c r="AY105" s="2029"/>
      <c r="AZ105" s="2418">
        <f>SUM(AZ103:BC104)</f>
        <v>0</v>
      </c>
      <c r="BA105" s="2418"/>
      <c r="BB105" s="2418"/>
      <c r="BC105" s="2418"/>
      <c r="BD105" s="2029"/>
      <c r="BE105" s="2415">
        <f>SUM(BE103:BF104)</f>
        <v>0</v>
      </c>
      <c r="BF105" s="2415"/>
      <c r="BG105" s="9"/>
    </row>
    <row r="106" spans="2:78" x14ac:dyDescent="0.25">
      <c r="B106" s="8"/>
      <c r="C106" s="23"/>
      <c r="D106" s="23"/>
      <c r="E106" s="23"/>
      <c r="F106" s="23"/>
      <c r="G106" s="23"/>
      <c r="H106" s="23"/>
      <c r="I106" s="23"/>
      <c r="J106" s="23"/>
      <c r="K106" s="23"/>
      <c r="L106" s="23"/>
      <c r="M106" s="23"/>
      <c r="N106" s="23"/>
      <c r="O106" s="23"/>
      <c r="P106" s="23"/>
      <c r="Q106" s="23"/>
      <c r="R106" s="23"/>
      <c r="S106" s="23"/>
      <c r="T106" s="23"/>
      <c r="U106" s="23"/>
      <c r="V106" s="2012" t="s">
        <v>374</v>
      </c>
      <c r="W106" s="1361"/>
      <c r="X106" s="1361"/>
      <c r="Y106" s="1361"/>
      <c r="Z106" s="1361"/>
      <c r="AA106" s="1361"/>
      <c r="AB106" s="1361"/>
      <c r="AC106" s="1361"/>
      <c r="AD106" s="2267"/>
      <c r="AE106" s="2268"/>
      <c r="AF106" s="2268"/>
      <c r="AG106" s="2268"/>
      <c r="AH106" s="2269"/>
      <c r="AI106" s="1361"/>
      <c r="AJ106" s="1361"/>
      <c r="AK106" s="1361"/>
      <c r="AL106" s="1361"/>
      <c r="AM106" s="23"/>
      <c r="AN106" s="23"/>
      <c r="AO106" s="23"/>
      <c r="AP106" s="1361"/>
      <c r="AQ106" s="1361"/>
      <c r="AR106" s="1361"/>
      <c r="AS106" s="1361"/>
      <c r="AT106" s="1361"/>
      <c r="AU106" s="1361"/>
      <c r="AV106" s="1361"/>
      <c r="AW106" s="1361"/>
      <c r="AX106" s="1361"/>
      <c r="AY106" s="1361"/>
      <c r="AZ106" s="1361"/>
      <c r="BA106" s="1361"/>
      <c r="BB106" s="1361"/>
      <c r="BC106" s="1361"/>
      <c r="BD106" s="1361"/>
      <c r="BE106" s="1361"/>
      <c r="BF106" s="1361"/>
      <c r="BG106" s="9"/>
    </row>
    <row r="107" spans="2:78" x14ac:dyDescent="0.25">
      <c r="B107" s="9"/>
      <c r="C107" s="199"/>
      <c r="D107" s="23"/>
      <c r="E107" s="23"/>
      <c r="F107" s="23"/>
      <c r="G107" s="23"/>
      <c r="H107" s="23"/>
      <c r="I107" s="23"/>
      <c r="J107" s="23"/>
      <c r="K107" s="23"/>
      <c r="L107" s="86"/>
      <c r="M107" s="86"/>
      <c r="N107" s="86"/>
      <c r="O107" s="86"/>
      <c r="P107" s="86"/>
      <c r="Q107" s="23"/>
      <c r="R107" s="23"/>
      <c r="S107" s="200"/>
      <c r="T107" s="200"/>
      <c r="U107" s="200"/>
      <c r="V107" s="2022"/>
      <c r="W107" s="2022"/>
      <c r="X107" s="2022"/>
      <c r="Y107" s="2022"/>
      <c r="Z107" s="2022"/>
      <c r="AA107" s="1361"/>
      <c r="AB107" s="2022"/>
      <c r="AC107" s="2022"/>
      <c r="AD107" s="2022"/>
      <c r="AE107" s="2022"/>
      <c r="AF107" s="2022"/>
      <c r="AG107" s="2022"/>
      <c r="AH107" s="2022"/>
      <c r="AI107" s="2022"/>
      <c r="AJ107" s="2022"/>
      <c r="AK107" s="2022"/>
      <c r="AL107" s="377"/>
      <c r="AM107" s="9"/>
      <c r="AN107" s="9"/>
      <c r="AO107" s="9"/>
      <c r="AP107" s="2033" t="s">
        <v>757</v>
      </c>
      <c r="AQ107" s="2034"/>
      <c r="AR107" s="2034"/>
      <c r="AS107" s="2034"/>
      <c r="AT107" s="2034"/>
      <c r="AU107" s="2034"/>
      <c r="AV107" s="2034"/>
      <c r="AW107" s="2034"/>
      <c r="AX107" s="2034"/>
      <c r="AY107" s="2034"/>
      <c r="AZ107" s="2419">
        <f>AZ98-AZ95</f>
        <v>0</v>
      </c>
      <c r="BA107" s="2419"/>
      <c r="BB107" s="2419"/>
      <c r="BC107" s="2419"/>
      <c r="BD107" s="2034"/>
      <c r="BE107" s="2034"/>
      <c r="BF107" s="2035"/>
      <c r="BG107" s="9"/>
      <c r="BH107" s="275"/>
      <c r="BI107" s="275"/>
      <c r="BJ107" s="275"/>
      <c r="BS107" s="275"/>
      <c r="BT107" s="275"/>
      <c r="BU107" s="275"/>
      <c r="BV107" s="275"/>
      <c r="BW107" s="275"/>
      <c r="BX107" s="275"/>
      <c r="BY107" s="275"/>
      <c r="BZ107" s="275"/>
    </row>
    <row r="108" spans="2:78" x14ac:dyDescent="0.25">
      <c r="B108" s="9"/>
      <c r="C108" s="9"/>
      <c r="D108" s="9"/>
      <c r="E108" s="9"/>
      <c r="F108" s="9"/>
      <c r="G108" s="9"/>
      <c r="H108" s="9"/>
      <c r="I108" s="9"/>
      <c r="J108" s="9"/>
      <c r="K108" s="9"/>
      <c r="L108" s="9"/>
      <c r="M108" s="9"/>
      <c r="N108" s="9"/>
      <c r="O108" s="9"/>
      <c r="P108" s="9"/>
      <c r="Q108" s="9"/>
      <c r="R108" s="9"/>
      <c r="S108" s="9"/>
      <c r="T108" s="9"/>
      <c r="U108" s="9"/>
      <c r="V108" s="2012"/>
      <c r="W108" s="377"/>
      <c r="X108" s="377"/>
      <c r="Y108" s="377"/>
      <c r="Z108" s="377"/>
      <c r="AA108" s="377"/>
      <c r="AB108" s="2023"/>
      <c r="AC108" s="377"/>
      <c r="AD108" s="2471" t="s">
        <v>10</v>
      </c>
      <c r="AE108" s="2471"/>
      <c r="AF108" s="2471"/>
      <c r="AG108" s="2471"/>
      <c r="AH108" s="2471"/>
      <c r="AI108" s="2471" t="s">
        <v>11</v>
      </c>
      <c r="AJ108" s="2471"/>
      <c r="AK108" s="2471"/>
      <c r="AL108" s="2471"/>
      <c r="AM108" s="9"/>
      <c r="AN108" s="9"/>
      <c r="AO108" s="9"/>
      <c r="AP108" s="9"/>
      <c r="AQ108" s="9"/>
      <c r="AR108" s="9"/>
      <c r="AS108" s="9"/>
      <c r="AT108" s="9"/>
      <c r="AU108" s="9"/>
      <c r="AV108" s="9"/>
      <c r="AW108" s="9"/>
      <c r="AX108" s="9"/>
      <c r="AY108" s="9"/>
      <c r="AZ108" s="9"/>
      <c r="BA108" s="9"/>
      <c r="BB108" s="9"/>
      <c r="BC108" s="9"/>
      <c r="BD108" s="9"/>
      <c r="BE108" s="9"/>
      <c r="BF108" s="9"/>
      <c r="BG108" s="9"/>
      <c r="BH108" s="275"/>
      <c r="BI108" s="275"/>
      <c r="BJ108" s="275"/>
      <c r="BK108" s="275"/>
      <c r="BL108" s="275"/>
      <c r="BM108" s="275"/>
      <c r="BN108" s="275"/>
      <c r="BO108" s="275"/>
      <c r="BP108" s="275"/>
      <c r="BQ108" s="275"/>
      <c r="BR108" s="275"/>
      <c r="BS108" s="275"/>
      <c r="BT108" s="275"/>
      <c r="BU108" s="275"/>
      <c r="BV108" s="275"/>
      <c r="BW108" s="275"/>
      <c r="BX108" s="275"/>
      <c r="BY108" s="275"/>
      <c r="BZ108" s="275"/>
    </row>
    <row r="109" spans="2:78" x14ac:dyDescent="0.25">
      <c r="B109" s="9"/>
      <c r="C109" s="9"/>
      <c r="D109" s="9"/>
      <c r="E109" s="9"/>
      <c r="F109" s="9"/>
      <c r="G109" s="9"/>
      <c r="H109" s="9"/>
      <c r="I109" s="9"/>
      <c r="J109" s="9"/>
      <c r="K109" s="9"/>
      <c r="L109" s="9"/>
      <c r="M109" s="9"/>
      <c r="N109" s="9"/>
      <c r="O109" s="9"/>
      <c r="P109" s="9"/>
      <c r="Q109" s="9"/>
      <c r="R109" s="9"/>
      <c r="S109" s="9"/>
      <c r="T109" s="9"/>
      <c r="U109" s="9"/>
      <c r="V109" s="2024" t="s">
        <v>1116</v>
      </c>
      <c r="W109" s="2025"/>
      <c r="X109" s="2025"/>
      <c r="Y109" s="2025"/>
      <c r="Z109" s="2025"/>
      <c r="AA109" s="2025"/>
      <c r="AB109" s="2026"/>
      <c r="AC109" s="2025"/>
      <c r="AD109" s="2470">
        <f>IFERROR(-PMT(AD101/12,(AD102-AD103)*12,AZ104),0)</f>
        <v>0</v>
      </c>
      <c r="AE109" s="2470"/>
      <c r="AF109" s="2470"/>
      <c r="AG109" s="2470"/>
      <c r="AH109" s="2470"/>
      <c r="AI109" s="2470">
        <f>IFERROR(AD109*12,0)</f>
        <v>0</v>
      </c>
      <c r="AJ109" s="2470"/>
      <c r="AK109" s="2470"/>
      <c r="AL109" s="2470"/>
      <c r="AM109" s="9"/>
      <c r="AN109" s="9"/>
      <c r="AO109" s="9"/>
      <c r="AP109" s="9"/>
      <c r="AQ109" s="9"/>
      <c r="AR109" s="9"/>
      <c r="AS109" s="9"/>
      <c r="AT109" s="9"/>
      <c r="AU109" s="9"/>
      <c r="AV109" s="9"/>
      <c r="AW109" s="9"/>
      <c r="AX109" s="9"/>
      <c r="AY109" s="9"/>
      <c r="AZ109" s="9"/>
      <c r="BA109" s="9"/>
      <c r="BB109" s="9"/>
      <c r="BC109" s="9"/>
      <c r="BD109" s="9"/>
      <c r="BE109" s="9"/>
      <c r="BF109" s="9"/>
      <c r="BG109" s="9"/>
      <c r="BH109" s="275"/>
      <c r="BI109" s="275"/>
      <c r="BJ109" s="275"/>
      <c r="BK109" s="275"/>
      <c r="BL109" s="275"/>
      <c r="BM109" s="275"/>
      <c r="BN109" s="275"/>
      <c r="BO109" s="275"/>
      <c r="BP109" s="275"/>
      <c r="BQ109" s="275"/>
      <c r="BR109" s="275"/>
      <c r="BS109" s="275"/>
      <c r="BT109" s="275"/>
      <c r="BU109" s="275"/>
      <c r="BV109" s="275"/>
      <c r="BW109" s="275"/>
      <c r="BX109" s="275"/>
      <c r="BY109" s="275"/>
      <c r="BZ109" s="275"/>
    </row>
    <row r="110" spans="2:78" ht="15" customHeight="1" x14ac:dyDescent="0.25">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144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275"/>
      <c r="BI110" s="275"/>
      <c r="BJ110" s="275"/>
      <c r="BK110" s="275"/>
      <c r="BL110" s="275"/>
      <c r="BM110" s="275"/>
      <c r="BN110" s="275"/>
      <c r="BO110" s="275"/>
      <c r="BP110" s="275"/>
      <c r="BQ110" s="275"/>
      <c r="BR110" s="275"/>
      <c r="BS110" s="275"/>
      <c r="BT110" s="275"/>
      <c r="BU110" s="275"/>
      <c r="BV110" s="275"/>
      <c r="BW110" s="275"/>
      <c r="BX110" s="275"/>
      <c r="BY110" s="275"/>
      <c r="BZ110" s="275"/>
    </row>
    <row r="111" spans="2:78" ht="15" customHeight="1" x14ac:dyDescent="0.25">
      <c r="AB111" s="278"/>
      <c r="BH111" s="275"/>
      <c r="BI111" s="275"/>
      <c r="BJ111" s="275"/>
      <c r="BK111" s="275"/>
      <c r="BL111" s="275"/>
      <c r="BM111" s="275"/>
      <c r="BN111" s="275"/>
      <c r="BO111" s="275"/>
      <c r="BP111" s="275"/>
      <c r="BQ111" s="275"/>
      <c r="BR111" s="275"/>
      <c r="BS111" s="275"/>
      <c r="BT111" s="275"/>
      <c r="BU111" s="275"/>
      <c r="BV111" s="275"/>
      <c r="BW111" s="275"/>
      <c r="BX111" s="275"/>
      <c r="BY111" s="275"/>
      <c r="BZ111" s="275"/>
    </row>
    <row r="112" spans="2:78" ht="15" customHeight="1" x14ac:dyDescent="0.25">
      <c r="AB112" s="278"/>
      <c r="BH112" s="275"/>
      <c r="BI112" s="275"/>
      <c r="BJ112" s="275"/>
      <c r="BK112" s="275"/>
      <c r="BL112" s="275"/>
      <c r="BM112" s="275"/>
      <c r="BN112" s="275"/>
      <c r="BO112" s="275"/>
      <c r="BP112" s="275"/>
      <c r="BQ112" s="275"/>
      <c r="BR112" s="275"/>
      <c r="BS112" s="275"/>
      <c r="BT112" s="275"/>
      <c r="BU112" s="275"/>
      <c r="BV112" s="275"/>
      <c r="BW112" s="275"/>
      <c r="BX112" s="275"/>
      <c r="BY112" s="275"/>
      <c r="BZ112" s="275"/>
    </row>
    <row r="113" spans="2:78" ht="7.5" customHeight="1" x14ac:dyDescent="0.25">
      <c r="B113" s="521" t="s">
        <v>239</v>
      </c>
      <c r="C113" s="598"/>
      <c r="D113" s="598"/>
      <c r="E113" s="598"/>
      <c r="F113" s="598"/>
      <c r="G113" s="598"/>
      <c r="H113" s="598"/>
      <c r="I113" s="598"/>
      <c r="J113" s="598"/>
      <c r="K113" s="598"/>
      <c r="L113" s="598"/>
      <c r="M113" s="598"/>
      <c r="N113" s="598"/>
      <c r="O113" s="598"/>
      <c r="P113" s="598"/>
      <c r="Q113" s="598"/>
      <c r="R113" s="598"/>
      <c r="S113" s="598"/>
      <c r="T113" s="598"/>
      <c r="U113" s="598"/>
      <c r="V113" s="598"/>
      <c r="W113" s="598"/>
      <c r="X113" s="598"/>
      <c r="Y113" s="598"/>
      <c r="Z113" s="598"/>
      <c r="AA113" s="598"/>
      <c r="AB113" s="598"/>
      <c r="AC113" s="598"/>
      <c r="AD113" s="598"/>
      <c r="AE113" s="598"/>
      <c r="AF113" s="598"/>
      <c r="AG113" s="598"/>
      <c r="AH113" s="598"/>
      <c r="AI113" s="598"/>
      <c r="AJ113" s="598"/>
      <c r="AK113" s="598"/>
      <c r="AL113" s="598"/>
      <c r="AM113" s="598"/>
      <c r="AN113" s="598"/>
      <c r="AO113" s="598"/>
      <c r="AP113" s="598"/>
      <c r="AQ113" s="598"/>
      <c r="AR113" s="598"/>
      <c r="AS113" s="598"/>
      <c r="AT113" s="598"/>
      <c r="AU113" s="598"/>
      <c r="AV113" s="598"/>
      <c r="AW113" s="598"/>
      <c r="AX113" s="598"/>
      <c r="AY113" s="598"/>
      <c r="AZ113" s="598"/>
      <c r="BA113" s="598"/>
      <c r="BB113" s="598"/>
      <c r="BC113" s="598"/>
      <c r="BD113" s="598"/>
      <c r="BE113" s="598"/>
      <c r="BF113" s="598"/>
      <c r="BG113" s="641"/>
      <c r="BH113" s="275"/>
      <c r="BI113" s="275"/>
      <c r="BJ113" s="275"/>
      <c r="BK113" s="275"/>
      <c r="BL113" s="275"/>
      <c r="BM113" s="275"/>
      <c r="BN113" s="275"/>
      <c r="BO113" s="275"/>
      <c r="BP113" s="275"/>
      <c r="BQ113" s="275"/>
      <c r="BR113" s="275"/>
      <c r="BS113" s="275"/>
      <c r="BT113" s="275"/>
      <c r="BU113" s="275"/>
      <c r="BV113" s="275"/>
      <c r="BW113" s="275"/>
      <c r="BX113" s="275"/>
      <c r="BY113" s="275"/>
      <c r="BZ113" s="275"/>
    </row>
    <row r="114" spans="2:78" ht="15" customHeight="1" x14ac:dyDescent="0.25">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277"/>
      <c r="BH114" s="275"/>
      <c r="BI114" s="275"/>
      <c r="BJ114" s="275"/>
      <c r="BK114" s="275"/>
      <c r="BL114" s="275"/>
      <c r="BM114" s="275"/>
      <c r="BN114" s="275"/>
      <c r="BO114" s="275"/>
      <c r="BX114" s="275"/>
      <c r="BY114" s="275"/>
      <c r="BZ114" s="275"/>
    </row>
    <row r="115" spans="2:78" ht="15" customHeight="1" x14ac:dyDescent="0.25">
      <c r="B115" s="9"/>
      <c r="C115" s="499">
        <v>1</v>
      </c>
      <c r="D115" s="499" t="s">
        <v>283</v>
      </c>
      <c r="E115" s="500"/>
      <c r="F115" s="500"/>
      <c r="G115" s="500"/>
      <c r="H115" s="500"/>
      <c r="I115" s="500"/>
      <c r="J115" s="500"/>
      <c r="K115" s="500"/>
      <c r="L115" s="500"/>
      <c r="M115" s="500"/>
      <c r="N115" s="500"/>
      <c r="O115" s="500"/>
      <c r="P115" s="500"/>
      <c r="Q115" s="500"/>
      <c r="R115" s="500"/>
      <c r="S115" s="1793" t="s">
        <v>1149</v>
      </c>
      <c r="T115" s="9"/>
      <c r="U115" s="9"/>
      <c r="V115" s="9"/>
      <c r="W115" s="499">
        <v>2</v>
      </c>
      <c r="X115" s="499" t="s">
        <v>284</v>
      </c>
      <c r="Y115" s="500"/>
      <c r="Z115" s="500"/>
      <c r="AA115" s="500"/>
      <c r="AB115" s="500"/>
      <c r="AC115" s="500"/>
      <c r="AD115" s="500"/>
      <c r="AE115" s="500"/>
      <c r="AF115" s="500"/>
      <c r="AG115" s="500"/>
      <c r="AH115" s="500"/>
      <c r="AI115" s="500"/>
      <c r="AJ115" s="500"/>
      <c r="AK115" s="500"/>
      <c r="AL115" s="500"/>
      <c r="AM115" s="1793" t="s">
        <v>1149</v>
      </c>
      <c r="AN115" s="9"/>
      <c r="AO115" s="9"/>
      <c r="AP115" s="9"/>
      <c r="AQ115" s="499">
        <v>3</v>
      </c>
      <c r="AR115" s="499" t="s">
        <v>285</v>
      </c>
      <c r="AS115" s="500"/>
      <c r="AT115" s="500"/>
      <c r="AU115" s="500"/>
      <c r="AV115" s="500"/>
      <c r="AW115" s="500"/>
      <c r="AX115" s="500"/>
      <c r="AY115" s="500"/>
      <c r="AZ115" s="500"/>
      <c r="BA115" s="500"/>
      <c r="BB115" s="500"/>
      <c r="BC115" s="500"/>
      <c r="BD115" s="500"/>
      <c r="BE115" s="500"/>
      <c r="BF115" s="1793" t="s">
        <v>1149</v>
      </c>
      <c r="BG115" s="277"/>
      <c r="BH115" s="275"/>
      <c r="BI115" s="275"/>
      <c r="BJ115" s="275"/>
      <c r="BK115" s="275"/>
      <c r="BL115" s="275"/>
      <c r="BM115" s="275"/>
      <c r="BN115" s="275"/>
      <c r="BO115" s="275"/>
      <c r="BX115" s="275"/>
      <c r="BY115" s="275"/>
      <c r="BZ115" s="275"/>
    </row>
    <row r="116" spans="2:78" ht="15" customHeight="1" x14ac:dyDescent="0.25">
      <c r="B116" s="2"/>
      <c r="C116" s="627"/>
      <c r="D116" s="628"/>
      <c r="E116" s="628"/>
      <c r="F116" s="628"/>
      <c r="G116" s="628"/>
      <c r="H116" s="628"/>
      <c r="I116" s="628"/>
      <c r="J116" s="628"/>
      <c r="K116" s="2138"/>
      <c r="L116" s="2138"/>
      <c r="M116" s="2138"/>
      <c r="N116" s="2138"/>
      <c r="O116" s="2138"/>
      <c r="P116" s="2138"/>
      <c r="Q116" s="2138"/>
      <c r="R116" s="2138"/>
      <c r="S116" s="2138"/>
      <c r="T116" s="2138"/>
      <c r="U116" s="2138"/>
      <c r="V116" s="2"/>
      <c r="W116" s="628"/>
      <c r="X116" s="628"/>
      <c r="Y116" s="628"/>
      <c r="Z116" s="628"/>
      <c r="AA116" s="628"/>
      <c r="AB116" s="628"/>
      <c r="AC116" s="628"/>
      <c r="AD116" s="628"/>
      <c r="AE116" s="628"/>
      <c r="AF116" s="628"/>
      <c r="AG116" s="628"/>
      <c r="AH116" s="628"/>
      <c r="AI116" s="628"/>
      <c r="AJ116" s="628"/>
      <c r="AK116" s="628"/>
      <c r="AL116" s="628"/>
      <c r="AM116" s="628"/>
      <c r="AN116" s="9"/>
      <c r="AO116" s="9"/>
      <c r="AP116" s="9"/>
      <c r="AQ116" s="627"/>
      <c r="AR116" s="628"/>
      <c r="AS116" s="628"/>
      <c r="AT116" s="628"/>
      <c r="AU116" s="628"/>
      <c r="AV116" s="628"/>
      <c r="AW116" s="628"/>
      <c r="AX116" s="628"/>
      <c r="AY116" s="628"/>
      <c r="AZ116" s="628"/>
      <c r="BA116" s="628"/>
      <c r="BB116" s="628"/>
      <c r="BC116" s="628"/>
      <c r="BD116" s="628"/>
      <c r="BE116" s="628"/>
      <c r="BF116" s="628"/>
      <c r="BG116" s="642"/>
      <c r="BH116" s="275"/>
      <c r="BI116" s="275"/>
      <c r="BJ116" s="275"/>
      <c r="BK116" s="275"/>
      <c r="BL116" s="275"/>
      <c r="BM116" s="275"/>
      <c r="BN116" s="275"/>
      <c r="BO116" s="275"/>
      <c r="BX116" s="275"/>
      <c r="BY116" s="275"/>
      <c r="BZ116" s="275"/>
    </row>
    <row r="117" spans="2:78" ht="15" customHeight="1" x14ac:dyDescent="0.25">
      <c r="B117" s="628"/>
      <c r="C117" s="628"/>
      <c r="D117" s="628"/>
      <c r="E117" s="628"/>
      <c r="F117" s="628"/>
      <c r="G117" s="628"/>
      <c r="H117" s="2138" t="s">
        <v>542</v>
      </c>
      <c r="I117" s="2259"/>
      <c r="J117" s="2259"/>
      <c r="K117" s="2138"/>
      <c r="L117" s="2138" t="s">
        <v>535</v>
      </c>
      <c r="M117" s="2138"/>
      <c r="N117" s="2138"/>
      <c r="O117" s="2138"/>
      <c r="P117" s="2263" t="s">
        <v>575</v>
      </c>
      <c r="Q117" s="2263"/>
      <c r="R117" s="2263"/>
      <c r="S117" s="2263"/>
      <c r="T117" s="9"/>
      <c r="U117" s="9"/>
      <c r="V117" s="9"/>
      <c r="W117" s="628"/>
      <c r="X117" s="628"/>
      <c r="Y117" s="628"/>
      <c r="Z117" s="628"/>
      <c r="AA117" s="628"/>
      <c r="AB117" s="628"/>
      <c r="AC117" s="628"/>
      <c r="AD117" s="628"/>
      <c r="AE117" s="628"/>
      <c r="AF117" s="628"/>
      <c r="AG117" s="628"/>
      <c r="AH117" s="628"/>
      <c r="AI117" s="628"/>
      <c r="AJ117" s="628"/>
      <c r="AK117" s="628"/>
      <c r="AL117" s="628"/>
      <c r="AM117" s="628"/>
      <c r="AN117" s="9"/>
      <c r="AO117" s="9"/>
      <c r="AP117" s="9"/>
      <c r="AQ117" s="627"/>
      <c r="AR117" s="628"/>
      <c r="AS117" s="628"/>
      <c r="AT117" s="628"/>
      <c r="AU117" s="628"/>
      <c r="AV117" s="628"/>
      <c r="AW117" s="628"/>
      <c r="AX117" s="628"/>
      <c r="AY117" s="628"/>
      <c r="AZ117" s="628"/>
      <c r="BA117" s="628"/>
      <c r="BB117" s="628"/>
      <c r="BC117" s="628"/>
      <c r="BD117" s="628"/>
      <c r="BE117" s="628"/>
      <c r="BF117" s="628"/>
      <c r="BG117" s="642"/>
      <c r="BH117" s="275"/>
      <c r="BI117" s="275"/>
      <c r="BJ117" s="275"/>
      <c r="BK117" s="275"/>
      <c r="BL117" s="275"/>
      <c r="BM117" s="275"/>
      <c r="BN117" s="275"/>
      <c r="BO117" s="275"/>
      <c r="BX117" s="275"/>
      <c r="BY117" s="275"/>
      <c r="BZ117" s="275"/>
    </row>
    <row r="118" spans="2:78" ht="15" customHeight="1" x14ac:dyDescent="0.25">
      <c r="B118" s="625">
        <f>MATCH(H118,HIDE5!$H$25:$H$26,0)</f>
        <v>1</v>
      </c>
      <c r="C118" s="92" t="s">
        <v>534</v>
      </c>
      <c r="D118" s="2"/>
      <c r="E118" s="2"/>
      <c r="F118" s="2"/>
      <c r="G118" s="2"/>
      <c r="H118" s="2260" t="s">
        <v>396</v>
      </c>
      <c r="I118" s="2261"/>
      <c r="J118" s="2261"/>
      <c r="K118" s="2262"/>
      <c r="L118" s="2253"/>
      <c r="M118" s="2254"/>
      <c r="N118" s="2254"/>
      <c r="O118" s="2255"/>
      <c r="P118" s="2260" t="s">
        <v>571</v>
      </c>
      <c r="Q118" s="2261"/>
      <c r="R118" s="2261"/>
      <c r="S118" s="2262"/>
      <c r="T118" s="625">
        <f>MATCH(P118,$C$166:$C$169,0)</f>
        <v>1</v>
      </c>
      <c r="U118" s="9"/>
      <c r="V118" s="9"/>
      <c r="W118" s="2"/>
      <c r="X118" s="2"/>
      <c r="Y118" s="2"/>
      <c r="Z118" s="2"/>
      <c r="AA118" s="2"/>
      <c r="AB118" s="2"/>
      <c r="AC118" s="2"/>
      <c r="AD118" s="2"/>
      <c r="AE118" s="2157" t="s">
        <v>10</v>
      </c>
      <c r="AF118" s="2157"/>
      <c r="AG118" s="2157"/>
      <c r="AH118" s="2157" t="s">
        <v>11</v>
      </c>
      <c r="AI118" s="2157"/>
      <c r="AJ118" s="2157"/>
      <c r="AK118" s="2157" t="s">
        <v>585</v>
      </c>
      <c r="AL118" s="2157"/>
      <c r="AM118" s="2157"/>
      <c r="AN118" s="9"/>
      <c r="AO118" s="9"/>
      <c r="AP118" s="9"/>
      <c r="AQ118" s="92"/>
      <c r="AR118" s="2"/>
      <c r="AS118" s="2"/>
      <c r="AT118" s="2"/>
      <c r="AU118" s="99"/>
      <c r="AV118" s="2"/>
      <c r="AW118" s="2"/>
      <c r="AX118" s="2157" t="s">
        <v>586</v>
      </c>
      <c r="AY118" s="2157"/>
      <c r="AZ118" s="2157"/>
      <c r="BA118" s="2157" t="s">
        <v>11</v>
      </c>
      <c r="BB118" s="2157"/>
      <c r="BC118" s="2157"/>
      <c r="BD118" s="2157" t="s">
        <v>585</v>
      </c>
      <c r="BE118" s="2157"/>
      <c r="BF118" s="2157"/>
      <c r="BG118" s="277"/>
      <c r="BH118" s="275"/>
      <c r="BI118" s="275"/>
      <c r="BJ118" s="275"/>
      <c r="BK118" s="275"/>
      <c r="BL118" s="275"/>
      <c r="BM118" s="275"/>
      <c r="BN118" s="275"/>
      <c r="BO118" s="275"/>
    </row>
    <row r="119" spans="2:78" ht="15" customHeight="1" x14ac:dyDescent="0.25">
      <c r="B119" s="625">
        <f>MATCH(H119,HIDE5!$H$25:$H$26,0)</f>
        <v>1</v>
      </c>
      <c r="C119" s="92" t="s">
        <v>536</v>
      </c>
      <c r="D119" s="2"/>
      <c r="E119" s="2"/>
      <c r="F119" s="2"/>
      <c r="G119" s="2"/>
      <c r="H119" s="2260" t="s">
        <v>396</v>
      </c>
      <c r="I119" s="2261"/>
      <c r="J119" s="2261"/>
      <c r="K119" s="2262"/>
      <c r="L119" s="2249"/>
      <c r="M119" s="2250"/>
      <c r="N119" s="2250"/>
      <c r="O119" s="2251"/>
      <c r="P119" s="2260" t="s">
        <v>571</v>
      </c>
      <c r="Q119" s="2261"/>
      <c r="R119" s="2261"/>
      <c r="S119" s="2262"/>
      <c r="T119" s="625">
        <f>MATCH(P119,$C$166:$C$169,0)</f>
        <v>1</v>
      </c>
      <c r="U119" s="9"/>
      <c r="V119" s="9"/>
      <c r="W119" s="2202" t="s">
        <v>272</v>
      </c>
      <c r="X119" s="2203"/>
      <c r="Y119" s="2203"/>
      <c r="Z119" s="2203"/>
      <c r="AA119" s="2203"/>
      <c r="AB119" s="2203"/>
      <c r="AC119" s="2204"/>
      <c r="AD119" s="2"/>
      <c r="AE119" s="2199"/>
      <c r="AF119" s="2200"/>
      <c r="AG119" s="2201"/>
      <c r="AH119" s="2122">
        <f t="shared" ref="AH119:AH127" si="0">IFERROR(AE119*12,0)</f>
        <v>0</v>
      </c>
      <c r="AI119" s="2122"/>
      <c r="AJ119" s="2122"/>
      <c r="AK119" s="2205">
        <f t="shared" ref="AK119:AK127" si="1">IFERROR(AH119/$BH$192,0)</f>
        <v>0</v>
      </c>
      <c r="AL119" s="2205"/>
      <c r="AM119" s="2205"/>
      <c r="AN119" s="9"/>
      <c r="AO119" s="9"/>
      <c r="AP119" s="9"/>
      <c r="AQ119" s="2202" t="s">
        <v>116</v>
      </c>
      <c r="AR119" s="2203"/>
      <c r="AS119" s="2203"/>
      <c r="AT119" s="2203"/>
      <c r="AU119" s="2203"/>
      <c r="AV119" s="2203"/>
      <c r="AW119" s="2204"/>
      <c r="AX119" s="2122">
        <f>IFERROR(BA119/12,0)</f>
        <v>0</v>
      </c>
      <c r="AY119" s="2122"/>
      <c r="AZ119" s="2122"/>
      <c r="BA119" s="2122">
        <f t="shared" ref="BA119:BA127" si="2">IFERROR(BD119*$BH$192,0)</f>
        <v>0</v>
      </c>
      <c r="BB119" s="2122"/>
      <c r="BC119" s="2122"/>
      <c r="BD119" s="2140">
        <v>0.05</v>
      </c>
      <c r="BE119" s="2141"/>
      <c r="BF119" s="2142"/>
      <c r="BG119" s="277"/>
      <c r="BH119" s="275"/>
      <c r="BI119" s="275"/>
      <c r="BJ119" s="275"/>
      <c r="BK119" s="275"/>
      <c r="BL119" s="275"/>
      <c r="BM119" s="275"/>
      <c r="BN119" s="275"/>
      <c r="BO119" s="275"/>
    </row>
    <row r="120" spans="2:78" ht="15" customHeight="1" x14ac:dyDescent="0.25">
      <c r="B120" s="1688">
        <f>IF(AND(B118=1,B119=1),1,0)</f>
        <v>1</v>
      </c>
      <c r="C120" s="488"/>
      <c r="D120" s="488"/>
      <c r="E120" s="488"/>
      <c r="F120" s="488"/>
      <c r="G120" s="488"/>
      <c r="H120" s="488"/>
      <c r="I120" s="488"/>
      <c r="J120" s="488"/>
      <c r="K120" s="488"/>
      <c r="L120" s="488"/>
      <c r="M120" s="488"/>
      <c r="N120" s="488"/>
      <c r="O120" s="488"/>
      <c r="P120" s="9"/>
      <c r="Q120" s="9"/>
      <c r="R120" s="9"/>
      <c r="S120" s="9"/>
      <c r="T120" s="9"/>
      <c r="U120" s="9"/>
      <c r="V120" s="9"/>
      <c r="W120" s="2202" t="s">
        <v>271</v>
      </c>
      <c r="X120" s="2203"/>
      <c r="Y120" s="2203"/>
      <c r="Z120" s="2203"/>
      <c r="AA120" s="2203"/>
      <c r="AB120" s="2203"/>
      <c r="AC120" s="2204"/>
      <c r="AD120" s="2"/>
      <c r="AE120" s="2199"/>
      <c r="AF120" s="2200"/>
      <c r="AG120" s="2201"/>
      <c r="AH120" s="2122">
        <f t="shared" si="0"/>
        <v>0</v>
      </c>
      <c r="AI120" s="2122"/>
      <c r="AJ120" s="2122"/>
      <c r="AK120" s="2205">
        <f t="shared" si="1"/>
        <v>0</v>
      </c>
      <c r="AL120" s="2205"/>
      <c r="AM120" s="2205"/>
      <c r="AN120" s="9"/>
      <c r="AO120" s="9"/>
      <c r="AP120" s="9"/>
      <c r="AQ120" s="2202" t="s">
        <v>0</v>
      </c>
      <c r="AR120" s="2203"/>
      <c r="AS120" s="2203"/>
      <c r="AT120" s="2203"/>
      <c r="AU120" s="2203"/>
      <c r="AV120" s="2203"/>
      <c r="AW120" s="2204"/>
      <c r="AX120" s="2122">
        <f t="shared" ref="AX120:AX127" si="3">IFERROR(BA120/12,0)</f>
        <v>0</v>
      </c>
      <c r="AY120" s="2122"/>
      <c r="AZ120" s="2122"/>
      <c r="BA120" s="2122">
        <f t="shared" si="2"/>
        <v>0</v>
      </c>
      <c r="BB120" s="2122"/>
      <c r="BC120" s="2122"/>
      <c r="BD120" s="2140"/>
      <c r="BE120" s="2141"/>
      <c r="BF120" s="2142"/>
      <c r="BG120" s="277"/>
      <c r="BH120" s="275"/>
      <c r="BI120" s="275"/>
      <c r="BJ120" s="275"/>
      <c r="BK120" s="275"/>
      <c r="BL120" s="275"/>
      <c r="BM120" s="275"/>
      <c r="BN120" s="275"/>
      <c r="BO120" s="275"/>
    </row>
    <row r="121" spans="2:78" ht="15" customHeight="1" x14ac:dyDescent="0.25">
      <c r="B121" s="488"/>
      <c r="C121" s="1593" t="s">
        <v>717</v>
      </c>
      <c r="D121" s="1594"/>
      <c r="E121" s="1594"/>
      <c r="F121" s="1594"/>
      <c r="G121" s="1594"/>
      <c r="H121" s="1594"/>
      <c r="I121" s="1594"/>
      <c r="J121" s="1594"/>
      <c r="K121" s="1594"/>
      <c r="L121" s="1595"/>
      <c r="M121" s="277"/>
      <c r="N121" s="277"/>
      <c r="O121" s="277"/>
      <c r="P121" s="277"/>
      <c r="Q121" s="277"/>
      <c r="R121" s="277"/>
      <c r="S121" s="277"/>
      <c r="T121" s="9"/>
      <c r="U121" s="9"/>
      <c r="V121" s="9"/>
      <c r="W121" s="2202" t="s">
        <v>270</v>
      </c>
      <c r="X121" s="2203"/>
      <c r="Y121" s="2203"/>
      <c r="Z121" s="2203"/>
      <c r="AA121" s="2203"/>
      <c r="AB121" s="2203"/>
      <c r="AC121" s="2204"/>
      <c r="AD121" s="2"/>
      <c r="AE121" s="2199"/>
      <c r="AF121" s="2200"/>
      <c r="AG121" s="2201"/>
      <c r="AH121" s="2122">
        <f t="shared" si="0"/>
        <v>0</v>
      </c>
      <c r="AI121" s="2122"/>
      <c r="AJ121" s="2122"/>
      <c r="AK121" s="2205">
        <f t="shared" si="1"/>
        <v>0</v>
      </c>
      <c r="AL121" s="2205"/>
      <c r="AM121" s="2205"/>
      <c r="AN121" s="9"/>
      <c r="AO121" s="9"/>
      <c r="AP121" s="9"/>
      <c r="AQ121" s="2202" t="s">
        <v>12</v>
      </c>
      <c r="AR121" s="2203"/>
      <c r="AS121" s="2203"/>
      <c r="AT121" s="2203"/>
      <c r="AU121" s="2203"/>
      <c r="AV121" s="2203"/>
      <c r="AW121" s="2204"/>
      <c r="AX121" s="2122">
        <f t="shared" si="3"/>
        <v>0</v>
      </c>
      <c r="AY121" s="2122"/>
      <c r="AZ121" s="2122"/>
      <c r="BA121" s="2122">
        <f t="shared" si="2"/>
        <v>0</v>
      </c>
      <c r="BB121" s="2122"/>
      <c r="BC121" s="2122"/>
      <c r="BD121" s="2140"/>
      <c r="BE121" s="2141"/>
      <c r="BF121" s="2142"/>
      <c r="BG121" s="277"/>
      <c r="BH121" s="275"/>
      <c r="BI121" s="275"/>
      <c r="BJ121" s="275"/>
      <c r="BK121" s="275"/>
      <c r="BL121" s="275"/>
      <c r="BM121" s="275"/>
      <c r="BN121" s="275"/>
      <c r="BO121" s="275"/>
      <c r="BP121" s="275"/>
      <c r="BQ121" s="275"/>
      <c r="BR121" s="275"/>
      <c r="BS121" s="275"/>
      <c r="BT121" s="275"/>
      <c r="BU121" s="275"/>
      <c r="BV121" s="275"/>
    </row>
    <row r="122" spans="2:78" ht="15" customHeight="1" x14ac:dyDescent="0.25">
      <c r="B122" s="277"/>
      <c r="C122" s="277"/>
      <c r="D122" s="277"/>
      <c r="E122" s="277"/>
      <c r="F122" s="277"/>
      <c r="G122" s="277"/>
      <c r="H122" s="277"/>
      <c r="I122" s="277"/>
      <c r="J122" s="277"/>
      <c r="K122" s="277"/>
      <c r="L122" s="277"/>
      <c r="M122" s="277"/>
      <c r="N122" s="277"/>
      <c r="O122" s="277"/>
      <c r="P122" s="277"/>
      <c r="Q122" s="277"/>
      <c r="R122" s="277"/>
      <c r="S122" s="277"/>
      <c r="T122" s="9"/>
      <c r="U122" s="9"/>
      <c r="V122" s="9"/>
      <c r="W122" s="2202" t="s">
        <v>1150</v>
      </c>
      <c r="X122" s="2203"/>
      <c r="Y122" s="2203"/>
      <c r="Z122" s="2203"/>
      <c r="AA122" s="2203"/>
      <c r="AB122" s="2203"/>
      <c r="AC122" s="2204"/>
      <c r="AD122" s="2"/>
      <c r="AE122" s="2199"/>
      <c r="AF122" s="2200"/>
      <c r="AG122" s="2201"/>
      <c r="AH122" s="2122">
        <f t="shared" si="0"/>
        <v>0</v>
      </c>
      <c r="AI122" s="2122"/>
      <c r="AJ122" s="2122"/>
      <c r="AK122" s="2205">
        <f t="shared" si="1"/>
        <v>0</v>
      </c>
      <c r="AL122" s="2205"/>
      <c r="AM122" s="2205"/>
      <c r="AN122" s="9"/>
      <c r="AO122" s="9"/>
      <c r="AP122" s="9"/>
      <c r="AQ122" s="2202" t="s">
        <v>13</v>
      </c>
      <c r="AR122" s="2203"/>
      <c r="AS122" s="2203"/>
      <c r="AT122" s="2203"/>
      <c r="AU122" s="2203"/>
      <c r="AV122" s="2203"/>
      <c r="AW122" s="2204"/>
      <c r="AX122" s="2122">
        <f t="shared" si="3"/>
        <v>0</v>
      </c>
      <c r="AY122" s="2122"/>
      <c r="AZ122" s="2122"/>
      <c r="BA122" s="2122">
        <f t="shared" si="2"/>
        <v>0</v>
      </c>
      <c r="BB122" s="2122"/>
      <c r="BC122" s="2122"/>
      <c r="BD122" s="2140"/>
      <c r="BE122" s="2141"/>
      <c r="BF122" s="2142"/>
      <c r="BG122" s="277"/>
      <c r="BH122" s="275"/>
      <c r="BI122" s="275"/>
      <c r="BJ122" s="275"/>
      <c r="BK122" s="275"/>
      <c r="BL122" s="275"/>
      <c r="BM122" s="275"/>
      <c r="BN122" s="275"/>
      <c r="BO122" s="275"/>
      <c r="BP122" s="275"/>
      <c r="BQ122" s="275"/>
      <c r="BR122" s="275"/>
      <c r="BS122" s="275"/>
      <c r="BT122" s="275"/>
      <c r="BU122" s="275"/>
      <c r="BV122" s="275"/>
    </row>
    <row r="123" spans="2:78" ht="15" customHeight="1" x14ac:dyDescent="0.25">
      <c r="B123" s="9"/>
      <c r="C123" s="199" t="s">
        <v>551</v>
      </c>
      <c r="D123" s="9"/>
      <c r="E123" s="9"/>
      <c r="F123" s="9"/>
      <c r="G123" s="9"/>
      <c r="H123" s="2256" t="s">
        <v>462</v>
      </c>
      <c r="I123" s="2257"/>
      <c r="J123" s="2257"/>
      <c r="K123" s="2257"/>
      <c r="L123" s="2258"/>
      <c r="M123" s="625">
        <f>MATCH(H123,HIDE5!J25:J31,0)</f>
        <v>3</v>
      </c>
      <c r="N123" s="488"/>
      <c r="O123" s="488"/>
      <c r="P123" s="488"/>
      <c r="Q123" s="488"/>
      <c r="R123" s="9"/>
      <c r="S123" s="488"/>
      <c r="T123" s="9"/>
      <c r="U123" s="9"/>
      <c r="V123" s="9"/>
      <c r="W123" s="2202" t="s">
        <v>543</v>
      </c>
      <c r="X123" s="2203"/>
      <c r="Y123" s="2203"/>
      <c r="Z123" s="2203"/>
      <c r="AA123" s="2203"/>
      <c r="AB123" s="2203"/>
      <c r="AC123" s="2204"/>
      <c r="AD123" s="2"/>
      <c r="AE123" s="2199"/>
      <c r="AF123" s="2200"/>
      <c r="AG123" s="2201"/>
      <c r="AH123" s="2122">
        <f t="shared" si="0"/>
        <v>0</v>
      </c>
      <c r="AI123" s="2122"/>
      <c r="AJ123" s="2122"/>
      <c r="AK123" s="2205">
        <f t="shared" si="1"/>
        <v>0</v>
      </c>
      <c r="AL123" s="2205"/>
      <c r="AM123" s="2205"/>
      <c r="AN123" s="9"/>
      <c r="AO123" s="9"/>
      <c r="AP123" s="9"/>
      <c r="AQ123" s="2202" t="s">
        <v>14</v>
      </c>
      <c r="AR123" s="2203"/>
      <c r="AS123" s="2203"/>
      <c r="AT123" s="2203"/>
      <c r="AU123" s="2203"/>
      <c r="AV123" s="2203"/>
      <c r="AW123" s="2204"/>
      <c r="AX123" s="2122">
        <f t="shared" si="3"/>
        <v>0</v>
      </c>
      <c r="AY123" s="2122"/>
      <c r="AZ123" s="2122"/>
      <c r="BA123" s="2122">
        <f t="shared" si="2"/>
        <v>0</v>
      </c>
      <c r="BB123" s="2122"/>
      <c r="BC123" s="2122"/>
      <c r="BD123" s="2140"/>
      <c r="BE123" s="2141"/>
      <c r="BF123" s="2142"/>
      <c r="BG123" s="277"/>
      <c r="BH123" s="275"/>
      <c r="BI123" s="275"/>
      <c r="BJ123" s="275"/>
      <c r="BK123" s="275"/>
      <c r="BL123" s="275"/>
      <c r="BM123" s="275"/>
      <c r="BN123" s="275"/>
      <c r="BO123" s="275"/>
      <c r="BP123" s="275"/>
      <c r="BQ123" s="275"/>
      <c r="BR123" s="275"/>
      <c r="BS123" s="275"/>
      <c r="BT123" s="275"/>
      <c r="BU123" s="275"/>
      <c r="BV123" s="275"/>
    </row>
    <row r="124" spans="2:78" ht="15" customHeight="1" x14ac:dyDescent="0.25">
      <c r="B124" s="9"/>
      <c r="C124" s="199" t="s">
        <v>730</v>
      </c>
      <c r="D124" s="9"/>
      <c r="E124" s="9"/>
      <c r="F124" s="9"/>
      <c r="G124" s="9"/>
      <c r="H124" s="2389" t="s">
        <v>1114</v>
      </c>
      <c r="I124" s="2390"/>
      <c r="J124" s="2390"/>
      <c r="K124" s="2390"/>
      <c r="L124" s="2391"/>
      <c r="M124" s="625" t="e">
        <f>MATCH(H124,DASHBOARD!$C$148:$C$157,0)</f>
        <v>#N/A</v>
      </c>
      <c r="N124" s="488"/>
      <c r="O124" s="488"/>
      <c r="P124" s="488"/>
      <c r="Q124" s="488"/>
      <c r="R124" s="488"/>
      <c r="S124" s="488"/>
      <c r="T124" s="199"/>
      <c r="U124" s="199"/>
      <c r="V124" s="9"/>
      <c r="W124" s="2202" t="s">
        <v>1151</v>
      </c>
      <c r="X124" s="2203"/>
      <c r="Y124" s="2203"/>
      <c r="Z124" s="2203"/>
      <c r="AA124" s="2203"/>
      <c r="AB124" s="2203"/>
      <c r="AC124" s="2204"/>
      <c r="AD124" s="2"/>
      <c r="AE124" s="2199"/>
      <c r="AF124" s="2200"/>
      <c r="AG124" s="2201"/>
      <c r="AH124" s="2122">
        <f t="shared" si="0"/>
        <v>0</v>
      </c>
      <c r="AI124" s="2122"/>
      <c r="AJ124" s="2122"/>
      <c r="AK124" s="2205">
        <f t="shared" si="1"/>
        <v>0</v>
      </c>
      <c r="AL124" s="2205"/>
      <c r="AM124" s="2205"/>
      <c r="AN124" s="9"/>
      <c r="AO124" s="9"/>
      <c r="AP124" s="9"/>
      <c r="AQ124" s="2202" t="s">
        <v>15</v>
      </c>
      <c r="AR124" s="2203"/>
      <c r="AS124" s="2203"/>
      <c r="AT124" s="2203"/>
      <c r="AU124" s="2203"/>
      <c r="AV124" s="2203"/>
      <c r="AW124" s="2204"/>
      <c r="AX124" s="2122">
        <f t="shared" si="3"/>
        <v>0</v>
      </c>
      <c r="AY124" s="2122"/>
      <c r="AZ124" s="2122"/>
      <c r="BA124" s="2122">
        <f t="shared" si="2"/>
        <v>0</v>
      </c>
      <c r="BB124" s="2122"/>
      <c r="BC124" s="2122"/>
      <c r="BD124" s="2140"/>
      <c r="BE124" s="2141"/>
      <c r="BF124" s="2142"/>
      <c r="BG124" s="277"/>
      <c r="BH124" s="275"/>
      <c r="BI124" s="275"/>
      <c r="BJ124" s="275"/>
      <c r="BK124" s="275"/>
      <c r="BL124" s="275"/>
      <c r="BM124" s="275"/>
      <c r="BN124" s="275"/>
      <c r="BO124" s="275"/>
      <c r="BP124" s="275"/>
      <c r="BQ124" s="275"/>
      <c r="BR124" s="275"/>
      <c r="BS124" s="275"/>
      <c r="BT124" s="275"/>
      <c r="BU124" s="275"/>
      <c r="BV124" s="275"/>
    </row>
    <row r="125" spans="2:78" ht="15" customHeight="1" x14ac:dyDescent="0.25">
      <c r="B125" s="9"/>
      <c r="C125" s="488"/>
      <c r="D125" s="488"/>
      <c r="E125" s="488"/>
      <c r="F125" s="488"/>
      <c r="G125" s="488"/>
      <c r="H125" s="488"/>
      <c r="I125" s="488"/>
      <c r="J125" s="488"/>
      <c r="K125" s="488"/>
      <c r="L125" s="488"/>
      <c r="M125" s="488"/>
      <c r="N125" s="488"/>
      <c r="O125" s="488"/>
      <c r="P125" s="488"/>
      <c r="Q125" s="488"/>
      <c r="R125" s="92"/>
      <c r="S125" s="92"/>
      <c r="T125" s="92"/>
      <c r="U125" s="92"/>
      <c r="V125" s="9"/>
      <c r="W125" s="2202" t="s">
        <v>1152</v>
      </c>
      <c r="X125" s="2203"/>
      <c r="Y125" s="2203"/>
      <c r="Z125" s="2203"/>
      <c r="AA125" s="2203"/>
      <c r="AB125" s="2203"/>
      <c r="AC125" s="2204"/>
      <c r="AD125" s="2"/>
      <c r="AE125" s="2199"/>
      <c r="AF125" s="2200"/>
      <c r="AG125" s="2201"/>
      <c r="AH125" s="2122">
        <f t="shared" si="0"/>
        <v>0</v>
      </c>
      <c r="AI125" s="2122"/>
      <c r="AJ125" s="2122"/>
      <c r="AK125" s="2205">
        <f t="shared" si="1"/>
        <v>0</v>
      </c>
      <c r="AL125" s="2205"/>
      <c r="AM125" s="2205"/>
      <c r="AN125" s="9"/>
      <c r="AO125" s="9"/>
      <c r="AP125" s="9"/>
      <c r="AQ125" s="2202" t="s">
        <v>132</v>
      </c>
      <c r="AR125" s="2203"/>
      <c r="AS125" s="2203"/>
      <c r="AT125" s="2203"/>
      <c r="AU125" s="2203"/>
      <c r="AV125" s="2203"/>
      <c r="AW125" s="2204"/>
      <c r="AX125" s="2122">
        <f t="shared" si="3"/>
        <v>0</v>
      </c>
      <c r="AY125" s="2122"/>
      <c r="AZ125" s="2122"/>
      <c r="BA125" s="2122">
        <f t="shared" si="2"/>
        <v>0</v>
      </c>
      <c r="BB125" s="2122"/>
      <c r="BC125" s="2122"/>
      <c r="BD125" s="2140"/>
      <c r="BE125" s="2141"/>
      <c r="BF125" s="2142"/>
      <c r="BG125" s="277"/>
      <c r="BH125" s="275"/>
      <c r="BI125" s="275"/>
      <c r="BJ125" s="275"/>
      <c r="BK125" s="275"/>
      <c r="BL125" s="275"/>
      <c r="BM125" s="275"/>
      <c r="BN125" s="275"/>
      <c r="BO125" s="275"/>
      <c r="BP125" s="275"/>
      <c r="BQ125" s="275"/>
      <c r="BR125" s="275"/>
      <c r="BS125" s="275"/>
      <c r="BT125" s="275"/>
      <c r="BU125" s="275"/>
      <c r="BV125" s="275"/>
    </row>
    <row r="126" spans="2:78" ht="15" customHeight="1" x14ac:dyDescent="0.25">
      <c r="B126" s="9"/>
      <c r="C126" s="92"/>
      <c r="D126" s="92"/>
      <c r="E126" s="92"/>
      <c r="F126" s="92"/>
      <c r="G126" s="92"/>
      <c r="H126" s="2138" t="s">
        <v>533</v>
      </c>
      <c r="I126" s="2138"/>
      <c r="J126" s="2138"/>
      <c r="K126" s="2138"/>
      <c r="L126" s="2138"/>
      <c r="M126" s="2138" t="s">
        <v>544</v>
      </c>
      <c r="N126" s="2138"/>
      <c r="O126" s="2138"/>
      <c r="P126" s="2138"/>
      <c r="Q126" s="2138"/>
      <c r="R126" s="9"/>
      <c r="S126" s="9"/>
      <c r="T126" s="9"/>
      <c r="U126" s="9"/>
      <c r="V126" s="9"/>
      <c r="W126" s="2202" t="s">
        <v>1153</v>
      </c>
      <c r="X126" s="2203"/>
      <c r="Y126" s="2203"/>
      <c r="Z126" s="2203"/>
      <c r="AA126" s="2203"/>
      <c r="AB126" s="2203"/>
      <c r="AC126" s="2204"/>
      <c r="AD126" s="2"/>
      <c r="AE126" s="2199"/>
      <c r="AF126" s="2200"/>
      <c r="AG126" s="2201"/>
      <c r="AH126" s="2122">
        <f t="shared" si="0"/>
        <v>0</v>
      </c>
      <c r="AI126" s="2122"/>
      <c r="AJ126" s="2122"/>
      <c r="AK126" s="2205">
        <f t="shared" si="1"/>
        <v>0</v>
      </c>
      <c r="AL126" s="2205"/>
      <c r="AM126" s="2205"/>
      <c r="AN126" s="9"/>
      <c r="AO126" s="9"/>
      <c r="AP126" s="9"/>
      <c r="AQ126" s="2202" t="s">
        <v>133</v>
      </c>
      <c r="AR126" s="2203"/>
      <c r="AS126" s="2203"/>
      <c r="AT126" s="2203"/>
      <c r="AU126" s="2203"/>
      <c r="AV126" s="2203"/>
      <c r="AW126" s="2204"/>
      <c r="AX126" s="2122">
        <f t="shared" si="3"/>
        <v>0</v>
      </c>
      <c r="AY126" s="2122"/>
      <c r="AZ126" s="2122"/>
      <c r="BA126" s="2122">
        <f t="shared" si="2"/>
        <v>0</v>
      </c>
      <c r="BB126" s="2122"/>
      <c r="BC126" s="2122"/>
      <c r="BD126" s="2140"/>
      <c r="BE126" s="2141"/>
      <c r="BF126" s="2142"/>
      <c r="BG126" s="277"/>
      <c r="BH126" s="275"/>
      <c r="BI126" s="275"/>
      <c r="BJ126" s="275"/>
      <c r="BK126" s="275"/>
      <c r="BL126" s="275"/>
      <c r="BM126" s="275"/>
      <c r="BN126" s="275"/>
      <c r="BO126" s="275"/>
      <c r="BP126" s="275"/>
      <c r="BQ126" s="275"/>
      <c r="BR126" s="275"/>
      <c r="BS126" s="275"/>
      <c r="BT126" s="275"/>
      <c r="BU126" s="275"/>
      <c r="BV126" s="275"/>
    </row>
    <row r="127" spans="2:78" ht="15" customHeight="1" x14ac:dyDescent="0.25">
      <c r="B127" s="9"/>
      <c r="C127" s="2264" t="s">
        <v>729</v>
      </c>
      <c r="D127" s="2265"/>
      <c r="E127" s="2265"/>
      <c r="F127" s="2265"/>
      <c r="G127" s="2265"/>
      <c r="H127" s="2364">
        <f>IFERROR(IF(AQ140=0,CHOOSE(B118,Rent,H129),AQ140),0)</f>
        <v>0</v>
      </c>
      <c r="I127" s="2364"/>
      <c r="J127" s="2364"/>
      <c r="K127" s="2364"/>
      <c r="L127" s="2364"/>
      <c r="M127" s="2424">
        <f>IFERROR(IF(AU140=0,CHOOSE(B119,L119,L129),AU140),0)</f>
        <v>0</v>
      </c>
      <c r="N127" s="2424"/>
      <c r="O127" s="2424"/>
      <c r="P127" s="2424"/>
      <c r="Q127" s="2425"/>
      <c r="R127" s="9"/>
      <c r="S127" s="9"/>
      <c r="T127" s="9"/>
      <c r="U127" s="9"/>
      <c r="V127" s="9"/>
      <c r="W127" s="2369" t="s">
        <v>16</v>
      </c>
      <c r="X127" s="2370"/>
      <c r="Y127" s="2370"/>
      <c r="Z127" s="2370"/>
      <c r="AA127" s="2370"/>
      <c r="AB127" s="2370"/>
      <c r="AC127" s="2371"/>
      <c r="AD127" s="2"/>
      <c r="AE127" s="2366"/>
      <c r="AF127" s="2367"/>
      <c r="AG127" s="2368"/>
      <c r="AH127" s="2122">
        <f t="shared" si="0"/>
        <v>0</v>
      </c>
      <c r="AI127" s="2122"/>
      <c r="AJ127" s="2122"/>
      <c r="AK127" s="2205">
        <f t="shared" si="1"/>
        <v>0</v>
      </c>
      <c r="AL127" s="2205"/>
      <c r="AM127" s="2205"/>
      <c r="AN127" s="9"/>
      <c r="AO127" s="9"/>
      <c r="AP127" s="9"/>
      <c r="AQ127" s="2427" t="s">
        <v>35</v>
      </c>
      <c r="AR127" s="2428"/>
      <c r="AS127" s="2428"/>
      <c r="AT127" s="2428"/>
      <c r="AU127" s="2428"/>
      <c r="AV127" s="2428"/>
      <c r="AW127" s="2429"/>
      <c r="AX127" s="2122">
        <f t="shared" si="3"/>
        <v>0</v>
      </c>
      <c r="AY127" s="2122"/>
      <c r="AZ127" s="2122"/>
      <c r="BA127" s="2122">
        <f t="shared" si="2"/>
        <v>0</v>
      </c>
      <c r="BB127" s="2122"/>
      <c r="BC127" s="2122"/>
      <c r="BD127" s="2212"/>
      <c r="BE127" s="2213"/>
      <c r="BF127" s="2214"/>
      <c r="BG127" s="277"/>
      <c r="BH127" s="275"/>
      <c r="BI127" s="275"/>
      <c r="BJ127" s="275"/>
      <c r="BK127" s="275"/>
      <c r="BL127" s="275"/>
      <c r="BM127" s="275"/>
      <c r="BN127" s="275"/>
    </row>
    <row r="128" spans="2:78" ht="15" customHeight="1" x14ac:dyDescent="0.25">
      <c r="B128" s="9"/>
      <c r="C128" s="2264" t="s">
        <v>552</v>
      </c>
      <c r="D128" s="2265"/>
      <c r="E128" s="2265"/>
      <c r="F128" s="2265"/>
      <c r="G128" s="2265"/>
      <c r="H128" s="2364" t="str">
        <f>P118</f>
        <v>Flat Case</v>
      </c>
      <c r="I128" s="2364"/>
      <c r="J128" s="2364"/>
      <c r="K128" s="2364"/>
      <c r="L128" s="2364"/>
      <c r="M128" s="2364" t="str">
        <f>P119</f>
        <v>Flat Case</v>
      </c>
      <c r="N128" s="2364"/>
      <c r="O128" s="2364"/>
      <c r="P128" s="2364"/>
      <c r="Q128" s="2426"/>
      <c r="R128" s="9"/>
      <c r="S128" s="9"/>
      <c r="T128" s="9"/>
      <c r="U128" s="9"/>
      <c r="V128" s="9"/>
      <c r="W128" s="95" t="s">
        <v>2</v>
      </c>
      <c r="X128" s="209"/>
      <c r="Y128" s="209"/>
      <c r="Z128" s="209"/>
      <c r="AA128" s="209"/>
      <c r="AB128" s="209"/>
      <c r="AC128" s="209"/>
      <c r="AD128" s="209"/>
      <c r="AE128" s="2372">
        <f>SUM(AE119:AG127)</f>
        <v>0</v>
      </c>
      <c r="AF128" s="2372"/>
      <c r="AG128" s="2372"/>
      <c r="AH128" s="2372">
        <f>SUM(AH119:AJ127)</f>
        <v>0</v>
      </c>
      <c r="AI128" s="2372"/>
      <c r="AJ128" s="2372"/>
      <c r="AK128" s="2215">
        <f>SUM(AK119:AM127)</f>
        <v>0</v>
      </c>
      <c r="AL128" s="2215"/>
      <c r="AM128" s="2215"/>
      <c r="AN128" s="9"/>
      <c r="AO128" s="9"/>
      <c r="AP128" s="9"/>
      <c r="AQ128" s="95" t="s">
        <v>3</v>
      </c>
      <c r="AR128" s="209"/>
      <c r="AS128" s="209"/>
      <c r="AT128" s="209"/>
      <c r="AU128" s="224"/>
      <c r="AV128" s="209"/>
      <c r="AW128" s="209"/>
      <c r="AX128" s="2372">
        <f>SUM(AX119:AZ127)</f>
        <v>0</v>
      </c>
      <c r="AY128" s="2372"/>
      <c r="AZ128" s="2372"/>
      <c r="BA128" s="2372">
        <f>SUM(BA119:BC127)</f>
        <v>0</v>
      </c>
      <c r="BB128" s="2372"/>
      <c r="BC128" s="2372"/>
      <c r="BD128" s="2215">
        <f>SUM(BD119:BF127)</f>
        <v>0.05</v>
      </c>
      <c r="BE128" s="2215"/>
      <c r="BF128" s="2215"/>
      <c r="BG128" s="277"/>
      <c r="BH128" s="275"/>
      <c r="BI128" s="275"/>
      <c r="BJ128" s="275"/>
      <c r="BK128" s="275"/>
      <c r="BL128" s="275"/>
      <c r="BM128" s="275"/>
      <c r="BN128" s="275"/>
    </row>
    <row r="129" spans="2:78" ht="15" customHeight="1" x14ac:dyDescent="0.25">
      <c r="B129" s="9"/>
      <c r="C129" s="9"/>
      <c r="D129" s="9"/>
      <c r="E129" s="9"/>
      <c r="F129" s="9"/>
      <c r="G129" s="9"/>
      <c r="H129" s="2232" t="e">
        <f ca="1">CHOOSE(M123,OFFSET(K147,$M$124,0),OFFSET(S147,$M$124,0),OFFSET(AA147,$M$124,0),OFFSET(AI147,$M$124,0),OFFSET(AQ147,$M$124,0),OFFSET(AY147,$M$124,0),OFFSET(BH147,$M$124,0))</f>
        <v>#N/A</v>
      </c>
      <c r="I129" s="2232"/>
      <c r="J129" s="2232"/>
      <c r="K129" s="9"/>
      <c r="L129" s="2242" t="e">
        <f ca="1">CHOOSE(M123,OFFSET(O147,$M$124,0),OFFSET(W147,$M$124,0),OFFSET(AE147,$M$124,0),OFFSET(AM147,$M$124,0),OFFSET(AU147,$M$124,0),OFFSET(BC147,$M$124,0),OFFSET(BL147,$M$124,0))</f>
        <v>#N/A</v>
      </c>
      <c r="M129" s="2242"/>
      <c r="N129" s="2242"/>
      <c r="O129" s="9"/>
      <c r="P129" s="9"/>
      <c r="Q129" s="9"/>
      <c r="R129" s="1592"/>
      <c r="S129" s="1592"/>
      <c r="T129" s="9"/>
      <c r="U129" s="9"/>
      <c r="V129" s="9"/>
      <c r="W129" s="9"/>
      <c r="X129" s="9"/>
      <c r="Y129" s="9"/>
      <c r="Z129" s="9"/>
      <c r="AA129" s="9"/>
      <c r="AB129" s="9"/>
      <c r="AC129" s="9"/>
      <c r="AD129" s="9"/>
      <c r="AE129" s="9"/>
      <c r="AF129" s="9"/>
      <c r="AG129" s="2"/>
      <c r="AH129" s="2"/>
      <c r="AI129" s="97"/>
      <c r="AJ129" s="2"/>
      <c r="AK129" s="2"/>
      <c r="AL129" s="2"/>
      <c r="AM129" s="2"/>
      <c r="AN129" s="2"/>
      <c r="AO129" s="215"/>
      <c r="AP129" s="277"/>
      <c r="AQ129" s="9"/>
      <c r="AR129" s="9"/>
      <c r="AS129" s="9"/>
      <c r="AT129" s="9"/>
      <c r="AU129" s="9"/>
      <c r="AV129" s="9"/>
      <c r="AW129" s="9"/>
      <c r="AX129" s="9"/>
      <c r="AY129" s="9"/>
      <c r="AZ129" s="9"/>
      <c r="BA129" s="9"/>
      <c r="BB129" s="9"/>
      <c r="BC129" s="9"/>
      <c r="BD129" s="9"/>
      <c r="BE129" s="9"/>
      <c r="BF129" s="9"/>
      <c r="BG129" s="277"/>
      <c r="BH129" s="275"/>
      <c r="BI129" s="275"/>
      <c r="BJ129" s="1817"/>
      <c r="BK129" s="1817"/>
      <c r="BL129" s="1817"/>
      <c r="BM129" s="1817"/>
      <c r="BN129" s="1817"/>
      <c r="BO129" s="1818"/>
      <c r="BP129" s="1818"/>
      <c r="BQ129" s="1818"/>
      <c r="BR129" s="1818"/>
      <c r="BS129" s="1818"/>
      <c r="BT129" s="1818"/>
      <c r="BU129" s="1818"/>
      <c r="BV129" s="1818"/>
      <c r="BW129" s="1818"/>
      <c r="BX129" s="1818"/>
    </row>
    <row r="130" spans="2:78" ht="15" customHeight="1" x14ac:dyDescent="0.25">
      <c r="B130" s="9"/>
      <c r="C130" s="92" t="s">
        <v>592</v>
      </c>
      <c r="D130" s="9"/>
      <c r="E130" s="9"/>
      <c r="F130" s="9"/>
      <c r="G130" s="9"/>
      <c r="H130" s="9"/>
      <c r="I130" s="2235"/>
      <c r="J130" s="2236"/>
      <c r="K130" s="2236"/>
      <c r="L130" s="2236"/>
      <c r="M130" s="1592"/>
      <c r="N130" s="1592"/>
      <c r="O130" s="1592"/>
      <c r="P130" s="1592"/>
      <c r="Q130" s="1592"/>
      <c r="R130" s="1592"/>
      <c r="S130" s="1592"/>
      <c r="T130" s="9"/>
      <c r="U130" s="9"/>
      <c r="V130" s="9"/>
      <c r="W130" s="9"/>
      <c r="X130" s="9"/>
      <c r="Y130" s="9"/>
      <c r="Z130" s="9"/>
      <c r="AA130" s="9"/>
      <c r="AB130" s="9"/>
      <c r="AC130" s="9"/>
      <c r="AD130" s="9"/>
      <c r="AE130" s="9"/>
      <c r="AF130" s="9"/>
      <c r="AG130" s="2"/>
      <c r="AH130" s="2"/>
      <c r="AI130" s="97"/>
      <c r="AJ130" s="2"/>
      <c r="AK130" s="2"/>
      <c r="AL130" s="2"/>
      <c r="AM130" s="2"/>
      <c r="AN130" s="2"/>
      <c r="AO130" s="215"/>
      <c r="AP130" s="277"/>
      <c r="AQ130" s="1791" t="s">
        <v>1149</v>
      </c>
      <c r="AR130" s="92" t="s">
        <v>191</v>
      </c>
      <c r="AS130" s="2"/>
      <c r="AT130" s="2"/>
      <c r="AU130" s="2"/>
      <c r="AV130" s="2"/>
      <c r="AW130" s="2"/>
      <c r="AX130" s="2122">
        <f>IFERROR(BA130/12,0)</f>
        <v>0</v>
      </c>
      <c r="AY130" s="2122"/>
      <c r="AZ130" s="2122"/>
      <c r="BA130" s="2122">
        <f>IFERROR(BD130*$BH$192,0)</f>
        <v>0</v>
      </c>
      <c r="BB130" s="2122"/>
      <c r="BC130" s="2122"/>
      <c r="BD130" s="2472">
        <v>2.3800000000000002E-2</v>
      </c>
      <c r="BE130" s="2473"/>
      <c r="BF130" s="2474"/>
      <c r="BG130" s="277"/>
      <c r="BH130" s="275"/>
      <c r="BI130" s="275"/>
      <c r="BJ130" s="1817"/>
      <c r="BK130" s="1817"/>
      <c r="BL130" s="1817"/>
      <c r="BM130" s="1817"/>
      <c r="BN130" s="1817"/>
      <c r="BO130" s="1818"/>
      <c r="BP130" s="1818"/>
      <c r="BQ130" s="1818"/>
      <c r="BR130" s="1818"/>
      <c r="BS130" s="1818"/>
      <c r="BT130" s="1818"/>
      <c r="BU130" s="1818"/>
      <c r="BV130" s="1818"/>
      <c r="BW130" s="1818"/>
      <c r="BX130" s="1818"/>
    </row>
    <row r="131" spans="2:78" ht="15" customHeight="1" x14ac:dyDescent="0.25">
      <c r="B131" s="9"/>
      <c r="C131" s="1592"/>
      <c r="D131" s="1592"/>
      <c r="E131" s="1592"/>
      <c r="F131" s="1592"/>
      <c r="G131" s="1592"/>
      <c r="H131" s="1592"/>
      <c r="I131" s="1592"/>
      <c r="J131" s="1592"/>
      <c r="K131" s="1592"/>
      <c r="L131" s="1592"/>
      <c r="M131" s="1592"/>
      <c r="N131" s="1592"/>
      <c r="O131" s="1592"/>
      <c r="P131" s="1592"/>
      <c r="Q131" s="1592"/>
      <c r="R131" s="1592"/>
      <c r="S131" s="1592"/>
      <c r="T131" s="9"/>
      <c r="U131" s="9"/>
      <c r="V131" s="9"/>
      <c r="W131" s="9"/>
      <c r="X131" s="9"/>
      <c r="Y131" s="9"/>
      <c r="Z131" s="9"/>
      <c r="AA131" s="9"/>
      <c r="AB131" s="9"/>
      <c r="AC131" s="9"/>
      <c r="AD131" s="9"/>
      <c r="AE131" s="9"/>
      <c r="AF131" s="9"/>
      <c r="AG131" s="2"/>
      <c r="AH131" s="2"/>
      <c r="AI131" s="97"/>
      <c r="AJ131" s="2"/>
      <c r="AK131" s="2"/>
      <c r="AL131" s="2"/>
      <c r="AM131" s="2"/>
      <c r="AN131" s="2"/>
      <c r="AO131" s="215"/>
      <c r="AP131" s="277"/>
      <c r="AQ131" s="609"/>
      <c r="AR131" s="92"/>
      <c r="AS131" s="2"/>
      <c r="AT131" s="2"/>
      <c r="AU131" s="2"/>
      <c r="AV131" s="2"/>
      <c r="AW131" s="2"/>
      <c r="AX131" s="273"/>
      <c r="AY131" s="273"/>
      <c r="AZ131" s="273"/>
      <c r="BA131" s="273"/>
      <c r="BB131" s="273"/>
      <c r="BC131" s="86"/>
      <c r="BD131" s="1690"/>
      <c r="BE131" s="1690"/>
      <c r="BF131" s="1690"/>
      <c r="BG131" s="277"/>
      <c r="BH131" s="275"/>
      <c r="BI131" s="275"/>
      <c r="BJ131" s="1817"/>
      <c r="BK131" s="1817"/>
      <c r="BL131" s="1817"/>
      <c r="BM131" s="1817"/>
      <c r="BN131" s="1817"/>
      <c r="BO131" s="1818"/>
      <c r="BP131" s="1818"/>
      <c r="BQ131" s="1818"/>
      <c r="BR131" s="1818"/>
      <c r="BS131" s="1818"/>
      <c r="BT131" s="1818"/>
      <c r="BU131" s="1818"/>
      <c r="BV131" s="1818"/>
      <c r="BW131" s="1818"/>
      <c r="BX131" s="1818"/>
    </row>
    <row r="132" spans="2:78" ht="15" customHeight="1" x14ac:dyDescent="0.25">
      <c r="B132" s="9"/>
      <c r="C132" s="499">
        <v>4</v>
      </c>
      <c r="D132" s="504" t="s">
        <v>733</v>
      </c>
      <c r="E132" s="636"/>
      <c r="F132" s="636"/>
      <c r="G132" s="636"/>
      <c r="H132" s="636"/>
      <c r="I132" s="636"/>
      <c r="J132" s="636"/>
      <c r="K132" s="636"/>
      <c r="L132" s="636"/>
      <c r="M132" s="636"/>
      <c r="N132" s="636"/>
      <c r="O132" s="636"/>
      <c r="P132" s="636"/>
      <c r="Q132" s="636"/>
      <c r="R132" s="637"/>
      <c r="S132" s="637"/>
      <c r="T132" s="277"/>
      <c r="U132" s="277"/>
      <c r="V132" s="277"/>
      <c r="W132" s="499">
        <v>5</v>
      </c>
      <c r="X132" s="638" t="s">
        <v>971</v>
      </c>
      <c r="Y132" s="639"/>
      <c r="Z132" s="639"/>
      <c r="AA132" s="639"/>
      <c r="AB132" s="639"/>
      <c r="AC132" s="639"/>
      <c r="AD132" s="639"/>
      <c r="AE132" s="639"/>
      <c r="AF132" s="639"/>
      <c r="AG132" s="639"/>
      <c r="AH132" s="639"/>
      <c r="AI132" s="639"/>
      <c r="AJ132" s="639"/>
      <c r="AK132" s="639"/>
      <c r="AL132" s="639"/>
      <c r="AM132" s="1025"/>
      <c r="AN132" s="633"/>
      <c r="AO132" s="631"/>
      <c r="AP132" s="640"/>
      <c r="AQ132" s="499">
        <v>6</v>
      </c>
      <c r="AR132" s="504" t="s">
        <v>79</v>
      </c>
      <c r="AS132" s="636"/>
      <c r="AT132" s="636"/>
      <c r="AU132" s="636"/>
      <c r="AV132" s="636"/>
      <c r="AW132" s="636"/>
      <c r="AX132" s="636"/>
      <c r="AY132" s="636"/>
      <c r="AZ132" s="636"/>
      <c r="BA132" s="636"/>
      <c r="BB132" s="636"/>
      <c r="BC132" s="636"/>
      <c r="BD132" s="636"/>
      <c r="BE132" s="636"/>
      <c r="BF132" s="637"/>
      <c r="BG132" s="277"/>
      <c r="BH132" s="275"/>
      <c r="BI132" s="275"/>
      <c r="BJ132" s="1817"/>
      <c r="BK132" s="1817"/>
      <c r="BL132" s="1817"/>
      <c r="BM132" s="1817"/>
      <c r="BN132" s="1817"/>
      <c r="BO132" s="1818"/>
      <c r="BP132" s="1818"/>
      <c r="BQ132" s="1818"/>
      <c r="BR132" s="1818"/>
      <c r="BS132" s="1818"/>
      <c r="BT132" s="1818"/>
      <c r="BU132" s="1818"/>
      <c r="BV132" s="1818"/>
      <c r="BW132" s="1818"/>
      <c r="BX132" s="1818"/>
    </row>
    <row r="133" spans="2:78" ht="15" customHeight="1" x14ac:dyDescent="0.25">
      <c r="B133" s="277"/>
      <c r="C133" s="215"/>
      <c r="D133" s="215"/>
      <c r="E133" s="215"/>
      <c r="F133" s="215"/>
      <c r="G133" s="215"/>
      <c r="H133" s="215"/>
      <c r="I133" s="215"/>
      <c r="J133" s="215"/>
      <c r="K133" s="644"/>
      <c r="L133" s="215"/>
      <c r="M133" s="215"/>
      <c r="N133" s="215"/>
      <c r="O133" s="215"/>
      <c r="P133" s="215"/>
      <c r="Q133" s="215"/>
      <c r="R133" s="215"/>
      <c r="S133" s="277"/>
      <c r="T133" s="277"/>
      <c r="U133" s="277"/>
      <c r="V133" s="277"/>
      <c r="W133" s="9"/>
      <c r="X133" s="9"/>
      <c r="Y133" s="9"/>
      <c r="Z133" s="9"/>
      <c r="AA133" s="9"/>
      <c r="AB133" s="9"/>
      <c r="AC133" s="9"/>
      <c r="AD133" s="9"/>
      <c r="AE133" s="9"/>
      <c r="AF133" s="9"/>
      <c r="AG133" s="9"/>
      <c r="AH133" s="9"/>
      <c r="AI133" s="9"/>
      <c r="AJ133" s="9"/>
      <c r="AK133" s="9"/>
      <c r="AL133" s="9"/>
      <c r="AM133" s="277"/>
      <c r="AN133" s="277"/>
      <c r="AO133" s="277"/>
      <c r="AP133" s="277"/>
      <c r="AQ133" s="9"/>
      <c r="AR133" s="9"/>
      <c r="AS133" s="9"/>
      <c r="AT133" s="9"/>
      <c r="AU133" s="9"/>
      <c r="AV133" s="9"/>
      <c r="AW133" s="9"/>
      <c r="AX133" s="9"/>
      <c r="AY133" s="9"/>
      <c r="AZ133" s="9"/>
      <c r="BA133" s="9"/>
      <c r="BB133" s="9"/>
      <c r="BC133" s="9"/>
      <c r="BD133" s="9"/>
      <c r="BE133" s="9"/>
      <c r="BF133" s="9"/>
      <c r="BG133" s="277"/>
      <c r="BH133" s="275"/>
      <c r="BI133" s="275"/>
      <c r="BJ133" s="1817"/>
      <c r="BK133" s="1817"/>
      <c r="BL133" s="1817"/>
      <c r="BM133" s="1817"/>
      <c r="BN133" s="1817"/>
      <c r="BO133" s="1818"/>
      <c r="BP133" s="1818"/>
      <c r="BQ133" s="1818"/>
      <c r="BR133" s="1818"/>
      <c r="BS133" s="1818"/>
      <c r="BT133" s="1818"/>
      <c r="BU133" s="1818"/>
      <c r="BV133" s="1818"/>
      <c r="BW133" s="1818"/>
      <c r="BX133" s="1818"/>
    </row>
    <row r="134" spans="2:78" ht="15" customHeight="1" x14ac:dyDescent="0.25">
      <c r="B134" s="1791" t="s">
        <v>1149</v>
      </c>
      <c r="C134" s="98" t="s">
        <v>591</v>
      </c>
      <c r="D134" s="98"/>
      <c r="E134" s="98"/>
      <c r="F134" s="98"/>
      <c r="G134" s="98"/>
      <c r="H134" s="98"/>
      <c r="I134" s="98"/>
      <c r="J134" s="9"/>
      <c r="K134" s="1609">
        <f>IFERROR(MATCH(L134,HIDE5!$D$25:$D$26,0),1)</f>
        <v>1</v>
      </c>
      <c r="L134" s="2140" t="s">
        <v>524</v>
      </c>
      <c r="M134" s="2141"/>
      <c r="N134" s="2141"/>
      <c r="O134" s="2142"/>
      <c r="P134" s="2377">
        <f>AZ15</f>
        <v>0.03</v>
      </c>
      <c r="Q134" s="2378"/>
      <c r="R134" s="2378"/>
      <c r="S134" s="2379"/>
      <c r="T134" s="277"/>
      <c r="U134" s="277"/>
      <c r="V134" s="277"/>
      <c r="W134" s="98" t="s">
        <v>1124</v>
      </c>
      <c r="X134" s="9"/>
      <c r="Y134" s="9"/>
      <c r="Z134" s="9"/>
      <c r="AA134" s="9"/>
      <c r="AB134" s="9"/>
      <c r="AC134" s="9"/>
      <c r="AD134" s="9"/>
      <c r="AE134" s="9"/>
      <c r="AF134" s="2140">
        <v>0.03</v>
      </c>
      <c r="AG134" s="2141"/>
      <c r="AH134" s="2142"/>
      <c r="AI134" s="9"/>
      <c r="AJ134" s="9"/>
      <c r="AK134" s="9"/>
      <c r="AL134" s="9"/>
      <c r="AM134" s="277"/>
      <c r="AN134" s="277"/>
      <c r="AO134" s="277"/>
      <c r="AP134" s="277"/>
      <c r="AQ134" s="1791" t="s">
        <v>1149</v>
      </c>
      <c r="AR134" s="98" t="s">
        <v>596</v>
      </c>
      <c r="AS134" s="98"/>
      <c r="AT134" s="98"/>
      <c r="AU134" s="98"/>
      <c r="AV134" s="98"/>
      <c r="AW134" s="98"/>
      <c r="AX134" s="98"/>
      <c r="AY134" s="98"/>
      <c r="AZ134" s="98"/>
      <c r="BA134" s="98"/>
      <c r="BB134" s="98"/>
      <c r="BC134" s="630">
        <f>IF(BD134=0,1,0)</f>
        <v>0</v>
      </c>
      <c r="BD134" s="2475">
        <v>0.25</v>
      </c>
      <c r="BE134" s="2476"/>
      <c r="BF134" s="2477"/>
      <c r="BG134" s="277"/>
      <c r="BH134" s="275"/>
      <c r="BI134" s="275"/>
      <c r="BJ134" s="1817"/>
      <c r="BK134" s="1817"/>
      <c r="BL134" s="1817"/>
      <c r="BM134" s="1817"/>
      <c r="BN134" s="1817"/>
      <c r="BO134" s="1818"/>
      <c r="BP134" s="1818"/>
      <c r="BQ134" s="1818"/>
      <c r="BR134" s="1818"/>
      <c r="BS134" s="1818"/>
      <c r="BT134" s="1818"/>
      <c r="BU134" s="1818"/>
      <c r="BV134" s="1818"/>
      <c r="BW134" s="1818"/>
      <c r="BX134" s="1818"/>
    </row>
    <row r="135" spans="2:78" ht="15" customHeight="1" x14ac:dyDescent="0.25">
      <c r="B135" s="1791" t="s">
        <v>1149</v>
      </c>
      <c r="C135" s="98" t="s">
        <v>594</v>
      </c>
      <c r="D135" s="98"/>
      <c r="E135" s="98"/>
      <c r="F135" s="98"/>
      <c r="G135" s="98"/>
      <c r="H135" s="98"/>
      <c r="I135" s="98"/>
      <c r="J135" s="9"/>
      <c r="K135" s="1609">
        <f>IFERROR(MATCH(L135,HIDE5!$D$25:$D$26,0),1)</f>
        <v>1</v>
      </c>
      <c r="L135" s="2140" t="s">
        <v>524</v>
      </c>
      <c r="M135" s="2141"/>
      <c r="N135" s="2141"/>
      <c r="O135" s="2142"/>
      <c r="P135" s="9"/>
      <c r="Q135" s="9"/>
      <c r="R135" s="9"/>
      <c r="S135" s="9"/>
      <c r="T135" s="277"/>
      <c r="U135" s="277"/>
      <c r="V135" s="277"/>
      <c r="W135" s="98" t="s">
        <v>1125</v>
      </c>
      <c r="X135" s="9"/>
      <c r="Y135" s="9"/>
      <c r="Z135" s="9"/>
      <c r="AA135" s="9"/>
      <c r="AB135" s="9"/>
      <c r="AC135" s="9"/>
      <c r="AD135" s="9"/>
      <c r="AE135" s="9"/>
      <c r="AF135" s="2206"/>
      <c r="AG135" s="2207"/>
      <c r="AH135" s="2208"/>
      <c r="AI135" s="9"/>
      <c r="AJ135" s="9"/>
      <c r="AK135" s="9"/>
      <c r="AL135" s="9"/>
      <c r="AM135" s="277"/>
      <c r="AN135" s="277"/>
      <c r="AO135" s="277"/>
      <c r="AP135" s="277"/>
      <c r="AQ135" s="629"/>
      <c r="AR135" s="92" t="s">
        <v>80</v>
      </c>
      <c r="AS135" s="93"/>
      <c r="AT135" s="93"/>
      <c r="AU135" s="23"/>
      <c r="AV135" s="2"/>
      <c r="AW135" s="2"/>
      <c r="AX135" s="2"/>
      <c r="AY135" s="2"/>
      <c r="AZ135" s="9"/>
      <c r="BA135" s="9"/>
      <c r="BB135" s="2"/>
      <c r="BC135" s="2"/>
      <c r="BD135" s="2431">
        <f>IF(L140=0,0,L140*BM192)</f>
        <v>0</v>
      </c>
      <c r="BE135" s="2432"/>
      <c r="BF135" s="2433"/>
      <c r="BG135" s="277"/>
      <c r="BH135" s="275"/>
      <c r="BI135" s="275"/>
      <c r="BJ135" s="1817"/>
      <c r="BK135" s="1817"/>
      <c r="BL135" s="1817"/>
      <c r="BM135" s="1817"/>
      <c r="BN135" s="1817"/>
      <c r="BO135" s="1818"/>
      <c r="BP135" s="1818"/>
      <c r="BQ135" s="1818"/>
      <c r="BR135" s="1818"/>
      <c r="BS135" s="1818"/>
      <c r="BT135" s="1818"/>
      <c r="BU135" s="1818"/>
      <c r="BV135" s="1818"/>
      <c r="BW135" s="1818"/>
      <c r="BX135" s="1818"/>
    </row>
    <row r="136" spans="2:78" ht="15" customHeight="1" x14ac:dyDescent="0.25">
      <c r="B136" s="1791" t="s">
        <v>1149</v>
      </c>
      <c r="C136" s="98" t="s">
        <v>465</v>
      </c>
      <c r="D136" s="98"/>
      <c r="E136" s="98"/>
      <c r="F136" s="98"/>
      <c r="G136" s="98"/>
      <c r="H136" s="98"/>
      <c r="I136" s="98"/>
      <c r="J136" s="9"/>
      <c r="K136" s="1609">
        <f>IFERROR(MATCH(L136,HIDE5!$D$25:$D$26,0),1)</f>
        <v>1</v>
      </c>
      <c r="L136" s="2140" t="s">
        <v>524</v>
      </c>
      <c r="M136" s="2141"/>
      <c r="N136" s="2141"/>
      <c r="O136" s="2142"/>
      <c r="P136" s="2140"/>
      <c r="Q136" s="2141"/>
      <c r="R136" s="2141"/>
      <c r="S136" s="2142"/>
      <c r="T136" s="277"/>
      <c r="U136" s="277"/>
      <c r="V136" s="277"/>
      <c r="W136" s="98" t="s">
        <v>577</v>
      </c>
      <c r="X136" s="9"/>
      <c r="Y136" s="9"/>
      <c r="Z136" s="9"/>
      <c r="AA136" s="9"/>
      <c r="AB136" s="9"/>
      <c r="AC136" s="9"/>
      <c r="AD136" s="9"/>
      <c r="AE136" s="9"/>
      <c r="AF136" s="2209">
        <v>7</v>
      </c>
      <c r="AG136" s="2210"/>
      <c r="AH136" s="2211"/>
      <c r="AI136" s="9"/>
      <c r="AJ136" s="9"/>
      <c r="AK136" s="9"/>
      <c r="AL136" s="9"/>
      <c r="AM136" s="277"/>
      <c r="AN136" s="277"/>
      <c r="AO136" s="277"/>
      <c r="AP136" s="277"/>
      <c r="AQ136" s="9"/>
      <c r="AR136" s="9"/>
      <c r="AS136" s="9"/>
      <c r="AT136" s="9"/>
      <c r="AU136" s="9"/>
      <c r="AV136" s="9"/>
      <c r="AW136" s="9"/>
      <c r="AX136" s="9"/>
      <c r="AY136" s="9"/>
      <c r="AZ136" s="9"/>
      <c r="BA136" s="9"/>
      <c r="BB136" s="9"/>
      <c r="BC136" s="9"/>
      <c r="BD136" s="9"/>
      <c r="BE136" s="9"/>
      <c r="BF136" s="9"/>
      <c r="BG136" s="277"/>
      <c r="BH136" s="275"/>
      <c r="BI136" s="275"/>
      <c r="BJ136" s="1817"/>
      <c r="BK136" s="1817"/>
      <c r="BL136" s="1817"/>
      <c r="BM136" s="1817"/>
      <c r="BN136" s="1817"/>
      <c r="BO136" s="1817"/>
      <c r="BP136" s="1817"/>
      <c r="BQ136" s="1817"/>
      <c r="BR136" s="1818"/>
      <c r="BS136" s="1818"/>
      <c r="BT136" s="1818"/>
      <c r="BU136" s="1818"/>
      <c r="BV136" s="1818"/>
      <c r="BW136" s="1818"/>
      <c r="BX136" s="1818"/>
    </row>
    <row r="137" spans="2:78" ht="15" customHeight="1" x14ac:dyDescent="0.25">
      <c r="B137" s="1791"/>
      <c r="C137" s="98" t="s">
        <v>967</v>
      </c>
      <c r="D137" s="98"/>
      <c r="E137" s="98"/>
      <c r="F137" s="98"/>
      <c r="G137" s="98"/>
      <c r="H137" s="98"/>
      <c r="I137" s="98"/>
      <c r="J137" s="9"/>
      <c r="K137" s="1609">
        <f>IFERROR(MATCH(L137,HIDE5!$D$25:$D$26,0),1)</f>
        <v>1</v>
      </c>
      <c r="L137" s="2140" t="s">
        <v>524</v>
      </c>
      <c r="M137" s="2141"/>
      <c r="N137" s="2141"/>
      <c r="O137" s="2142"/>
      <c r="P137" s="2140">
        <v>1.2500000000000001E-2</v>
      </c>
      <c r="Q137" s="2141"/>
      <c r="R137" s="2141"/>
      <c r="S137" s="2142"/>
      <c r="T137" s="277"/>
      <c r="U137" s="277"/>
      <c r="V137" s="277"/>
      <c r="W137" s="98" t="s">
        <v>806</v>
      </c>
      <c r="X137" s="9"/>
      <c r="Y137" s="9"/>
      <c r="Z137" s="9"/>
      <c r="AA137" s="9"/>
      <c r="AB137" s="9"/>
      <c r="AC137" s="9"/>
      <c r="AD137" s="9"/>
      <c r="AE137" s="9"/>
      <c r="AF137" s="2199"/>
      <c r="AG137" s="2200"/>
      <c r="AH137" s="2201"/>
      <c r="AI137" s="988" t="s">
        <v>968</v>
      </c>
      <c r="AJ137" s="277"/>
      <c r="AK137" s="640"/>
      <c r="AL137" s="634"/>
      <c r="AM137" s="634"/>
      <c r="AN137" s="634"/>
      <c r="AO137" s="640"/>
      <c r="AP137" s="640"/>
      <c r="AQ137" s="9"/>
      <c r="AR137" s="9"/>
      <c r="AS137" s="9"/>
      <c r="AT137" s="9"/>
      <c r="AU137" s="9"/>
      <c r="AV137" s="9"/>
      <c r="AW137" s="9"/>
      <c r="AX137" s="9"/>
      <c r="AY137" s="9"/>
      <c r="AZ137" s="9"/>
      <c r="BA137" s="9"/>
      <c r="BB137" s="9"/>
      <c r="BC137" s="9"/>
      <c r="BD137" s="9"/>
      <c r="BE137" s="9"/>
      <c r="BF137" s="9"/>
      <c r="BG137" s="9"/>
      <c r="BH137" s="275"/>
      <c r="BI137" s="275"/>
      <c r="BJ137" s="1817"/>
      <c r="BK137" s="1817"/>
      <c r="BL137" s="1817"/>
      <c r="BM137" s="1817"/>
      <c r="BN137" s="1817"/>
      <c r="BO137" s="1817"/>
      <c r="BP137" s="1817"/>
      <c r="BQ137" s="1817"/>
      <c r="BR137" s="1818"/>
      <c r="BS137" s="1818"/>
      <c r="BT137" s="1818"/>
      <c r="BU137" s="1818"/>
      <c r="BV137" s="1818"/>
      <c r="BW137" s="1818"/>
      <c r="BX137" s="1818"/>
    </row>
    <row r="138" spans="2:78" ht="15" customHeight="1" x14ac:dyDescent="0.25">
      <c r="B138" s="1791" t="s">
        <v>1149</v>
      </c>
      <c r="C138" s="98" t="s">
        <v>427</v>
      </c>
      <c r="D138" s="98"/>
      <c r="E138" s="98"/>
      <c r="F138" s="98"/>
      <c r="G138" s="98"/>
      <c r="H138" s="98"/>
      <c r="I138" s="98"/>
      <c r="J138" s="9"/>
      <c r="K138" s="1609">
        <f>IFERROR(MATCH(L138,HIDE5!$D$25:$D$26,0),1)</f>
        <v>1</v>
      </c>
      <c r="L138" s="2140" t="s">
        <v>524</v>
      </c>
      <c r="M138" s="2141"/>
      <c r="N138" s="2141"/>
      <c r="O138" s="2142"/>
      <c r="P138" s="2140">
        <f>AZ16</f>
        <v>0.06</v>
      </c>
      <c r="Q138" s="2141"/>
      <c r="R138" s="2141"/>
      <c r="S138" s="2142"/>
      <c r="T138" s="277"/>
      <c r="U138" s="277"/>
      <c r="V138" s="277"/>
      <c r="W138" s="98" t="s">
        <v>967</v>
      </c>
      <c r="X138" s="9"/>
      <c r="Y138" s="9"/>
      <c r="Z138" s="9"/>
      <c r="AA138" s="9"/>
      <c r="AB138" s="9"/>
      <c r="AC138" s="9"/>
      <c r="AD138" s="9"/>
      <c r="AE138" s="9"/>
      <c r="AF138" s="2199"/>
      <c r="AG138" s="2200"/>
      <c r="AH138" s="2201"/>
      <c r="AI138" s="988" t="s">
        <v>969</v>
      </c>
      <c r="AJ138" s="277"/>
      <c r="AK138" s="277"/>
      <c r="AL138" s="277"/>
      <c r="AM138" s="632"/>
      <c r="AN138" s="643"/>
      <c r="AO138" s="640"/>
      <c r="AP138" s="640"/>
      <c r="AQ138" s="9"/>
      <c r="AR138" s="9"/>
      <c r="AS138" s="9"/>
      <c r="AT138" s="9"/>
      <c r="AU138" s="9"/>
      <c r="AV138" s="9"/>
      <c r="AW138" s="9"/>
      <c r="AX138" s="9"/>
      <c r="AY138" s="9"/>
      <c r="AZ138" s="9"/>
      <c r="BA138" s="9"/>
      <c r="BB138" s="9"/>
      <c r="BC138" s="9"/>
      <c r="BD138" s="9"/>
      <c r="BE138" s="9"/>
      <c r="BF138" s="9"/>
      <c r="BG138" s="9"/>
      <c r="BH138" s="275"/>
      <c r="BI138" s="275"/>
      <c r="BJ138" s="1817"/>
      <c r="BK138" s="1817"/>
      <c r="BL138" s="1817"/>
      <c r="BM138" s="1817"/>
      <c r="BN138" s="1817"/>
      <c r="BO138" s="1817"/>
      <c r="BP138" s="1817"/>
      <c r="BQ138" s="1817"/>
      <c r="BR138" s="1817"/>
      <c r="BS138" s="1817"/>
      <c r="BT138" s="1817"/>
      <c r="BU138" s="1817"/>
      <c r="BV138" s="1817"/>
      <c r="BW138" s="1817"/>
      <c r="BX138" s="1817"/>
    </row>
    <row r="139" spans="2:78" ht="15" customHeight="1" x14ac:dyDescent="0.25">
      <c r="B139" s="1791" t="s">
        <v>1149</v>
      </c>
      <c r="C139" s="98" t="s">
        <v>732</v>
      </c>
      <c r="D139" s="101"/>
      <c r="E139" s="101"/>
      <c r="F139" s="101"/>
      <c r="G139" s="101"/>
      <c r="H139" s="101"/>
      <c r="I139" s="101"/>
      <c r="J139" s="9"/>
      <c r="K139" s="1609">
        <f>IFERROR(MATCH(L139,HIDE5!$D$25:$D$26,0),1)</f>
        <v>1</v>
      </c>
      <c r="L139" s="2140" t="s">
        <v>524</v>
      </c>
      <c r="M139" s="2141"/>
      <c r="N139" s="2141"/>
      <c r="O139" s="2142"/>
      <c r="P139" s="101"/>
      <c r="Q139" s="101"/>
      <c r="R139" s="98"/>
      <c r="S139" s="9"/>
      <c r="T139" s="277"/>
      <c r="U139" s="277"/>
      <c r="V139" s="277"/>
      <c r="W139" s="98" t="s">
        <v>970</v>
      </c>
      <c r="X139" s="2"/>
      <c r="Y139" s="2"/>
      <c r="Z139" s="2"/>
      <c r="AA139" s="2"/>
      <c r="AB139" s="2"/>
      <c r="AC139" s="2"/>
      <c r="AD139" s="2"/>
      <c r="AE139" s="2"/>
      <c r="AF139" s="2140"/>
      <c r="AG139" s="2141"/>
      <c r="AH139" s="2142"/>
      <c r="AI139" s="215"/>
      <c r="AJ139" s="215"/>
      <c r="AK139" s="215"/>
      <c r="AL139" s="215"/>
      <c r="AM139" s="632"/>
      <c r="AN139" s="633"/>
      <c r="AO139" s="631"/>
      <c r="AP139" s="631"/>
      <c r="AQ139" s="9"/>
      <c r="AR139" s="9"/>
      <c r="AS139" s="9"/>
      <c r="AT139" s="9"/>
      <c r="AU139" s="9"/>
      <c r="AV139" s="9"/>
      <c r="AW139" s="9"/>
      <c r="AX139" s="9"/>
      <c r="AY139" s="9"/>
      <c r="AZ139" s="9"/>
      <c r="BA139" s="9"/>
      <c r="BB139" s="9"/>
      <c r="BC139" s="9"/>
      <c r="BD139" s="9"/>
      <c r="BE139" s="9"/>
      <c r="BF139" s="9"/>
      <c r="BG139" s="215"/>
      <c r="BH139" s="275"/>
      <c r="BI139" s="275"/>
      <c r="BJ139" s="1817"/>
      <c r="BK139" s="1817"/>
      <c r="BL139" s="1817"/>
      <c r="BM139" s="1817"/>
      <c r="BN139" s="1817"/>
      <c r="BO139" s="1817"/>
      <c r="BP139" s="1817"/>
      <c r="BQ139" s="1817"/>
      <c r="BR139" s="1817"/>
      <c r="BS139" s="1817"/>
      <c r="BT139" s="1817"/>
      <c r="BU139" s="1817"/>
      <c r="BV139" s="1817"/>
      <c r="BW139" s="1817"/>
      <c r="BX139" s="1817"/>
      <c r="BY139" s="275"/>
      <c r="BZ139" s="275"/>
    </row>
    <row r="140" spans="2:78" ht="15" customHeight="1" x14ac:dyDescent="0.25">
      <c r="B140" s="1791"/>
      <c r="C140" s="277"/>
      <c r="D140" s="277"/>
      <c r="E140" s="277"/>
      <c r="F140" s="277"/>
      <c r="G140" s="277"/>
      <c r="H140" s="277"/>
      <c r="I140" s="277"/>
      <c r="J140" s="277"/>
      <c r="K140" s="277"/>
      <c r="L140" s="2365">
        <f>IF(AM140&lt;&gt;0,AM140,BD134)</f>
        <v>0.25</v>
      </c>
      <c r="M140" s="2365"/>
      <c r="N140" s="2365"/>
      <c r="O140" s="2365"/>
      <c r="P140" s="277"/>
      <c r="Q140" s="277"/>
      <c r="R140" s="277"/>
      <c r="S140" s="277"/>
      <c r="T140" s="277"/>
      <c r="U140" s="277"/>
      <c r="V140" s="277"/>
      <c r="W140" s="277"/>
      <c r="X140" s="277"/>
      <c r="Y140" s="277"/>
      <c r="Z140" s="277"/>
      <c r="AA140" s="277"/>
      <c r="AB140" s="277"/>
      <c r="AC140" s="277"/>
      <c r="AD140" s="277"/>
      <c r="AE140" s="277"/>
      <c r="AF140" s="277"/>
      <c r="AG140" s="277"/>
      <c r="AH140" s="277"/>
      <c r="AI140" s="277"/>
      <c r="AJ140" s="635"/>
      <c r="AK140" s="635"/>
      <c r="AL140" s="635"/>
      <c r="AM140" s="2387">
        <v>0</v>
      </c>
      <c r="AN140" s="2387"/>
      <c r="AO140" s="2387"/>
      <c r="AP140" s="2387"/>
      <c r="AQ140" s="2468">
        <v>0</v>
      </c>
      <c r="AR140" s="2468"/>
      <c r="AS140" s="2468"/>
      <c r="AT140" s="2468"/>
      <c r="AU140" s="2469">
        <v>0</v>
      </c>
      <c r="AV140" s="2469"/>
      <c r="AW140" s="2469"/>
      <c r="AX140" s="2469"/>
      <c r="AY140" s="9"/>
      <c r="AZ140" s="9"/>
      <c r="BA140" s="9"/>
      <c r="BB140" s="9"/>
      <c r="BC140" s="9"/>
      <c r="BD140" s="9"/>
      <c r="BE140" s="9"/>
      <c r="BF140" s="9"/>
      <c r="BG140" s="277"/>
      <c r="BH140" s="275"/>
      <c r="BI140" s="275"/>
      <c r="BJ140" s="1817"/>
      <c r="BK140" s="1817"/>
      <c r="BL140" s="1817"/>
      <c r="BM140" s="1817"/>
      <c r="BN140" s="1817"/>
      <c r="BO140" s="1817"/>
      <c r="BP140" s="1817"/>
      <c r="BQ140" s="1817"/>
      <c r="BR140" s="1817"/>
      <c r="BS140" s="1817"/>
      <c r="BT140" s="1817"/>
      <c r="BU140" s="1817"/>
      <c r="BV140" s="1817"/>
      <c r="BW140" s="1817"/>
      <c r="BX140" s="1817"/>
      <c r="BY140" s="275"/>
      <c r="BZ140" s="275"/>
    </row>
    <row r="141" spans="2:78" x14ac:dyDescent="0.25">
      <c r="B141" s="9"/>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277"/>
      <c r="AE141" s="277"/>
      <c r="AF141" s="277"/>
      <c r="AG141" s="277"/>
      <c r="AH141" s="277"/>
      <c r="AI141" s="1023"/>
      <c r="AJ141" s="1023"/>
      <c r="AK141" s="1023"/>
      <c r="AL141" s="1023"/>
      <c r="AM141" s="1024"/>
      <c r="AN141" s="1024"/>
      <c r="AO141" s="1024"/>
      <c r="AP141" s="1024"/>
      <c r="AQ141" s="9"/>
      <c r="AR141" s="9"/>
      <c r="AS141" s="9"/>
      <c r="AT141" s="9"/>
      <c r="AU141" s="9"/>
      <c r="AV141" s="9"/>
      <c r="AW141" s="9"/>
      <c r="AX141" s="9"/>
      <c r="AY141" s="9"/>
      <c r="AZ141" s="9"/>
      <c r="BA141" s="9"/>
      <c r="BB141" s="9"/>
      <c r="BC141" s="9"/>
      <c r="BD141" s="9"/>
      <c r="BE141" s="9"/>
      <c r="BF141" s="9"/>
      <c r="BG141" s="277"/>
      <c r="BH141" s="275"/>
      <c r="BI141" s="275"/>
      <c r="BJ141" s="1817"/>
      <c r="BK141" s="1817"/>
      <c r="BL141" s="1817"/>
      <c r="BM141" s="1817"/>
      <c r="BN141" s="1817"/>
      <c r="BO141" s="1817"/>
      <c r="BP141" s="1817"/>
      <c r="BQ141" s="1817"/>
      <c r="BR141" s="1817"/>
      <c r="BS141" s="1817"/>
      <c r="BT141" s="1817"/>
      <c r="BU141" s="1817"/>
      <c r="BV141" s="1817"/>
      <c r="BW141" s="1817"/>
      <c r="BX141" s="1817"/>
      <c r="BY141" s="275"/>
      <c r="BZ141" s="275"/>
    </row>
    <row r="142" spans="2:78" outlineLevel="1" x14ac:dyDescent="0.25">
      <c r="T142" s="279"/>
      <c r="BH142" s="275"/>
      <c r="BI142" s="275"/>
      <c r="BJ142" s="275"/>
      <c r="BK142" s="275"/>
      <c r="BL142" s="275"/>
      <c r="BM142" s="275"/>
      <c r="BN142" s="275"/>
      <c r="BO142" s="275"/>
      <c r="BP142" s="275"/>
      <c r="BQ142" s="275"/>
      <c r="BR142" s="275"/>
      <c r="BS142" s="275"/>
      <c r="BT142" s="275"/>
      <c r="BU142" s="275"/>
      <c r="BV142" s="275"/>
      <c r="BW142" s="275"/>
      <c r="BX142" s="275"/>
      <c r="BY142" s="275"/>
      <c r="BZ142" s="275"/>
    </row>
    <row r="143" spans="2:78" outlineLevel="1" x14ac:dyDescent="0.25">
      <c r="T143" s="279"/>
      <c r="BH143" s="275"/>
      <c r="BI143" s="275"/>
      <c r="BJ143" s="275"/>
      <c r="BK143" s="275"/>
      <c r="BL143" s="275"/>
      <c r="BM143" s="275"/>
      <c r="BN143" s="275"/>
      <c r="BO143" s="275"/>
      <c r="BP143" s="275"/>
      <c r="BQ143" s="275"/>
      <c r="BR143" s="275"/>
      <c r="BS143" s="275"/>
      <c r="BT143" s="275"/>
      <c r="BU143" s="275"/>
      <c r="BV143" s="275"/>
      <c r="BW143" s="275"/>
      <c r="BX143" s="275"/>
      <c r="BY143" s="275"/>
      <c r="BZ143" s="275"/>
    </row>
    <row r="144" spans="2:78" ht="14.4" outlineLevel="1" x14ac:dyDescent="0.3">
      <c r="B144" s="521" t="s">
        <v>735</v>
      </c>
      <c r="C144" s="598"/>
      <c r="D144" s="598"/>
      <c r="E144" s="598"/>
      <c r="F144" s="598"/>
      <c r="G144" s="598"/>
      <c r="H144" s="598"/>
      <c r="I144" s="598"/>
      <c r="J144" s="598"/>
      <c r="K144" s="598"/>
      <c r="L144" s="598"/>
      <c r="M144" s="598"/>
      <c r="N144" s="598"/>
      <c r="O144" s="598"/>
      <c r="P144" s="598"/>
      <c r="Q144" s="598"/>
      <c r="R144" s="598"/>
      <c r="S144" s="598"/>
      <c r="T144" s="598"/>
      <c r="U144" s="598"/>
      <c r="V144" s="598"/>
      <c r="W144" s="598"/>
      <c r="X144" s="598"/>
      <c r="Y144" s="598"/>
      <c r="Z144" s="598"/>
      <c r="AA144" s="598"/>
      <c r="AB144" s="598"/>
      <c r="AC144" s="598"/>
      <c r="AD144" s="598"/>
      <c r="AE144" s="598"/>
      <c r="AF144" s="598"/>
      <c r="AG144" s="598"/>
      <c r="AH144" s="598"/>
      <c r="AI144" s="598"/>
      <c r="AJ144" s="598"/>
      <c r="AK144" s="598"/>
      <c r="AL144" s="598"/>
      <c r="AM144" s="598"/>
      <c r="AN144" s="598"/>
      <c r="AO144" s="598"/>
      <c r="AP144" s="598"/>
      <c r="AQ144" s="598"/>
      <c r="AR144" s="598"/>
      <c r="AS144" s="598"/>
      <c r="AT144" s="598"/>
      <c r="AU144" s="598"/>
      <c r="AV144" s="598"/>
      <c r="AW144" s="598"/>
      <c r="AX144" s="598"/>
      <c r="AY144" s="598"/>
      <c r="AZ144" s="598"/>
      <c r="BA144" s="598"/>
      <c r="BB144" s="598"/>
      <c r="BC144" s="598"/>
      <c r="BD144" s="598"/>
      <c r="BE144" s="598"/>
      <c r="BF144" s="598"/>
      <c r="BG144" s="598"/>
      <c r="BH144" s="598"/>
      <c r="BI144" s="598"/>
      <c r="BJ144" s="598"/>
      <c r="BK144" s="598"/>
      <c r="BL144" s="598"/>
      <c r="BM144" s="598"/>
      <c r="BN144" s="598"/>
      <c r="BO144" s="598"/>
      <c r="BP144" s="598"/>
      <c r="BQ144" s="598"/>
      <c r="BR144" s="598"/>
      <c r="BS144" s="598"/>
      <c r="BT144" s="598"/>
      <c r="BU144" s="598"/>
      <c r="BW144"/>
    </row>
    <row r="145" spans="2:78" outlineLevel="1" x14ac:dyDescent="0.25">
      <c r="B145" s="8"/>
      <c r="C145" s="8"/>
      <c r="D145" s="8"/>
      <c r="E145" s="8"/>
      <c r="F145" s="8"/>
      <c r="G145" s="8"/>
      <c r="H145" s="8"/>
      <c r="I145" s="8"/>
      <c r="J145" s="8"/>
      <c r="K145" s="2386" t="s">
        <v>545</v>
      </c>
      <c r="L145" s="2386"/>
      <c r="M145" s="2386"/>
      <c r="N145" s="2386"/>
      <c r="O145" s="2386"/>
      <c r="P145" s="2386"/>
      <c r="Q145" s="2386"/>
      <c r="R145" s="2386"/>
      <c r="S145" s="2386" t="s">
        <v>546</v>
      </c>
      <c r="T145" s="2386"/>
      <c r="U145" s="2386"/>
      <c r="V145" s="2386"/>
      <c r="W145" s="2386"/>
      <c r="X145" s="2386"/>
      <c r="Y145" s="2386"/>
      <c r="Z145" s="2386"/>
      <c r="AA145" s="2386" t="s">
        <v>547</v>
      </c>
      <c r="AB145" s="2386"/>
      <c r="AC145" s="2386"/>
      <c r="AD145" s="2386"/>
      <c r="AE145" s="2386"/>
      <c r="AF145" s="2386"/>
      <c r="AG145" s="2386"/>
      <c r="AH145" s="2386"/>
      <c r="AI145" s="2386" t="s">
        <v>548</v>
      </c>
      <c r="AJ145" s="2386"/>
      <c r="AK145" s="2386"/>
      <c r="AL145" s="2386"/>
      <c r="AM145" s="2386"/>
      <c r="AN145" s="2386"/>
      <c r="AO145" s="2386"/>
      <c r="AP145" s="2386"/>
      <c r="AQ145" s="2386" t="s">
        <v>549</v>
      </c>
      <c r="AR145" s="2386"/>
      <c r="AS145" s="2386"/>
      <c r="AT145" s="2386"/>
      <c r="AU145" s="2386"/>
      <c r="AV145" s="2386"/>
      <c r="AW145" s="2386"/>
      <c r="AX145" s="2386"/>
      <c r="AY145" s="2386" t="s">
        <v>550</v>
      </c>
      <c r="AZ145" s="2386"/>
      <c r="BA145" s="2386"/>
      <c r="BB145" s="2386"/>
      <c r="BC145" s="2386"/>
      <c r="BD145" s="2386"/>
      <c r="BE145" s="2386"/>
      <c r="BF145" s="2386"/>
      <c r="BG145" s="8"/>
      <c r="BH145" s="8"/>
      <c r="BI145" s="8"/>
      <c r="BJ145" s="8"/>
      <c r="BK145" s="8"/>
      <c r="BL145" s="8"/>
      <c r="BM145" s="8"/>
      <c r="BN145" s="8"/>
      <c r="BO145" s="8"/>
      <c r="BP145" s="8"/>
      <c r="BQ145" s="8"/>
      <c r="BR145" s="8"/>
      <c r="BS145" s="8"/>
      <c r="BT145" s="8"/>
      <c r="BU145" s="9"/>
    </row>
    <row r="146" spans="2:78" outlineLevel="1" x14ac:dyDescent="0.25">
      <c r="B146" s="8"/>
      <c r="C146" s="2373" t="s">
        <v>728</v>
      </c>
      <c r="D146" s="2374"/>
      <c r="E146" s="2374"/>
      <c r="F146" s="2374"/>
      <c r="G146" s="2374"/>
      <c r="H146" s="2374"/>
      <c r="I146" s="2375"/>
      <c r="J146" s="23"/>
      <c r="K146" s="2361" t="s">
        <v>460</v>
      </c>
      <c r="L146" s="2362"/>
      <c r="M146" s="2362"/>
      <c r="N146" s="2362"/>
      <c r="O146" s="2362"/>
      <c r="P146" s="2362"/>
      <c r="Q146" s="2362"/>
      <c r="R146" s="2363"/>
      <c r="S146" s="2361" t="s">
        <v>461</v>
      </c>
      <c r="T146" s="2362"/>
      <c r="U146" s="2362"/>
      <c r="V146" s="2362"/>
      <c r="W146" s="2362"/>
      <c r="X146" s="2362"/>
      <c r="Y146" s="2362"/>
      <c r="Z146" s="2363"/>
      <c r="AA146" s="2361" t="s">
        <v>462</v>
      </c>
      <c r="AB146" s="2362"/>
      <c r="AC146" s="2362"/>
      <c r="AD146" s="2362"/>
      <c r="AE146" s="2362"/>
      <c r="AF146" s="2362"/>
      <c r="AG146" s="2362"/>
      <c r="AH146" s="2363"/>
      <c r="AI146" s="2361" t="s">
        <v>463</v>
      </c>
      <c r="AJ146" s="2362"/>
      <c r="AK146" s="2362"/>
      <c r="AL146" s="2362"/>
      <c r="AM146" s="2362"/>
      <c r="AN146" s="2362"/>
      <c r="AO146" s="2362"/>
      <c r="AP146" s="2363"/>
      <c r="AQ146" s="2361" t="s">
        <v>464</v>
      </c>
      <c r="AR146" s="2362"/>
      <c r="AS146" s="2362"/>
      <c r="AT146" s="2362"/>
      <c r="AU146" s="2362"/>
      <c r="AV146" s="2362"/>
      <c r="AW146" s="2362"/>
      <c r="AX146" s="2363"/>
      <c r="AY146" s="2361" t="s">
        <v>539</v>
      </c>
      <c r="AZ146" s="2362"/>
      <c r="BA146" s="2362"/>
      <c r="BB146" s="2362"/>
      <c r="BC146" s="2362"/>
      <c r="BD146" s="2362"/>
      <c r="BE146" s="2362"/>
      <c r="BF146" s="2363"/>
      <c r="BG146" s="23"/>
      <c r="BH146" s="2434" t="s">
        <v>540</v>
      </c>
      <c r="BI146" s="2435"/>
      <c r="BJ146" s="2435"/>
      <c r="BK146" s="2435"/>
      <c r="BL146" s="2435"/>
      <c r="BM146" s="2435"/>
      <c r="BN146" s="2435"/>
      <c r="BO146" s="2436"/>
      <c r="BP146" s="23"/>
      <c r="BQ146" s="2116" t="s">
        <v>541</v>
      </c>
      <c r="BR146" s="2117"/>
      <c r="BS146" s="2117"/>
      <c r="BT146" s="2118"/>
      <c r="BU146" s="9"/>
    </row>
    <row r="147" spans="2:78" outlineLevel="1" x14ac:dyDescent="0.25">
      <c r="B147" s="153"/>
      <c r="C147" s="23"/>
      <c r="D147" s="23"/>
      <c r="E147" s="23"/>
      <c r="F147" s="23"/>
      <c r="G147" s="23"/>
      <c r="H147" s="23"/>
      <c r="I147" s="23"/>
      <c r="J147" s="23"/>
      <c r="K147" s="2138" t="s">
        <v>538</v>
      </c>
      <c r="L147" s="2138"/>
      <c r="M147" s="2138"/>
      <c r="N147" s="2138"/>
      <c r="O147" s="2138" t="s">
        <v>544</v>
      </c>
      <c r="P147" s="2138"/>
      <c r="Q147" s="2138"/>
      <c r="R147" s="2138"/>
      <c r="S147" s="2138" t="s">
        <v>538</v>
      </c>
      <c r="T147" s="2138"/>
      <c r="U147" s="2138"/>
      <c r="V147" s="2138"/>
      <c r="W147" s="2138" t="s">
        <v>544</v>
      </c>
      <c r="X147" s="2138"/>
      <c r="Y147" s="2138"/>
      <c r="Z147" s="2138"/>
      <c r="AA147" s="2138" t="s">
        <v>538</v>
      </c>
      <c r="AB147" s="2138"/>
      <c r="AC147" s="2138"/>
      <c r="AD147" s="2138"/>
      <c r="AE147" s="2138" t="s">
        <v>544</v>
      </c>
      <c r="AF147" s="2138"/>
      <c r="AG147" s="2138"/>
      <c r="AH147" s="2138"/>
      <c r="AI147" s="2138" t="s">
        <v>538</v>
      </c>
      <c r="AJ147" s="2138"/>
      <c r="AK147" s="2138"/>
      <c r="AL147" s="2138"/>
      <c r="AM147" s="2138" t="s">
        <v>544</v>
      </c>
      <c r="AN147" s="2138"/>
      <c r="AO147" s="2138"/>
      <c r="AP147" s="2138"/>
      <c r="AQ147" s="2138" t="s">
        <v>538</v>
      </c>
      <c r="AR147" s="2138"/>
      <c r="AS147" s="2138"/>
      <c r="AT147" s="2138"/>
      <c r="AU147" s="2138" t="s">
        <v>544</v>
      </c>
      <c r="AV147" s="2138"/>
      <c r="AW147" s="2138"/>
      <c r="AX147" s="2138"/>
      <c r="AY147" s="2138" t="s">
        <v>538</v>
      </c>
      <c r="AZ147" s="2138"/>
      <c r="BA147" s="2138"/>
      <c r="BB147" s="2138"/>
      <c r="BC147" s="2138" t="s">
        <v>544</v>
      </c>
      <c r="BD147" s="2138"/>
      <c r="BE147" s="2138"/>
      <c r="BF147" s="2138"/>
      <c r="BG147" s="23"/>
      <c r="BH147" s="2138" t="s">
        <v>538</v>
      </c>
      <c r="BI147" s="2138"/>
      <c r="BJ147" s="2138"/>
      <c r="BK147" s="2138"/>
      <c r="BL147" s="2138" t="s">
        <v>544</v>
      </c>
      <c r="BM147" s="2138"/>
      <c r="BN147" s="2138"/>
      <c r="BO147" s="2138"/>
      <c r="BP147" s="23"/>
      <c r="BQ147" s="23"/>
      <c r="BR147" s="23"/>
      <c r="BS147" s="23"/>
      <c r="BT147" s="23"/>
      <c r="BU147" s="9"/>
    </row>
    <row r="148" spans="2:78" outlineLevel="1" x14ac:dyDescent="0.25">
      <c r="B148" s="1701">
        <f t="shared" ref="B148:B157" si="4">IF(C148=$H$124,1,0)</f>
        <v>0</v>
      </c>
      <c r="C148" s="2202"/>
      <c r="D148" s="2203"/>
      <c r="E148" s="2203"/>
      <c r="F148" s="2203"/>
      <c r="G148" s="2203"/>
      <c r="H148" s="2203"/>
      <c r="I148" s="2204"/>
      <c r="J148" s="23"/>
      <c r="K148" s="2233"/>
      <c r="L148" s="2234"/>
      <c r="M148" s="2234"/>
      <c r="N148" s="2234"/>
      <c r="O148" s="2219"/>
      <c r="P148" s="2220"/>
      <c r="Q148" s="2220"/>
      <c r="R148" s="2220"/>
      <c r="S148" s="2233"/>
      <c r="T148" s="2234"/>
      <c r="U148" s="2234"/>
      <c r="V148" s="2234"/>
      <c r="W148" s="2219"/>
      <c r="X148" s="2220"/>
      <c r="Y148" s="2220"/>
      <c r="Z148" s="2220"/>
      <c r="AA148" s="2233"/>
      <c r="AB148" s="2234"/>
      <c r="AC148" s="2234"/>
      <c r="AD148" s="2234"/>
      <c r="AE148" s="2219"/>
      <c r="AF148" s="2220"/>
      <c r="AG148" s="2220"/>
      <c r="AH148" s="2220"/>
      <c r="AI148" s="2233"/>
      <c r="AJ148" s="2234"/>
      <c r="AK148" s="2234"/>
      <c r="AL148" s="2234"/>
      <c r="AM148" s="2219"/>
      <c r="AN148" s="2220"/>
      <c r="AO148" s="2220"/>
      <c r="AP148" s="2220"/>
      <c r="AQ148" s="2233"/>
      <c r="AR148" s="2234"/>
      <c r="AS148" s="2234"/>
      <c r="AT148" s="2234"/>
      <c r="AU148" s="2219"/>
      <c r="AV148" s="2220"/>
      <c r="AW148" s="2220"/>
      <c r="AX148" s="2220"/>
      <c r="AY148" s="2233"/>
      <c r="AZ148" s="2234"/>
      <c r="BA148" s="2234"/>
      <c r="BB148" s="2234"/>
      <c r="BC148" s="2219"/>
      <c r="BD148" s="2220"/>
      <c r="BE148" s="2220"/>
      <c r="BF148" s="2220"/>
      <c r="BG148" s="23"/>
      <c r="BH148" s="2122">
        <f>IFERROR(AVERAGE(K148,S148,AA148,AI148,AQ148,AY148),0)</f>
        <v>0</v>
      </c>
      <c r="BI148" s="2122"/>
      <c r="BJ148" s="2122"/>
      <c r="BK148" s="2122"/>
      <c r="BL148" s="2420">
        <f>IFERROR(AVERAGE(O148,W148,AE148,AM148,AU148,BC148),0)</f>
        <v>0</v>
      </c>
      <c r="BM148" s="2420"/>
      <c r="BN148" s="2420"/>
      <c r="BO148" s="2420"/>
      <c r="BP148" s="23"/>
      <c r="BQ148" s="2464"/>
      <c r="BR148" s="2465"/>
      <c r="BS148" s="2465"/>
      <c r="BT148" s="2466"/>
      <c r="BU148" s="9"/>
    </row>
    <row r="149" spans="2:78" outlineLevel="1" x14ac:dyDescent="0.25">
      <c r="B149" s="1701">
        <f t="shared" si="4"/>
        <v>0</v>
      </c>
      <c r="C149" s="2202"/>
      <c r="D149" s="2203"/>
      <c r="E149" s="2203"/>
      <c r="F149" s="2203"/>
      <c r="G149" s="2203"/>
      <c r="H149" s="2203"/>
      <c r="I149" s="2204"/>
      <c r="J149" s="23"/>
      <c r="K149" s="2233"/>
      <c r="L149" s="2234"/>
      <c r="M149" s="2234"/>
      <c r="N149" s="2234"/>
      <c r="O149" s="2219"/>
      <c r="P149" s="2220"/>
      <c r="Q149" s="2220"/>
      <c r="R149" s="2220"/>
      <c r="S149" s="2233"/>
      <c r="T149" s="2234"/>
      <c r="U149" s="2234"/>
      <c r="V149" s="2234"/>
      <c r="W149" s="2219"/>
      <c r="X149" s="2220"/>
      <c r="Y149" s="2220"/>
      <c r="Z149" s="2220"/>
      <c r="AA149" s="2233"/>
      <c r="AB149" s="2234"/>
      <c r="AC149" s="2234"/>
      <c r="AD149" s="2234"/>
      <c r="AE149" s="2219"/>
      <c r="AF149" s="2220"/>
      <c r="AG149" s="2220"/>
      <c r="AH149" s="2220"/>
      <c r="AI149" s="2233"/>
      <c r="AJ149" s="2234"/>
      <c r="AK149" s="2234"/>
      <c r="AL149" s="2234"/>
      <c r="AM149" s="2219"/>
      <c r="AN149" s="2220"/>
      <c r="AO149" s="2220"/>
      <c r="AP149" s="2220"/>
      <c r="AQ149" s="2233"/>
      <c r="AR149" s="2234"/>
      <c r="AS149" s="2234"/>
      <c r="AT149" s="2234"/>
      <c r="AU149" s="2219"/>
      <c r="AV149" s="2220"/>
      <c r="AW149" s="2220"/>
      <c r="AX149" s="2220"/>
      <c r="AY149" s="2233"/>
      <c r="AZ149" s="2234"/>
      <c r="BA149" s="2234"/>
      <c r="BB149" s="2234"/>
      <c r="BC149" s="2219"/>
      <c r="BD149" s="2220"/>
      <c r="BE149" s="2220"/>
      <c r="BF149" s="2220"/>
      <c r="BG149" s="23"/>
      <c r="BH149" s="2122">
        <f t="shared" ref="BH149:BH157" si="5">IFERROR(AVERAGE(K149,S149,AA149,AI149,AQ149,AY149),0)</f>
        <v>0</v>
      </c>
      <c r="BI149" s="2122"/>
      <c r="BJ149" s="2122"/>
      <c r="BK149" s="2122"/>
      <c r="BL149" s="2420">
        <f>IFERROR(AVERAGE(O149,W149,AE149,AM149,AU149,BC149),0)</f>
        <v>0</v>
      </c>
      <c r="BM149" s="2420"/>
      <c r="BN149" s="2420"/>
      <c r="BO149" s="2420"/>
      <c r="BP149" s="23"/>
      <c r="BQ149" s="2464"/>
      <c r="BR149" s="2465"/>
      <c r="BS149" s="2465"/>
      <c r="BT149" s="2466"/>
      <c r="BU149" s="9"/>
    </row>
    <row r="150" spans="2:78" ht="15" customHeight="1" outlineLevel="1" x14ac:dyDescent="0.25">
      <c r="B150" s="1701">
        <f t="shared" si="4"/>
        <v>0</v>
      </c>
      <c r="C150" s="2202"/>
      <c r="D150" s="2203"/>
      <c r="E150" s="2203"/>
      <c r="F150" s="2203"/>
      <c r="G150" s="2203"/>
      <c r="H150" s="2203"/>
      <c r="I150" s="2204"/>
      <c r="J150" s="23"/>
      <c r="K150" s="2233"/>
      <c r="L150" s="2234"/>
      <c r="M150" s="2234"/>
      <c r="N150" s="2234"/>
      <c r="O150" s="2219"/>
      <c r="P150" s="2220"/>
      <c r="Q150" s="2220"/>
      <c r="R150" s="2220"/>
      <c r="S150" s="2233"/>
      <c r="T150" s="2234"/>
      <c r="U150" s="2234"/>
      <c r="V150" s="2234"/>
      <c r="W150" s="2219"/>
      <c r="X150" s="2220"/>
      <c r="Y150" s="2220"/>
      <c r="Z150" s="2220"/>
      <c r="AA150" s="2233"/>
      <c r="AB150" s="2234"/>
      <c r="AC150" s="2234"/>
      <c r="AD150" s="2234"/>
      <c r="AE150" s="2219"/>
      <c r="AF150" s="2220"/>
      <c r="AG150" s="2220"/>
      <c r="AH150" s="2220"/>
      <c r="AI150" s="2233"/>
      <c r="AJ150" s="2234"/>
      <c r="AK150" s="2234"/>
      <c r="AL150" s="2234"/>
      <c r="AM150" s="2219"/>
      <c r="AN150" s="2220"/>
      <c r="AO150" s="2220"/>
      <c r="AP150" s="2220"/>
      <c r="AQ150" s="2233"/>
      <c r="AR150" s="2234"/>
      <c r="AS150" s="2234"/>
      <c r="AT150" s="2234"/>
      <c r="AU150" s="2219"/>
      <c r="AV150" s="2220"/>
      <c r="AW150" s="2220"/>
      <c r="AX150" s="2220"/>
      <c r="AY150" s="2233"/>
      <c r="AZ150" s="2234"/>
      <c r="BA150" s="2234"/>
      <c r="BB150" s="2234"/>
      <c r="BC150" s="2219"/>
      <c r="BD150" s="2220"/>
      <c r="BE150" s="2220"/>
      <c r="BF150" s="2220"/>
      <c r="BG150" s="23"/>
      <c r="BH150" s="2122">
        <f t="shared" si="5"/>
        <v>0</v>
      </c>
      <c r="BI150" s="2122"/>
      <c r="BJ150" s="2122"/>
      <c r="BK150" s="2122"/>
      <c r="BL150" s="2420">
        <f t="shared" ref="BL150:BL157" si="6">IFERROR(AVERAGE(O150,W150,AE150,AM150,AU150,BC150),0)</f>
        <v>0</v>
      </c>
      <c r="BM150" s="2420"/>
      <c r="BN150" s="2420"/>
      <c r="BO150" s="2420"/>
      <c r="BP150" s="23"/>
      <c r="BQ150" s="2464"/>
      <c r="BR150" s="2465"/>
      <c r="BS150" s="2465"/>
      <c r="BT150" s="2466"/>
      <c r="BU150" s="9"/>
    </row>
    <row r="151" spans="2:78" ht="15" customHeight="1" outlineLevel="1" x14ac:dyDescent="0.25">
      <c r="B151" s="1701">
        <f t="shared" si="4"/>
        <v>0</v>
      </c>
      <c r="C151" s="2202"/>
      <c r="D151" s="2203"/>
      <c r="E151" s="2203"/>
      <c r="F151" s="2203"/>
      <c r="G151" s="2203"/>
      <c r="H151" s="2203"/>
      <c r="I151" s="2204"/>
      <c r="J151" s="23"/>
      <c r="K151" s="2233"/>
      <c r="L151" s="2234"/>
      <c r="M151" s="2234"/>
      <c r="N151" s="2234"/>
      <c r="O151" s="2219"/>
      <c r="P151" s="2220"/>
      <c r="Q151" s="2220"/>
      <c r="R151" s="2220"/>
      <c r="S151" s="2233"/>
      <c r="T151" s="2234"/>
      <c r="U151" s="2234"/>
      <c r="V151" s="2234"/>
      <c r="W151" s="2219"/>
      <c r="X151" s="2220"/>
      <c r="Y151" s="2220"/>
      <c r="Z151" s="2220"/>
      <c r="AA151" s="2233"/>
      <c r="AB151" s="2234"/>
      <c r="AC151" s="2234"/>
      <c r="AD151" s="2234"/>
      <c r="AE151" s="2219"/>
      <c r="AF151" s="2220"/>
      <c r="AG151" s="2220"/>
      <c r="AH151" s="2220"/>
      <c r="AI151" s="2233"/>
      <c r="AJ151" s="2234"/>
      <c r="AK151" s="2234"/>
      <c r="AL151" s="2234"/>
      <c r="AM151" s="2219"/>
      <c r="AN151" s="2220"/>
      <c r="AO151" s="2220"/>
      <c r="AP151" s="2220"/>
      <c r="AQ151" s="2233"/>
      <c r="AR151" s="2234"/>
      <c r="AS151" s="2234"/>
      <c r="AT151" s="2234"/>
      <c r="AU151" s="2219"/>
      <c r="AV151" s="2220"/>
      <c r="AW151" s="2220"/>
      <c r="AX151" s="2220"/>
      <c r="AY151" s="2233"/>
      <c r="AZ151" s="2234"/>
      <c r="BA151" s="2234"/>
      <c r="BB151" s="2234"/>
      <c r="BC151" s="2219"/>
      <c r="BD151" s="2220"/>
      <c r="BE151" s="2220"/>
      <c r="BF151" s="2220"/>
      <c r="BG151" s="23"/>
      <c r="BH151" s="2122">
        <f t="shared" si="5"/>
        <v>0</v>
      </c>
      <c r="BI151" s="2122"/>
      <c r="BJ151" s="2122"/>
      <c r="BK151" s="2122"/>
      <c r="BL151" s="2420">
        <f t="shared" si="6"/>
        <v>0</v>
      </c>
      <c r="BM151" s="2420"/>
      <c r="BN151" s="2420"/>
      <c r="BO151" s="2420"/>
      <c r="BP151" s="23"/>
      <c r="BQ151" s="2464"/>
      <c r="BR151" s="2465"/>
      <c r="BS151" s="2465"/>
      <c r="BT151" s="2466"/>
      <c r="BU151" s="9"/>
    </row>
    <row r="152" spans="2:78" outlineLevel="1" x14ac:dyDescent="0.25">
      <c r="B152" s="1701">
        <f t="shared" si="4"/>
        <v>0</v>
      </c>
      <c r="C152" s="2202"/>
      <c r="D152" s="2203"/>
      <c r="E152" s="2203"/>
      <c r="F152" s="2203"/>
      <c r="G152" s="2203"/>
      <c r="H152" s="2203"/>
      <c r="I152" s="2204"/>
      <c r="J152" s="23"/>
      <c r="K152" s="2233"/>
      <c r="L152" s="2234"/>
      <c r="M152" s="2234"/>
      <c r="N152" s="2234"/>
      <c r="O152" s="2219"/>
      <c r="P152" s="2220"/>
      <c r="Q152" s="2220"/>
      <c r="R152" s="2220"/>
      <c r="S152" s="2233"/>
      <c r="T152" s="2234"/>
      <c r="U152" s="2234"/>
      <c r="V152" s="2234"/>
      <c r="W152" s="2219"/>
      <c r="X152" s="2220"/>
      <c r="Y152" s="2220"/>
      <c r="Z152" s="2220"/>
      <c r="AA152" s="2233"/>
      <c r="AB152" s="2234"/>
      <c r="AC152" s="2234"/>
      <c r="AD152" s="2234"/>
      <c r="AE152" s="2219"/>
      <c r="AF152" s="2220"/>
      <c r="AG152" s="2220"/>
      <c r="AH152" s="2220"/>
      <c r="AI152" s="2233"/>
      <c r="AJ152" s="2234"/>
      <c r="AK152" s="2234"/>
      <c r="AL152" s="2234"/>
      <c r="AM152" s="2219"/>
      <c r="AN152" s="2220"/>
      <c r="AO152" s="2220"/>
      <c r="AP152" s="2220"/>
      <c r="AQ152" s="2233"/>
      <c r="AR152" s="2234"/>
      <c r="AS152" s="2234"/>
      <c r="AT152" s="2234"/>
      <c r="AU152" s="2219"/>
      <c r="AV152" s="2220"/>
      <c r="AW152" s="2220"/>
      <c r="AX152" s="2220"/>
      <c r="AY152" s="2233"/>
      <c r="AZ152" s="2234"/>
      <c r="BA152" s="2234"/>
      <c r="BB152" s="2234"/>
      <c r="BC152" s="2219"/>
      <c r="BD152" s="2220"/>
      <c r="BE152" s="2220"/>
      <c r="BF152" s="2220"/>
      <c r="BG152" s="23"/>
      <c r="BH152" s="2122">
        <f t="shared" si="5"/>
        <v>0</v>
      </c>
      <c r="BI152" s="2122"/>
      <c r="BJ152" s="2122"/>
      <c r="BK152" s="2122"/>
      <c r="BL152" s="2420">
        <f t="shared" si="6"/>
        <v>0</v>
      </c>
      <c r="BM152" s="2420"/>
      <c r="BN152" s="2420"/>
      <c r="BO152" s="2420"/>
      <c r="BP152" s="23"/>
      <c r="BQ152" s="2464"/>
      <c r="BR152" s="2465"/>
      <c r="BS152" s="2465"/>
      <c r="BT152" s="2466"/>
      <c r="BU152" s="9"/>
    </row>
    <row r="153" spans="2:78" outlineLevel="1" x14ac:dyDescent="0.25">
      <c r="B153" s="1701">
        <f t="shared" si="4"/>
        <v>0</v>
      </c>
      <c r="C153" s="2202"/>
      <c r="D153" s="2203"/>
      <c r="E153" s="2203"/>
      <c r="F153" s="2203"/>
      <c r="G153" s="2203"/>
      <c r="H153" s="2203"/>
      <c r="I153" s="2204"/>
      <c r="J153" s="23"/>
      <c r="K153" s="2233"/>
      <c r="L153" s="2234"/>
      <c r="M153" s="2234"/>
      <c r="N153" s="2234"/>
      <c r="O153" s="2219"/>
      <c r="P153" s="2220"/>
      <c r="Q153" s="2220"/>
      <c r="R153" s="2220"/>
      <c r="S153" s="2233"/>
      <c r="T153" s="2234"/>
      <c r="U153" s="2234"/>
      <c r="V153" s="2234"/>
      <c r="W153" s="2219"/>
      <c r="X153" s="2220"/>
      <c r="Y153" s="2220"/>
      <c r="Z153" s="2220"/>
      <c r="AA153" s="2233"/>
      <c r="AB153" s="2234"/>
      <c r="AC153" s="2234"/>
      <c r="AD153" s="2234"/>
      <c r="AE153" s="2219"/>
      <c r="AF153" s="2220"/>
      <c r="AG153" s="2220"/>
      <c r="AH153" s="2220"/>
      <c r="AI153" s="2233"/>
      <c r="AJ153" s="2234"/>
      <c r="AK153" s="2234"/>
      <c r="AL153" s="2234"/>
      <c r="AM153" s="2219"/>
      <c r="AN153" s="2220"/>
      <c r="AO153" s="2220"/>
      <c r="AP153" s="2220"/>
      <c r="AQ153" s="2233"/>
      <c r="AR153" s="2234"/>
      <c r="AS153" s="2234"/>
      <c r="AT153" s="2234"/>
      <c r="AU153" s="2219"/>
      <c r="AV153" s="2220"/>
      <c r="AW153" s="2220"/>
      <c r="AX153" s="2220"/>
      <c r="AY153" s="2233"/>
      <c r="AZ153" s="2234"/>
      <c r="BA153" s="2234"/>
      <c r="BB153" s="2234"/>
      <c r="BC153" s="2219"/>
      <c r="BD153" s="2220"/>
      <c r="BE153" s="2220"/>
      <c r="BF153" s="2220"/>
      <c r="BG153" s="23"/>
      <c r="BH153" s="2122">
        <f t="shared" si="5"/>
        <v>0</v>
      </c>
      <c r="BI153" s="2122"/>
      <c r="BJ153" s="2122"/>
      <c r="BK153" s="2122"/>
      <c r="BL153" s="2420">
        <f t="shared" si="6"/>
        <v>0</v>
      </c>
      <c r="BM153" s="2420"/>
      <c r="BN153" s="2420"/>
      <c r="BO153" s="2420"/>
      <c r="BP153" s="23"/>
      <c r="BQ153" s="2464"/>
      <c r="BR153" s="2465"/>
      <c r="BS153" s="2465"/>
      <c r="BT153" s="2466"/>
      <c r="BU153" s="9"/>
    </row>
    <row r="154" spans="2:78" outlineLevel="1" x14ac:dyDescent="0.25">
      <c r="B154" s="1701">
        <f t="shared" si="4"/>
        <v>0</v>
      </c>
      <c r="C154" s="2202"/>
      <c r="D154" s="2203"/>
      <c r="E154" s="2203"/>
      <c r="F154" s="2203"/>
      <c r="G154" s="2203"/>
      <c r="H154" s="2203"/>
      <c r="I154" s="2204"/>
      <c r="J154" s="23"/>
      <c r="K154" s="2233"/>
      <c r="L154" s="2234"/>
      <c r="M154" s="2234"/>
      <c r="N154" s="2234"/>
      <c r="O154" s="2219"/>
      <c r="P154" s="2220"/>
      <c r="Q154" s="2220"/>
      <c r="R154" s="2220"/>
      <c r="S154" s="2233"/>
      <c r="T154" s="2234"/>
      <c r="U154" s="2234"/>
      <c r="V154" s="2234"/>
      <c r="W154" s="2219"/>
      <c r="X154" s="2220"/>
      <c r="Y154" s="2220"/>
      <c r="Z154" s="2220"/>
      <c r="AA154" s="2233"/>
      <c r="AB154" s="2234"/>
      <c r="AC154" s="2234"/>
      <c r="AD154" s="2234"/>
      <c r="AE154" s="2219"/>
      <c r="AF154" s="2220"/>
      <c r="AG154" s="2220"/>
      <c r="AH154" s="2220"/>
      <c r="AI154" s="2233"/>
      <c r="AJ154" s="2234"/>
      <c r="AK154" s="2234"/>
      <c r="AL154" s="2234"/>
      <c r="AM154" s="2219"/>
      <c r="AN154" s="2220"/>
      <c r="AO154" s="2220"/>
      <c r="AP154" s="2220"/>
      <c r="AQ154" s="2233"/>
      <c r="AR154" s="2234"/>
      <c r="AS154" s="2234"/>
      <c r="AT154" s="2234"/>
      <c r="AU154" s="2219"/>
      <c r="AV154" s="2220"/>
      <c r="AW154" s="2220"/>
      <c r="AX154" s="2220"/>
      <c r="AY154" s="2233"/>
      <c r="AZ154" s="2234"/>
      <c r="BA154" s="2234"/>
      <c r="BB154" s="2234"/>
      <c r="BC154" s="2219"/>
      <c r="BD154" s="2220"/>
      <c r="BE154" s="2220"/>
      <c r="BF154" s="2220"/>
      <c r="BG154" s="23"/>
      <c r="BH154" s="2122">
        <f t="shared" si="5"/>
        <v>0</v>
      </c>
      <c r="BI154" s="2122"/>
      <c r="BJ154" s="2122"/>
      <c r="BK154" s="2122"/>
      <c r="BL154" s="2420">
        <f t="shared" si="6"/>
        <v>0</v>
      </c>
      <c r="BM154" s="2420"/>
      <c r="BN154" s="2420"/>
      <c r="BO154" s="2420"/>
      <c r="BP154" s="23"/>
      <c r="BQ154" s="2464"/>
      <c r="BR154" s="2465"/>
      <c r="BS154" s="2465"/>
      <c r="BT154" s="2466"/>
      <c r="BU154" s="9"/>
    </row>
    <row r="155" spans="2:78" outlineLevel="1" x14ac:dyDescent="0.25">
      <c r="B155" s="1701">
        <f t="shared" si="4"/>
        <v>0</v>
      </c>
      <c r="C155" s="2202"/>
      <c r="D155" s="2203"/>
      <c r="E155" s="2203"/>
      <c r="F155" s="2203"/>
      <c r="G155" s="2203"/>
      <c r="H155" s="2203"/>
      <c r="I155" s="2204"/>
      <c r="J155" s="23"/>
      <c r="K155" s="2233"/>
      <c r="L155" s="2234"/>
      <c r="M155" s="2234"/>
      <c r="N155" s="2234"/>
      <c r="O155" s="2219"/>
      <c r="P155" s="2220"/>
      <c r="Q155" s="2220"/>
      <c r="R155" s="2220"/>
      <c r="S155" s="2233"/>
      <c r="T155" s="2234"/>
      <c r="U155" s="2234"/>
      <c r="V155" s="2234"/>
      <c r="W155" s="2219"/>
      <c r="X155" s="2220"/>
      <c r="Y155" s="2220"/>
      <c r="Z155" s="2220"/>
      <c r="AA155" s="2233"/>
      <c r="AB155" s="2234"/>
      <c r="AC155" s="2234"/>
      <c r="AD155" s="2234"/>
      <c r="AE155" s="2219"/>
      <c r="AF155" s="2220"/>
      <c r="AG155" s="2220"/>
      <c r="AH155" s="2220"/>
      <c r="AI155" s="2233"/>
      <c r="AJ155" s="2234"/>
      <c r="AK155" s="2234"/>
      <c r="AL155" s="2234"/>
      <c r="AM155" s="2219"/>
      <c r="AN155" s="2220"/>
      <c r="AO155" s="2220"/>
      <c r="AP155" s="2220"/>
      <c r="AQ155" s="2233"/>
      <c r="AR155" s="2234"/>
      <c r="AS155" s="2234"/>
      <c r="AT155" s="2234"/>
      <c r="AU155" s="2219"/>
      <c r="AV155" s="2220"/>
      <c r="AW155" s="2220"/>
      <c r="AX155" s="2220"/>
      <c r="AY155" s="2233"/>
      <c r="AZ155" s="2234"/>
      <c r="BA155" s="2234"/>
      <c r="BB155" s="2234"/>
      <c r="BC155" s="2219"/>
      <c r="BD155" s="2220"/>
      <c r="BE155" s="2220"/>
      <c r="BF155" s="2220"/>
      <c r="BG155" s="23"/>
      <c r="BH155" s="2122">
        <f t="shared" si="5"/>
        <v>0</v>
      </c>
      <c r="BI155" s="2122"/>
      <c r="BJ155" s="2122"/>
      <c r="BK155" s="2122"/>
      <c r="BL155" s="2420">
        <f t="shared" si="6"/>
        <v>0</v>
      </c>
      <c r="BM155" s="2420"/>
      <c r="BN155" s="2420"/>
      <c r="BO155" s="2420"/>
      <c r="BP155" s="23"/>
      <c r="BQ155" s="2464"/>
      <c r="BR155" s="2465"/>
      <c r="BS155" s="2465"/>
      <c r="BT155" s="2466"/>
      <c r="BU155" s="9"/>
    </row>
    <row r="156" spans="2:78" outlineLevel="1" x14ac:dyDescent="0.25">
      <c r="B156" s="1701">
        <f t="shared" si="4"/>
        <v>0</v>
      </c>
      <c r="C156" s="2202"/>
      <c r="D156" s="2203"/>
      <c r="E156" s="2203"/>
      <c r="F156" s="2203"/>
      <c r="G156" s="2203"/>
      <c r="H156" s="2203"/>
      <c r="I156" s="2204"/>
      <c r="J156" s="23"/>
      <c r="K156" s="2233"/>
      <c r="L156" s="2234"/>
      <c r="M156" s="2234"/>
      <c r="N156" s="2234"/>
      <c r="O156" s="2219"/>
      <c r="P156" s="2220"/>
      <c r="Q156" s="2220"/>
      <c r="R156" s="2220"/>
      <c r="S156" s="2233"/>
      <c r="T156" s="2234"/>
      <c r="U156" s="2234"/>
      <c r="V156" s="2234"/>
      <c r="W156" s="2219"/>
      <c r="X156" s="2220"/>
      <c r="Y156" s="2220"/>
      <c r="Z156" s="2220"/>
      <c r="AA156" s="2233"/>
      <c r="AB156" s="2234"/>
      <c r="AC156" s="2234"/>
      <c r="AD156" s="2234"/>
      <c r="AE156" s="2219"/>
      <c r="AF156" s="2220"/>
      <c r="AG156" s="2220"/>
      <c r="AH156" s="2220"/>
      <c r="AI156" s="2233"/>
      <c r="AJ156" s="2234"/>
      <c r="AK156" s="2234"/>
      <c r="AL156" s="2234"/>
      <c r="AM156" s="2219"/>
      <c r="AN156" s="2220"/>
      <c r="AO156" s="2220"/>
      <c r="AP156" s="2220"/>
      <c r="AQ156" s="2233"/>
      <c r="AR156" s="2234"/>
      <c r="AS156" s="2234"/>
      <c r="AT156" s="2234"/>
      <c r="AU156" s="2219"/>
      <c r="AV156" s="2220"/>
      <c r="AW156" s="2220"/>
      <c r="AX156" s="2220"/>
      <c r="AY156" s="2233"/>
      <c r="AZ156" s="2234"/>
      <c r="BA156" s="2234"/>
      <c r="BB156" s="2234"/>
      <c r="BC156" s="2219"/>
      <c r="BD156" s="2220"/>
      <c r="BE156" s="2220"/>
      <c r="BF156" s="2220"/>
      <c r="BG156" s="23"/>
      <c r="BH156" s="2122">
        <f t="shared" si="5"/>
        <v>0</v>
      </c>
      <c r="BI156" s="2122"/>
      <c r="BJ156" s="2122"/>
      <c r="BK156" s="2122"/>
      <c r="BL156" s="2420">
        <f t="shared" si="6"/>
        <v>0</v>
      </c>
      <c r="BM156" s="2420"/>
      <c r="BN156" s="2420"/>
      <c r="BO156" s="2420"/>
      <c r="BP156" s="23"/>
      <c r="BQ156" s="2464"/>
      <c r="BR156" s="2465"/>
      <c r="BS156" s="2465"/>
      <c r="BT156" s="2466"/>
      <c r="BU156" s="9"/>
    </row>
    <row r="157" spans="2:78" ht="15" customHeight="1" x14ac:dyDescent="0.25">
      <c r="B157" s="1701">
        <f t="shared" si="4"/>
        <v>0</v>
      </c>
      <c r="C157" s="2202"/>
      <c r="D157" s="2203"/>
      <c r="E157" s="2203"/>
      <c r="F157" s="2203"/>
      <c r="G157" s="2203"/>
      <c r="H157" s="2203"/>
      <c r="I157" s="2204"/>
      <c r="J157" s="23"/>
      <c r="K157" s="2233"/>
      <c r="L157" s="2234"/>
      <c r="M157" s="2234"/>
      <c r="N157" s="2234"/>
      <c r="O157" s="2219"/>
      <c r="P157" s="2220"/>
      <c r="Q157" s="2220"/>
      <c r="R157" s="2220"/>
      <c r="S157" s="2233"/>
      <c r="T157" s="2234"/>
      <c r="U157" s="2234"/>
      <c r="V157" s="2234"/>
      <c r="W157" s="2219"/>
      <c r="X157" s="2220"/>
      <c r="Y157" s="2220"/>
      <c r="Z157" s="2220"/>
      <c r="AA157" s="2233"/>
      <c r="AB157" s="2234"/>
      <c r="AC157" s="2234"/>
      <c r="AD157" s="2234"/>
      <c r="AE157" s="2219"/>
      <c r="AF157" s="2220"/>
      <c r="AG157" s="2220"/>
      <c r="AH157" s="2220"/>
      <c r="AI157" s="2233"/>
      <c r="AJ157" s="2234"/>
      <c r="AK157" s="2234"/>
      <c r="AL157" s="2234"/>
      <c r="AM157" s="2219"/>
      <c r="AN157" s="2220"/>
      <c r="AO157" s="2220"/>
      <c r="AP157" s="2220"/>
      <c r="AQ157" s="2233"/>
      <c r="AR157" s="2234"/>
      <c r="AS157" s="2234"/>
      <c r="AT157" s="2234"/>
      <c r="AU157" s="2219"/>
      <c r="AV157" s="2220"/>
      <c r="AW157" s="2220"/>
      <c r="AX157" s="2220"/>
      <c r="AY157" s="2233"/>
      <c r="AZ157" s="2234"/>
      <c r="BA157" s="2234"/>
      <c r="BB157" s="2234"/>
      <c r="BC157" s="2219"/>
      <c r="BD157" s="2220"/>
      <c r="BE157" s="2220"/>
      <c r="BF157" s="2220"/>
      <c r="BG157" s="23"/>
      <c r="BH157" s="2122">
        <f t="shared" si="5"/>
        <v>0</v>
      </c>
      <c r="BI157" s="2122"/>
      <c r="BJ157" s="2122"/>
      <c r="BK157" s="2122"/>
      <c r="BL157" s="2420">
        <f t="shared" si="6"/>
        <v>0</v>
      </c>
      <c r="BM157" s="2420"/>
      <c r="BN157" s="2420"/>
      <c r="BO157" s="2420"/>
      <c r="BP157" s="23"/>
      <c r="BQ157" s="2464"/>
      <c r="BR157" s="2465"/>
      <c r="BS157" s="2465"/>
      <c r="BT157" s="2466"/>
      <c r="BU157" s="9"/>
    </row>
    <row r="158" spans="2:78" ht="15" customHeight="1" x14ac:dyDescent="0.25">
      <c r="B158" s="153"/>
      <c r="C158" s="2373" t="s">
        <v>734</v>
      </c>
      <c r="D158" s="2374"/>
      <c r="E158" s="2374"/>
      <c r="F158" s="2374"/>
      <c r="G158" s="2374"/>
      <c r="H158" s="2374"/>
      <c r="I158" s="2375"/>
      <c r="J158" s="23"/>
      <c r="K158" s="2216">
        <f>IFERROR(AVERAGE(K148:N157),0)</f>
        <v>0</v>
      </c>
      <c r="L158" s="2217"/>
      <c r="M158" s="2217"/>
      <c r="N158" s="2217"/>
      <c r="O158" s="2218">
        <f>IFERROR(AVERAGE(O148:R157),0)</f>
        <v>0</v>
      </c>
      <c r="P158" s="2218"/>
      <c r="Q158" s="2218"/>
      <c r="R158" s="2218"/>
      <c r="S158" s="2217">
        <f>IFERROR(AVERAGE(S148:V157),0)</f>
        <v>0</v>
      </c>
      <c r="T158" s="2217"/>
      <c r="U158" s="2217"/>
      <c r="V158" s="2217"/>
      <c r="W158" s="2218">
        <f>IFERROR(AVERAGE(W148:Z157),0)</f>
        <v>0</v>
      </c>
      <c r="X158" s="2218"/>
      <c r="Y158" s="2218"/>
      <c r="Z158" s="2218"/>
      <c r="AA158" s="2217">
        <f>IFERROR(AVERAGE(AA148:AD157),0)</f>
        <v>0</v>
      </c>
      <c r="AB158" s="2217"/>
      <c r="AC158" s="2217"/>
      <c r="AD158" s="2217"/>
      <c r="AE158" s="2218">
        <f>IFERROR(AVERAGE(AE148:AH157),0)</f>
        <v>0</v>
      </c>
      <c r="AF158" s="2218"/>
      <c r="AG158" s="2218"/>
      <c r="AH158" s="2218"/>
      <c r="AI158" s="2217">
        <f>IFERROR(AVERAGE(AI148:AL157),0)</f>
        <v>0</v>
      </c>
      <c r="AJ158" s="2217"/>
      <c r="AK158" s="2217"/>
      <c r="AL158" s="2217"/>
      <c r="AM158" s="2218">
        <f>IFERROR(AVERAGE(AM148:AP157),0)</f>
        <v>0</v>
      </c>
      <c r="AN158" s="2218"/>
      <c r="AO158" s="2218"/>
      <c r="AP158" s="2218"/>
      <c r="AQ158" s="2217">
        <f>IFERROR(AVERAGE(AQ148:AT157),0)</f>
        <v>0</v>
      </c>
      <c r="AR158" s="2217"/>
      <c r="AS158" s="2217"/>
      <c r="AT158" s="2217"/>
      <c r="AU158" s="2218">
        <f>IFERROR(AVERAGE(AU148:AX157),0)</f>
        <v>0</v>
      </c>
      <c r="AV158" s="2218"/>
      <c r="AW158" s="2218"/>
      <c r="AX158" s="2218"/>
      <c r="AY158" s="2217">
        <f>IFERROR(AVERAGE(AY148:BB157),0)</f>
        <v>0</v>
      </c>
      <c r="AZ158" s="2217"/>
      <c r="BA158" s="2217"/>
      <c r="BB158" s="2217"/>
      <c r="BC158" s="2218">
        <f>IFERROR(AVERAGE(BC148:BF157),0)</f>
        <v>0</v>
      </c>
      <c r="BD158" s="2218"/>
      <c r="BE158" s="2218"/>
      <c r="BF158" s="2442"/>
      <c r="BG158" s="23"/>
      <c r="BH158" s="2122">
        <f>IFERROR(AVERAGE(K158,S158,AA158,AI158,AQ158,AY158),0)</f>
        <v>0</v>
      </c>
      <c r="BI158" s="2122"/>
      <c r="BJ158" s="2122"/>
      <c r="BK158" s="2122"/>
      <c r="BL158" s="2420">
        <f>IFERROR(AVERAGE(O158,W158,AE158,AM158,AU158,BC158),0)</f>
        <v>0</v>
      </c>
      <c r="BM158" s="2420"/>
      <c r="BN158" s="2420"/>
      <c r="BO158" s="2420"/>
      <c r="BP158" s="23"/>
      <c r="BQ158" s="466"/>
      <c r="BR158" s="466"/>
      <c r="BS158" s="466"/>
      <c r="BT158" s="466"/>
      <c r="BU158" s="9"/>
    </row>
    <row r="159" spans="2:78" ht="15" customHeight="1" x14ac:dyDescent="0.25">
      <c r="B159" s="9"/>
      <c r="C159" s="199"/>
      <c r="D159" s="23"/>
      <c r="E159" s="23"/>
      <c r="F159" s="23"/>
      <c r="G159" s="23"/>
      <c r="H159" s="23"/>
      <c r="I159" s="23"/>
      <c r="J159" s="23"/>
      <c r="K159" s="2441">
        <f>IF(K146=$H$123,1,0)</f>
        <v>0</v>
      </c>
      <c r="L159" s="2441"/>
      <c r="M159" s="2441"/>
      <c r="N159" s="2441"/>
      <c r="O159" s="2441">
        <f>K159</f>
        <v>0</v>
      </c>
      <c r="P159" s="2441"/>
      <c r="Q159" s="2441"/>
      <c r="R159" s="2441"/>
      <c r="S159" s="2441">
        <f>IF(S146=$H$123,1,0)</f>
        <v>0</v>
      </c>
      <c r="T159" s="2441"/>
      <c r="U159" s="2441"/>
      <c r="V159" s="2441"/>
      <c r="W159" s="2441">
        <f>S159</f>
        <v>0</v>
      </c>
      <c r="X159" s="2441"/>
      <c r="Y159" s="2441"/>
      <c r="Z159" s="2441"/>
      <c r="AA159" s="2441">
        <f>IF(AA146=$H$123,1,0)</f>
        <v>1</v>
      </c>
      <c r="AB159" s="2441"/>
      <c r="AC159" s="2441"/>
      <c r="AD159" s="2441"/>
      <c r="AE159" s="2441">
        <f>AA159</f>
        <v>1</v>
      </c>
      <c r="AF159" s="2441"/>
      <c r="AG159" s="2441"/>
      <c r="AH159" s="2441"/>
      <c r="AI159" s="2441">
        <f>IF(AI146=$H$123,1,0)</f>
        <v>0</v>
      </c>
      <c r="AJ159" s="2441"/>
      <c r="AK159" s="2441"/>
      <c r="AL159" s="2441"/>
      <c r="AM159" s="2441">
        <f>AI159</f>
        <v>0</v>
      </c>
      <c r="AN159" s="2441"/>
      <c r="AO159" s="2441"/>
      <c r="AP159" s="2441"/>
      <c r="AQ159" s="2441">
        <f>IF(AQ146=$H$123,1,0)</f>
        <v>0</v>
      </c>
      <c r="AR159" s="2441"/>
      <c r="AS159" s="2441"/>
      <c r="AT159" s="2441"/>
      <c r="AU159" s="2441">
        <f>AQ159</f>
        <v>0</v>
      </c>
      <c r="AV159" s="2441"/>
      <c r="AW159" s="2441"/>
      <c r="AX159" s="2441"/>
      <c r="AY159" s="2441">
        <f>IF(AY146=$H$123,1,0)</f>
        <v>0</v>
      </c>
      <c r="AZ159" s="2441"/>
      <c r="BA159" s="2441"/>
      <c r="BB159" s="2441"/>
      <c r="BC159" s="2441">
        <f>AY159</f>
        <v>0</v>
      </c>
      <c r="BD159" s="2441"/>
      <c r="BE159" s="2441"/>
      <c r="BF159" s="2441"/>
      <c r="BG159" s="23"/>
      <c r="BH159" s="23"/>
      <c r="BI159" s="23"/>
      <c r="BJ159" s="23"/>
      <c r="BK159" s="23"/>
      <c r="BL159" s="23"/>
      <c r="BM159" s="23"/>
      <c r="BN159" s="23"/>
      <c r="BO159" s="23"/>
      <c r="BP159" s="23"/>
      <c r="BQ159" s="23"/>
      <c r="BR159" s="23"/>
      <c r="BS159" s="23"/>
      <c r="BT159" s="23"/>
      <c r="BU159" s="9"/>
      <c r="BV159" s="275"/>
      <c r="BW159" s="275"/>
      <c r="BX159" s="275"/>
      <c r="BY159" s="275"/>
      <c r="BZ159" s="275"/>
    </row>
    <row r="160" spans="2:78" ht="15" customHeight="1" outlineLevel="1" x14ac:dyDescent="0.25">
      <c r="T160" s="279"/>
      <c r="BH160" s="275"/>
      <c r="BI160" s="275"/>
      <c r="BJ160" s="275"/>
      <c r="BK160" s="275"/>
      <c r="BL160" s="275"/>
      <c r="BM160" s="275"/>
      <c r="BN160" s="275"/>
      <c r="BO160" s="275"/>
      <c r="BP160" s="275"/>
      <c r="BQ160" s="275"/>
      <c r="BR160" s="275"/>
      <c r="BS160" s="275"/>
      <c r="BT160" s="275"/>
      <c r="BU160" s="275"/>
      <c r="BV160" s="275"/>
      <c r="BW160" s="275"/>
      <c r="BX160" s="275"/>
      <c r="BY160" s="275"/>
      <c r="BZ160" s="275"/>
    </row>
    <row r="161" spans="2:78" ht="15" customHeight="1" outlineLevel="1" x14ac:dyDescent="0.25">
      <c r="T161" s="279"/>
      <c r="BH161" s="275"/>
      <c r="BI161" s="275"/>
      <c r="BJ161" s="275"/>
      <c r="BK161" s="275"/>
      <c r="BL161" s="275"/>
      <c r="BM161" s="275"/>
      <c r="BN161" s="275"/>
      <c r="BO161" s="275"/>
      <c r="BP161" s="275"/>
      <c r="BQ161" s="275"/>
      <c r="BR161" s="275"/>
      <c r="BS161" s="275"/>
      <c r="BT161" s="275"/>
      <c r="BU161" s="275"/>
      <c r="BV161" s="275"/>
      <c r="BW161" s="275"/>
      <c r="BX161" s="275"/>
      <c r="BY161" s="275"/>
      <c r="BZ161" s="275"/>
    </row>
    <row r="162" spans="2:78" ht="15" customHeight="1" outlineLevel="1" x14ac:dyDescent="0.25">
      <c r="B162" s="521" t="s">
        <v>435</v>
      </c>
      <c r="C162" s="598"/>
      <c r="D162" s="598"/>
      <c r="E162" s="598"/>
      <c r="F162" s="598"/>
      <c r="G162" s="598"/>
      <c r="H162" s="598"/>
      <c r="I162" s="598"/>
      <c r="J162" s="598"/>
      <c r="K162" s="598"/>
      <c r="L162" s="598"/>
      <c r="M162" s="598"/>
      <c r="N162" s="598"/>
      <c r="O162" s="598"/>
      <c r="P162" s="598"/>
      <c r="Q162" s="598"/>
      <c r="R162" s="598"/>
      <c r="S162" s="598"/>
      <c r="T162" s="598"/>
      <c r="U162" s="598"/>
      <c r="V162" s="598"/>
      <c r="W162" s="598"/>
      <c r="X162" s="598"/>
      <c r="Y162" s="598"/>
      <c r="Z162" s="598"/>
      <c r="AA162" s="598"/>
      <c r="AB162" s="598"/>
      <c r="AC162" s="598"/>
      <c r="AD162" s="598"/>
      <c r="AE162" s="598"/>
      <c r="AF162" s="598"/>
      <c r="AG162" s="598"/>
      <c r="AH162" s="598"/>
      <c r="AI162" s="598"/>
      <c r="AJ162" s="598"/>
      <c r="AK162" s="598"/>
      <c r="AL162" s="598"/>
      <c r="AM162" s="598"/>
      <c r="AN162" s="598"/>
      <c r="AO162" s="598"/>
      <c r="AP162" s="598"/>
      <c r="AQ162" s="598"/>
      <c r="AR162" s="598"/>
      <c r="AS162" s="598"/>
      <c r="AT162" s="598"/>
      <c r="AU162" s="598"/>
      <c r="AV162" s="598"/>
      <c r="AW162" s="598"/>
      <c r="AX162" s="598"/>
      <c r="AY162" s="598"/>
      <c r="AZ162" s="598"/>
      <c r="BA162" s="598"/>
      <c r="BB162" s="598"/>
      <c r="BC162" s="598"/>
      <c r="BD162" s="598"/>
      <c r="BE162" s="598"/>
      <c r="BF162" s="598"/>
      <c r="BG162" s="598"/>
      <c r="BH162" s="598"/>
      <c r="BI162" s="598"/>
      <c r="BJ162" s="598"/>
      <c r="BK162" s="598"/>
      <c r="BL162" s="598"/>
      <c r="BM162" s="598"/>
      <c r="BN162" s="598"/>
      <c r="BO162" s="598"/>
      <c r="BP162" s="598"/>
      <c r="BQ162" s="598"/>
      <c r="BR162" s="598"/>
      <c r="BS162" s="598"/>
      <c r="BT162" s="598"/>
      <c r="BU162" s="598"/>
      <c r="BV162" s="275"/>
      <c r="BW162" s="275"/>
      <c r="BX162" s="275"/>
      <c r="BY162" s="275"/>
      <c r="BZ162" s="275"/>
    </row>
    <row r="163" spans="2:78" ht="15" customHeight="1" outlineLevel="1" x14ac:dyDescent="0.25">
      <c r="B163" s="8"/>
      <c r="C163" s="8"/>
      <c r="D163" s="8"/>
      <c r="E163" s="8"/>
      <c r="F163" s="8"/>
      <c r="G163" s="8"/>
      <c r="H163" s="8"/>
      <c r="I163" s="8"/>
      <c r="J163" s="8"/>
      <c r="K163" s="645"/>
      <c r="L163" s="645"/>
      <c r="M163" s="645"/>
      <c r="N163" s="645"/>
      <c r="O163" s="645"/>
      <c r="P163" s="645"/>
      <c r="Q163" s="645"/>
      <c r="R163" s="645"/>
      <c r="S163" s="645"/>
      <c r="T163" s="645"/>
      <c r="U163" s="645"/>
      <c r="V163" s="645"/>
      <c r="W163" s="645"/>
      <c r="X163" s="645"/>
      <c r="Y163" s="645"/>
      <c r="Z163" s="645"/>
      <c r="AA163" s="645"/>
      <c r="AB163" s="645"/>
      <c r="AC163" s="645"/>
      <c r="AD163" s="645"/>
      <c r="AE163" s="645"/>
      <c r="AF163" s="645"/>
      <c r="AG163" s="645"/>
      <c r="AH163" s="645"/>
      <c r="AI163" s="645"/>
      <c r="AJ163" s="645"/>
      <c r="AK163" s="645"/>
      <c r="AL163" s="645"/>
      <c r="AM163" s="645"/>
      <c r="AN163" s="645"/>
      <c r="AO163" s="645"/>
      <c r="AP163" s="645"/>
      <c r="AQ163" s="645"/>
      <c r="AR163" s="645"/>
      <c r="AS163" s="645"/>
      <c r="AT163" s="645"/>
      <c r="AU163" s="645"/>
      <c r="AV163" s="645"/>
      <c r="AW163" s="645"/>
      <c r="AX163" s="645"/>
      <c r="AY163" s="645"/>
      <c r="AZ163" s="645"/>
      <c r="BA163" s="645"/>
      <c r="BB163" s="645"/>
      <c r="BC163" s="645"/>
      <c r="BD163" s="645"/>
      <c r="BE163" s="645"/>
      <c r="BF163" s="645"/>
      <c r="BG163" s="8"/>
      <c r="BH163" s="8"/>
      <c r="BI163" s="8"/>
      <c r="BJ163" s="8"/>
      <c r="BK163" s="8"/>
      <c r="BL163" s="8"/>
      <c r="BM163" s="8"/>
      <c r="BN163" s="8"/>
      <c r="BO163" s="8"/>
      <c r="BP163" s="8"/>
      <c r="BQ163" s="8"/>
      <c r="BR163" s="8"/>
      <c r="BS163" s="8"/>
      <c r="BT163" s="8"/>
      <c r="BU163" s="9"/>
      <c r="BV163" s="275"/>
      <c r="BW163" s="275"/>
      <c r="BX163" s="275"/>
      <c r="BY163" s="275"/>
      <c r="BZ163" s="275"/>
    </row>
    <row r="164" spans="2:78" ht="15" customHeight="1" outlineLevel="1" x14ac:dyDescent="0.25">
      <c r="B164" s="8"/>
      <c r="C164" s="2239" t="s">
        <v>533</v>
      </c>
      <c r="D164" s="2240"/>
      <c r="E164" s="2240"/>
      <c r="F164" s="2240"/>
      <c r="G164" s="2240"/>
      <c r="H164" s="2240"/>
      <c r="I164" s="2241"/>
      <c r="J164" s="23"/>
      <c r="K164" s="2116" t="s">
        <v>553</v>
      </c>
      <c r="L164" s="2117"/>
      <c r="M164" s="2117"/>
      <c r="N164" s="2118"/>
      <c r="O164" s="2116" t="s">
        <v>554</v>
      </c>
      <c r="P164" s="2117"/>
      <c r="Q164" s="2117"/>
      <c r="R164" s="2118"/>
      <c r="S164" s="2116" t="s">
        <v>555</v>
      </c>
      <c r="T164" s="2117"/>
      <c r="U164" s="2117"/>
      <c r="V164" s="2118"/>
      <c r="W164" s="2116" t="s">
        <v>556</v>
      </c>
      <c r="X164" s="2117"/>
      <c r="Y164" s="2117"/>
      <c r="Z164" s="2118"/>
      <c r="AA164" s="2116" t="s">
        <v>557</v>
      </c>
      <c r="AB164" s="2117"/>
      <c r="AC164" s="2117"/>
      <c r="AD164" s="2118"/>
      <c r="AE164" s="2116" t="s">
        <v>558</v>
      </c>
      <c r="AF164" s="2117"/>
      <c r="AG164" s="2117"/>
      <c r="AH164" s="2118"/>
      <c r="AI164" s="2116" t="s">
        <v>559</v>
      </c>
      <c r="AJ164" s="2117"/>
      <c r="AK164" s="2117"/>
      <c r="AL164" s="2118"/>
      <c r="AM164" s="2116" t="s">
        <v>560</v>
      </c>
      <c r="AN164" s="2117"/>
      <c r="AO164" s="2117"/>
      <c r="AP164" s="2118"/>
      <c r="AQ164" s="2116" t="s">
        <v>561</v>
      </c>
      <c r="AR164" s="2117"/>
      <c r="AS164" s="2117"/>
      <c r="AT164" s="2118"/>
      <c r="AU164" s="2116" t="s">
        <v>562</v>
      </c>
      <c r="AV164" s="2117"/>
      <c r="AW164" s="2117"/>
      <c r="AX164" s="2118"/>
      <c r="AY164" s="2116" t="s">
        <v>563</v>
      </c>
      <c r="AZ164" s="2117"/>
      <c r="BA164" s="2117"/>
      <c r="BB164" s="2118"/>
      <c r="BC164" s="2116" t="s">
        <v>564</v>
      </c>
      <c r="BD164" s="2117"/>
      <c r="BE164" s="2117"/>
      <c r="BF164" s="2118"/>
      <c r="BG164" s="23"/>
      <c r="BH164" s="2223" t="s">
        <v>570</v>
      </c>
      <c r="BI164" s="2224"/>
      <c r="BJ164" s="2224"/>
      <c r="BK164" s="2225"/>
      <c r="BL164" s="466"/>
      <c r="BM164" s="2185" t="s">
        <v>535</v>
      </c>
      <c r="BN164" s="2186"/>
      <c r="BO164" s="2186"/>
      <c r="BP164" s="2186"/>
      <c r="BQ164" s="2186"/>
      <c r="BR164" s="2186"/>
      <c r="BS164" s="2186"/>
      <c r="BT164" s="2187"/>
      <c r="BU164" s="9"/>
      <c r="BV164" s="275"/>
      <c r="BW164" s="275"/>
      <c r="BX164" s="275"/>
      <c r="BY164" s="275"/>
      <c r="BZ164" s="275"/>
    </row>
    <row r="165" spans="2:78" ht="15" customHeight="1" outlineLevel="1" x14ac:dyDescent="0.25">
      <c r="B165" s="8"/>
      <c r="C165" s="648"/>
      <c r="D165" s="648"/>
      <c r="E165" s="648"/>
      <c r="F165" s="648"/>
      <c r="G165" s="648"/>
      <c r="H165" s="648"/>
      <c r="I165" s="648"/>
      <c r="J165" s="23"/>
      <c r="K165" s="646"/>
      <c r="L165" s="99"/>
      <c r="M165" s="99"/>
      <c r="N165" s="99"/>
      <c r="O165" s="646"/>
      <c r="P165" s="99"/>
      <c r="Q165" s="99"/>
      <c r="R165" s="99"/>
      <c r="S165" s="646"/>
      <c r="T165" s="99"/>
      <c r="U165" s="99"/>
      <c r="V165" s="99"/>
      <c r="W165" s="646"/>
      <c r="X165" s="99"/>
      <c r="Y165" s="99"/>
      <c r="Z165" s="99"/>
      <c r="AA165" s="646"/>
      <c r="AB165" s="99"/>
      <c r="AC165" s="99"/>
      <c r="AD165" s="99"/>
      <c r="AE165" s="646"/>
      <c r="AF165" s="99"/>
      <c r="AG165" s="99"/>
      <c r="AH165" s="99"/>
      <c r="AI165" s="646"/>
      <c r="AJ165" s="99"/>
      <c r="AK165" s="99"/>
      <c r="AL165" s="99"/>
      <c r="AM165" s="646"/>
      <c r="AN165" s="99"/>
      <c r="AO165" s="99"/>
      <c r="AP165" s="99"/>
      <c r="AQ165" s="646"/>
      <c r="AR165" s="99"/>
      <c r="AS165" s="99"/>
      <c r="AT165" s="99"/>
      <c r="AU165" s="646"/>
      <c r="AV165" s="99"/>
      <c r="AW165" s="99"/>
      <c r="AX165" s="99"/>
      <c r="AY165" s="646"/>
      <c r="AZ165" s="99"/>
      <c r="BA165" s="99"/>
      <c r="BB165" s="99"/>
      <c r="BC165" s="646"/>
      <c r="BD165" s="99"/>
      <c r="BE165" s="99"/>
      <c r="BF165" s="99"/>
      <c r="BG165" s="23"/>
      <c r="BH165" s="470"/>
      <c r="BI165" s="647"/>
      <c r="BJ165" s="647"/>
      <c r="BK165" s="471"/>
      <c r="BL165" s="466"/>
      <c r="BM165" s="466"/>
      <c r="BN165" s="466"/>
      <c r="BO165" s="466"/>
      <c r="BP165" s="466"/>
      <c r="BQ165" s="466"/>
      <c r="BR165" s="466"/>
      <c r="BS165" s="466"/>
      <c r="BT165" s="466"/>
      <c r="BU165" s="9"/>
      <c r="BV165" s="275"/>
      <c r="BW165" s="275"/>
      <c r="BX165" s="275"/>
      <c r="BY165" s="275"/>
      <c r="BZ165" s="275"/>
    </row>
    <row r="166" spans="2:78" ht="15" customHeight="1" outlineLevel="1" x14ac:dyDescent="0.25">
      <c r="B166" s="8"/>
      <c r="C166" s="2134" t="s">
        <v>571</v>
      </c>
      <c r="D166" s="2134"/>
      <c r="E166" s="2134"/>
      <c r="F166" s="2134"/>
      <c r="G166" s="2134"/>
      <c r="H166" s="2134"/>
      <c r="I166" s="2134"/>
      <c r="J166" s="23"/>
      <c r="K166" s="2139">
        <f>$H$127</f>
        <v>0</v>
      </c>
      <c r="L166" s="2139"/>
      <c r="M166" s="2139"/>
      <c r="N166" s="2139"/>
      <c r="O166" s="2139">
        <f>$H$127</f>
        <v>0</v>
      </c>
      <c r="P166" s="2139"/>
      <c r="Q166" s="2139"/>
      <c r="R166" s="2139"/>
      <c r="S166" s="2139">
        <f>$H$127</f>
        <v>0</v>
      </c>
      <c r="T166" s="2139"/>
      <c r="U166" s="2139"/>
      <c r="V166" s="2139"/>
      <c r="W166" s="2139">
        <f>$H$127</f>
        <v>0</v>
      </c>
      <c r="X166" s="2139"/>
      <c r="Y166" s="2139"/>
      <c r="Z166" s="2139"/>
      <c r="AA166" s="2139">
        <f>$H$127</f>
        <v>0</v>
      </c>
      <c r="AB166" s="2139"/>
      <c r="AC166" s="2139"/>
      <c r="AD166" s="2139"/>
      <c r="AE166" s="2139">
        <f>$H$127</f>
        <v>0</v>
      </c>
      <c r="AF166" s="2139"/>
      <c r="AG166" s="2139"/>
      <c r="AH166" s="2139"/>
      <c r="AI166" s="2139">
        <f>$H$127</f>
        <v>0</v>
      </c>
      <c r="AJ166" s="2139"/>
      <c r="AK166" s="2139"/>
      <c r="AL166" s="2139"/>
      <c r="AM166" s="2139">
        <f>$H$127</f>
        <v>0</v>
      </c>
      <c r="AN166" s="2139"/>
      <c r="AO166" s="2139"/>
      <c r="AP166" s="2139"/>
      <c r="AQ166" s="2139">
        <f>$H$127</f>
        <v>0</v>
      </c>
      <c r="AR166" s="2139"/>
      <c r="AS166" s="2139"/>
      <c r="AT166" s="2139"/>
      <c r="AU166" s="2139">
        <f>$H$127</f>
        <v>0</v>
      </c>
      <c r="AV166" s="2139"/>
      <c r="AW166" s="2139"/>
      <c r="AX166" s="2139"/>
      <c r="AY166" s="2139">
        <f>$H$127</f>
        <v>0</v>
      </c>
      <c r="AZ166" s="2139"/>
      <c r="BA166" s="2139"/>
      <c r="BB166" s="2139"/>
      <c r="BC166" s="2139">
        <f>$H$127</f>
        <v>0</v>
      </c>
      <c r="BD166" s="2139"/>
      <c r="BE166" s="2139"/>
      <c r="BF166" s="2139"/>
      <c r="BG166" s="23"/>
      <c r="BH166" s="2221">
        <f>IFERROR(AVERAGE(K166:BF166),0)</f>
        <v>0</v>
      </c>
      <c r="BI166" s="2139"/>
      <c r="BJ166" s="2139"/>
      <c r="BK166" s="2222"/>
      <c r="BL166" s="466"/>
      <c r="BM166" s="466"/>
      <c r="BN166" s="466"/>
      <c r="BO166" s="466"/>
      <c r="BP166" s="466"/>
      <c r="BQ166" s="466"/>
      <c r="BR166" s="466"/>
      <c r="BS166" s="466"/>
      <c r="BT166" s="466"/>
      <c r="BU166" s="9"/>
      <c r="BV166" s="275"/>
      <c r="BW166" s="275"/>
      <c r="BX166" s="275"/>
      <c r="BY166" s="275"/>
      <c r="BZ166" s="275"/>
    </row>
    <row r="167" spans="2:78" ht="15" customHeight="1" outlineLevel="1" x14ac:dyDescent="0.25">
      <c r="B167" s="8"/>
      <c r="C167" s="2134" t="s">
        <v>1126</v>
      </c>
      <c r="D167" s="2134"/>
      <c r="E167" s="2134"/>
      <c r="F167" s="2134"/>
      <c r="G167" s="2134"/>
      <c r="H167" s="2134"/>
      <c r="I167" s="2134"/>
      <c r="J167" s="23"/>
      <c r="K167" s="2139">
        <f>CHOOSE($BU$167,K169,K166)*(1-$BM$167)</f>
        <v>0</v>
      </c>
      <c r="L167" s="2139"/>
      <c r="M167" s="2139"/>
      <c r="N167" s="2139"/>
      <c r="O167" s="2139">
        <f>CHOOSE($BU$167,O169,O166)*(1-$BM$167)</f>
        <v>0</v>
      </c>
      <c r="P167" s="2139"/>
      <c r="Q167" s="2139"/>
      <c r="R167" s="2139"/>
      <c r="S167" s="2139">
        <f>CHOOSE($BU$167,S169,S166)*(1-$BM$167)</f>
        <v>0</v>
      </c>
      <c r="T167" s="2139"/>
      <c r="U167" s="2139"/>
      <c r="V167" s="2139"/>
      <c r="W167" s="2139">
        <f>CHOOSE($BU$167,W169,W166)*(1-$BM$167)</f>
        <v>0</v>
      </c>
      <c r="X167" s="2139"/>
      <c r="Y167" s="2139"/>
      <c r="Z167" s="2139"/>
      <c r="AA167" s="2139">
        <f>CHOOSE($BU$167,AA169,AA166)*(1-$BM$167)</f>
        <v>0</v>
      </c>
      <c r="AB167" s="2139"/>
      <c r="AC167" s="2139"/>
      <c r="AD167" s="2139"/>
      <c r="AE167" s="2139">
        <f>CHOOSE($BU$167,AE169,AE166)*(1-$BM$167)</f>
        <v>0</v>
      </c>
      <c r="AF167" s="2139"/>
      <c r="AG167" s="2139"/>
      <c r="AH167" s="2139"/>
      <c r="AI167" s="2139">
        <f>CHOOSE($BU$167,AI169,AI166)*(1-$BM$167)</f>
        <v>0</v>
      </c>
      <c r="AJ167" s="2139"/>
      <c r="AK167" s="2139"/>
      <c r="AL167" s="2139"/>
      <c r="AM167" s="2139">
        <f>CHOOSE($BU$167,AM169,AM166)*(1-$BM$167)</f>
        <v>0</v>
      </c>
      <c r="AN167" s="2139"/>
      <c r="AO167" s="2139"/>
      <c r="AP167" s="2139"/>
      <c r="AQ167" s="2139">
        <f>CHOOSE($BU$167,AQ169,AQ166)*(1-$BM$167)</f>
        <v>0</v>
      </c>
      <c r="AR167" s="2139"/>
      <c r="AS167" s="2139"/>
      <c r="AT167" s="2139"/>
      <c r="AU167" s="2139">
        <f>CHOOSE($BU$167,AU169,AU166)*(1-$BM$167)</f>
        <v>0</v>
      </c>
      <c r="AV167" s="2139"/>
      <c r="AW167" s="2139"/>
      <c r="AX167" s="2139"/>
      <c r="AY167" s="2139">
        <f>CHOOSE($BU$167,AY169,AY166)*(1-$BM$167)</f>
        <v>0</v>
      </c>
      <c r="AZ167" s="2139"/>
      <c r="BA167" s="2139"/>
      <c r="BB167" s="2139"/>
      <c r="BC167" s="2139">
        <f>CHOOSE($BU$167,BC169,BC166)*(1-$BM$167)</f>
        <v>0</v>
      </c>
      <c r="BD167" s="2139"/>
      <c r="BE167" s="2139"/>
      <c r="BF167" s="2139"/>
      <c r="BG167" s="23"/>
      <c r="BH167" s="2221">
        <f>IFERROR(AVERAGE(K167:BF167),0)</f>
        <v>0</v>
      </c>
      <c r="BI167" s="2139"/>
      <c r="BJ167" s="2139"/>
      <c r="BK167" s="2222"/>
      <c r="BL167" s="466"/>
      <c r="BM167" s="2188">
        <v>0.1</v>
      </c>
      <c r="BN167" s="2189"/>
      <c r="BO167" s="2189"/>
      <c r="BP167" s="2189"/>
      <c r="BQ167" s="2196" t="s">
        <v>574</v>
      </c>
      <c r="BR167" s="2197"/>
      <c r="BS167" s="2197"/>
      <c r="BT167" s="2198"/>
      <c r="BU167" s="625">
        <f>MATCH(BQ167,HIDE5!$L$25:$L$26,0)</f>
        <v>1</v>
      </c>
      <c r="BV167" s="275"/>
      <c r="BW167" s="275"/>
      <c r="BX167" s="275"/>
      <c r="BY167" s="275"/>
      <c r="BZ167" s="275"/>
    </row>
    <row r="168" spans="2:78" ht="15" customHeight="1" outlineLevel="1" x14ac:dyDescent="0.25">
      <c r="B168" s="8"/>
      <c r="C168" s="2134" t="s">
        <v>572</v>
      </c>
      <c r="D168" s="2134"/>
      <c r="E168" s="2134"/>
      <c r="F168" s="2134"/>
      <c r="G168" s="2134"/>
      <c r="H168" s="2134"/>
      <c r="I168" s="2134"/>
      <c r="J168" s="23"/>
      <c r="K168" s="2139">
        <f>CHOOSE($BU$168,K169,K166)*(1+$BM$168)</f>
        <v>0</v>
      </c>
      <c r="L168" s="2139"/>
      <c r="M168" s="2139"/>
      <c r="N168" s="2139"/>
      <c r="O168" s="2139">
        <f>CHOOSE($BU$168,O169,O166)*(1+$BM$168)</f>
        <v>0</v>
      </c>
      <c r="P168" s="2139"/>
      <c r="Q168" s="2139"/>
      <c r="R168" s="2139"/>
      <c r="S168" s="2139">
        <f>CHOOSE($BU$168,S169,S166)*(1+$BM$168)</f>
        <v>0</v>
      </c>
      <c r="T168" s="2139"/>
      <c r="U168" s="2139"/>
      <c r="V168" s="2139"/>
      <c r="W168" s="2139">
        <f>CHOOSE($BU$168,W169,W166)*(1+$BM$168)</f>
        <v>0</v>
      </c>
      <c r="X168" s="2139"/>
      <c r="Y168" s="2139"/>
      <c r="Z168" s="2139"/>
      <c r="AA168" s="2139">
        <f>CHOOSE($BU$168,AA169,AA166)*(1+$BM$168)</f>
        <v>0</v>
      </c>
      <c r="AB168" s="2139"/>
      <c r="AC168" s="2139"/>
      <c r="AD168" s="2139"/>
      <c r="AE168" s="2139">
        <f>CHOOSE($BU$168,AE169,AE166)*(1+$BM$168)</f>
        <v>0</v>
      </c>
      <c r="AF168" s="2139"/>
      <c r="AG168" s="2139"/>
      <c r="AH168" s="2139"/>
      <c r="AI168" s="2139">
        <f>CHOOSE($BU$168,AI169,AI166)*(1+$BM$168)</f>
        <v>0</v>
      </c>
      <c r="AJ168" s="2139"/>
      <c r="AK168" s="2139"/>
      <c r="AL168" s="2139"/>
      <c r="AM168" s="2139">
        <f>CHOOSE($BU$168,AM169,AM166)*(1+$BM$168)</f>
        <v>0</v>
      </c>
      <c r="AN168" s="2139"/>
      <c r="AO168" s="2139"/>
      <c r="AP168" s="2139"/>
      <c r="AQ168" s="2139">
        <f>CHOOSE($BU$168,AQ169,AQ166)*(1+$BM$168)</f>
        <v>0</v>
      </c>
      <c r="AR168" s="2139"/>
      <c r="AS168" s="2139"/>
      <c r="AT168" s="2139"/>
      <c r="AU168" s="2139">
        <f>CHOOSE($BU$168,AU169,AU166)*(1+$BM$168)</f>
        <v>0</v>
      </c>
      <c r="AV168" s="2139"/>
      <c r="AW168" s="2139"/>
      <c r="AX168" s="2139"/>
      <c r="AY168" s="2139">
        <f>CHOOSE($BU$168,AY169,AY166)*(1+$BM$168)</f>
        <v>0</v>
      </c>
      <c r="AZ168" s="2139"/>
      <c r="BA168" s="2139"/>
      <c r="BB168" s="2139"/>
      <c r="BC168" s="2139">
        <f>CHOOSE($BU$168,BC169,BC166)*(1+$BM$168)</f>
        <v>0</v>
      </c>
      <c r="BD168" s="2139"/>
      <c r="BE168" s="2139"/>
      <c r="BF168" s="2139"/>
      <c r="BG168" s="23"/>
      <c r="BH168" s="2221">
        <f>IFERROR(AVERAGE(K168:BF168),0)</f>
        <v>0</v>
      </c>
      <c r="BI168" s="2139"/>
      <c r="BJ168" s="2139"/>
      <c r="BK168" s="2222"/>
      <c r="BL168" s="466"/>
      <c r="BM168" s="2188">
        <v>0.1</v>
      </c>
      <c r="BN168" s="2189"/>
      <c r="BO168" s="2189"/>
      <c r="BP168" s="2190"/>
      <c r="BQ168" s="2196" t="s">
        <v>590</v>
      </c>
      <c r="BR168" s="2197"/>
      <c r="BS168" s="2197"/>
      <c r="BT168" s="2198"/>
      <c r="BU168" s="625">
        <f>MATCH(BQ168,HIDE5!$L$28:$L$29,0)</f>
        <v>1</v>
      </c>
      <c r="BV168" s="275"/>
      <c r="BW168" s="275"/>
      <c r="BX168" s="275"/>
      <c r="BY168" s="275"/>
      <c r="BZ168" s="275"/>
    </row>
    <row r="169" spans="2:78" ht="15" customHeight="1" outlineLevel="1" x14ac:dyDescent="0.25">
      <c r="B169" s="8"/>
      <c r="C169" s="2134" t="s">
        <v>573</v>
      </c>
      <c r="D169" s="2134"/>
      <c r="E169" s="2134"/>
      <c r="F169" s="2134"/>
      <c r="G169" s="2134"/>
      <c r="H169" s="2134"/>
      <c r="I169" s="2134"/>
      <c r="J169" s="23"/>
      <c r="K169" s="2184">
        <f>K166</f>
        <v>0</v>
      </c>
      <c r="L169" s="2184"/>
      <c r="M169" s="2184"/>
      <c r="N169" s="2184"/>
      <c r="O169" s="2184">
        <f>O166</f>
        <v>0</v>
      </c>
      <c r="P169" s="2184"/>
      <c r="Q169" s="2184"/>
      <c r="R169" s="2184"/>
      <c r="S169" s="2184">
        <f>S166</f>
        <v>0</v>
      </c>
      <c r="T169" s="2184"/>
      <c r="U169" s="2184"/>
      <c r="V169" s="2184"/>
      <c r="W169" s="2184">
        <f>W166</f>
        <v>0</v>
      </c>
      <c r="X169" s="2184"/>
      <c r="Y169" s="2184"/>
      <c r="Z169" s="2184"/>
      <c r="AA169" s="2184">
        <f>AA166</f>
        <v>0</v>
      </c>
      <c r="AB169" s="2184"/>
      <c r="AC169" s="2184"/>
      <c r="AD169" s="2184"/>
      <c r="AE169" s="2184">
        <f>AE166</f>
        <v>0</v>
      </c>
      <c r="AF169" s="2184"/>
      <c r="AG169" s="2184"/>
      <c r="AH169" s="2184"/>
      <c r="AI169" s="2184">
        <f>AI166</f>
        <v>0</v>
      </c>
      <c r="AJ169" s="2184"/>
      <c r="AK169" s="2184"/>
      <c r="AL169" s="2184"/>
      <c r="AM169" s="2184">
        <f>AM166</f>
        <v>0</v>
      </c>
      <c r="AN169" s="2184"/>
      <c r="AO169" s="2184"/>
      <c r="AP169" s="2184"/>
      <c r="AQ169" s="2184">
        <f>AQ166</f>
        <v>0</v>
      </c>
      <c r="AR169" s="2184"/>
      <c r="AS169" s="2184"/>
      <c r="AT169" s="2184"/>
      <c r="AU169" s="2184">
        <f>AU166</f>
        <v>0</v>
      </c>
      <c r="AV169" s="2184"/>
      <c r="AW169" s="2184"/>
      <c r="AX169" s="2184"/>
      <c r="AY169" s="2184">
        <f>AY166</f>
        <v>0</v>
      </c>
      <c r="AZ169" s="2184"/>
      <c r="BA169" s="2184"/>
      <c r="BB169" s="2184"/>
      <c r="BC169" s="2184">
        <f>BC166</f>
        <v>0</v>
      </c>
      <c r="BD169" s="2184"/>
      <c r="BE169" s="2184"/>
      <c r="BF169" s="2184"/>
      <c r="BG169" s="23"/>
      <c r="BH169" s="2221">
        <f>IFERROR(AVERAGE(K169:BF169),0)</f>
        <v>0</v>
      </c>
      <c r="BI169" s="2139"/>
      <c r="BJ169" s="2139"/>
      <c r="BK169" s="2222"/>
      <c r="BL169" s="466"/>
      <c r="BM169" s="466"/>
      <c r="BN169" s="466"/>
      <c r="BO169" s="466"/>
      <c r="BP169" s="466"/>
      <c r="BQ169" s="466"/>
      <c r="BR169" s="466"/>
      <c r="BS169" s="466"/>
      <c r="BT169" s="466"/>
      <c r="BU169" s="625"/>
      <c r="BV169" s="275"/>
      <c r="BW169" s="275"/>
      <c r="BX169" s="275"/>
      <c r="BY169" s="275"/>
      <c r="BZ169" s="275"/>
    </row>
    <row r="170" spans="2:78" ht="15" customHeight="1" outlineLevel="1" x14ac:dyDescent="0.25">
      <c r="B170" s="8"/>
      <c r="C170" s="468" t="s">
        <v>552</v>
      </c>
      <c r="D170" s="469"/>
      <c r="E170" s="469"/>
      <c r="F170" s="469"/>
      <c r="G170" s="469"/>
      <c r="H170" s="469"/>
      <c r="I170" s="469"/>
      <c r="J170" s="441"/>
      <c r="K170" s="2127">
        <f>CHOOSE($T$118,K166,K167,K168,K169)</f>
        <v>0</v>
      </c>
      <c r="L170" s="2127"/>
      <c r="M170" s="2127"/>
      <c r="N170" s="2127"/>
      <c r="O170" s="2127">
        <f>CHOOSE($T$118,O166,O167,O168,O169)</f>
        <v>0</v>
      </c>
      <c r="P170" s="2127"/>
      <c r="Q170" s="2127"/>
      <c r="R170" s="2127"/>
      <c r="S170" s="2127">
        <f>CHOOSE($T$118,S166,S167,S168,S169)</f>
        <v>0</v>
      </c>
      <c r="T170" s="2127"/>
      <c r="U170" s="2127"/>
      <c r="V170" s="2127"/>
      <c r="W170" s="2127">
        <f>CHOOSE($T$118,W166,W167,W168,W169)</f>
        <v>0</v>
      </c>
      <c r="X170" s="2127"/>
      <c r="Y170" s="2127"/>
      <c r="Z170" s="2127"/>
      <c r="AA170" s="2127">
        <f>CHOOSE($T$118,AA166,AA167,AA168,AA169)</f>
        <v>0</v>
      </c>
      <c r="AB170" s="2127"/>
      <c r="AC170" s="2127"/>
      <c r="AD170" s="2127"/>
      <c r="AE170" s="2127">
        <f>CHOOSE($T$118,AE166,AE167,AE168,AE169)</f>
        <v>0</v>
      </c>
      <c r="AF170" s="2127"/>
      <c r="AG170" s="2127"/>
      <c r="AH170" s="2127"/>
      <c r="AI170" s="2127">
        <f>CHOOSE($T$118,AI166,AI167,AI168,AI169)</f>
        <v>0</v>
      </c>
      <c r="AJ170" s="2127"/>
      <c r="AK170" s="2127"/>
      <c r="AL170" s="2127"/>
      <c r="AM170" s="2127">
        <f>CHOOSE($T$118,AM166,AM167,AM168,AM169)</f>
        <v>0</v>
      </c>
      <c r="AN170" s="2127"/>
      <c r="AO170" s="2127"/>
      <c r="AP170" s="2127"/>
      <c r="AQ170" s="2127">
        <f>CHOOSE($T$118,AQ166,AQ167,AQ168,AQ169)</f>
        <v>0</v>
      </c>
      <c r="AR170" s="2127"/>
      <c r="AS170" s="2127"/>
      <c r="AT170" s="2127"/>
      <c r="AU170" s="2127">
        <f>CHOOSE($T$118,AU166,AU167,AU168,AU169)</f>
        <v>0</v>
      </c>
      <c r="AV170" s="2127"/>
      <c r="AW170" s="2127"/>
      <c r="AX170" s="2127"/>
      <c r="AY170" s="2127">
        <f>CHOOSE($T$118,AY166,AY167,AY168,AY169)</f>
        <v>0</v>
      </c>
      <c r="AZ170" s="2127"/>
      <c r="BA170" s="2127"/>
      <c r="BB170" s="2127"/>
      <c r="BC170" s="2127">
        <f>CHOOSE($T$118,BC166,BC167,BC168,BC169)</f>
        <v>0</v>
      </c>
      <c r="BD170" s="2127"/>
      <c r="BE170" s="2127"/>
      <c r="BF170" s="2127"/>
      <c r="BG170" s="655"/>
      <c r="BH170" s="2173">
        <f>CHOOSE($T$118,BH166,BH167,BH168,BH169)</f>
        <v>0</v>
      </c>
      <c r="BI170" s="2174"/>
      <c r="BJ170" s="2174"/>
      <c r="BK170" s="2175"/>
      <c r="BL170" s="466"/>
      <c r="BM170" s="466"/>
      <c r="BN170" s="466"/>
      <c r="BO170" s="466"/>
      <c r="BP170" s="466"/>
      <c r="BQ170" s="466"/>
      <c r="BR170" s="466"/>
      <c r="BS170" s="466"/>
      <c r="BT170" s="466"/>
      <c r="BU170" s="625"/>
      <c r="BV170" s="275"/>
      <c r="BW170" s="275"/>
      <c r="BX170" s="275"/>
      <c r="BY170" s="275"/>
      <c r="BZ170" s="275"/>
    </row>
    <row r="171" spans="2:78" ht="15" customHeight="1" outlineLevel="1" x14ac:dyDescent="0.25">
      <c r="B171" s="8"/>
      <c r="C171" s="98"/>
      <c r="D171" s="648"/>
      <c r="E171" s="648"/>
      <c r="F171" s="648"/>
      <c r="G171" s="648"/>
      <c r="H171" s="648"/>
      <c r="I171" s="648"/>
      <c r="J171" s="23"/>
      <c r="K171" s="646"/>
      <c r="L171" s="99"/>
      <c r="M171" s="99"/>
      <c r="N171" s="99"/>
      <c r="O171" s="646"/>
      <c r="P171" s="99"/>
      <c r="Q171" s="99"/>
      <c r="R171" s="99"/>
      <c r="S171" s="646"/>
      <c r="T171" s="99"/>
      <c r="U171" s="99"/>
      <c r="V171" s="99"/>
      <c r="W171" s="646"/>
      <c r="X171" s="99"/>
      <c r="Y171" s="99"/>
      <c r="Z171" s="99"/>
      <c r="AA171" s="646"/>
      <c r="AB171" s="99"/>
      <c r="AC171" s="99"/>
      <c r="AD171" s="99"/>
      <c r="AE171" s="646"/>
      <c r="AF171" s="99"/>
      <c r="AG171" s="99"/>
      <c r="AH171" s="99"/>
      <c r="AI171" s="646"/>
      <c r="AJ171" s="99"/>
      <c r="AK171" s="99"/>
      <c r="AL171" s="99"/>
      <c r="AM171" s="646"/>
      <c r="AN171" s="99"/>
      <c r="AO171" s="99"/>
      <c r="AP171" s="99"/>
      <c r="AQ171" s="646"/>
      <c r="AR171" s="99"/>
      <c r="AS171" s="99"/>
      <c r="AT171" s="99"/>
      <c r="AU171" s="646"/>
      <c r="AV171" s="99"/>
      <c r="AW171" s="99"/>
      <c r="AX171" s="99"/>
      <c r="AY171" s="646"/>
      <c r="AZ171" s="99"/>
      <c r="BA171" s="99"/>
      <c r="BB171" s="99"/>
      <c r="BC171" s="646"/>
      <c r="BD171" s="99"/>
      <c r="BE171" s="99"/>
      <c r="BF171" s="99"/>
      <c r="BG171" s="23"/>
      <c r="BH171" s="647"/>
      <c r="BI171" s="647"/>
      <c r="BJ171" s="647"/>
      <c r="BK171" s="647"/>
      <c r="BL171" s="466"/>
      <c r="BM171" s="466"/>
      <c r="BN171" s="466"/>
      <c r="BO171" s="466"/>
      <c r="BP171" s="466"/>
      <c r="BQ171" s="466"/>
      <c r="BR171" s="466"/>
      <c r="BS171" s="466"/>
      <c r="BT171" s="466"/>
      <c r="BU171" s="625"/>
      <c r="BV171" s="275"/>
      <c r="BW171" s="275"/>
      <c r="BX171" s="275"/>
      <c r="BY171" s="275"/>
      <c r="BZ171" s="275"/>
    </row>
    <row r="172" spans="2:78" ht="15" customHeight="1" outlineLevel="1" x14ac:dyDescent="0.25">
      <c r="B172" s="8"/>
      <c r="C172" s="2239" t="s">
        <v>544</v>
      </c>
      <c r="D172" s="2240"/>
      <c r="E172" s="2240"/>
      <c r="F172" s="2240"/>
      <c r="G172" s="2240"/>
      <c r="H172" s="2240"/>
      <c r="I172" s="2241"/>
      <c r="J172" s="23"/>
      <c r="K172" s="2116" t="s">
        <v>553</v>
      </c>
      <c r="L172" s="2117"/>
      <c r="M172" s="2117"/>
      <c r="N172" s="2118"/>
      <c r="O172" s="2116" t="s">
        <v>554</v>
      </c>
      <c r="P172" s="2117"/>
      <c r="Q172" s="2117"/>
      <c r="R172" s="2118"/>
      <c r="S172" s="2116" t="s">
        <v>555</v>
      </c>
      <c r="T172" s="2117"/>
      <c r="U172" s="2117"/>
      <c r="V172" s="2118"/>
      <c r="W172" s="2116" t="s">
        <v>556</v>
      </c>
      <c r="X172" s="2117"/>
      <c r="Y172" s="2117"/>
      <c r="Z172" s="2118"/>
      <c r="AA172" s="2116" t="s">
        <v>557</v>
      </c>
      <c r="AB172" s="2117"/>
      <c r="AC172" s="2117"/>
      <c r="AD172" s="2118"/>
      <c r="AE172" s="2116" t="s">
        <v>558</v>
      </c>
      <c r="AF172" s="2117"/>
      <c r="AG172" s="2117"/>
      <c r="AH172" s="2118"/>
      <c r="AI172" s="2116" t="s">
        <v>559</v>
      </c>
      <c r="AJ172" s="2117"/>
      <c r="AK172" s="2117"/>
      <c r="AL172" s="2118"/>
      <c r="AM172" s="2116" t="s">
        <v>560</v>
      </c>
      <c r="AN172" s="2117"/>
      <c r="AO172" s="2117"/>
      <c r="AP172" s="2118"/>
      <c r="AQ172" s="2116" t="s">
        <v>561</v>
      </c>
      <c r="AR172" s="2117"/>
      <c r="AS172" s="2117"/>
      <c r="AT172" s="2118"/>
      <c r="AU172" s="2116" t="s">
        <v>562</v>
      </c>
      <c r="AV172" s="2117"/>
      <c r="AW172" s="2117"/>
      <c r="AX172" s="2118"/>
      <c r="AY172" s="2116" t="s">
        <v>563</v>
      </c>
      <c r="AZ172" s="2117"/>
      <c r="BA172" s="2117"/>
      <c r="BB172" s="2118"/>
      <c r="BC172" s="2116" t="s">
        <v>564</v>
      </c>
      <c r="BD172" s="2117"/>
      <c r="BE172" s="2117"/>
      <c r="BF172" s="2118"/>
      <c r="BG172" s="23"/>
      <c r="BH172" s="2223" t="s">
        <v>570</v>
      </c>
      <c r="BI172" s="2224"/>
      <c r="BJ172" s="2224"/>
      <c r="BK172" s="2225"/>
      <c r="BL172" s="466"/>
      <c r="BM172" s="2185" t="s">
        <v>535</v>
      </c>
      <c r="BN172" s="2186"/>
      <c r="BO172" s="2186"/>
      <c r="BP172" s="2186"/>
      <c r="BQ172" s="2186"/>
      <c r="BR172" s="2186"/>
      <c r="BS172" s="2186"/>
      <c r="BT172" s="2187"/>
      <c r="BU172" s="625"/>
      <c r="BV172" s="275"/>
      <c r="BW172" s="275"/>
      <c r="BX172" s="275"/>
      <c r="BY172" s="275"/>
      <c r="BZ172" s="275"/>
    </row>
    <row r="173" spans="2:78" ht="15" customHeight="1" outlineLevel="1" x14ac:dyDescent="0.25">
      <c r="B173" s="8"/>
      <c r="C173" s="648"/>
      <c r="D173" s="648"/>
      <c r="E173" s="648"/>
      <c r="F173" s="648"/>
      <c r="G173" s="648"/>
      <c r="H173" s="648"/>
      <c r="I173" s="648"/>
      <c r="J173" s="23"/>
      <c r="K173" s="646"/>
      <c r="L173" s="99"/>
      <c r="M173" s="99"/>
      <c r="N173" s="99"/>
      <c r="O173" s="646"/>
      <c r="P173" s="99"/>
      <c r="Q173" s="99"/>
      <c r="R173" s="99"/>
      <c r="S173" s="646"/>
      <c r="T173" s="99"/>
      <c r="U173" s="99"/>
      <c r="V173" s="99"/>
      <c r="W173" s="646"/>
      <c r="X173" s="99"/>
      <c r="Y173" s="99"/>
      <c r="Z173" s="99"/>
      <c r="AA173" s="646"/>
      <c r="AB173" s="99"/>
      <c r="AC173" s="99"/>
      <c r="AD173" s="99"/>
      <c r="AE173" s="646"/>
      <c r="AF173" s="99"/>
      <c r="AG173" s="99"/>
      <c r="AH173" s="99"/>
      <c r="AI173" s="646"/>
      <c r="AJ173" s="99"/>
      <c r="AK173" s="99"/>
      <c r="AL173" s="99"/>
      <c r="AM173" s="646"/>
      <c r="AN173" s="99"/>
      <c r="AO173" s="99"/>
      <c r="AP173" s="99"/>
      <c r="AQ173" s="646"/>
      <c r="AR173" s="99"/>
      <c r="AS173" s="99"/>
      <c r="AT173" s="99"/>
      <c r="AU173" s="646"/>
      <c r="AV173" s="99"/>
      <c r="AW173" s="99"/>
      <c r="AX173" s="99"/>
      <c r="AY173" s="646"/>
      <c r="AZ173" s="99"/>
      <c r="BA173" s="99"/>
      <c r="BB173" s="99"/>
      <c r="BC173" s="646"/>
      <c r="BD173" s="99"/>
      <c r="BE173" s="99"/>
      <c r="BF173" s="99"/>
      <c r="BG173" s="23"/>
      <c r="BH173" s="470"/>
      <c r="BI173" s="647"/>
      <c r="BJ173" s="647"/>
      <c r="BK173" s="471"/>
      <c r="BL173" s="466"/>
      <c r="BM173" s="466"/>
      <c r="BN173" s="466"/>
      <c r="BO173" s="466"/>
      <c r="BP173" s="466"/>
      <c r="BQ173" s="466"/>
      <c r="BR173" s="466"/>
      <c r="BS173" s="466"/>
      <c r="BT173" s="466"/>
      <c r="BU173" s="625"/>
      <c r="BV173" s="275"/>
      <c r="BW173" s="275"/>
      <c r="BX173" s="275"/>
      <c r="BY173" s="275"/>
      <c r="BZ173" s="275"/>
    </row>
    <row r="174" spans="2:78" ht="15" customHeight="1" outlineLevel="1" x14ac:dyDescent="0.25">
      <c r="B174" s="8"/>
      <c r="C174" s="2134" t="str">
        <f>C166</f>
        <v>Flat Case</v>
      </c>
      <c r="D174" s="2134"/>
      <c r="E174" s="2134"/>
      <c r="F174" s="2134"/>
      <c r="G174" s="2134"/>
      <c r="H174" s="2134"/>
      <c r="I174" s="2134"/>
      <c r="J174" s="23"/>
      <c r="K174" s="2135">
        <f>$M$127</f>
        <v>0</v>
      </c>
      <c r="L174" s="2135"/>
      <c r="M174" s="2135"/>
      <c r="N174" s="2135"/>
      <c r="O174" s="2135">
        <f>$M$127</f>
        <v>0</v>
      </c>
      <c r="P174" s="2135"/>
      <c r="Q174" s="2135"/>
      <c r="R174" s="2135"/>
      <c r="S174" s="2135">
        <f>$M$127</f>
        <v>0</v>
      </c>
      <c r="T174" s="2135"/>
      <c r="U174" s="2135"/>
      <c r="V174" s="2135"/>
      <c r="W174" s="2135">
        <f>$M$127</f>
        <v>0</v>
      </c>
      <c r="X174" s="2135"/>
      <c r="Y174" s="2135"/>
      <c r="Z174" s="2135"/>
      <c r="AA174" s="2135">
        <f>$M$127</f>
        <v>0</v>
      </c>
      <c r="AB174" s="2135"/>
      <c r="AC174" s="2135"/>
      <c r="AD174" s="2135"/>
      <c r="AE174" s="2135">
        <f>$M$127</f>
        <v>0</v>
      </c>
      <c r="AF174" s="2135"/>
      <c r="AG174" s="2135"/>
      <c r="AH174" s="2135"/>
      <c r="AI174" s="2135">
        <f>$M$127</f>
        <v>0</v>
      </c>
      <c r="AJ174" s="2135"/>
      <c r="AK174" s="2135"/>
      <c r="AL174" s="2135"/>
      <c r="AM174" s="2135">
        <f>$M$127</f>
        <v>0</v>
      </c>
      <c r="AN174" s="2135"/>
      <c r="AO174" s="2135"/>
      <c r="AP174" s="2135"/>
      <c r="AQ174" s="2135">
        <f>$M$127</f>
        <v>0</v>
      </c>
      <c r="AR174" s="2135"/>
      <c r="AS174" s="2135"/>
      <c r="AT174" s="2135"/>
      <c r="AU174" s="2135">
        <f>$M$127</f>
        <v>0</v>
      </c>
      <c r="AV174" s="2135"/>
      <c r="AW174" s="2135"/>
      <c r="AX174" s="2135"/>
      <c r="AY174" s="2135">
        <f>$M$127</f>
        <v>0</v>
      </c>
      <c r="AZ174" s="2135"/>
      <c r="BA174" s="2135"/>
      <c r="BB174" s="2135"/>
      <c r="BC174" s="2135">
        <f>$M$127</f>
        <v>0</v>
      </c>
      <c r="BD174" s="2135"/>
      <c r="BE174" s="2135"/>
      <c r="BF174" s="2135"/>
      <c r="BG174" s="656"/>
      <c r="BH174" s="2191">
        <f>IFERROR(AVERAGE(K174:BF174),0)</f>
        <v>0</v>
      </c>
      <c r="BI174" s="2135"/>
      <c r="BJ174" s="2135"/>
      <c r="BK174" s="2192"/>
      <c r="BL174" s="466"/>
      <c r="BM174" s="466"/>
      <c r="BN174" s="466"/>
      <c r="BO174" s="466"/>
      <c r="BP174" s="466"/>
      <c r="BQ174" s="466"/>
      <c r="BR174" s="466"/>
      <c r="BS174" s="466"/>
      <c r="BT174" s="466"/>
      <c r="BU174" s="625"/>
      <c r="BV174" s="275"/>
      <c r="BW174" s="275"/>
      <c r="BX174" s="275"/>
      <c r="BY174" s="275"/>
      <c r="BZ174" s="275"/>
    </row>
    <row r="175" spans="2:78" ht="15" customHeight="1" outlineLevel="1" x14ac:dyDescent="0.25">
      <c r="B175" s="8"/>
      <c r="C175" s="2134" t="str">
        <f>C167</f>
        <v>Downside Case</v>
      </c>
      <c r="D175" s="2134"/>
      <c r="E175" s="2134"/>
      <c r="F175" s="2134"/>
      <c r="G175" s="2134"/>
      <c r="H175" s="2134"/>
      <c r="I175" s="2134"/>
      <c r="J175" s="23"/>
      <c r="K175" s="2135">
        <f>CHOOSE($BU$175,K177,K174)-$BM$175</f>
        <v>-0.05</v>
      </c>
      <c r="L175" s="2135"/>
      <c r="M175" s="2135"/>
      <c r="N175" s="2135"/>
      <c r="O175" s="2135">
        <f>CHOOSE($BU$175,O177,O174)-$BM$175</f>
        <v>-0.05</v>
      </c>
      <c r="P175" s="2135"/>
      <c r="Q175" s="2135"/>
      <c r="R175" s="2135"/>
      <c r="S175" s="2135">
        <f>CHOOSE($BU$175,S177,S174)-$BM$175</f>
        <v>-0.05</v>
      </c>
      <c r="T175" s="2135"/>
      <c r="U175" s="2135"/>
      <c r="V175" s="2135"/>
      <c r="W175" s="2135">
        <f>CHOOSE($BU$175,W177,W174)-$BM$175</f>
        <v>-0.05</v>
      </c>
      <c r="X175" s="2135"/>
      <c r="Y175" s="2135"/>
      <c r="Z175" s="2135"/>
      <c r="AA175" s="2135">
        <f>CHOOSE($BU$175,AA177,AA174)-$BM$175</f>
        <v>-0.05</v>
      </c>
      <c r="AB175" s="2135"/>
      <c r="AC175" s="2135"/>
      <c r="AD175" s="2135"/>
      <c r="AE175" s="2135">
        <f>CHOOSE($BU$175,AE177,AE174)-$BM$175</f>
        <v>-0.05</v>
      </c>
      <c r="AF175" s="2135"/>
      <c r="AG175" s="2135"/>
      <c r="AH175" s="2135"/>
      <c r="AI175" s="2135">
        <f>CHOOSE($BU$175,AI177,AI174)-$BM$175</f>
        <v>-0.05</v>
      </c>
      <c r="AJ175" s="2135"/>
      <c r="AK175" s="2135"/>
      <c r="AL175" s="2135"/>
      <c r="AM175" s="2135">
        <f>CHOOSE($BU$175,AM177,AM174)-$BM$175</f>
        <v>-0.05</v>
      </c>
      <c r="AN175" s="2135"/>
      <c r="AO175" s="2135"/>
      <c r="AP175" s="2135"/>
      <c r="AQ175" s="2135">
        <f>CHOOSE($BU$175,AQ177,AQ174)-$BM$175</f>
        <v>-0.05</v>
      </c>
      <c r="AR175" s="2135"/>
      <c r="AS175" s="2135"/>
      <c r="AT175" s="2135"/>
      <c r="AU175" s="2135">
        <f>CHOOSE($BU$175,AU177,AU174)-$BM$175</f>
        <v>-0.05</v>
      </c>
      <c r="AV175" s="2135"/>
      <c r="AW175" s="2135"/>
      <c r="AX175" s="2135"/>
      <c r="AY175" s="2135">
        <f>CHOOSE($BU$175,AY177,AY174)-$BM$175</f>
        <v>-0.05</v>
      </c>
      <c r="AZ175" s="2135"/>
      <c r="BA175" s="2135"/>
      <c r="BB175" s="2135"/>
      <c r="BC175" s="2135">
        <f>CHOOSE($BU$175,BC177,BC174)-$BM$175</f>
        <v>-0.05</v>
      </c>
      <c r="BD175" s="2135"/>
      <c r="BE175" s="2135"/>
      <c r="BF175" s="2135"/>
      <c r="BG175" s="656"/>
      <c r="BH175" s="2191">
        <f>IFERROR(AVERAGE(K175:BF175),0)</f>
        <v>-4.9999999999999996E-2</v>
      </c>
      <c r="BI175" s="2135"/>
      <c r="BJ175" s="2135"/>
      <c r="BK175" s="2192"/>
      <c r="BL175" s="466"/>
      <c r="BM175" s="2188">
        <v>0.05</v>
      </c>
      <c r="BN175" s="2189"/>
      <c r="BO175" s="2189"/>
      <c r="BP175" s="2190"/>
      <c r="BQ175" s="2196" t="s">
        <v>574</v>
      </c>
      <c r="BR175" s="2197"/>
      <c r="BS175" s="2197"/>
      <c r="BT175" s="2198"/>
      <c r="BU175" s="625">
        <f>MATCH(BQ175,HIDE5!$L$25:$L$26,0)</f>
        <v>1</v>
      </c>
      <c r="BV175" s="275"/>
      <c r="BW175" s="275"/>
      <c r="BX175" s="275"/>
      <c r="BY175" s="275"/>
      <c r="BZ175" s="275"/>
    </row>
    <row r="176" spans="2:78" ht="15" customHeight="1" outlineLevel="1" x14ac:dyDescent="0.25">
      <c r="B176" s="8"/>
      <c r="C176" s="2134" t="str">
        <f>C168</f>
        <v>Upside Case</v>
      </c>
      <c r="D176" s="2134"/>
      <c r="E176" s="2134"/>
      <c r="F176" s="2134"/>
      <c r="G176" s="2134"/>
      <c r="H176" s="2134"/>
      <c r="I176" s="2134"/>
      <c r="J176" s="23"/>
      <c r="K176" s="2135">
        <f>CHOOSE($BU$176,K177,K174)+$BM$176</f>
        <v>0.05</v>
      </c>
      <c r="L176" s="2135"/>
      <c r="M176" s="2135"/>
      <c r="N176" s="2135"/>
      <c r="O176" s="2135">
        <f>CHOOSE($BU$176,O177,O174)+$BM$176</f>
        <v>0.05</v>
      </c>
      <c r="P176" s="2135"/>
      <c r="Q176" s="2135"/>
      <c r="R176" s="2135"/>
      <c r="S176" s="2135">
        <f>CHOOSE($BU$176,S177,S174)+$BM$176</f>
        <v>0.05</v>
      </c>
      <c r="T176" s="2135"/>
      <c r="U176" s="2135"/>
      <c r="V176" s="2135"/>
      <c r="W176" s="2135">
        <f>CHOOSE($BU$176,W177,W174)+$BM$176</f>
        <v>0.05</v>
      </c>
      <c r="X176" s="2135"/>
      <c r="Y176" s="2135"/>
      <c r="Z176" s="2135"/>
      <c r="AA176" s="2135">
        <f>CHOOSE($BU$176,AA177,AA174)+$BM$176</f>
        <v>0.05</v>
      </c>
      <c r="AB176" s="2135"/>
      <c r="AC176" s="2135"/>
      <c r="AD176" s="2135"/>
      <c r="AE176" s="2135">
        <f>CHOOSE($BU$176,AE177,AE174)+$BM$176</f>
        <v>0.05</v>
      </c>
      <c r="AF176" s="2135"/>
      <c r="AG176" s="2135"/>
      <c r="AH176" s="2135"/>
      <c r="AI176" s="2135">
        <f>CHOOSE($BU$176,AI177,AI174)+$BM$176</f>
        <v>0.05</v>
      </c>
      <c r="AJ176" s="2135"/>
      <c r="AK176" s="2135"/>
      <c r="AL176" s="2135"/>
      <c r="AM176" s="2135">
        <f>CHOOSE($BU$176,AM177,AM174)+$BM$176</f>
        <v>0.05</v>
      </c>
      <c r="AN176" s="2135"/>
      <c r="AO176" s="2135"/>
      <c r="AP176" s="2135"/>
      <c r="AQ176" s="2135">
        <f>CHOOSE($BU$176,AQ177,AQ174)+$BM$176</f>
        <v>0.05</v>
      </c>
      <c r="AR176" s="2135"/>
      <c r="AS176" s="2135"/>
      <c r="AT176" s="2135"/>
      <c r="AU176" s="2135">
        <f>CHOOSE($BU$176,AU177,AU174)+$BM$176</f>
        <v>0.05</v>
      </c>
      <c r="AV176" s="2135"/>
      <c r="AW176" s="2135"/>
      <c r="AX176" s="2135"/>
      <c r="AY176" s="2135">
        <f>CHOOSE($BU$176,AY177,AY174)+$BM$176</f>
        <v>0.05</v>
      </c>
      <c r="AZ176" s="2135"/>
      <c r="BA176" s="2135"/>
      <c r="BB176" s="2135"/>
      <c r="BC176" s="2135">
        <f>CHOOSE($BU$176,BC177,BC174)+$BM$176</f>
        <v>0.05</v>
      </c>
      <c r="BD176" s="2135"/>
      <c r="BE176" s="2135"/>
      <c r="BF176" s="2135"/>
      <c r="BG176" s="656"/>
      <c r="BH176" s="2191">
        <f>IFERROR(AVERAGE(K176:BF176),0)</f>
        <v>4.9999999999999996E-2</v>
      </c>
      <c r="BI176" s="2135"/>
      <c r="BJ176" s="2135"/>
      <c r="BK176" s="2192"/>
      <c r="BL176" s="466"/>
      <c r="BM176" s="2188">
        <v>0.05</v>
      </c>
      <c r="BN176" s="2189"/>
      <c r="BO176" s="2189"/>
      <c r="BP176" s="2190"/>
      <c r="BQ176" s="2196" t="s">
        <v>590</v>
      </c>
      <c r="BR176" s="2197"/>
      <c r="BS176" s="2197"/>
      <c r="BT176" s="2198"/>
      <c r="BU176" s="625">
        <f>MATCH(BQ176,HIDE5!$L$28:$L$29,0)</f>
        <v>1</v>
      </c>
      <c r="BV176" s="275"/>
      <c r="BW176" s="275"/>
      <c r="BX176" s="275"/>
      <c r="BY176" s="275"/>
      <c r="BZ176" s="275"/>
    </row>
    <row r="177" spans="2:78" ht="15" customHeight="1" x14ac:dyDescent="0.25">
      <c r="B177" s="8"/>
      <c r="C177" s="2134" t="str">
        <f>C169</f>
        <v>Custom Case</v>
      </c>
      <c r="D177" s="2134"/>
      <c r="E177" s="2134"/>
      <c r="F177" s="2134"/>
      <c r="G177" s="2134"/>
      <c r="H177" s="2134"/>
      <c r="I177" s="2134"/>
      <c r="J177" s="23"/>
      <c r="K177" s="2183">
        <f>K174</f>
        <v>0</v>
      </c>
      <c r="L177" s="2183"/>
      <c r="M177" s="2183"/>
      <c r="N177" s="2183"/>
      <c r="O177" s="2183">
        <f>O174</f>
        <v>0</v>
      </c>
      <c r="P177" s="2183"/>
      <c r="Q177" s="2183"/>
      <c r="R177" s="2183"/>
      <c r="S177" s="2183">
        <f>S174</f>
        <v>0</v>
      </c>
      <c r="T177" s="2183"/>
      <c r="U177" s="2183"/>
      <c r="V177" s="2183"/>
      <c r="W177" s="2183">
        <f>W174</f>
        <v>0</v>
      </c>
      <c r="X177" s="2183"/>
      <c r="Y177" s="2183"/>
      <c r="Z177" s="2183"/>
      <c r="AA177" s="2183">
        <f>AA174</f>
        <v>0</v>
      </c>
      <c r="AB177" s="2183"/>
      <c r="AC177" s="2183"/>
      <c r="AD177" s="2183"/>
      <c r="AE177" s="2183">
        <f>AE174</f>
        <v>0</v>
      </c>
      <c r="AF177" s="2183"/>
      <c r="AG177" s="2183"/>
      <c r="AH177" s="2183"/>
      <c r="AI177" s="2183">
        <f>AI174</f>
        <v>0</v>
      </c>
      <c r="AJ177" s="2183"/>
      <c r="AK177" s="2183"/>
      <c r="AL177" s="2183"/>
      <c r="AM177" s="2183">
        <f>AM174</f>
        <v>0</v>
      </c>
      <c r="AN177" s="2183"/>
      <c r="AO177" s="2183"/>
      <c r="AP177" s="2183"/>
      <c r="AQ177" s="2183">
        <f>AQ174</f>
        <v>0</v>
      </c>
      <c r="AR177" s="2183"/>
      <c r="AS177" s="2183"/>
      <c r="AT177" s="2183"/>
      <c r="AU177" s="2183">
        <f>AU174</f>
        <v>0</v>
      </c>
      <c r="AV177" s="2183"/>
      <c r="AW177" s="2183"/>
      <c r="AX177" s="2183"/>
      <c r="AY177" s="2183">
        <f>AY174</f>
        <v>0</v>
      </c>
      <c r="AZ177" s="2183"/>
      <c r="BA177" s="2183"/>
      <c r="BB177" s="2183"/>
      <c r="BC177" s="2183">
        <f>BC174</f>
        <v>0</v>
      </c>
      <c r="BD177" s="2183"/>
      <c r="BE177" s="2183"/>
      <c r="BF177" s="2183"/>
      <c r="BG177" s="656"/>
      <c r="BH177" s="2191">
        <f>IFERROR(AVERAGE(K177:BF177),0)</f>
        <v>0</v>
      </c>
      <c r="BI177" s="2135"/>
      <c r="BJ177" s="2135"/>
      <c r="BK177" s="2192"/>
      <c r="BL177" s="466"/>
      <c r="BM177" s="466"/>
      <c r="BN177" s="466"/>
      <c r="BO177" s="466"/>
      <c r="BP177" s="466"/>
      <c r="BQ177" s="466"/>
      <c r="BR177" s="466"/>
      <c r="BS177" s="466"/>
      <c r="BT177" s="466"/>
      <c r="BU177" s="1561"/>
      <c r="BV177" s="275"/>
      <c r="BW177" s="275"/>
      <c r="BX177" s="275"/>
      <c r="BY177" s="275"/>
      <c r="BZ177" s="275"/>
    </row>
    <row r="178" spans="2:78" ht="15" customHeight="1" x14ac:dyDescent="0.25">
      <c r="B178" s="8"/>
      <c r="C178" s="468" t="s">
        <v>552</v>
      </c>
      <c r="D178" s="469"/>
      <c r="E178" s="469"/>
      <c r="F178" s="469"/>
      <c r="G178" s="469"/>
      <c r="H178" s="469"/>
      <c r="I178" s="469"/>
      <c r="J178" s="441"/>
      <c r="K178" s="2169">
        <f>CHOOSE($T$119,K174,K175,K176,K177)</f>
        <v>0</v>
      </c>
      <c r="L178" s="2169"/>
      <c r="M178" s="2169"/>
      <c r="N178" s="2169"/>
      <c r="O178" s="2169">
        <f>CHOOSE($T$119,O174,O175,O176,O177)</f>
        <v>0</v>
      </c>
      <c r="P178" s="2169"/>
      <c r="Q178" s="2169"/>
      <c r="R178" s="2169"/>
      <c r="S178" s="2169">
        <f>CHOOSE($T$119,S174,S175,S176,S177)</f>
        <v>0</v>
      </c>
      <c r="T178" s="2169"/>
      <c r="U178" s="2169"/>
      <c r="V178" s="2169"/>
      <c r="W178" s="2169">
        <f>CHOOSE($T$119,W174,W175,W176,W177)</f>
        <v>0</v>
      </c>
      <c r="X178" s="2169"/>
      <c r="Y178" s="2169"/>
      <c r="Z178" s="2169"/>
      <c r="AA178" s="2169">
        <f>CHOOSE($T$119,AA174,AA175,AA176,AA177)</f>
        <v>0</v>
      </c>
      <c r="AB178" s="2169"/>
      <c r="AC178" s="2169"/>
      <c r="AD178" s="2169"/>
      <c r="AE178" s="2169">
        <f>CHOOSE($T$119,AE174,AE175,AE176,AE177)</f>
        <v>0</v>
      </c>
      <c r="AF178" s="2169"/>
      <c r="AG178" s="2169"/>
      <c r="AH178" s="2169"/>
      <c r="AI178" s="2169">
        <f>CHOOSE($T$119,AI174,AI175,AI176,AI177)</f>
        <v>0</v>
      </c>
      <c r="AJ178" s="2169"/>
      <c r="AK178" s="2169"/>
      <c r="AL178" s="2169"/>
      <c r="AM178" s="2169">
        <f>CHOOSE($T$119,AM174,AM175,AM176,AM177)</f>
        <v>0</v>
      </c>
      <c r="AN178" s="2169"/>
      <c r="AO178" s="2169"/>
      <c r="AP178" s="2169"/>
      <c r="AQ178" s="2169">
        <f>CHOOSE($T$119,AQ174,AQ175,AQ176,AQ177)</f>
        <v>0</v>
      </c>
      <c r="AR178" s="2169"/>
      <c r="AS178" s="2169"/>
      <c r="AT178" s="2169"/>
      <c r="AU178" s="2169">
        <f>CHOOSE($T$119,AU174,AU175,AU176,AU177)</f>
        <v>0</v>
      </c>
      <c r="AV178" s="2169"/>
      <c r="AW178" s="2169"/>
      <c r="AX178" s="2169"/>
      <c r="AY178" s="2169">
        <f>CHOOSE($T$119,AY174,AY175,AY176,AY177)</f>
        <v>0</v>
      </c>
      <c r="AZ178" s="2169"/>
      <c r="BA178" s="2169"/>
      <c r="BB178" s="2169"/>
      <c r="BC178" s="2169">
        <f>CHOOSE($T$119,BC174,BC175,BC176,BC177)</f>
        <v>0</v>
      </c>
      <c r="BD178" s="2169"/>
      <c r="BE178" s="2169"/>
      <c r="BF178" s="2169"/>
      <c r="BG178" s="657"/>
      <c r="BH178" s="2193">
        <f>CHOOSE($T$119,BH174,BH175,BH176,BH177)</f>
        <v>0</v>
      </c>
      <c r="BI178" s="2194"/>
      <c r="BJ178" s="2194"/>
      <c r="BK178" s="2195"/>
      <c r="BL178" s="466"/>
      <c r="BM178" s="466"/>
      <c r="BN178" s="466"/>
      <c r="BO178" s="466"/>
      <c r="BP178" s="466"/>
      <c r="BQ178" s="466"/>
      <c r="BR178" s="466"/>
      <c r="BS178" s="466"/>
      <c r="BT178" s="466"/>
      <c r="BU178" s="277"/>
      <c r="BV178" s="275"/>
      <c r="BW178" s="275"/>
      <c r="BX178" s="275"/>
      <c r="BY178" s="275"/>
      <c r="BZ178" s="275"/>
    </row>
    <row r="179" spans="2:78" ht="15" customHeight="1" x14ac:dyDescent="0.25">
      <c r="B179" s="9"/>
      <c r="C179" s="199"/>
      <c r="D179" s="23"/>
      <c r="E179" s="23"/>
      <c r="F179" s="23"/>
      <c r="G179" s="23"/>
      <c r="H179" s="23"/>
      <c r="I179" s="23"/>
      <c r="J179" s="23"/>
      <c r="K179" s="23"/>
      <c r="L179" s="86"/>
      <c r="M179" s="86"/>
      <c r="N179" s="86"/>
      <c r="O179" s="86"/>
      <c r="P179" s="86"/>
      <c r="Q179" s="23"/>
      <c r="R179" s="23"/>
      <c r="S179" s="200"/>
      <c r="T179" s="200"/>
      <c r="U179" s="200"/>
      <c r="V179" s="200"/>
      <c r="W179" s="200"/>
      <c r="X179" s="200"/>
      <c r="Y179" s="200"/>
      <c r="Z179" s="200"/>
      <c r="AA179" s="23"/>
      <c r="AB179" s="200"/>
      <c r="AC179" s="200"/>
      <c r="AD179" s="94"/>
      <c r="AE179" s="200"/>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23"/>
      <c r="BH179" s="23"/>
      <c r="BI179" s="23"/>
      <c r="BJ179" s="23"/>
      <c r="BK179" s="23"/>
      <c r="BL179" s="23"/>
      <c r="BM179" s="23"/>
      <c r="BN179" s="23"/>
      <c r="BO179" s="23"/>
      <c r="BP179" s="23"/>
      <c r="BQ179" s="23"/>
      <c r="BR179" s="23"/>
      <c r="BS179" s="23"/>
      <c r="BT179" s="23"/>
      <c r="BU179" s="9"/>
      <c r="BV179" s="275"/>
      <c r="BW179" s="275"/>
      <c r="BX179" s="275"/>
      <c r="BY179" s="275"/>
      <c r="BZ179" s="275"/>
    </row>
    <row r="180" spans="2:78" ht="15" customHeight="1" outlineLevel="1" x14ac:dyDescent="0.25">
      <c r="T180" s="279"/>
      <c r="BH180" s="275"/>
      <c r="BI180" s="275"/>
      <c r="BJ180" s="275"/>
      <c r="BK180" s="275"/>
      <c r="BL180" s="275"/>
      <c r="BM180" s="275"/>
      <c r="BN180" s="275"/>
      <c r="BO180" s="275"/>
      <c r="BP180" s="275"/>
      <c r="BQ180" s="275"/>
      <c r="BR180" s="275"/>
      <c r="BS180" s="275"/>
      <c r="BT180" s="275"/>
      <c r="BU180" s="275"/>
      <c r="BV180" s="275"/>
      <c r="BW180" s="275"/>
      <c r="BX180" s="275"/>
      <c r="BY180" s="275"/>
      <c r="BZ180" s="275"/>
    </row>
    <row r="181" spans="2:78" ht="15" customHeight="1" outlineLevel="1" x14ac:dyDescent="0.25">
      <c r="T181" s="279"/>
      <c r="BH181" s="275"/>
      <c r="BI181" s="275"/>
      <c r="BJ181" s="275"/>
      <c r="BK181" s="275"/>
      <c r="BL181" s="275"/>
      <c r="BM181" s="275"/>
      <c r="BN181" s="275"/>
      <c r="BO181" s="275"/>
      <c r="BP181" s="275"/>
      <c r="BQ181" s="275"/>
      <c r="BR181" s="275"/>
      <c r="BS181" s="275"/>
      <c r="BT181" s="275"/>
      <c r="BU181" s="275"/>
      <c r="BV181" s="275"/>
      <c r="BW181" s="275"/>
      <c r="BX181" s="275"/>
      <c r="BY181" s="275"/>
      <c r="BZ181" s="275"/>
    </row>
    <row r="182" spans="2:78" ht="15" customHeight="1" outlineLevel="1" x14ac:dyDescent="0.25">
      <c r="B182" s="521" t="s">
        <v>745</v>
      </c>
      <c r="C182" s="598"/>
      <c r="D182" s="598"/>
      <c r="E182" s="598"/>
      <c r="F182" s="598"/>
      <c r="G182" s="598"/>
      <c r="H182" s="598"/>
      <c r="I182" s="598"/>
      <c r="J182" s="598"/>
      <c r="K182" s="598"/>
      <c r="L182" s="598"/>
      <c r="M182" s="598"/>
      <c r="N182" s="598"/>
      <c r="O182" s="598"/>
      <c r="P182" s="598"/>
      <c r="Q182" s="598"/>
      <c r="R182" s="598"/>
      <c r="S182" s="598"/>
      <c r="T182" s="598"/>
      <c r="U182" s="598"/>
      <c r="V182" s="598"/>
      <c r="W182" s="598"/>
      <c r="X182" s="598"/>
      <c r="Y182" s="598"/>
      <c r="Z182" s="598"/>
      <c r="AA182" s="598"/>
      <c r="AB182" s="598"/>
      <c r="AC182" s="598"/>
      <c r="AD182" s="598"/>
      <c r="AE182" s="598"/>
      <c r="AF182" s="598"/>
      <c r="AG182" s="598"/>
      <c r="AH182" s="598"/>
      <c r="AI182" s="598"/>
      <c r="AJ182" s="598"/>
      <c r="AK182" s="598"/>
      <c r="AL182" s="598"/>
      <c r="AM182" s="598"/>
      <c r="AN182" s="598"/>
      <c r="AO182" s="598"/>
      <c r="AP182" s="598"/>
      <c r="AQ182" s="598"/>
      <c r="AR182" s="598"/>
      <c r="AS182" s="598"/>
      <c r="AT182" s="598"/>
      <c r="AU182" s="598"/>
      <c r="AV182" s="598"/>
      <c r="AW182" s="598"/>
      <c r="AX182" s="598"/>
      <c r="AY182" s="598"/>
      <c r="AZ182" s="598"/>
      <c r="BA182" s="598"/>
      <c r="BB182" s="598"/>
      <c r="BC182" s="598"/>
      <c r="BD182" s="598"/>
      <c r="BE182" s="598"/>
      <c r="BF182" s="598"/>
      <c r="BG182" s="598"/>
      <c r="BH182" s="598"/>
      <c r="BI182" s="598"/>
      <c r="BJ182" s="598"/>
      <c r="BK182" s="598"/>
      <c r="BL182" s="598"/>
      <c r="BM182" s="598"/>
      <c r="BN182" s="598"/>
      <c r="BO182" s="598"/>
      <c r="BP182" s="598"/>
      <c r="BQ182" s="598"/>
      <c r="BR182" s="598"/>
      <c r="BS182" s="598"/>
      <c r="BT182" s="598"/>
      <c r="BU182" s="598"/>
      <c r="BV182" s="275"/>
      <c r="BW182" s="275"/>
      <c r="BX182" s="275"/>
      <c r="BY182" s="275"/>
      <c r="BZ182" s="275"/>
    </row>
    <row r="183" spans="2:78" ht="15" customHeight="1" outlineLevel="1" x14ac:dyDescent="0.25">
      <c r="B183" s="8"/>
      <c r="C183" s="8"/>
      <c r="D183" s="8"/>
      <c r="E183" s="8"/>
      <c r="F183" s="8"/>
      <c r="G183" s="8"/>
      <c r="H183" s="8"/>
      <c r="I183" s="8"/>
      <c r="J183" s="8"/>
      <c r="K183" s="645"/>
      <c r="L183" s="645"/>
      <c r="M183" s="645"/>
      <c r="N183" s="645"/>
      <c r="O183" s="645"/>
      <c r="P183" s="645"/>
      <c r="Q183" s="645"/>
      <c r="R183" s="645"/>
      <c r="S183" s="645"/>
      <c r="T183" s="645"/>
      <c r="U183" s="645"/>
      <c r="V183" s="645"/>
      <c r="W183" s="645"/>
      <c r="X183" s="645"/>
      <c r="Y183" s="645"/>
      <c r="Z183" s="645"/>
      <c r="AA183" s="645"/>
      <c r="AB183" s="645"/>
      <c r="AC183" s="645"/>
      <c r="AD183" s="645"/>
      <c r="AE183" s="645"/>
      <c r="AF183" s="645"/>
      <c r="AG183" s="645"/>
      <c r="AH183" s="645"/>
      <c r="AI183" s="645"/>
      <c r="AJ183" s="645"/>
      <c r="AK183" s="645"/>
      <c r="AL183" s="645"/>
      <c r="AM183" s="645"/>
      <c r="AN183" s="645"/>
      <c r="AO183" s="645"/>
      <c r="AP183" s="645"/>
      <c r="AQ183" s="645"/>
      <c r="AR183" s="645"/>
      <c r="AS183" s="645"/>
      <c r="AT183" s="645"/>
      <c r="AU183" s="645"/>
      <c r="AV183" s="645"/>
      <c r="AW183" s="645"/>
      <c r="AX183" s="645"/>
      <c r="AY183" s="645"/>
      <c r="AZ183" s="645"/>
      <c r="BA183" s="645"/>
      <c r="BB183" s="645"/>
      <c r="BC183" s="645"/>
      <c r="BD183" s="645"/>
      <c r="BE183" s="645"/>
      <c r="BF183" s="645"/>
      <c r="BG183" s="8"/>
      <c r="BH183" s="8"/>
      <c r="BI183" s="8"/>
      <c r="BJ183" s="8"/>
      <c r="BK183" s="8"/>
      <c r="BL183" s="8"/>
      <c r="BM183" s="8"/>
      <c r="BN183" s="8"/>
      <c r="BO183" s="8"/>
      <c r="BP183" s="8"/>
      <c r="BQ183" s="8"/>
      <c r="BR183" s="8"/>
      <c r="BS183" s="8"/>
      <c r="BT183" s="8"/>
      <c r="BU183" s="9"/>
      <c r="BV183" s="275"/>
      <c r="BW183" s="275"/>
      <c r="BX183" s="275"/>
      <c r="BY183" s="275"/>
      <c r="BZ183" s="275"/>
    </row>
    <row r="184" spans="2:78" ht="15" customHeight="1" outlineLevel="1" x14ac:dyDescent="0.25">
      <c r="B184" s="8"/>
      <c r="C184" s="2438">
        <f>YEAR(AE25)</f>
        <v>2025</v>
      </c>
      <c r="D184" s="2439"/>
      <c r="E184" s="2439"/>
      <c r="F184" s="2439"/>
      <c r="G184" s="2439"/>
      <c r="H184" s="2439"/>
      <c r="I184" s="2440"/>
      <c r="J184" s="23"/>
      <c r="K184" s="2226"/>
      <c r="L184" s="2227"/>
      <c r="M184" s="2227"/>
      <c r="N184" s="2228"/>
      <c r="O184" s="2229" t="s">
        <v>554</v>
      </c>
      <c r="P184" s="2230"/>
      <c r="Q184" s="2230"/>
      <c r="R184" s="2231"/>
      <c r="S184" s="2229" t="s">
        <v>555</v>
      </c>
      <c r="T184" s="2230"/>
      <c r="U184" s="2230"/>
      <c r="V184" s="2231"/>
      <c r="W184" s="2229" t="s">
        <v>556</v>
      </c>
      <c r="X184" s="2230"/>
      <c r="Y184" s="2230"/>
      <c r="Z184" s="2231"/>
      <c r="AA184" s="2229" t="s">
        <v>557</v>
      </c>
      <c r="AB184" s="2230"/>
      <c r="AC184" s="2230"/>
      <c r="AD184" s="2231"/>
      <c r="AE184" s="2229" t="s">
        <v>558</v>
      </c>
      <c r="AF184" s="2230"/>
      <c r="AG184" s="2230"/>
      <c r="AH184" s="2231"/>
      <c r="AI184" s="2229" t="s">
        <v>559</v>
      </c>
      <c r="AJ184" s="2230"/>
      <c r="AK184" s="2230"/>
      <c r="AL184" s="2231"/>
      <c r="AM184" s="2229" t="s">
        <v>560</v>
      </c>
      <c r="AN184" s="2230"/>
      <c r="AO184" s="2230"/>
      <c r="AP184" s="2231"/>
      <c r="AQ184" s="2229" t="s">
        <v>561</v>
      </c>
      <c r="AR184" s="2230"/>
      <c r="AS184" s="2230"/>
      <c r="AT184" s="2231"/>
      <c r="AU184" s="2229" t="s">
        <v>562</v>
      </c>
      <c r="AV184" s="2230"/>
      <c r="AW184" s="2230"/>
      <c r="AX184" s="2231"/>
      <c r="AY184" s="2229" t="s">
        <v>563</v>
      </c>
      <c r="AZ184" s="2230"/>
      <c r="BA184" s="2230"/>
      <c r="BB184" s="2231"/>
      <c r="BC184" s="2229" t="s">
        <v>564</v>
      </c>
      <c r="BD184" s="2230"/>
      <c r="BE184" s="2230"/>
      <c r="BF184" s="2231"/>
      <c r="BG184" s="23"/>
      <c r="BH184" s="2170" t="s">
        <v>565</v>
      </c>
      <c r="BI184" s="2171"/>
      <c r="BJ184" s="2171"/>
      <c r="BK184" s="2172"/>
      <c r="BL184" s="466"/>
      <c r="BM184" s="2170" t="s">
        <v>586</v>
      </c>
      <c r="BN184" s="2171"/>
      <c r="BO184" s="2171"/>
      <c r="BP184" s="2172"/>
      <c r="BQ184" s="466"/>
      <c r="BR184" s="466"/>
      <c r="BS184" s="466"/>
      <c r="BT184" s="466"/>
      <c r="BU184" s="9"/>
      <c r="BV184" s="275"/>
      <c r="BW184" s="275"/>
      <c r="BX184" s="275"/>
      <c r="BY184" s="275"/>
      <c r="BZ184" s="275"/>
    </row>
    <row r="185" spans="2:78" ht="15" customHeight="1" outlineLevel="1" x14ac:dyDescent="0.25">
      <c r="B185" s="8"/>
      <c r="C185" s="2437" t="s">
        <v>566</v>
      </c>
      <c r="D185" s="2437"/>
      <c r="E185" s="2437"/>
      <c r="F185" s="2437"/>
      <c r="G185" s="2437"/>
      <c r="H185" s="2437"/>
      <c r="I185" s="2437"/>
      <c r="J185" s="23"/>
      <c r="K185" s="2137">
        <f>DATE(C184,1,1)</f>
        <v>45658</v>
      </c>
      <c r="L185" s="2138"/>
      <c r="M185" s="2138"/>
      <c r="N185" s="2138"/>
      <c r="O185" s="2137">
        <f>EDATE(K185,1)</f>
        <v>45689</v>
      </c>
      <c r="P185" s="2138"/>
      <c r="Q185" s="2138"/>
      <c r="R185" s="2138"/>
      <c r="S185" s="2137">
        <f>EDATE(O185,1)</f>
        <v>45717</v>
      </c>
      <c r="T185" s="2138"/>
      <c r="U185" s="2138"/>
      <c r="V185" s="2138"/>
      <c r="W185" s="2137">
        <f>EDATE(S185,1)</f>
        <v>45748</v>
      </c>
      <c r="X185" s="2138"/>
      <c r="Y185" s="2138"/>
      <c r="Z185" s="2138"/>
      <c r="AA185" s="2137">
        <f>EDATE(W185,1)</f>
        <v>45778</v>
      </c>
      <c r="AB185" s="2138"/>
      <c r="AC185" s="2138"/>
      <c r="AD185" s="2138"/>
      <c r="AE185" s="2137">
        <f>EDATE(AA185,1)</f>
        <v>45809</v>
      </c>
      <c r="AF185" s="2138"/>
      <c r="AG185" s="2138"/>
      <c r="AH185" s="2138"/>
      <c r="AI185" s="2137">
        <f>EDATE(AE185,1)</f>
        <v>45839</v>
      </c>
      <c r="AJ185" s="2138"/>
      <c r="AK185" s="2138"/>
      <c r="AL185" s="2138"/>
      <c r="AM185" s="2137">
        <f>EDATE(AI185,1)</f>
        <v>45870</v>
      </c>
      <c r="AN185" s="2138"/>
      <c r="AO185" s="2138"/>
      <c r="AP185" s="2138"/>
      <c r="AQ185" s="2137">
        <f>EDATE(AM185,1)</f>
        <v>45901</v>
      </c>
      <c r="AR185" s="2138"/>
      <c r="AS185" s="2138"/>
      <c r="AT185" s="2138"/>
      <c r="AU185" s="2137">
        <f>EDATE(AQ185,1)</f>
        <v>45931</v>
      </c>
      <c r="AV185" s="2138"/>
      <c r="AW185" s="2138"/>
      <c r="AX185" s="2138"/>
      <c r="AY185" s="2137">
        <f>EDATE(AU185,1)</f>
        <v>45962</v>
      </c>
      <c r="AZ185" s="2138"/>
      <c r="BA185" s="2138"/>
      <c r="BB185" s="2138"/>
      <c r="BC185" s="2137">
        <f>EDATE(AY185,1)</f>
        <v>45992</v>
      </c>
      <c r="BD185" s="2138"/>
      <c r="BE185" s="2138"/>
      <c r="BF185" s="2138"/>
      <c r="BG185" s="201">
        <f>EDATE(BC185,1)</f>
        <v>46023</v>
      </c>
      <c r="BH185" s="2176"/>
      <c r="BI185" s="2176"/>
      <c r="BJ185" s="2176"/>
      <c r="BK185" s="2176"/>
      <c r="BL185" s="466"/>
      <c r="BM185" s="466"/>
      <c r="BN185" s="466"/>
      <c r="BO185" s="466"/>
      <c r="BP185" s="466"/>
      <c r="BQ185" s="466"/>
      <c r="BR185" s="466"/>
      <c r="BS185" s="466"/>
      <c r="BT185" s="466"/>
      <c r="BU185" s="9"/>
      <c r="BV185" s="275"/>
      <c r="BW185" s="275"/>
      <c r="BX185" s="275"/>
      <c r="BY185" s="275"/>
      <c r="BZ185" s="275"/>
    </row>
    <row r="186" spans="2:78" ht="15" customHeight="1" outlineLevel="1" x14ac:dyDescent="0.25">
      <c r="B186" s="8"/>
      <c r="C186" s="2238" t="s">
        <v>567</v>
      </c>
      <c r="D186" s="2238"/>
      <c r="E186" s="2238"/>
      <c r="F186" s="2238"/>
      <c r="G186" s="2238"/>
      <c r="H186" s="2238"/>
      <c r="I186" s="2238"/>
      <c r="J186" s="23"/>
      <c r="K186" s="2137">
        <f>EDATE(K185,1)-1</f>
        <v>45688</v>
      </c>
      <c r="L186" s="2138"/>
      <c r="M186" s="2138"/>
      <c r="N186" s="2138"/>
      <c r="O186" s="2137">
        <f>EDATE(O185,1)-1</f>
        <v>45716</v>
      </c>
      <c r="P186" s="2138"/>
      <c r="Q186" s="2138"/>
      <c r="R186" s="2138"/>
      <c r="S186" s="2137">
        <f>EDATE(S185,1)-1</f>
        <v>45747</v>
      </c>
      <c r="T186" s="2138"/>
      <c r="U186" s="2138"/>
      <c r="V186" s="2138"/>
      <c r="W186" s="2137">
        <f>EDATE(W185,1)-1</f>
        <v>45777</v>
      </c>
      <c r="X186" s="2138"/>
      <c r="Y186" s="2138"/>
      <c r="Z186" s="2138"/>
      <c r="AA186" s="2137">
        <f>EDATE(AA185,1)-1</f>
        <v>45808</v>
      </c>
      <c r="AB186" s="2138"/>
      <c r="AC186" s="2138"/>
      <c r="AD186" s="2138"/>
      <c r="AE186" s="2137">
        <f>EDATE(AE185,1)-1</f>
        <v>45838</v>
      </c>
      <c r="AF186" s="2138"/>
      <c r="AG186" s="2138"/>
      <c r="AH186" s="2138"/>
      <c r="AI186" s="2137">
        <f>EDATE(AI185,1)-1</f>
        <v>45869</v>
      </c>
      <c r="AJ186" s="2138"/>
      <c r="AK186" s="2138"/>
      <c r="AL186" s="2138"/>
      <c r="AM186" s="2137">
        <f>EDATE(AM185,1)-1</f>
        <v>45900</v>
      </c>
      <c r="AN186" s="2138"/>
      <c r="AO186" s="2138"/>
      <c r="AP186" s="2138"/>
      <c r="AQ186" s="2137">
        <f>EDATE(AQ185,1)-1</f>
        <v>45930</v>
      </c>
      <c r="AR186" s="2138"/>
      <c r="AS186" s="2138"/>
      <c r="AT186" s="2138"/>
      <c r="AU186" s="2137">
        <f>EDATE(AU185,1)-1</f>
        <v>45961</v>
      </c>
      <c r="AV186" s="2138"/>
      <c r="AW186" s="2138"/>
      <c r="AX186" s="2138"/>
      <c r="AY186" s="2137">
        <f>EDATE(AY185,1)-1</f>
        <v>45991</v>
      </c>
      <c r="AZ186" s="2138"/>
      <c r="BA186" s="2138"/>
      <c r="BB186" s="2138"/>
      <c r="BC186" s="2137">
        <f>EDATE(BC185,1)-1</f>
        <v>46022</v>
      </c>
      <c r="BD186" s="2138"/>
      <c r="BE186" s="2138"/>
      <c r="BF186" s="2138"/>
      <c r="BG186" s="23"/>
      <c r="BH186" s="647"/>
      <c r="BI186" s="647"/>
      <c r="BJ186" s="647"/>
      <c r="BK186" s="647"/>
      <c r="BL186" s="466"/>
      <c r="BM186" s="466"/>
      <c r="BN186" s="466"/>
      <c r="BO186" s="466"/>
      <c r="BP186" s="466"/>
      <c r="BQ186" s="466"/>
      <c r="BR186" s="466"/>
      <c r="BS186" s="466"/>
      <c r="BT186" s="466"/>
      <c r="BU186" s="9"/>
      <c r="BV186" s="275"/>
      <c r="BW186" s="275"/>
      <c r="BX186" s="275"/>
      <c r="BY186" s="275"/>
      <c r="BZ186" s="275"/>
    </row>
    <row r="187" spans="2:78" ht="15" customHeight="1" outlineLevel="1" x14ac:dyDescent="0.25">
      <c r="B187" s="8"/>
      <c r="C187" s="648"/>
      <c r="D187" s="648"/>
      <c r="E187" s="648"/>
      <c r="F187" s="648"/>
      <c r="G187" s="648"/>
      <c r="H187" s="648"/>
      <c r="I187" s="648"/>
      <c r="J187" s="23"/>
      <c r="K187" s="2137"/>
      <c r="L187" s="2138"/>
      <c r="M187" s="2138"/>
      <c r="N187" s="2138"/>
      <c r="O187" s="2137"/>
      <c r="P187" s="2138"/>
      <c r="Q187" s="2138"/>
      <c r="R187" s="2138"/>
      <c r="S187" s="2133"/>
      <c r="T187" s="2133"/>
      <c r="U187" s="2133"/>
      <c r="V187" s="2133"/>
      <c r="W187" s="2133"/>
      <c r="X187" s="2133"/>
      <c r="Y187" s="2133"/>
      <c r="Z187" s="2133"/>
      <c r="AA187" s="2133"/>
      <c r="AB187" s="2133"/>
      <c r="AC187" s="2133"/>
      <c r="AD187" s="2133"/>
      <c r="AE187" s="2133"/>
      <c r="AF187" s="2133"/>
      <c r="AG187" s="2133"/>
      <c r="AH187" s="2133"/>
      <c r="AI187" s="2133"/>
      <c r="AJ187" s="2133"/>
      <c r="AK187" s="2133"/>
      <c r="AL187" s="2133"/>
      <c r="AM187" s="2133"/>
      <c r="AN187" s="2133"/>
      <c r="AO187" s="2133"/>
      <c r="AP187" s="2133"/>
      <c r="AQ187" s="2133"/>
      <c r="AR187" s="2133"/>
      <c r="AS187" s="2133"/>
      <c r="AT187" s="2133"/>
      <c r="AU187" s="2133"/>
      <c r="AV187" s="2133"/>
      <c r="AW187" s="2133"/>
      <c r="AX187" s="2133"/>
      <c r="AY187" s="2133"/>
      <c r="AZ187" s="2133"/>
      <c r="BA187" s="2133"/>
      <c r="BB187" s="2133"/>
      <c r="BC187" s="2133"/>
      <c r="BD187" s="2133"/>
      <c r="BE187" s="2133"/>
      <c r="BF187" s="2133"/>
      <c r="BG187" s="23"/>
      <c r="BH187" s="647"/>
      <c r="BI187" s="647"/>
      <c r="BJ187" s="647"/>
      <c r="BK187" s="647"/>
      <c r="BL187" s="466"/>
      <c r="BM187" s="466"/>
      <c r="BN187" s="466"/>
      <c r="BO187" s="466"/>
      <c r="BP187" s="466"/>
      <c r="BQ187" s="466"/>
      <c r="BR187" s="466"/>
      <c r="BS187" s="466"/>
      <c r="BT187" s="466"/>
      <c r="BU187" s="9"/>
      <c r="BV187" s="275"/>
      <c r="BW187" s="275"/>
      <c r="BX187" s="275"/>
      <c r="BY187" s="275"/>
      <c r="BZ187" s="275"/>
    </row>
    <row r="188" spans="2:78" ht="15" customHeight="1" outlineLevel="1" x14ac:dyDescent="0.25">
      <c r="B188" s="8"/>
      <c r="C188" s="98" t="s">
        <v>568</v>
      </c>
      <c r="D188" s="648"/>
      <c r="E188" s="648"/>
      <c r="F188" s="648"/>
      <c r="G188" s="648"/>
      <c r="H188" s="648"/>
      <c r="I188" s="648"/>
      <c r="J188" s="23"/>
      <c r="K188" s="2133">
        <f>DAY(EOMONTH(K185,0))</f>
        <v>31</v>
      </c>
      <c r="L188" s="2133"/>
      <c r="M188" s="2133"/>
      <c r="N188" s="2133"/>
      <c r="O188" s="2133">
        <f>DAY(EOMONTH(O185,0))</f>
        <v>28</v>
      </c>
      <c r="P188" s="2133"/>
      <c r="Q188" s="2133"/>
      <c r="R188" s="2133"/>
      <c r="S188" s="2133">
        <f>DAY(EOMONTH(S185,0))</f>
        <v>31</v>
      </c>
      <c r="T188" s="2133"/>
      <c r="U188" s="2133"/>
      <c r="V188" s="2133"/>
      <c r="W188" s="2133">
        <f>DAY(EOMONTH(W185,0))</f>
        <v>30</v>
      </c>
      <c r="X188" s="2133"/>
      <c r="Y188" s="2133"/>
      <c r="Z188" s="2133"/>
      <c r="AA188" s="2133">
        <f>DAY(EOMONTH(AA185,0))</f>
        <v>31</v>
      </c>
      <c r="AB188" s="2133"/>
      <c r="AC188" s="2133"/>
      <c r="AD188" s="2133"/>
      <c r="AE188" s="2133">
        <f>DAY(EOMONTH(AE185,0))</f>
        <v>30</v>
      </c>
      <c r="AF188" s="2133"/>
      <c r="AG188" s="2133"/>
      <c r="AH188" s="2133"/>
      <c r="AI188" s="2133">
        <f>DAY(EOMONTH(AI185,0))</f>
        <v>31</v>
      </c>
      <c r="AJ188" s="2133"/>
      <c r="AK188" s="2133"/>
      <c r="AL188" s="2133"/>
      <c r="AM188" s="2133">
        <f>DAY(EOMONTH(AM185,0))</f>
        <v>31</v>
      </c>
      <c r="AN188" s="2133"/>
      <c r="AO188" s="2133"/>
      <c r="AP188" s="2133"/>
      <c r="AQ188" s="2133">
        <f>DAY(EOMONTH(AQ185,0))</f>
        <v>30</v>
      </c>
      <c r="AR188" s="2133"/>
      <c r="AS188" s="2133"/>
      <c r="AT188" s="2133"/>
      <c r="AU188" s="2133">
        <f>DAY(EOMONTH(AU185,0))</f>
        <v>31</v>
      </c>
      <c r="AV188" s="2133"/>
      <c r="AW188" s="2133"/>
      <c r="AX188" s="2133"/>
      <c r="AY188" s="2133">
        <f>DAY(EOMONTH(AY185,0))</f>
        <v>30</v>
      </c>
      <c r="AZ188" s="2133"/>
      <c r="BA188" s="2133"/>
      <c r="BB188" s="2133"/>
      <c r="BC188" s="2133">
        <f>DAY(EOMONTH(BC185,0))</f>
        <v>31</v>
      </c>
      <c r="BD188" s="2133"/>
      <c r="BE188" s="2133"/>
      <c r="BF188" s="2133"/>
      <c r="BG188" s="23"/>
      <c r="BH188" s="2133">
        <f>IFERROR(SUM(K188:BF188),0)</f>
        <v>365</v>
      </c>
      <c r="BI188" s="2133"/>
      <c r="BJ188" s="2133"/>
      <c r="BK188" s="2133"/>
      <c r="BL188" s="466"/>
      <c r="BM188" s="2139">
        <f>AVERAGE(K188:BF188)</f>
        <v>30.416666666666668</v>
      </c>
      <c r="BN188" s="2139"/>
      <c r="BO188" s="2139"/>
      <c r="BP188" s="2139"/>
      <c r="BQ188" s="466"/>
      <c r="BR188" s="466"/>
      <c r="BS188" s="466"/>
      <c r="BT188" s="466"/>
      <c r="BU188" s="9"/>
      <c r="BV188" s="275"/>
      <c r="BW188" s="275"/>
      <c r="BX188" s="275"/>
      <c r="BY188" s="275"/>
      <c r="BZ188" s="275"/>
    </row>
    <row r="189" spans="2:78" ht="15" customHeight="1" outlineLevel="1" x14ac:dyDescent="0.25">
      <c r="B189" s="8"/>
      <c r="C189" s="98" t="s">
        <v>544</v>
      </c>
      <c r="D189" s="648"/>
      <c r="E189" s="648"/>
      <c r="F189" s="648"/>
      <c r="G189" s="648"/>
      <c r="H189" s="648"/>
      <c r="I189" s="648"/>
      <c r="J189" s="23"/>
      <c r="K189" s="2126">
        <f>K178</f>
        <v>0</v>
      </c>
      <c r="L189" s="2126"/>
      <c r="M189" s="2126"/>
      <c r="N189" s="2126"/>
      <c r="O189" s="2126">
        <f>O178</f>
        <v>0</v>
      </c>
      <c r="P189" s="2126"/>
      <c r="Q189" s="2126"/>
      <c r="R189" s="2126"/>
      <c r="S189" s="2126">
        <f>S178</f>
        <v>0</v>
      </c>
      <c r="T189" s="2126"/>
      <c r="U189" s="2126"/>
      <c r="V189" s="2126"/>
      <c r="W189" s="2126">
        <f>W178</f>
        <v>0</v>
      </c>
      <c r="X189" s="2126"/>
      <c r="Y189" s="2126"/>
      <c r="Z189" s="2126"/>
      <c r="AA189" s="2126">
        <f>AA178</f>
        <v>0</v>
      </c>
      <c r="AB189" s="2126"/>
      <c r="AC189" s="2126"/>
      <c r="AD189" s="2126"/>
      <c r="AE189" s="2126">
        <f>AE178</f>
        <v>0</v>
      </c>
      <c r="AF189" s="2126"/>
      <c r="AG189" s="2126"/>
      <c r="AH189" s="2126"/>
      <c r="AI189" s="2126">
        <f>AI178</f>
        <v>0</v>
      </c>
      <c r="AJ189" s="2126"/>
      <c r="AK189" s="2126"/>
      <c r="AL189" s="2126"/>
      <c r="AM189" s="2126">
        <f>AM178</f>
        <v>0</v>
      </c>
      <c r="AN189" s="2126"/>
      <c r="AO189" s="2126"/>
      <c r="AP189" s="2126"/>
      <c r="AQ189" s="2126">
        <f>AQ178</f>
        <v>0</v>
      </c>
      <c r="AR189" s="2126"/>
      <c r="AS189" s="2126"/>
      <c r="AT189" s="2126"/>
      <c r="AU189" s="2126">
        <f>AU178</f>
        <v>0</v>
      </c>
      <c r="AV189" s="2126"/>
      <c r="AW189" s="2126"/>
      <c r="AX189" s="2126"/>
      <c r="AY189" s="2126">
        <f>AY178</f>
        <v>0</v>
      </c>
      <c r="AZ189" s="2126"/>
      <c r="BA189" s="2126"/>
      <c r="BB189" s="2126"/>
      <c r="BC189" s="2126">
        <f>BC178</f>
        <v>0</v>
      </c>
      <c r="BD189" s="2126"/>
      <c r="BE189" s="2126"/>
      <c r="BF189" s="2126"/>
      <c r="BG189" s="23"/>
      <c r="BH189" s="2126">
        <f>BH190/BH188</f>
        <v>0</v>
      </c>
      <c r="BI189" s="2126"/>
      <c r="BJ189" s="2126"/>
      <c r="BK189" s="2126"/>
      <c r="BL189" s="466"/>
      <c r="BM189" s="2126">
        <f>AVERAGE(K189:BF189)</f>
        <v>0</v>
      </c>
      <c r="BN189" s="2126"/>
      <c r="BO189" s="2126"/>
      <c r="BP189" s="2126"/>
      <c r="BQ189" s="466"/>
      <c r="BR189" s="466"/>
      <c r="BS189" s="466"/>
      <c r="BT189" s="466"/>
      <c r="BU189" s="9"/>
      <c r="BV189" s="275"/>
      <c r="BW189" s="275"/>
      <c r="BX189" s="275"/>
      <c r="BY189" s="275"/>
      <c r="BZ189" s="275"/>
    </row>
    <row r="190" spans="2:78" ht="15" customHeight="1" outlineLevel="1" x14ac:dyDescent="0.25">
      <c r="B190" s="8"/>
      <c r="C190" s="98" t="s">
        <v>569</v>
      </c>
      <c r="D190" s="648"/>
      <c r="E190" s="648"/>
      <c r="F190" s="648"/>
      <c r="G190" s="648"/>
      <c r="H190" s="648"/>
      <c r="I190" s="648"/>
      <c r="J190" s="23"/>
      <c r="K190" s="2125">
        <f>IFERROR(K189*K188,0)</f>
        <v>0</v>
      </c>
      <c r="L190" s="2125"/>
      <c r="M190" s="2125"/>
      <c r="N190" s="2125"/>
      <c r="O190" s="2125">
        <f>IFERROR(O189*O188,0)</f>
        <v>0</v>
      </c>
      <c r="P190" s="2125"/>
      <c r="Q190" s="2125"/>
      <c r="R190" s="2125"/>
      <c r="S190" s="2125">
        <f>IFERROR(S189*S188,0)</f>
        <v>0</v>
      </c>
      <c r="T190" s="2125"/>
      <c r="U190" s="2125"/>
      <c r="V190" s="2125"/>
      <c r="W190" s="2125">
        <f>IFERROR(W189*W188,0)</f>
        <v>0</v>
      </c>
      <c r="X190" s="2125"/>
      <c r="Y190" s="2125"/>
      <c r="Z190" s="2125"/>
      <c r="AA190" s="2125">
        <f>IFERROR(AA189*AA188,0)</f>
        <v>0</v>
      </c>
      <c r="AB190" s="2125"/>
      <c r="AC190" s="2125"/>
      <c r="AD190" s="2125"/>
      <c r="AE190" s="2125">
        <f>IFERROR(AE189*AE188,0)</f>
        <v>0</v>
      </c>
      <c r="AF190" s="2125"/>
      <c r="AG190" s="2125"/>
      <c r="AH190" s="2125"/>
      <c r="AI190" s="2125">
        <f>IFERROR(AI189*AI188,0)</f>
        <v>0</v>
      </c>
      <c r="AJ190" s="2125"/>
      <c r="AK190" s="2125"/>
      <c r="AL190" s="2125"/>
      <c r="AM190" s="2125">
        <f>IFERROR(AM189*AM188,0)</f>
        <v>0</v>
      </c>
      <c r="AN190" s="2125"/>
      <c r="AO190" s="2125"/>
      <c r="AP190" s="2125"/>
      <c r="AQ190" s="2125">
        <f>IFERROR(AQ189*AQ188,0)</f>
        <v>0</v>
      </c>
      <c r="AR190" s="2125"/>
      <c r="AS190" s="2125"/>
      <c r="AT190" s="2125"/>
      <c r="AU190" s="2125">
        <f>IFERROR(AU189*AU188,0)</f>
        <v>0</v>
      </c>
      <c r="AV190" s="2125"/>
      <c r="AW190" s="2125"/>
      <c r="AX190" s="2125"/>
      <c r="AY190" s="2125">
        <f>IFERROR(AY189*AY188,0)</f>
        <v>0</v>
      </c>
      <c r="AZ190" s="2125"/>
      <c r="BA190" s="2125"/>
      <c r="BB190" s="2125"/>
      <c r="BC190" s="2125">
        <f>IFERROR(BC189*BC188,0)</f>
        <v>0</v>
      </c>
      <c r="BD190" s="2125"/>
      <c r="BE190" s="2125"/>
      <c r="BF190" s="2125"/>
      <c r="BG190" s="23"/>
      <c r="BH190" s="2139">
        <f>IFERROR(SUM(K190:BF190),0)</f>
        <v>0</v>
      </c>
      <c r="BI190" s="2139"/>
      <c r="BJ190" s="2139"/>
      <c r="BK190" s="2139"/>
      <c r="BL190" s="466"/>
      <c r="BM190" s="2139">
        <f>AVERAGE(K190:BF190)</f>
        <v>0</v>
      </c>
      <c r="BN190" s="2139"/>
      <c r="BO190" s="2139"/>
      <c r="BP190" s="2139"/>
      <c r="BQ190" s="466"/>
      <c r="BR190" s="466"/>
      <c r="BS190" s="466"/>
      <c r="BT190" s="466"/>
      <c r="BU190" s="9"/>
      <c r="BV190" s="275"/>
      <c r="BW190" s="275"/>
      <c r="BX190" s="275"/>
      <c r="BY190" s="275"/>
      <c r="BZ190" s="275"/>
    </row>
    <row r="191" spans="2:78" ht="15" customHeight="1" outlineLevel="1" x14ac:dyDescent="0.25">
      <c r="B191" s="8"/>
      <c r="C191" s="98" t="s">
        <v>533</v>
      </c>
      <c r="D191" s="648"/>
      <c r="E191" s="648"/>
      <c r="F191" s="648"/>
      <c r="G191" s="648"/>
      <c r="H191" s="648"/>
      <c r="I191" s="648"/>
      <c r="J191" s="23"/>
      <c r="K191" s="2139">
        <f>K170</f>
        <v>0</v>
      </c>
      <c r="L191" s="2139"/>
      <c r="M191" s="2139"/>
      <c r="N191" s="2139"/>
      <c r="O191" s="2139">
        <f>O170</f>
        <v>0</v>
      </c>
      <c r="P191" s="2139"/>
      <c r="Q191" s="2139"/>
      <c r="R191" s="2139"/>
      <c r="S191" s="2139">
        <f>S170</f>
        <v>0</v>
      </c>
      <c r="T191" s="2139"/>
      <c r="U191" s="2139"/>
      <c r="V191" s="2139"/>
      <c r="W191" s="2139">
        <f>W170</f>
        <v>0</v>
      </c>
      <c r="X191" s="2139"/>
      <c r="Y191" s="2139"/>
      <c r="Z191" s="2139"/>
      <c r="AA191" s="2139">
        <f>AA170</f>
        <v>0</v>
      </c>
      <c r="AB191" s="2139"/>
      <c r="AC191" s="2139"/>
      <c r="AD191" s="2139"/>
      <c r="AE191" s="2139">
        <f>AE170</f>
        <v>0</v>
      </c>
      <c r="AF191" s="2139"/>
      <c r="AG191" s="2139"/>
      <c r="AH191" s="2139"/>
      <c r="AI191" s="2139">
        <f>AI170</f>
        <v>0</v>
      </c>
      <c r="AJ191" s="2139"/>
      <c r="AK191" s="2139"/>
      <c r="AL191" s="2139"/>
      <c r="AM191" s="2139">
        <f>AM170</f>
        <v>0</v>
      </c>
      <c r="AN191" s="2139"/>
      <c r="AO191" s="2139"/>
      <c r="AP191" s="2139"/>
      <c r="AQ191" s="2139">
        <f>AQ170</f>
        <v>0</v>
      </c>
      <c r="AR191" s="2139"/>
      <c r="AS191" s="2139"/>
      <c r="AT191" s="2139"/>
      <c r="AU191" s="2139">
        <f>AU170</f>
        <v>0</v>
      </c>
      <c r="AV191" s="2139"/>
      <c r="AW191" s="2139"/>
      <c r="AX191" s="2139"/>
      <c r="AY191" s="2139">
        <f>AY170</f>
        <v>0</v>
      </c>
      <c r="AZ191" s="2139"/>
      <c r="BA191" s="2139"/>
      <c r="BB191" s="2139"/>
      <c r="BC191" s="2139">
        <f>BC170</f>
        <v>0</v>
      </c>
      <c r="BD191" s="2139"/>
      <c r="BE191" s="2139"/>
      <c r="BF191" s="2139"/>
      <c r="BG191" s="650"/>
      <c r="BH191" s="2139">
        <f>IFERROR(BH192/BH190,0)</f>
        <v>0</v>
      </c>
      <c r="BI191" s="2139"/>
      <c r="BJ191" s="2139"/>
      <c r="BK191" s="2139"/>
      <c r="BL191" s="466"/>
      <c r="BM191" s="2139">
        <f>AVERAGE(K191:BF191)</f>
        <v>0</v>
      </c>
      <c r="BN191" s="2139"/>
      <c r="BO191" s="2139"/>
      <c r="BP191" s="2139"/>
      <c r="BQ191" s="466"/>
      <c r="BR191" s="466"/>
      <c r="BS191" s="466"/>
      <c r="BT191" s="466"/>
      <c r="BU191" s="9"/>
      <c r="BV191" s="275"/>
      <c r="BW191" s="275"/>
      <c r="BX191" s="275"/>
      <c r="BY191" s="275"/>
      <c r="BZ191" s="275"/>
    </row>
    <row r="192" spans="2:78" ht="15" customHeight="1" outlineLevel="1" x14ac:dyDescent="0.25">
      <c r="B192" s="8"/>
      <c r="C192" s="468" t="s">
        <v>467</v>
      </c>
      <c r="D192" s="469"/>
      <c r="E192" s="469"/>
      <c r="F192" s="469"/>
      <c r="G192" s="469"/>
      <c r="H192" s="469"/>
      <c r="I192" s="469"/>
      <c r="J192" s="441"/>
      <c r="K192" s="2127">
        <f>K190*K191</f>
        <v>0</v>
      </c>
      <c r="L192" s="2127"/>
      <c r="M192" s="2127"/>
      <c r="N192" s="2127"/>
      <c r="O192" s="2127">
        <f>O190*O191</f>
        <v>0</v>
      </c>
      <c r="P192" s="2127"/>
      <c r="Q192" s="2127"/>
      <c r="R192" s="2127"/>
      <c r="S192" s="2127">
        <f>S190*S191</f>
        <v>0</v>
      </c>
      <c r="T192" s="2127"/>
      <c r="U192" s="2127"/>
      <c r="V192" s="2127"/>
      <c r="W192" s="2127">
        <f>W190*W191</f>
        <v>0</v>
      </c>
      <c r="X192" s="2127"/>
      <c r="Y192" s="2127"/>
      <c r="Z192" s="2127"/>
      <c r="AA192" s="2127">
        <f>AA190*AA191</f>
        <v>0</v>
      </c>
      <c r="AB192" s="2127"/>
      <c r="AC192" s="2127"/>
      <c r="AD192" s="2127"/>
      <c r="AE192" s="2127">
        <f>AE190*AE191</f>
        <v>0</v>
      </c>
      <c r="AF192" s="2127"/>
      <c r="AG192" s="2127"/>
      <c r="AH192" s="2127"/>
      <c r="AI192" s="2127">
        <f>AI190*AI191</f>
        <v>0</v>
      </c>
      <c r="AJ192" s="2127"/>
      <c r="AK192" s="2127"/>
      <c r="AL192" s="2127"/>
      <c r="AM192" s="2127">
        <f>AM190*AM191</f>
        <v>0</v>
      </c>
      <c r="AN192" s="2127"/>
      <c r="AO192" s="2127"/>
      <c r="AP192" s="2127"/>
      <c r="AQ192" s="2127">
        <f>AQ190*AQ191</f>
        <v>0</v>
      </c>
      <c r="AR192" s="2127"/>
      <c r="AS192" s="2127"/>
      <c r="AT192" s="2127"/>
      <c r="AU192" s="2127">
        <f>AU190*AU191</f>
        <v>0</v>
      </c>
      <c r="AV192" s="2127"/>
      <c r="AW192" s="2127"/>
      <c r="AX192" s="2127"/>
      <c r="AY192" s="2127">
        <f>AY190*AY191</f>
        <v>0</v>
      </c>
      <c r="AZ192" s="2127"/>
      <c r="BA192" s="2127"/>
      <c r="BB192" s="2127"/>
      <c r="BC192" s="2127">
        <f>BC190*BC191</f>
        <v>0</v>
      </c>
      <c r="BD192" s="2127"/>
      <c r="BE192" s="2127"/>
      <c r="BF192" s="2127"/>
      <c r="BG192" s="23"/>
      <c r="BH192" s="2173">
        <f>IFERROR(SUM(K192:BF192),0)</f>
        <v>0</v>
      </c>
      <c r="BI192" s="2174"/>
      <c r="BJ192" s="2174"/>
      <c r="BK192" s="2175"/>
      <c r="BL192" s="466"/>
      <c r="BM192" s="2173">
        <f>AVERAGE(K192:BF192)</f>
        <v>0</v>
      </c>
      <c r="BN192" s="2174"/>
      <c r="BO192" s="2174"/>
      <c r="BP192" s="2175"/>
      <c r="BQ192" s="466"/>
      <c r="BR192" s="466"/>
      <c r="BS192" s="466"/>
      <c r="BT192" s="466"/>
      <c r="BU192" s="9"/>
      <c r="BV192" s="275"/>
      <c r="BW192" s="275"/>
      <c r="BX192" s="275"/>
      <c r="BY192" s="275"/>
      <c r="BZ192" s="275"/>
    </row>
    <row r="193" spans="2:78" ht="15" customHeight="1" outlineLevel="1" x14ac:dyDescent="0.25">
      <c r="B193" s="8"/>
      <c r="C193" s="98"/>
      <c r="D193" s="648"/>
      <c r="E193" s="648"/>
      <c r="F193" s="648"/>
      <c r="G193" s="648"/>
      <c r="H193" s="648"/>
      <c r="I193" s="648"/>
      <c r="J193" s="23"/>
      <c r="K193" s="646"/>
      <c r="L193" s="99"/>
      <c r="M193" s="99"/>
      <c r="N193" s="99"/>
      <c r="O193" s="646"/>
      <c r="P193" s="99"/>
      <c r="Q193" s="99"/>
      <c r="R193" s="99"/>
      <c r="S193" s="646"/>
      <c r="T193" s="99"/>
      <c r="U193" s="99"/>
      <c r="V193" s="99"/>
      <c r="W193" s="646"/>
      <c r="X193" s="99"/>
      <c r="Y193" s="99"/>
      <c r="Z193" s="99"/>
      <c r="AA193" s="646"/>
      <c r="AB193" s="99"/>
      <c r="AC193" s="99"/>
      <c r="AD193" s="99"/>
      <c r="AE193" s="646"/>
      <c r="AF193" s="99"/>
      <c r="AG193" s="99"/>
      <c r="AH193" s="99"/>
      <c r="AI193" s="646"/>
      <c r="AJ193" s="99"/>
      <c r="AK193" s="99"/>
      <c r="AL193" s="99"/>
      <c r="AM193" s="646"/>
      <c r="AN193" s="99"/>
      <c r="AO193" s="99"/>
      <c r="AP193" s="99"/>
      <c r="AQ193" s="646"/>
      <c r="AR193" s="99"/>
      <c r="AS193" s="99"/>
      <c r="AT193" s="99"/>
      <c r="AU193" s="646"/>
      <c r="AV193" s="99"/>
      <c r="AW193" s="99"/>
      <c r="AX193" s="99"/>
      <c r="AY193" s="646"/>
      <c r="AZ193" s="99"/>
      <c r="BA193" s="99"/>
      <c r="BB193" s="99"/>
      <c r="BC193" s="646"/>
      <c r="BD193" s="99"/>
      <c r="BE193" s="99"/>
      <c r="BF193" s="99"/>
      <c r="BG193" s="23"/>
      <c r="BH193" s="647"/>
      <c r="BI193" s="647"/>
      <c r="BJ193" s="647"/>
      <c r="BK193" s="647"/>
      <c r="BL193" s="466"/>
      <c r="BM193" s="466"/>
      <c r="BN193" s="466"/>
      <c r="BO193" s="466"/>
      <c r="BP193" s="466"/>
      <c r="BQ193" s="466"/>
      <c r="BR193" s="466"/>
      <c r="BS193" s="466"/>
      <c r="BT193" s="466"/>
      <c r="BU193" s="9"/>
      <c r="BV193" s="275"/>
      <c r="BW193" s="275"/>
      <c r="BX193" s="275"/>
      <c r="BY193" s="275"/>
      <c r="BZ193" s="275"/>
    </row>
    <row r="194" spans="2:78" ht="15" customHeight="1" outlineLevel="1" x14ac:dyDescent="0.25">
      <c r="B194" s="8"/>
      <c r="C194" s="98" t="s">
        <v>134</v>
      </c>
      <c r="D194" s="648"/>
      <c r="E194" s="648"/>
      <c r="F194" s="648"/>
      <c r="G194" s="648"/>
      <c r="H194" s="648"/>
      <c r="I194" s="648"/>
      <c r="J194" s="23"/>
      <c r="K194" s="2139">
        <f>$I$130</f>
        <v>0</v>
      </c>
      <c r="L194" s="2139"/>
      <c r="M194" s="2139"/>
      <c r="N194" s="2139"/>
      <c r="O194" s="2139">
        <f>$I$130</f>
        <v>0</v>
      </c>
      <c r="P194" s="2139"/>
      <c r="Q194" s="2139"/>
      <c r="R194" s="2139"/>
      <c r="S194" s="2139">
        <f>$I$130</f>
        <v>0</v>
      </c>
      <c r="T194" s="2139"/>
      <c r="U194" s="2139"/>
      <c r="V194" s="2139"/>
      <c r="W194" s="2139">
        <f>$I$130</f>
        <v>0</v>
      </c>
      <c r="X194" s="2139"/>
      <c r="Y194" s="2139"/>
      <c r="Z194" s="2139"/>
      <c r="AA194" s="2139">
        <f>$I$130</f>
        <v>0</v>
      </c>
      <c r="AB194" s="2139"/>
      <c r="AC194" s="2139"/>
      <c r="AD194" s="2139"/>
      <c r="AE194" s="2139">
        <f>$I$130</f>
        <v>0</v>
      </c>
      <c r="AF194" s="2139"/>
      <c r="AG194" s="2139"/>
      <c r="AH194" s="2139"/>
      <c r="AI194" s="2139">
        <f>$I$130</f>
        <v>0</v>
      </c>
      <c r="AJ194" s="2139"/>
      <c r="AK194" s="2139"/>
      <c r="AL194" s="2139"/>
      <c r="AM194" s="2139">
        <f>$I$130</f>
        <v>0</v>
      </c>
      <c r="AN194" s="2139"/>
      <c r="AO194" s="2139"/>
      <c r="AP194" s="2139"/>
      <c r="AQ194" s="2139">
        <f>$I$130</f>
        <v>0</v>
      </c>
      <c r="AR194" s="2139"/>
      <c r="AS194" s="2139"/>
      <c r="AT194" s="2139"/>
      <c r="AU194" s="2139">
        <f>$I$130</f>
        <v>0</v>
      </c>
      <c r="AV194" s="2139"/>
      <c r="AW194" s="2139"/>
      <c r="AX194" s="2139"/>
      <c r="AY194" s="2139">
        <f>$I$130</f>
        <v>0</v>
      </c>
      <c r="AZ194" s="2139"/>
      <c r="BA194" s="2139"/>
      <c r="BB194" s="2139"/>
      <c r="BC194" s="2139">
        <f>$I$130</f>
        <v>0</v>
      </c>
      <c r="BD194" s="2139"/>
      <c r="BE194" s="2139"/>
      <c r="BF194" s="2139"/>
      <c r="BG194" s="23"/>
      <c r="BH194" s="2139">
        <f>IFERROR(SUM(K194:BF194),0)</f>
        <v>0</v>
      </c>
      <c r="BI194" s="2139"/>
      <c r="BJ194" s="2139"/>
      <c r="BK194" s="2139"/>
      <c r="BL194" s="466"/>
      <c r="BM194" s="2139">
        <f>AVERAGE(K194:BF194)</f>
        <v>0</v>
      </c>
      <c r="BN194" s="2139"/>
      <c r="BO194" s="2139"/>
      <c r="BP194" s="2139"/>
      <c r="BQ194" s="466"/>
      <c r="BR194" s="466"/>
      <c r="BS194" s="466"/>
      <c r="BT194" s="466"/>
      <c r="BU194" s="9"/>
      <c r="BV194" s="275"/>
      <c r="BW194" s="275"/>
      <c r="BX194" s="275"/>
      <c r="BY194" s="275"/>
      <c r="BZ194" s="275"/>
    </row>
    <row r="195" spans="2:78" ht="15" customHeight="1" outlineLevel="1" x14ac:dyDescent="0.25">
      <c r="B195" s="8"/>
      <c r="C195" s="98" t="s">
        <v>966</v>
      </c>
      <c r="D195" s="648"/>
      <c r="E195" s="648"/>
      <c r="F195" s="648"/>
      <c r="G195" s="648"/>
      <c r="H195" s="648"/>
      <c r="I195" s="648"/>
      <c r="J195" s="23"/>
      <c r="K195" s="2139">
        <f>K190*$AF$138</f>
        <v>0</v>
      </c>
      <c r="L195" s="2139"/>
      <c r="M195" s="2139"/>
      <c r="N195" s="2139"/>
      <c r="O195" s="2139">
        <f>O190*$AF$138</f>
        <v>0</v>
      </c>
      <c r="P195" s="2139"/>
      <c r="Q195" s="2139"/>
      <c r="R195" s="2139"/>
      <c r="S195" s="2139">
        <f>S190*$AF$138</f>
        <v>0</v>
      </c>
      <c r="T195" s="2139"/>
      <c r="U195" s="2139"/>
      <c r="V195" s="2139"/>
      <c r="W195" s="2139">
        <f>W190*$AF$138</f>
        <v>0</v>
      </c>
      <c r="X195" s="2139"/>
      <c r="Y195" s="2139"/>
      <c r="Z195" s="2139"/>
      <c r="AA195" s="2139">
        <f>AA190*$AF$138</f>
        <v>0</v>
      </c>
      <c r="AB195" s="2139"/>
      <c r="AC195" s="2139"/>
      <c r="AD195" s="2139"/>
      <c r="AE195" s="2139">
        <f>AE190*$AF$138</f>
        <v>0</v>
      </c>
      <c r="AF195" s="2139"/>
      <c r="AG195" s="2139"/>
      <c r="AH195" s="2139"/>
      <c r="AI195" s="2139">
        <f>AI190*$AF$138</f>
        <v>0</v>
      </c>
      <c r="AJ195" s="2139"/>
      <c r="AK195" s="2139"/>
      <c r="AL195" s="2139"/>
      <c r="AM195" s="2139">
        <f>AM190*$AF$138</f>
        <v>0</v>
      </c>
      <c r="AN195" s="2139"/>
      <c r="AO195" s="2139"/>
      <c r="AP195" s="2139"/>
      <c r="AQ195" s="2139">
        <f>AQ190*$AF$138</f>
        <v>0</v>
      </c>
      <c r="AR195" s="2139"/>
      <c r="AS195" s="2139"/>
      <c r="AT195" s="2139"/>
      <c r="AU195" s="2139">
        <f>AU190*$AF$138</f>
        <v>0</v>
      </c>
      <c r="AV195" s="2139"/>
      <c r="AW195" s="2139"/>
      <c r="AX195" s="2139"/>
      <c r="AY195" s="2139">
        <f>AY190*$AF$138</f>
        <v>0</v>
      </c>
      <c r="AZ195" s="2139"/>
      <c r="BA195" s="2139"/>
      <c r="BB195" s="2139"/>
      <c r="BC195" s="2139">
        <f>BC190*$AF$138</f>
        <v>0</v>
      </c>
      <c r="BD195" s="2139"/>
      <c r="BE195" s="2139"/>
      <c r="BF195" s="2139"/>
      <c r="BG195" s="23"/>
      <c r="BH195" s="2139">
        <f>IFERROR(SUM(K195:BF195),0)</f>
        <v>0</v>
      </c>
      <c r="BI195" s="2139"/>
      <c r="BJ195" s="2139"/>
      <c r="BK195" s="2139"/>
      <c r="BL195" s="466"/>
      <c r="BM195" s="2139">
        <f>AVERAGE(K195:BF195)</f>
        <v>0</v>
      </c>
      <c r="BN195" s="2139"/>
      <c r="BO195" s="2139"/>
      <c r="BP195" s="2139"/>
      <c r="BQ195" s="466"/>
      <c r="BR195" s="466"/>
      <c r="BS195" s="466"/>
      <c r="BT195" s="466"/>
      <c r="BU195" s="9"/>
      <c r="BV195" s="275"/>
      <c r="BW195" s="275"/>
      <c r="BX195" s="275"/>
      <c r="BY195" s="275"/>
      <c r="BZ195" s="275"/>
    </row>
    <row r="196" spans="2:78" ht="15" customHeight="1" outlineLevel="1" x14ac:dyDescent="0.25">
      <c r="B196" s="1791" t="s">
        <v>1149</v>
      </c>
      <c r="C196" s="98" t="s">
        <v>576</v>
      </c>
      <c r="D196" s="23"/>
      <c r="E196" s="23"/>
      <c r="F196" s="23"/>
      <c r="G196" s="23"/>
      <c r="H196" s="23"/>
      <c r="I196" s="23"/>
      <c r="J196" s="23"/>
      <c r="K196" s="2139">
        <f>IFERROR(-$AF$134*(K192+K231+K232),0)</f>
        <v>0</v>
      </c>
      <c r="L196" s="2139"/>
      <c r="M196" s="2139"/>
      <c r="N196" s="2139"/>
      <c r="O196" s="2139">
        <f>IFERROR(-$AF$134*(O192+O231+O232),0)</f>
        <v>0</v>
      </c>
      <c r="P196" s="2139"/>
      <c r="Q196" s="2139"/>
      <c r="R196" s="2139"/>
      <c r="S196" s="2139">
        <f>IFERROR(-$AF$134*(S192+S231+S232),0)</f>
        <v>0</v>
      </c>
      <c r="T196" s="2139"/>
      <c r="U196" s="2139"/>
      <c r="V196" s="2139"/>
      <c r="W196" s="2139">
        <f>IFERROR(-$AF$134*(W192+W231+W232),0)</f>
        <v>0</v>
      </c>
      <c r="X196" s="2139"/>
      <c r="Y196" s="2139"/>
      <c r="Z196" s="2139"/>
      <c r="AA196" s="2139">
        <f>IFERROR(-$AF$134*(AA192+AA231+AA232),0)</f>
        <v>0</v>
      </c>
      <c r="AB196" s="2139"/>
      <c r="AC196" s="2139"/>
      <c r="AD196" s="2139"/>
      <c r="AE196" s="2139">
        <f>IFERROR(-$AF$134*(AE192+AE231+AE232),0)</f>
        <v>0</v>
      </c>
      <c r="AF196" s="2139"/>
      <c r="AG196" s="2139"/>
      <c r="AH196" s="2139"/>
      <c r="AI196" s="2139">
        <f>IFERROR(-$AF$134*(AI192+AI231+AI232),0)</f>
        <v>0</v>
      </c>
      <c r="AJ196" s="2139"/>
      <c r="AK196" s="2139"/>
      <c r="AL196" s="2139"/>
      <c r="AM196" s="2139">
        <f>IFERROR(-$AF$134*(AM192+AM231+AM232),0)</f>
        <v>0</v>
      </c>
      <c r="AN196" s="2139"/>
      <c r="AO196" s="2139"/>
      <c r="AP196" s="2139"/>
      <c r="AQ196" s="2139">
        <f>IFERROR(-$AF$134*(AQ192+AQ231+AQ232),0)</f>
        <v>0</v>
      </c>
      <c r="AR196" s="2139"/>
      <c r="AS196" s="2139"/>
      <c r="AT196" s="2139"/>
      <c r="AU196" s="2139">
        <f>IFERROR(-$AF$134*(AU192+AU231+AU232),0)</f>
        <v>0</v>
      </c>
      <c r="AV196" s="2139"/>
      <c r="AW196" s="2139"/>
      <c r="AX196" s="2139"/>
      <c r="AY196" s="2139">
        <f>IFERROR(-$AF$134*(AY192+AY231+AY232),0)</f>
        <v>0</v>
      </c>
      <c r="AZ196" s="2139"/>
      <c r="BA196" s="2139"/>
      <c r="BB196" s="2139"/>
      <c r="BC196" s="2139">
        <f>IFERROR(-$AF$134*(BC192+BC231+BC232),0)</f>
        <v>0</v>
      </c>
      <c r="BD196" s="2139"/>
      <c r="BE196" s="2139"/>
      <c r="BF196" s="2139"/>
      <c r="BG196" s="23"/>
      <c r="BH196" s="2139">
        <f>IFERROR(SUM(K196:BF196),0)</f>
        <v>0</v>
      </c>
      <c r="BI196" s="2139"/>
      <c r="BJ196" s="2139"/>
      <c r="BK196" s="2139"/>
      <c r="BL196" s="466"/>
      <c r="BM196" s="2139">
        <f>AVERAGE(K196:BF196)</f>
        <v>0</v>
      </c>
      <c r="BN196" s="2139"/>
      <c r="BO196" s="2139"/>
      <c r="BP196" s="2139"/>
      <c r="BQ196" s="466"/>
      <c r="BR196" s="466"/>
      <c r="BS196" s="466"/>
      <c r="BT196" s="466"/>
      <c r="BU196" s="9"/>
      <c r="BV196" s="275"/>
      <c r="BW196" s="275"/>
      <c r="BX196" s="275"/>
      <c r="BY196" s="275"/>
      <c r="BZ196" s="275"/>
    </row>
    <row r="197" spans="2:78" ht="15" customHeight="1" outlineLevel="1" x14ac:dyDescent="0.25">
      <c r="B197" s="8"/>
      <c r="C197" s="468" t="s">
        <v>584</v>
      </c>
      <c r="D197" s="469"/>
      <c r="E197" s="469"/>
      <c r="F197" s="469"/>
      <c r="G197" s="469"/>
      <c r="H197" s="469"/>
      <c r="I197" s="469"/>
      <c r="J197" s="441"/>
      <c r="K197" s="2127">
        <f>K192+K196+K194+K195</f>
        <v>0</v>
      </c>
      <c r="L197" s="2127"/>
      <c r="M197" s="2127"/>
      <c r="N197" s="2127"/>
      <c r="O197" s="2127">
        <f>O192+O196+O194+O195</f>
        <v>0</v>
      </c>
      <c r="P197" s="2127"/>
      <c r="Q197" s="2127"/>
      <c r="R197" s="2127"/>
      <c r="S197" s="2127">
        <f>S192+S196+S194+S195</f>
        <v>0</v>
      </c>
      <c r="T197" s="2127"/>
      <c r="U197" s="2127"/>
      <c r="V197" s="2127"/>
      <c r="W197" s="2127">
        <f>W192+W196+W194+W195</f>
        <v>0</v>
      </c>
      <c r="X197" s="2127"/>
      <c r="Y197" s="2127"/>
      <c r="Z197" s="2127"/>
      <c r="AA197" s="2127">
        <f>AA192+AA196+AA194+AA195</f>
        <v>0</v>
      </c>
      <c r="AB197" s="2127"/>
      <c r="AC197" s="2127"/>
      <c r="AD197" s="2127"/>
      <c r="AE197" s="2127">
        <f>AE192+AE196+AE194+AE195</f>
        <v>0</v>
      </c>
      <c r="AF197" s="2127"/>
      <c r="AG197" s="2127"/>
      <c r="AH197" s="2127"/>
      <c r="AI197" s="2127">
        <f>AI192+AI196+AI194+AI195</f>
        <v>0</v>
      </c>
      <c r="AJ197" s="2127"/>
      <c r="AK197" s="2127"/>
      <c r="AL197" s="2127"/>
      <c r="AM197" s="2127">
        <f>AM192+AM196+AM194+AM195</f>
        <v>0</v>
      </c>
      <c r="AN197" s="2127"/>
      <c r="AO197" s="2127"/>
      <c r="AP197" s="2127"/>
      <c r="AQ197" s="2127">
        <f>AQ192+AQ196+AQ194+AQ195</f>
        <v>0</v>
      </c>
      <c r="AR197" s="2127"/>
      <c r="AS197" s="2127"/>
      <c r="AT197" s="2127"/>
      <c r="AU197" s="2127">
        <f>AU192+AU196+AU194+AU195</f>
        <v>0</v>
      </c>
      <c r="AV197" s="2127"/>
      <c r="AW197" s="2127"/>
      <c r="AX197" s="2127"/>
      <c r="AY197" s="2127">
        <f>AY192+AY196+AY194+AY195</f>
        <v>0</v>
      </c>
      <c r="AZ197" s="2127"/>
      <c r="BA197" s="2127"/>
      <c r="BB197" s="2127"/>
      <c r="BC197" s="2127">
        <f>BC192+BC196+BC194+BC195</f>
        <v>0</v>
      </c>
      <c r="BD197" s="2127"/>
      <c r="BE197" s="2127"/>
      <c r="BF197" s="2127"/>
      <c r="BG197" s="23"/>
      <c r="BH197" s="2173">
        <f>IFERROR(SUM(K197:BF197),0)</f>
        <v>0</v>
      </c>
      <c r="BI197" s="2174"/>
      <c r="BJ197" s="2174"/>
      <c r="BK197" s="2175"/>
      <c r="BL197" s="466"/>
      <c r="BM197" s="2173">
        <f>AVERAGE(K197:BF197)</f>
        <v>0</v>
      </c>
      <c r="BN197" s="2174"/>
      <c r="BO197" s="2174"/>
      <c r="BP197" s="2175"/>
      <c r="BQ197" s="466"/>
      <c r="BR197" s="466"/>
      <c r="BS197" s="466"/>
      <c r="BT197" s="466"/>
      <c r="BU197" s="9"/>
      <c r="BV197" s="275"/>
      <c r="BW197" s="275"/>
      <c r="BX197" s="275"/>
      <c r="BY197" s="275"/>
      <c r="BZ197" s="275"/>
    </row>
    <row r="198" spans="2:78" ht="15" customHeight="1" outlineLevel="1" x14ac:dyDescent="0.25">
      <c r="B198" s="8"/>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99"/>
      <c r="AC198" s="99"/>
      <c r="AD198" s="99"/>
      <c r="AE198" s="99"/>
      <c r="AF198" s="99"/>
      <c r="AG198" s="99"/>
      <c r="AH198" s="99"/>
      <c r="AI198" s="99"/>
      <c r="AJ198" s="99"/>
      <c r="AK198" s="99"/>
      <c r="AL198" s="99"/>
      <c r="AM198" s="99"/>
      <c r="AN198" s="99"/>
      <c r="AO198" s="99"/>
      <c r="AP198" s="99"/>
      <c r="AQ198" s="99"/>
      <c r="AR198" s="99"/>
      <c r="AS198" s="99"/>
      <c r="AT198" s="99"/>
      <c r="AU198" s="99"/>
      <c r="AV198" s="99"/>
      <c r="AW198" s="99"/>
      <c r="AX198" s="99"/>
      <c r="AY198" s="99"/>
      <c r="AZ198" s="99"/>
      <c r="BA198" s="99"/>
      <c r="BB198" s="99"/>
      <c r="BC198" s="99"/>
      <c r="BD198" s="99"/>
      <c r="BE198" s="99"/>
      <c r="BF198" s="99"/>
      <c r="BG198" s="99"/>
      <c r="BH198" s="99"/>
      <c r="BI198" s="99"/>
      <c r="BJ198" s="99"/>
      <c r="BK198" s="99"/>
      <c r="BL198" s="466"/>
      <c r="BM198" s="466"/>
      <c r="BN198" s="466"/>
      <c r="BO198" s="466"/>
      <c r="BP198" s="466"/>
      <c r="BQ198" s="466"/>
      <c r="BR198" s="466"/>
      <c r="BS198" s="466"/>
      <c r="BT198" s="466"/>
      <c r="BU198" s="9"/>
      <c r="BV198" s="275"/>
      <c r="BW198" s="275"/>
      <c r="BX198" s="275"/>
      <c r="BY198" s="275"/>
      <c r="BZ198" s="275"/>
    </row>
    <row r="199" spans="2:78" ht="15" customHeight="1" outlineLevel="1" x14ac:dyDescent="0.25">
      <c r="B199" s="8"/>
      <c r="C199" s="651" t="str">
        <f t="shared" ref="C199:C207" si="7">W119</f>
        <v>Electrical Utilities</v>
      </c>
      <c r="D199" s="99"/>
      <c r="E199" s="99"/>
      <c r="F199" s="99"/>
      <c r="G199" s="99"/>
      <c r="H199" s="99"/>
      <c r="I199" s="99"/>
      <c r="J199" s="99"/>
      <c r="K199" s="2139">
        <f>-$AE$119</f>
        <v>0</v>
      </c>
      <c r="L199" s="2139"/>
      <c r="M199" s="2139"/>
      <c r="N199" s="2139"/>
      <c r="O199" s="2139">
        <f>-$AE$119</f>
        <v>0</v>
      </c>
      <c r="P199" s="2139"/>
      <c r="Q199" s="2139"/>
      <c r="R199" s="2139"/>
      <c r="S199" s="2139">
        <f>-$AE$119</f>
        <v>0</v>
      </c>
      <c r="T199" s="2139"/>
      <c r="U199" s="2139"/>
      <c r="V199" s="2139"/>
      <c r="W199" s="2139">
        <f>-$AE$119</f>
        <v>0</v>
      </c>
      <c r="X199" s="2139"/>
      <c r="Y199" s="2139"/>
      <c r="Z199" s="2139"/>
      <c r="AA199" s="2139">
        <f>-$AE$119</f>
        <v>0</v>
      </c>
      <c r="AB199" s="2139"/>
      <c r="AC199" s="2139"/>
      <c r="AD199" s="2139"/>
      <c r="AE199" s="2139">
        <f>-$AE$119</f>
        <v>0</v>
      </c>
      <c r="AF199" s="2139"/>
      <c r="AG199" s="2139"/>
      <c r="AH199" s="2139"/>
      <c r="AI199" s="2139">
        <f>-$AE$119</f>
        <v>0</v>
      </c>
      <c r="AJ199" s="2139"/>
      <c r="AK199" s="2139"/>
      <c r="AL199" s="2139"/>
      <c r="AM199" s="2139">
        <f>-$AE$119</f>
        <v>0</v>
      </c>
      <c r="AN199" s="2139"/>
      <c r="AO199" s="2139"/>
      <c r="AP199" s="2139"/>
      <c r="AQ199" s="2139">
        <f>-$AE$119</f>
        <v>0</v>
      </c>
      <c r="AR199" s="2139"/>
      <c r="AS199" s="2139"/>
      <c r="AT199" s="2139"/>
      <c r="AU199" s="2139">
        <f>-$AE$119</f>
        <v>0</v>
      </c>
      <c r="AV199" s="2139"/>
      <c r="AW199" s="2139"/>
      <c r="AX199" s="2139"/>
      <c r="AY199" s="2139">
        <f>-$AE$119</f>
        <v>0</v>
      </c>
      <c r="AZ199" s="2139"/>
      <c r="BA199" s="2139"/>
      <c r="BB199" s="2139"/>
      <c r="BC199" s="2139">
        <f>-$AE$119</f>
        <v>0</v>
      </c>
      <c r="BD199" s="2139"/>
      <c r="BE199" s="2139"/>
      <c r="BF199" s="2139"/>
      <c r="BG199" s="99"/>
      <c r="BH199" s="2139">
        <f>IFERROR(SUM(K199:BF199),0)</f>
        <v>0</v>
      </c>
      <c r="BI199" s="2139"/>
      <c r="BJ199" s="2139"/>
      <c r="BK199" s="2139"/>
      <c r="BL199" s="466"/>
      <c r="BM199" s="2139">
        <f t="shared" ref="BM199:BM216" si="8">AVERAGE(K199:BF199)</f>
        <v>0</v>
      </c>
      <c r="BN199" s="2139"/>
      <c r="BO199" s="2139"/>
      <c r="BP199" s="2139"/>
      <c r="BQ199" s="466"/>
      <c r="BR199" s="466"/>
      <c r="BS199" s="466"/>
      <c r="BT199" s="466"/>
      <c r="BU199" s="9"/>
      <c r="BV199" s="275"/>
      <c r="BW199" s="275"/>
      <c r="BX199" s="275"/>
      <c r="BY199" s="275"/>
      <c r="BZ199" s="275"/>
    </row>
    <row r="200" spans="2:78" ht="15" customHeight="1" outlineLevel="1" x14ac:dyDescent="0.25">
      <c r="B200" s="8"/>
      <c r="C200" s="651" t="str">
        <f t="shared" si="7"/>
        <v>Gas Utilities</v>
      </c>
      <c r="D200" s="99"/>
      <c r="E200" s="99"/>
      <c r="F200" s="99"/>
      <c r="G200" s="99"/>
      <c r="H200" s="99"/>
      <c r="I200" s="99"/>
      <c r="J200" s="99"/>
      <c r="K200" s="2139">
        <f t="shared" ref="K200:K207" si="9">-$AE120</f>
        <v>0</v>
      </c>
      <c r="L200" s="2139"/>
      <c r="M200" s="2139"/>
      <c r="N200" s="2139"/>
      <c r="O200" s="2139">
        <f>-$AE$120</f>
        <v>0</v>
      </c>
      <c r="P200" s="2139"/>
      <c r="Q200" s="2139"/>
      <c r="R200" s="2139"/>
      <c r="S200" s="2139">
        <f>-$AE$120</f>
        <v>0</v>
      </c>
      <c r="T200" s="2139"/>
      <c r="U200" s="2139"/>
      <c r="V200" s="2139"/>
      <c r="W200" s="2139">
        <f>-$AE$120</f>
        <v>0</v>
      </c>
      <c r="X200" s="2139"/>
      <c r="Y200" s="2139"/>
      <c r="Z200" s="2139"/>
      <c r="AA200" s="2139">
        <f>-$AE$120</f>
        <v>0</v>
      </c>
      <c r="AB200" s="2139"/>
      <c r="AC200" s="2139"/>
      <c r="AD200" s="2139"/>
      <c r="AE200" s="2139">
        <f>-$AE$120</f>
        <v>0</v>
      </c>
      <c r="AF200" s="2139"/>
      <c r="AG200" s="2139"/>
      <c r="AH200" s="2139"/>
      <c r="AI200" s="2139">
        <f>-$AE$120</f>
        <v>0</v>
      </c>
      <c r="AJ200" s="2139"/>
      <c r="AK200" s="2139"/>
      <c r="AL200" s="2139"/>
      <c r="AM200" s="2139">
        <f>-$AE$120</f>
        <v>0</v>
      </c>
      <c r="AN200" s="2139"/>
      <c r="AO200" s="2139"/>
      <c r="AP200" s="2139"/>
      <c r="AQ200" s="2139">
        <f>-$AE$120</f>
        <v>0</v>
      </c>
      <c r="AR200" s="2139"/>
      <c r="AS200" s="2139"/>
      <c r="AT200" s="2139"/>
      <c r="AU200" s="2139">
        <f>-$AE$120</f>
        <v>0</v>
      </c>
      <c r="AV200" s="2139"/>
      <c r="AW200" s="2139"/>
      <c r="AX200" s="2139"/>
      <c r="AY200" s="2139">
        <f>-$AE$120</f>
        <v>0</v>
      </c>
      <c r="AZ200" s="2139"/>
      <c r="BA200" s="2139"/>
      <c r="BB200" s="2139"/>
      <c r="BC200" s="2139">
        <f>-$AE$120</f>
        <v>0</v>
      </c>
      <c r="BD200" s="2139"/>
      <c r="BE200" s="2139"/>
      <c r="BF200" s="2139"/>
      <c r="BG200" s="99"/>
      <c r="BH200" s="2139">
        <f t="shared" ref="BH200:BH207" si="10">IFERROR(SUM(K200:BF200),0)</f>
        <v>0</v>
      </c>
      <c r="BI200" s="2139"/>
      <c r="BJ200" s="2139"/>
      <c r="BK200" s="2139"/>
      <c r="BL200" s="466"/>
      <c r="BM200" s="2139">
        <f t="shared" si="8"/>
        <v>0</v>
      </c>
      <c r="BN200" s="2139"/>
      <c r="BO200" s="2139"/>
      <c r="BP200" s="2139"/>
      <c r="BQ200" s="466"/>
      <c r="BR200" s="466"/>
      <c r="BS200" s="466"/>
      <c r="BT200" s="466"/>
      <c r="BU200" s="9"/>
      <c r="BV200" s="275"/>
      <c r="BW200" s="275"/>
      <c r="BX200" s="275"/>
      <c r="BY200" s="275"/>
      <c r="BZ200" s="275"/>
    </row>
    <row r="201" spans="2:78" ht="15" customHeight="1" outlineLevel="1" x14ac:dyDescent="0.25">
      <c r="B201" s="8"/>
      <c r="C201" s="651" t="str">
        <f t="shared" si="7"/>
        <v>Water Utilities</v>
      </c>
      <c r="D201" s="99"/>
      <c r="E201" s="99"/>
      <c r="F201" s="99"/>
      <c r="G201" s="99"/>
      <c r="H201" s="99"/>
      <c r="I201" s="99"/>
      <c r="J201" s="99"/>
      <c r="K201" s="2139">
        <f t="shared" si="9"/>
        <v>0</v>
      </c>
      <c r="L201" s="2139"/>
      <c r="M201" s="2139"/>
      <c r="N201" s="2139"/>
      <c r="O201" s="2139">
        <f t="shared" ref="O201:O207" si="11">-$AE121</f>
        <v>0</v>
      </c>
      <c r="P201" s="2139"/>
      <c r="Q201" s="2139"/>
      <c r="R201" s="2139"/>
      <c r="S201" s="2139">
        <f t="shared" ref="S201:S207" si="12">-$AE121</f>
        <v>0</v>
      </c>
      <c r="T201" s="2139"/>
      <c r="U201" s="2139"/>
      <c r="V201" s="2139"/>
      <c r="W201" s="2139">
        <f t="shared" ref="W201:W207" si="13">-$AE121</f>
        <v>0</v>
      </c>
      <c r="X201" s="2139"/>
      <c r="Y201" s="2139"/>
      <c r="Z201" s="2139"/>
      <c r="AA201" s="2139">
        <f t="shared" ref="AA201:AA207" si="14">-$AE121</f>
        <v>0</v>
      </c>
      <c r="AB201" s="2139"/>
      <c r="AC201" s="2139"/>
      <c r="AD201" s="2139"/>
      <c r="AE201" s="2139">
        <f t="shared" ref="AE201:AE207" si="15">-$AE121</f>
        <v>0</v>
      </c>
      <c r="AF201" s="2139"/>
      <c r="AG201" s="2139"/>
      <c r="AH201" s="2139"/>
      <c r="AI201" s="2139">
        <f t="shared" ref="AI201:AI207" si="16">-$AE121</f>
        <v>0</v>
      </c>
      <c r="AJ201" s="2139"/>
      <c r="AK201" s="2139"/>
      <c r="AL201" s="2139"/>
      <c r="AM201" s="2139">
        <f t="shared" ref="AM201:AM207" si="17">-$AE121</f>
        <v>0</v>
      </c>
      <c r="AN201" s="2139"/>
      <c r="AO201" s="2139"/>
      <c r="AP201" s="2139"/>
      <c r="AQ201" s="2139">
        <f t="shared" ref="AQ201:AQ207" si="18">-$AE121</f>
        <v>0</v>
      </c>
      <c r="AR201" s="2139"/>
      <c r="AS201" s="2139"/>
      <c r="AT201" s="2139"/>
      <c r="AU201" s="2139">
        <f t="shared" ref="AU201:AU207" si="19">-$AE121</f>
        <v>0</v>
      </c>
      <c r="AV201" s="2139"/>
      <c r="AW201" s="2139"/>
      <c r="AX201" s="2139"/>
      <c r="AY201" s="2139">
        <f t="shared" ref="AY201:AY207" si="20">-$AE121</f>
        <v>0</v>
      </c>
      <c r="AZ201" s="2139"/>
      <c r="BA201" s="2139"/>
      <c r="BB201" s="2139"/>
      <c r="BC201" s="2139">
        <f t="shared" ref="BC201:BC207" si="21">-$AE121</f>
        <v>0</v>
      </c>
      <c r="BD201" s="2139"/>
      <c r="BE201" s="2139"/>
      <c r="BF201" s="2139"/>
      <c r="BG201" s="99"/>
      <c r="BH201" s="2139">
        <f t="shared" si="10"/>
        <v>0</v>
      </c>
      <c r="BI201" s="2139"/>
      <c r="BJ201" s="2139"/>
      <c r="BK201" s="2139"/>
      <c r="BL201" s="466"/>
      <c r="BM201" s="2139">
        <f t="shared" si="8"/>
        <v>0</v>
      </c>
      <c r="BN201" s="2139"/>
      <c r="BO201" s="2139"/>
      <c r="BP201" s="2139"/>
      <c r="BQ201" s="466"/>
      <c r="BR201" s="466"/>
      <c r="BS201" s="466"/>
      <c r="BT201" s="466"/>
      <c r="BU201" s="9"/>
      <c r="BV201" s="275"/>
      <c r="BW201" s="275"/>
      <c r="BX201" s="275"/>
      <c r="BY201" s="275"/>
      <c r="BZ201" s="275"/>
    </row>
    <row r="202" spans="2:78" ht="15" customHeight="1" outlineLevel="1" x14ac:dyDescent="0.25">
      <c r="B202" s="8"/>
      <c r="C202" s="651" t="str">
        <f t="shared" si="7"/>
        <v>Phone</v>
      </c>
      <c r="D202" s="99"/>
      <c r="E202" s="99"/>
      <c r="F202" s="99"/>
      <c r="G202" s="99"/>
      <c r="H202" s="99"/>
      <c r="I202" s="99"/>
      <c r="J202" s="99"/>
      <c r="K202" s="2139">
        <f t="shared" si="9"/>
        <v>0</v>
      </c>
      <c r="L202" s="2139"/>
      <c r="M202" s="2139"/>
      <c r="N202" s="2139"/>
      <c r="O202" s="2139">
        <f t="shared" si="11"/>
        <v>0</v>
      </c>
      <c r="P202" s="2139"/>
      <c r="Q202" s="2139"/>
      <c r="R202" s="2139"/>
      <c r="S202" s="2139">
        <f t="shared" si="12"/>
        <v>0</v>
      </c>
      <c r="T202" s="2139"/>
      <c r="U202" s="2139"/>
      <c r="V202" s="2139"/>
      <c r="W202" s="2139">
        <f t="shared" si="13"/>
        <v>0</v>
      </c>
      <c r="X202" s="2139"/>
      <c r="Y202" s="2139"/>
      <c r="Z202" s="2139"/>
      <c r="AA202" s="2139">
        <f t="shared" si="14"/>
        <v>0</v>
      </c>
      <c r="AB202" s="2139"/>
      <c r="AC202" s="2139"/>
      <c r="AD202" s="2139"/>
      <c r="AE202" s="2139">
        <f t="shared" si="15"/>
        <v>0</v>
      </c>
      <c r="AF202" s="2139"/>
      <c r="AG202" s="2139"/>
      <c r="AH202" s="2139"/>
      <c r="AI202" s="2139">
        <f t="shared" si="16"/>
        <v>0</v>
      </c>
      <c r="AJ202" s="2139"/>
      <c r="AK202" s="2139"/>
      <c r="AL202" s="2139"/>
      <c r="AM202" s="2139">
        <f t="shared" si="17"/>
        <v>0</v>
      </c>
      <c r="AN202" s="2139"/>
      <c r="AO202" s="2139"/>
      <c r="AP202" s="2139"/>
      <c r="AQ202" s="2139">
        <f t="shared" si="18"/>
        <v>0</v>
      </c>
      <c r="AR202" s="2139"/>
      <c r="AS202" s="2139"/>
      <c r="AT202" s="2139"/>
      <c r="AU202" s="2139">
        <f t="shared" si="19"/>
        <v>0</v>
      </c>
      <c r="AV202" s="2139"/>
      <c r="AW202" s="2139"/>
      <c r="AX202" s="2139"/>
      <c r="AY202" s="2139">
        <f t="shared" si="20"/>
        <v>0</v>
      </c>
      <c r="AZ202" s="2139"/>
      <c r="BA202" s="2139"/>
      <c r="BB202" s="2139"/>
      <c r="BC202" s="2139">
        <f t="shared" si="21"/>
        <v>0</v>
      </c>
      <c r="BD202" s="2139"/>
      <c r="BE202" s="2139"/>
      <c r="BF202" s="2139"/>
      <c r="BG202" s="99"/>
      <c r="BH202" s="2139">
        <f t="shared" si="10"/>
        <v>0</v>
      </c>
      <c r="BI202" s="2139"/>
      <c r="BJ202" s="2139"/>
      <c r="BK202" s="2139"/>
      <c r="BL202" s="466"/>
      <c r="BM202" s="2139">
        <f t="shared" si="8"/>
        <v>0</v>
      </c>
      <c r="BN202" s="2139"/>
      <c r="BO202" s="2139"/>
      <c r="BP202" s="2139"/>
      <c r="BQ202" s="466"/>
      <c r="BR202" s="466"/>
      <c r="BS202" s="466"/>
      <c r="BT202" s="466"/>
      <c r="BU202" s="9"/>
      <c r="BV202" s="275"/>
      <c r="BW202" s="275"/>
      <c r="BX202" s="275"/>
      <c r="BY202" s="275"/>
      <c r="BZ202" s="275"/>
    </row>
    <row r="203" spans="2:78" ht="15" customHeight="1" outlineLevel="1" x14ac:dyDescent="0.25">
      <c r="B203" s="8"/>
      <c r="C203" s="651" t="str">
        <f t="shared" si="7"/>
        <v>Internet</v>
      </c>
      <c r="D203" s="99"/>
      <c r="E203" s="99"/>
      <c r="F203" s="99"/>
      <c r="G203" s="99"/>
      <c r="H203" s="99"/>
      <c r="I203" s="99"/>
      <c r="J203" s="99"/>
      <c r="K203" s="2139">
        <f t="shared" si="9"/>
        <v>0</v>
      </c>
      <c r="L203" s="2139"/>
      <c r="M203" s="2139"/>
      <c r="N203" s="2139"/>
      <c r="O203" s="2139">
        <f t="shared" si="11"/>
        <v>0</v>
      </c>
      <c r="P203" s="2139"/>
      <c r="Q203" s="2139"/>
      <c r="R203" s="2139"/>
      <c r="S203" s="2139">
        <f t="shared" si="12"/>
        <v>0</v>
      </c>
      <c r="T203" s="2139"/>
      <c r="U203" s="2139"/>
      <c r="V203" s="2139"/>
      <c r="W203" s="2139">
        <f t="shared" si="13"/>
        <v>0</v>
      </c>
      <c r="X203" s="2139"/>
      <c r="Y203" s="2139"/>
      <c r="Z203" s="2139"/>
      <c r="AA203" s="2139">
        <f t="shared" si="14"/>
        <v>0</v>
      </c>
      <c r="AB203" s="2139"/>
      <c r="AC203" s="2139"/>
      <c r="AD203" s="2139"/>
      <c r="AE203" s="2139">
        <f t="shared" si="15"/>
        <v>0</v>
      </c>
      <c r="AF203" s="2139"/>
      <c r="AG203" s="2139"/>
      <c r="AH203" s="2139"/>
      <c r="AI203" s="2139">
        <f t="shared" si="16"/>
        <v>0</v>
      </c>
      <c r="AJ203" s="2139"/>
      <c r="AK203" s="2139"/>
      <c r="AL203" s="2139"/>
      <c r="AM203" s="2139">
        <f t="shared" si="17"/>
        <v>0</v>
      </c>
      <c r="AN203" s="2139"/>
      <c r="AO203" s="2139"/>
      <c r="AP203" s="2139"/>
      <c r="AQ203" s="2139">
        <f t="shared" si="18"/>
        <v>0</v>
      </c>
      <c r="AR203" s="2139"/>
      <c r="AS203" s="2139"/>
      <c r="AT203" s="2139"/>
      <c r="AU203" s="2139">
        <f t="shared" si="19"/>
        <v>0</v>
      </c>
      <c r="AV203" s="2139"/>
      <c r="AW203" s="2139"/>
      <c r="AX203" s="2139"/>
      <c r="AY203" s="2139">
        <f t="shared" si="20"/>
        <v>0</v>
      </c>
      <c r="AZ203" s="2139"/>
      <c r="BA203" s="2139"/>
      <c r="BB203" s="2139"/>
      <c r="BC203" s="2139">
        <f t="shared" si="21"/>
        <v>0</v>
      </c>
      <c r="BD203" s="2139"/>
      <c r="BE203" s="2139"/>
      <c r="BF203" s="2139"/>
      <c r="BG203" s="99"/>
      <c r="BH203" s="2139">
        <f t="shared" si="10"/>
        <v>0</v>
      </c>
      <c r="BI203" s="2139"/>
      <c r="BJ203" s="2139"/>
      <c r="BK203" s="2139"/>
      <c r="BL203" s="466"/>
      <c r="BM203" s="2139">
        <f t="shared" si="8"/>
        <v>0</v>
      </c>
      <c r="BN203" s="2139"/>
      <c r="BO203" s="2139"/>
      <c r="BP203" s="2139"/>
      <c r="BQ203" s="466"/>
      <c r="BR203" s="466"/>
      <c r="BS203" s="466"/>
      <c r="BT203" s="466"/>
      <c r="BU203" s="9"/>
      <c r="BV203" s="275"/>
      <c r="BW203" s="275"/>
      <c r="BX203" s="275"/>
      <c r="BY203" s="275"/>
      <c r="BZ203" s="275"/>
    </row>
    <row r="204" spans="2:78" ht="15" customHeight="1" outlineLevel="1" x14ac:dyDescent="0.25">
      <c r="B204" s="8"/>
      <c r="C204" s="651" t="str">
        <f t="shared" si="7"/>
        <v>Property Insurance + Tax</v>
      </c>
      <c r="D204" s="99"/>
      <c r="E204" s="99"/>
      <c r="F204" s="99"/>
      <c r="G204" s="99"/>
      <c r="H204" s="99"/>
      <c r="I204" s="99"/>
      <c r="J204" s="99"/>
      <c r="K204" s="2139">
        <f t="shared" si="9"/>
        <v>0</v>
      </c>
      <c r="L204" s="2139"/>
      <c r="M204" s="2139"/>
      <c r="N204" s="2139"/>
      <c r="O204" s="2139">
        <f t="shared" si="11"/>
        <v>0</v>
      </c>
      <c r="P204" s="2139"/>
      <c r="Q204" s="2139"/>
      <c r="R204" s="2139"/>
      <c r="S204" s="2139">
        <f t="shared" si="12"/>
        <v>0</v>
      </c>
      <c r="T204" s="2139"/>
      <c r="U204" s="2139"/>
      <c r="V204" s="2139"/>
      <c r="W204" s="2139">
        <f t="shared" si="13"/>
        <v>0</v>
      </c>
      <c r="X204" s="2139"/>
      <c r="Y204" s="2139"/>
      <c r="Z204" s="2139"/>
      <c r="AA204" s="2139">
        <f t="shared" si="14"/>
        <v>0</v>
      </c>
      <c r="AB204" s="2139"/>
      <c r="AC204" s="2139"/>
      <c r="AD204" s="2139"/>
      <c r="AE204" s="2139">
        <f t="shared" si="15"/>
        <v>0</v>
      </c>
      <c r="AF204" s="2139"/>
      <c r="AG204" s="2139"/>
      <c r="AH204" s="2139"/>
      <c r="AI204" s="2139">
        <f t="shared" si="16"/>
        <v>0</v>
      </c>
      <c r="AJ204" s="2139"/>
      <c r="AK204" s="2139"/>
      <c r="AL204" s="2139"/>
      <c r="AM204" s="2139">
        <f t="shared" si="17"/>
        <v>0</v>
      </c>
      <c r="AN204" s="2139"/>
      <c r="AO204" s="2139"/>
      <c r="AP204" s="2139"/>
      <c r="AQ204" s="2139">
        <f t="shared" si="18"/>
        <v>0</v>
      </c>
      <c r="AR204" s="2139"/>
      <c r="AS204" s="2139"/>
      <c r="AT204" s="2139"/>
      <c r="AU204" s="2139">
        <f t="shared" si="19"/>
        <v>0</v>
      </c>
      <c r="AV204" s="2139"/>
      <c r="AW204" s="2139"/>
      <c r="AX204" s="2139"/>
      <c r="AY204" s="2139">
        <f t="shared" si="20"/>
        <v>0</v>
      </c>
      <c r="AZ204" s="2139"/>
      <c r="BA204" s="2139"/>
      <c r="BB204" s="2139"/>
      <c r="BC204" s="2139">
        <f t="shared" si="21"/>
        <v>0</v>
      </c>
      <c r="BD204" s="2139"/>
      <c r="BE204" s="2139"/>
      <c r="BF204" s="2139"/>
      <c r="BG204" s="99"/>
      <c r="BH204" s="2139">
        <f t="shared" si="10"/>
        <v>0</v>
      </c>
      <c r="BI204" s="2139"/>
      <c r="BJ204" s="2139"/>
      <c r="BK204" s="2139"/>
      <c r="BL204" s="466"/>
      <c r="BM204" s="2139">
        <f t="shared" si="8"/>
        <v>0</v>
      </c>
      <c r="BN204" s="2139"/>
      <c r="BO204" s="2139"/>
      <c r="BP204" s="2139"/>
      <c r="BQ204" s="466"/>
      <c r="BR204" s="466"/>
      <c r="BS204" s="466"/>
      <c r="BT204" s="466"/>
      <c r="BU204" s="9"/>
      <c r="BV204" s="275"/>
      <c r="BW204" s="275"/>
      <c r="BX204" s="275"/>
      <c r="BY204" s="275"/>
      <c r="BZ204" s="275"/>
    </row>
    <row r="205" spans="2:78" ht="15" customHeight="1" outlineLevel="1" x14ac:dyDescent="0.25">
      <c r="B205" s="8"/>
      <c r="C205" s="651" t="str">
        <f t="shared" si="7"/>
        <v>Irrigation</v>
      </c>
      <c r="D205" s="99"/>
      <c r="E205" s="99"/>
      <c r="F205" s="99"/>
      <c r="G205" s="99"/>
      <c r="H205" s="99"/>
      <c r="I205" s="99"/>
      <c r="J205" s="99"/>
      <c r="K205" s="2139">
        <f t="shared" si="9"/>
        <v>0</v>
      </c>
      <c r="L205" s="2139"/>
      <c r="M205" s="2139"/>
      <c r="N205" s="2139"/>
      <c r="O205" s="2139">
        <f t="shared" si="11"/>
        <v>0</v>
      </c>
      <c r="P205" s="2139"/>
      <c r="Q205" s="2139"/>
      <c r="R205" s="2139"/>
      <c r="S205" s="2139">
        <f t="shared" si="12"/>
        <v>0</v>
      </c>
      <c r="T205" s="2139"/>
      <c r="U205" s="2139"/>
      <c r="V205" s="2139"/>
      <c r="W205" s="2139">
        <f t="shared" si="13"/>
        <v>0</v>
      </c>
      <c r="X205" s="2139"/>
      <c r="Y205" s="2139"/>
      <c r="Z205" s="2139"/>
      <c r="AA205" s="2139">
        <f t="shared" si="14"/>
        <v>0</v>
      </c>
      <c r="AB205" s="2139"/>
      <c r="AC205" s="2139"/>
      <c r="AD205" s="2139"/>
      <c r="AE205" s="2139">
        <f t="shared" si="15"/>
        <v>0</v>
      </c>
      <c r="AF205" s="2139"/>
      <c r="AG205" s="2139"/>
      <c r="AH205" s="2139"/>
      <c r="AI205" s="2139">
        <f t="shared" si="16"/>
        <v>0</v>
      </c>
      <c r="AJ205" s="2139"/>
      <c r="AK205" s="2139"/>
      <c r="AL205" s="2139"/>
      <c r="AM205" s="2139">
        <f t="shared" si="17"/>
        <v>0</v>
      </c>
      <c r="AN205" s="2139"/>
      <c r="AO205" s="2139"/>
      <c r="AP205" s="2139"/>
      <c r="AQ205" s="2139">
        <f t="shared" si="18"/>
        <v>0</v>
      </c>
      <c r="AR205" s="2139"/>
      <c r="AS205" s="2139"/>
      <c r="AT205" s="2139"/>
      <c r="AU205" s="2139">
        <f t="shared" si="19"/>
        <v>0</v>
      </c>
      <c r="AV205" s="2139"/>
      <c r="AW205" s="2139"/>
      <c r="AX205" s="2139"/>
      <c r="AY205" s="2139">
        <f t="shared" si="20"/>
        <v>0</v>
      </c>
      <c r="AZ205" s="2139"/>
      <c r="BA205" s="2139"/>
      <c r="BB205" s="2139"/>
      <c r="BC205" s="2139">
        <f t="shared" si="21"/>
        <v>0</v>
      </c>
      <c r="BD205" s="2139"/>
      <c r="BE205" s="2139"/>
      <c r="BF205" s="2139"/>
      <c r="BG205" s="99"/>
      <c r="BH205" s="2139">
        <f t="shared" si="10"/>
        <v>0</v>
      </c>
      <c r="BI205" s="2139"/>
      <c r="BJ205" s="2139"/>
      <c r="BK205" s="2139"/>
      <c r="BL205" s="466"/>
      <c r="BM205" s="2139">
        <f t="shared" si="8"/>
        <v>0</v>
      </c>
      <c r="BN205" s="2139"/>
      <c r="BO205" s="2139"/>
      <c r="BP205" s="2139"/>
      <c r="BQ205" s="466"/>
      <c r="BR205" s="466"/>
      <c r="BS205" s="466"/>
      <c r="BT205" s="466"/>
      <c r="BU205" s="9"/>
      <c r="BV205" s="275"/>
      <c r="BW205" s="275"/>
      <c r="BX205" s="275"/>
      <c r="BY205" s="275"/>
      <c r="BZ205" s="275"/>
    </row>
    <row r="206" spans="2:78" ht="15" customHeight="1" outlineLevel="1" x14ac:dyDescent="0.25">
      <c r="B206" s="8"/>
      <c r="C206" s="651" t="str">
        <f t="shared" si="7"/>
        <v>Security</v>
      </c>
      <c r="D206" s="99"/>
      <c r="E206" s="99"/>
      <c r="F206" s="99"/>
      <c r="G206" s="99"/>
      <c r="H206" s="99"/>
      <c r="I206" s="99"/>
      <c r="J206" s="99"/>
      <c r="K206" s="2139">
        <f t="shared" si="9"/>
        <v>0</v>
      </c>
      <c r="L206" s="2139"/>
      <c r="M206" s="2139"/>
      <c r="N206" s="2139"/>
      <c r="O206" s="2139">
        <f t="shared" si="11"/>
        <v>0</v>
      </c>
      <c r="P206" s="2139"/>
      <c r="Q206" s="2139"/>
      <c r="R206" s="2139"/>
      <c r="S206" s="2139">
        <f t="shared" si="12"/>
        <v>0</v>
      </c>
      <c r="T206" s="2139"/>
      <c r="U206" s="2139"/>
      <c r="V206" s="2139"/>
      <c r="W206" s="2139">
        <f t="shared" si="13"/>
        <v>0</v>
      </c>
      <c r="X206" s="2139"/>
      <c r="Y206" s="2139"/>
      <c r="Z206" s="2139"/>
      <c r="AA206" s="2139">
        <f t="shared" si="14"/>
        <v>0</v>
      </c>
      <c r="AB206" s="2139"/>
      <c r="AC206" s="2139"/>
      <c r="AD206" s="2139"/>
      <c r="AE206" s="2139">
        <f t="shared" si="15"/>
        <v>0</v>
      </c>
      <c r="AF206" s="2139"/>
      <c r="AG206" s="2139"/>
      <c r="AH206" s="2139"/>
      <c r="AI206" s="2139">
        <f t="shared" si="16"/>
        <v>0</v>
      </c>
      <c r="AJ206" s="2139"/>
      <c r="AK206" s="2139"/>
      <c r="AL206" s="2139"/>
      <c r="AM206" s="2139">
        <f t="shared" si="17"/>
        <v>0</v>
      </c>
      <c r="AN206" s="2139"/>
      <c r="AO206" s="2139"/>
      <c r="AP206" s="2139"/>
      <c r="AQ206" s="2139">
        <f t="shared" si="18"/>
        <v>0</v>
      </c>
      <c r="AR206" s="2139"/>
      <c r="AS206" s="2139"/>
      <c r="AT206" s="2139"/>
      <c r="AU206" s="2139">
        <f t="shared" si="19"/>
        <v>0</v>
      </c>
      <c r="AV206" s="2139"/>
      <c r="AW206" s="2139"/>
      <c r="AX206" s="2139"/>
      <c r="AY206" s="2139">
        <f t="shared" si="20"/>
        <v>0</v>
      </c>
      <c r="AZ206" s="2139"/>
      <c r="BA206" s="2139"/>
      <c r="BB206" s="2139"/>
      <c r="BC206" s="2139">
        <f t="shared" si="21"/>
        <v>0</v>
      </c>
      <c r="BD206" s="2139"/>
      <c r="BE206" s="2139"/>
      <c r="BF206" s="2139"/>
      <c r="BG206" s="99"/>
      <c r="BH206" s="2139">
        <f t="shared" si="10"/>
        <v>0</v>
      </c>
      <c r="BI206" s="2139"/>
      <c r="BJ206" s="2139"/>
      <c r="BK206" s="2139"/>
      <c r="BL206" s="466"/>
      <c r="BM206" s="2139">
        <f t="shared" si="8"/>
        <v>0</v>
      </c>
      <c r="BN206" s="2139"/>
      <c r="BO206" s="2139"/>
      <c r="BP206" s="2139"/>
      <c r="BQ206" s="466"/>
      <c r="BR206" s="466"/>
      <c r="BS206" s="466"/>
      <c r="BT206" s="466"/>
      <c r="BU206" s="9"/>
      <c r="BV206" s="275"/>
      <c r="BW206" s="275"/>
      <c r="BX206" s="275"/>
      <c r="BY206" s="275"/>
      <c r="BZ206" s="275"/>
    </row>
    <row r="207" spans="2:78" ht="15" customHeight="1" outlineLevel="1" x14ac:dyDescent="0.25">
      <c r="B207" s="8"/>
      <c r="C207" s="651" t="str">
        <f t="shared" si="7"/>
        <v>Accounting</v>
      </c>
      <c r="D207" s="99"/>
      <c r="E207" s="99"/>
      <c r="F207" s="99"/>
      <c r="G207" s="99"/>
      <c r="H207" s="99"/>
      <c r="I207" s="99"/>
      <c r="J207" s="99"/>
      <c r="K207" s="2139">
        <f t="shared" si="9"/>
        <v>0</v>
      </c>
      <c r="L207" s="2139"/>
      <c r="M207" s="2139"/>
      <c r="N207" s="2139"/>
      <c r="O207" s="2139">
        <f t="shared" si="11"/>
        <v>0</v>
      </c>
      <c r="P207" s="2139"/>
      <c r="Q207" s="2139"/>
      <c r="R207" s="2139"/>
      <c r="S207" s="2139">
        <f t="shared" si="12"/>
        <v>0</v>
      </c>
      <c r="T207" s="2139"/>
      <c r="U207" s="2139"/>
      <c r="V207" s="2139"/>
      <c r="W207" s="2139">
        <f t="shared" si="13"/>
        <v>0</v>
      </c>
      <c r="X207" s="2139"/>
      <c r="Y207" s="2139"/>
      <c r="Z207" s="2139"/>
      <c r="AA207" s="2139">
        <f t="shared" si="14"/>
        <v>0</v>
      </c>
      <c r="AB207" s="2139"/>
      <c r="AC207" s="2139"/>
      <c r="AD207" s="2139"/>
      <c r="AE207" s="2139">
        <f t="shared" si="15"/>
        <v>0</v>
      </c>
      <c r="AF207" s="2139"/>
      <c r="AG207" s="2139"/>
      <c r="AH207" s="2139"/>
      <c r="AI207" s="2139">
        <f t="shared" si="16"/>
        <v>0</v>
      </c>
      <c r="AJ207" s="2139"/>
      <c r="AK207" s="2139"/>
      <c r="AL207" s="2139"/>
      <c r="AM207" s="2139">
        <f t="shared" si="17"/>
        <v>0</v>
      </c>
      <c r="AN207" s="2139"/>
      <c r="AO207" s="2139"/>
      <c r="AP207" s="2139"/>
      <c r="AQ207" s="2139">
        <f t="shared" si="18"/>
        <v>0</v>
      </c>
      <c r="AR207" s="2139"/>
      <c r="AS207" s="2139"/>
      <c r="AT207" s="2139"/>
      <c r="AU207" s="2139">
        <f t="shared" si="19"/>
        <v>0</v>
      </c>
      <c r="AV207" s="2139"/>
      <c r="AW207" s="2139"/>
      <c r="AX207" s="2139"/>
      <c r="AY207" s="2139">
        <f t="shared" si="20"/>
        <v>0</v>
      </c>
      <c r="AZ207" s="2139"/>
      <c r="BA207" s="2139"/>
      <c r="BB207" s="2139"/>
      <c r="BC207" s="2139">
        <f t="shared" si="21"/>
        <v>0</v>
      </c>
      <c r="BD207" s="2139"/>
      <c r="BE207" s="2139"/>
      <c r="BF207" s="2139"/>
      <c r="BG207" s="99"/>
      <c r="BH207" s="2139">
        <f t="shared" si="10"/>
        <v>0</v>
      </c>
      <c r="BI207" s="2139"/>
      <c r="BJ207" s="2139"/>
      <c r="BK207" s="2139"/>
      <c r="BL207" s="466"/>
      <c r="BM207" s="2139">
        <f t="shared" si="8"/>
        <v>0</v>
      </c>
      <c r="BN207" s="2139"/>
      <c r="BO207" s="2139"/>
      <c r="BP207" s="2139"/>
      <c r="BQ207" s="466"/>
      <c r="BR207" s="466"/>
      <c r="BS207" s="466"/>
      <c r="BT207" s="466"/>
      <c r="BU207" s="9"/>
      <c r="BV207" s="275"/>
      <c r="BW207" s="275"/>
      <c r="BX207" s="275"/>
      <c r="BY207" s="275"/>
      <c r="BZ207" s="275"/>
    </row>
    <row r="208" spans="2:78" ht="15" customHeight="1" outlineLevel="1" x14ac:dyDescent="0.25">
      <c r="B208" s="8"/>
      <c r="C208" s="651" t="str">
        <f t="shared" ref="C208:C216" si="22">AQ119</f>
        <v>Repairs &amp; Maintenance</v>
      </c>
      <c r="D208" s="99"/>
      <c r="E208" s="99"/>
      <c r="F208" s="99"/>
      <c r="G208" s="99"/>
      <c r="H208" s="99"/>
      <c r="I208" s="99"/>
      <c r="J208" s="99"/>
      <c r="K208" s="2139">
        <f t="shared" ref="K208:K216" si="23">-$BD119*K$192</f>
        <v>0</v>
      </c>
      <c r="L208" s="2139"/>
      <c r="M208" s="2139"/>
      <c r="N208" s="2139"/>
      <c r="O208" s="2139">
        <f>-$BD119*O192</f>
        <v>0</v>
      </c>
      <c r="P208" s="2139"/>
      <c r="Q208" s="2139"/>
      <c r="R208" s="2139"/>
      <c r="S208" s="2139">
        <f>-$BD119*S192</f>
        <v>0</v>
      </c>
      <c r="T208" s="2139"/>
      <c r="U208" s="2139"/>
      <c r="V208" s="2139"/>
      <c r="W208" s="2139">
        <f>-$BD119*W192</f>
        <v>0</v>
      </c>
      <c r="X208" s="2139"/>
      <c r="Y208" s="2139"/>
      <c r="Z208" s="2139"/>
      <c r="AA208" s="2139">
        <f>-$BD119*AA192</f>
        <v>0</v>
      </c>
      <c r="AB208" s="2139"/>
      <c r="AC208" s="2139"/>
      <c r="AD208" s="2139"/>
      <c r="AE208" s="2139">
        <f>-$BD119*AE192</f>
        <v>0</v>
      </c>
      <c r="AF208" s="2139"/>
      <c r="AG208" s="2139"/>
      <c r="AH208" s="2139"/>
      <c r="AI208" s="2139">
        <f>-$BD119*AI192</f>
        <v>0</v>
      </c>
      <c r="AJ208" s="2139"/>
      <c r="AK208" s="2139"/>
      <c r="AL208" s="2139"/>
      <c r="AM208" s="2139">
        <f>-$BD119*AM192</f>
        <v>0</v>
      </c>
      <c r="AN208" s="2139"/>
      <c r="AO208" s="2139"/>
      <c r="AP208" s="2139"/>
      <c r="AQ208" s="2139">
        <f>-$BD119*AQ192</f>
        <v>0</v>
      </c>
      <c r="AR208" s="2139"/>
      <c r="AS208" s="2139"/>
      <c r="AT208" s="2139"/>
      <c r="AU208" s="2139">
        <f>-$BD119*AU192</f>
        <v>0</v>
      </c>
      <c r="AV208" s="2139"/>
      <c r="AW208" s="2139"/>
      <c r="AX208" s="2139"/>
      <c r="AY208" s="2139">
        <f>-$BD119*AY192</f>
        <v>0</v>
      </c>
      <c r="AZ208" s="2139"/>
      <c r="BA208" s="2139"/>
      <c r="BB208" s="2139"/>
      <c r="BC208" s="2139">
        <f>-$BD119*BC192</f>
        <v>0</v>
      </c>
      <c r="BD208" s="2139"/>
      <c r="BE208" s="2139"/>
      <c r="BF208" s="2139"/>
      <c r="BG208" s="99"/>
      <c r="BH208" s="2139">
        <f t="shared" ref="BH208:BH216" si="24">IFERROR(SUM(K208:BF208),0)</f>
        <v>0</v>
      </c>
      <c r="BI208" s="2139"/>
      <c r="BJ208" s="2139"/>
      <c r="BK208" s="2139"/>
      <c r="BL208" s="466"/>
      <c r="BM208" s="2139">
        <f t="shared" si="8"/>
        <v>0</v>
      </c>
      <c r="BN208" s="2139"/>
      <c r="BO208" s="2139"/>
      <c r="BP208" s="2139"/>
      <c r="BQ208" s="466"/>
      <c r="BR208" s="466"/>
      <c r="BS208" s="466"/>
      <c r="BT208" s="466"/>
      <c r="BU208" s="9"/>
      <c r="BV208" s="275"/>
      <c r="BW208" s="275"/>
      <c r="BX208" s="275"/>
      <c r="BY208" s="275"/>
      <c r="BZ208" s="275"/>
    </row>
    <row r="209" spans="1:118" ht="15" customHeight="1" outlineLevel="1" x14ac:dyDescent="0.25">
      <c r="B209" s="8"/>
      <c r="C209" s="651" t="str">
        <f t="shared" si="22"/>
        <v xml:space="preserve">Property Management </v>
      </c>
      <c r="D209" s="99"/>
      <c r="E209" s="99"/>
      <c r="F209" s="99"/>
      <c r="G209" s="99"/>
      <c r="H209" s="99"/>
      <c r="I209" s="99"/>
      <c r="J209" s="99"/>
      <c r="K209" s="2139">
        <f t="shared" si="23"/>
        <v>0</v>
      </c>
      <c r="L209" s="2139"/>
      <c r="M209" s="2139"/>
      <c r="N209" s="2139"/>
      <c r="O209" s="2139">
        <f t="shared" ref="O209:O216" si="25">-$BD120*O$192</f>
        <v>0</v>
      </c>
      <c r="P209" s="2139"/>
      <c r="Q209" s="2139"/>
      <c r="R209" s="2139"/>
      <c r="S209" s="2139">
        <f t="shared" ref="S209:S216" si="26">-$BD120*S$192</f>
        <v>0</v>
      </c>
      <c r="T209" s="2139"/>
      <c r="U209" s="2139"/>
      <c r="V209" s="2139"/>
      <c r="W209" s="2139">
        <f t="shared" ref="W209:W216" si="27">-$BD120*W$192</f>
        <v>0</v>
      </c>
      <c r="X209" s="2139"/>
      <c r="Y209" s="2139"/>
      <c r="Z209" s="2139"/>
      <c r="AA209" s="2139">
        <f t="shared" ref="AA209:AA216" si="28">-$BD120*AA$192</f>
        <v>0</v>
      </c>
      <c r="AB209" s="2139"/>
      <c r="AC209" s="2139"/>
      <c r="AD209" s="2139"/>
      <c r="AE209" s="2139">
        <f t="shared" ref="AE209:AE216" si="29">-$BD120*AE$192</f>
        <v>0</v>
      </c>
      <c r="AF209" s="2139"/>
      <c r="AG209" s="2139"/>
      <c r="AH209" s="2139"/>
      <c r="AI209" s="2139">
        <f t="shared" ref="AI209:AI216" si="30">-$BD120*AI$192</f>
        <v>0</v>
      </c>
      <c r="AJ209" s="2139"/>
      <c r="AK209" s="2139"/>
      <c r="AL209" s="2139"/>
      <c r="AM209" s="2139">
        <f t="shared" ref="AM209:AM216" si="31">-$BD120*AM$192</f>
        <v>0</v>
      </c>
      <c r="AN209" s="2139"/>
      <c r="AO209" s="2139"/>
      <c r="AP209" s="2139"/>
      <c r="AQ209" s="2139">
        <f t="shared" ref="AQ209:AQ216" si="32">-$BD120*AQ$192</f>
        <v>0</v>
      </c>
      <c r="AR209" s="2139"/>
      <c r="AS209" s="2139"/>
      <c r="AT209" s="2139"/>
      <c r="AU209" s="2139">
        <f t="shared" ref="AU209:AU216" si="33">-$BD120*AU$192</f>
        <v>0</v>
      </c>
      <c r="AV209" s="2139"/>
      <c r="AW209" s="2139"/>
      <c r="AX209" s="2139"/>
      <c r="AY209" s="2139">
        <f t="shared" ref="AY209:AY216" si="34">-$BD120*AY$192</f>
        <v>0</v>
      </c>
      <c r="AZ209" s="2139"/>
      <c r="BA209" s="2139"/>
      <c r="BB209" s="2139"/>
      <c r="BC209" s="2139">
        <f t="shared" ref="BC209:BC216" si="35">-$BD120*BC$192</f>
        <v>0</v>
      </c>
      <c r="BD209" s="2139"/>
      <c r="BE209" s="2139"/>
      <c r="BF209" s="2139"/>
      <c r="BG209" s="99"/>
      <c r="BH209" s="2139">
        <f t="shared" si="24"/>
        <v>0</v>
      </c>
      <c r="BI209" s="2139"/>
      <c r="BJ209" s="2139"/>
      <c r="BK209" s="2139"/>
      <c r="BL209" s="466"/>
      <c r="BM209" s="2139">
        <f t="shared" si="8"/>
        <v>0</v>
      </c>
      <c r="BN209" s="2139"/>
      <c r="BO209" s="2139"/>
      <c r="BP209" s="2139"/>
      <c r="BQ209" s="466"/>
      <c r="BR209" s="466"/>
      <c r="BS209" s="466"/>
      <c r="BT209" s="466"/>
      <c r="BU209" s="9"/>
      <c r="BV209" s="275"/>
      <c r="BW209" s="275"/>
      <c r="BX209" s="275"/>
      <c r="BY209" s="275"/>
      <c r="BZ209" s="275"/>
    </row>
    <row r="210" spans="1:118" ht="15" customHeight="1" outlineLevel="1" x14ac:dyDescent="0.25">
      <c r="B210" s="8"/>
      <c r="C210" s="651" t="str">
        <f t="shared" si="22"/>
        <v>Vacancy Insurance</v>
      </c>
      <c r="D210" s="99"/>
      <c r="E210" s="99"/>
      <c r="F210" s="99"/>
      <c r="G210" s="99"/>
      <c r="H210" s="99"/>
      <c r="I210" s="99"/>
      <c r="J210" s="99"/>
      <c r="K210" s="2139">
        <f t="shared" si="23"/>
        <v>0</v>
      </c>
      <c r="L210" s="2139"/>
      <c r="M210" s="2139"/>
      <c r="N210" s="2139"/>
      <c r="O210" s="2139">
        <f t="shared" si="25"/>
        <v>0</v>
      </c>
      <c r="P210" s="2139"/>
      <c r="Q210" s="2139"/>
      <c r="R210" s="2139"/>
      <c r="S210" s="2139">
        <f t="shared" si="26"/>
        <v>0</v>
      </c>
      <c r="T210" s="2139"/>
      <c r="U210" s="2139"/>
      <c r="V210" s="2139"/>
      <c r="W210" s="2139">
        <f t="shared" si="27"/>
        <v>0</v>
      </c>
      <c r="X210" s="2139"/>
      <c r="Y210" s="2139"/>
      <c r="Z210" s="2139"/>
      <c r="AA210" s="2139">
        <f t="shared" si="28"/>
        <v>0</v>
      </c>
      <c r="AB210" s="2139"/>
      <c r="AC210" s="2139"/>
      <c r="AD210" s="2139"/>
      <c r="AE210" s="2139">
        <f t="shared" si="29"/>
        <v>0</v>
      </c>
      <c r="AF210" s="2139"/>
      <c r="AG210" s="2139"/>
      <c r="AH210" s="2139"/>
      <c r="AI210" s="2139">
        <f t="shared" si="30"/>
        <v>0</v>
      </c>
      <c r="AJ210" s="2139"/>
      <c r="AK210" s="2139"/>
      <c r="AL210" s="2139"/>
      <c r="AM210" s="2139">
        <f t="shared" si="31"/>
        <v>0</v>
      </c>
      <c r="AN210" s="2139"/>
      <c r="AO210" s="2139"/>
      <c r="AP210" s="2139"/>
      <c r="AQ210" s="2139">
        <f t="shared" si="32"/>
        <v>0</v>
      </c>
      <c r="AR210" s="2139"/>
      <c r="AS210" s="2139"/>
      <c r="AT210" s="2139"/>
      <c r="AU210" s="2139">
        <f t="shared" si="33"/>
        <v>0</v>
      </c>
      <c r="AV210" s="2139"/>
      <c r="AW210" s="2139"/>
      <c r="AX210" s="2139"/>
      <c r="AY210" s="2139">
        <f t="shared" si="34"/>
        <v>0</v>
      </c>
      <c r="AZ210" s="2139"/>
      <c r="BA210" s="2139"/>
      <c r="BB210" s="2139"/>
      <c r="BC210" s="2139">
        <f t="shared" si="35"/>
        <v>0</v>
      </c>
      <c r="BD210" s="2139"/>
      <c r="BE210" s="2139"/>
      <c r="BF210" s="2139"/>
      <c r="BG210" s="99"/>
      <c r="BH210" s="2139">
        <f t="shared" si="24"/>
        <v>0</v>
      </c>
      <c r="BI210" s="2139"/>
      <c r="BJ210" s="2139"/>
      <c r="BK210" s="2139"/>
      <c r="BL210" s="466"/>
      <c r="BM210" s="2139">
        <f t="shared" si="8"/>
        <v>0</v>
      </c>
      <c r="BN210" s="2139"/>
      <c r="BO210" s="2139"/>
      <c r="BP210" s="2139"/>
      <c r="BQ210" s="466"/>
      <c r="BR210" s="466"/>
      <c r="BS210" s="466"/>
      <c r="BT210" s="466"/>
      <c r="BU210" s="9"/>
      <c r="BV210" s="275"/>
      <c r="BW210" s="275"/>
      <c r="BX210" s="275"/>
      <c r="BY210" s="275"/>
      <c r="BZ210" s="275"/>
    </row>
    <row r="211" spans="1:118" ht="15" customHeight="1" outlineLevel="1" x14ac:dyDescent="0.25">
      <c r="B211" s="8"/>
      <c r="C211" s="651" t="str">
        <f t="shared" si="22"/>
        <v>Rent Insurance</v>
      </c>
      <c r="D211" s="99"/>
      <c r="E211" s="99"/>
      <c r="F211" s="99"/>
      <c r="G211" s="99"/>
      <c r="H211" s="99"/>
      <c r="I211" s="99"/>
      <c r="J211" s="99"/>
      <c r="K211" s="2139">
        <f t="shared" si="23"/>
        <v>0</v>
      </c>
      <c r="L211" s="2139"/>
      <c r="M211" s="2139"/>
      <c r="N211" s="2139"/>
      <c r="O211" s="2139">
        <f t="shared" si="25"/>
        <v>0</v>
      </c>
      <c r="P211" s="2139"/>
      <c r="Q211" s="2139"/>
      <c r="R211" s="2139"/>
      <c r="S211" s="2139">
        <f t="shared" si="26"/>
        <v>0</v>
      </c>
      <c r="T211" s="2139"/>
      <c r="U211" s="2139"/>
      <c r="V211" s="2139"/>
      <c r="W211" s="2139">
        <f t="shared" si="27"/>
        <v>0</v>
      </c>
      <c r="X211" s="2139"/>
      <c r="Y211" s="2139"/>
      <c r="Z211" s="2139"/>
      <c r="AA211" s="2139">
        <f t="shared" si="28"/>
        <v>0</v>
      </c>
      <c r="AB211" s="2139"/>
      <c r="AC211" s="2139"/>
      <c r="AD211" s="2139"/>
      <c r="AE211" s="2139">
        <f t="shared" si="29"/>
        <v>0</v>
      </c>
      <c r="AF211" s="2139"/>
      <c r="AG211" s="2139"/>
      <c r="AH211" s="2139"/>
      <c r="AI211" s="2139">
        <f t="shared" si="30"/>
        <v>0</v>
      </c>
      <c r="AJ211" s="2139"/>
      <c r="AK211" s="2139"/>
      <c r="AL211" s="2139"/>
      <c r="AM211" s="2139">
        <f t="shared" si="31"/>
        <v>0</v>
      </c>
      <c r="AN211" s="2139"/>
      <c r="AO211" s="2139"/>
      <c r="AP211" s="2139"/>
      <c r="AQ211" s="2139">
        <f t="shared" si="32"/>
        <v>0</v>
      </c>
      <c r="AR211" s="2139"/>
      <c r="AS211" s="2139"/>
      <c r="AT211" s="2139"/>
      <c r="AU211" s="2139">
        <f t="shared" si="33"/>
        <v>0</v>
      </c>
      <c r="AV211" s="2139"/>
      <c r="AW211" s="2139"/>
      <c r="AX211" s="2139"/>
      <c r="AY211" s="2139">
        <f t="shared" si="34"/>
        <v>0</v>
      </c>
      <c r="AZ211" s="2139"/>
      <c r="BA211" s="2139"/>
      <c r="BB211" s="2139"/>
      <c r="BC211" s="2139">
        <f t="shared" si="35"/>
        <v>0</v>
      </c>
      <c r="BD211" s="2139"/>
      <c r="BE211" s="2139"/>
      <c r="BF211" s="2139"/>
      <c r="BG211" s="99"/>
      <c r="BH211" s="2139">
        <f t="shared" si="24"/>
        <v>0</v>
      </c>
      <c r="BI211" s="2139"/>
      <c r="BJ211" s="2139"/>
      <c r="BK211" s="2139"/>
      <c r="BL211" s="466"/>
      <c r="BM211" s="2139">
        <f t="shared" si="8"/>
        <v>0</v>
      </c>
      <c r="BN211" s="2139"/>
      <c r="BO211" s="2139"/>
      <c r="BP211" s="2139"/>
      <c r="BQ211" s="466"/>
      <c r="BR211" s="466"/>
      <c r="BS211" s="466"/>
      <c r="BT211" s="466"/>
      <c r="BU211" s="9"/>
      <c r="BV211" s="275"/>
      <c r="BW211" s="275"/>
      <c r="BX211" s="275"/>
      <c r="BY211" s="275"/>
      <c r="BZ211" s="275"/>
    </row>
    <row r="212" spans="1:118" ht="15" customHeight="1" outlineLevel="1" x14ac:dyDescent="0.25">
      <c r="B212" s="8"/>
      <c r="C212" s="651" t="str">
        <f t="shared" si="22"/>
        <v>Legal</v>
      </c>
      <c r="D212" s="99"/>
      <c r="E212" s="99"/>
      <c r="F212" s="99"/>
      <c r="G212" s="99"/>
      <c r="H212" s="99"/>
      <c r="I212" s="99"/>
      <c r="J212" s="99"/>
      <c r="K212" s="2139">
        <f t="shared" si="23"/>
        <v>0</v>
      </c>
      <c r="L212" s="2139"/>
      <c r="M212" s="2139"/>
      <c r="N212" s="2139"/>
      <c r="O212" s="2139">
        <f t="shared" si="25"/>
        <v>0</v>
      </c>
      <c r="P212" s="2139"/>
      <c r="Q212" s="2139"/>
      <c r="R212" s="2139"/>
      <c r="S212" s="2139">
        <f t="shared" si="26"/>
        <v>0</v>
      </c>
      <c r="T212" s="2139"/>
      <c r="U212" s="2139"/>
      <c r="V212" s="2139"/>
      <c r="W212" s="2139">
        <f t="shared" si="27"/>
        <v>0</v>
      </c>
      <c r="X212" s="2139"/>
      <c r="Y212" s="2139"/>
      <c r="Z212" s="2139"/>
      <c r="AA212" s="2139">
        <f t="shared" si="28"/>
        <v>0</v>
      </c>
      <c r="AB212" s="2139"/>
      <c r="AC212" s="2139"/>
      <c r="AD212" s="2139"/>
      <c r="AE212" s="2139">
        <f t="shared" si="29"/>
        <v>0</v>
      </c>
      <c r="AF212" s="2139"/>
      <c r="AG212" s="2139"/>
      <c r="AH212" s="2139"/>
      <c r="AI212" s="2139">
        <f t="shared" si="30"/>
        <v>0</v>
      </c>
      <c r="AJ212" s="2139"/>
      <c r="AK212" s="2139"/>
      <c r="AL212" s="2139"/>
      <c r="AM212" s="2139">
        <f t="shared" si="31"/>
        <v>0</v>
      </c>
      <c r="AN212" s="2139"/>
      <c r="AO212" s="2139"/>
      <c r="AP212" s="2139"/>
      <c r="AQ212" s="2139">
        <f t="shared" si="32"/>
        <v>0</v>
      </c>
      <c r="AR212" s="2139"/>
      <c r="AS212" s="2139"/>
      <c r="AT212" s="2139"/>
      <c r="AU212" s="2139">
        <f t="shared" si="33"/>
        <v>0</v>
      </c>
      <c r="AV212" s="2139"/>
      <c r="AW212" s="2139"/>
      <c r="AX212" s="2139"/>
      <c r="AY212" s="2139">
        <f t="shared" si="34"/>
        <v>0</v>
      </c>
      <c r="AZ212" s="2139"/>
      <c r="BA212" s="2139"/>
      <c r="BB212" s="2139"/>
      <c r="BC212" s="2139">
        <f t="shared" si="35"/>
        <v>0</v>
      </c>
      <c r="BD212" s="2139"/>
      <c r="BE212" s="2139"/>
      <c r="BF212" s="2139"/>
      <c r="BG212" s="99"/>
      <c r="BH212" s="2139">
        <f t="shared" si="24"/>
        <v>0</v>
      </c>
      <c r="BI212" s="2139"/>
      <c r="BJ212" s="2139"/>
      <c r="BK212" s="2139"/>
      <c r="BL212" s="466"/>
      <c r="BM212" s="2139">
        <f t="shared" si="8"/>
        <v>0</v>
      </c>
      <c r="BN212" s="2139"/>
      <c r="BO212" s="2139"/>
      <c r="BP212" s="2139"/>
      <c r="BQ212" s="466"/>
      <c r="BR212" s="466"/>
      <c r="BS212" s="466"/>
      <c r="BT212" s="466"/>
      <c r="BU212" s="9"/>
      <c r="BV212" s="275"/>
      <c r="BW212" s="275"/>
      <c r="BX212" s="275"/>
      <c r="BY212" s="275"/>
      <c r="BZ212" s="275"/>
    </row>
    <row r="213" spans="1:118" ht="15" customHeight="1" outlineLevel="1" x14ac:dyDescent="0.25">
      <c r="B213" s="8"/>
      <c r="C213" s="651" t="str">
        <f t="shared" si="22"/>
        <v>Advertising</v>
      </c>
      <c r="D213" s="99"/>
      <c r="E213" s="99"/>
      <c r="F213" s="99"/>
      <c r="G213" s="99"/>
      <c r="H213" s="99"/>
      <c r="I213" s="99"/>
      <c r="J213" s="99"/>
      <c r="K213" s="2139">
        <f t="shared" si="23"/>
        <v>0</v>
      </c>
      <c r="L213" s="2139"/>
      <c r="M213" s="2139"/>
      <c r="N213" s="2139"/>
      <c r="O213" s="2139">
        <f t="shared" si="25"/>
        <v>0</v>
      </c>
      <c r="P213" s="2139"/>
      <c r="Q213" s="2139"/>
      <c r="R213" s="2139"/>
      <c r="S213" s="2139">
        <f t="shared" si="26"/>
        <v>0</v>
      </c>
      <c r="T213" s="2139"/>
      <c r="U213" s="2139"/>
      <c r="V213" s="2139"/>
      <c r="W213" s="2139">
        <f t="shared" si="27"/>
        <v>0</v>
      </c>
      <c r="X213" s="2139"/>
      <c r="Y213" s="2139"/>
      <c r="Z213" s="2139"/>
      <c r="AA213" s="2139">
        <f t="shared" si="28"/>
        <v>0</v>
      </c>
      <c r="AB213" s="2139"/>
      <c r="AC213" s="2139"/>
      <c r="AD213" s="2139"/>
      <c r="AE213" s="2139">
        <f t="shared" si="29"/>
        <v>0</v>
      </c>
      <c r="AF213" s="2139"/>
      <c r="AG213" s="2139"/>
      <c r="AH213" s="2139"/>
      <c r="AI213" s="2139">
        <f t="shared" si="30"/>
        <v>0</v>
      </c>
      <c r="AJ213" s="2139"/>
      <c r="AK213" s="2139"/>
      <c r="AL213" s="2139"/>
      <c r="AM213" s="2139">
        <f t="shared" si="31"/>
        <v>0</v>
      </c>
      <c r="AN213" s="2139"/>
      <c r="AO213" s="2139"/>
      <c r="AP213" s="2139"/>
      <c r="AQ213" s="2139">
        <f t="shared" si="32"/>
        <v>0</v>
      </c>
      <c r="AR213" s="2139"/>
      <c r="AS213" s="2139"/>
      <c r="AT213" s="2139"/>
      <c r="AU213" s="2139">
        <f t="shared" si="33"/>
        <v>0</v>
      </c>
      <c r="AV213" s="2139"/>
      <c r="AW213" s="2139"/>
      <c r="AX213" s="2139"/>
      <c r="AY213" s="2139">
        <f t="shared" si="34"/>
        <v>0</v>
      </c>
      <c r="AZ213" s="2139"/>
      <c r="BA213" s="2139"/>
      <c r="BB213" s="2139"/>
      <c r="BC213" s="2139">
        <f t="shared" si="35"/>
        <v>0</v>
      </c>
      <c r="BD213" s="2139"/>
      <c r="BE213" s="2139"/>
      <c r="BF213" s="2139"/>
      <c r="BG213" s="99"/>
      <c r="BH213" s="2139">
        <f t="shared" si="24"/>
        <v>0</v>
      </c>
      <c r="BI213" s="2139"/>
      <c r="BJ213" s="2139"/>
      <c r="BK213" s="2139"/>
      <c r="BL213" s="466"/>
      <c r="BM213" s="2139">
        <f t="shared" si="8"/>
        <v>0</v>
      </c>
      <c r="BN213" s="2139"/>
      <c r="BO213" s="2139"/>
      <c r="BP213" s="2139"/>
      <c r="BQ213" s="466"/>
      <c r="BR213" s="466"/>
      <c r="BS213" s="466"/>
      <c r="BT213" s="466"/>
      <c r="BU213" s="9"/>
      <c r="BV213" s="275"/>
      <c r="BW213" s="275"/>
      <c r="BX213" s="275"/>
      <c r="BY213" s="275"/>
      <c r="BZ213" s="275"/>
    </row>
    <row r="214" spans="1:118" ht="15" customHeight="1" outlineLevel="1" x14ac:dyDescent="0.25">
      <c r="B214" s="8"/>
      <c r="C214" s="651" t="str">
        <f t="shared" si="22"/>
        <v>Other Cost 1</v>
      </c>
      <c r="D214" s="99"/>
      <c r="E214" s="99"/>
      <c r="F214" s="99"/>
      <c r="G214" s="99"/>
      <c r="H214" s="99"/>
      <c r="I214" s="99"/>
      <c r="J214" s="99"/>
      <c r="K214" s="2139">
        <f t="shared" si="23"/>
        <v>0</v>
      </c>
      <c r="L214" s="2139"/>
      <c r="M214" s="2139"/>
      <c r="N214" s="2139"/>
      <c r="O214" s="2139">
        <f t="shared" si="25"/>
        <v>0</v>
      </c>
      <c r="P214" s="2139"/>
      <c r="Q214" s="2139"/>
      <c r="R214" s="2139"/>
      <c r="S214" s="2139">
        <f t="shared" si="26"/>
        <v>0</v>
      </c>
      <c r="T214" s="2139"/>
      <c r="U214" s="2139"/>
      <c r="V214" s="2139"/>
      <c r="W214" s="2139">
        <f t="shared" si="27"/>
        <v>0</v>
      </c>
      <c r="X214" s="2139"/>
      <c r="Y214" s="2139"/>
      <c r="Z214" s="2139"/>
      <c r="AA214" s="2139">
        <f t="shared" si="28"/>
        <v>0</v>
      </c>
      <c r="AB214" s="2139"/>
      <c r="AC214" s="2139"/>
      <c r="AD214" s="2139"/>
      <c r="AE214" s="2139">
        <f t="shared" si="29"/>
        <v>0</v>
      </c>
      <c r="AF214" s="2139"/>
      <c r="AG214" s="2139"/>
      <c r="AH214" s="2139"/>
      <c r="AI214" s="2139">
        <f t="shared" si="30"/>
        <v>0</v>
      </c>
      <c r="AJ214" s="2139"/>
      <c r="AK214" s="2139"/>
      <c r="AL214" s="2139"/>
      <c r="AM214" s="2139">
        <f t="shared" si="31"/>
        <v>0</v>
      </c>
      <c r="AN214" s="2139"/>
      <c r="AO214" s="2139"/>
      <c r="AP214" s="2139"/>
      <c r="AQ214" s="2139">
        <f t="shared" si="32"/>
        <v>0</v>
      </c>
      <c r="AR214" s="2139"/>
      <c r="AS214" s="2139"/>
      <c r="AT214" s="2139"/>
      <c r="AU214" s="2139">
        <f t="shared" si="33"/>
        <v>0</v>
      </c>
      <c r="AV214" s="2139"/>
      <c r="AW214" s="2139"/>
      <c r="AX214" s="2139"/>
      <c r="AY214" s="2139">
        <f t="shared" si="34"/>
        <v>0</v>
      </c>
      <c r="AZ214" s="2139"/>
      <c r="BA214" s="2139"/>
      <c r="BB214" s="2139"/>
      <c r="BC214" s="2139">
        <f t="shared" si="35"/>
        <v>0</v>
      </c>
      <c r="BD214" s="2139"/>
      <c r="BE214" s="2139"/>
      <c r="BF214" s="2139"/>
      <c r="BG214" s="99"/>
      <c r="BH214" s="2139">
        <f t="shared" si="24"/>
        <v>0</v>
      </c>
      <c r="BI214" s="2139"/>
      <c r="BJ214" s="2139"/>
      <c r="BK214" s="2139"/>
      <c r="BL214" s="466"/>
      <c r="BM214" s="2139">
        <f t="shared" si="8"/>
        <v>0</v>
      </c>
      <c r="BN214" s="2139"/>
      <c r="BO214" s="2139"/>
      <c r="BP214" s="2139"/>
      <c r="BQ214" s="466"/>
      <c r="BR214" s="466"/>
      <c r="BS214" s="466"/>
      <c r="BT214" s="466"/>
      <c r="BU214" s="9"/>
      <c r="BV214" s="275"/>
      <c r="BW214" s="275"/>
      <c r="BX214" s="275"/>
      <c r="BY214" s="275"/>
      <c r="BZ214" s="275"/>
    </row>
    <row r="215" spans="1:118" s="480" customFormat="1" ht="15" customHeight="1" outlineLevel="1" x14ac:dyDescent="0.3">
      <c r="A215" s="274"/>
      <c r="B215" s="8"/>
      <c r="C215" s="651" t="str">
        <f t="shared" si="22"/>
        <v>Other Cost 2</v>
      </c>
      <c r="D215" s="99"/>
      <c r="E215" s="99"/>
      <c r="F215" s="99"/>
      <c r="G215" s="99"/>
      <c r="H215" s="99"/>
      <c r="I215" s="99"/>
      <c r="J215" s="99"/>
      <c r="K215" s="2139">
        <f t="shared" si="23"/>
        <v>0</v>
      </c>
      <c r="L215" s="2139"/>
      <c r="M215" s="2139"/>
      <c r="N215" s="2139"/>
      <c r="O215" s="2139">
        <f t="shared" si="25"/>
        <v>0</v>
      </c>
      <c r="P215" s="2139"/>
      <c r="Q215" s="2139"/>
      <c r="R215" s="2139"/>
      <c r="S215" s="2139">
        <f t="shared" si="26"/>
        <v>0</v>
      </c>
      <c r="T215" s="2139"/>
      <c r="U215" s="2139"/>
      <c r="V215" s="2139"/>
      <c r="W215" s="2139">
        <f t="shared" si="27"/>
        <v>0</v>
      </c>
      <c r="X215" s="2139"/>
      <c r="Y215" s="2139"/>
      <c r="Z215" s="2139"/>
      <c r="AA215" s="2139">
        <f t="shared" si="28"/>
        <v>0</v>
      </c>
      <c r="AB215" s="2139"/>
      <c r="AC215" s="2139"/>
      <c r="AD215" s="2139"/>
      <c r="AE215" s="2139">
        <f t="shared" si="29"/>
        <v>0</v>
      </c>
      <c r="AF215" s="2139"/>
      <c r="AG215" s="2139"/>
      <c r="AH215" s="2139"/>
      <c r="AI215" s="2139">
        <f t="shared" si="30"/>
        <v>0</v>
      </c>
      <c r="AJ215" s="2139"/>
      <c r="AK215" s="2139"/>
      <c r="AL215" s="2139"/>
      <c r="AM215" s="2139">
        <f t="shared" si="31"/>
        <v>0</v>
      </c>
      <c r="AN215" s="2139"/>
      <c r="AO215" s="2139"/>
      <c r="AP215" s="2139"/>
      <c r="AQ215" s="2139">
        <f t="shared" si="32"/>
        <v>0</v>
      </c>
      <c r="AR215" s="2139"/>
      <c r="AS215" s="2139"/>
      <c r="AT215" s="2139"/>
      <c r="AU215" s="2139">
        <f t="shared" si="33"/>
        <v>0</v>
      </c>
      <c r="AV215" s="2139"/>
      <c r="AW215" s="2139"/>
      <c r="AX215" s="2139"/>
      <c r="AY215" s="2139">
        <f t="shared" si="34"/>
        <v>0</v>
      </c>
      <c r="AZ215" s="2139"/>
      <c r="BA215" s="2139"/>
      <c r="BB215" s="2139"/>
      <c r="BC215" s="2139">
        <f t="shared" si="35"/>
        <v>0</v>
      </c>
      <c r="BD215" s="2139"/>
      <c r="BE215" s="2139"/>
      <c r="BF215" s="2139"/>
      <c r="BG215" s="99"/>
      <c r="BH215" s="2139">
        <f t="shared" si="24"/>
        <v>0</v>
      </c>
      <c r="BI215" s="2139"/>
      <c r="BJ215" s="2139"/>
      <c r="BK215" s="2139"/>
      <c r="BL215" s="466"/>
      <c r="BM215" s="2139">
        <f t="shared" si="8"/>
        <v>0</v>
      </c>
      <c r="BN215" s="2139"/>
      <c r="BO215" s="2139"/>
      <c r="BP215" s="2139"/>
      <c r="BQ215" s="466"/>
      <c r="BR215" s="466"/>
      <c r="BS215" s="466"/>
      <c r="BT215" s="466"/>
      <c r="BU215" s="9"/>
      <c r="BV215" s="275"/>
      <c r="BW215" s="275"/>
      <c r="BX215" s="275"/>
      <c r="BY215" s="275"/>
      <c r="BZ215" s="275"/>
      <c r="CA215" s="274"/>
      <c r="CB215" s="274"/>
      <c r="CC215" s="274"/>
      <c r="CD215" s="274"/>
      <c r="CE215" s="274"/>
      <c r="CF215" s="274"/>
      <c r="CG215" s="274"/>
      <c r="CH215" s="274"/>
      <c r="CI215" s="274"/>
      <c r="CJ215" s="274"/>
      <c r="CK215" s="274"/>
      <c r="CL215" s="274"/>
      <c r="CM215" s="274"/>
      <c r="CN215" s="274"/>
      <c r="CO215" s="274"/>
      <c r="CP215" s="274"/>
      <c r="CQ215" s="274"/>
      <c r="CR215" s="274"/>
      <c r="CS215" s="274"/>
      <c r="CT215" s="274"/>
      <c r="CU215" s="274"/>
      <c r="CV215" s="274"/>
      <c r="CW215" s="274"/>
      <c r="CX215" s="274"/>
      <c r="CY215" s="274"/>
      <c r="CZ215" s="274"/>
      <c r="DA215" s="274"/>
      <c r="DB215" s="274"/>
      <c r="DC215" s="274"/>
      <c r="DD215" s="274"/>
      <c r="DE215" s="274"/>
      <c r="DF215" s="274"/>
      <c r="DG215" s="274"/>
      <c r="DH215" s="274"/>
      <c r="DI215" s="274"/>
      <c r="DJ215" s="274"/>
      <c r="DK215" s="274"/>
      <c r="DL215" s="274"/>
      <c r="DM215" s="274"/>
      <c r="DN215" s="274"/>
    </row>
    <row r="216" spans="1:118" ht="15" customHeight="1" outlineLevel="1" x14ac:dyDescent="0.25">
      <c r="B216" s="8"/>
      <c r="C216" s="651" t="str">
        <f t="shared" si="22"/>
        <v>Miscellaneous (Variable)</v>
      </c>
      <c r="D216" s="99"/>
      <c r="E216" s="99"/>
      <c r="F216" s="99"/>
      <c r="G216" s="99"/>
      <c r="H216" s="99"/>
      <c r="I216" s="99"/>
      <c r="J216" s="99"/>
      <c r="K216" s="2139">
        <f t="shared" si="23"/>
        <v>0</v>
      </c>
      <c r="L216" s="2139"/>
      <c r="M216" s="2139"/>
      <c r="N216" s="2139"/>
      <c r="O216" s="2139">
        <f t="shared" si="25"/>
        <v>0</v>
      </c>
      <c r="P216" s="2139"/>
      <c r="Q216" s="2139"/>
      <c r="R216" s="2139"/>
      <c r="S216" s="2139">
        <f t="shared" si="26"/>
        <v>0</v>
      </c>
      <c r="T216" s="2139"/>
      <c r="U216" s="2139"/>
      <c r="V216" s="2139"/>
      <c r="W216" s="2139">
        <f t="shared" si="27"/>
        <v>0</v>
      </c>
      <c r="X216" s="2139"/>
      <c r="Y216" s="2139"/>
      <c r="Z216" s="2139"/>
      <c r="AA216" s="2139">
        <f t="shared" si="28"/>
        <v>0</v>
      </c>
      <c r="AB216" s="2139"/>
      <c r="AC216" s="2139"/>
      <c r="AD216" s="2139"/>
      <c r="AE216" s="2139">
        <f t="shared" si="29"/>
        <v>0</v>
      </c>
      <c r="AF216" s="2139"/>
      <c r="AG216" s="2139"/>
      <c r="AH216" s="2139"/>
      <c r="AI216" s="2139">
        <f t="shared" si="30"/>
        <v>0</v>
      </c>
      <c r="AJ216" s="2139"/>
      <c r="AK216" s="2139"/>
      <c r="AL216" s="2139"/>
      <c r="AM216" s="2139">
        <f t="shared" si="31"/>
        <v>0</v>
      </c>
      <c r="AN216" s="2139"/>
      <c r="AO216" s="2139"/>
      <c r="AP216" s="2139"/>
      <c r="AQ216" s="2139">
        <f t="shared" si="32"/>
        <v>0</v>
      </c>
      <c r="AR216" s="2139"/>
      <c r="AS216" s="2139"/>
      <c r="AT216" s="2139"/>
      <c r="AU216" s="2139">
        <f t="shared" si="33"/>
        <v>0</v>
      </c>
      <c r="AV216" s="2139"/>
      <c r="AW216" s="2139"/>
      <c r="AX216" s="2139"/>
      <c r="AY216" s="2139">
        <f t="shared" si="34"/>
        <v>0</v>
      </c>
      <c r="AZ216" s="2139"/>
      <c r="BA216" s="2139"/>
      <c r="BB216" s="2139"/>
      <c r="BC216" s="2139">
        <f t="shared" si="35"/>
        <v>0</v>
      </c>
      <c r="BD216" s="2139"/>
      <c r="BE216" s="2139"/>
      <c r="BF216" s="2139"/>
      <c r="BG216" s="99"/>
      <c r="BH216" s="2139">
        <f t="shared" si="24"/>
        <v>0</v>
      </c>
      <c r="BI216" s="2139"/>
      <c r="BJ216" s="2139"/>
      <c r="BK216" s="2139"/>
      <c r="BL216" s="466"/>
      <c r="BM216" s="2139">
        <f t="shared" si="8"/>
        <v>0</v>
      </c>
      <c r="BN216" s="2139"/>
      <c r="BO216" s="2139"/>
      <c r="BP216" s="2139"/>
      <c r="BQ216" s="466"/>
      <c r="BR216" s="466"/>
      <c r="BS216" s="466"/>
      <c r="BT216" s="466"/>
      <c r="BU216" s="9"/>
      <c r="BV216" s="275"/>
      <c r="BW216" s="275"/>
      <c r="BX216" s="275"/>
      <c r="BY216" s="275"/>
      <c r="BZ216" s="275"/>
    </row>
    <row r="217" spans="1:118" ht="15" customHeight="1" outlineLevel="1" x14ac:dyDescent="0.25">
      <c r="B217" s="8"/>
      <c r="C217" s="468" t="s">
        <v>1</v>
      </c>
      <c r="D217" s="469"/>
      <c r="E217" s="469"/>
      <c r="F217" s="469"/>
      <c r="G217" s="469"/>
      <c r="H217" s="469"/>
      <c r="I217" s="469"/>
      <c r="J217" s="441"/>
      <c r="K217" s="2127">
        <f>SUM(K199:N216)</f>
        <v>0</v>
      </c>
      <c r="L217" s="2127"/>
      <c r="M217" s="2127"/>
      <c r="N217" s="2127"/>
      <c r="O217" s="2127">
        <f>SUM(O199:R216)</f>
        <v>0</v>
      </c>
      <c r="P217" s="2127"/>
      <c r="Q217" s="2127"/>
      <c r="R217" s="2127"/>
      <c r="S217" s="2127">
        <f>SUM(S199:V216)</f>
        <v>0</v>
      </c>
      <c r="T217" s="2127"/>
      <c r="U217" s="2127"/>
      <c r="V217" s="2127"/>
      <c r="W217" s="2127">
        <f>SUM(W199:Z216)</f>
        <v>0</v>
      </c>
      <c r="X217" s="2127"/>
      <c r="Y217" s="2127"/>
      <c r="Z217" s="2127"/>
      <c r="AA217" s="2127">
        <f>SUM(AA199:AD216)</f>
        <v>0</v>
      </c>
      <c r="AB217" s="2127"/>
      <c r="AC217" s="2127"/>
      <c r="AD217" s="2127"/>
      <c r="AE217" s="2127">
        <f>SUM(AE199:AH216)</f>
        <v>0</v>
      </c>
      <c r="AF217" s="2127"/>
      <c r="AG217" s="2127"/>
      <c r="AH217" s="2127"/>
      <c r="AI217" s="2127">
        <f>SUM(AI199:AL216)</f>
        <v>0</v>
      </c>
      <c r="AJ217" s="2127"/>
      <c r="AK217" s="2127"/>
      <c r="AL217" s="2127"/>
      <c r="AM217" s="2127">
        <f>SUM(AM199:AP216)</f>
        <v>0</v>
      </c>
      <c r="AN217" s="2127"/>
      <c r="AO217" s="2127"/>
      <c r="AP217" s="2127"/>
      <c r="AQ217" s="2127">
        <f>SUM(AQ199:AT216)</f>
        <v>0</v>
      </c>
      <c r="AR217" s="2127"/>
      <c r="AS217" s="2127"/>
      <c r="AT217" s="2127"/>
      <c r="AU217" s="2127">
        <f>SUM(AU199:AX216)</f>
        <v>0</v>
      </c>
      <c r="AV217" s="2127"/>
      <c r="AW217" s="2127"/>
      <c r="AX217" s="2127"/>
      <c r="AY217" s="2127">
        <f>SUM(AY199:BB216)</f>
        <v>0</v>
      </c>
      <c r="AZ217" s="2127"/>
      <c r="BA217" s="2127"/>
      <c r="BB217" s="2127"/>
      <c r="BC217" s="2127">
        <f>SUM(BC199:BF216)</f>
        <v>0</v>
      </c>
      <c r="BD217" s="2127"/>
      <c r="BE217" s="2127"/>
      <c r="BF217" s="2127"/>
      <c r="BG217" s="23"/>
      <c r="BH217" s="2173">
        <f>IFERROR(SUM(K217:BF217),0)</f>
        <v>0</v>
      </c>
      <c r="BI217" s="2174"/>
      <c r="BJ217" s="2174"/>
      <c r="BK217" s="2175"/>
      <c r="BL217" s="466"/>
      <c r="BM217" s="2173">
        <f>AVERAGE(K217:BF217)</f>
        <v>0</v>
      </c>
      <c r="BN217" s="2174"/>
      <c r="BO217" s="2174"/>
      <c r="BP217" s="2175"/>
      <c r="BQ217" s="466"/>
      <c r="BR217" s="466"/>
      <c r="BS217" s="466"/>
      <c r="BT217" s="466"/>
      <c r="BU217" s="9"/>
      <c r="BV217" s="275"/>
      <c r="BW217" s="275"/>
      <c r="BX217" s="275"/>
      <c r="BY217" s="275"/>
      <c r="BZ217" s="275"/>
    </row>
    <row r="218" spans="1:118" s="480" customFormat="1" ht="15" customHeight="1" outlineLevel="1" x14ac:dyDescent="0.3">
      <c r="B218" s="202"/>
      <c r="C218" s="481" t="s">
        <v>588</v>
      </c>
      <c r="D218" s="482"/>
      <c r="E218" s="482"/>
      <c r="F218" s="482"/>
      <c r="G218" s="482"/>
      <c r="H218" s="482"/>
      <c r="I218" s="482"/>
      <c r="J218" s="482"/>
      <c r="K218" s="2177">
        <f>IFERROR(-K217/K192,0)</f>
        <v>0</v>
      </c>
      <c r="L218" s="2177"/>
      <c r="M218" s="2177"/>
      <c r="N218" s="2177"/>
      <c r="O218" s="2177">
        <f>IFERROR(-O217/O192,0)</f>
        <v>0</v>
      </c>
      <c r="P218" s="2177"/>
      <c r="Q218" s="2177"/>
      <c r="R218" s="2177"/>
      <c r="S218" s="2177">
        <f>IFERROR(-S217/S192,0)</f>
        <v>0</v>
      </c>
      <c r="T218" s="2177"/>
      <c r="U218" s="2177"/>
      <c r="V218" s="2177"/>
      <c r="W218" s="2177">
        <f>IFERROR(-W217/W192,0)</f>
        <v>0</v>
      </c>
      <c r="X218" s="2177"/>
      <c r="Y218" s="2177"/>
      <c r="Z218" s="2177"/>
      <c r="AA218" s="2177">
        <f>IFERROR(-AA217/AA192,0)</f>
        <v>0</v>
      </c>
      <c r="AB218" s="2177"/>
      <c r="AC218" s="2177"/>
      <c r="AD218" s="2177"/>
      <c r="AE218" s="2177">
        <f>IFERROR(-AE217/AE192,0)</f>
        <v>0</v>
      </c>
      <c r="AF218" s="2177"/>
      <c r="AG218" s="2177"/>
      <c r="AH218" s="2177"/>
      <c r="AI218" s="2177">
        <f>IFERROR(-AI217/AI192,0)</f>
        <v>0</v>
      </c>
      <c r="AJ218" s="2177"/>
      <c r="AK218" s="2177"/>
      <c r="AL218" s="2177"/>
      <c r="AM218" s="2177">
        <f>IFERROR(-AM217/AM192,0)</f>
        <v>0</v>
      </c>
      <c r="AN218" s="2177"/>
      <c r="AO218" s="2177"/>
      <c r="AP218" s="2177"/>
      <c r="AQ218" s="2177">
        <f>IFERROR(-AQ217/AQ192,0)</f>
        <v>0</v>
      </c>
      <c r="AR218" s="2177"/>
      <c r="AS218" s="2177"/>
      <c r="AT218" s="2177"/>
      <c r="AU218" s="2177">
        <f>IFERROR(-AU217/AU192,0)</f>
        <v>0</v>
      </c>
      <c r="AV218" s="2177"/>
      <c r="AW218" s="2177"/>
      <c r="AX218" s="2177"/>
      <c r="AY218" s="2177">
        <f>IFERROR(-AY217/AY192,0)</f>
        <v>0</v>
      </c>
      <c r="AZ218" s="2177"/>
      <c r="BA218" s="2177"/>
      <c r="BB218" s="2177"/>
      <c r="BC218" s="2177">
        <f>IFERROR(-BC217/BC192,0)</f>
        <v>0</v>
      </c>
      <c r="BD218" s="2177"/>
      <c r="BE218" s="2177"/>
      <c r="BF218" s="2177"/>
      <c r="BG218" s="482"/>
      <c r="BH218" s="2177">
        <f>IFERROR(-BH217/BH192,0)</f>
        <v>0</v>
      </c>
      <c r="BI218" s="2177"/>
      <c r="BJ218" s="2177"/>
      <c r="BK218" s="2177"/>
      <c r="BL218" s="482"/>
      <c r="BM218" s="2177">
        <f>IFERROR(-BM217/BM192,0)</f>
        <v>0</v>
      </c>
      <c r="BN218" s="2177"/>
      <c r="BO218" s="2177"/>
      <c r="BP218" s="2177"/>
      <c r="BQ218" s="482"/>
      <c r="BR218" s="482"/>
      <c r="BS218" s="482"/>
      <c r="BT218" s="482"/>
      <c r="BU218" s="197"/>
    </row>
    <row r="219" spans="1:118" ht="15" customHeight="1" outlineLevel="1" x14ac:dyDescent="0.25">
      <c r="B219" s="8"/>
      <c r="C219" s="651"/>
      <c r="D219" s="99"/>
      <c r="E219" s="99"/>
      <c r="F219" s="99"/>
      <c r="G219" s="99"/>
      <c r="H219" s="99"/>
      <c r="I219" s="99"/>
      <c r="J219" s="99"/>
      <c r="K219" s="99"/>
      <c r="L219" s="99"/>
      <c r="M219" s="99"/>
      <c r="N219" s="99"/>
      <c r="O219" s="99"/>
      <c r="P219" s="99"/>
      <c r="Q219" s="99"/>
      <c r="R219" s="99"/>
      <c r="S219" s="99"/>
      <c r="T219" s="99"/>
      <c r="U219" s="99"/>
      <c r="V219" s="99"/>
      <c r="W219" s="99"/>
      <c r="X219" s="99"/>
      <c r="Y219" s="99"/>
      <c r="Z219" s="99"/>
      <c r="AA219" s="99"/>
      <c r="AB219" s="99"/>
      <c r="AC219" s="99"/>
      <c r="AD219" s="99"/>
      <c r="AE219" s="99"/>
      <c r="AF219" s="99"/>
      <c r="AG219" s="99"/>
      <c r="AH219" s="99"/>
      <c r="AI219" s="99"/>
      <c r="AJ219" s="99"/>
      <c r="AK219" s="99"/>
      <c r="AL219" s="99"/>
      <c r="AM219" s="99"/>
      <c r="AN219" s="99"/>
      <c r="AO219" s="99"/>
      <c r="AP219" s="99"/>
      <c r="AQ219" s="99"/>
      <c r="AR219" s="99"/>
      <c r="AS219" s="99"/>
      <c r="AT219" s="99"/>
      <c r="AU219" s="99"/>
      <c r="AV219" s="99"/>
      <c r="AW219" s="99"/>
      <c r="AX219" s="99"/>
      <c r="AY219" s="99"/>
      <c r="AZ219" s="99"/>
      <c r="BA219" s="99"/>
      <c r="BB219" s="99"/>
      <c r="BC219" s="99"/>
      <c r="BD219" s="99"/>
      <c r="BE219" s="99"/>
      <c r="BF219" s="99"/>
      <c r="BG219" s="99"/>
      <c r="BH219" s="99"/>
      <c r="BI219" s="99"/>
      <c r="BJ219" s="99"/>
      <c r="BK219" s="99"/>
      <c r="BL219" s="466"/>
      <c r="BM219" s="466"/>
      <c r="BN219" s="466"/>
      <c r="BO219" s="466"/>
      <c r="BP219" s="466"/>
      <c r="BQ219" s="466"/>
      <c r="BR219" s="466"/>
      <c r="BS219" s="466"/>
      <c r="BT219" s="466"/>
      <c r="BU219" s="9"/>
      <c r="BV219" s="275"/>
      <c r="BW219" s="275"/>
      <c r="BX219" s="275"/>
      <c r="BY219" s="275"/>
      <c r="BZ219" s="275"/>
    </row>
    <row r="220" spans="1:118" ht="15" customHeight="1" outlineLevel="1" x14ac:dyDescent="0.25">
      <c r="B220" s="8"/>
      <c r="C220" s="468" t="s">
        <v>83</v>
      </c>
      <c r="D220" s="469"/>
      <c r="E220" s="469"/>
      <c r="F220" s="469"/>
      <c r="G220" s="469"/>
      <c r="H220" s="469"/>
      <c r="I220" s="469"/>
      <c r="J220" s="441"/>
      <c r="K220" s="2127">
        <f>K197+K217</f>
        <v>0</v>
      </c>
      <c r="L220" s="2127"/>
      <c r="M220" s="2127"/>
      <c r="N220" s="2127"/>
      <c r="O220" s="2127">
        <f>O197+O217</f>
        <v>0</v>
      </c>
      <c r="P220" s="2127"/>
      <c r="Q220" s="2127"/>
      <c r="R220" s="2127"/>
      <c r="S220" s="2127">
        <f>S197+S217</f>
        <v>0</v>
      </c>
      <c r="T220" s="2127"/>
      <c r="U220" s="2127"/>
      <c r="V220" s="2127"/>
      <c r="W220" s="2127">
        <f>W197+W217</f>
        <v>0</v>
      </c>
      <c r="X220" s="2127"/>
      <c r="Y220" s="2127"/>
      <c r="Z220" s="2127"/>
      <c r="AA220" s="2127">
        <f>AA197+AA217</f>
        <v>0</v>
      </c>
      <c r="AB220" s="2127"/>
      <c r="AC220" s="2127"/>
      <c r="AD220" s="2127"/>
      <c r="AE220" s="2127">
        <f>AE197+AE217</f>
        <v>0</v>
      </c>
      <c r="AF220" s="2127"/>
      <c r="AG220" s="2127"/>
      <c r="AH220" s="2127"/>
      <c r="AI220" s="2127">
        <f>AI197+AI217</f>
        <v>0</v>
      </c>
      <c r="AJ220" s="2127"/>
      <c r="AK220" s="2127"/>
      <c r="AL220" s="2127"/>
      <c r="AM220" s="2127">
        <f>AM197+AM217</f>
        <v>0</v>
      </c>
      <c r="AN220" s="2127"/>
      <c r="AO220" s="2127"/>
      <c r="AP220" s="2127"/>
      <c r="AQ220" s="2127">
        <f>AQ197+AQ217</f>
        <v>0</v>
      </c>
      <c r="AR220" s="2127"/>
      <c r="AS220" s="2127"/>
      <c r="AT220" s="2127"/>
      <c r="AU220" s="2127">
        <f>AU197+AU217</f>
        <v>0</v>
      </c>
      <c r="AV220" s="2127"/>
      <c r="AW220" s="2127"/>
      <c r="AX220" s="2127"/>
      <c r="AY220" s="2127">
        <f>AY197+AY217</f>
        <v>0</v>
      </c>
      <c r="AZ220" s="2127"/>
      <c r="BA220" s="2127"/>
      <c r="BB220" s="2127"/>
      <c r="BC220" s="2127">
        <f>BC197+BC217</f>
        <v>0</v>
      </c>
      <c r="BD220" s="2127"/>
      <c r="BE220" s="2127"/>
      <c r="BF220" s="2127"/>
      <c r="BG220" s="23"/>
      <c r="BH220" s="2173">
        <f>IFERROR(SUM(K220:BF220),0)</f>
        <v>0</v>
      </c>
      <c r="BI220" s="2174"/>
      <c r="BJ220" s="2174"/>
      <c r="BK220" s="2175"/>
      <c r="BL220" s="466"/>
      <c r="BM220" s="2173">
        <f>AVERAGE(K220:BF220)</f>
        <v>0</v>
      </c>
      <c r="BN220" s="2174"/>
      <c r="BO220" s="2174"/>
      <c r="BP220" s="2175"/>
      <c r="BQ220" s="466"/>
      <c r="BR220" s="466"/>
      <c r="BS220" s="466"/>
      <c r="BT220" s="466"/>
      <c r="BU220" s="9"/>
      <c r="BV220" s="275"/>
      <c r="BW220" s="275"/>
      <c r="BX220" s="275"/>
      <c r="BY220" s="275"/>
      <c r="BZ220" s="275"/>
    </row>
    <row r="221" spans="1:118" ht="15" customHeight="1" outlineLevel="1" x14ac:dyDescent="0.3">
      <c r="A221" s="480"/>
      <c r="B221" s="202"/>
      <c r="C221" s="481" t="s">
        <v>588</v>
      </c>
      <c r="D221" s="482"/>
      <c r="E221" s="482"/>
      <c r="F221" s="482"/>
      <c r="G221" s="482"/>
      <c r="H221" s="482"/>
      <c r="I221" s="482"/>
      <c r="J221" s="482"/>
      <c r="K221" s="2177">
        <f>IFERROR(K220/K192,0)</f>
        <v>0</v>
      </c>
      <c r="L221" s="2177"/>
      <c r="M221" s="2177"/>
      <c r="N221" s="2177"/>
      <c r="O221" s="2177">
        <f>IFERROR(O220/O192,0)</f>
        <v>0</v>
      </c>
      <c r="P221" s="2177"/>
      <c r="Q221" s="2177"/>
      <c r="R221" s="2177"/>
      <c r="S221" s="2177">
        <f>IFERROR(S220/S192,0)</f>
        <v>0</v>
      </c>
      <c r="T221" s="2177"/>
      <c r="U221" s="2177"/>
      <c r="V221" s="2177"/>
      <c r="W221" s="2177">
        <f>IFERROR(W220/W192,0)</f>
        <v>0</v>
      </c>
      <c r="X221" s="2177"/>
      <c r="Y221" s="2177"/>
      <c r="Z221" s="2177"/>
      <c r="AA221" s="2177">
        <f>IFERROR(AA220/AA192,0)</f>
        <v>0</v>
      </c>
      <c r="AB221" s="2177"/>
      <c r="AC221" s="2177"/>
      <c r="AD221" s="2177"/>
      <c r="AE221" s="2177">
        <f>IFERROR(AE220/AE192,0)</f>
        <v>0</v>
      </c>
      <c r="AF221" s="2177"/>
      <c r="AG221" s="2177"/>
      <c r="AH221" s="2177"/>
      <c r="AI221" s="2177">
        <f>IFERROR(AI220/AI192,0)</f>
        <v>0</v>
      </c>
      <c r="AJ221" s="2177"/>
      <c r="AK221" s="2177"/>
      <c r="AL221" s="2177"/>
      <c r="AM221" s="2177">
        <f>IFERROR(AM220/AM192,0)</f>
        <v>0</v>
      </c>
      <c r="AN221" s="2177"/>
      <c r="AO221" s="2177"/>
      <c r="AP221" s="2177"/>
      <c r="AQ221" s="2177">
        <f>IFERROR(AQ220/AQ192,0)</f>
        <v>0</v>
      </c>
      <c r="AR221" s="2177"/>
      <c r="AS221" s="2177"/>
      <c r="AT221" s="2177"/>
      <c r="AU221" s="2177">
        <f>IFERROR(AU220/AU192,0)</f>
        <v>0</v>
      </c>
      <c r="AV221" s="2177"/>
      <c r="AW221" s="2177"/>
      <c r="AX221" s="2177"/>
      <c r="AY221" s="2177">
        <f>IFERROR(AY220/AY192,0)</f>
        <v>0</v>
      </c>
      <c r="AZ221" s="2177"/>
      <c r="BA221" s="2177"/>
      <c r="BB221" s="2177"/>
      <c r="BC221" s="2177">
        <f>IFERROR(BC220/BC192,0)</f>
        <v>0</v>
      </c>
      <c r="BD221" s="2177"/>
      <c r="BE221" s="2177"/>
      <c r="BF221" s="2177"/>
      <c r="BG221" s="482"/>
      <c r="BH221" s="2177">
        <f>IFERROR(BH220/BH192,0)</f>
        <v>0</v>
      </c>
      <c r="BI221" s="2177"/>
      <c r="BJ221" s="2177"/>
      <c r="BK221" s="2177"/>
      <c r="BL221" s="482"/>
      <c r="BM221" s="2177">
        <f>IFERROR(BM220/BM192,0)</f>
        <v>0</v>
      </c>
      <c r="BN221" s="2177"/>
      <c r="BO221" s="2177"/>
      <c r="BP221" s="2177"/>
      <c r="BQ221" s="482"/>
      <c r="BR221" s="482"/>
      <c r="BS221" s="482"/>
      <c r="BT221" s="482"/>
      <c r="BU221" s="197"/>
      <c r="BV221" s="480"/>
      <c r="BW221" s="480"/>
      <c r="BX221" s="480"/>
      <c r="BY221" s="480"/>
      <c r="BZ221" s="480"/>
      <c r="CA221" s="480"/>
      <c r="CB221" s="480"/>
      <c r="CC221" s="480"/>
      <c r="CD221" s="480"/>
      <c r="CE221" s="480"/>
      <c r="CF221" s="480"/>
      <c r="CG221" s="480"/>
      <c r="CH221" s="480"/>
      <c r="CI221" s="480"/>
      <c r="CJ221" s="480"/>
      <c r="CK221" s="480"/>
      <c r="CL221" s="480"/>
      <c r="CM221" s="480"/>
      <c r="CN221" s="480"/>
      <c r="CO221" s="480"/>
      <c r="CP221" s="480"/>
      <c r="CQ221" s="480"/>
      <c r="CR221" s="480"/>
      <c r="CS221" s="480"/>
      <c r="CT221" s="480"/>
      <c r="CU221" s="480"/>
      <c r="CV221" s="480"/>
      <c r="CW221" s="480"/>
      <c r="CX221" s="480"/>
      <c r="CY221" s="480"/>
      <c r="CZ221" s="480"/>
      <c r="DA221" s="480"/>
      <c r="DB221" s="480"/>
      <c r="DC221" s="480"/>
      <c r="DD221" s="480"/>
      <c r="DE221" s="480"/>
      <c r="DF221" s="480"/>
      <c r="DG221" s="480"/>
      <c r="DH221" s="480"/>
      <c r="DI221" s="480"/>
      <c r="DJ221" s="480"/>
      <c r="DK221" s="480"/>
      <c r="DL221" s="480"/>
      <c r="DM221" s="480"/>
      <c r="DN221" s="480"/>
    </row>
    <row r="222" spans="1:118" ht="15" customHeight="1" outlineLevel="1" x14ac:dyDescent="0.25">
      <c r="B222" s="8"/>
      <c r="C222" s="651"/>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99"/>
      <c r="AC222" s="99"/>
      <c r="AD222" s="99"/>
      <c r="AE222" s="99"/>
      <c r="AF222" s="99"/>
      <c r="AG222" s="99"/>
      <c r="AH222" s="99"/>
      <c r="AI222" s="99"/>
      <c r="AJ222" s="99"/>
      <c r="AK222" s="99"/>
      <c r="AL222" s="99"/>
      <c r="AM222" s="99"/>
      <c r="AN222" s="99"/>
      <c r="AO222" s="99"/>
      <c r="AP222" s="99"/>
      <c r="AQ222" s="99"/>
      <c r="AR222" s="99"/>
      <c r="AS222" s="99"/>
      <c r="AT222" s="99"/>
      <c r="AU222" s="99"/>
      <c r="AV222" s="99"/>
      <c r="AW222" s="99"/>
      <c r="AX222" s="99"/>
      <c r="AY222" s="99"/>
      <c r="AZ222" s="99"/>
      <c r="BA222" s="99"/>
      <c r="BB222" s="99"/>
      <c r="BC222" s="99"/>
      <c r="BD222" s="99"/>
      <c r="BE222" s="99"/>
      <c r="BF222" s="99"/>
      <c r="BG222" s="99"/>
      <c r="BH222" s="99"/>
      <c r="BI222" s="99"/>
      <c r="BJ222" s="99"/>
      <c r="BK222" s="99"/>
      <c r="BL222" s="466"/>
      <c r="BM222" s="466"/>
      <c r="BN222" s="466"/>
      <c r="BO222" s="466"/>
      <c r="BP222" s="466"/>
      <c r="BQ222" s="466"/>
      <c r="BR222" s="466"/>
      <c r="BS222" s="466"/>
      <c r="BT222" s="466"/>
      <c r="BU222" s="9"/>
      <c r="BV222" s="275"/>
      <c r="BW222" s="275"/>
      <c r="BX222" s="275"/>
      <c r="BY222" s="275"/>
      <c r="BZ222" s="275"/>
    </row>
    <row r="223" spans="1:118" ht="15" customHeight="1" outlineLevel="1" x14ac:dyDescent="0.25">
      <c r="B223" s="8"/>
      <c r="C223" s="651" t="s">
        <v>81</v>
      </c>
      <c r="D223" s="99"/>
      <c r="E223" s="99"/>
      <c r="F223" s="99"/>
      <c r="G223" s="99"/>
      <c r="H223" s="99"/>
      <c r="I223" s="99"/>
      <c r="J223" s="99"/>
      <c r="K223" s="2139">
        <f>-$BD$130*K$192</f>
        <v>0</v>
      </c>
      <c r="L223" s="2139"/>
      <c r="M223" s="2139"/>
      <c r="N223" s="2139"/>
      <c r="O223" s="2139">
        <f>-$BD$130*O$192</f>
        <v>0</v>
      </c>
      <c r="P223" s="2139"/>
      <c r="Q223" s="2139"/>
      <c r="R223" s="2139"/>
      <c r="S223" s="2139">
        <f>-$BD$130*S$192</f>
        <v>0</v>
      </c>
      <c r="T223" s="2139"/>
      <c r="U223" s="2139"/>
      <c r="V223" s="2139"/>
      <c r="W223" s="2139">
        <f>-$BD$130*W$192</f>
        <v>0</v>
      </c>
      <c r="X223" s="2139"/>
      <c r="Y223" s="2139"/>
      <c r="Z223" s="2139"/>
      <c r="AA223" s="2139">
        <f>-$BD$130*AA$192</f>
        <v>0</v>
      </c>
      <c r="AB223" s="2139"/>
      <c r="AC223" s="2139"/>
      <c r="AD223" s="2139"/>
      <c r="AE223" s="2139">
        <f>-$BD$130*AE$192</f>
        <v>0</v>
      </c>
      <c r="AF223" s="2139"/>
      <c r="AG223" s="2139"/>
      <c r="AH223" s="2139"/>
      <c r="AI223" s="2139">
        <f>-$BD$130*AI$192</f>
        <v>0</v>
      </c>
      <c r="AJ223" s="2139"/>
      <c r="AK223" s="2139"/>
      <c r="AL223" s="2139"/>
      <c r="AM223" s="2139">
        <f>-$BD$130*AM$192</f>
        <v>0</v>
      </c>
      <c r="AN223" s="2139"/>
      <c r="AO223" s="2139"/>
      <c r="AP223" s="2139"/>
      <c r="AQ223" s="2139">
        <f>-$BD$130*AQ$192</f>
        <v>0</v>
      </c>
      <c r="AR223" s="2139"/>
      <c r="AS223" s="2139"/>
      <c r="AT223" s="2139"/>
      <c r="AU223" s="2139">
        <f>-$BD$130*AU$192</f>
        <v>0</v>
      </c>
      <c r="AV223" s="2139"/>
      <c r="AW223" s="2139"/>
      <c r="AX223" s="2139"/>
      <c r="AY223" s="2139">
        <f>-$BD$130*AY$192</f>
        <v>0</v>
      </c>
      <c r="AZ223" s="2139"/>
      <c r="BA223" s="2139"/>
      <c r="BB223" s="2139"/>
      <c r="BC223" s="2139">
        <f>-$BD$130*BC$192</f>
        <v>0</v>
      </c>
      <c r="BD223" s="2139"/>
      <c r="BE223" s="2139"/>
      <c r="BF223" s="2139"/>
      <c r="BG223" s="99"/>
      <c r="BH223" s="2139">
        <f>IFERROR(SUM(K223:BF223),0)</f>
        <v>0</v>
      </c>
      <c r="BI223" s="2139"/>
      <c r="BJ223" s="2139"/>
      <c r="BK223" s="2139"/>
      <c r="BL223" s="466"/>
      <c r="BM223" s="2139">
        <f>AVERAGE(K223:BF223)</f>
        <v>0</v>
      </c>
      <c r="BN223" s="2139"/>
      <c r="BO223" s="2139"/>
      <c r="BP223" s="2139"/>
      <c r="BQ223" s="466"/>
      <c r="BR223" s="466"/>
      <c r="BS223" s="466"/>
      <c r="BT223" s="466"/>
      <c r="BU223" s="9"/>
      <c r="BV223" s="275"/>
      <c r="BW223" s="275"/>
      <c r="BX223" s="275"/>
      <c r="BY223" s="275"/>
      <c r="BZ223" s="275"/>
    </row>
    <row r="224" spans="1:118" s="480" customFormat="1" ht="15" customHeight="1" outlineLevel="1" x14ac:dyDescent="0.3">
      <c r="A224" s="274"/>
      <c r="B224" s="8"/>
      <c r="C224" s="651" t="s">
        <v>587</v>
      </c>
      <c r="D224" s="99"/>
      <c r="E224" s="99"/>
      <c r="F224" s="99"/>
      <c r="G224" s="99"/>
      <c r="H224" s="99"/>
      <c r="I224" s="99"/>
      <c r="J224" s="99"/>
      <c r="K224" s="2139">
        <f>-$AD$89</f>
        <v>-1090.7326605107758</v>
      </c>
      <c r="L224" s="2139"/>
      <c r="M224" s="2139"/>
      <c r="N224" s="2139"/>
      <c r="O224" s="2139">
        <f>-$AD$89</f>
        <v>-1090.7326605107758</v>
      </c>
      <c r="P224" s="2139"/>
      <c r="Q224" s="2139"/>
      <c r="R224" s="2139"/>
      <c r="S224" s="2139">
        <f>-$AD$89</f>
        <v>-1090.7326605107758</v>
      </c>
      <c r="T224" s="2139"/>
      <c r="U224" s="2139"/>
      <c r="V224" s="2139"/>
      <c r="W224" s="2139">
        <f>-$AD$89</f>
        <v>-1090.7326605107758</v>
      </c>
      <c r="X224" s="2139"/>
      <c r="Y224" s="2139"/>
      <c r="Z224" s="2139"/>
      <c r="AA224" s="2139">
        <f>-$AD$89</f>
        <v>-1090.7326605107758</v>
      </c>
      <c r="AB224" s="2139"/>
      <c r="AC224" s="2139"/>
      <c r="AD224" s="2139"/>
      <c r="AE224" s="2139">
        <f>-$AD$89</f>
        <v>-1090.7326605107758</v>
      </c>
      <c r="AF224" s="2139"/>
      <c r="AG224" s="2139"/>
      <c r="AH224" s="2139"/>
      <c r="AI224" s="2139">
        <f>-$AD$89</f>
        <v>-1090.7326605107758</v>
      </c>
      <c r="AJ224" s="2139"/>
      <c r="AK224" s="2139"/>
      <c r="AL224" s="2139"/>
      <c r="AM224" s="2139">
        <f>-$AD$89</f>
        <v>-1090.7326605107758</v>
      </c>
      <c r="AN224" s="2139"/>
      <c r="AO224" s="2139"/>
      <c r="AP224" s="2139"/>
      <c r="AQ224" s="2139">
        <f>-$AD$89</f>
        <v>-1090.7326605107758</v>
      </c>
      <c r="AR224" s="2139"/>
      <c r="AS224" s="2139"/>
      <c r="AT224" s="2139"/>
      <c r="AU224" s="2139">
        <f>-$AD$89</f>
        <v>-1090.7326605107758</v>
      </c>
      <c r="AV224" s="2139"/>
      <c r="AW224" s="2139"/>
      <c r="AX224" s="2139"/>
      <c r="AY224" s="2139">
        <f>-$AD$89</f>
        <v>-1090.7326605107758</v>
      </c>
      <c r="AZ224" s="2139"/>
      <c r="BA224" s="2139"/>
      <c r="BB224" s="2139"/>
      <c r="BC224" s="2139">
        <f>-$AD$89</f>
        <v>-1090.7326605107758</v>
      </c>
      <c r="BD224" s="2139"/>
      <c r="BE224" s="2139"/>
      <c r="BF224" s="2139"/>
      <c r="BG224" s="99"/>
      <c r="BH224" s="2139">
        <f>IFERROR(SUM(K224:BF224),0)</f>
        <v>-13088.791926129308</v>
      </c>
      <c r="BI224" s="2139"/>
      <c r="BJ224" s="2139"/>
      <c r="BK224" s="2139"/>
      <c r="BL224" s="466"/>
      <c r="BM224" s="2139">
        <f>AVERAGE(K224:BF224)</f>
        <v>-1090.7326605107758</v>
      </c>
      <c r="BN224" s="2139"/>
      <c r="BO224" s="2139"/>
      <c r="BP224" s="2139"/>
      <c r="BQ224" s="466"/>
      <c r="BR224" s="466"/>
      <c r="BS224" s="466"/>
      <c r="BT224" s="466"/>
      <c r="BU224" s="9"/>
      <c r="BV224" s="275"/>
      <c r="BW224" s="275"/>
      <c r="BX224" s="275"/>
      <c r="BY224" s="275"/>
      <c r="BZ224" s="275"/>
      <c r="CA224" s="274"/>
      <c r="CB224" s="274"/>
      <c r="CC224" s="274"/>
      <c r="CD224" s="274"/>
      <c r="CE224" s="274"/>
      <c r="CF224" s="274"/>
      <c r="CG224" s="274"/>
      <c r="CH224" s="274"/>
      <c r="CI224" s="274"/>
      <c r="CJ224" s="274"/>
      <c r="CK224" s="274"/>
      <c r="CL224" s="274"/>
      <c r="CM224" s="274"/>
      <c r="CN224" s="274"/>
      <c r="CO224" s="274"/>
      <c r="CP224" s="274"/>
      <c r="CQ224" s="274"/>
      <c r="CR224" s="274"/>
      <c r="CS224" s="274"/>
      <c r="CT224" s="274"/>
      <c r="CU224" s="274"/>
      <c r="CV224" s="274"/>
      <c r="CW224" s="274"/>
      <c r="CX224" s="274"/>
      <c r="CY224" s="274"/>
      <c r="CZ224" s="274"/>
      <c r="DA224" s="274"/>
      <c r="DB224" s="274"/>
      <c r="DC224" s="274"/>
      <c r="DD224" s="274"/>
      <c r="DE224" s="274"/>
      <c r="DF224" s="274"/>
      <c r="DG224" s="274"/>
      <c r="DH224" s="274"/>
      <c r="DI224" s="274"/>
      <c r="DJ224" s="274"/>
      <c r="DK224" s="274"/>
      <c r="DL224" s="274"/>
      <c r="DM224" s="274"/>
      <c r="DN224" s="274"/>
    </row>
    <row r="225" spans="1:118" ht="15" customHeight="1" outlineLevel="1" x14ac:dyDescent="0.25">
      <c r="B225" s="8"/>
      <c r="C225" s="651"/>
      <c r="D225" s="99"/>
      <c r="E225" s="99"/>
      <c r="F225" s="99"/>
      <c r="G225" s="99"/>
      <c r="H225" s="99"/>
      <c r="I225" s="99"/>
      <c r="J225" s="99"/>
      <c r="K225" s="99"/>
      <c r="L225" s="99"/>
      <c r="M225" s="99"/>
      <c r="N225" s="99"/>
      <c r="O225" s="99"/>
      <c r="P225" s="99"/>
      <c r="Q225" s="99"/>
      <c r="R225" s="99"/>
      <c r="S225" s="99"/>
      <c r="T225" s="99"/>
      <c r="U225" s="99"/>
      <c r="V225" s="99"/>
      <c r="W225" s="99"/>
      <c r="X225" s="99"/>
      <c r="Y225" s="99"/>
      <c r="Z225" s="99"/>
      <c r="AA225" s="99"/>
      <c r="AB225" s="99"/>
      <c r="AC225" s="99"/>
      <c r="AD225" s="99"/>
      <c r="AE225" s="99"/>
      <c r="AF225" s="99"/>
      <c r="AG225" s="99"/>
      <c r="AH225" s="99"/>
      <c r="AI225" s="99"/>
      <c r="AJ225" s="99"/>
      <c r="AK225" s="99"/>
      <c r="AL225" s="99"/>
      <c r="AM225" s="99"/>
      <c r="AN225" s="99"/>
      <c r="AO225" s="99"/>
      <c r="AP225" s="99"/>
      <c r="AQ225" s="99"/>
      <c r="AR225" s="99"/>
      <c r="AS225" s="99"/>
      <c r="AT225" s="99"/>
      <c r="AU225" s="99"/>
      <c r="AV225" s="99"/>
      <c r="AW225" s="99"/>
      <c r="AX225" s="99"/>
      <c r="AY225" s="99"/>
      <c r="AZ225" s="99"/>
      <c r="BA225" s="99"/>
      <c r="BB225" s="99"/>
      <c r="BC225" s="99"/>
      <c r="BD225" s="99"/>
      <c r="BE225" s="99"/>
      <c r="BF225" s="99"/>
      <c r="BG225" s="99"/>
      <c r="BH225" s="99"/>
      <c r="BI225" s="99"/>
      <c r="BJ225" s="99"/>
      <c r="BK225" s="99"/>
      <c r="BL225" s="466"/>
      <c r="BM225" s="466"/>
      <c r="BN225" s="466"/>
      <c r="BO225" s="466"/>
      <c r="BP225" s="466"/>
      <c r="BQ225" s="466"/>
      <c r="BR225" s="466"/>
      <c r="BS225" s="466"/>
      <c r="BT225" s="466"/>
      <c r="BU225" s="9"/>
      <c r="BV225" s="275"/>
      <c r="BW225" s="275"/>
      <c r="BX225" s="275"/>
      <c r="BY225" s="275"/>
      <c r="BZ225" s="275"/>
    </row>
    <row r="226" spans="1:118" ht="15" customHeight="1" outlineLevel="1" x14ac:dyDescent="0.25">
      <c r="B226" s="8"/>
      <c r="C226" s="468" t="s">
        <v>84</v>
      </c>
      <c r="D226" s="469"/>
      <c r="E226" s="469"/>
      <c r="F226" s="469"/>
      <c r="G226" s="469"/>
      <c r="H226" s="469"/>
      <c r="I226" s="469"/>
      <c r="J226" s="441"/>
      <c r="K226" s="2127">
        <f>K220+K223+K224</f>
        <v>-1090.7326605107758</v>
      </c>
      <c r="L226" s="2127"/>
      <c r="M226" s="2127"/>
      <c r="N226" s="2127"/>
      <c r="O226" s="2127">
        <f>O220+O223+O224</f>
        <v>-1090.7326605107758</v>
      </c>
      <c r="P226" s="2127"/>
      <c r="Q226" s="2127"/>
      <c r="R226" s="2127"/>
      <c r="S226" s="2127">
        <f>S220+S223+S224</f>
        <v>-1090.7326605107758</v>
      </c>
      <c r="T226" s="2127"/>
      <c r="U226" s="2127"/>
      <c r="V226" s="2127"/>
      <c r="W226" s="2127">
        <f>W220+W223+W224</f>
        <v>-1090.7326605107758</v>
      </c>
      <c r="X226" s="2127"/>
      <c r="Y226" s="2127"/>
      <c r="Z226" s="2127"/>
      <c r="AA226" s="2127">
        <f>AA220+AA223+AA224</f>
        <v>-1090.7326605107758</v>
      </c>
      <c r="AB226" s="2127"/>
      <c r="AC226" s="2127"/>
      <c r="AD226" s="2127"/>
      <c r="AE226" s="2127">
        <f>AE220+AE223+AE224</f>
        <v>-1090.7326605107758</v>
      </c>
      <c r="AF226" s="2127"/>
      <c r="AG226" s="2127"/>
      <c r="AH226" s="2127"/>
      <c r="AI226" s="2127">
        <f>AI220+AI223+AI224</f>
        <v>-1090.7326605107758</v>
      </c>
      <c r="AJ226" s="2127"/>
      <c r="AK226" s="2127"/>
      <c r="AL226" s="2127"/>
      <c r="AM226" s="2127">
        <f>AM220+AM223+AM224</f>
        <v>-1090.7326605107758</v>
      </c>
      <c r="AN226" s="2127"/>
      <c r="AO226" s="2127"/>
      <c r="AP226" s="2127"/>
      <c r="AQ226" s="2127">
        <f>AQ220+AQ223+AQ224</f>
        <v>-1090.7326605107758</v>
      </c>
      <c r="AR226" s="2127"/>
      <c r="AS226" s="2127"/>
      <c r="AT226" s="2127"/>
      <c r="AU226" s="2127">
        <f>AU220+AU223+AU224</f>
        <v>-1090.7326605107758</v>
      </c>
      <c r="AV226" s="2127"/>
      <c r="AW226" s="2127"/>
      <c r="AX226" s="2127"/>
      <c r="AY226" s="2127">
        <f>AY220+AY223+AY224</f>
        <v>-1090.7326605107758</v>
      </c>
      <c r="AZ226" s="2127"/>
      <c r="BA226" s="2127"/>
      <c r="BB226" s="2127"/>
      <c r="BC226" s="2127">
        <f>BC220+BC223+BC224</f>
        <v>-1090.7326605107758</v>
      </c>
      <c r="BD226" s="2127"/>
      <c r="BE226" s="2127"/>
      <c r="BF226" s="2127"/>
      <c r="BG226" s="23"/>
      <c r="BH226" s="2173">
        <f>IFERROR(SUM(K226:BF226),0)</f>
        <v>-13088.791926129308</v>
      </c>
      <c r="BI226" s="2174"/>
      <c r="BJ226" s="2174"/>
      <c r="BK226" s="2175"/>
      <c r="BL226" s="466"/>
      <c r="BM226" s="2173">
        <f>AVERAGE(K226:BF226)</f>
        <v>-1090.7326605107758</v>
      </c>
      <c r="BN226" s="2174"/>
      <c r="BO226" s="2174"/>
      <c r="BP226" s="2175"/>
      <c r="BQ226" s="466"/>
      <c r="BR226" s="466"/>
      <c r="BS226" s="466"/>
      <c r="BT226" s="466"/>
      <c r="BU226" s="9"/>
      <c r="BV226" s="275"/>
      <c r="BW226" s="275"/>
      <c r="BX226" s="275"/>
      <c r="BY226" s="275"/>
      <c r="BZ226" s="275"/>
    </row>
    <row r="227" spans="1:118" ht="15" customHeight="1" outlineLevel="1" x14ac:dyDescent="0.3">
      <c r="A227" s="480"/>
      <c r="B227" s="202"/>
      <c r="C227" s="481" t="s">
        <v>588</v>
      </c>
      <c r="D227" s="482"/>
      <c r="E227" s="482"/>
      <c r="F227" s="482"/>
      <c r="G227" s="482"/>
      <c r="H227" s="482"/>
      <c r="I227" s="482"/>
      <c r="J227" s="482"/>
      <c r="K227" s="2177">
        <f>IFERROR(K226/K192,0)</f>
        <v>0</v>
      </c>
      <c r="L227" s="2177"/>
      <c r="M227" s="2177"/>
      <c r="N227" s="2177"/>
      <c r="O227" s="2177">
        <f>IFERROR(O226/O192,0)</f>
        <v>0</v>
      </c>
      <c r="P227" s="2177"/>
      <c r="Q227" s="2177"/>
      <c r="R227" s="2177"/>
      <c r="S227" s="2177">
        <f>IFERROR(S226/S192,0)</f>
        <v>0</v>
      </c>
      <c r="T227" s="2177"/>
      <c r="U227" s="2177"/>
      <c r="V227" s="2177"/>
      <c r="W227" s="2177">
        <f>IFERROR(W226/W192,0)</f>
        <v>0</v>
      </c>
      <c r="X227" s="2177"/>
      <c r="Y227" s="2177"/>
      <c r="Z227" s="2177"/>
      <c r="AA227" s="2177">
        <f>IFERROR(AA226/AA192,0)</f>
        <v>0</v>
      </c>
      <c r="AB227" s="2177"/>
      <c r="AC227" s="2177"/>
      <c r="AD227" s="2177"/>
      <c r="AE227" s="2177">
        <f>IFERROR(AE226/AE192,0)</f>
        <v>0</v>
      </c>
      <c r="AF227" s="2177"/>
      <c r="AG227" s="2177"/>
      <c r="AH227" s="2177"/>
      <c r="AI227" s="2177">
        <f>IFERROR(AI226/AI192,0)</f>
        <v>0</v>
      </c>
      <c r="AJ227" s="2177"/>
      <c r="AK227" s="2177"/>
      <c r="AL227" s="2177"/>
      <c r="AM227" s="2177">
        <f>IFERROR(AM226/AM192,0)</f>
        <v>0</v>
      </c>
      <c r="AN227" s="2177"/>
      <c r="AO227" s="2177"/>
      <c r="AP227" s="2177"/>
      <c r="AQ227" s="2177">
        <f>IFERROR(AQ226/AQ192,0)</f>
        <v>0</v>
      </c>
      <c r="AR227" s="2177"/>
      <c r="AS227" s="2177"/>
      <c r="AT227" s="2177"/>
      <c r="AU227" s="2177">
        <f>IFERROR(AU226/AU192,0)</f>
        <v>0</v>
      </c>
      <c r="AV227" s="2177"/>
      <c r="AW227" s="2177"/>
      <c r="AX227" s="2177"/>
      <c r="AY227" s="2177">
        <f>IFERROR(AY226/AY192,0)</f>
        <v>0</v>
      </c>
      <c r="AZ227" s="2177"/>
      <c r="BA227" s="2177"/>
      <c r="BB227" s="2177"/>
      <c r="BC227" s="2177">
        <f>IFERROR(BC226/BC192,0)</f>
        <v>0</v>
      </c>
      <c r="BD227" s="2177"/>
      <c r="BE227" s="2177"/>
      <c r="BF227" s="2177"/>
      <c r="BG227" s="482"/>
      <c r="BH227" s="2177">
        <f>IFERROR(BH226/BH192,0)</f>
        <v>0</v>
      </c>
      <c r="BI227" s="2177"/>
      <c r="BJ227" s="2177"/>
      <c r="BK227" s="2177"/>
      <c r="BL227" s="482"/>
      <c r="BM227" s="2177">
        <f>IFERROR(BM226/BM192,0)</f>
        <v>0</v>
      </c>
      <c r="BN227" s="2177"/>
      <c r="BO227" s="2177"/>
      <c r="BP227" s="2177"/>
      <c r="BQ227" s="482"/>
      <c r="BR227" s="482"/>
      <c r="BS227" s="482"/>
      <c r="BT227" s="482"/>
      <c r="BU227" s="197"/>
      <c r="BV227" s="480"/>
      <c r="BW227" s="480"/>
      <c r="BX227" s="480"/>
      <c r="BY227" s="480"/>
      <c r="BZ227" s="480"/>
      <c r="CA227" s="480"/>
      <c r="CB227" s="480"/>
      <c r="CC227" s="480"/>
      <c r="CD227" s="480"/>
      <c r="CE227" s="480"/>
      <c r="CF227" s="480"/>
      <c r="CG227" s="480"/>
      <c r="CH227" s="480"/>
      <c r="CI227" s="480"/>
      <c r="CJ227" s="480"/>
      <c r="CK227" s="480"/>
      <c r="CL227" s="480"/>
      <c r="CM227" s="480"/>
      <c r="CN227" s="480"/>
      <c r="CO227" s="480"/>
      <c r="CP227" s="480"/>
      <c r="CQ227" s="480"/>
      <c r="CR227" s="480"/>
      <c r="CS227" s="480"/>
      <c r="CT227" s="480"/>
      <c r="CU227" s="480"/>
      <c r="CV227" s="480"/>
      <c r="CW227" s="480"/>
      <c r="CX227" s="480"/>
      <c r="CY227" s="480"/>
      <c r="CZ227" s="480"/>
      <c r="DA227" s="480"/>
      <c r="DB227" s="480"/>
      <c r="DC227" s="480"/>
      <c r="DD227" s="480"/>
      <c r="DE227" s="480"/>
      <c r="DF227" s="480"/>
      <c r="DG227" s="480"/>
      <c r="DH227" s="480"/>
      <c r="DI227" s="480"/>
      <c r="DJ227" s="480"/>
      <c r="DK227" s="480"/>
      <c r="DL227" s="480"/>
      <c r="DM227" s="480"/>
      <c r="DN227" s="480"/>
    </row>
    <row r="228" spans="1:118" ht="15" customHeight="1" outlineLevel="1" x14ac:dyDescent="0.25">
      <c r="B228" s="8"/>
      <c r="C228" s="99"/>
      <c r="D228" s="99"/>
      <c r="E228" s="99"/>
      <c r="F228" s="99"/>
      <c r="G228" s="99"/>
      <c r="H228" s="99"/>
      <c r="I228" s="99"/>
      <c r="J228" s="99"/>
      <c r="K228" s="99"/>
      <c r="L228" s="99"/>
      <c r="M228" s="99"/>
      <c r="N228" s="99"/>
      <c r="O228" s="99"/>
      <c r="P228" s="99"/>
      <c r="Q228" s="99"/>
      <c r="R228" s="99"/>
      <c r="S228" s="99"/>
      <c r="T228" s="99"/>
      <c r="U228" s="99"/>
      <c r="V228" s="99"/>
      <c r="W228" s="99"/>
      <c r="X228" s="99"/>
      <c r="Y228" s="99"/>
      <c r="Z228" s="99"/>
      <c r="AA228" s="99"/>
      <c r="AB228" s="99"/>
      <c r="AC228" s="99"/>
      <c r="AD228" s="99"/>
      <c r="AE228" s="99"/>
      <c r="AF228" s="99"/>
      <c r="AG228" s="99"/>
      <c r="AH228" s="99"/>
      <c r="AI228" s="99"/>
      <c r="AJ228" s="99"/>
      <c r="AK228" s="99"/>
      <c r="AL228" s="99"/>
      <c r="AM228" s="99"/>
      <c r="AN228" s="99"/>
      <c r="AO228" s="99"/>
      <c r="AP228" s="99"/>
      <c r="AQ228" s="99"/>
      <c r="AR228" s="99"/>
      <c r="AS228" s="99"/>
      <c r="AT228" s="99"/>
      <c r="AU228" s="99"/>
      <c r="AV228" s="99"/>
      <c r="AW228" s="99"/>
      <c r="AX228" s="99"/>
      <c r="AY228" s="99"/>
      <c r="AZ228" s="99"/>
      <c r="BA228" s="99"/>
      <c r="BB228" s="99"/>
      <c r="BC228" s="99"/>
      <c r="BD228" s="99"/>
      <c r="BE228" s="99"/>
      <c r="BF228" s="99"/>
      <c r="BG228" s="99"/>
      <c r="BH228" s="99"/>
      <c r="BI228" s="99"/>
      <c r="BJ228" s="99"/>
      <c r="BK228" s="99"/>
      <c r="BL228" s="466"/>
      <c r="BM228" s="466"/>
      <c r="BN228" s="466"/>
      <c r="BO228" s="466"/>
      <c r="BP228" s="466"/>
      <c r="BQ228" s="466"/>
      <c r="BR228" s="466"/>
      <c r="BS228" s="466"/>
      <c r="BT228" s="466"/>
      <c r="BU228" s="9"/>
      <c r="BV228" s="275"/>
      <c r="BW228" s="275"/>
      <c r="BX228" s="275"/>
      <c r="BY228" s="275"/>
      <c r="BZ228" s="275"/>
    </row>
    <row r="229" spans="1:118" ht="15" customHeight="1" outlineLevel="1" x14ac:dyDescent="0.25">
      <c r="B229" s="1791" t="s">
        <v>1149</v>
      </c>
      <c r="C229" s="2237" t="s">
        <v>578</v>
      </c>
      <c r="D229" s="2237"/>
      <c r="E229" s="2237"/>
      <c r="F229" s="2237"/>
      <c r="G229" s="2237"/>
      <c r="H229" s="2237"/>
      <c r="I229" s="2237"/>
      <c r="J229" s="1596"/>
      <c r="K229" s="1596"/>
      <c r="L229" s="1596"/>
      <c r="M229" s="1596"/>
      <c r="N229" s="1596"/>
      <c r="O229" s="1596"/>
      <c r="P229" s="1596"/>
      <c r="Q229" s="1596"/>
      <c r="R229" s="1596"/>
      <c r="S229" s="1596"/>
      <c r="T229" s="1596"/>
      <c r="U229" s="1596"/>
      <c r="V229" s="1596"/>
      <c r="W229" s="1596"/>
      <c r="X229" s="1596"/>
      <c r="Y229" s="1596"/>
      <c r="Z229" s="1596"/>
      <c r="AA229" s="1596"/>
      <c r="AB229" s="1596"/>
      <c r="AC229" s="1596"/>
      <c r="AD229" s="1596"/>
      <c r="AE229" s="1596"/>
      <c r="AF229" s="1596"/>
      <c r="AG229" s="1596"/>
      <c r="AH229" s="1596"/>
      <c r="AI229" s="1596"/>
      <c r="AJ229" s="1596"/>
      <c r="AK229" s="1596"/>
      <c r="AL229" s="1596"/>
      <c r="AM229" s="1596"/>
      <c r="AN229" s="1596"/>
      <c r="AO229" s="1596"/>
      <c r="AP229" s="1596"/>
      <c r="AQ229" s="1596"/>
      <c r="AR229" s="1596"/>
      <c r="AS229" s="1596"/>
      <c r="AT229" s="1596"/>
      <c r="AU229" s="1596"/>
      <c r="AV229" s="1596"/>
      <c r="AW229" s="1596"/>
      <c r="AX229" s="1596"/>
      <c r="AY229" s="1596"/>
      <c r="AZ229" s="1596"/>
      <c r="BA229" s="1596"/>
      <c r="BB229" s="1596"/>
      <c r="BC229" s="1596"/>
      <c r="BD229" s="1596"/>
      <c r="BE229" s="1596"/>
      <c r="BF229" s="1596"/>
      <c r="BG229" s="1596"/>
      <c r="BH229" s="1596"/>
      <c r="BI229" s="1596"/>
      <c r="BJ229" s="1596"/>
      <c r="BK229" s="1596"/>
      <c r="BL229" s="1596"/>
      <c r="BM229" s="1596"/>
      <c r="BN229" s="1596"/>
      <c r="BO229" s="1596"/>
      <c r="BP229" s="1596"/>
      <c r="BQ229" s="466"/>
      <c r="BR229" s="466"/>
      <c r="BS229" s="466"/>
      <c r="BT229" s="466"/>
      <c r="BU229" s="9"/>
      <c r="BV229" s="275"/>
      <c r="BW229" s="275"/>
      <c r="BX229" s="275"/>
      <c r="BY229" s="275"/>
      <c r="BZ229" s="275"/>
    </row>
    <row r="230" spans="1:118" ht="15" customHeight="1" outlineLevel="1" x14ac:dyDescent="0.25">
      <c r="B230" s="609"/>
      <c r="C230" s="444" t="s">
        <v>580</v>
      </c>
      <c r="D230" s="467"/>
      <c r="E230" s="467"/>
      <c r="F230" s="467"/>
      <c r="G230" s="467"/>
      <c r="H230" s="467"/>
      <c r="I230" s="467"/>
      <c r="J230" s="475"/>
      <c r="K230" s="2182">
        <f>K192</f>
        <v>0</v>
      </c>
      <c r="L230" s="2182"/>
      <c r="M230" s="2182"/>
      <c r="N230" s="2182"/>
      <c r="O230" s="2182">
        <f>O192</f>
        <v>0</v>
      </c>
      <c r="P230" s="2182"/>
      <c r="Q230" s="2182"/>
      <c r="R230" s="2182"/>
      <c r="S230" s="2182">
        <f>S192</f>
        <v>0</v>
      </c>
      <c r="T230" s="2182"/>
      <c r="U230" s="2182"/>
      <c r="V230" s="2182"/>
      <c r="W230" s="2182">
        <f>W192</f>
        <v>0</v>
      </c>
      <c r="X230" s="2182"/>
      <c r="Y230" s="2182"/>
      <c r="Z230" s="2182"/>
      <c r="AA230" s="2182">
        <f>AA192</f>
        <v>0</v>
      </c>
      <c r="AB230" s="2182"/>
      <c r="AC230" s="2182"/>
      <c r="AD230" s="2182"/>
      <c r="AE230" s="2182">
        <f>AE192</f>
        <v>0</v>
      </c>
      <c r="AF230" s="2182"/>
      <c r="AG230" s="2182"/>
      <c r="AH230" s="2182"/>
      <c r="AI230" s="2182">
        <f>AI192</f>
        <v>0</v>
      </c>
      <c r="AJ230" s="2182"/>
      <c r="AK230" s="2182"/>
      <c r="AL230" s="2182"/>
      <c r="AM230" s="2182">
        <f>AM192</f>
        <v>0</v>
      </c>
      <c r="AN230" s="2182"/>
      <c r="AO230" s="2182"/>
      <c r="AP230" s="2182"/>
      <c r="AQ230" s="2182">
        <f>AQ192</f>
        <v>0</v>
      </c>
      <c r="AR230" s="2182"/>
      <c r="AS230" s="2182"/>
      <c r="AT230" s="2182"/>
      <c r="AU230" s="2182">
        <f>AU192</f>
        <v>0</v>
      </c>
      <c r="AV230" s="2182"/>
      <c r="AW230" s="2182"/>
      <c r="AX230" s="2182"/>
      <c r="AY230" s="2182">
        <f>AY192</f>
        <v>0</v>
      </c>
      <c r="AZ230" s="2182"/>
      <c r="BA230" s="2182"/>
      <c r="BB230" s="2182"/>
      <c r="BC230" s="2182">
        <f>BC192</f>
        <v>0</v>
      </c>
      <c r="BD230" s="2182"/>
      <c r="BE230" s="2182"/>
      <c r="BF230" s="2182"/>
      <c r="BG230" s="475"/>
      <c r="BH230" s="2182">
        <f t="shared" ref="BH230:BH235" si="36">IFERROR(SUM(K230:BF230),0)</f>
        <v>0</v>
      </c>
      <c r="BI230" s="2182"/>
      <c r="BJ230" s="2182"/>
      <c r="BK230" s="2182"/>
      <c r="BL230" s="475"/>
      <c r="BM230" s="2182">
        <f t="shared" ref="BM230:BM235" si="37">AVERAGE(K230:BF230)</f>
        <v>0</v>
      </c>
      <c r="BN230" s="2182"/>
      <c r="BO230" s="2182"/>
      <c r="BP230" s="2430"/>
      <c r="BQ230" s="466"/>
      <c r="BR230" s="466"/>
      <c r="BS230" s="466"/>
      <c r="BT230" s="466"/>
      <c r="BU230" s="9"/>
      <c r="BV230" s="275"/>
      <c r="BW230" s="275"/>
      <c r="BX230" s="275"/>
      <c r="BY230" s="275"/>
      <c r="BZ230" s="275"/>
    </row>
    <row r="231" spans="1:118" ht="15" customHeight="1" outlineLevel="1" x14ac:dyDescent="0.25">
      <c r="B231" s="8"/>
      <c r="C231" s="445" t="s">
        <v>579</v>
      </c>
      <c r="D231" s="99"/>
      <c r="E231" s="99"/>
      <c r="F231" s="99"/>
      <c r="G231" s="99"/>
      <c r="H231" s="99"/>
      <c r="I231" s="99"/>
      <c r="J231" s="99"/>
      <c r="K231" s="2139">
        <f>IFERROR($AF$137*K190/$AF$136,0)</f>
        <v>0</v>
      </c>
      <c r="L231" s="2139"/>
      <c r="M231" s="2139"/>
      <c r="N231" s="2139"/>
      <c r="O231" s="2139">
        <f>IFERROR($AF$137*O190/$AF$136,0)</f>
        <v>0</v>
      </c>
      <c r="P231" s="2139"/>
      <c r="Q231" s="2139"/>
      <c r="R231" s="2139"/>
      <c r="S231" s="2139">
        <f>IFERROR($AF$137*S190/$AF$136,0)</f>
        <v>0</v>
      </c>
      <c r="T231" s="2139"/>
      <c r="U231" s="2139"/>
      <c r="V231" s="2139"/>
      <c r="W231" s="2139">
        <f>IFERROR($AF$137*W190/$AF$136,0)</f>
        <v>0</v>
      </c>
      <c r="X231" s="2139"/>
      <c r="Y231" s="2139"/>
      <c r="Z231" s="2139"/>
      <c r="AA231" s="2139">
        <f>IFERROR($AF$137*AA190/$AF$136,0)</f>
        <v>0</v>
      </c>
      <c r="AB231" s="2139"/>
      <c r="AC231" s="2139"/>
      <c r="AD231" s="2139"/>
      <c r="AE231" s="2139">
        <f>IFERROR($AF$137*AE190/$AF$136,0)</f>
        <v>0</v>
      </c>
      <c r="AF231" s="2139"/>
      <c r="AG231" s="2139"/>
      <c r="AH231" s="2139"/>
      <c r="AI231" s="2139">
        <f>IFERROR($AF$137*AI190/$AF$136,0)</f>
        <v>0</v>
      </c>
      <c r="AJ231" s="2139"/>
      <c r="AK231" s="2139"/>
      <c r="AL231" s="2139"/>
      <c r="AM231" s="2139">
        <f>IFERROR($AF$137*AM190/$AF$136,0)</f>
        <v>0</v>
      </c>
      <c r="AN231" s="2139"/>
      <c r="AO231" s="2139"/>
      <c r="AP231" s="2139"/>
      <c r="AQ231" s="2139">
        <f>IFERROR($AF$137*AQ190/$AF$136,0)</f>
        <v>0</v>
      </c>
      <c r="AR231" s="2139"/>
      <c r="AS231" s="2139"/>
      <c r="AT231" s="2139"/>
      <c r="AU231" s="2139">
        <f>IFERROR($AF$137*AU190/$AF$136,0)</f>
        <v>0</v>
      </c>
      <c r="AV231" s="2139"/>
      <c r="AW231" s="2139"/>
      <c r="AX231" s="2139"/>
      <c r="AY231" s="2139">
        <f>IFERROR($AF$137*AY190/$AF$136,0)</f>
        <v>0</v>
      </c>
      <c r="AZ231" s="2139"/>
      <c r="BA231" s="2139"/>
      <c r="BB231" s="2139"/>
      <c r="BC231" s="2139">
        <f>IFERROR($AF$137*BC190/$AF$136,0)</f>
        <v>0</v>
      </c>
      <c r="BD231" s="2139"/>
      <c r="BE231" s="2139"/>
      <c r="BF231" s="2139"/>
      <c r="BG231" s="649"/>
      <c r="BH231" s="2139">
        <f t="shared" si="36"/>
        <v>0</v>
      </c>
      <c r="BI231" s="2139"/>
      <c r="BJ231" s="2139"/>
      <c r="BK231" s="2139"/>
      <c r="BL231" s="649"/>
      <c r="BM231" s="2139">
        <f t="shared" si="37"/>
        <v>0</v>
      </c>
      <c r="BN231" s="2139"/>
      <c r="BO231" s="2139"/>
      <c r="BP231" s="2421"/>
      <c r="BQ231" s="466"/>
      <c r="BR231" s="466"/>
      <c r="BS231" s="466"/>
      <c r="BT231" s="466"/>
      <c r="BU231" s="9"/>
      <c r="BV231" s="275"/>
      <c r="BW231" s="275"/>
      <c r="BX231" s="275"/>
      <c r="BY231" s="275"/>
      <c r="BZ231" s="275"/>
    </row>
    <row r="232" spans="1:118" ht="15" customHeight="1" outlineLevel="1" x14ac:dyDescent="0.25">
      <c r="B232" s="8"/>
      <c r="C232" s="445" t="s">
        <v>966</v>
      </c>
      <c r="D232" s="99"/>
      <c r="E232" s="99"/>
      <c r="F232" s="99"/>
      <c r="G232" s="99"/>
      <c r="H232" s="99"/>
      <c r="I232" s="99"/>
      <c r="J232" s="99"/>
      <c r="K232" s="2139">
        <f>K195</f>
        <v>0</v>
      </c>
      <c r="L232" s="2139"/>
      <c r="M232" s="2139"/>
      <c r="N232" s="2139"/>
      <c r="O232" s="2139">
        <f>O195</f>
        <v>0</v>
      </c>
      <c r="P232" s="2139"/>
      <c r="Q232" s="2139"/>
      <c r="R232" s="2139"/>
      <c r="S232" s="2139">
        <f>S195</f>
        <v>0</v>
      </c>
      <c r="T232" s="2139"/>
      <c r="U232" s="2139"/>
      <c r="V232" s="2139"/>
      <c r="W232" s="2139">
        <f>W195</f>
        <v>0</v>
      </c>
      <c r="X232" s="2139"/>
      <c r="Y232" s="2139"/>
      <c r="Z232" s="2139"/>
      <c r="AA232" s="2139">
        <f>AA195</f>
        <v>0</v>
      </c>
      <c r="AB232" s="2139"/>
      <c r="AC232" s="2139"/>
      <c r="AD232" s="2139"/>
      <c r="AE232" s="2139">
        <f>AE195</f>
        <v>0</v>
      </c>
      <c r="AF232" s="2139"/>
      <c r="AG232" s="2139"/>
      <c r="AH232" s="2139"/>
      <c r="AI232" s="2139">
        <f>AI195</f>
        <v>0</v>
      </c>
      <c r="AJ232" s="2139"/>
      <c r="AK232" s="2139"/>
      <c r="AL232" s="2139"/>
      <c r="AM232" s="2139">
        <f>AM195</f>
        <v>0</v>
      </c>
      <c r="AN232" s="2139"/>
      <c r="AO232" s="2139"/>
      <c r="AP232" s="2139"/>
      <c r="AQ232" s="2139">
        <f>AQ195</f>
        <v>0</v>
      </c>
      <c r="AR232" s="2139"/>
      <c r="AS232" s="2139"/>
      <c r="AT232" s="2139"/>
      <c r="AU232" s="2139">
        <f>AU195</f>
        <v>0</v>
      </c>
      <c r="AV232" s="2139"/>
      <c r="AW232" s="2139"/>
      <c r="AX232" s="2139"/>
      <c r="AY232" s="2139">
        <f>AY195</f>
        <v>0</v>
      </c>
      <c r="AZ232" s="2139"/>
      <c r="BA232" s="2139"/>
      <c r="BB232" s="2139"/>
      <c r="BC232" s="2139">
        <f>BC195</f>
        <v>0</v>
      </c>
      <c r="BD232" s="2139"/>
      <c r="BE232" s="2139"/>
      <c r="BF232" s="2139"/>
      <c r="BG232" s="649"/>
      <c r="BH232" s="2139">
        <f t="shared" si="36"/>
        <v>0</v>
      </c>
      <c r="BI232" s="2139"/>
      <c r="BJ232" s="2139"/>
      <c r="BK232" s="2139"/>
      <c r="BL232" s="649"/>
      <c r="BM232" s="2139">
        <f t="shared" si="37"/>
        <v>0</v>
      </c>
      <c r="BN232" s="2139"/>
      <c r="BO232" s="2139"/>
      <c r="BP232" s="2421"/>
      <c r="BQ232" s="466"/>
      <c r="BR232" s="466"/>
      <c r="BS232" s="466"/>
      <c r="BT232" s="466"/>
      <c r="BU232" s="9"/>
      <c r="BV232" s="275"/>
      <c r="BW232" s="275"/>
      <c r="BX232" s="275"/>
      <c r="BY232" s="275"/>
      <c r="BZ232" s="275"/>
    </row>
    <row r="233" spans="1:118" s="474" customFormat="1" ht="15" customHeight="1" outlineLevel="1" x14ac:dyDescent="0.3">
      <c r="A233" s="274"/>
      <c r="B233" s="8"/>
      <c r="C233" s="445" t="s">
        <v>581</v>
      </c>
      <c r="D233" s="99"/>
      <c r="E233" s="99"/>
      <c r="F233" s="99"/>
      <c r="G233" s="99"/>
      <c r="H233" s="99"/>
      <c r="I233" s="652"/>
      <c r="J233" s="99"/>
      <c r="K233" s="2139">
        <f>(K230+K231+K232)*$AF$135</f>
        <v>0</v>
      </c>
      <c r="L233" s="2139"/>
      <c r="M233" s="2139"/>
      <c r="N233" s="2139"/>
      <c r="O233" s="2139">
        <f>(O230+O231+O232)*$AF$135</f>
        <v>0</v>
      </c>
      <c r="P233" s="2139"/>
      <c r="Q233" s="2139"/>
      <c r="R233" s="2139"/>
      <c r="S233" s="2139">
        <f>(S230+S231+S232)*$AF$135</f>
        <v>0</v>
      </c>
      <c r="T233" s="2139"/>
      <c r="U233" s="2139"/>
      <c r="V233" s="2139"/>
      <c r="W233" s="2139">
        <f>(W230+W231+W232)*$AF$135</f>
        <v>0</v>
      </c>
      <c r="X233" s="2139"/>
      <c r="Y233" s="2139"/>
      <c r="Z233" s="2139"/>
      <c r="AA233" s="2139">
        <f>(AA230+AA231+AA232)*$AF$135</f>
        <v>0</v>
      </c>
      <c r="AB233" s="2139"/>
      <c r="AC233" s="2139"/>
      <c r="AD233" s="2139"/>
      <c r="AE233" s="2139">
        <f>(AE230+AE231+AE232)*$AF$135</f>
        <v>0</v>
      </c>
      <c r="AF233" s="2139"/>
      <c r="AG233" s="2139"/>
      <c r="AH233" s="2139"/>
      <c r="AI233" s="2139">
        <f>(AI230+AI231+AI232)*$AF$135</f>
        <v>0</v>
      </c>
      <c r="AJ233" s="2139"/>
      <c r="AK233" s="2139"/>
      <c r="AL233" s="2139"/>
      <c r="AM233" s="2139">
        <f>(AM230+AM231+AM232)*$AF$135</f>
        <v>0</v>
      </c>
      <c r="AN233" s="2139"/>
      <c r="AO233" s="2139"/>
      <c r="AP233" s="2139"/>
      <c r="AQ233" s="2139">
        <f>(AQ230+AQ231+AQ232)*$AF$135</f>
        <v>0</v>
      </c>
      <c r="AR233" s="2139"/>
      <c r="AS233" s="2139"/>
      <c r="AT233" s="2139"/>
      <c r="AU233" s="2139">
        <f>(AU230+AU231+AU232)*$AF$135</f>
        <v>0</v>
      </c>
      <c r="AV233" s="2139"/>
      <c r="AW233" s="2139"/>
      <c r="AX233" s="2139"/>
      <c r="AY233" s="2139">
        <f>(AY230+AY231+AY232)*$AF$135</f>
        <v>0</v>
      </c>
      <c r="AZ233" s="2139"/>
      <c r="BA233" s="2139"/>
      <c r="BB233" s="2139"/>
      <c r="BC233" s="2139">
        <f>(BC230+BC231+BC232)*$AF$135</f>
        <v>0</v>
      </c>
      <c r="BD233" s="2139"/>
      <c r="BE233" s="2139"/>
      <c r="BF233" s="2139"/>
      <c r="BG233" s="649"/>
      <c r="BH233" s="2139">
        <f t="shared" si="36"/>
        <v>0</v>
      </c>
      <c r="BI233" s="2139"/>
      <c r="BJ233" s="2139"/>
      <c r="BK233" s="2139"/>
      <c r="BL233" s="649"/>
      <c r="BM233" s="2139">
        <f t="shared" si="37"/>
        <v>0</v>
      </c>
      <c r="BN233" s="2139"/>
      <c r="BO233" s="2139"/>
      <c r="BP233" s="2421"/>
      <c r="BQ233" s="466"/>
      <c r="BR233" s="466"/>
      <c r="BS233" s="466"/>
      <c r="BT233" s="466"/>
      <c r="BU233" s="9"/>
      <c r="BV233" s="275"/>
      <c r="BW233" s="275"/>
      <c r="BX233" s="275"/>
      <c r="BY233" s="275"/>
      <c r="BZ233" s="275"/>
      <c r="CA233" s="274"/>
      <c r="CB233" s="274"/>
      <c r="CC233" s="274"/>
      <c r="CD233" s="274"/>
      <c r="CE233" s="274"/>
      <c r="CF233" s="274"/>
      <c r="CG233" s="274"/>
      <c r="CH233" s="274"/>
      <c r="CI233" s="274"/>
      <c r="CJ233" s="274"/>
      <c r="CK233" s="274"/>
      <c r="CL233" s="274"/>
      <c r="CM233" s="274"/>
      <c r="CN233" s="274"/>
      <c r="CO233" s="274"/>
      <c r="CP233" s="274"/>
      <c r="CQ233" s="274"/>
      <c r="CR233" s="274"/>
      <c r="CS233" s="274"/>
      <c r="CT233" s="274"/>
      <c r="CU233" s="274"/>
      <c r="CV233" s="274"/>
      <c r="CW233" s="274"/>
      <c r="CX233" s="274"/>
      <c r="CY233" s="274"/>
      <c r="CZ233" s="274"/>
      <c r="DA233" s="274"/>
      <c r="DB233" s="274"/>
      <c r="DC233" s="274"/>
      <c r="DD233" s="274"/>
      <c r="DE233" s="274"/>
      <c r="DF233" s="274"/>
      <c r="DG233" s="274"/>
      <c r="DH233" s="274"/>
      <c r="DI233" s="274"/>
      <c r="DJ233" s="274"/>
      <c r="DK233" s="274"/>
      <c r="DL233" s="274"/>
      <c r="DM233" s="274"/>
      <c r="DN233" s="274"/>
    </row>
    <row r="234" spans="1:118" ht="15" customHeight="1" outlineLevel="1" x14ac:dyDescent="0.25">
      <c r="B234" s="9"/>
      <c r="C234" s="445" t="s">
        <v>589</v>
      </c>
      <c r="D234" s="99"/>
      <c r="E234" s="99"/>
      <c r="F234" s="99"/>
      <c r="G234" s="99"/>
      <c r="H234" s="99"/>
      <c r="I234" s="99"/>
      <c r="J234" s="99"/>
      <c r="K234" s="2139">
        <f>(K230+K231)*$AF$139</f>
        <v>0</v>
      </c>
      <c r="L234" s="2139"/>
      <c r="M234" s="2139"/>
      <c r="N234" s="2139"/>
      <c r="O234" s="2139">
        <f>(O230+O231)*$AF$139</f>
        <v>0</v>
      </c>
      <c r="P234" s="2139"/>
      <c r="Q234" s="2139"/>
      <c r="R234" s="2139"/>
      <c r="S234" s="2139">
        <f>(S230+S231)*$AF$139</f>
        <v>0</v>
      </c>
      <c r="T234" s="2139"/>
      <c r="U234" s="2139"/>
      <c r="V234" s="2139"/>
      <c r="W234" s="2139">
        <f>(W230+W231)*$AF$139</f>
        <v>0</v>
      </c>
      <c r="X234" s="2139"/>
      <c r="Y234" s="2139"/>
      <c r="Z234" s="2139"/>
      <c r="AA234" s="2139">
        <f>(AA230+AA231)*$AF$139</f>
        <v>0</v>
      </c>
      <c r="AB234" s="2139"/>
      <c r="AC234" s="2139"/>
      <c r="AD234" s="2139"/>
      <c r="AE234" s="2139">
        <f>(AE230+AE231)*$AF$139</f>
        <v>0</v>
      </c>
      <c r="AF234" s="2139"/>
      <c r="AG234" s="2139"/>
      <c r="AH234" s="2139"/>
      <c r="AI234" s="2139">
        <f>(AI230+AI231)*$AF$139</f>
        <v>0</v>
      </c>
      <c r="AJ234" s="2139"/>
      <c r="AK234" s="2139"/>
      <c r="AL234" s="2139"/>
      <c r="AM234" s="2139">
        <f>(AM230+AM231)*$AF$139</f>
        <v>0</v>
      </c>
      <c r="AN234" s="2139"/>
      <c r="AO234" s="2139"/>
      <c r="AP234" s="2139"/>
      <c r="AQ234" s="2139">
        <f>(AQ230+AQ231)*$AF$139</f>
        <v>0</v>
      </c>
      <c r="AR234" s="2139"/>
      <c r="AS234" s="2139"/>
      <c r="AT234" s="2139"/>
      <c r="AU234" s="2139">
        <f>(AU230+AU231)*$AF$139</f>
        <v>0</v>
      </c>
      <c r="AV234" s="2139"/>
      <c r="AW234" s="2139"/>
      <c r="AX234" s="2139"/>
      <c r="AY234" s="2139">
        <f>(AY230+AY231)*$AF$139</f>
        <v>0</v>
      </c>
      <c r="AZ234" s="2139"/>
      <c r="BA234" s="2139"/>
      <c r="BB234" s="2139"/>
      <c r="BC234" s="2139">
        <f>(BC230+BC231)*$AF$139</f>
        <v>0</v>
      </c>
      <c r="BD234" s="2139"/>
      <c r="BE234" s="2139"/>
      <c r="BF234" s="2139"/>
      <c r="BG234" s="649"/>
      <c r="BH234" s="2139">
        <f t="shared" si="36"/>
        <v>0</v>
      </c>
      <c r="BI234" s="2139"/>
      <c r="BJ234" s="2139"/>
      <c r="BK234" s="2139"/>
      <c r="BL234" s="649"/>
      <c r="BM234" s="2139">
        <f t="shared" si="37"/>
        <v>0</v>
      </c>
      <c r="BN234" s="2139"/>
      <c r="BO234" s="2139"/>
      <c r="BP234" s="2421"/>
      <c r="BQ234" s="466"/>
      <c r="BR234" s="466"/>
      <c r="BS234" s="466"/>
      <c r="BT234" s="466"/>
      <c r="BU234" s="9"/>
      <c r="BV234" s="275"/>
      <c r="BW234" s="275"/>
      <c r="BX234" s="275"/>
      <c r="BY234" s="275"/>
      <c r="BZ234" s="275"/>
    </row>
    <row r="235" spans="1:118" ht="15" customHeight="1" outlineLevel="1" x14ac:dyDescent="0.25">
      <c r="B235" s="8"/>
      <c r="C235" s="476" t="s">
        <v>582</v>
      </c>
      <c r="D235" s="469"/>
      <c r="E235" s="469"/>
      <c r="F235" s="469"/>
      <c r="G235" s="469"/>
      <c r="H235" s="469"/>
      <c r="I235" s="469"/>
      <c r="J235" s="441"/>
      <c r="K235" s="2127">
        <f>SUM(K230:N234)</f>
        <v>0</v>
      </c>
      <c r="L235" s="2127"/>
      <c r="M235" s="2127"/>
      <c r="N235" s="2127"/>
      <c r="O235" s="2127">
        <f>SUM(O230:R234)</f>
        <v>0</v>
      </c>
      <c r="P235" s="2127"/>
      <c r="Q235" s="2127"/>
      <c r="R235" s="2127"/>
      <c r="S235" s="2127">
        <f>SUM(S230:V234)</f>
        <v>0</v>
      </c>
      <c r="T235" s="2127"/>
      <c r="U235" s="2127"/>
      <c r="V235" s="2127"/>
      <c r="W235" s="2127">
        <f>SUM(W230:Z234)</f>
        <v>0</v>
      </c>
      <c r="X235" s="2127"/>
      <c r="Y235" s="2127"/>
      <c r="Z235" s="2127"/>
      <c r="AA235" s="2127">
        <f>SUM(AA230:AD234)</f>
        <v>0</v>
      </c>
      <c r="AB235" s="2127"/>
      <c r="AC235" s="2127"/>
      <c r="AD235" s="2127"/>
      <c r="AE235" s="2127">
        <f>SUM(AE230:AH234)</f>
        <v>0</v>
      </c>
      <c r="AF235" s="2127"/>
      <c r="AG235" s="2127"/>
      <c r="AH235" s="2127"/>
      <c r="AI235" s="2127">
        <f>SUM(AI230:AL234)</f>
        <v>0</v>
      </c>
      <c r="AJ235" s="2127"/>
      <c r="AK235" s="2127"/>
      <c r="AL235" s="2127"/>
      <c r="AM235" s="2127">
        <f>SUM(AM230:AP234)</f>
        <v>0</v>
      </c>
      <c r="AN235" s="2127"/>
      <c r="AO235" s="2127"/>
      <c r="AP235" s="2127"/>
      <c r="AQ235" s="2127">
        <f>SUM(AQ230:AT234)</f>
        <v>0</v>
      </c>
      <c r="AR235" s="2127"/>
      <c r="AS235" s="2127"/>
      <c r="AT235" s="2127"/>
      <c r="AU235" s="2127">
        <f>SUM(AU230:AX234)</f>
        <v>0</v>
      </c>
      <c r="AV235" s="2127"/>
      <c r="AW235" s="2127"/>
      <c r="AX235" s="2127"/>
      <c r="AY235" s="2127">
        <f>SUM(AY230:BB234)</f>
        <v>0</v>
      </c>
      <c r="AZ235" s="2127"/>
      <c r="BA235" s="2127"/>
      <c r="BB235" s="2127"/>
      <c r="BC235" s="2127">
        <f>SUM(BC230:BF234)</f>
        <v>0</v>
      </c>
      <c r="BD235" s="2127"/>
      <c r="BE235" s="2127"/>
      <c r="BF235" s="2127"/>
      <c r="BG235" s="649"/>
      <c r="BH235" s="2179">
        <f t="shared" si="36"/>
        <v>0</v>
      </c>
      <c r="BI235" s="2180"/>
      <c r="BJ235" s="2180"/>
      <c r="BK235" s="2181"/>
      <c r="BL235" s="23"/>
      <c r="BM235" s="2173">
        <f t="shared" si="37"/>
        <v>0</v>
      </c>
      <c r="BN235" s="2174"/>
      <c r="BO235" s="2174"/>
      <c r="BP235" s="2422"/>
      <c r="BQ235" s="466"/>
      <c r="BR235" s="466"/>
      <c r="BS235" s="466"/>
      <c r="BT235" s="466"/>
      <c r="BU235" s="9"/>
      <c r="BV235" s="275"/>
      <c r="BW235" s="275"/>
      <c r="BX235" s="275"/>
      <c r="BY235" s="275"/>
      <c r="BZ235" s="275"/>
    </row>
    <row r="236" spans="1:118" ht="15" customHeight="1" x14ac:dyDescent="0.3">
      <c r="A236" s="474"/>
      <c r="B236" s="653"/>
      <c r="C236" s="477" t="s">
        <v>583</v>
      </c>
      <c r="D236" s="478"/>
      <c r="E236" s="478"/>
      <c r="F236" s="478"/>
      <c r="G236" s="478"/>
      <c r="H236" s="478"/>
      <c r="I236" s="478"/>
      <c r="J236" s="478"/>
      <c r="K236" s="2178">
        <f>IFERROR(K235/K190,0)</f>
        <v>0</v>
      </c>
      <c r="L236" s="2178"/>
      <c r="M236" s="2178"/>
      <c r="N236" s="2178"/>
      <c r="O236" s="2178">
        <f>IFERROR(O235/O190,0)</f>
        <v>0</v>
      </c>
      <c r="P236" s="2178"/>
      <c r="Q236" s="2178"/>
      <c r="R236" s="2178"/>
      <c r="S236" s="2178">
        <f>IFERROR(S235/S190,0)</f>
        <v>0</v>
      </c>
      <c r="T236" s="2178"/>
      <c r="U236" s="2178"/>
      <c r="V236" s="2178"/>
      <c r="W236" s="2178">
        <f>IFERROR(W235/W190,0)</f>
        <v>0</v>
      </c>
      <c r="X236" s="2178"/>
      <c r="Y236" s="2178"/>
      <c r="Z236" s="2178"/>
      <c r="AA236" s="2178">
        <f>IFERROR(AA235/AA190,0)</f>
        <v>0</v>
      </c>
      <c r="AB236" s="2178"/>
      <c r="AC236" s="2178"/>
      <c r="AD236" s="2178"/>
      <c r="AE236" s="2178">
        <f>IFERROR(AE235/AE190,0)</f>
        <v>0</v>
      </c>
      <c r="AF236" s="2178"/>
      <c r="AG236" s="2178"/>
      <c r="AH236" s="2178"/>
      <c r="AI236" s="2178">
        <f>IFERROR(AI235/AI190,0)</f>
        <v>0</v>
      </c>
      <c r="AJ236" s="2178"/>
      <c r="AK236" s="2178"/>
      <c r="AL236" s="2178"/>
      <c r="AM236" s="2178">
        <f>IFERROR(AM235/AM190,0)</f>
        <v>0</v>
      </c>
      <c r="AN236" s="2178"/>
      <c r="AO236" s="2178"/>
      <c r="AP236" s="2178"/>
      <c r="AQ236" s="2178">
        <f>IFERROR(AQ235/AQ190,0)</f>
        <v>0</v>
      </c>
      <c r="AR236" s="2178"/>
      <c r="AS236" s="2178"/>
      <c r="AT236" s="2178"/>
      <c r="AU236" s="2178">
        <f>IFERROR(AU235/AU190,0)</f>
        <v>0</v>
      </c>
      <c r="AV236" s="2178"/>
      <c r="AW236" s="2178"/>
      <c r="AX236" s="2178"/>
      <c r="AY236" s="2178">
        <f>IFERROR(AY235/AY190,0)</f>
        <v>0</v>
      </c>
      <c r="AZ236" s="2178"/>
      <c r="BA236" s="2178"/>
      <c r="BB236" s="2178"/>
      <c r="BC236" s="2178">
        <f>IFERROR(BC235/BC190,0)</f>
        <v>0</v>
      </c>
      <c r="BD236" s="2178"/>
      <c r="BE236" s="2178"/>
      <c r="BF236" s="2178"/>
      <c r="BG236" s="479"/>
      <c r="BH236" s="2178">
        <f>IFERROR(BH235/BH190,0)</f>
        <v>0</v>
      </c>
      <c r="BI236" s="2178"/>
      <c r="BJ236" s="2178"/>
      <c r="BK236" s="2178"/>
      <c r="BL236" s="479"/>
      <c r="BM236" s="2178">
        <f>IFERROR(BM235/BM190,0)</f>
        <v>0</v>
      </c>
      <c r="BN236" s="2178"/>
      <c r="BO236" s="2178"/>
      <c r="BP236" s="2423"/>
      <c r="BQ236" s="472"/>
      <c r="BR236" s="472"/>
      <c r="BS236" s="472"/>
      <c r="BT236" s="472"/>
      <c r="BU236" s="654"/>
      <c r="BV236" s="473"/>
      <c r="BW236" s="473"/>
      <c r="BX236" s="473"/>
      <c r="BY236" s="473"/>
      <c r="BZ236" s="473"/>
      <c r="CA236" s="474"/>
      <c r="CB236" s="474"/>
      <c r="CC236" s="474"/>
      <c r="CD236" s="474"/>
      <c r="CE236" s="474"/>
      <c r="CF236" s="474"/>
      <c r="CG236" s="474"/>
      <c r="CH236" s="474"/>
      <c r="CI236" s="474"/>
      <c r="CJ236" s="474"/>
      <c r="CK236" s="474"/>
      <c r="CL236" s="474"/>
      <c r="CM236" s="474"/>
      <c r="CN236" s="474"/>
      <c r="CO236" s="474"/>
      <c r="CP236" s="474"/>
      <c r="CQ236" s="474"/>
      <c r="CR236" s="474"/>
      <c r="CS236" s="474"/>
      <c r="CT236" s="474"/>
      <c r="CU236" s="474"/>
      <c r="CV236" s="474"/>
      <c r="CW236" s="474"/>
      <c r="CX236" s="474"/>
      <c r="CY236" s="474"/>
      <c r="CZ236" s="474"/>
      <c r="DA236" s="474"/>
      <c r="DB236" s="474"/>
      <c r="DC236" s="474"/>
      <c r="DD236" s="474"/>
      <c r="DE236" s="474"/>
      <c r="DF236" s="474"/>
      <c r="DG236" s="474"/>
      <c r="DH236" s="474"/>
      <c r="DI236" s="474"/>
      <c r="DJ236" s="474"/>
      <c r="DK236" s="474"/>
      <c r="DL236" s="474"/>
      <c r="DM236" s="474"/>
      <c r="DN236" s="474"/>
    </row>
    <row r="237" spans="1:118" ht="15" customHeight="1" x14ac:dyDescent="0.25">
      <c r="B237" s="8"/>
      <c r="C237" s="99"/>
      <c r="D237" s="99"/>
      <c r="E237" s="99"/>
      <c r="F237" s="99"/>
      <c r="G237" s="99"/>
      <c r="H237" s="99"/>
      <c r="I237" s="99"/>
      <c r="J237" s="99"/>
      <c r="K237" s="649"/>
      <c r="L237" s="649"/>
      <c r="M237" s="649"/>
      <c r="N237" s="649"/>
      <c r="O237" s="649"/>
      <c r="P237" s="649"/>
      <c r="Q237" s="649"/>
      <c r="R237" s="649"/>
      <c r="S237" s="649"/>
      <c r="T237" s="649"/>
      <c r="U237" s="649"/>
      <c r="V237" s="649"/>
      <c r="W237" s="649"/>
      <c r="X237" s="649"/>
      <c r="Y237" s="649"/>
      <c r="Z237" s="649"/>
      <c r="AA237" s="649"/>
      <c r="AB237" s="649"/>
      <c r="AC237" s="649"/>
      <c r="AD237" s="649"/>
      <c r="AE237" s="649"/>
      <c r="AF237" s="649"/>
      <c r="AG237" s="649"/>
      <c r="AH237" s="649"/>
      <c r="AI237" s="649"/>
      <c r="AJ237" s="649"/>
      <c r="AK237" s="649"/>
      <c r="AL237" s="649"/>
      <c r="AM237" s="649"/>
      <c r="AN237" s="649"/>
      <c r="AO237" s="649"/>
      <c r="AP237" s="649"/>
      <c r="AQ237" s="649"/>
      <c r="AR237" s="649"/>
      <c r="AS237" s="649"/>
      <c r="AT237" s="649"/>
      <c r="AU237" s="649"/>
      <c r="AV237" s="649"/>
      <c r="AW237" s="649"/>
      <c r="AX237" s="649"/>
      <c r="AY237" s="649"/>
      <c r="AZ237" s="649"/>
      <c r="BA237" s="649"/>
      <c r="BB237" s="649"/>
      <c r="BC237" s="649"/>
      <c r="BD237" s="649"/>
      <c r="BE237" s="649"/>
      <c r="BF237" s="649"/>
      <c r="BG237" s="649"/>
      <c r="BH237" s="649"/>
      <c r="BI237" s="649"/>
      <c r="BJ237" s="649"/>
      <c r="BK237" s="649"/>
      <c r="BL237" s="466"/>
      <c r="BM237" s="466"/>
      <c r="BN237" s="466"/>
      <c r="BO237" s="466"/>
      <c r="BP237" s="466"/>
      <c r="BQ237" s="466"/>
      <c r="BR237" s="466"/>
      <c r="BS237" s="466"/>
      <c r="BT237" s="466"/>
      <c r="BU237" s="9"/>
      <c r="BV237" s="275"/>
      <c r="BW237" s="275"/>
      <c r="BX237" s="275"/>
      <c r="BY237" s="275"/>
      <c r="BZ237" s="275"/>
    </row>
    <row r="238" spans="1:118" ht="15" customHeight="1" x14ac:dyDescent="0.25">
      <c r="B238" s="9"/>
      <c r="C238" s="199"/>
      <c r="D238" s="23"/>
      <c r="E238" s="23"/>
      <c r="F238" s="23"/>
      <c r="G238" s="23"/>
      <c r="H238" s="23"/>
      <c r="I238" s="23"/>
      <c r="J238" s="23"/>
      <c r="K238" s="23"/>
      <c r="L238" s="86"/>
      <c r="M238" s="86"/>
      <c r="N238" s="86"/>
      <c r="O238" s="86"/>
      <c r="P238" s="86"/>
      <c r="Q238" s="23"/>
      <c r="R238" s="23"/>
      <c r="S238" s="200"/>
      <c r="T238" s="200"/>
      <c r="U238" s="200"/>
      <c r="V238" s="200"/>
      <c r="W238" s="200"/>
      <c r="X238" s="200"/>
      <c r="Y238" s="200"/>
      <c r="Z238" s="200"/>
      <c r="AA238" s="23"/>
      <c r="AB238" s="200"/>
      <c r="AC238" s="200"/>
      <c r="AD238" s="94"/>
      <c r="AE238" s="200"/>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23"/>
      <c r="BH238" s="23"/>
      <c r="BI238" s="23"/>
      <c r="BJ238" s="23"/>
      <c r="BK238" s="23"/>
      <c r="BL238" s="23"/>
      <c r="BM238" s="23"/>
      <c r="BN238" s="23"/>
      <c r="BO238" s="23"/>
      <c r="BP238" s="23"/>
      <c r="BQ238" s="23"/>
      <c r="BR238" s="23"/>
      <c r="BS238" s="23"/>
      <c r="BT238" s="23"/>
      <c r="BU238" s="9"/>
      <c r="BV238" s="275"/>
      <c r="BW238" s="275"/>
      <c r="BX238" s="275"/>
      <c r="BY238" s="275"/>
      <c r="BZ238" s="275"/>
    </row>
    <row r="239" spans="1:118" ht="15" customHeight="1" x14ac:dyDescent="0.25">
      <c r="T239" s="279"/>
      <c r="BH239" s="275"/>
      <c r="BI239" s="275"/>
      <c r="BJ239" s="275"/>
      <c r="BK239" s="275"/>
      <c r="BL239" s="275"/>
      <c r="BM239" s="275"/>
      <c r="BN239" s="275"/>
      <c r="BO239" s="275"/>
      <c r="BP239" s="275"/>
      <c r="BQ239" s="275"/>
      <c r="BR239" s="275"/>
      <c r="BS239" s="275"/>
      <c r="BT239" s="275"/>
      <c r="BU239" s="275"/>
      <c r="BV239" s="275"/>
      <c r="BW239" s="275"/>
      <c r="BX239" s="275"/>
      <c r="BY239" s="275"/>
      <c r="BZ239" s="275"/>
    </row>
    <row r="240" spans="1:118" ht="15" customHeight="1" x14ac:dyDescent="0.25">
      <c r="T240" s="279"/>
      <c r="BH240" s="275"/>
      <c r="BI240" s="275"/>
      <c r="BJ240" s="275"/>
      <c r="BK240" s="275"/>
      <c r="BL240" s="275"/>
      <c r="BM240" s="275"/>
      <c r="BN240" s="275"/>
      <c r="BO240" s="275"/>
      <c r="BP240" s="275"/>
      <c r="BQ240" s="275"/>
      <c r="BR240" s="275"/>
      <c r="BS240" s="275"/>
      <c r="BT240" s="275"/>
      <c r="BU240" s="275"/>
      <c r="BV240" s="275"/>
      <c r="BW240" s="275"/>
      <c r="BX240" s="275"/>
      <c r="BY240" s="275"/>
      <c r="BZ240" s="275"/>
    </row>
    <row r="241" spans="2:78" ht="15" customHeight="1" x14ac:dyDescent="0.25">
      <c r="B241" s="1994" t="s">
        <v>242</v>
      </c>
      <c r="C241" s="598"/>
      <c r="D241" s="598"/>
      <c r="E241" s="598"/>
      <c r="F241" s="598"/>
      <c r="G241" s="598"/>
      <c r="H241" s="598"/>
      <c r="I241" s="598"/>
      <c r="J241" s="598"/>
      <c r="K241" s="598"/>
      <c r="L241" s="598"/>
      <c r="M241" s="598"/>
      <c r="N241" s="598"/>
      <c r="O241" s="598"/>
      <c r="P241" s="598"/>
      <c r="Q241" s="598"/>
      <c r="R241" s="598"/>
      <c r="S241" s="1794" t="s">
        <v>1149</v>
      </c>
      <c r="Y241" s="521" t="s">
        <v>241</v>
      </c>
      <c r="Z241" s="598"/>
      <c r="AA241" s="598"/>
      <c r="AB241" s="598"/>
      <c r="AC241" s="598"/>
      <c r="AD241" s="598"/>
      <c r="AE241" s="598"/>
      <c r="AF241" s="598"/>
      <c r="AG241" s="598"/>
      <c r="AH241" s="598"/>
      <c r="AI241" s="598"/>
      <c r="AJ241" s="598"/>
      <c r="AK241" s="598"/>
      <c r="AL241" s="598"/>
      <c r="AM241" s="598"/>
      <c r="AN241" s="598"/>
      <c r="AO241" s="598"/>
      <c r="AP241" s="598"/>
      <c r="AQ241" s="598"/>
      <c r="AR241" s="598"/>
      <c r="AS241" s="598"/>
      <c r="AT241" s="598"/>
      <c r="AU241" s="598"/>
      <c r="AV241" s="598"/>
      <c r="AW241" s="598"/>
      <c r="AX241" s="598"/>
      <c r="AY241" s="598"/>
      <c r="AZ241" s="598"/>
      <c r="BA241" s="598"/>
      <c r="BB241" s="598"/>
      <c r="BC241" s="598"/>
      <c r="BD241" s="598"/>
      <c r="BE241" s="598"/>
      <c r="BF241" s="598"/>
      <c r="BG241" s="598"/>
      <c r="BI241" s="275"/>
      <c r="BJ241" s="275"/>
      <c r="BK241" s="275"/>
      <c r="BL241" s="275"/>
      <c r="BM241" s="275"/>
      <c r="BN241" s="275"/>
      <c r="BO241" s="275"/>
      <c r="BP241" s="275"/>
      <c r="BQ241" s="275"/>
      <c r="BR241" s="275"/>
      <c r="BS241" s="275"/>
      <c r="BT241" s="275"/>
      <c r="BU241" s="275"/>
      <c r="BV241" s="275"/>
      <c r="BW241" s="275"/>
      <c r="BX241" s="275"/>
      <c r="BY241" s="275"/>
      <c r="BZ241" s="275"/>
    </row>
    <row r="242" spans="2:78" ht="15" customHeight="1" x14ac:dyDescent="0.25">
      <c r="B242" s="9"/>
      <c r="C242" s="9"/>
      <c r="D242" s="9"/>
      <c r="E242" s="9"/>
      <c r="F242" s="9"/>
      <c r="G242" s="9"/>
      <c r="H242" s="9"/>
      <c r="I242" s="9"/>
      <c r="J242" s="9"/>
      <c r="K242" s="9"/>
      <c r="L242" s="9"/>
      <c r="M242" s="9"/>
      <c r="N242" s="9"/>
      <c r="O242" s="9"/>
      <c r="P242" s="9"/>
      <c r="Q242" s="9"/>
      <c r="R242" s="9"/>
      <c r="S242" s="9"/>
      <c r="Y242" s="9"/>
      <c r="Z242" s="9"/>
      <c r="AA242" s="9"/>
      <c r="AB242" s="662"/>
      <c r="AC242" s="663"/>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row>
    <row r="243" spans="2:78" ht="15" customHeight="1" x14ac:dyDescent="0.25">
      <c r="B243" s="9"/>
      <c r="C243" s="22"/>
      <c r="D243" s="22"/>
      <c r="E243" s="22"/>
      <c r="F243" s="22"/>
      <c r="G243" s="22"/>
      <c r="H243" s="22"/>
      <c r="I243" s="22"/>
      <c r="J243" s="22"/>
      <c r="K243" s="2382" t="s">
        <v>10</v>
      </c>
      <c r="L243" s="2382"/>
      <c r="M243" s="2382"/>
      <c r="N243" s="2382"/>
      <c r="O243" s="2382" t="s">
        <v>11</v>
      </c>
      <c r="P243" s="2382"/>
      <c r="Q243" s="2382"/>
      <c r="R243" s="2382"/>
      <c r="S243" s="9"/>
      <c r="Y243" s="9"/>
      <c r="Z243" s="2"/>
      <c r="AA243" s="499">
        <v>1</v>
      </c>
      <c r="AB243" s="504" t="s">
        <v>243</v>
      </c>
      <c r="AC243" s="636"/>
      <c r="AD243" s="636"/>
      <c r="AE243" s="636"/>
      <c r="AF243" s="636"/>
      <c r="AG243" s="636"/>
      <c r="AH243" s="636"/>
      <c r="AI243" s="636"/>
      <c r="AJ243" s="636"/>
      <c r="AK243" s="636"/>
      <c r="AL243" s="636"/>
      <c r="AM243" s="636"/>
      <c r="AN243" s="636"/>
      <c r="AO243" s="636"/>
      <c r="AP243" s="637"/>
      <c r="AQ243" s="637"/>
      <c r="AR243" s="637"/>
      <c r="AS243" s="637"/>
      <c r="AT243" s="637"/>
      <c r="AU243" s="637"/>
      <c r="AV243" s="637"/>
      <c r="AW243" s="637"/>
      <c r="AX243" s="637"/>
      <c r="AY243" s="637"/>
      <c r="AZ243" s="637"/>
      <c r="BA243" s="637"/>
      <c r="BB243" s="637"/>
      <c r="BC243" s="637"/>
      <c r="BD243" s="637"/>
      <c r="BE243" s="637"/>
      <c r="BF243" s="2"/>
      <c r="BG243" s="2"/>
    </row>
    <row r="244" spans="2:78" ht="15" customHeight="1" x14ac:dyDescent="0.25">
      <c r="B244" s="9"/>
      <c r="C244" s="199" t="s">
        <v>196</v>
      </c>
      <c r="D244" s="199"/>
      <c r="E244" s="199"/>
      <c r="F244" s="199"/>
      <c r="G244" s="199"/>
      <c r="H244" s="199"/>
      <c r="I244" s="199"/>
      <c r="J244" s="199"/>
      <c r="K244" s="2317">
        <f>BM197</f>
        <v>0</v>
      </c>
      <c r="L244" s="2317"/>
      <c r="M244" s="2317"/>
      <c r="N244" s="2317"/>
      <c r="O244" s="2317">
        <f>K244*12</f>
        <v>0</v>
      </c>
      <c r="P244" s="2317"/>
      <c r="Q244" s="2317"/>
      <c r="R244" s="2317"/>
      <c r="S244" s="9"/>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row>
    <row r="245" spans="2:78" ht="15" customHeight="1" x14ac:dyDescent="0.25">
      <c r="B245" s="9"/>
      <c r="C245" s="199" t="s">
        <v>1</v>
      </c>
      <c r="D245" s="199"/>
      <c r="E245" s="199"/>
      <c r="F245" s="199"/>
      <c r="G245" s="199"/>
      <c r="H245" s="199"/>
      <c r="I245" s="199"/>
      <c r="J245" s="199"/>
      <c r="K245" s="2317">
        <f>IFERROR(IF(thumb=0,BM217-IF(AND(thumb=0,FORECASTS!E5&lt;&gt;3),-FORECASTS!E66/12,0)-IF(AND(thumb=0,FORECASTS!$E$5&lt;&gt;3),-FORECASTS!E67/12,0),-BD135),0)</f>
        <v>0</v>
      </c>
      <c r="L245" s="2317"/>
      <c r="M245" s="2317"/>
      <c r="N245" s="2317"/>
      <c r="O245" s="2317">
        <f>K245*12</f>
        <v>0</v>
      </c>
      <c r="P245" s="2317"/>
      <c r="Q245" s="2317"/>
      <c r="R245" s="2317"/>
      <c r="S245" s="9"/>
      <c r="U245" s="280"/>
      <c r="Y245" s="2"/>
      <c r="Z245" s="2"/>
      <c r="AA245" s="434">
        <f>IFERROR(O246/ARV_input,"n.a")</f>
        <v>0</v>
      </c>
      <c r="AB245" s="435"/>
      <c r="AC245" s="435"/>
      <c r="AD245" s="435"/>
      <c r="AE245" s="435"/>
      <c r="AF245" s="435"/>
      <c r="AG245" s="436"/>
      <c r="AH245" s="9"/>
      <c r="AI245" s="434">
        <f>IFERROR(O246/AE17,"n.a")</f>
        <v>0</v>
      </c>
      <c r="AJ245" s="435"/>
      <c r="AK245" s="435"/>
      <c r="AL245" s="435"/>
      <c r="AM245" s="435"/>
      <c r="AN245" s="435"/>
      <c r="AO245" s="436"/>
      <c r="AP245" s="2"/>
      <c r="AQ245" s="434">
        <f>IFERROR((BM192+BM194)/(D27+AE13),"n.a")</f>
        <v>0</v>
      </c>
      <c r="AR245" s="435"/>
      <c r="AS245" s="435"/>
      <c r="AT245" s="435"/>
      <c r="AU245" s="435"/>
      <c r="AV245" s="435"/>
      <c r="AW245" s="436"/>
      <c r="AX245" s="2"/>
      <c r="AY245" s="440" t="str">
        <f ca="1">IFERROR(IF(MATCH($AZ$87,FORECASTS!$E$102:OFFSET(FORECASTS!$E$102,0,holding-1),1)+1&gt;holding,"n.a",MATCH($AZ$87,FORECASTS!$E$102:OFFSET(FORECASTS!$E$102,0,holding-1),1)+1),"n.a")</f>
        <v>n.a</v>
      </c>
      <c r="AZ245" s="435"/>
      <c r="BA245" s="435"/>
      <c r="BB245" s="435"/>
      <c r="BC245" s="435"/>
      <c r="BD245" s="435"/>
      <c r="BE245" s="436"/>
      <c r="BF245" s="2"/>
      <c r="BG245" s="2"/>
    </row>
    <row r="246" spans="2:78" ht="15" customHeight="1" x14ac:dyDescent="0.25">
      <c r="B246" s="9"/>
      <c r="C246" s="678" t="s">
        <v>18</v>
      </c>
      <c r="D246" s="678"/>
      <c r="E246" s="678"/>
      <c r="F246" s="678"/>
      <c r="G246" s="678"/>
      <c r="H246" s="678"/>
      <c r="I246" s="678"/>
      <c r="J246" s="678"/>
      <c r="K246" s="2388">
        <f>K244+K245</f>
        <v>0</v>
      </c>
      <c r="L246" s="2388"/>
      <c r="M246" s="2388"/>
      <c r="N246" s="2388"/>
      <c r="O246" s="2388">
        <f>O244+O245</f>
        <v>0</v>
      </c>
      <c r="P246" s="2388"/>
      <c r="Q246" s="2388"/>
      <c r="R246" s="2388"/>
      <c r="S246" s="9"/>
      <c r="Y246" s="2"/>
      <c r="Z246" s="2"/>
      <c r="AA246" s="491"/>
      <c r="AB246" s="437"/>
      <c r="AC246" s="438"/>
      <c r="AD246" s="492" t="s">
        <v>100</v>
      </c>
      <c r="AE246" s="437"/>
      <c r="AF246" s="437"/>
      <c r="AG246" s="1795" t="s">
        <v>1149</v>
      </c>
      <c r="AH246" s="9"/>
      <c r="AI246" s="491"/>
      <c r="AJ246" s="437"/>
      <c r="AK246" s="438"/>
      <c r="AL246" s="493" t="s">
        <v>245</v>
      </c>
      <c r="AM246" s="437"/>
      <c r="AN246" s="437"/>
      <c r="AO246" s="1795" t="s">
        <v>1149</v>
      </c>
      <c r="AP246" s="2"/>
      <c r="AQ246" s="491"/>
      <c r="AR246" s="437"/>
      <c r="AS246" s="438"/>
      <c r="AT246" s="493" t="s">
        <v>246</v>
      </c>
      <c r="AU246" s="437"/>
      <c r="AV246" s="437"/>
      <c r="AW246" s="1795" t="s">
        <v>1149</v>
      </c>
      <c r="AX246" s="2"/>
      <c r="AY246" s="491"/>
      <c r="AZ246" s="437"/>
      <c r="BA246" s="438"/>
      <c r="BB246" s="493" t="s">
        <v>248</v>
      </c>
      <c r="BC246" s="437"/>
      <c r="BD246" s="437"/>
      <c r="BE246" s="1795" t="s">
        <v>1149</v>
      </c>
      <c r="BF246" s="2"/>
      <c r="BG246" s="2"/>
    </row>
    <row r="247" spans="2:78" ht="15" customHeight="1" x14ac:dyDescent="0.25">
      <c r="B247" s="9"/>
      <c r="C247" s="22"/>
      <c r="D247" s="22"/>
      <c r="E247" s="22"/>
      <c r="F247" s="22"/>
      <c r="G247" s="22"/>
      <c r="H247" s="22"/>
      <c r="I247" s="22"/>
      <c r="J247" s="22"/>
      <c r="K247" s="658"/>
      <c r="L247" s="659"/>
      <c r="M247" s="658"/>
      <c r="N247" s="658"/>
      <c r="O247" s="658"/>
      <c r="P247" s="658"/>
      <c r="Q247" s="658"/>
      <c r="R247" s="658"/>
      <c r="S247" s="9"/>
      <c r="Y247" s="2"/>
      <c r="Z247" s="2"/>
      <c r="AA247" s="2"/>
      <c r="AB247" s="2"/>
      <c r="AC247" s="9"/>
      <c r="AD247" s="225"/>
      <c r="AE247" s="664"/>
      <c r="AF247" s="663"/>
      <c r="AG247" s="100"/>
      <c r="AH247" s="9"/>
      <c r="AI247" s="9"/>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row>
    <row r="248" spans="2:78" ht="15" customHeight="1" x14ac:dyDescent="0.25">
      <c r="B248" s="9"/>
      <c r="C248" s="199" t="s">
        <v>410</v>
      </c>
      <c r="D248" s="199"/>
      <c r="E248" s="199"/>
      <c r="F248" s="199"/>
      <c r="G248" s="199"/>
      <c r="H248" s="199"/>
      <c r="I248" s="199"/>
      <c r="J248" s="199"/>
      <c r="K248" s="2317">
        <f>IF(thumb=0,-AX130-IFERROR(-FORECASTS!E76/12,0)-IFERROR(-FORECASTS!E77/12,0),-IFERROR(-FORECASTS!E76/12,0)-IFERROR(-FORECASTS!E77/12,0))</f>
        <v>0</v>
      </c>
      <c r="L248" s="2317"/>
      <c r="M248" s="2317"/>
      <c r="N248" s="2317"/>
      <c r="O248" s="2317">
        <f>K248*12</f>
        <v>0</v>
      </c>
      <c r="P248" s="2317"/>
      <c r="Q248" s="2317"/>
      <c r="R248" s="2317"/>
      <c r="S248" s="9"/>
      <c r="Y248" s="2"/>
      <c r="Z248" s="2"/>
      <c r="AA248" s="434">
        <f>IFERROR((O246+O248)/I27,"n.a")</f>
        <v>0</v>
      </c>
      <c r="AB248" s="435"/>
      <c r="AC248" s="435"/>
      <c r="AD248" s="435"/>
      <c r="AE248" s="435"/>
      <c r="AF248" s="435"/>
      <c r="AG248" s="436"/>
      <c r="AH248" s="9"/>
      <c r="AI248" s="439" t="str">
        <f>IFERROR((D27+AE13)/(BH192+BH194),"n.a")</f>
        <v>n.a</v>
      </c>
      <c r="AJ248" s="435"/>
      <c r="AK248" s="435"/>
      <c r="AL248" s="435"/>
      <c r="AM248" s="435"/>
      <c r="AN248" s="435"/>
      <c r="AO248" s="436"/>
      <c r="AP248" s="2"/>
      <c r="AQ248" s="434">
        <f>IFERROR(BH192/(D27+AE13),"n.a")</f>
        <v>0</v>
      </c>
      <c r="AR248" s="435"/>
      <c r="AS248" s="435"/>
      <c r="AT248" s="435"/>
      <c r="AU248" s="435"/>
      <c r="AV248" s="435"/>
      <c r="AW248" s="436"/>
      <c r="AX248" s="2"/>
      <c r="AY248" s="439" t="str">
        <f>IFERROR(-(O246+O248)/O249,"n.a")</f>
        <v>n.a</v>
      </c>
      <c r="AZ248" s="435"/>
      <c r="BA248" s="435"/>
      <c r="BB248" s="435"/>
      <c r="BC248" s="435"/>
      <c r="BD248" s="435"/>
      <c r="BE248" s="436"/>
      <c r="BF248" s="2"/>
      <c r="BG248" s="2"/>
    </row>
    <row r="249" spans="2:78" ht="15" customHeight="1" x14ac:dyDescent="0.25">
      <c r="B249" s="9"/>
      <c r="C249" s="199" t="str">
        <f>IF(K90&gt;0,"Interest-Only Payment", "Principal &amp; Interest (P&amp;I)")</f>
        <v>Principal &amp; Interest (P&amp;I)</v>
      </c>
      <c r="D249" s="199"/>
      <c r="E249" s="199"/>
      <c r="F249" s="199"/>
      <c r="G249" s="199"/>
      <c r="H249" s="199"/>
      <c r="I249" s="199"/>
      <c r="J249" s="199"/>
      <c r="K249" s="2317">
        <f>-MORTGAGE!H25</f>
        <v>0</v>
      </c>
      <c r="L249" s="2317"/>
      <c r="M249" s="2317"/>
      <c r="N249" s="2317"/>
      <c r="O249" s="2317">
        <f>K249*12</f>
        <v>0</v>
      </c>
      <c r="P249" s="2317"/>
      <c r="Q249" s="2317"/>
      <c r="R249" s="2317"/>
      <c r="S249" s="9"/>
      <c r="Y249" s="2"/>
      <c r="Z249" s="2"/>
      <c r="AA249" s="491"/>
      <c r="AB249" s="437"/>
      <c r="AC249" s="438"/>
      <c r="AD249" s="493" t="s">
        <v>377</v>
      </c>
      <c r="AE249" s="437"/>
      <c r="AF249" s="437"/>
      <c r="AG249" s="1795" t="s">
        <v>1149</v>
      </c>
      <c r="AH249" s="9"/>
      <c r="AI249" s="491"/>
      <c r="AJ249" s="437"/>
      <c r="AK249" s="438"/>
      <c r="AL249" s="493" t="s">
        <v>102</v>
      </c>
      <c r="AM249" s="437"/>
      <c r="AN249" s="437"/>
      <c r="AO249" s="1795" t="s">
        <v>1149</v>
      </c>
      <c r="AP249" s="2"/>
      <c r="AQ249" s="491"/>
      <c r="AR249" s="437"/>
      <c r="AS249" s="438"/>
      <c r="AT249" s="493" t="s">
        <v>247</v>
      </c>
      <c r="AU249" s="437"/>
      <c r="AV249" s="437"/>
      <c r="AW249" s="1795" t="s">
        <v>1149</v>
      </c>
      <c r="AX249" s="2"/>
      <c r="AY249" s="491"/>
      <c r="AZ249" s="437"/>
      <c r="BA249" s="438"/>
      <c r="BB249" s="493" t="s">
        <v>249</v>
      </c>
      <c r="BC249" s="437"/>
      <c r="BD249" s="437"/>
      <c r="BE249" s="1795" t="s">
        <v>1149</v>
      </c>
      <c r="BF249" s="2"/>
      <c r="BG249" s="2"/>
    </row>
    <row r="250" spans="2:78" ht="15" customHeight="1" x14ac:dyDescent="0.25">
      <c r="B250" s="9"/>
      <c r="C250" s="22"/>
      <c r="D250" s="22"/>
      <c r="E250" s="22"/>
      <c r="F250" s="22"/>
      <c r="G250" s="22"/>
      <c r="H250" s="22"/>
      <c r="I250" s="22"/>
      <c r="J250" s="22"/>
      <c r="K250" s="660"/>
      <c r="L250" s="659"/>
      <c r="M250" s="660"/>
      <c r="N250" s="660"/>
      <c r="O250" s="660"/>
      <c r="P250" s="660"/>
      <c r="Q250" s="660"/>
      <c r="R250" s="660"/>
      <c r="S250" s="9"/>
      <c r="Y250" s="2"/>
      <c r="Z250" s="2"/>
      <c r="AA250" s="2"/>
      <c r="AB250" s="2"/>
      <c r="AC250" s="9"/>
      <c r="AD250" s="9"/>
      <c r="AE250" s="9"/>
      <c r="AF250" s="9"/>
      <c r="AG250" s="9"/>
      <c r="AH250" s="9"/>
      <c r="AI250" s="9"/>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row>
    <row r="251" spans="2:78" ht="15" customHeight="1" x14ac:dyDescent="0.25">
      <c r="B251" s="9"/>
      <c r="C251" s="442" t="s">
        <v>77</v>
      </c>
      <c r="D251" s="443"/>
      <c r="E251" s="443"/>
      <c r="F251" s="443"/>
      <c r="G251" s="443"/>
      <c r="H251" s="443"/>
      <c r="I251" s="443"/>
      <c r="J251" s="443"/>
      <c r="K251" s="2380">
        <f>K246+K248+K249</f>
        <v>0</v>
      </c>
      <c r="L251" s="2380"/>
      <c r="M251" s="2380"/>
      <c r="N251" s="2380"/>
      <c r="O251" s="2380">
        <f>O246+O248+O249</f>
        <v>0</v>
      </c>
      <c r="P251" s="2380"/>
      <c r="Q251" s="2380"/>
      <c r="R251" s="2398"/>
      <c r="S251" s="9"/>
      <c r="U251" s="280"/>
      <c r="Y251" s="9"/>
      <c r="Z251" s="9"/>
      <c r="AA251" s="499">
        <v>2</v>
      </c>
      <c r="AB251" s="504" t="s">
        <v>244</v>
      </c>
      <c r="AC251" s="636"/>
      <c r="AD251" s="636"/>
      <c r="AE251" s="636"/>
      <c r="AF251" s="636"/>
      <c r="AG251" s="636"/>
      <c r="AH251" s="636"/>
      <c r="AI251" s="636"/>
      <c r="AJ251" s="636"/>
      <c r="AK251" s="636"/>
      <c r="AL251" s="636"/>
      <c r="AM251" s="636"/>
      <c r="AN251" s="636"/>
      <c r="AO251" s="636"/>
      <c r="AP251" s="637"/>
      <c r="AQ251" s="637"/>
      <c r="AR251" s="637"/>
      <c r="AS251" s="637"/>
      <c r="AT251" s="637"/>
      <c r="AU251" s="637"/>
      <c r="AV251" s="637"/>
      <c r="AW251" s="637"/>
      <c r="AX251" s="9"/>
      <c r="AY251" s="9"/>
      <c r="AZ251" s="9"/>
      <c r="BA251" s="9"/>
      <c r="BB251" s="9"/>
      <c r="BC251" s="9"/>
      <c r="BD251" s="9"/>
      <c r="BE251" s="9"/>
      <c r="BF251" s="9"/>
      <c r="BG251" s="9"/>
    </row>
    <row r="252" spans="2:78" ht="15" customHeight="1" x14ac:dyDescent="0.25">
      <c r="B252" s="9"/>
      <c r="C252" s="92"/>
      <c r="D252" s="92"/>
      <c r="E252" s="92"/>
      <c r="F252" s="92"/>
      <c r="G252" s="92"/>
      <c r="H252" s="92"/>
      <c r="I252" s="92"/>
      <c r="J252" s="92"/>
      <c r="K252" s="661"/>
      <c r="L252" s="261"/>
      <c r="M252" s="261"/>
      <c r="N252" s="261"/>
      <c r="O252" s="261"/>
      <c r="P252" s="261"/>
      <c r="Q252" s="261"/>
      <c r="R252" s="261"/>
      <c r="S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row>
    <row r="253" spans="2:78" ht="15" customHeight="1" x14ac:dyDescent="0.25">
      <c r="C253" s="283"/>
      <c r="D253" s="283"/>
      <c r="E253" s="283"/>
      <c r="F253" s="283"/>
      <c r="G253" s="283"/>
      <c r="H253" s="283"/>
      <c r="I253" s="283"/>
      <c r="J253" s="283"/>
      <c r="K253" s="284"/>
      <c r="L253" s="283"/>
      <c r="M253" s="283"/>
      <c r="N253" s="283"/>
      <c r="O253" s="283"/>
      <c r="P253" s="283"/>
      <c r="Q253" s="283"/>
      <c r="R253" s="283"/>
      <c r="Y253" s="9"/>
      <c r="Z253" s="9"/>
      <c r="AA253" s="426" t="str">
        <f>FORECASTS!$O$3</f>
        <v>n.a</v>
      </c>
      <c r="AB253" s="427"/>
      <c r="AC253" s="427"/>
      <c r="AD253" s="427"/>
      <c r="AE253" s="427"/>
      <c r="AF253" s="427"/>
      <c r="AG253" s="428"/>
      <c r="AH253" s="9"/>
      <c r="AI253" s="426">
        <f ca="1">FORECASTS!$Q$3</f>
        <v>1.8358489342316906</v>
      </c>
      <c r="AJ253" s="427"/>
      <c r="AK253" s="427"/>
      <c r="AL253" s="427"/>
      <c r="AM253" s="427"/>
      <c r="AN253" s="427"/>
      <c r="AO253" s="428"/>
      <c r="AP253" s="9"/>
      <c r="AQ253" s="431">
        <f>FORECASTS!S3</f>
        <v>224800.16095890407</v>
      </c>
      <c r="AR253" s="427"/>
      <c r="AS253" s="427"/>
      <c r="AT253" s="427"/>
      <c r="AU253" s="427"/>
      <c r="AV253" s="427"/>
      <c r="AW253" s="428"/>
      <c r="AX253" s="9"/>
      <c r="AY253" s="9"/>
      <c r="AZ253" s="9"/>
      <c r="BA253" s="9"/>
      <c r="BB253" s="9"/>
      <c r="BC253" s="9"/>
      <c r="BD253" s="9"/>
      <c r="BE253" s="9"/>
      <c r="BF253" s="9"/>
      <c r="BG253" s="9"/>
    </row>
    <row r="254" spans="2:78" ht="15" customHeight="1" x14ac:dyDescent="0.25">
      <c r="B254" s="521" t="s">
        <v>323</v>
      </c>
      <c r="C254" s="598"/>
      <c r="D254" s="598"/>
      <c r="E254" s="598"/>
      <c r="F254" s="598"/>
      <c r="G254" s="598"/>
      <c r="H254" s="598"/>
      <c r="I254" s="598"/>
      <c r="J254" s="598"/>
      <c r="K254" s="598"/>
      <c r="L254" s="598"/>
      <c r="M254" s="598"/>
      <c r="N254" s="598"/>
      <c r="O254" s="598"/>
      <c r="P254" s="598"/>
      <c r="Q254" s="598"/>
      <c r="R254" s="598"/>
      <c r="S254" s="1794" t="s">
        <v>1149</v>
      </c>
      <c r="U254" s="281"/>
      <c r="Y254" s="9"/>
      <c r="Z254" s="9"/>
      <c r="AA254" s="494"/>
      <c r="AB254" s="429"/>
      <c r="AC254" s="430"/>
      <c r="AD254" s="495" t="s">
        <v>250</v>
      </c>
      <c r="AE254" s="429"/>
      <c r="AF254" s="429"/>
      <c r="AG254" s="1796" t="s">
        <v>1149</v>
      </c>
      <c r="AH254" s="9"/>
      <c r="AI254" s="494"/>
      <c r="AJ254" s="429"/>
      <c r="AK254" s="430"/>
      <c r="AL254" s="495" t="s">
        <v>251</v>
      </c>
      <c r="AM254" s="429"/>
      <c r="AN254" s="429"/>
      <c r="AO254" s="1796" t="s">
        <v>1149</v>
      </c>
      <c r="AP254" s="9"/>
      <c r="AQ254" s="494" t="s">
        <v>252</v>
      </c>
      <c r="AR254" s="429"/>
      <c r="AS254" s="430"/>
      <c r="AT254" s="432"/>
      <c r="AU254" s="429"/>
      <c r="AV254" s="429"/>
      <c r="AW254" s="433"/>
      <c r="AX254" s="9"/>
      <c r="AY254" s="9"/>
      <c r="AZ254" s="9"/>
      <c r="BA254" s="9"/>
      <c r="BB254" s="9"/>
      <c r="BC254" s="9"/>
      <c r="BD254" s="9"/>
      <c r="BE254" s="9"/>
      <c r="BF254" s="9"/>
      <c r="BG254" s="9"/>
    </row>
    <row r="255" spans="2:78" ht="15" customHeight="1" x14ac:dyDescent="0.25">
      <c r="B255" s="9"/>
      <c r="C255" s="9"/>
      <c r="D255" s="9"/>
      <c r="E255" s="9"/>
      <c r="F255" s="9"/>
      <c r="G255" s="9"/>
      <c r="H255" s="9"/>
      <c r="I255" s="9"/>
      <c r="J255" s="9"/>
      <c r="K255" s="9"/>
      <c r="L255" s="9"/>
      <c r="M255" s="9"/>
      <c r="N255" s="9"/>
      <c r="O255" s="9"/>
      <c r="P255" s="9"/>
      <c r="Q255" s="9"/>
      <c r="R255" s="9"/>
      <c r="S255" s="9"/>
      <c r="U255" s="281"/>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row>
    <row r="256" spans="2:78" ht="15" customHeight="1" x14ac:dyDescent="0.25">
      <c r="B256" s="9"/>
      <c r="C256" s="22"/>
      <c r="D256" s="22"/>
      <c r="E256" s="22"/>
      <c r="F256" s="22"/>
      <c r="G256" s="22"/>
      <c r="H256" s="22"/>
      <c r="I256" s="22"/>
      <c r="J256" s="22"/>
      <c r="K256" s="2381" t="s">
        <v>325</v>
      </c>
      <c r="L256" s="2381"/>
      <c r="M256" s="2381"/>
      <c r="N256" s="2381"/>
      <c r="O256" s="2382" t="s">
        <v>324</v>
      </c>
      <c r="P256" s="2382"/>
      <c r="Q256" s="2382"/>
      <c r="R256" s="2382"/>
      <c r="S256" s="9"/>
      <c r="U256" s="280"/>
      <c r="Y256" s="9"/>
      <c r="Z256" s="9"/>
      <c r="AA256" s="418" t="str">
        <f>FORECASTS!U3</f>
        <v>n.a</v>
      </c>
      <c r="AB256" s="419"/>
      <c r="AC256" s="419"/>
      <c r="AD256" s="419"/>
      <c r="AE256" s="419"/>
      <c r="AF256" s="419"/>
      <c r="AG256" s="420"/>
      <c r="AH256" s="9"/>
      <c r="AI256" s="418">
        <f ca="1">FORECASTS!W3</f>
        <v>31.383204884537385</v>
      </c>
      <c r="AJ256" s="419"/>
      <c r="AK256" s="419"/>
      <c r="AL256" s="419"/>
      <c r="AM256" s="419"/>
      <c r="AN256" s="419"/>
      <c r="AO256" s="420"/>
      <c r="AP256" s="9"/>
      <c r="AQ256" s="423">
        <f>FORECASTS!AA3</f>
        <v>221231.06510901553</v>
      </c>
      <c r="AR256" s="419"/>
      <c r="AS256" s="419"/>
      <c r="AT256" s="419"/>
      <c r="AU256" s="419"/>
      <c r="AV256" s="419"/>
      <c r="AW256" s="420"/>
      <c r="AX256" s="9"/>
      <c r="AY256" s="9"/>
      <c r="AZ256" s="9"/>
      <c r="BA256" s="9"/>
      <c r="BB256" s="9"/>
      <c r="BC256" s="9"/>
      <c r="BD256" s="9"/>
      <c r="BE256" s="9"/>
      <c r="BF256" s="9"/>
      <c r="BG256" s="9"/>
    </row>
    <row r="257" spans="1:118" ht="15" customHeight="1" x14ac:dyDescent="0.25">
      <c r="B257" s="9"/>
      <c r="C257" s="199" t="s">
        <v>326</v>
      </c>
      <c r="D257" s="199"/>
      <c r="E257" s="199"/>
      <c r="F257" s="199"/>
      <c r="G257" s="199"/>
      <c r="H257" s="199"/>
      <c r="I257" s="199"/>
      <c r="J257" s="199"/>
      <c r="K257" s="2140"/>
      <c r="L257" s="2141"/>
      <c r="M257" s="2141"/>
      <c r="N257" s="2142"/>
      <c r="O257" s="2376" t="str">
        <f>IFERROR(O246/K257,"n.a")</f>
        <v>n.a</v>
      </c>
      <c r="P257" s="2376"/>
      <c r="Q257" s="2376"/>
      <c r="R257" s="2376"/>
      <c r="S257" s="9"/>
      <c r="Y257" s="9"/>
      <c r="Z257" s="9"/>
      <c r="AA257" s="496"/>
      <c r="AB257" s="421"/>
      <c r="AC257" s="422"/>
      <c r="AD257" s="497" t="s">
        <v>253</v>
      </c>
      <c r="AE257" s="421"/>
      <c r="AF257" s="421"/>
      <c r="AG257" s="1797" t="s">
        <v>1149</v>
      </c>
      <c r="AH257" s="9"/>
      <c r="AI257" s="496"/>
      <c r="AJ257" s="421"/>
      <c r="AK257" s="422"/>
      <c r="AL257" s="497" t="s">
        <v>254</v>
      </c>
      <c r="AM257" s="421"/>
      <c r="AN257" s="421"/>
      <c r="AO257" s="1797" t="s">
        <v>1149</v>
      </c>
      <c r="AP257" s="9"/>
      <c r="AQ257" s="496" t="s">
        <v>106</v>
      </c>
      <c r="AR257" s="421"/>
      <c r="AS257" s="422"/>
      <c r="AT257" s="424"/>
      <c r="AU257" s="421"/>
      <c r="AV257" s="421"/>
      <c r="AW257" s="425"/>
      <c r="AX257" s="9"/>
      <c r="AY257" s="9"/>
      <c r="AZ257" s="9"/>
      <c r="BA257" s="9"/>
      <c r="BB257" s="9"/>
      <c r="BC257" s="9"/>
      <c r="BD257" s="9"/>
      <c r="BE257" s="9"/>
      <c r="BF257" s="9"/>
      <c r="BG257" s="9"/>
    </row>
    <row r="258" spans="1:118" ht="15" customHeight="1" x14ac:dyDescent="0.25">
      <c r="B258" s="9"/>
      <c r="C258" s="199" t="s">
        <v>327</v>
      </c>
      <c r="D258" s="199"/>
      <c r="E258" s="199"/>
      <c r="F258" s="199"/>
      <c r="G258" s="199"/>
      <c r="H258" s="199"/>
      <c r="I258" s="199"/>
      <c r="J258" s="199"/>
      <c r="K258" s="2140"/>
      <c r="L258" s="2141"/>
      <c r="M258" s="2141"/>
      <c r="N258" s="2142"/>
      <c r="O258" s="2376"/>
      <c r="P258" s="2376"/>
      <c r="Q258" s="2376"/>
      <c r="R258" s="2376"/>
      <c r="S258" s="9"/>
      <c r="Y258" s="1871"/>
      <c r="Z258" s="585"/>
      <c r="AA258" s="665"/>
      <c r="AB258" s="666"/>
      <c r="AC258" s="585"/>
      <c r="AD258" s="585"/>
      <c r="AE258" s="667"/>
      <c r="AF258" s="9"/>
      <c r="AG258" s="668"/>
      <c r="AH258" s="585"/>
      <c r="AI258" s="665"/>
      <c r="AJ258" s="666"/>
      <c r="AK258" s="585"/>
      <c r="AL258" s="585"/>
      <c r="AM258" s="585"/>
      <c r="AN258" s="667"/>
      <c r="AO258" s="9"/>
      <c r="AP258" s="9"/>
      <c r="AQ258" s="9"/>
      <c r="AR258" s="9"/>
      <c r="AS258" s="9"/>
      <c r="AT258" s="9"/>
      <c r="AU258" s="9"/>
      <c r="AV258" s="9"/>
      <c r="AW258" s="9"/>
      <c r="AX258" s="9"/>
      <c r="AY258" s="9"/>
      <c r="AZ258" s="9"/>
      <c r="BA258" s="9"/>
      <c r="BB258" s="9"/>
      <c r="BC258" s="9"/>
      <c r="BD258" s="9"/>
      <c r="BE258" s="9"/>
      <c r="BF258" s="9"/>
      <c r="BG258" s="9"/>
    </row>
    <row r="259" spans="1:118" ht="15" customHeight="1" x14ac:dyDescent="0.25">
      <c r="B259" s="9"/>
      <c r="C259" s="199" t="s">
        <v>328</v>
      </c>
      <c r="D259" s="199"/>
      <c r="E259" s="199"/>
      <c r="F259" s="199"/>
      <c r="G259" s="199"/>
      <c r="H259" s="199"/>
      <c r="I259" s="199"/>
      <c r="J259" s="199"/>
      <c r="K259" s="2383"/>
      <c r="L259" s="2384"/>
      <c r="M259" s="2384"/>
      <c r="N259" s="2385"/>
      <c r="O259" s="2376"/>
      <c r="P259" s="2376"/>
      <c r="Q259" s="2376"/>
      <c r="R259" s="2376"/>
      <c r="S259" s="9"/>
      <c r="Z259" s="285"/>
      <c r="AA259" s="286"/>
      <c r="AB259" s="287"/>
      <c r="AC259" s="285"/>
      <c r="AD259" s="285"/>
      <c r="AE259" s="288"/>
      <c r="AG259" s="498"/>
      <c r="AH259" s="285"/>
      <c r="AI259" s="286"/>
      <c r="AJ259" s="287"/>
      <c r="AK259" s="285"/>
      <c r="AL259" s="285"/>
      <c r="AM259" s="285"/>
      <c r="AN259" s="288"/>
    </row>
    <row r="260" spans="1:118" ht="15" customHeight="1" x14ac:dyDescent="0.25">
      <c r="B260" s="9"/>
      <c r="C260" s="199" t="s">
        <v>329</v>
      </c>
      <c r="D260" s="199"/>
      <c r="E260" s="199"/>
      <c r="F260" s="199"/>
      <c r="G260" s="199"/>
      <c r="H260" s="199"/>
      <c r="I260" s="199"/>
      <c r="J260" s="199"/>
      <c r="K260" s="2140"/>
      <c r="L260" s="2141"/>
      <c r="M260" s="2141"/>
      <c r="N260" s="2142"/>
      <c r="O260" s="2376"/>
      <c r="P260" s="2376"/>
      <c r="Q260" s="2376"/>
      <c r="R260" s="2376"/>
      <c r="S260" s="9"/>
      <c r="Z260" s="285"/>
      <c r="AA260" s="286"/>
      <c r="AB260" s="287"/>
      <c r="AC260" s="285"/>
      <c r="AD260" s="285"/>
      <c r="AE260" s="288"/>
      <c r="AG260" s="498"/>
      <c r="AH260" s="285"/>
      <c r="AI260" s="286"/>
      <c r="AJ260" s="287"/>
      <c r="AK260" s="285"/>
      <c r="AL260" s="285"/>
      <c r="AM260" s="285"/>
      <c r="AN260" s="288"/>
    </row>
    <row r="261" spans="1:118" ht="15" customHeight="1" x14ac:dyDescent="0.25">
      <c r="B261" s="9"/>
      <c r="C261" s="199" t="s">
        <v>330</v>
      </c>
      <c r="D261" s="199"/>
      <c r="E261" s="199"/>
      <c r="F261" s="199"/>
      <c r="G261" s="199"/>
      <c r="H261" s="199"/>
      <c r="I261" s="199"/>
      <c r="J261" s="199"/>
      <c r="K261" s="2140"/>
      <c r="L261" s="2141"/>
      <c r="M261" s="2141"/>
      <c r="N261" s="2142"/>
      <c r="O261" s="2376"/>
      <c r="P261" s="2376"/>
      <c r="Q261" s="2376"/>
      <c r="R261" s="2376"/>
      <c r="S261" s="9"/>
      <c r="Z261" s="285"/>
      <c r="AA261" s="286"/>
      <c r="AB261" s="287"/>
      <c r="AC261" s="285"/>
      <c r="AD261" s="285"/>
      <c r="AE261" s="288"/>
      <c r="AG261" s="498"/>
      <c r="AH261" s="285"/>
      <c r="AI261" s="286"/>
      <c r="AJ261" s="287"/>
      <c r="AK261" s="285"/>
      <c r="AL261" s="285"/>
      <c r="AM261" s="285"/>
      <c r="AN261" s="288"/>
    </row>
    <row r="262" spans="1:118" ht="15" customHeight="1" x14ac:dyDescent="0.25">
      <c r="B262" s="9"/>
      <c r="C262" s="199"/>
      <c r="D262" s="199"/>
      <c r="E262" s="199"/>
      <c r="F262" s="199"/>
      <c r="G262" s="199"/>
      <c r="H262" s="199"/>
      <c r="I262" s="199"/>
      <c r="J262" s="199"/>
      <c r="K262" s="199"/>
      <c r="L262" s="199"/>
      <c r="M262" s="199"/>
      <c r="N262" s="199"/>
      <c r="O262" s="86"/>
      <c r="P262" s="86"/>
      <c r="Q262" s="86"/>
      <c r="R262" s="86"/>
      <c r="S262" s="9"/>
      <c r="Z262" s="285"/>
      <c r="AA262" s="286"/>
      <c r="AB262" s="287"/>
      <c r="AC262" s="285"/>
      <c r="AD262" s="285"/>
      <c r="AE262" s="288"/>
      <c r="AG262" s="498"/>
      <c r="AH262" s="285"/>
      <c r="AI262" s="286"/>
      <c r="AJ262" s="287"/>
      <c r="AK262" s="285"/>
      <c r="AL262" s="285"/>
      <c r="AM262" s="285"/>
      <c r="AN262" s="288"/>
    </row>
    <row r="263" spans="1:118" ht="15" customHeight="1" x14ac:dyDescent="0.25">
      <c r="B263" s="9"/>
      <c r="C263" s="409"/>
      <c r="D263" s="410"/>
      <c r="E263" s="410"/>
      <c r="F263" s="410"/>
      <c r="G263" s="410"/>
      <c r="H263" s="410"/>
      <c r="I263" s="410"/>
      <c r="J263" s="411" t="s">
        <v>331</v>
      </c>
      <c r="K263" s="412"/>
      <c r="L263" s="412"/>
      <c r="M263" s="412"/>
      <c r="N263" s="412"/>
      <c r="O263" s="2392" t="str">
        <f>IFERROR(AVERAGE(O257:R261),"n.a")</f>
        <v>n.a</v>
      </c>
      <c r="P263" s="2392"/>
      <c r="Q263" s="2392"/>
      <c r="R263" s="2393"/>
      <c r="S263" s="9"/>
      <c r="Z263" s="285"/>
      <c r="AA263" s="286"/>
      <c r="AB263" s="287"/>
      <c r="AC263" s="285"/>
      <c r="AD263" s="285"/>
      <c r="AE263" s="288"/>
      <c r="AG263" s="498"/>
      <c r="AH263" s="285"/>
      <c r="AI263" s="286"/>
      <c r="AJ263" s="287"/>
      <c r="AK263" s="285"/>
      <c r="AL263" s="285"/>
      <c r="AM263" s="285"/>
      <c r="AN263" s="288"/>
    </row>
    <row r="264" spans="1:118" s="275" customFormat="1" x14ac:dyDescent="0.25">
      <c r="A264" s="274"/>
      <c r="B264" s="9"/>
      <c r="C264" s="413"/>
      <c r="D264" s="669"/>
      <c r="E264" s="669"/>
      <c r="F264" s="669"/>
      <c r="G264" s="669"/>
      <c r="H264" s="669"/>
      <c r="I264" s="669"/>
      <c r="J264" s="407" t="s">
        <v>332</v>
      </c>
      <c r="K264" s="408"/>
      <c r="L264" s="408"/>
      <c r="M264" s="408"/>
      <c r="N264" s="408"/>
      <c r="O264" s="2394">
        <f>IFERROR(MIN(O257:R261),"n.a")</f>
        <v>0</v>
      </c>
      <c r="P264" s="2394"/>
      <c r="Q264" s="2394"/>
      <c r="R264" s="2395"/>
      <c r="S264" s="9"/>
      <c r="T264" s="274"/>
      <c r="U264" s="274"/>
      <c r="V264" s="274"/>
      <c r="W264" s="274"/>
      <c r="X264" s="274"/>
      <c r="Y264" s="274"/>
      <c r="Z264" s="285"/>
      <c r="AA264" s="286"/>
      <c r="AB264" s="287"/>
      <c r="AC264" s="285"/>
      <c r="AD264" s="285"/>
      <c r="AE264" s="288"/>
      <c r="AF264" s="274"/>
      <c r="AG264" s="498"/>
      <c r="AH264" s="285"/>
      <c r="AI264" s="286"/>
      <c r="AJ264" s="287"/>
      <c r="AK264" s="285"/>
      <c r="AL264" s="285"/>
      <c r="AM264" s="285"/>
      <c r="AN264" s="288"/>
      <c r="AO264" s="274"/>
      <c r="AP264" s="274"/>
      <c r="AQ264" s="274"/>
      <c r="AR264" s="274"/>
      <c r="AS264" s="274"/>
      <c r="AT264" s="274"/>
      <c r="AU264" s="274"/>
      <c r="AV264" s="274"/>
      <c r="AW264" s="274"/>
      <c r="AX264" s="274"/>
      <c r="AY264" s="274"/>
      <c r="AZ264" s="274"/>
      <c r="BA264" s="274"/>
      <c r="BB264" s="274"/>
      <c r="BC264" s="274"/>
      <c r="BD264" s="274"/>
      <c r="BE264" s="274"/>
      <c r="BF264" s="274"/>
      <c r="BG264" s="274"/>
      <c r="BH264" s="274"/>
      <c r="BI264" s="274"/>
      <c r="BJ264" s="274"/>
      <c r="BK264" s="274"/>
      <c r="BL264" s="274"/>
      <c r="BM264" s="274"/>
      <c r="BN264" s="274"/>
      <c r="BO264" s="274"/>
      <c r="BP264" s="274"/>
      <c r="BQ264" s="274"/>
      <c r="BR264" s="274"/>
      <c r="BS264" s="274"/>
      <c r="BT264" s="274"/>
      <c r="BU264" s="274"/>
      <c r="BV264" s="274"/>
      <c r="BW264" s="274"/>
      <c r="BX264" s="274"/>
      <c r="BY264" s="274"/>
      <c r="BZ264" s="274"/>
      <c r="CA264" s="274"/>
      <c r="CB264" s="274"/>
      <c r="CC264" s="274"/>
      <c r="CD264" s="274"/>
      <c r="CE264" s="274"/>
      <c r="CF264" s="274"/>
      <c r="CG264" s="274"/>
      <c r="CH264" s="274"/>
      <c r="CI264" s="274"/>
      <c r="CJ264" s="274"/>
      <c r="CK264" s="274"/>
      <c r="CL264" s="274"/>
      <c r="CM264" s="274"/>
      <c r="CN264" s="274"/>
      <c r="CO264" s="274"/>
      <c r="CP264" s="274"/>
      <c r="CQ264" s="274"/>
      <c r="CR264" s="274"/>
      <c r="CS264" s="274"/>
      <c r="CT264" s="274"/>
      <c r="CU264" s="274"/>
      <c r="CV264" s="274"/>
      <c r="CW264" s="274"/>
      <c r="CX264" s="274"/>
      <c r="CY264" s="274"/>
      <c r="CZ264" s="274"/>
      <c r="DA264" s="274"/>
      <c r="DB264" s="274"/>
      <c r="DC264" s="274"/>
      <c r="DD264" s="274"/>
      <c r="DE264" s="274"/>
      <c r="DF264" s="274"/>
      <c r="DG264" s="274"/>
      <c r="DH264" s="274"/>
      <c r="DI264" s="274"/>
      <c r="DJ264" s="274"/>
      <c r="DK264" s="274"/>
      <c r="DL264" s="274"/>
      <c r="DM264" s="274"/>
      <c r="DN264" s="274"/>
    </row>
    <row r="265" spans="1:118" s="275" customFormat="1" x14ac:dyDescent="0.25">
      <c r="A265" s="274"/>
      <c r="B265" s="9"/>
      <c r="C265" s="414"/>
      <c r="D265" s="415"/>
      <c r="E265" s="415"/>
      <c r="F265" s="415"/>
      <c r="G265" s="415"/>
      <c r="H265" s="415"/>
      <c r="I265" s="415"/>
      <c r="J265" s="416" t="s">
        <v>333</v>
      </c>
      <c r="K265" s="417"/>
      <c r="L265" s="417"/>
      <c r="M265" s="417"/>
      <c r="N265" s="417"/>
      <c r="O265" s="2396">
        <f>IFERROR(MAX(O257:R261),"n.a")</f>
        <v>0</v>
      </c>
      <c r="P265" s="2396"/>
      <c r="Q265" s="2396"/>
      <c r="R265" s="2397"/>
      <c r="S265" s="9"/>
      <c r="T265" s="274"/>
      <c r="U265" s="274"/>
      <c r="V265" s="274"/>
      <c r="W265" s="274"/>
      <c r="X265" s="274"/>
      <c r="Y265" s="274"/>
      <c r="Z265" s="285"/>
      <c r="AA265" s="286"/>
      <c r="AB265" s="287"/>
      <c r="AC265" s="285"/>
      <c r="AD265" s="285"/>
      <c r="AE265" s="288"/>
      <c r="AF265" s="274"/>
      <c r="AG265" s="498"/>
      <c r="AH265" s="285"/>
      <c r="AI265" s="286"/>
      <c r="AJ265" s="287"/>
      <c r="AK265" s="285"/>
      <c r="AL265" s="285"/>
      <c r="AM265" s="285"/>
      <c r="AN265" s="288"/>
      <c r="AO265" s="274"/>
      <c r="AP265" s="274"/>
      <c r="AQ265" s="274"/>
      <c r="AR265" s="274"/>
      <c r="AS265" s="274"/>
      <c r="AT265" s="274"/>
      <c r="AU265" s="274"/>
      <c r="AV265" s="274"/>
      <c r="AW265" s="274"/>
      <c r="AX265" s="274"/>
      <c r="AY265" s="274"/>
      <c r="AZ265" s="274"/>
      <c r="BA265" s="274"/>
      <c r="BB265" s="274"/>
      <c r="BC265" s="274"/>
      <c r="BD265" s="274"/>
      <c r="BE265" s="274"/>
      <c r="BF265" s="274"/>
      <c r="BG265" s="274"/>
      <c r="BH265" s="274"/>
      <c r="BI265" s="274"/>
      <c r="BJ265" s="274"/>
      <c r="BK265" s="274"/>
      <c r="BL265" s="274"/>
      <c r="BM265" s="274"/>
      <c r="BN265" s="274"/>
      <c r="BO265" s="274"/>
      <c r="BP265" s="274"/>
      <c r="BQ265" s="274"/>
      <c r="BR265" s="274"/>
      <c r="BS265" s="274"/>
      <c r="BT265" s="274"/>
      <c r="BU265" s="274"/>
      <c r="BV265" s="274"/>
      <c r="BW265" s="274"/>
      <c r="BX265" s="274"/>
      <c r="BY265" s="274"/>
      <c r="BZ265" s="274"/>
      <c r="CA265" s="274"/>
      <c r="CB265" s="274"/>
      <c r="CC265" s="274"/>
      <c r="CD265" s="274"/>
      <c r="CE265" s="274"/>
      <c r="CF265" s="274"/>
      <c r="CG265" s="274"/>
      <c r="CH265" s="274"/>
      <c r="CI265" s="274"/>
      <c r="CJ265" s="274"/>
      <c r="CK265" s="274"/>
      <c r="CL265" s="274"/>
      <c r="CM265" s="274"/>
      <c r="CN265" s="274"/>
      <c r="CO265" s="274"/>
      <c r="CP265" s="274"/>
      <c r="CQ265" s="274"/>
      <c r="CR265" s="274"/>
      <c r="CS265" s="274"/>
      <c r="CT265" s="274"/>
      <c r="CU265" s="274"/>
      <c r="CV265" s="274"/>
      <c r="CW265" s="274"/>
      <c r="CX265" s="274"/>
      <c r="CY265" s="274"/>
      <c r="CZ265" s="274"/>
      <c r="DA265" s="274"/>
      <c r="DB265" s="274"/>
      <c r="DC265" s="274"/>
      <c r="DD265" s="274"/>
      <c r="DE265" s="274"/>
      <c r="DF265" s="274"/>
      <c r="DG265" s="274"/>
      <c r="DH265" s="274"/>
      <c r="DI265" s="274"/>
      <c r="DJ265" s="274"/>
      <c r="DK265" s="274"/>
      <c r="DL265" s="274"/>
      <c r="DM265" s="274"/>
      <c r="DN265" s="274"/>
    </row>
    <row r="266" spans="1:118" s="275" customFormat="1" x14ac:dyDescent="0.25">
      <c r="A266" s="274"/>
      <c r="B266" s="9"/>
      <c r="C266" s="199"/>
      <c r="D266" s="199"/>
      <c r="E266" s="199"/>
      <c r="F266" s="199"/>
      <c r="G266" s="199"/>
      <c r="H266" s="199"/>
      <c r="I266" s="199"/>
      <c r="J266" s="199"/>
      <c r="K266" s="661"/>
      <c r="L266" s="17"/>
      <c r="M266" s="17"/>
      <c r="N266" s="17"/>
      <c r="O266" s="17"/>
      <c r="P266" s="17"/>
      <c r="Q266" s="17"/>
      <c r="R266" s="17"/>
      <c r="S266" s="9"/>
      <c r="T266" s="274"/>
      <c r="U266" s="274"/>
      <c r="V266" s="274"/>
      <c r="W266" s="274"/>
      <c r="X266" s="274"/>
      <c r="Y266" s="274"/>
      <c r="Z266" s="285"/>
      <c r="AA266" s="286"/>
      <c r="AB266" s="287"/>
      <c r="AC266" s="285"/>
      <c r="AD266" s="285"/>
      <c r="AE266" s="288"/>
      <c r="AF266" s="274"/>
      <c r="AG266" s="498"/>
      <c r="AH266" s="285"/>
      <c r="AI266" s="286"/>
      <c r="AJ266" s="287"/>
      <c r="AK266" s="285"/>
      <c r="AL266" s="285"/>
      <c r="AM266" s="285"/>
      <c r="AN266" s="288"/>
      <c r="AO266" s="274"/>
      <c r="AP266" s="274"/>
      <c r="AQ266" s="274"/>
      <c r="AR266" s="274"/>
      <c r="AS266" s="274"/>
      <c r="AT266" s="274"/>
      <c r="AU266" s="274"/>
      <c r="AV266" s="274"/>
      <c r="AW266" s="274"/>
      <c r="AX266" s="274"/>
      <c r="AY266" s="274"/>
      <c r="AZ266" s="274"/>
      <c r="BA266" s="274"/>
      <c r="BB266" s="274"/>
      <c r="BC266" s="274"/>
      <c r="BD266" s="274"/>
      <c r="BE266" s="274"/>
      <c r="BF266" s="274"/>
      <c r="BG266" s="274"/>
      <c r="BH266" s="274"/>
      <c r="BI266" s="274"/>
      <c r="BJ266" s="274"/>
      <c r="BK266" s="274"/>
      <c r="BL266" s="274"/>
      <c r="BM266" s="274"/>
      <c r="BN266" s="274"/>
      <c r="BO266" s="274"/>
      <c r="BP266" s="274"/>
      <c r="BQ266" s="274"/>
      <c r="BR266" s="274"/>
      <c r="BS266" s="274"/>
      <c r="BT266" s="274"/>
      <c r="BU266" s="274"/>
      <c r="BV266" s="274"/>
      <c r="BW266" s="274"/>
      <c r="BX266" s="274"/>
      <c r="BY266" s="274"/>
      <c r="BZ266" s="274"/>
      <c r="CA266" s="274"/>
      <c r="CB266" s="274"/>
      <c r="CC266" s="274"/>
      <c r="CD266" s="274"/>
      <c r="CE266" s="274"/>
      <c r="CF266" s="274"/>
      <c r="CG266" s="274"/>
      <c r="CH266" s="274"/>
      <c r="CI266" s="274"/>
      <c r="CJ266" s="274"/>
      <c r="CK266" s="274"/>
      <c r="CL266" s="274"/>
      <c r="CM266" s="274"/>
      <c r="CN266" s="274"/>
      <c r="CO266" s="274"/>
      <c r="CP266" s="274"/>
      <c r="CQ266" s="274"/>
      <c r="CR266" s="274"/>
      <c r="CS266" s="274"/>
      <c r="CT266" s="274"/>
      <c r="CU266" s="274"/>
      <c r="CV266" s="274"/>
      <c r="CW266" s="274"/>
      <c r="CX266" s="274"/>
      <c r="CY266" s="274"/>
      <c r="CZ266" s="274"/>
      <c r="DA266" s="274"/>
      <c r="DB266" s="274"/>
      <c r="DC266" s="274"/>
      <c r="DD266" s="274"/>
      <c r="DE266" s="274"/>
      <c r="DF266" s="274"/>
      <c r="DG266" s="274"/>
      <c r="DH266" s="274"/>
      <c r="DI266" s="274"/>
      <c r="DJ266" s="274"/>
      <c r="DK266" s="274"/>
      <c r="DL266" s="274"/>
      <c r="DM266" s="274"/>
      <c r="DN266" s="274"/>
    </row>
    <row r="267" spans="1:118" s="1667" customFormat="1" hidden="1" x14ac:dyDescent="0.25">
      <c r="A267" s="275"/>
      <c r="B267" s="282"/>
      <c r="C267" s="282"/>
      <c r="D267" s="282"/>
      <c r="E267" s="282"/>
      <c r="F267" s="282"/>
      <c r="G267" s="282"/>
      <c r="H267" s="282"/>
      <c r="I267" s="282"/>
      <c r="J267" s="282"/>
      <c r="K267" s="282"/>
      <c r="L267" s="282"/>
      <c r="M267" s="282"/>
      <c r="N267" s="282"/>
      <c r="O267" s="282"/>
      <c r="P267" s="282"/>
      <c r="Q267" s="282"/>
      <c r="R267" s="282"/>
      <c r="S267" s="282"/>
      <c r="T267" s="275"/>
      <c r="U267" s="282"/>
      <c r="V267" s="275"/>
      <c r="W267" s="275"/>
      <c r="X267" s="275"/>
      <c r="Y267" s="275"/>
      <c r="Z267" s="282"/>
      <c r="AA267" s="282"/>
      <c r="AB267" s="282"/>
      <c r="AC267" s="282"/>
      <c r="AD267" s="282"/>
      <c r="AE267" s="282"/>
      <c r="AF267" s="282"/>
      <c r="AG267" s="275"/>
      <c r="AH267" s="275"/>
      <c r="AI267" s="275"/>
      <c r="AJ267" s="275"/>
      <c r="AK267" s="275"/>
      <c r="AL267" s="275"/>
      <c r="AM267" s="275"/>
      <c r="AN267" s="275"/>
      <c r="AO267" s="275"/>
      <c r="AP267" s="275"/>
      <c r="AQ267" s="275"/>
      <c r="AR267" s="275"/>
      <c r="AS267" s="275"/>
      <c r="AT267" s="275"/>
      <c r="AU267" s="275"/>
      <c r="AV267" s="275"/>
      <c r="AW267" s="275"/>
      <c r="AX267" s="275"/>
      <c r="AY267" s="275"/>
      <c r="AZ267" s="275"/>
      <c r="BA267" s="275"/>
      <c r="BB267" s="275"/>
      <c r="BC267" s="275"/>
      <c r="BD267" s="275"/>
      <c r="BE267" s="275"/>
      <c r="BF267" s="275"/>
      <c r="BG267" s="275"/>
      <c r="BH267" s="275"/>
      <c r="BI267" s="275"/>
      <c r="BJ267" s="275"/>
      <c r="BK267" s="275"/>
      <c r="BL267" s="275"/>
      <c r="BM267" s="275"/>
      <c r="BN267" s="275"/>
      <c r="BO267" s="275"/>
      <c r="BP267" s="275"/>
      <c r="BQ267" s="275"/>
      <c r="BR267" s="275"/>
      <c r="BS267" s="275"/>
      <c r="BT267" s="275"/>
      <c r="BU267" s="275"/>
      <c r="BV267" s="275"/>
      <c r="BW267" s="275"/>
      <c r="BX267" s="275"/>
      <c r="BY267" s="275"/>
      <c r="BZ267" s="275"/>
      <c r="CA267" s="275"/>
      <c r="CB267" s="275"/>
      <c r="CC267" s="275"/>
      <c r="CD267" s="275"/>
      <c r="CE267" s="275"/>
      <c r="CF267" s="275"/>
      <c r="CG267" s="275"/>
      <c r="CH267" s="275"/>
      <c r="CI267" s="275"/>
      <c r="CJ267" s="275"/>
      <c r="CK267" s="275"/>
      <c r="CL267" s="275"/>
      <c r="CM267" s="275"/>
      <c r="CN267" s="275"/>
      <c r="CO267" s="275"/>
      <c r="CP267" s="275"/>
      <c r="CQ267" s="275"/>
      <c r="CR267" s="275"/>
      <c r="CS267" s="275"/>
      <c r="CT267" s="275"/>
      <c r="CU267" s="275"/>
      <c r="CV267" s="275"/>
      <c r="CW267" s="275"/>
      <c r="CX267" s="275"/>
      <c r="CY267" s="275"/>
      <c r="CZ267" s="275"/>
      <c r="DA267" s="275"/>
      <c r="DB267" s="275"/>
      <c r="DC267" s="275"/>
      <c r="DD267" s="275"/>
      <c r="DE267" s="275"/>
      <c r="DF267" s="275"/>
      <c r="DG267" s="275"/>
      <c r="DH267" s="275"/>
      <c r="DI267" s="275"/>
      <c r="DJ267" s="275"/>
      <c r="DK267" s="275"/>
      <c r="DL267" s="275"/>
      <c r="DM267" s="275"/>
      <c r="DN267" s="275"/>
    </row>
    <row r="268" spans="1:118" s="1667" customFormat="1" hidden="1" x14ac:dyDescent="0.25">
      <c r="A268" s="275"/>
      <c r="B268" s="282"/>
      <c r="C268" s="282"/>
      <c r="D268" s="282"/>
      <c r="E268" s="282"/>
      <c r="F268" s="282"/>
      <c r="G268" s="282"/>
      <c r="H268" s="282"/>
      <c r="I268" s="282"/>
      <c r="J268" s="282"/>
      <c r="K268" s="282"/>
      <c r="L268" s="282"/>
      <c r="M268" s="282"/>
      <c r="N268" s="282"/>
      <c r="O268" s="282"/>
      <c r="P268" s="282"/>
      <c r="Q268" s="282"/>
      <c r="R268" s="282"/>
      <c r="S268" s="282"/>
      <c r="T268" s="275"/>
      <c r="U268" s="282"/>
      <c r="V268" s="275"/>
      <c r="W268" s="275"/>
      <c r="X268" s="275"/>
      <c r="Y268" s="275"/>
      <c r="Z268" s="282"/>
      <c r="AA268" s="282"/>
      <c r="AB268" s="282"/>
      <c r="AC268" s="282"/>
      <c r="AD268" s="282"/>
      <c r="AE268" s="282"/>
      <c r="AF268" s="282"/>
      <c r="AG268" s="275"/>
      <c r="AH268" s="275"/>
      <c r="AI268" s="275"/>
      <c r="AJ268" s="275"/>
      <c r="AK268" s="275"/>
      <c r="AL268" s="275"/>
      <c r="AM268" s="275"/>
      <c r="AN268" s="275"/>
      <c r="AO268" s="275"/>
      <c r="AP268" s="275"/>
      <c r="AQ268" s="275"/>
      <c r="AR268" s="275"/>
      <c r="AS268" s="275"/>
      <c r="AT268" s="275"/>
      <c r="AU268" s="275"/>
      <c r="AV268" s="275"/>
      <c r="AW268" s="275"/>
      <c r="AX268" s="275"/>
      <c r="AY268" s="275"/>
      <c r="AZ268" s="275"/>
      <c r="BA268" s="275"/>
      <c r="BB268" s="275"/>
      <c r="BC268" s="275"/>
      <c r="BD268" s="275"/>
      <c r="BE268" s="275"/>
      <c r="BF268" s="275"/>
      <c r="BG268" s="275"/>
      <c r="BH268" s="275"/>
      <c r="BI268" s="275"/>
      <c r="BJ268" s="275"/>
      <c r="BK268" s="275"/>
      <c r="BL268" s="275"/>
      <c r="BM268" s="275"/>
      <c r="BN268" s="275"/>
      <c r="BO268" s="275"/>
      <c r="BP268" s="275"/>
      <c r="BQ268" s="275"/>
      <c r="BR268" s="275"/>
      <c r="BS268" s="275"/>
      <c r="BT268" s="275"/>
      <c r="BU268" s="275"/>
      <c r="BV268" s="275"/>
      <c r="BW268" s="275"/>
      <c r="BX268" s="275"/>
      <c r="BY268" s="275"/>
      <c r="BZ268" s="275"/>
      <c r="CA268" s="275"/>
      <c r="CB268" s="275"/>
      <c r="CC268" s="275"/>
      <c r="CD268" s="275"/>
      <c r="CE268" s="275"/>
      <c r="CF268" s="275"/>
      <c r="CG268" s="275"/>
      <c r="CH268" s="275"/>
      <c r="CI268" s="275"/>
      <c r="CJ268" s="275"/>
      <c r="CK268" s="275"/>
      <c r="CL268" s="275"/>
      <c r="CM268" s="275"/>
      <c r="CN268" s="275"/>
      <c r="CO268" s="275"/>
      <c r="CP268" s="275"/>
      <c r="CQ268" s="275"/>
      <c r="CR268" s="275"/>
      <c r="CS268" s="275"/>
      <c r="CT268" s="275"/>
      <c r="CU268" s="275"/>
      <c r="CV268" s="275"/>
      <c r="CW268" s="275"/>
      <c r="CX268" s="275"/>
      <c r="CY268" s="275"/>
      <c r="CZ268" s="275"/>
      <c r="DA268" s="275"/>
      <c r="DB268" s="275"/>
      <c r="DC268" s="275"/>
      <c r="DD268" s="275"/>
      <c r="DE268" s="275"/>
      <c r="DF268" s="275"/>
      <c r="DG268" s="275"/>
      <c r="DH268" s="275"/>
      <c r="DI268" s="275"/>
      <c r="DJ268" s="275"/>
      <c r="DK268" s="275"/>
      <c r="DL268" s="275"/>
      <c r="DM268" s="275"/>
      <c r="DN268" s="275"/>
    </row>
    <row r="269" spans="1:118" s="1667" customFormat="1" hidden="1" x14ac:dyDescent="0.25">
      <c r="A269" s="275"/>
      <c r="B269" s="282"/>
      <c r="C269" s="282"/>
      <c r="D269" s="282"/>
      <c r="E269" s="282"/>
      <c r="F269" s="282"/>
      <c r="G269" s="282"/>
      <c r="H269" s="282"/>
      <c r="I269" s="282"/>
      <c r="J269" s="282"/>
      <c r="K269" s="282"/>
      <c r="L269" s="282"/>
      <c r="M269" s="282"/>
      <c r="N269" s="282"/>
      <c r="O269" s="282"/>
      <c r="P269" s="282"/>
      <c r="Q269" s="282"/>
      <c r="R269" s="282"/>
      <c r="S269" s="282"/>
      <c r="T269" s="275"/>
      <c r="U269" s="282"/>
      <c r="V269" s="275"/>
      <c r="W269" s="275"/>
      <c r="X269" s="275"/>
      <c r="Y269" s="275"/>
      <c r="Z269" s="282"/>
      <c r="AA269" s="282"/>
      <c r="AB269" s="282"/>
      <c r="AC269" s="282"/>
      <c r="AD269" s="282"/>
      <c r="AE269" s="282"/>
      <c r="AF269" s="282"/>
      <c r="AG269" s="275"/>
      <c r="AH269" s="275"/>
      <c r="AI269" s="275"/>
      <c r="AJ269" s="275"/>
      <c r="AK269" s="275"/>
      <c r="AL269" s="275"/>
      <c r="AM269" s="275"/>
      <c r="AN269" s="275"/>
      <c r="AO269" s="275"/>
      <c r="AP269" s="275"/>
      <c r="AQ269" s="275"/>
      <c r="AR269" s="275"/>
      <c r="AS269" s="275"/>
      <c r="AT269" s="275"/>
      <c r="AU269" s="275"/>
      <c r="AV269" s="275"/>
      <c r="AW269" s="275"/>
      <c r="AX269" s="275"/>
      <c r="AY269" s="275"/>
      <c r="AZ269" s="275"/>
      <c r="BA269" s="275"/>
      <c r="BB269" s="275"/>
      <c r="BC269" s="275"/>
      <c r="BD269" s="275"/>
      <c r="BE269" s="275"/>
      <c r="BF269" s="275"/>
      <c r="BG269" s="275"/>
      <c r="BH269" s="275"/>
      <c r="BI269" s="275"/>
      <c r="BJ269" s="275"/>
      <c r="BK269" s="275"/>
      <c r="BL269" s="275"/>
      <c r="BM269" s="275"/>
      <c r="BN269" s="275"/>
      <c r="BO269" s="275"/>
      <c r="BP269" s="275"/>
      <c r="BQ269" s="275"/>
      <c r="BR269" s="275"/>
      <c r="BS269" s="275"/>
      <c r="BT269" s="275"/>
      <c r="BU269" s="275"/>
      <c r="BV269" s="275"/>
      <c r="BW269" s="275"/>
      <c r="BX269" s="275"/>
      <c r="BY269" s="275"/>
      <c r="BZ269" s="275"/>
      <c r="CA269" s="275"/>
      <c r="CB269" s="275"/>
      <c r="CC269" s="275"/>
      <c r="CD269" s="275"/>
      <c r="CE269" s="275"/>
      <c r="CF269" s="275"/>
      <c r="CG269" s="275"/>
      <c r="CH269" s="275"/>
      <c r="CI269" s="275"/>
      <c r="CJ269" s="275"/>
      <c r="CK269" s="275"/>
      <c r="CL269" s="275"/>
      <c r="CM269" s="275"/>
      <c r="CN269" s="275"/>
      <c r="CO269" s="275"/>
      <c r="CP269" s="275"/>
      <c r="CQ269" s="275"/>
      <c r="CR269" s="275"/>
      <c r="CS269" s="275"/>
      <c r="CT269" s="275"/>
      <c r="CU269" s="275"/>
      <c r="CV269" s="275"/>
      <c r="CW269" s="275"/>
      <c r="CX269" s="275"/>
      <c r="CY269" s="275"/>
      <c r="CZ269" s="275"/>
      <c r="DA269" s="275"/>
      <c r="DB269" s="275"/>
      <c r="DC269" s="275"/>
      <c r="DD269" s="275"/>
      <c r="DE269" s="275"/>
      <c r="DF269" s="275"/>
      <c r="DG269" s="275"/>
      <c r="DH269" s="275"/>
      <c r="DI269" s="275"/>
      <c r="DJ269" s="275"/>
      <c r="DK269" s="275"/>
      <c r="DL269" s="275"/>
      <c r="DM269" s="275"/>
      <c r="DN269" s="275"/>
    </row>
    <row r="270" spans="1:118" s="1667" customFormat="1" hidden="1" x14ac:dyDescent="0.25">
      <c r="B270" s="1663"/>
      <c r="BZ270" s="1691" t="s">
        <v>1080</v>
      </c>
      <c r="CI270" s="1691" t="s">
        <v>1081</v>
      </c>
      <c r="CR270" s="1691" t="s">
        <v>1082</v>
      </c>
      <c r="DA270" s="1691" t="s">
        <v>1083</v>
      </c>
    </row>
    <row r="271" spans="1:118" s="1667" customFormat="1" hidden="1" x14ac:dyDescent="0.25">
      <c r="B271" s="1663"/>
      <c r="BZ271" s="1692" t="str">
        <f>$AA$256</f>
        <v>n.a</v>
      </c>
      <c r="CA271" s="1693">
        <f>CB271-SCENARIOS!$V$15</f>
        <v>0</v>
      </c>
      <c r="CB271" s="1693">
        <f>CC271-SCENARIOS!$V$15</f>
        <v>0</v>
      </c>
      <c r="CC271" s="1693">
        <f>CD271-SCENARIOS!$V$15</f>
        <v>0</v>
      </c>
      <c r="CD271" s="1693">
        <f>SCENARIOS!$J$15</f>
        <v>0</v>
      </c>
      <c r="CE271" s="1693">
        <f>CD271+SCENARIOS!$V$15</f>
        <v>0</v>
      </c>
      <c r="CF271" s="1693">
        <f>CE271+SCENARIOS!$V$15</f>
        <v>0</v>
      </c>
      <c r="CG271" s="1693">
        <f>CF271+SCENARIOS!$V$15</f>
        <v>0</v>
      </c>
      <c r="CI271" s="1692">
        <f>$AA$245</f>
        <v>0</v>
      </c>
      <c r="CJ271" s="1693">
        <f>CK271-SCENARIOS!$V$15</f>
        <v>0</v>
      </c>
      <c r="CK271" s="1693">
        <f>CL271-SCENARIOS!$V$15</f>
        <v>0</v>
      </c>
      <c r="CL271" s="1693">
        <f>CM271-SCENARIOS!$V$15</f>
        <v>0</v>
      </c>
      <c r="CM271" s="1693">
        <f>SCENARIOS!$J$15</f>
        <v>0</v>
      </c>
      <c r="CN271" s="1693">
        <f>CM271+SCENARIOS!$V$15</f>
        <v>0</v>
      </c>
      <c r="CO271" s="1693">
        <f>CN271+SCENARIOS!$V$15</f>
        <v>0</v>
      </c>
      <c r="CP271" s="1693">
        <f>CO271+SCENARIOS!$V$15</f>
        <v>0</v>
      </c>
      <c r="CR271" s="1692">
        <f>COC_value</f>
        <v>0</v>
      </c>
      <c r="CS271" s="1693">
        <f>CT271-SCENARIOS!$V$15</f>
        <v>0</v>
      </c>
      <c r="CT271" s="1693">
        <f>CU271-SCENARIOS!$V$15</f>
        <v>0</v>
      </c>
      <c r="CU271" s="1693">
        <f>CV271-SCENARIOS!$V$15</f>
        <v>0</v>
      </c>
      <c r="CV271" s="1693">
        <f>SCENARIOS!$J$15</f>
        <v>0</v>
      </c>
      <c r="CW271" s="1693">
        <f>CV271+SCENARIOS!$V$15</f>
        <v>0</v>
      </c>
      <c r="CX271" s="1693">
        <f>CW271+SCENARIOS!$V$15</f>
        <v>0</v>
      </c>
      <c r="CY271" s="1693">
        <f>CX271+SCENARIOS!$V$15</f>
        <v>0</v>
      </c>
      <c r="CZ271" s="1693"/>
      <c r="DA271" s="1693">
        <f>CF_value</f>
        <v>0</v>
      </c>
      <c r="DB271" s="1693">
        <f>DC271-SCENARIOS!$V$15</f>
        <v>0</v>
      </c>
      <c r="DC271" s="1693">
        <f>DD271-SCENARIOS!$V$15</f>
        <v>0</v>
      </c>
      <c r="DD271" s="1693">
        <f>DE271-SCENARIOS!$V$15</f>
        <v>0</v>
      </c>
      <c r="DE271" s="1693">
        <f>SCENARIOS!$J$15</f>
        <v>0</v>
      </c>
      <c r="DF271" s="1693">
        <f>DE271+SCENARIOS!$V$15</f>
        <v>0</v>
      </c>
      <c r="DG271" s="1693">
        <f>DF271+SCENARIOS!$V$15</f>
        <v>0</v>
      </c>
      <c r="DH271" s="1693">
        <f>DG271+SCENARIOS!$V$15</f>
        <v>0</v>
      </c>
    </row>
    <row r="272" spans="1:118" s="1667" customFormat="1" hidden="1" x14ac:dyDescent="0.25">
      <c r="B272" s="1663"/>
      <c r="BZ272" s="1693">
        <f>BZ273-SCENARIOS!$BB$15</f>
        <v>0</v>
      </c>
      <c r="CA272" s="1692" t="str">
        <f t="dataTable" ref="CA272:CG278" dt2D="1" dtr="1" r1="AQ140" r2="D27" ca="1"/>
        <v>n.a</v>
      </c>
      <c r="CB272" s="1692" t="str">
        <v>n.a</v>
      </c>
      <c r="CC272" s="1692" t="str">
        <v>n.a</v>
      </c>
      <c r="CD272" s="1692" t="str">
        <v>n.a</v>
      </c>
      <c r="CE272" s="1692" t="str">
        <v>n.a</v>
      </c>
      <c r="CF272" s="1692" t="str">
        <v>n.a</v>
      </c>
      <c r="CG272" s="1692" t="str">
        <v>n.a</v>
      </c>
      <c r="CI272" s="1693">
        <f>CI273-SCENARIOS!$BB$15</f>
        <v>0</v>
      </c>
      <c r="CJ272" s="1692">
        <f t="dataTable" ref="CJ272:CP278" dt2D="1" dtr="1" r1="AQ140" r2="D27" ca="1"/>
        <v>0</v>
      </c>
      <c r="CK272" s="1692">
        <v>0</v>
      </c>
      <c r="CL272" s="1692">
        <v>0</v>
      </c>
      <c r="CM272" s="1692">
        <v>0</v>
      </c>
      <c r="CN272" s="1692">
        <v>0</v>
      </c>
      <c r="CO272" s="1692">
        <v>0</v>
      </c>
      <c r="CP272" s="1692">
        <v>0</v>
      </c>
      <c r="CR272" s="1693">
        <f>CR273-SCENARIOS!$BB$15</f>
        <v>0</v>
      </c>
      <c r="CS272" s="1692">
        <f t="dataTable" ref="CS272:CY278" dt2D="1" dtr="1" r1="AQ140" r2="D27" ca="1"/>
        <v>0</v>
      </c>
      <c r="CT272" s="1692">
        <v>0</v>
      </c>
      <c r="CU272" s="1692">
        <v>0</v>
      </c>
      <c r="CV272" s="1692">
        <v>0</v>
      </c>
      <c r="CW272" s="1692">
        <v>0</v>
      </c>
      <c r="CX272" s="1692">
        <v>0</v>
      </c>
      <c r="CY272" s="1692">
        <v>0</v>
      </c>
      <c r="DA272" s="1693">
        <f>DA273-SCENARIOS!$BB$15</f>
        <v>0</v>
      </c>
      <c r="DB272" s="1693">
        <f t="dataTable" ref="DB272:DH278" dt2D="1" dtr="1" r1="AQ140" r2="D27" ca="1"/>
        <v>0</v>
      </c>
      <c r="DC272" s="1693">
        <v>0</v>
      </c>
      <c r="DD272" s="1693">
        <v>0</v>
      </c>
      <c r="DE272" s="1693">
        <v>0</v>
      </c>
      <c r="DF272" s="1693">
        <v>0</v>
      </c>
      <c r="DG272" s="1693">
        <v>0</v>
      </c>
      <c r="DH272" s="1693">
        <v>0</v>
      </c>
    </row>
    <row r="273" spans="2:112" s="1667" customFormat="1" hidden="1" x14ac:dyDescent="0.25">
      <c r="B273" s="1663"/>
      <c r="BZ273" s="1693">
        <f>BZ274-SCENARIOS!$BB$15</f>
        <v>0</v>
      </c>
      <c r="CA273" s="1692" t="str">
        <v>n.a</v>
      </c>
      <c r="CB273" s="1692" t="str">
        <v>n.a</v>
      </c>
      <c r="CC273" s="1692" t="str">
        <v>n.a</v>
      </c>
      <c r="CD273" s="1692" t="str">
        <v>n.a</v>
      </c>
      <c r="CE273" s="1692" t="str">
        <v>n.a</v>
      </c>
      <c r="CF273" s="1692" t="str">
        <v>n.a</v>
      </c>
      <c r="CG273" s="1692" t="str">
        <v>n.a</v>
      </c>
      <c r="CI273" s="1693">
        <f>CI274-SCENARIOS!$BB$15</f>
        <v>0</v>
      </c>
      <c r="CJ273" s="1692">
        <v>0</v>
      </c>
      <c r="CK273" s="1692">
        <v>0</v>
      </c>
      <c r="CL273" s="1692">
        <v>0</v>
      </c>
      <c r="CM273" s="1692">
        <v>0</v>
      </c>
      <c r="CN273" s="1692">
        <v>0</v>
      </c>
      <c r="CO273" s="1692">
        <v>0</v>
      </c>
      <c r="CP273" s="1692">
        <v>0</v>
      </c>
      <c r="CR273" s="1693">
        <f>CR274-SCENARIOS!$BB$15</f>
        <v>0</v>
      </c>
      <c r="CS273" s="1692">
        <v>0</v>
      </c>
      <c r="CT273" s="1692">
        <v>0</v>
      </c>
      <c r="CU273" s="1692">
        <v>0</v>
      </c>
      <c r="CV273" s="1692">
        <v>0</v>
      </c>
      <c r="CW273" s="1692">
        <v>0</v>
      </c>
      <c r="CX273" s="1692">
        <v>0</v>
      </c>
      <c r="CY273" s="1692">
        <v>0</v>
      </c>
      <c r="DA273" s="1693">
        <f>DA274-SCENARIOS!$BB$15</f>
        <v>0</v>
      </c>
      <c r="DB273" s="1693">
        <v>0</v>
      </c>
      <c r="DC273" s="1693">
        <v>0</v>
      </c>
      <c r="DD273" s="1693">
        <v>0</v>
      </c>
      <c r="DE273" s="1693">
        <v>0</v>
      </c>
      <c r="DF273" s="1693">
        <v>0</v>
      </c>
      <c r="DG273" s="1693">
        <v>0</v>
      </c>
      <c r="DH273" s="1693">
        <v>0</v>
      </c>
    </row>
    <row r="274" spans="2:112" s="1667" customFormat="1" hidden="1" x14ac:dyDescent="0.25">
      <c r="B274" s="1663"/>
      <c r="BZ274" s="1693">
        <f>BZ275-SCENARIOS!$BB$15</f>
        <v>0</v>
      </c>
      <c r="CA274" s="1692" t="str">
        <v>n.a</v>
      </c>
      <c r="CB274" s="1692" t="str">
        <v>n.a</v>
      </c>
      <c r="CC274" s="1692" t="str">
        <v>n.a</v>
      </c>
      <c r="CD274" s="1692" t="str">
        <v>n.a</v>
      </c>
      <c r="CE274" s="1692" t="str">
        <v>n.a</v>
      </c>
      <c r="CF274" s="1692" t="str">
        <v>n.a</v>
      </c>
      <c r="CG274" s="1692" t="str">
        <v>n.a</v>
      </c>
      <c r="CI274" s="1693">
        <f>CI275-SCENARIOS!$BB$15</f>
        <v>0</v>
      </c>
      <c r="CJ274" s="1692">
        <v>0</v>
      </c>
      <c r="CK274" s="1692">
        <v>0</v>
      </c>
      <c r="CL274" s="1692">
        <v>0</v>
      </c>
      <c r="CM274" s="1692">
        <v>0</v>
      </c>
      <c r="CN274" s="1692">
        <v>0</v>
      </c>
      <c r="CO274" s="1692">
        <v>0</v>
      </c>
      <c r="CP274" s="1692">
        <v>0</v>
      </c>
      <c r="CR274" s="1693">
        <f>CR275-SCENARIOS!$BB$15</f>
        <v>0</v>
      </c>
      <c r="CS274" s="1692">
        <v>0</v>
      </c>
      <c r="CT274" s="1692">
        <v>0</v>
      </c>
      <c r="CU274" s="1692">
        <v>0</v>
      </c>
      <c r="CV274" s="1692">
        <v>0</v>
      </c>
      <c r="CW274" s="1692">
        <v>0</v>
      </c>
      <c r="CX274" s="1692">
        <v>0</v>
      </c>
      <c r="CY274" s="1692">
        <v>0</v>
      </c>
      <c r="DA274" s="1693">
        <f>DA275-SCENARIOS!$BB$15</f>
        <v>0</v>
      </c>
      <c r="DB274" s="1693">
        <v>0</v>
      </c>
      <c r="DC274" s="1693">
        <v>0</v>
      </c>
      <c r="DD274" s="1693">
        <v>0</v>
      </c>
      <c r="DE274" s="1693">
        <v>0</v>
      </c>
      <c r="DF274" s="1693">
        <v>0</v>
      </c>
      <c r="DG274" s="1693">
        <v>0</v>
      </c>
      <c r="DH274" s="1693">
        <v>0</v>
      </c>
    </row>
    <row r="275" spans="2:112" s="1667" customFormat="1" hidden="1" x14ac:dyDescent="0.25">
      <c r="B275" s="1663"/>
      <c r="BZ275" s="1693">
        <f>SCENARIOS!$AO$15</f>
        <v>0</v>
      </c>
      <c r="CA275" s="1692" t="str">
        <v>n.a</v>
      </c>
      <c r="CB275" s="1692" t="str">
        <v>n.a</v>
      </c>
      <c r="CC275" s="1692" t="str">
        <v>n.a</v>
      </c>
      <c r="CD275" s="1692" t="str">
        <v>n.a</v>
      </c>
      <c r="CE275" s="1692" t="str">
        <v>n.a</v>
      </c>
      <c r="CF275" s="1692" t="str">
        <v>n.a</v>
      </c>
      <c r="CG275" s="1692" t="str">
        <v>n.a</v>
      </c>
      <c r="CI275" s="1693">
        <f>SCENARIOS!$AO$15</f>
        <v>0</v>
      </c>
      <c r="CJ275" s="1692">
        <v>0</v>
      </c>
      <c r="CK275" s="1692">
        <v>0</v>
      </c>
      <c r="CL275" s="1692">
        <v>0</v>
      </c>
      <c r="CM275" s="1692">
        <v>0</v>
      </c>
      <c r="CN275" s="1692">
        <v>0</v>
      </c>
      <c r="CO275" s="1692">
        <v>0</v>
      </c>
      <c r="CP275" s="1692">
        <v>0</v>
      </c>
      <c r="CR275" s="1693">
        <f>SCENARIOS!$AO$15</f>
        <v>0</v>
      </c>
      <c r="CS275" s="1692">
        <v>0</v>
      </c>
      <c r="CT275" s="1692">
        <v>0</v>
      </c>
      <c r="CU275" s="1692">
        <v>0</v>
      </c>
      <c r="CV275" s="1692">
        <v>0</v>
      </c>
      <c r="CW275" s="1692">
        <v>0</v>
      </c>
      <c r="CX275" s="1692">
        <v>0</v>
      </c>
      <c r="CY275" s="1692">
        <v>0</v>
      </c>
      <c r="DA275" s="1693">
        <f>SCENARIOS!$AO$15</f>
        <v>0</v>
      </c>
      <c r="DB275" s="1693">
        <v>0</v>
      </c>
      <c r="DC275" s="1693">
        <v>0</v>
      </c>
      <c r="DD275" s="1693">
        <v>0</v>
      </c>
      <c r="DE275" s="1693">
        <v>0</v>
      </c>
      <c r="DF275" s="1693">
        <v>0</v>
      </c>
      <c r="DG275" s="1693">
        <v>0</v>
      </c>
      <c r="DH275" s="1693">
        <v>0</v>
      </c>
    </row>
    <row r="276" spans="2:112" s="1667" customFormat="1" hidden="1" x14ac:dyDescent="0.25">
      <c r="B276" s="1663"/>
      <c r="BZ276" s="1693">
        <f>BZ275+SCENARIOS!$BB$15</f>
        <v>0</v>
      </c>
      <c r="CA276" s="1692" t="str">
        <v>n.a</v>
      </c>
      <c r="CB276" s="1692" t="str">
        <v>n.a</v>
      </c>
      <c r="CC276" s="1692" t="str">
        <v>n.a</v>
      </c>
      <c r="CD276" s="1692" t="str">
        <v>n.a</v>
      </c>
      <c r="CE276" s="1692" t="str">
        <v>n.a</v>
      </c>
      <c r="CF276" s="1692" t="str">
        <v>n.a</v>
      </c>
      <c r="CG276" s="1692" t="str">
        <v>n.a</v>
      </c>
      <c r="CI276" s="1693">
        <f>CI275+SCENARIOS!$BB$15</f>
        <v>0</v>
      </c>
      <c r="CJ276" s="1692">
        <v>0</v>
      </c>
      <c r="CK276" s="1692">
        <v>0</v>
      </c>
      <c r="CL276" s="1692">
        <v>0</v>
      </c>
      <c r="CM276" s="1692">
        <v>0</v>
      </c>
      <c r="CN276" s="1692">
        <v>0</v>
      </c>
      <c r="CO276" s="1692">
        <v>0</v>
      </c>
      <c r="CP276" s="1692">
        <v>0</v>
      </c>
      <c r="CR276" s="1693">
        <f>CR275+SCENARIOS!$BB$15</f>
        <v>0</v>
      </c>
      <c r="CS276" s="1692">
        <v>0</v>
      </c>
      <c r="CT276" s="1692">
        <v>0</v>
      </c>
      <c r="CU276" s="1692">
        <v>0</v>
      </c>
      <c r="CV276" s="1692">
        <v>0</v>
      </c>
      <c r="CW276" s="1692">
        <v>0</v>
      </c>
      <c r="CX276" s="1692">
        <v>0</v>
      </c>
      <c r="CY276" s="1692">
        <v>0</v>
      </c>
      <c r="DA276" s="1693">
        <f>DA275+SCENARIOS!$BB$15</f>
        <v>0</v>
      </c>
      <c r="DB276" s="1693">
        <v>0</v>
      </c>
      <c r="DC276" s="1693">
        <v>0</v>
      </c>
      <c r="DD276" s="1693">
        <v>0</v>
      </c>
      <c r="DE276" s="1693">
        <v>0</v>
      </c>
      <c r="DF276" s="1693">
        <v>0</v>
      </c>
      <c r="DG276" s="1693">
        <v>0</v>
      </c>
      <c r="DH276" s="1693">
        <v>0</v>
      </c>
    </row>
    <row r="277" spans="2:112" s="1667" customFormat="1" hidden="1" x14ac:dyDescent="0.25">
      <c r="B277" s="1663"/>
      <c r="BZ277" s="1693">
        <f>BZ276+SCENARIOS!$BB$15</f>
        <v>0</v>
      </c>
      <c r="CA277" s="1692" t="str">
        <v>n.a</v>
      </c>
      <c r="CB277" s="1692" t="str">
        <v>n.a</v>
      </c>
      <c r="CC277" s="1692" t="str">
        <v>n.a</v>
      </c>
      <c r="CD277" s="1692" t="str">
        <v>n.a</v>
      </c>
      <c r="CE277" s="1692" t="str">
        <v>n.a</v>
      </c>
      <c r="CF277" s="1692" t="str">
        <v>n.a</v>
      </c>
      <c r="CG277" s="1692" t="str">
        <v>n.a</v>
      </c>
      <c r="CI277" s="1693">
        <f>CI276+SCENARIOS!$BB$15</f>
        <v>0</v>
      </c>
      <c r="CJ277" s="1692">
        <v>0</v>
      </c>
      <c r="CK277" s="1692">
        <v>0</v>
      </c>
      <c r="CL277" s="1692">
        <v>0</v>
      </c>
      <c r="CM277" s="1692">
        <v>0</v>
      </c>
      <c r="CN277" s="1692">
        <v>0</v>
      </c>
      <c r="CO277" s="1692">
        <v>0</v>
      </c>
      <c r="CP277" s="1692">
        <v>0</v>
      </c>
      <c r="CR277" s="1693">
        <f>CR276+SCENARIOS!$BB$15</f>
        <v>0</v>
      </c>
      <c r="CS277" s="1692">
        <v>0</v>
      </c>
      <c r="CT277" s="1692">
        <v>0</v>
      </c>
      <c r="CU277" s="1692">
        <v>0</v>
      </c>
      <c r="CV277" s="1692">
        <v>0</v>
      </c>
      <c r="CW277" s="1692">
        <v>0</v>
      </c>
      <c r="CX277" s="1692">
        <v>0</v>
      </c>
      <c r="CY277" s="1692">
        <v>0</v>
      </c>
      <c r="DA277" s="1693">
        <f>DA276+SCENARIOS!$BB$15</f>
        <v>0</v>
      </c>
      <c r="DB277" s="1693">
        <v>0</v>
      </c>
      <c r="DC277" s="1693">
        <v>0</v>
      </c>
      <c r="DD277" s="1693">
        <v>0</v>
      </c>
      <c r="DE277" s="1693">
        <v>0</v>
      </c>
      <c r="DF277" s="1693">
        <v>0</v>
      </c>
      <c r="DG277" s="1693">
        <v>0</v>
      </c>
      <c r="DH277" s="1693">
        <v>0</v>
      </c>
    </row>
    <row r="278" spans="2:112" s="1667" customFormat="1" hidden="1" x14ac:dyDescent="0.25">
      <c r="B278" s="1663"/>
      <c r="BZ278" s="1693">
        <f>BZ277+SCENARIOS!$BB$15</f>
        <v>0</v>
      </c>
      <c r="CA278" s="1692" t="str">
        <v>n.a</v>
      </c>
      <c r="CB278" s="1692" t="str">
        <v>n.a</v>
      </c>
      <c r="CC278" s="1692" t="str">
        <v>n.a</v>
      </c>
      <c r="CD278" s="1692" t="str">
        <v>n.a</v>
      </c>
      <c r="CE278" s="1692" t="str">
        <v>n.a</v>
      </c>
      <c r="CF278" s="1692" t="str">
        <v>n.a</v>
      </c>
      <c r="CG278" s="1692" t="str">
        <v>n.a</v>
      </c>
      <c r="CI278" s="1693">
        <f>CI277+SCENARIOS!$BB$15</f>
        <v>0</v>
      </c>
      <c r="CJ278" s="1692">
        <v>0</v>
      </c>
      <c r="CK278" s="1692">
        <v>0</v>
      </c>
      <c r="CL278" s="1692">
        <v>0</v>
      </c>
      <c r="CM278" s="1692">
        <v>0</v>
      </c>
      <c r="CN278" s="1692">
        <v>0</v>
      </c>
      <c r="CO278" s="1692">
        <v>0</v>
      </c>
      <c r="CP278" s="1692">
        <v>0</v>
      </c>
      <c r="CR278" s="1693">
        <f>CR277+SCENARIOS!$BB$15</f>
        <v>0</v>
      </c>
      <c r="CS278" s="1692">
        <v>0</v>
      </c>
      <c r="CT278" s="1692">
        <v>0</v>
      </c>
      <c r="CU278" s="1692">
        <v>0</v>
      </c>
      <c r="CV278" s="1692">
        <v>0</v>
      </c>
      <c r="CW278" s="1692">
        <v>0</v>
      </c>
      <c r="CX278" s="1692">
        <v>0</v>
      </c>
      <c r="CY278" s="1692">
        <v>0</v>
      </c>
      <c r="DA278" s="1693">
        <f>DA277+SCENARIOS!$BB$15</f>
        <v>0</v>
      </c>
      <c r="DB278" s="1693">
        <v>0</v>
      </c>
      <c r="DC278" s="1693">
        <v>0</v>
      </c>
      <c r="DD278" s="1693">
        <v>0</v>
      </c>
      <c r="DE278" s="1693">
        <v>0</v>
      </c>
      <c r="DF278" s="1693">
        <v>0</v>
      </c>
      <c r="DG278" s="1693">
        <v>0</v>
      </c>
      <c r="DH278" s="1693">
        <v>0</v>
      </c>
    </row>
    <row r="279" spans="2:112" s="1667" customFormat="1" hidden="1" x14ac:dyDescent="0.25">
      <c r="B279" s="1663"/>
      <c r="C279" s="1663"/>
      <c r="D279" s="1663"/>
      <c r="E279" s="1663"/>
      <c r="F279" s="1663"/>
      <c r="G279" s="1663"/>
      <c r="H279" s="1663"/>
      <c r="I279" s="1663"/>
      <c r="J279" s="1663"/>
      <c r="K279" s="1663"/>
      <c r="L279" s="1663"/>
      <c r="M279" s="1663"/>
      <c r="N279" s="1663"/>
      <c r="O279" s="1663"/>
      <c r="P279" s="1663"/>
      <c r="Q279" s="1663"/>
      <c r="R279" s="1663"/>
      <c r="S279" s="1663"/>
      <c r="U279" s="1663"/>
      <c r="Z279" s="1663"/>
      <c r="AA279" s="1663"/>
      <c r="AB279" s="1663"/>
      <c r="AC279" s="1663"/>
      <c r="AD279" s="1663"/>
      <c r="AE279" s="1663"/>
      <c r="AF279" s="1663"/>
    </row>
    <row r="280" spans="2:112" s="1667" customFormat="1" hidden="1" x14ac:dyDescent="0.25">
      <c r="B280" s="1663"/>
      <c r="BZ280" s="1691" t="s">
        <v>471</v>
      </c>
      <c r="CI280" s="1691" t="s">
        <v>1093</v>
      </c>
      <c r="CR280" s="1691" t="s">
        <v>1071</v>
      </c>
      <c r="DA280" s="1691" t="s">
        <v>1072</v>
      </c>
    </row>
    <row r="281" spans="2:112" s="1667" customFormat="1" hidden="1" x14ac:dyDescent="0.25">
      <c r="B281" s="1663"/>
      <c r="BZ281" s="1694" t="str">
        <f>$AA$256</f>
        <v>n.a</v>
      </c>
      <c r="CA281" s="1695">
        <f>CB281-SCENARIOS!$BC$67</f>
        <v>0</v>
      </c>
      <c r="CB281" s="1695">
        <f>CC281-SCENARIOS!$BC$67</f>
        <v>0</v>
      </c>
      <c r="CC281" s="1695">
        <f>CD281-SCENARIOS!$BC$67</f>
        <v>0</v>
      </c>
      <c r="CD281" s="1695">
        <f>SCENARIOS!$AR$67</f>
        <v>0</v>
      </c>
      <c r="CE281" s="1695">
        <f>CD281+SCENARIOS!$BC$67</f>
        <v>0</v>
      </c>
      <c r="CF281" s="1695">
        <f>CE281+SCENARIOS!$BC$67</f>
        <v>0</v>
      </c>
      <c r="CG281" s="1695">
        <f>CF281+SCENARIOS!$BC$67</f>
        <v>0</v>
      </c>
      <c r="CI281" s="1693">
        <f>AD89</f>
        <v>1090.7326605107758</v>
      </c>
      <c r="CJ281" s="1696">
        <f>CK281-SCENARIOS!$BC$67</f>
        <v>0</v>
      </c>
      <c r="CK281" s="1696">
        <f>CL281-SCENARIOS!$BC$67</f>
        <v>0</v>
      </c>
      <c r="CL281" s="1696">
        <f>CM281-SCENARIOS!$BC$67</f>
        <v>0</v>
      </c>
      <c r="CM281" s="1696">
        <f>SCENARIOS!$AR$67</f>
        <v>0</v>
      </c>
      <c r="CN281" s="1696">
        <f>CM281+SCENARIOS!$BC$67</f>
        <v>0</v>
      </c>
      <c r="CO281" s="1696">
        <f>CN281+SCENARIOS!$BC$67</f>
        <v>0</v>
      </c>
      <c r="CP281" s="1696">
        <f>CO281+SCENARIOS!$BC$67</f>
        <v>0</v>
      </c>
      <c r="CR281" s="1692">
        <f>COC_value</f>
        <v>0</v>
      </c>
      <c r="CS281" s="1696">
        <f>CT281-SCENARIOS!$BC$67</f>
        <v>0</v>
      </c>
      <c r="CT281" s="1696">
        <f>CU281-SCENARIOS!$BC$67</f>
        <v>0</v>
      </c>
      <c r="CU281" s="1696">
        <f>CV281-SCENARIOS!$BC$67</f>
        <v>0</v>
      </c>
      <c r="CV281" s="1696">
        <f>SCENARIOS!$AR$67</f>
        <v>0</v>
      </c>
      <c r="CW281" s="1696">
        <f>CV281+SCENARIOS!$BC$67</f>
        <v>0</v>
      </c>
      <c r="CX281" s="1696">
        <f>CW281+SCENARIOS!$BC$67</f>
        <v>0</v>
      </c>
      <c r="CY281" s="1696">
        <f>CX281+SCENARIOS!$BC$67</f>
        <v>0</v>
      </c>
      <c r="DA281" s="1693">
        <f>CF_value</f>
        <v>0</v>
      </c>
      <c r="DB281" s="1696">
        <f>DC281-SCENARIOS!$BC$67</f>
        <v>0</v>
      </c>
      <c r="DC281" s="1696">
        <f>DD281-SCENARIOS!$BC$67</f>
        <v>0</v>
      </c>
      <c r="DD281" s="1696">
        <f>DE281-SCENARIOS!$BC$67</f>
        <v>0</v>
      </c>
      <c r="DE281" s="1696">
        <f>SCENARIOS!$AR$67</f>
        <v>0</v>
      </c>
      <c r="DF281" s="1696">
        <f>DE281+SCENARIOS!$BC$67</f>
        <v>0</v>
      </c>
      <c r="DG281" s="1696">
        <f>DF281+SCENARIOS!$BC$67</f>
        <v>0</v>
      </c>
      <c r="DH281" s="1696">
        <f>DG281+SCENARIOS!$BC$67</f>
        <v>0</v>
      </c>
    </row>
    <row r="282" spans="2:112" s="1667" customFormat="1" hidden="1" x14ac:dyDescent="0.25">
      <c r="B282" s="1663"/>
      <c r="BZ282" s="1697">
        <f>BZ283-SCENARIOS!$W$67</f>
        <v>0</v>
      </c>
      <c r="CA282" s="1692" t="str">
        <f t="dataTable" ref="CA282:CG288" dt2D="1" dtr="1" r1="O88" r2="K80" ca="1"/>
        <v>n.a</v>
      </c>
      <c r="CB282" s="1692" t="str">
        <v>n.a</v>
      </c>
      <c r="CC282" s="1692" t="str">
        <v>n.a</v>
      </c>
      <c r="CD282" s="1692" t="str">
        <v>n.a</v>
      </c>
      <c r="CE282" s="1692" t="str">
        <v>n.a</v>
      </c>
      <c r="CF282" s="1692" t="str">
        <v>n.a</v>
      </c>
      <c r="CG282" s="1692" t="str">
        <v>n.a</v>
      </c>
      <c r="CI282" s="1698">
        <f>CI283-SCENARIOS!$W$67</f>
        <v>0</v>
      </c>
      <c r="CJ282" s="1693">
        <f t="dataTable" ref="CJ282:CP288" dt2D="1" dtr="1" r1="O88" r2="K80" ca="1"/>
        <v>1122.6377597675421</v>
      </c>
      <c r="CK282" s="1693">
        <v>1122.6377597675421</v>
      </c>
      <c r="CL282" s="1693">
        <v>1122.6377597675421</v>
      </c>
      <c r="CM282" s="1693">
        <v>1122.6377597675421</v>
      </c>
      <c r="CN282" s="1693">
        <v>1122.6377597675421</v>
      </c>
      <c r="CO282" s="1693">
        <v>1122.6377597675421</v>
      </c>
      <c r="CP282" s="1693">
        <v>1122.6377597675421</v>
      </c>
      <c r="CR282" s="1698">
        <f>CR283-SCENARIOS!$W$67</f>
        <v>0</v>
      </c>
      <c r="CS282" s="1692">
        <f t="dataTable" ref="CS282:CY288" dt2D="1" dtr="1" r1="O88" r2="K80" ca="1"/>
        <v>0</v>
      </c>
      <c r="CT282" s="1692">
        <v>0</v>
      </c>
      <c r="CU282" s="1692">
        <v>0</v>
      </c>
      <c r="CV282" s="1692">
        <v>0</v>
      </c>
      <c r="CW282" s="1692">
        <v>0</v>
      </c>
      <c r="CX282" s="1692">
        <v>0</v>
      </c>
      <c r="CY282" s="1692">
        <v>0</v>
      </c>
      <c r="DA282" s="1698">
        <f>DA283-SCENARIOS!$W$67</f>
        <v>0</v>
      </c>
      <c r="DB282" s="1693">
        <f t="dataTable" ref="DB282:DH288" dt2D="1" dtr="1" r1="O88" r2="K80" ca="1"/>
        <v>0</v>
      </c>
      <c r="DC282" s="1693">
        <v>0</v>
      </c>
      <c r="DD282" s="1693">
        <v>0</v>
      </c>
      <c r="DE282" s="1693">
        <v>0</v>
      </c>
      <c r="DF282" s="1693">
        <v>0</v>
      </c>
      <c r="DG282" s="1693">
        <v>0</v>
      </c>
      <c r="DH282" s="1693">
        <v>0</v>
      </c>
    </row>
    <row r="283" spans="2:112" s="1667" customFormat="1" hidden="1" x14ac:dyDescent="0.25">
      <c r="B283" s="1663"/>
      <c r="BZ283" s="1697">
        <f>BZ284-SCENARIOS!$W$67</f>
        <v>0</v>
      </c>
      <c r="CA283" s="1692" t="str">
        <v>n.a</v>
      </c>
      <c r="CB283" s="1692" t="str">
        <v>n.a</v>
      </c>
      <c r="CC283" s="1692" t="str">
        <v>n.a</v>
      </c>
      <c r="CD283" s="1692" t="str">
        <v>n.a</v>
      </c>
      <c r="CE283" s="1692" t="str">
        <v>n.a</v>
      </c>
      <c r="CF283" s="1692" t="str">
        <v>n.a</v>
      </c>
      <c r="CG283" s="1692" t="str">
        <v>n.a</v>
      </c>
      <c r="CI283" s="1698">
        <f>CI284-SCENARIOS!$W$67</f>
        <v>0</v>
      </c>
      <c r="CJ283" s="1693">
        <v>1122.6377597675421</v>
      </c>
      <c r="CK283" s="1693">
        <v>1122.6377597675421</v>
      </c>
      <c r="CL283" s="1693">
        <v>1122.6377597675421</v>
      </c>
      <c r="CM283" s="1693">
        <v>1122.6377597675421</v>
      </c>
      <c r="CN283" s="1693">
        <v>1122.6377597675421</v>
      </c>
      <c r="CO283" s="1693">
        <v>1122.6377597675421</v>
      </c>
      <c r="CP283" s="1693">
        <v>1122.6377597675421</v>
      </c>
      <c r="CR283" s="1698">
        <f>CR284-SCENARIOS!$W$67</f>
        <v>0</v>
      </c>
      <c r="CS283" s="1692">
        <v>0</v>
      </c>
      <c r="CT283" s="1692">
        <v>0</v>
      </c>
      <c r="CU283" s="1692">
        <v>0</v>
      </c>
      <c r="CV283" s="1692">
        <v>0</v>
      </c>
      <c r="CW283" s="1692">
        <v>0</v>
      </c>
      <c r="CX283" s="1692">
        <v>0</v>
      </c>
      <c r="CY283" s="1692">
        <v>0</v>
      </c>
      <c r="DA283" s="1698">
        <f>DA284-SCENARIOS!$W$67</f>
        <v>0</v>
      </c>
      <c r="DB283" s="1693">
        <v>0</v>
      </c>
      <c r="DC283" s="1693">
        <v>0</v>
      </c>
      <c r="DD283" s="1693">
        <v>0</v>
      </c>
      <c r="DE283" s="1693">
        <v>0</v>
      </c>
      <c r="DF283" s="1693">
        <v>0</v>
      </c>
      <c r="DG283" s="1693">
        <v>0</v>
      </c>
      <c r="DH283" s="1693">
        <v>0</v>
      </c>
    </row>
    <row r="284" spans="2:112" s="1667" customFormat="1" hidden="1" x14ac:dyDescent="0.25">
      <c r="B284" s="1663"/>
      <c r="BZ284" s="1697">
        <f>BZ285-SCENARIOS!$W$67</f>
        <v>0</v>
      </c>
      <c r="CA284" s="1692" t="str">
        <v>n.a</v>
      </c>
      <c r="CB284" s="1692" t="str">
        <v>n.a</v>
      </c>
      <c r="CC284" s="1692" t="str">
        <v>n.a</v>
      </c>
      <c r="CD284" s="1692" t="str">
        <v>n.a</v>
      </c>
      <c r="CE284" s="1692" t="str">
        <v>n.a</v>
      </c>
      <c r="CF284" s="1692" t="str">
        <v>n.a</v>
      </c>
      <c r="CG284" s="1692" t="str">
        <v>n.a</v>
      </c>
      <c r="CI284" s="1698">
        <f>CI285-SCENARIOS!$W$67</f>
        <v>0</v>
      </c>
      <c r="CJ284" s="1693">
        <v>1122.6377597675421</v>
      </c>
      <c r="CK284" s="1693">
        <v>1122.6377597675421</v>
      </c>
      <c r="CL284" s="1693">
        <v>1122.6377597675421</v>
      </c>
      <c r="CM284" s="1693">
        <v>1122.6377597675421</v>
      </c>
      <c r="CN284" s="1693">
        <v>1122.6377597675421</v>
      </c>
      <c r="CO284" s="1693">
        <v>1122.6377597675421</v>
      </c>
      <c r="CP284" s="1693">
        <v>1122.6377597675421</v>
      </c>
      <c r="CR284" s="1698">
        <f>CR285-SCENARIOS!$W$67</f>
        <v>0</v>
      </c>
      <c r="CS284" s="1692">
        <v>0</v>
      </c>
      <c r="CT284" s="1692">
        <v>0</v>
      </c>
      <c r="CU284" s="1692">
        <v>0</v>
      </c>
      <c r="CV284" s="1692">
        <v>0</v>
      </c>
      <c r="CW284" s="1692">
        <v>0</v>
      </c>
      <c r="CX284" s="1692">
        <v>0</v>
      </c>
      <c r="CY284" s="1692">
        <v>0</v>
      </c>
      <c r="DA284" s="1698">
        <f>DA285-SCENARIOS!$W$67</f>
        <v>0</v>
      </c>
      <c r="DB284" s="1693">
        <v>0</v>
      </c>
      <c r="DC284" s="1693">
        <v>0</v>
      </c>
      <c r="DD284" s="1693">
        <v>0</v>
      </c>
      <c r="DE284" s="1693">
        <v>0</v>
      </c>
      <c r="DF284" s="1693">
        <v>0</v>
      </c>
      <c r="DG284" s="1693">
        <v>0</v>
      </c>
      <c r="DH284" s="1693">
        <v>0</v>
      </c>
    </row>
    <row r="285" spans="2:112" s="1667" customFormat="1" hidden="1" x14ac:dyDescent="0.25">
      <c r="B285" s="1663"/>
      <c r="BZ285" s="1697">
        <f>SCENARIOS!$K$67</f>
        <v>0</v>
      </c>
      <c r="CA285" s="1692" t="str">
        <v>n.a</v>
      </c>
      <c r="CB285" s="1692" t="str">
        <v>n.a</v>
      </c>
      <c r="CC285" s="1692" t="str">
        <v>n.a</v>
      </c>
      <c r="CD285" s="1692" t="str">
        <v>n.a</v>
      </c>
      <c r="CE285" s="1692" t="str">
        <v>n.a</v>
      </c>
      <c r="CF285" s="1692" t="str">
        <v>n.a</v>
      </c>
      <c r="CG285" s="1692" t="str">
        <v>n.a</v>
      </c>
      <c r="CI285" s="1698">
        <f>SCENARIOS!$K$67</f>
        <v>0</v>
      </c>
      <c r="CJ285" s="1693">
        <v>1122.6377597675421</v>
      </c>
      <c r="CK285" s="1693">
        <v>1122.6377597675421</v>
      </c>
      <c r="CL285" s="1693">
        <v>1122.6377597675421</v>
      </c>
      <c r="CM285" s="1693">
        <v>1122.6377597675421</v>
      </c>
      <c r="CN285" s="1693">
        <v>1122.6377597675421</v>
      </c>
      <c r="CO285" s="1693">
        <v>1122.6377597675421</v>
      </c>
      <c r="CP285" s="1693">
        <v>1122.6377597675421</v>
      </c>
      <c r="CR285" s="1698">
        <f>SCENARIOS!$K$67</f>
        <v>0</v>
      </c>
      <c r="CS285" s="1692">
        <v>0</v>
      </c>
      <c r="CT285" s="1692">
        <v>0</v>
      </c>
      <c r="CU285" s="1692">
        <v>0</v>
      </c>
      <c r="CV285" s="1692">
        <v>0</v>
      </c>
      <c r="CW285" s="1692">
        <v>0</v>
      </c>
      <c r="CX285" s="1692">
        <v>0</v>
      </c>
      <c r="CY285" s="1692">
        <v>0</v>
      </c>
      <c r="DA285" s="1698">
        <f>SCENARIOS!$K$67</f>
        <v>0</v>
      </c>
      <c r="DB285" s="1693">
        <v>0</v>
      </c>
      <c r="DC285" s="1693">
        <v>0</v>
      </c>
      <c r="DD285" s="1693">
        <v>0</v>
      </c>
      <c r="DE285" s="1693">
        <v>0</v>
      </c>
      <c r="DF285" s="1693">
        <v>0</v>
      </c>
      <c r="DG285" s="1693">
        <v>0</v>
      </c>
      <c r="DH285" s="1693">
        <v>0</v>
      </c>
    </row>
    <row r="286" spans="2:112" s="1667" customFormat="1" hidden="1" x14ac:dyDescent="0.25">
      <c r="B286" s="1663"/>
      <c r="BZ286" s="1697">
        <f>BZ285+SCENARIOS!$W$67</f>
        <v>0</v>
      </c>
      <c r="CA286" s="1692" t="str">
        <v>n.a</v>
      </c>
      <c r="CB286" s="1692" t="str">
        <v>n.a</v>
      </c>
      <c r="CC286" s="1692" t="str">
        <v>n.a</v>
      </c>
      <c r="CD286" s="1692" t="str">
        <v>n.a</v>
      </c>
      <c r="CE286" s="1692" t="str">
        <v>n.a</v>
      </c>
      <c r="CF286" s="1692" t="str">
        <v>n.a</v>
      </c>
      <c r="CG286" s="1692" t="str">
        <v>n.a</v>
      </c>
      <c r="CI286" s="1698">
        <f>CI285+SCENARIOS!$W$67</f>
        <v>0</v>
      </c>
      <c r="CJ286" s="1693">
        <v>1122.6377597675421</v>
      </c>
      <c r="CK286" s="1693">
        <v>1122.6377597675421</v>
      </c>
      <c r="CL286" s="1693">
        <v>1122.6377597675421</v>
      </c>
      <c r="CM286" s="1693">
        <v>1122.6377597675421</v>
      </c>
      <c r="CN286" s="1693">
        <v>1122.6377597675421</v>
      </c>
      <c r="CO286" s="1693">
        <v>1122.6377597675421</v>
      </c>
      <c r="CP286" s="1693">
        <v>1122.6377597675421</v>
      </c>
      <c r="CR286" s="1698">
        <f>CR285+SCENARIOS!$W$67</f>
        <v>0</v>
      </c>
      <c r="CS286" s="1692">
        <v>0</v>
      </c>
      <c r="CT286" s="1692">
        <v>0</v>
      </c>
      <c r="CU286" s="1692">
        <v>0</v>
      </c>
      <c r="CV286" s="1692">
        <v>0</v>
      </c>
      <c r="CW286" s="1692">
        <v>0</v>
      </c>
      <c r="CX286" s="1692">
        <v>0</v>
      </c>
      <c r="CY286" s="1692">
        <v>0</v>
      </c>
      <c r="DA286" s="1698">
        <f>DA285+SCENARIOS!$W$67</f>
        <v>0</v>
      </c>
      <c r="DB286" s="1693">
        <v>0</v>
      </c>
      <c r="DC286" s="1693">
        <v>0</v>
      </c>
      <c r="DD286" s="1693">
        <v>0</v>
      </c>
      <c r="DE286" s="1693">
        <v>0</v>
      </c>
      <c r="DF286" s="1693">
        <v>0</v>
      </c>
      <c r="DG286" s="1693">
        <v>0</v>
      </c>
      <c r="DH286" s="1693">
        <v>0</v>
      </c>
    </row>
    <row r="287" spans="2:112" s="1667" customFormat="1" hidden="1" x14ac:dyDescent="0.25">
      <c r="B287" s="1663"/>
      <c r="BZ287" s="1697">
        <f>BZ286+SCENARIOS!$W$67</f>
        <v>0</v>
      </c>
      <c r="CA287" s="1692" t="str">
        <v>n.a</v>
      </c>
      <c r="CB287" s="1692" t="str">
        <v>n.a</v>
      </c>
      <c r="CC287" s="1692" t="str">
        <v>n.a</v>
      </c>
      <c r="CD287" s="1692" t="str">
        <v>n.a</v>
      </c>
      <c r="CE287" s="1692" t="str">
        <v>n.a</v>
      </c>
      <c r="CF287" s="1692" t="str">
        <v>n.a</v>
      </c>
      <c r="CG287" s="1692" t="str">
        <v>n.a</v>
      </c>
      <c r="CI287" s="1698">
        <f>CI286+SCENARIOS!$W$67</f>
        <v>0</v>
      </c>
      <c r="CJ287" s="1693">
        <v>1122.6377597675421</v>
      </c>
      <c r="CK287" s="1693">
        <v>1122.6377597675421</v>
      </c>
      <c r="CL287" s="1693">
        <v>1122.6377597675421</v>
      </c>
      <c r="CM287" s="1693">
        <v>1122.6377597675421</v>
      </c>
      <c r="CN287" s="1693">
        <v>1122.6377597675421</v>
      </c>
      <c r="CO287" s="1693">
        <v>1122.6377597675421</v>
      </c>
      <c r="CP287" s="1693">
        <v>1122.6377597675421</v>
      </c>
      <c r="CR287" s="1698">
        <f>CR286+SCENARIOS!$W$67</f>
        <v>0</v>
      </c>
      <c r="CS287" s="1692">
        <v>0</v>
      </c>
      <c r="CT287" s="1692">
        <v>0</v>
      </c>
      <c r="CU287" s="1692">
        <v>0</v>
      </c>
      <c r="CV287" s="1692">
        <v>0</v>
      </c>
      <c r="CW287" s="1692">
        <v>0</v>
      </c>
      <c r="CX287" s="1692">
        <v>0</v>
      </c>
      <c r="CY287" s="1692">
        <v>0</v>
      </c>
      <c r="DA287" s="1698">
        <f>DA286+SCENARIOS!$W$67</f>
        <v>0</v>
      </c>
      <c r="DB287" s="1693">
        <v>0</v>
      </c>
      <c r="DC287" s="1693">
        <v>0</v>
      </c>
      <c r="DD287" s="1693">
        <v>0</v>
      </c>
      <c r="DE287" s="1693">
        <v>0</v>
      </c>
      <c r="DF287" s="1693">
        <v>0</v>
      </c>
      <c r="DG287" s="1693">
        <v>0</v>
      </c>
      <c r="DH287" s="1693">
        <v>0</v>
      </c>
    </row>
    <row r="288" spans="2:112" s="1667" customFormat="1" hidden="1" x14ac:dyDescent="0.25">
      <c r="B288" s="1663"/>
      <c r="BZ288" s="1697">
        <f>BZ287+SCENARIOS!$W$67</f>
        <v>0</v>
      </c>
      <c r="CA288" s="1692" t="str">
        <v>n.a</v>
      </c>
      <c r="CB288" s="1692" t="str">
        <v>n.a</v>
      </c>
      <c r="CC288" s="1692" t="str">
        <v>n.a</v>
      </c>
      <c r="CD288" s="1692" t="str">
        <v>n.a</v>
      </c>
      <c r="CE288" s="1692" t="str">
        <v>n.a</v>
      </c>
      <c r="CF288" s="1692" t="str">
        <v>n.a</v>
      </c>
      <c r="CG288" s="1692" t="str">
        <v>n.a</v>
      </c>
      <c r="CI288" s="1698">
        <f>CI287+SCENARIOS!$W$67</f>
        <v>0</v>
      </c>
      <c r="CJ288" s="1693">
        <v>1122.6377597675421</v>
      </c>
      <c r="CK288" s="1693">
        <v>1122.6377597675421</v>
      </c>
      <c r="CL288" s="1693">
        <v>1122.6377597675421</v>
      </c>
      <c r="CM288" s="1693">
        <v>1122.6377597675421</v>
      </c>
      <c r="CN288" s="1693">
        <v>1122.6377597675421</v>
      </c>
      <c r="CO288" s="1693">
        <v>1122.6377597675421</v>
      </c>
      <c r="CP288" s="1693">
        <v>1122.6377597675421</v>
      </c>
      <c r="CR288" s="1698">
        <f>CR287+SCENARIOS!$W$67</f>
        <v>0</v>
      </c>
      <c r="CS288" s="1692">
        <v>0</v>
      </c>
      <c r="CT288" s="1692">
        <v>0</v>
      </c>
      <c r="CU288" s="1692">
        <v>0</v>
      </c>
      <c r="CV288" s="1692">
        <v>0</v>
      </c>
      <c r="CW288" s="1692">
        <v>0</v>
      </c>
      <c r="CX288" s="1692">
        <v>0</v>
      </c>
      <c r="CY288" s="1692">
        <v>0</v>
      </c>
      <c r="DA288" s="1698">
        <f>DA287+SCENARIOS!$W$67</f>
        <v>0</v>
      </c>
      <c r="DB288" s="1693">
        <v>0</v>
      </c>
      <c r="DC288" s="1693">
        <v>0</v>
      </c>
      <c r="DD288" s="1693">
        <v>0</v>
      </c>
      <c r="DE288" s="1693">
        <v>0</v>
      </c>
      <c r="DF288" s="1693">
        <v>0</v>
      </c>
      <c r="DG288" s="1693">
        <v>0</v>
      </c>
      <c r="DH288" s="1693">
        <v>0</v>
      </c>
    </row>
    <row r="289" spans="1:118" s="1667" customFormat="1" hidden="1" x14ac:dyDescent="0.25">
      <c r="B289" s="1663"/>
      <c r="BZ289" s="1698"/>
    </row>
    <row r="290" spans="1:118" s="1667" customFormat="1" hidden="1" x14ac:dyDescent="0.25">
      <c r="B290" s="1663"/>
      <c r="BZ290" s="1691" t="s">
        <v>472</v>
      </c>
      <c r="CI290" s="1691" t="s">
        <v>1073</v>
      </c>
      <c r="CR290" s="1691" t="s">
        <v>1074</v>
      </c>
      <c r="DA290" s="1691" t="s">
        <v>1075</v>
      </c>
    </row>
    <row r="291" spans="1:118" s="1667" customFormat="1" hidden="1" x14ac:dyDescent="0.25">
      <c r="B291" s="1663"/>
      <c r="BZ291" s="1692" t="str">
        <f>$AA$256</f>
        <v>n.a</v>
      </c>
      <c r="CA291" s="1693">
        <f>CB291-SCENARIOS!$X$93</f>
        <v>0</v>
      </c>
      <c r="CB291" s="1693">
        <f>CC291-SCENARIOS!$X$93</f>
        <v>0</v>
      </c>
      <c r="CC291" s="1693">
        <f>CD291-SCENARIOS!$X$93</f>
        <v>0</v>
      </c>
      <c r="CD291" s="1693">
        <f>SCENARIOS!$L$93</f>
        <v>0</v>
      </c>
      <c r="CE291" s="1693">
        <f>CD291+SCENARIOS!$X$93</f>
        <v>0</v>
      </c>
      <c r="CF291" s="1693">
        <f>CE291+SCENARIOS!$X$93</f>
        <v>0</v>
      </c>
      <c r="CG291" s="1693">
        <f>CF291+SCENARIOS!$X$93</f>
        <v>0</v>
      </c>
      <c r="CI291" s="1692">
        <f>$AA$245</f>
        <v>0</v>
      </c>
      <c r="CJ291" s="1693">
        <f>CK291-SCENARIOS!$X$93</f>
        <v>0</v>
      </c>
      <c r="CK291" s="1693">
        <f>CL291-SCENARIOS!$X$93</f>
        <v>0</v>
      </c>
      <c r="CL291" s="1693">
        <f>CM291-SCENARIOS!$X$93</f>
        <v>0</v>
      </c>
      <c r="CM291" s="1693">
        <f>SCENARIOS!$L$93</f>
        <v>0</v>
      </c>
      <c r="CN291" s="1693">
        <f>CM291+SCENARIOS!$X$93</f>
        <v>0</v>
      </c>
      <c r="CO291" s="1693">
        <f>CN291+SCENARIOS!$X$93</f>
        <v>0</v>
      </c>
      <c r="CP291" s="1693">
        <f>CO291+SCENARIOS!$X$93</f>
        <v>0</v>
      </c>
      <c r="CR291" s="1692">
        <f>COC_value</f>
        <v>0</v>
      </c>
      <c r="CS291" s="1693">
        <f>CT291-SCENARIOS!$X$93</f>
        <v>0</v>
      </c>
      <c r="CT291" s="1693">
        <f>CU291-SCENARIOS!$X$93</f>
        <v>0</v>
      </c>
      <c r="CU291" s="1693">
        <f>CV291-SCENARIOS!$X$93</f>
        <v>0</v>
      </c>
      <c r="CV291" s="1693">
        <f>SCENARIOS!$L$93</f>
        <v>0</v>
      </c>
      <c r="CW291" s="1693">
        <f>CV291+SCENARIOS!$X$93</f>
        <v>0</v>
      </c>
      <c r="CX291" s="1693">
        <f>CW291+SCENARIOS!$X$93</f>
        <v>0</v>
      </c>
      <c r="CY291" s="1693">
        <f>CX291+SCENARIOS!$X$93</f>
        <v>0</v>
      </c>
      <c r="DA291" s="1693">
        <f>CF_value</f>
        <v>0</v>
      </c>
      <c r="DB291" s="1693">
        <f>DC291-SCENARIOS!$X$93</f>
        <v>0</v>
      </c>
      <c r="DC291" s="1693">
        <f>DD291-SCENARIOS!$X$93</f>
        <v>0</v>
      </c>
      <c r="DD291" s="1693">
        <f>DE291-SCENARIOS!$X$93</f>
        <v>0</v>
      </c>
      <c r="DE291" s="1693">
        <f>SCENARIOS!$L$93</f>
        <v>0</v>
      </c>
      <c r="DF291" s="1693">
        <f>DE291+SCENARIOS!$X$93</f>
        <v>0</v>
      </c>
      <c r="DG291" s="1693">
        <f>DF291+SCENARIOS!$X$93</f>
        <v>0</v>
      </c>
      <c r="DH291" s="1693">
        <f>DG291+SCENARIOS!$X$93</f>
        <v>0</v>
      </c>
    </row>
    <row r="292" spans="1:118" s="1667" customFormat="1" hidden="1" x14ac:dyDescent="0.25">
      <c r="B292" s="1663"/>
      <c r="BZ292" s="1698">
        <f>SCENARIOS!$B$97</f>
        <v>0.4</v>
      </c>
      <c r="CA292" s="1692" t="str">
        <f t="dataTable" ref="CA292:CG296" dt2D="1" dtr="1" r1="D27" r2="AM140" ca="1"/>
        <v>n.a</v>
      </c>
      <c r="CB292" s="1692" t="str">
        <v>n.a</v>
      </c>
      <c r="CC292" s="1692" t="str">
        <v>n.a</v>
      </c>
      <c r="CD292" s="1692" t="str">
        <v>n.a</v>
      </c>
      <c r="CE292" s="1692" t="str">
        <v>n.a</v>
      </c>
      <c r="CF292" s="1692" t="str">
        <v>n.a</v>
      </c>
      <c r="CG292" s="1692" t="str">
        <v>n.a</v>
      </c>
      <c r="CI292" s="1698">
        <f>SCENARIOS!$B$97</f>
        <v>0.4</v>
      </c>
      <c r="CJ292" s="1692">
        <f t="dataTable" ref="CJ292:CP296" dt2D="1" dtr="1" r1="D27" r2="AM140" ca="1"/>
        <v>0</v>
      </c>
      <c r="CK292" s="1692">
        <v>0</v>
      </c>
      <c r="CL292" s="1692">
        <v>0</v>
      </c>
      <c r="CM292" s="1692">
        <v>0</v>
      </c>
      <c r="CN292" s="1692">
        <v>0</v>
      </c>
      <c r="CO292" s="1692">
        <v>0</v>
      </c>
      <c r="CP292" s="1692">
        <v>0</v>
      </c>
      <c r="CR292" s="1698">
        <f>SCENARIOS!$B$97</f>
        <v>0.4</v>
      </c>
      <c r="CS292" s="1692">
        <f t="dataTable" ref="CS292:CY296" dt2D="1" dtr="1" r1="D27" r2="AM140" ca="1"/>
        <v>0</v>
      </c>
      <c r="CT292" s="1692">
        <v>0</v>
      </c>
      <c r="CU292" s="1692">
        <v>0</v>
      </c>
      <c r="CV292" s="1692">
        <v>0</v>
      </c>
      <c r="CW292" s="1692">
        <v>0</v>
      </c>
      <c r="CX292" s="1692">
        <v>0</v>
      </c>
      <c r="CY292" s="1692">
        <v>0</v>
      </c>
      <c r="DA292" s="1698">
        <f>SCENARIOS!$B$97</f>
        <v>0.4</v>
      </c>
      <c r="DB292" s="1693">
        <f t="dataTable" ref="DB292:DH296" dt2D="1" dtr="1" r1="D27" r2="AM140" ca="1"/>
        <v>0</v>
      </c>
      <c r="DC292" s="1693">
        <v>0</v>
      </c>
      <c r="DD292" s="1693">
        <v>0</v>
      </c>
      <c r="DE292" s="1693">
        <v>0</v>
      </c>
      <c r="DF292" s="1693">
        <v>0</v>
      </c>
      <c r="DG292" s="1693">
        <v>0</v>
      </c>
      <c r="DH292" s="1693">
        <v>0</v>
      </c>
    </row>
    <row r="293" spans="1:118" s="1667" customFormat="1" hidden="1" x14ac:dyDescent="0.25">
      <c r="B293" s="1663"/>
      <c r="BZ293" s="1698">
        <f>SCENARIOS!$B$98</f>
        <v>0.45</v>
      </c>
      <c r="CA293" s="1692" t="str">
        <v>n.a</v>
      </c>
      <c r="CB293" s="1692" t="str">
        <v>n.a</v>
      </c>
      <c r="CC293" s="1692" t="str">
        <v>n.a</v>
      </c>
      <c r="CD293" s="1692" t="str">
        <v>n.a</v>
      </c>
      <c r="CE293" s="1692" t="str">
        <v>n.a</v>
      </c>
      <c r="CF293" s="1692" t="str">
        <v>n.a</v>
      </c>
      <c r="CG293" s="1692" t="str">
        <v>n.a</v>
      </c>
      <c r="CI293" s="1698">
        <f>SCENARIOS!$B$98</f>
        <v>0.45</v>
      </c>
      <c r="CJ293" s="1692">
        <v>0</v>
      </c>
      <c r="CK293" s="1692">
        <v>0</v>
      </c>
      <c r="CL293" s="1692">
        <v>0</v>
      </c>
      <c r="CM293" s="1692">
        <v>0</v>
      </c>
      <c r="CN293" s="1692">
        <v>0</v>
      </c>
      <c r="CO293" s="1692">
        <v>0</v>
      </c>
      <c r="CP293" s="1692">
        <v>0</v>
      </c>
      <c r="CR293" s="1698">
        <f>SCENARIOS!$B$98</f>
        <v>0.45</v>
      </c>
      <c r="CS293" s="1692">
        <v>0</v>
      </c>
      <c r="CT293" s="1692">
        <v>0</v>
      </c>
      <c r="CU293" s="1692">
        <v>0</v>
      </c>
      <c r="CV293" s="1692">
        <v>0</v>
      </c>
      <c r="CW293" s="1692">
        <v>0</v>
      </c>
      <c r="CX293" s="1692">
        <v>0</v>
      </c>
      <c r="CY293" s="1692">
        <v>0</v>
      </c>
      <c r="DA293" s="1698">
        <f>SCENARIOS!$B$98</f>
        <v>0.45</v>
      </c>
      <c r="DB293" s="1693">
        <v>0</v>
      </c>
      <c r="DC293" s="1693">
        <v>0</v>
      </c>
      <c r="DD293" s="1693">
        <v>0</v>
      </c>
      <c r="DE293" s="1693">
        <v>0</v>
      </c>
      <c r="DF293" s="1693">
        <v>0</v>
      </c>
      <c r="DG293" s="1693">
        <v>0</v>
      </c>
      <c r="DH293" s="1693">
        <v>0</v>
      </c>
    </row>
    <row r="294" spans="1:118" s="1667" customFormat="1" hidden="1" x14ac:dyDescent="0.25">
      <c r="B294" s="1663"/>
      <c r="BZ294" s="1698">
        <f>SCENARIOS!$B$99</f>
        <v>0.5</v>
      </c>
      <c r="CA294" s="1692" t="str">
        <v>n.a</v>
      </c>
      <c r="CB294" s="1692" t="str">
        <v>n.a</v>
      </c>
      <c r="CC294" s="1692" t="str">
        <v>n.a</v>
      </c>
      <c r="CD294" s="1692" t="str">
        <v>n.a</v>
      </c>
      <c r="CE294" s="1692" t="str">
        <v>n.a</v>
      </c>
      <c r="CF294" s="1692" t="str">
        <v>n.a</v>
      </c>
      <c r="CG294" s="1692" t="str">
        <v>n.a</v>
      </c>
      <c r="CI294" s="1698">
        <f>SCENARIOS!$B$99</f>
        <v>0.5</v>
      </c>
      <c r="CJ294" s="1692">
        <v>0</v>
      </c>
      <c r="CK294" s="1692">
        <v>0</v>
      </c>
      <c r="CL294" s="1692">
        <v>0</v>
      </c>
      <c r="CM294" s="1692">
        <v>0</v>
      </c>
      <c r="CN294" s="1692">
        <v>0</v>
      </c>
      <c r="CO294" s="1692">
        <v>0</v>
      </c>
      <c r="CP294" s="1692">
        <v>0</v>
      </c>
      <c r="CR294" s="1698">
        <f>SCENARIOS!$B$99</f>
        <v>0.5</v>
      </c>
      <c r="CS294" s="1692">
        <v>0</v>
      </c>
      <c r="CT294" s="1692">
        <v>0</v>
      </c>
      <c r="CU294" s="1692">
        <v>0</v>
      </c>
      <c r="CV294" s="1692">
        <v>0</v>
      </c>
      <c r="CW294" s="1692">
        <v>0</v>
      </c>
      <c r="CX294" s="1692">
        <v>0</v>
      </c>
      <c r="CY294" s="1692">
        <v>0</v>
      </c>
      <c r="DA294" s="1698">
        <f>SCENARIOS!$B$99</f>
        <v>0.5</v>
      </c>
      <c r="DB294" s="1693">
        <v>0</v>
      </c>
      <c r="DC294" s="1693">
        <v>0</v>
      </c>
      <c r="DD294" s="1693">
        <v>0</v>
      </c>
      <c r="DE294" s="1693">
        <v>0</v>
      </c>
      <c r="DF294" s="1693">
        <v>0</v>
      </c>
      <c r="DG294" s="1693">
        <v>0</v>
      </c>
      <c r="DH294" s="1693">
        <v>0</v>
      </c>
    </row>
    <row r="295" spans="1:118" s="1667" customFormat="1" hidden="1" x14ac:dyDescent="0.25">
      <c r="B295" s="1663"/>
      <c r="BZ295" s="1698">
        <f>SCENARIOS!$B$100</f>
        <v>0.55000000000000004</v>
      </c>
      <c r="CA295" s="1692" t="str">
        <v>n.a</v>
      </c>
      <c r="CB295" s="1692" t="str">
        <v>n.a</v>
      </c>
      <c r="CC295" s="1692" t="str">
        <v>n.a</v>
      </c>
      <c r="CD295" s="1692" t="str">
        <v>n.a</v>
      </c>
      <c r="CE295" s="1692" t="str">
        <v>n.a</v>
      </c>
      <c r="CF295" s="1692" t="str">
        <v>n.a</v>
      </c>
      <c r="CG295" s="1692" t="str">
        <v>n.a</v>
      </c>
      <c r="CI295" s="1698">
        <f>SCENARIOS!$B$100</f>
        <v>0.55000000000000004</v>
      </c>
      <c r="CJ295" s="1692">
        <v>0</v>
      </c>
      <c r="CK295" s="1692">
        <v>0</v>
      </c>
      <c r="CL295" s="1692">
        <v>0</v>
      </c>
      <c r="CM295" s="1692">
        <v>0</v>
      </c>
      <c r="CN295" s="1692">
        <v>0</v>
      </c>
      <c r="CO295" s="1692">
        <v>0</v>
      </c>
      <c r="CP295" s="1692">
        <v>0</v>
      </c>
      <c r="CR295" s="1698">
        <f>SCENARIOS!$B$100</f>
        <v>0.55000000000000004</v>
      </c>
      <c r="CS295" s="1692">
        <v>0</v>
      </c>
      <c r="CT295" s="1692">
        <v>0</v>
      </c>
      <c r="CU295" s="1692">
        <v>0</v>
      </c>
      <c r="CV295" s="1692">
        <v>0</v>
      </c>
      <c r="CW295" s="1692">
        <v>0</v>
      </c>
      <c r="CX295" s="1692">
        <v>0</v>
      </c>
      <c r="CY295" s="1692">
        <v>0</v>
      </c>
      <c r="DA295" s="1698">
        <f>SCENARIOS!$B$100</f>
        <v>0.55000000000000004</v>
      </c>
      <c r="DB295" s="1693">
        <v>0</v>
      </c>
      <c r="DC295" s="1693">
        <v>0</v>
      </c>
      <c r="DD295" s="1693">
        <v>0</v>
      </c>
      <c r="DE295" s="1693">
        <v>0</v>
      </c>
      <c r="DF295" s="1693">
        <v>0</v>
      </c>
      <c r="DG295" s="1693">
        <v>0</v>
      </c>
      <c r="DH295" s="1693">
        <v>0</v>
      </c>
    </row>
    <row r="296" spans="1:118" s="1667" customFormat="1" hidden="1" x14ac:dyDescent="0.25">
      <c r="B296" s="1663"/>
      <c r="BZ296" s="1698">
        <f>SCENARIOS!$B$101</f>
        <v>0.6</v>
      </c>
      <c r="CA296" s="1692" t="str">
        <v>n.a</v>
      </c>
      <c r="CB296" s="1692" t="str">
        <v>n.a</v>
      </c>
      <c r="CC296" s="1692" t="str">
        <v>n.a</v>
      </c>
      <c r="CD296" s="1692" t="str">
        <v>n.a</v>
      </c>
      <c r="CE296" s="1692" t="str">
        <v>n.a</v>
      </c>
      <c r="CF296" s="1692" t="str">
        <v>n.a</v>
      </c>
      <c r="CG296" s="1692" t="str">
        <v>n.a</v>
      </c>
      <c r="CI296" s="1698">
        <f>SCENARIOS!$B$101</f>
        <v>0.6</v>
      </c>
      <c r="CJ296" s="1692">
        <v>0</v>
      </c>
      <c r="CK296" s="1692">
        <v>0</v>
      </c>
      <c r="CL296" s="1692">
        <v>0</v>
      </c>
      <c r="CM296" s="1692">
        <v>0</v>
      </c>
      <c r="CN296" s="1692">
        <v>0</v>
      </c>
      <c r="CO296" s="1692">
        <v>0</v>
      </c>
      <c r="CP296" s="1692">
        <v>0</v>
      </c>
      <c r="CR296" s="1698">
        <f>SCENARIOS!$B$101</f>
        <v>0.6</v>
      </c>
      <c r="CS296" s="1692">
        <v>0</v>
      </c>
      <c r="CT296" s="1692">
        <v>0</v>
      </c>
      <c r="CU296" s="1692">
        <v>0</v>
      </c>
      <c r="CV296" s="1692">
        <v>0</v>
      </c>
      <c r="CW296" s="1692">
        <v>0</v>
      </c>
      <c r="CX296" s="1692">
        <v>0</v>
      </c>
      <c r="CY296" s="1692">
        <v>0</v>
      </c>
      <c r="DA296" s="1698">
        <f>SCENARIOS!$B$101</f>
        <v>0.6</v>
      </c>
      <c r="DB296" s="1693">
        <v>0</v>
      </c>
      <c r="DC296" s="1693">
        <v>0</v>
      </c>
      <c r="DD296" s="1693">
        <v>0</v>
      </c>
      <c r="DE296" s="1693">
        <v>0</v>
      </c>
      <c r="DF296" s="1693">
        <v>0</v>
      </c>
      <c r="DG296" s="1693">
        <v>0</v>
      </c>
      <c r="DH296" s="1693">
        <v>0</v>
      </c>
    </row>
    <row r="297" spans="1:118" s="1667" customFormat="1" hidden="1" x14ac:dyDescent="0.25">
      <c r="B297" s="1663"/>
      <c r="C297" s="1698"/>
      <c r="D297" s="1699"/>
      <c r="E297" s="1699"/>
      <c r="F297" s="1699"/>
      <c r="G297" s="1699"/>
      <c r="H297" s="1699"/>
      <c r="I297" s="1699"/>
      <c r="J297" s="1699"/>
      <c r="K297" s="1663"/>
      <c r="L297" s="1663"/>
      <c r="M297" s="1698"/>
      <c r="N297" s="1699"/>
      <c r="O297" s="1699"/>
      <c r="P297" s="1699"/>
      <c r="Q297" s="1699"/>
      <c r="R297" s="1699"/>
      <c r="S297" s="1699"/>
      <c r="T297" s="1699"/>
      <c r="U297" s="1663"/>
      <c r="W297" s="1698"/>
      <c r="X297" s="1699"/>
      <c r="Y297" s="1699"/>
      <c r="Z297" s="1699"/>
      <c r="AA297" s="1699"/>
      <c r="AB297" s="1699"/>
      <c r="AC297" s="1699"/>
      <c r="AD297" s="1699"/>
      <c r="AE297" s="1663"/>
      <c r="AF297" s="1663"/>
      <c r="AG297" s="1698"/>
      <c r="AH297" s="1699"/>
      <c r="AI297" s="1699"/>
      <c r="AJ297" s="1699"/>
      <c r="AK297" s="1699"/>
      <c r="AL297" s="1699"/>
      <c r="AM297" s="1699"/>
      <c r="AN297" s="1699"/>
      <c r="CA297" s="1692"/>
      <c r="CB297" s="1692"/>
      <c r="CC297" s="1692"/>
      <c r="CD297" s="1692"/>
      <c r="CE297" s="1692"/>
      <c r="CF297" s="1692"/>
      <c r="CG297" s="1692"/>
    </row>
    <row r="298" spans="1:118" s="1667" customFormat="1" hidden="1" x14ac:dyDescent="0.25">
      <c r="B298" s="1663"/>
      <c r="C298" s="1698"/>
      <c r="D298" s="1699"/>
      <c r="E298" s="1699"/>
      <c r="F298" s="1699"/>
      <c r="G298" s="1699"/>
      <c r="H298" s="1699"/>
      <c r="I298" s="1699"/>
      <c r="J298" s="1699"/>
      <c r="K298" s="1663"/>
      <c r="L298" s="1663"/>
      <c r="M298" s="1698"/>
      <c r="N298" s="1699"/>
      <c r="O298" s="1699"/>
      <c r="P298" s="1699"/>
      <c r="Q298" s="1699"/>
      <c r="R298" s="1699"/>
      <c r="S298" s="1699"/>
      <c r="T298" s="1699"/>
      <c r="U298" s="1663"/>
      <c r="W298" s="1698"/>
      <c r="X298" s="1699"/>
      <c r="Y298" s="1699"/>
      <c r="Z298" s="1699"/>
      <c r="AA298" s="1699"/>
      <c r="AB298" s="1699"/>
      <c r="AC298" s="1699"/>
      <c r="AD298" s="1699"/>
      <c r="AE298" s="1663"/>
      <c r="AF298" s="1663"/>
      <c r="AG298" s="1698"/>
      <c r="AH298" s="1699"/>
      <c r="AI298" s="1699"/>
      <c r="AJ298" s="1699"/>
      <c r="AK298" s="1699"/>
      <c r="AL298" s="1699"/>
      <c r="AM298" s="1699"/>
      <c r="AN298" s="1699"/>
      <c r="BZ298" s="1691" t="s">
        <v>1076</v>
      </c>
      <c r="CA298" s="1692"/>
      <c r="CB298" s="1692"/>
      <c r="CC298" s="1692"/>
      <c r="CD298" s="1692"/>
      <c r="CE298" s="1692"/>
      <c r="CF298" s="1692"/>
      <c r="CG298" s="1692"/>
      <c r="CI298" s="1691" t="s">
        <v>1077</v>
      </c>
      <c r="CR298" s="1691" t="s">
        <v>1078</v>
      </c>
      <c r="DA298" s="1691" t="s">
        <v>1079</v>
      </c>
    </row>
    <row r="299" spans="1:118" s="1667" customFormat="1" hidden="1" x14ac:dyDescent="0.25">
      <c r="B299" s="1663"/>
      <c r="C299" s="1698"/>
      <c r="D299" s="1699"/>
      <c r="E299" s="1699"/>
      <c r="F299" s="1699"/>
      <c r="G299" s="1699"/>
      <c r="H299" s="1699"/>
      <c r="I299" s="1699"/>
      <c r="J299" s="1699"/>
      <c r="K299" s="1663"/>
      <c r="L299" s="1663"/>
      <c r="M299" s="1698"/>
      <c r="N299" s="1699"/>
      <c r="O299" s="1699"/>
      <c r="P299" s="1699"/>
      <c r="Q299" s="1699"/>
      <c r="R299" s="1699"/>
      <c r="S299" s="1699"/>
      <c r="T299" s="1699"/>
      <c r="U299" s="1663"/>
      <c r="W299" s="1698"/>
      <c r="X299" s="1699"/>
      <c r="Y299" s="1699"/>
      <c r="Z299" s="1699"/>
      <c r="AA299" s="1699"/>
      <c r="AB299" s="1699"/>
      <c r="AC299" s="1699"/>
      <c r="AD299" s="1699"/>
      <c r="AE299" s="1663"/>
      <c r="AF299" s="1663"/>
      <c r="AG299" s="1698"/>
      <c r="AH299" s="1699"/>
      <c r="AI299" s="1699"/>
      <c r="AJ299" s="1699"/>
      <c r="AK299" s="1699"/>
      <c r="AL299" s="1699"/>
      <c r="AM299" s="1699"/>
      <c r="AN299" s="1699"/>
      <c r="BZ299" s="1692" t="str">
        <f>$AA$256</f>
        <v>n.a</v>
      </c>
      <c r="CA299" s="1694">
        <f>CB299-SCENARIOS!$BC$41</f>
        <v>0</v>
      </c>
      <c r="CB299" s="1694">
        <f>CC299-SCENARIOS!$BC$41</f>
        <v>0</v>
      </c>
      <c r="CC299" s="1694">
        <f>CD299-SCENARIOS!$BC$41</f>
        <v>0</v>
      </c>
      <c r="CD299" s="1694">
        <f>SCENARIOS!$AR$41</f>
        <v>0</v>
      </c>
      <c r="CE299" s="1694">
        <f>CD299+SCENARIOS!$BC$41</f>
        <v>0</v>
      </c>
      <c r="CF299" s="1694">
        <f>CE299+SCENARIOS!$BC$41</f>
        <v>0</v>
      </c>
      <c r="CG299" s="1694">
        <f>CF299+SCENARIOS!$BC$41</f>
        <v>0</v>
      </c>
      <c r="CI299" s="1692">
        <f>$AA$245</f>
        <v>0</v>
      </c>
      <c r="CJ299" s="1694">
        <f>CK299-SCENARIOS!$BC$41</f>
        <v>0</v>
      </c>
      <c r="CK299" s="1694">
        <f>CL299-SCENARIOS!$BC$41</f>
        <v>0</v>
      </c>
      <c r="CL299" s="1694">
        <f>CM299-SCENARIOS!$BC$41</f>
        <v>0</v>
      </c>
      <c r="CM299" s="1694">
        <f>SCENARIOS!$AR$41</f>
        <v>0</v>
      </c>
      <c r="CN299" s="1694">
        <f>CM299+SCENARIOS!$BC$41</f>
        <v>0</v>
      </c>
      <c r="CO299" s="1694">
        <f>CN299+SCENARIOS!$BC$41</f>
        <v>0</v>
      </c>
      <c r="CP299" s="1694">
        <f>CO299+SCENARIOS!$BC$41</f>
        <v>0</v>
      </c>
      <c r="CR299" s="1692">
        <f>COC_value</f>
        <v>0</v>
      </c>
      <c r="CS299" s="1694">
        <f>CT299-SCENARIOS!$BC$41</f>
        <v>0</v>
      </c>
      <c r="CT299" s="1694">
        <f>CU299-SCENARIOS!$BC$41</f>
        <v>0</v>
      </c>
      <c r="CU299" s="1694">
        <f>CV299-SCENARIOS!$BC$41</f>
        <v>0</v>
      </c>
      <c r="CV299" s="1694">
        <f>SCENARIOS!$AR$41</f>
        <v>0</v>
      </c>
      <c r="CW299" s="1694">
        <f>CV299+SCENARIOS!$BC$41</f>
        <v>0</v>
      </c>
      <c r="CX299" s="1694">
        <f>CW299+SCENARIOS!$BC$41</f>
        <v>0</v>
      </c>
      <c r="CY299" s="1694">
        <f>CX299+SCENARIOS!$BC$41</f>
        <v>0</v>
      </c>
      <c r="DA299" s="1693">
        <f>CF_value</f>
        <v>0</v>
      </c>
      <c r="DB299" s="1694">
        <f>DC299-SCENARIOS!$BC$41</f>
        <v>0</v>
      </c>
      <c r="DC299" s="1694">
        <f>DD299-SCENARIOS!$BC$41</f>
        <v>0</v>
      </c>
      <c r="DD299" s="1694">
        <f>DE299-SCENARIOS!$BC$41</f>
        <v>0</v>
      </c>
      <c r="DE299" s="1694">
        <f>SCENARIOS!$AR$41</f>
        <v>0</v>
      </c>
      <c r="DF299" s="1694">
        <f>DE299+SCENARIOS!$BC$41</f>
        <v>0</v>
      </c>
      <c r="DG299" s="1694">
        <f>DF299+SCENARIOS!$BC$41</f>
        <v>0</v>
      </c>
      <c r="DH299" s="1694">
        <f>DG299+SCENARIOS!$BC$41</f>
        <v>0</v>
      </c>
    </row>
    <row r="300" spans="1:118" s="1667" customFormat="1" hidden="1" x14ac:dyDescent="0.25">
      <c r="B300" s="1663"/>
      <c r="C300" s="1698"/>
      <c r="D300" s="1699"/>
      <c r="E300" s="1699"/>
      <c r="F300" s="1699"/>
      <c r="G300" s="1699"/>
      <c r="H300" s="1699"/>
      <c r="I300" s="1699"/>
      <c r="J300" s="1699"/>
      <c r="K300" s="1663"/>
      <c r="L300" s="1663"/>
      <c r="M300" s="1698"/>
      <c r="N300" s="1699"/>
      <c r="O300" s="1699"/>
      <c r="P300" s="1699"/>
      <c r="Q300" s="1699"/>
      <c r="R300" s="1699"/>
      <c r="S300" s="1699"/>
      <c r="T300" s="1699"/>
      <c r="U300" s="1663"/>
      <c r="W300" s="1698"/>
      <c r="X300" s="1699"/>
      <c r="Y300" s="1699"/>
      <c r="Z300" s="1699"/>
      <c r="AA300" s="1699"/>
      <c r="AB300" s="1699"/>
      <c r="AC300" s="1699"/>
      <c r="AD300" s="1699"/>
      <c r="AE300" s="1663"/>
      <c r="AF300" s="1663"/>
      <c r="AG300" s="1698"/>
      <c r="AH300" s="1699"/>
      <c r="AI300" s="1699"/>
      <c r="AJ300" s="1699"/>
      <c r="AK300" s="1699"/>
      <c r="AL300" s="1699"/>
      <c r="AM300" s="1699"/>
      <c r="AN300" s="1699"/>
      <c r="BZ300" s="1700">
        <f>BZ301-SCENARIOS!$W$41</f>
        <v>0</v>
      </c>
      <c r="CA300" s="1692" t="str">
        <f t="dataTable" ref="CA300:CG306" dt2D="1" dtr="1" r1="AU140" r2="AQ140" ca="1"/>
        <v>n.a</v>
      </c>
      <c r="CB300" s="1692" t="str">
        <v>n.a</v>
      </c>
      <c r="CC300" s="1692" t="str">
        <v>n.a</v>
      </c>
      <c r="CD300" s="1692" t="str">
        <v>n.a</v>
      </c>
      <c r="CE300" s="1692" t="str">
        <v>n.a</v>
      </c>
      <c r="CF300" s="1692" t="str">
        <v>n.a</v>
      </c>
      <c r="CG300" s="1692" t="str">
        <v>n.a</v>
      </c>
      <c r="CI300" s="1700">
        <f>CI301-SCENARIOS!$W$41</f>
        <v>0</v>
      </c>
      <c r="CJ300" s="1692">
        <f t="dataTable" ref="CJ300:CP306" dt2D="1" dtr="1" r1="AU140" r2="AQ140" ca="1"/>
        <v>0</v>
      </c>
      <c r="CK300" s="1692">
        <v>0</v>
      </c>
      <c r="CL300" s="1692">
        <v>0</v>
      </c>
      <c r="CM300" s="1692">
        <v>0</v>
      </c>
      <c r="CN300" s="1692">
        <v>0</v>
      </c>
      <c r="CO300" s="1692">
        <v>0</v>
      </c>
      <c r="CP300" s="1692">
        <v>0</v>
      </c>
      <c r="CR300" s="1700">
        <f>CR301-SCENARIOS!$W$41</f>
        <v>0</v>
      </c>
      <c r="CS300" s="1692">
        <f t="dataTable" ref="CS300:CY306" dt2D="1" dtr="1" r1="AU140" r2="AQ140" ca="1"/>
        <v>0</v>
      </c>
      <c r="CT300" s="1692">
        <v>0</v>
      </c>
      <c r="CU300" s="1692">
        <v>0</v>
      </c>
      <c r="CV300" s="1692">
        <v>0</v>
      </c>
      <c r="CW300" s="1692">
        <v>0</v>
      </c>
      <c r="CX300" s="1692">
        <v>0</v>
      </c>
      <c r="CY300" s="1692">
        <v>0</v>
      </c>
      <c r="DA300" s="1700">
        <f>DA301-SCENARIOS!$W$41</f>
        <v>0</v>
      </c>
      <c r="DB300" s="1693">
        <f t="dataTable" ref="DB300:DH306" dt2D="1" dtr="1" r1="AU140" r2="AQ140"/>
        <v>0</v>
      </c>
      <c r="DC300" s="1693">
        <v>0</v>
      </c>
      <c r="DD300" s="1693">
        <v>0</v>
      </c>
      <c r="DE300" s="1693">
        <v>0</v>
      </c>
      <c r="DF300" s="1693">
        <v>0</v>
      </c>
      <c r="DG300" s="1693">
        <v>0</v>
      </c>
      <c r="DH300" s="1693">
        <v>0</v>
      </c>
    </row>
    <row r="301" spans="1:118" s="1667" customFormat="1" hidden="1" x14ac:dyDescent="0.25">
      <c r="B301" s="1663"/>
      <c r="C301" s="1698"/>
      <c r="D301" s="1699"/>
      <c r="E301" s="1699"/>
      <c r="F301" s="1699"/>
      <c r="G301" s="1699"/>
      <c r="H301" s="1699"/>
      <c r="I301" s="1699"/>
      <c r="J301" s="1699"/>
      <c r="K301" s="1663"/>
      <c r="L301" s="1663"/>
      <c r="M301" s="1698"/>
      <c r="N301" s="1699"/>
      <c r="O301" s="1699"/>
      <c r="P301" s="1699"/>
      <c r="Q301" s="1699"/>
      <c r="R301" s="1699"/>
      <c r="S301" s="1699"/>
      <c r="T301" s="1699"/>
      <c r="U301" s="1663"/>
      <c r="W301" s="1698"/>
      <c r="X301" s="1699"/>
      <c r="Y301" s="1699"/>
      <c r="Z301" s="1699"/>
      <c r="AA301" s="1699"/>
      <c r="AB301" s="1699"/>
      <c r="AC301" s="1699"/>
      <c r="AD301" s="1699"/>
      <c r="AE301" s="1663"/>
      <c r="AF301" s="1663"/>
      <c r="AG301" s="1698"/>
      <c r="AH301" s="1699"/>
      <c r="AI301" s="1699"/>
      <c r="AJ301" s="1699"/>
      <c r="AK301" s="1699"/>
      <c r="AL301" s="1699"/>
      <c r="AM301" s="1699"/>
      <c r="AN301" s="1699"/>
      <c r="BZ301" s="1700">
        <f>BZ302-SCENARIOS!$W$41</f>
        <v>0</v>
      </c>
      <c r="CA301" s="1692" t="str">
        <v>n.a</v>
      </c>
      <c r="CB301" s="1692" t="str">
        <v>n.a</v>
      </c>
      <c r="CC301" s="1692" t="str">
        <v>n.a</v>
      </c>
      <c r="CD301" s="1692" t="str">
        <v>n.a</v>
      </c>
      <c r="CE301" s="1692" t="str">
        <v>n.a</v>
      </c>
      <c r="CF301" s="1692" t="str">
        <v>n.a</v>
      </c>
      <c r="CG301" s="1692" t="str">
        <v>n.a</v>
      </c>
      <c r="CI301" s="1700">
        <f>CI302-SCENARIOS!$W$41</f>
        <v>0</v>
      </c>
      <c r="CJ301" s="1692">
        <v>0</v>
      </c>
      <c r="CK301" s="1692">
        <v>0</v>
      </c>
      <c r="CL301" s="1692">
        <v>0</v>
      </c>
      <c r="CM301" s="1692">
        <v>0</v>
      </c>
      <c r="CN301" s="1692">
        <v>0</v>
      </c>
      <c r="CO301" s="1692">
        <v>0</v>
      </c>
      <c r="CP301" s="1692">
        <v>0</v>
      </c>
      <c r="CR301" s="1700">
        <f>CR302-SCENARIOS!$W$41</f>
        <v>0</v>
      </c>
      <c r="CS301" s="1692">
        <v>0</v>
      </c>
      <c r="CT301" s="1692">
        <v>0</v>
      </c>
      <c r="CU301" s="1692">
        <v>0</v>
      </c>
      <c r="CV301" s="1692">
        <v>0</v>
      </c>
      <c r="CW301" s="1692">
        <v>0</v>
      </c>
      <c r="CX301" s="1692">
        <v>0</v>
      </c>
      <c r="CY301" s="1692">
        <v>0</v>
      </c>
      <c r="DA301" s="1700">
        <f>DA302-SCENARIOS!$W$41</f>
        <v>0</v>
      </c>
      <c r="DB301" s="1693">
        <v>0</v>
      </c>
      <c r="DC301" s="1693">
        <v>0</v>
      </c>
      <c r="DD301" s="1693">
        <v>0</v>
      </c>
      <c r="DE301" s="1693">
        <v>0</v>
      </c>
      <c r="DF301" s="1693">
        <v>0</v>
      </c>
      <c r="DG301" s="1693">
        <v>0</v>
      </c>
      <c r="DH301" s="1693">
        <v>0</v>
      </c>
    </row>
    <row r="302" spans="1:118" s="1667" customFormat="1" hidden="1" x14ac:dyDescent="0.25">
      <c r="B302" s="1663"/>
      <c r="C302" s="1698"/>
      <c r="D302" s="1699"/>
      <c r="E302" s="1699"/>
      <c r="F302" s="1699"/>
      <c r="G302" s="1699"/>
      <c r="H302" s="1699"/>
      <c r="I302" s="1699"/>
      <c r="J302" s="1699"/>
      <c r="K302" s="1663"/>
      <c r="L302" s="1663"/>
      <c r="M302" s="1698"/>
      <c r="N302" s="1699"/>
      <c r="O302" s="1699"/>
      <c r="P302" s="1699"/>
      <c r="Q302" s="1699"/>
      <c r="R302" s="1699"/>
      <c r="S302" s="1699"/>
      <c r="T302" s="1699"/>
      <c r="U302" s="1663"/>
      <c r="W302" s="1698"/>
      <c r="X302" s="1699"/>
      <c r="Y302" s="1699"/>
      <c r="Z302" s="1699"/>
      <c r="AA302" s="1699"/>
      <c r="AB302" s="1699"/>
      <c r="AC302" s="1699"/>
      <c r="AD302" s="1699"/>
      <c r="AE302" s="1663"/>
      <c r="AF302" s="1663"/>
      <c r="AG302" s="1698"/>
      <c r="AH302" s="1699"/>
      <c r="AI302" s="1699"/>
      <c r="AJ302" s="1699"/>
      <c r="AK302" s="1699"/>
      <c r="AL302" s="1699"/>
      <c r="AM302" s="1699"/>
      <c r="AN302" s="1699"/>
      <c r="BZ302" s="1700">
        <f>BZ303-SCENARIOS!$W$41</f>
        <v>0</v>
      </c>
      <c r="CA302" s="1692" t="str">
        <v>n.a</v>
      </c>
      <c r="CB302" s="1692" t="str">
        <v>n.a</v>
      </c>
      <c r="CC302" s="1692" t="str">
        <v>n.a</v>
      </c>
      <c r="CD302" s="1692" t="str">
        <v>n.a</v>
      </c>
      <c r="CE302" s="1692" t="str">
        <v>n.a</v>
      </c>
      <c r="CF302" s="1692" t="str">
        <v>n.a</v>
      </c>
      <c r="CG302" s="1692" t="str">
        <v>n.a</v>
      </c>
      <c r="CI302" s="1700">
        <f>CI303-SCENARIOS!$W$41</f>
        <v>0</v>
      </c>
      <c r="CJ302" s="1692">
        <v>0</v>
      </c>
      <c r="CK302" s="1692">
        <v>0</v>
      </c>
      <c r="CL302" s="1692">
        <v>0</v>
      </c>
      <c r="CM302" s="1692">
        <v>0</v>
      </c>
      <c r="CN302" s="1692">
        <v>0</v>
      </c>
      <c r="CO302" s="1692">
        <v>0</v>
      </c>
      <c r="CP302" s="1692">
        <v>0</v>
      </c>
      <c r="CR302" s="1700">
        <f>CR303-SCENARIOS!$W$41</f>
        <v>0</v>
      </c>
      <c r="CS302" s="1692">
        <v>0</v>
      </c>
      <c r="CT302" s="1692">
        <v>0</v>
      </c>
      <c r="CU302" s="1692">
        <v>0</v>
      </c>
      <c r="CV302" s="1692">
        <v>0</v>
      </c>
      <c r="CW302" s="1692">
        <v>0</v>
      </c>
      <c r="CX302" s="1692">
        <v>0</v>
      </c>
      <c r="CY302" s="1692">
        <v>0</v>
      </c>
      <c r="DA302" s="1700">
        <f>DA303-SCENARIOS!$W$41</f>
        <v>0</v>
      </c>
      <c r="DB302" s="1693">
        <v>0</v>
      </c>
      <c r="DC302" s="1693">
        <v>0</v>
      </c>
      <c r="DD302" s="1693">
        <v>0</v>
      </c>
      <c r="DE302" s="1693">
        <v>0</v>
      </c>
      <c r="DF302" s="1693">
        <v>0</v>
      </c>
      <c r="DG302" s="1693">
        <v>0</v>
      </c>
      <c r="DH302" s="1693">
        <v>0</v>
      </c>
    </row>
    <row r="303" spans="1:118" s="1667" customFormat="1" hidden="1" x14ac:dyDescent="0.25">
      <c r="B303" s="1663"/>
      <c r="C303" s="1698"/>
      <c r="D303" s="1699"/>
      <c r="E303" s="1699"/>
      <c r="F303" s="1699"/>
      <c r="G303" s="1699"/>
      <c r="H303" s="1699"/>
      <c r="I303" s="1699"/>
      <c r="J303" s="1699"/>
      <c r="K303" s="1663"/>
      <c r="L303" s="1663"/>
      <c r="M303" s="1698"/>
      <c r="N303" s="1699"/>
      <c r="O303" s="1699"/>
      <c r="P303" s="1699"/>
      <c r="Q303" s="1699"/>
      <c r="R303" s="1699"/>
      <c r="S303" s="1699"/>
      <c r="T303" s="1699"/>
      <c r="U303" s="1663"/>
      <c r="W303" s="1698"/>
      <c r="X303" s="1699"/>
      <c r="Y303" s="1699"/>
      <c r="Z303" s="1699"/>
      <c r="AA303" s="1699"/>
      <c r="AB303" s="1699"/>
      <c r="AC303" s="1699"/>
      <c r="AD303" s="1699"/>
      <c r="AE303" s="1663"/>
      <c r="AF303" s="1663"/>
      <c r="AG303" s="1698"/>
      <c r="AH303" s="1699"/>
      <c r="AI303" s="1699"/>
      <c r="AJ303" s="1699"/>
      <c r="AK303" s="1699"/>
      <c r="AL303" s="1699"/>
      <c r="AM303" s="1699"/>
      <c r="AN303" s="1699"/>
      <c r="BZ303" s="1700">
        <f>SCENARIOS!$K$41</f>
        <v>0</v>
      </c>
      <c r="CA303" s="1692" t="str">
        <v>n.a</v>
      </c>
      <c r="CB303" s="1692" t="str">
        <v>n.a</v>
      </c>
      <c r="CC303" s="1692" t="str">
        <v>n.a</v>
      </c>
      <c r="CD303" s="1692" t="str">
        <v>n.a</v>
      </c>
      <c r="CE303" s="1692" t="str">
        <v>n.a</v>
      </c>
      <c r="CF303" s="1692" t="str">
        <v>n.a</v>
      </c>
      <c r="CG303" s="1692" t="str">
        <v>n.a</v>
      </c>
      <c r="CI303" s="1700">
        <f>SCENARIOS!$K$41</f>
        <v>0</v>
      </c>
      <c r="CJ303" s="1692">
        <v>0</v>
      </c>
      <c r="CK303" s="1692">
        <v>0</v>
      </c>
      <c r="CL303" s="1692">
        <v>0</v>
      </c>
      <c r="CM303" s="1692">
        <v>0</v>
      </c>
      <c r="CN303" s="1692">
        <v>0</v>
      </c>
      <c r="CO303" s="1692">
        <v>0</v>
      </c>
      <c r="CP303" s="1692">
        <v>0</v>
      </c>
      <c r="CR303" s="1700">
        <f>SCENARIOS!$K$41</f>
        <v>0</v>
      </c>
      <c r="CS303" s="1692">
        <v>0</v>
      </c>
      <c r="CT303" s="1692">
        <v>0</v>
      </c>
      <c r="CU303" s="1692">
        <v>0</v>
      </c>
      <c r="CV303" s="1692">
        <v>0</v>
      </c>
      <c r="CW303" s="1692">
        <v>0</v>
      </c>
      <c r="CX303" s="1692">
        <v>0</v>
      </c>
      <c r="CY303" s="1692">
        <v>0</v>
      </c>
      <c r="DA303" s="1700">
        <f>SCENARIOS!$K$41</f>
        <v>0</v>
      </c>
      <c r="DB303" s="1693">
        <v>0</v>
      </c>
      <c r="DC303" s="1693">
        <v>0</v>
      </c>
      <c r="DD303" s="1693">
        <v>0</v>
      </c>
      <c r="DE303" s="1693">
        <v>0</v>
      </c>
      <c r="DF303" s="1693">
        <v>0</v>
      </c>
      <c r="DG303" s="1693">
        <v>0</v>
      </c>
      <c r="DH303" s="1693">
        <v>0</v>
      </c>
    </row>
    <row r="304" spans="1:118" s="275" customFormat="1" x14ac:dyDescent="0.25">
      <c r="A304" s="1667"/>
      <c r="B304" s="1663"/>
      <c r="C304" s="1698"/>
      <c r="D304" s="1699"/>
      <c r="E304" s="1699"/>
      <c r="F304" s="1699"/>
      <c r="G304" s="1699"/>
      <c r="H304" s="1699"/>
      <c r="I304" s="1699"/>
      <c r="J304" s="1699"/>
      <c r="K304" s="1663"/>
      <c r="L304" s="1663"/>
      <c r="M304" s="1698"/>
      <c r="N304" s="1699"/>
      <c r="O304" s="1699"/>
      <c r="P304" s="1699"/>
      <c r="Q304" s="1699"/>
      <c r="R304" s="1699"/>
      <c r="S304" s="1699"/>
      <c r="T304" s="1699"/>
      <c r="U304" s="1663"/>
      <c r="V304" s="1667"/>
      <c r="W304" s="1698"/>
      <c r="X304" s="1699"/>
      <c r="Y304" s="1699"/>
      <c r="Z304" s="1699"/>
      <c r="AA304" s="1699"/>
      <c r="AB304" s="1699"/>
      <c r="AC304" s="1699"/>
      <c r="AD304" s="1699"/>
      <c r="AE304" s="1663"/>
      <c r="AF304" s="1663"/>
      <c r="AG304" s="1698"/>
      <c r="AH304" s="1699"/>
      <c r="AI304" s="1699"/>
      <c r="AJ304" s="1699"/>
      <c r="AK304" s="1699"/>
      <c r="AL304" s="1699"/>
      <c r="AM304" s="1699"/>
      <c r="AN304" s="1699"/>
      <c r="AO304" s="1667"/>
      <c r="AP304" s="1667"/>
      <c r="AQ304" s="1667"/>
      <c r="AR304" s="1667"/>
      <c r="AS304" s="1667"/>
      <c r="AT304" s="1667"/>
      <c r="AU304" s="1667"/>
      <c r="AV304" s="1667"/>
      <c r="AW304" s="1667"/>
      <c r="AX304" s="1667"/>
      <c r="AY304" s="1667"/>
      <c r="AZ304" s="1667"/>
      <c r="BA304" s="1667"/>
      <c r="BB304" s="1667"/>
      <c r="BC304" s="1667"/>
      <c r="BD304" s="1667"/>
      <c r="BE304" s="1667"/>
      <c r="BF304" s="1667"/>
      <c r="BG304" s="1667"/>
      <c r="BH304" s="1667"/>
      <c r="BI304" s="1667"/>
      <c r="BJ304" s="1667"/>
      <c r="BK304" s="1667"/>
      <c r="BL304" s="1667"/>
      <c r="BM304" s="1667"/>
      <c r="BN304" s="1667"/>
      <c r="BO304" s="1667"/>
      <c r="BP304" s="1667"/>
      <c r="BQ304" s="1667"/>
      <c r="BR304" s="1667"/>
      <c r="BS304" s="1667"/>
      <c r="BT304" s="1667"/>
      <c r="BU304" s="1667"/>
      <c r="BV304" s="1667"/>
      <c r="BW304" s="1667"/>
      <c r="BX304" s="1667"/>
      <c r="BY304" s="1667"/>
      <c r="BZ304" s="1700">
        <f>BZ303+SCENARIOS!$W$41</f>
        <v>0</v>
      </c>
      <c r="CA304" s="1692" t="str">
        <v>n.a</v>
      </c>
      <c r="CB304" s="1692" t="str">
        <v>n.a</v>
      </c>
      <c r="CC304" s="1692" t="str">
        <v>n.a</v>
      </c>
      <c r="CD304" s="1692" t="str">
        <v>n.a</v>
      </c>
      <c r="CE304" s="1692" t="str">
        <v>n.a</v>
      </c>
      <c r="CF304" s="1692" t="str">
        <v>n.a</v>
      </c>
      <c r="CG304" s="1692" t="str">
        <v>n.a</v>
      </c>
      <c r="CH304" s="1667"/>
      <c r="CI304" s="1700">
        <f>CI303+SCENARIOS!$W$41</f>
        <v>0</v>
      </c>
      <c r="CJ304" s="1692">
        <v>0</v>
      </c>
      <c r="CK304" s="1692">
        <v>0</v>
      </c>
      <c r="CL304" s="1692">
        <v>0</v>
      </c>
      <c r="CM304" s="1692">
        <v>0</v>
      </c>
      <c r="CN304" s="1692">
        <v>0</v>
      </c>
      <c r="CO304" s="1692">
        <v>0</v>
      </c>
      <c r="CP304" s="1692">
        <v>0</v>
      </c>
      <c r="CQ304" s="1667"/>
      <c r="CR304" s="1700">
        <f>CR303+SCENARIOS!$W$41</f>
        <v>0</v>
      </c>
      <c r="CS304" s="1692">
        <v>0</v>
      </c>
      <c r="CT304" s="1692">
        <v>0</v>
      </c>
      <c r="CU304" s="1692">
        <v>0</v>
      </c>
      <c r="CV304" s="1692">
        <v>0</v>
      </c>
      <c r="CW304" s="1692">
        <v>0</v>
      </c>
      <c r="CX304" s="1692">
        <v>0</v>
      </c>
      <c r="CY304" s="1692">
        <v>0</v>
      </c>
      <c r="CZ304" s="1667"/>
      <c r="DA304" s="1700">
        <f>DA303+SCENARIOS!$W$41</f>
        <v>0</v>
      </c>
      <c r="DB304" s="1693">
        <v>0</v>
      </c>
      <c r="DC304" s="1693">
        <v>0</v>
      </c>
      <c r="DD304" s="1693">
        <v>0</v>
      </c>
      <c r="DE304" s="1693">
        <v>0</v>
      </c>
      <c r="DF304" s="1693">
        <v>0</v>
      </c>
      <c r="DG304" s="1693">
        <v>0</v>
      </c>
      <c r="DH304" s="1693">
        <v>0</v>
      </c>
      <c r="DI304" s="1667"/>
      <c r="DJ304" s="1667"/>
      <c r="DK304" s="1667"/>
      <c r="DL304" s="1667"/>
      <c r="DM304" s="1667"/>
      <c r="DN304" s="1667"/>
    </row>
    <row r="305" spans="1:118" s="371" customFormat="1" ht="15" customHeight="1" x14ac:dyDescent="0.25">
      <c r="A305" s="1667"/>
      <c r="B305" s="1663"/>
      <c r="C305" s="1698"/>
      <c r="D305" s="1699"/>
      <c r="E305" s="1699"/>
      <c r="F305" s="1699"/>
      <c r="G305" s="1699"/>
      <c r="H305" s="1699"/>
      <c r="I305" s="1699"/>
      <c r="J305" s="1699"/>
      <c r="K305" s="1663"/>
      <c r="L305" s="1663"/>
      <c r="M305" s="1698"/>
      <c r="N305" s="1699"/>
      <c r="O305" s="1699"/>
      <c r="P305" s="1699"/>
      <c r="Q305" s="1699"/>
      <c r="R305" s="1699"/>
      <c r="S305" s="1699"/>
      <c r="T305" s="1699"/>
      <c r="U305" s="1663"/>
      <c r="V305" s="1667"/>
      <c r="W305" s="1698"/>
      <c r="X305" s="1699"/>
      <c r="Y305" s="1699"/>
      <c r="Z305" s="1699"/>
      <c r="AA305" s="1699"/>
      <c r="AB305" s="1699"/>
      <c r="AC305" s="1699"/>
      <c r="AD305" s="1699"/>
      <c r="AE305" s="1663"/>
      <c r="AF305" s="1663"/>
      <c r="AG305" s="1698"/>
      <c r="AH305" s="1699"/>
      <c r="AI305" s="1699"/>
      <c r="AJ305" s="1699"/>
      <c r="AK305" s="1699"/>
      <c r="AL305" s="1699"/>
      <c r="AM305" s="1699"/>
      <c r="AN305" s="1699"/>
      <c r="AO305" s="1667"/>
      <c r="AP305" s="1667"/>
      <c r="AQ305" s="1667"/>
      <c r="AR305" s="1667"/>
      <c r="AS305" s="1667"/>
      <c r="AT305" s="1667"/>
      <c r="AU305" s="1667"/>
      <c r="AV305" s="1667"/>
      <c r="AW305" s="1667"/>
      <c r="AX305" s="1667"/>
      <c r="AY305" s="1667"/>
      <c r="AZ305" s="1667"/>
      <c r="BA305" s="1667"/>
      <c r="BB305" s="1667"/>
      <c r="BC305" s="1667"/>
      <c r="BD305" s="1667"/>
      <c r="BE305" s="1667"/>
      <c r="BF305" s="1667"/>
      <c r="BG305" s="1667"/>
      <c r="BH305" s="1667"/>
      <c r="BI305" s="1667"/>
      <c r="BJ305" s="1667"/>
      <c r="BK305" s="1667"/>
      <c r="BL305" s="1667"/>
      <c r="BM305" s="1667"/>
      <c r="BN305" s="1667"/>
      <c r="BO305" s="1667"/>
      <c r="BP305" s="1667"/>
      <c r="BQ305" s="1667"/>
      <c r="BR305" s="1667"/>
      <c r="BS305" s="1667"/>
      <c r="BT305" s="1667"/>
      <c r="BU305" s="1667"/>
      <c r="BV305" s="1667"/>
      <c r="BW305" s="1667"/>
      <c r="BX305" s="1667"/>
      <c r="BY305" s="1667"/>
      <c r="BZ305" s="1700">
        <f>BZ304+SCENARIOS!$W$41</f>
        <v>0</v>
      </c>
      <c r="CA305" s="1692" t="str">
        <v>n.a</v>
      </c>
      <c r="CB305" s="1692" t="str">
        <v>n.a</v>
      </c>
      <c r="CC305" s="1692" t="str">
        <v>n.a</v>
      </c>
      <c r="CD305" s="1692" t="str">
        <v>n.a</v>
      </c>
      <c r="CE305" s="1692" t="str">
        <v>n.a</v>
      </c>
      <c r="CF305" s="1692" t="str">
        <v>n.a</v>
      </c>
      <c r="CG305" s="1692" t="str">
        <v>n.a</v>
      </c>
      <c r="CH305" s="1667"/>
      <c r="CI305" s="1700">
        <f>CI304+SCENARIOS!$W$41</f>
        <v>0</v>
      </c>
      <c r="CJ305" s="1692">
        <v>0</v>
      </c>
      <c r="CK305" s="1692">
        <v>0</v>
      </c>
      <c r="CL305" s="1692">
        <v>0</v>
      </c>
      <c r="CM305" s="1692">
        <v>0</v>
      </c>
      <c r="CN305" s="1692">
        <v>0</v>
      </c>
      <c r="CO305" s="1692">
        <v>0</v>
      </c>
      <c r="CP305" s="1692">
        <v>0</v>
      </c>
      <c r="CQ305" s="1667"/>
      <c r="CR305" s="1700">
        <f>CR304+SCENARIOS!$W$41</f>
        <v>0</v>
      </c>
      <c r="CS305" s="1692">
        <v>0</v>
      </c>
      <c r="CT305" s="1692">
        <v>0</v>
      </c>
      <c r="CU305" s="1692">
        <v>0</v>
      </c>
      <c r="CV305" s="1692">
        <v>0</v>
      </c>
      <c r="CW305" s="1692">
        <v>0</v>
      </c>
      <c r="CX305" s="1692">
        <v>0</v>
      </c>
      <c r="CY305" s="1692">
        <v>0</v>
      </c>
      <c r="CZ305" s="1667"/>
      <c r="DA305" s="1700">
        <f>DA304+SCENARIOS!$W$41</f>
        <v>0</v>
      </c>
      <c r="DB305" s="1693">
        <v>0</v>
      </c>
      <c r="DC305" s="1693">
        <v>0</v>
      </c>
      <c r="DD305" s="1693">
        <v>0</v>
      </c>
      <c r="DE305" s="1693">
        <v>0</v>
      </c>
      <c r="DF305" s="1693">
        <v>0</v>
      </c>
      <c r="DG305" s="1693">
        <v>0</v>
      </c>
      <c r="DH305" s="1693">
        <v>0</v>
      </c>
      <c r="DI305" s="1667"/>
      <c r="DJ305" s="1667"/>
      <c r="DK305" s="1667"/>
      <c r="DL305" s="1667"/>
      <c r="DM305" s="1667"/>
      <c r="DN305" s="1667"/>
    </row>
    <row r="306" spans="1:118" x14ac:dyDescent="0.25">
      <c r="A306" s="1667"/>
      <c r="B306" s="1663"/>
      <c r="C306" s="1698"/>
      <c r="D306" s="1699"/>
      <c r="E306" s="1699"/>
      <c r="F306" s="1699"/>
      <c r="G306" s="1699"/>
      <c r="H306" s="1699"/>
      <c r="I306" s="1699"/>
      <c r="J306" s="1699"/>
      <c r="K306" s="1663"/>
      <c r="L306" s="1663"/>
      <c r="M306" s="1698"/>
      <c r="N306" s="1699"/>
      <c r="O306" s="1699"/>
      <c r="P306" s="1699"/>
      <c r="Q306" s="1699"/>
      <c r="R306" s="1699"/>
      <c r="S306" s="1699"/>
      <c r="T306" s="1699"/>
      <c r="U306" s="1663"/>
      <c r="V306" s="1667"/>
      <c r="W306" s="1698"/>
      <c r="X306" s="1699"/>
      <c r="Y306" s="1699"/>
      <c r="Z306" s="1699"/>
      <c r="AA306" s="1699"/>
      <c r="AB306" s="1699"/>
      <c r="AC306" s="1699"/>
      <c r="AD306" s="1699"/>
      <c r="AE306" s="1663"/>
      <c r="AF306" s="1663"/>
      <c r="AG306" s="1698"/>
      <c r="AH306" s="1699"/>
      <c r="AI306" s="1699"/>
      <c r="AJ306" s="1699"/>
      <c r="AK306" s="1699"/>
      <c r="AL306" s="1699"/>
      <c r="AM306" s="1699"/>
      <c r="AN306" s="1699"/>
      <c r="AO306" s="1667"/>
      <c r="AP306" s="1667"/>
      <c r="AQ306" s="1667"/>
      <c r="AR306" s="1667"/>
      <c r="AS306" s="1667"/>
      <c r="AT306" s="1667"/>
      <c r="AU306" s="1667"/>
      <c r="AV306" s="1667"/>
      <c r="AW306" s="1667"/>
      <c r="AX306" s="1667"/>
      <c r="AY306" s="1667"/>
      <c r="AZ306" s="1667"/>
      <c r="BA306" s="1667"/>
      <c r="BB306" s="1667"/>
      <c r="BC306" s="1667"/>
      <c r="BD306" s="1667"/>
      <c r="BE306" s="1667"/>
      <c r="BF306" s="1667"/>
      <c r="BG306" s="1667"/>
      <c r="BH306" s="1667"/>
      <c r="BI306" s="1667"/>
      <c r="BJ306" s="1667"/>
      <c r="BK306" s="1667"/>
      <c r="BL306" s="1667"/>
      <c r="BM306" s="1667"/>
      <c r="BN306" s="1667"/>
      <c r="BO306" s="1667"/>
      <c r="BP306" s="1667"/>
      <c r="BQ306" s="1667"/>
      <c r="BR306" s="1667"/>
      <c r="BS306" s="1667"/>
      <c r="BT306" s="1667"/>
      <c r="BU306" s="1667"/>
      <c r="BV306" s="1667"/>
      <c r="BW306" s="1667"/>
      <c r="BX306" s="1667"/>
      <c r="BY306" s="1667"/>
      <c r="BZ306" s="1700">
        <f>BZ305+SCENARIOS!$W$41</f>
        <v>0</v>
      </c>
      <c r="CA306" s="1692" t="str">
        <v>n.a</v>
      </c>
      <c r="CB306" s="1692" t="str">
        <v>n.a</v>
      </c>
      <c r="CC306" s="1692" t="str">
        <v>n.a</v>
      </c>
      <c r="CD306" s="1692" t="str">
        <v>n.a</v>
      </c>
      <c r="CE306" s="1692" t="str">
        <v>n.a</v>
      </c>
      <c r="CF306" s="1692" t="str">
        <v>n.a</v>
      </c>
      <c r="CG306" s="1692" t="str">
        <v>n.a</v>
      </c>
      <c r="CH306" s="1667"/>
      <c r="CI306" s="1700">
        <f>CI305+SCENARIOS!$W$41</f>
        <v>0</v>
      </c>
      <c r="CJ306" s="1692">
        <v>0</v>
      </c>
      <c r="CK306" s="1692">
        <v>0</v>
      </c>
      <c r="CL306" s="1692">
        <v>0</v>
      </c>
      <c r="CM306" s="1692">
        <v>0</v>
      </c>
      <c r="CN306" s="1692">
        <v>0</v>
      </c>
      <c r="CO306" s="1692">
        <v>0</v>
      </c>
      <c r="CP306" s="1692">
        <v>0</v>
      </c>
      <c r="CQ306" s="1667"/>
      <c r="CR306" s="1700">
        <f>CR305+SCENARIOS!$W$41</f>
        <v>0</v>
      </c>
      <c r="CS306" s="1692">
        <v>0</v>
      </c>
      <c r="CT306" s="1692">
        <v>0</v>
      </c>
      <c r="CU306" s="1692">
        <v>0</v>
      </c>
      <c r="CV306" s="1692">
        <v>0</v>
      </c>
      <c r="CW306" s="1692">
        <v>0</v>
      </c>
      <c r="CX306" s="1692">
        <v>0</v>
      </c>
      <c r="CY306" s="1692">
        <v>0</v>
      </c>
      <c r="CZ306" s="1667"/>
      <c r="DA306" s="1700">
        <f>DA305+SCENARIOS!$W$41</f>
        <v>0</v>
      </c>
      <c r="DB306" s="1693">
        <v>0</v>
      </c>
      <c r="DC306" s="1693">
        <v>0</v>
      </c>
      <c r="DD306" s="1693">
        <v>0</v>
      </c>
      <c r="DE306" s="1693">
        <v>0</v>
      </c>
      <c r="DF306" s="1693">
        <v>0</v>
      </c>
      <c r="DG306" s="1693">
        <v>0</v>
      </c>
      <c r="DH306" s="1693">
        <v>0</v>
      </c>
      <c r="DI306" s="1667"/>
      <c r="DJ306" s="1667"/>
      <c r="DK306" s="1667"/>
      <c r="DL306" s="1667"/>
      <c r="DM306" s="1667"/>
      <c r="DN306" s="1667"/>
    </row>
    <row r="307" spans="1:118" x14ac:dyDescent="0.25">
      <c r="A307" s="275"/>
      <c r="B307" s="282"/>
      <c r="C307" s="282"/>
      <c r="D307" s="282"/>
      <c r="E307" s="282"/>
      <c r="F307" s="282"/>
      <c r="G307" s="282"/>
      <c r="H307" s="282"/>
      <c r="I307" s="282"/>
      <c r="J307" s="282"/>
      <c r="K307" s="282"/>
      <c r="L307" s="282"/>
      <c r="M307" s="282"/>
      <c r="N307" s="282"/>
      <c r="O307" s="282"/>
      <c r="P307" s="282"/>
      <c r="Q307" s="282"/>
      <c r="R307" s="282"/>
      <c r="S307" s="282"/>
      <c r="T307" s="275"/>
      <c r="U307" s="282"/>
      <c r="V307" s="275"/>
      <c r="W307" s="275"/>
      <c r="X307" s="275"/>
      <c r="Y307" s="275"/>
      <c r="Z307" s="282"/>
      <c r="AA307" s="282"/>
      <c r="AB307" s="282"/>
      <c r="AC307" s="282"/>
      <c r="AD307" s="282"/>
      <c r="AE307" s="282"/>
      <c r="AF307" s="282"/>
      <c r="AG307" s="275"/>
      <c r="AH307" s="275"/>
      <c r="AI307" s="275"/>
      <c r="AJ307" s="275"/>
      <c r="AK307" s="275"/>
      <c r="AL307" s="275"/>
      <c r="AM307" s="275"/>
      <c r="AN307" s="275"/>
      <c r="AO307" s="275"/>
      <c r="AP307" s="275"/>
      <c r="AQ307" s="275"/>
      <c r="AR307" s="275"/>
      <c r="AS307" s="275"/>
      <c r="AT307" s="275"/>
      <c r="AU307" s="275"/>
      <c r="AV307" s="275"/>
      <c r="AW307" s="275"/>
      <c r="AX307" s="275"/>
      <c r="AY307" s="275"/>
      <c r="AZ307" s="275"/>
      <c r="BA307" s="275"/>
      <c r="BB307" s="275"/>
      <c r="BC307" s="275"/>
      <c r="BD307" s="275"/>
      <c r="BE307" s="275"/>
      <c r="BF307" s="275"/>
      <c r="BG307" s="275"/>
      <c r="BH307" s="275"/>
      <c r="BI307" s="275"/>
      <c r="BJ307" s="275"/>
      <c r="BK307" s="275"/>
      <c r="BL307" s="275"/>
      <c r="BM307" s="275"/>
      <c r="BN307" s="275"/>
      <c r="BO307" s="275"/>
      <c r="BP307" s="275"/>
      <c r="BQ307" s="275"/>
      <c r="BR307" s="275"/>
      <c r="BS307" s="275"/>
      <c r="BT307" s="275"/>
      <c r="BU307" s="275"/>
      <c r="BV307" s="275"/>
      <c r="BW307" s="275"/>
      <c r="BX307" s="275"/>
      <c r="BY307" s="275"/>
      <c r="BZ307" s="275"/>
      <c r="CA307" s="275"/>
      <c r="CB307" s="275"/>
      <c r="CC307" s="275"/>
      <c r="CD307" s="275"/>
      <c r="CE307" s="275"/>
      <c r="CF307" s="275"/>
      <c r="CG307" s="275"/>
      <c r="CH307" s="275"/>
      <c r="CI307" s="275"/>
      <c r="CJ307" s="275"/>
      <c r="CK307" s="275"/>
      <c r="CL307" s="275"/>
      <c r="CM307" s="275"/>
      <c r="CN307" s="275"/>
      <c r="CO307" s="275"/>
      <c r="CP307" s="275"/>
      <c r="CQ307" s="275"/>
      <c r="CR307" s="275"/>
      <c r="CS307" s="275"/>
      <c r="CT307" s="275"/>
      <c r="CU307" s="275"/>
      <c r="CV307" s="275"/>
      <c r="CW307" s="275"/>
      <c r="CX307" s="275"/>
      <c r="CY307" s="275"/>
      <c r="CZ307" s="275"/>
      <c r="DA307" s="275"/>
      <c r="DB307" s="275"/>
      <c r="DC307" s="275"/>
      <c r="DD307" s="275"/>
      <c r="DE307" s="275"/>
      <c r="DF307" s="275"/>
      <c r="DG307" s="275"/>
      <c r="DH307" s="275"/>
      <c r="DI307" s="275"/>
      <c r="DJ307" s="275"/>
      <c r="DK307" s="275"/>
      <c r="DL307" s="275"/>
      <c r="DM307" s="275"/>
      <c r="DN307" s="275"/>
    </row>
    <row r="308" spans="1:118" x14ac:dyDescent="0.25">
      <c r="A308" s="367"/>
      <c r="B308" s="368" t="str">
        <f>DISCLAIMER!$A$35</f>
        <v>© 2025 by WinsWithMike.com or Michael Forsberg Nampa, Idaho. All rights reserved</v>
      </c>
      <c r="C308" s="369"/>
      <c r="D308" s="369"/>
      <c r="E308" s="369"/>
      <c r="F308" s="369"/>
      <c r="G308" s="369"/>
      <c r="H308" s="369"/>
      <c r="I308" s="369"/>
      <c r="J308" s="369"/>
      <c r="K308" s="369"/>
      <c r="L308" s="369"/>
      <c r="M308" s="369"/>
      <c r="N308" s="369"/>
      <c r="O308" s="369"/>
      <c r="P308" s="369"/>
      <c r="Q308" s="369"/>
      <c r="R308" s="369"/>
      <c r="S308" s="369"/>
      <c r="T308" s="369"/>
      <c r="U308" s="369"/>
      <c r="V308" s="369"/>
      <c r="W308" s="369"/>
      <c r="X308" s="369"/>
      <c r="Y308" s="369"/>
      <c r="Z308" s="369"/>
      <c r="AA308" s="369"/>
      <c r="AB308" s="369"/>
      <c r="AC308" s="369"/>
      <c r="AD308" s="369"/>
      <c r="AE308" s="369"/>
      <c r="AF308" s="369"/>
      <c r="AG308" s="369"/>
      <c r="AH308" s="369"/>
      <c r="AI308" s="369"/>
      <c r="AJ308" s="369"/>
      <c r="AK308" s="369"/>
      <c r="AL308" s="369"/>
      <c r="AM308" s="369"/>
      <c r="AN308" s="369"/>
      <c r="AO308" s="369"/>
      <c r="AP308" s="369"/>
      <c r="AQ308" s="369"/>
      <c r="AR308" s="369"/>
      <c r="AS308" s="369"/>
      <c r="AT308" s="369"/>
      <c r="AU308" s="369"/>
      <c r="AV308" s="369"/>
      <c r="AW308" s="369"/>
      <c r="AX308" s="369"/>
      <c r="AY308" s="369"/>
      <c r="AZ308" s="369"/>
      <c r="BA308" s="369"/>
      <c r="BB308" s="369"/>
      <c r="BC308" s="369"/>
      <c r="BD308" s="369"/>
      <c r="BE308" s="369"/>
      <c r="BF308" s="369"/>
      <c r="BG308" s="370"/>
      <c r="BH308" s="371"/>
      <c r="BI308" s="371"/>
      <c r="BJ308" s="371"/>
      <c r="BK308" s="371"/>
      <c r="BL308" s="371"/>
      <c r="BM308" s="371"/>
      <c r="BN308" s="371"/>
      <c r="BO308" s="371"/>
      <c r="BP308" s="371"/>
      <c r="BQ308" s="371"/>
      <c r="BR308" s="371"/>
      <c r="BS308" s="371"/>
      <c r="BT308" s="371"/>
      <c r="BU308" s="371"/>
      <c r="BV308" s="371"/>
      <c r="BW308" s="371"/>
      <c r="BX308" s="371"/>
      <c r="BY308" s="371"/>
      <c r="BZ308" s="371"/>
      <c r="CA308" s="371"/>
      <c r="CB308" s="371"/>
      <c r="CC308" s="371"/>
      <c r="CD308" s="371"/>
      <c r="CE308" s="371"/>
      <c r="CF308" s="371"/>
      <c r="CG308" s="371"/>
      <c r="CH308" s="371"/>
      <c r="CI308" s="371"/>
      <c r="CJ308" s="371"/>
      <c r="CK308" s="371"/>
      <c r="CL308" s="371"/>
      <c r="CM308" s="371"/>
      <c r="CN308" s="371"/>
      <c r="CO308" s="371"/>
      <c r="CP308" s="371"/>
      <c r="CQ308" s="371"/>
      <c r="CR308" s="371"/>
      <c r="CS308" s="371"/>
      <c r="CT308" s="371"/>
      <c r="CU308" s="371"/>
      <c r="CV308" s="371"/>
      <c r="CW308" s="371"/>
      <c r="CX308" s="371"/>
      <c r="CY308" s="371"/>
      <c r="CZ308" s="371"/>
      <c r="DA308" s="371"/>
      <c r="DB308" s="371"/>
      <c r="DC308" s="371"/>
      <c r="DD308" s="371"/>
      <c r="DE308" s="371"/>
      <c r="DF308" s="371"/>
      <c r="DG308" s="371"/>
      <c r="DH308" s="371"/>
      <c r="DI308" s="371"/>
      <c r="DJ308" s="371"/>
      <c r="DK308" s="371"/>
      <c r="DL308" s="371"/>
      <c r="DM308" s="371"/>
      <c r="DN308" s="371"/>
    </row>
  </sheetData>
  <sheetProtection sheet="1" objects="1" scenarios="1" selectLockedCells="1"/>
  <dataConsolidate/>
  <mergeCells count="1503">
    <mergeCell ref="AI109:AL109"/>
    <mergeCell ref="AI108:AL108"/>
    <mergeCell ref="AD108:AH108"/>
    <mergeCell ref="AD109:AH109"/>
    <mergeCell ref="AY154:BB154"/>
    <mergeCell ref="BD130:BF130"/>
    <mergeCell ref="AM150:AP150"/>
    <mergeCell ref="AU148:AX148"/>
    <mergeCell ref="AU149:AX149"/>
    <mergeCell ref="AA152:AD152"/>
    <mergeCell ref="AA153:AD153"/>
    <mergeCell ref="AA154:AD154"/>
    <mergeCell ref="BQ151:BT151"/>
    <mergeCell ref="BQ152:BT152"/>
    <mergeCell ref="BQ153:BT153"/>
    <mergeCell ref="BQ154:BT154"/>
    <mergeCell ref="AQ148:AT148"/>
    <mergeCell ref="AQ149:AT149"/>
    <mergeCell ref="AQ150:AT150"/>
    <mergeCell ref="AQ151:AT151"/>
    <mergeCell ref="AQ154:AT154"/>
    <mergeCell ref="BH152:BK152"/>
    <mergeCell ref="BH153:BK153"/>
    <mergeCell ref="BH154:BK154"/>
    <mergeCell ref="BQ146:BT146"/>
    <mergeCell ref="BD134:BF134"/>
    <mergeCell ref="BH148:BK148"/>
    <mergeCell ref="BH149:BK149"/>
    <mergeCell ref="BQ148:BT148"/>
    <mergeCell ref="BQ149:BT149"/>
    <mergeCell ref="BQ150:BT150"/>
    <mergeCell ref="BL148:BO148"/>
    <mergeCell ref="AH88:AK88"/>
    <mergeCell ref="AD89:AG89"/>
    <mergeCell ref="AQ140:AT140"/>
    <mergeCell ref="AU140:AX140"/>
    <mergeCell ref="K232:N232"/>
    <mergeCell ref="O232:R232"/>
    <mergeCell ref="S232:V232"/>
    <mergeCell ref="W232:Z232"/>
    <mergeCell ref="AA232:AD232"/>
    <mergeCell ref="AE232:AH232"/>
    <mergeCell ref="AI232:AL232"/>
    <mergeCell ref="AM232:AP232"/>
    <mergeCell ref="AQ232:AT232"/>
    <mergeCell ref="AU232:AX232"/>
    <mergeCell ref="AY232:BB232"/>
    <mergeCell ref="BC232:BF232"/>
    <mergeCell ref="BH232:BK232"/>
    <mergeCell ref="BC227:BF227"/>
    <mergeCell ref="BH227:BK227"/>
    <mergeCell ref="S159:V159"/>
    <mergeCell ref="AA159:AD159"/>
    <mergeCell ref="AI159:AL159"/>
    <mergeCell ref="AQ159:AT159"/>
    <mergeCell ref="AY159:BB159"/>
    <mergeCell ref="O159:R159"/>
    <mergeCell ref="W159:Z159"/>
    <mergeCell ref="AE159:AH159"/>
    <mergeCell ref="AM159:AP159"/>
    <mergeCell ref="AU159:AX159"/>
    <mergeCell ref="BC159:BF159"/>
    <mergeCell ref="AM155:AP155"/>
    <mergeCell ref="AI164:AL164"/>
    <mergeCell ref="BM232:BP232"/>
    <mergeCell ref="BQ155:BT155"/>
    <mergeCell ref="BQ156:BT156"/>
    <mergeCell ref="AD81:AG81"/>
    <mergeCell ref="BE80:BF80"/>
    <mergeCell ref="P67:S67"/>
    <mergeCell ref="BH194:BK194"/>
    <mergeCell ref="BQ157:BT157"/>
    <mergeCell ref="AI155:AL155"/>
    <mergeCell ref="BH156:BK156"/>
    <mergeCell ref="BC155:BF155"/>
    <mergeCell ref="BH157:BK157"/>
    <mergeCell ref="BC156:BF156"/>
    <mergeCell ref="BC157:BF157"/>
    <mergeCell ref="AX69:BA69"/>
    <mergeCell ref="BB69:BE69"/>
    <mergeCell ref="AZ28:BC28"/>
    <mergeCell ref="W71:AD71"/>
    <mergeCell ref="AE71:AH71"/>
    <mergeCell ref="AI71:AL71"/>
    <mergeCell ref="AP71:AW71"/>
    <mergeCell ref="AX71:BA71"/>
    <mergeCell ref="BB71:BE71"/>
    <mergeCell ref="BM164:BT164"/>
    <mergeCell ref="BC153:BF153"/>
    <mergeCell ref="BQ167:BT167"/>
    <mergeCell ref="BQ168:BT168"/>
    <mergeCell ref="AQ157:AT157"/>
    <mergeCell ref="AM157:AP157"/>
    <mergeCell ref="BH155:BK155"/>
    <mergeCell ref="AZ82:BC82"/>
    <mergeCell ref="BE82:BF82"/>
    <mergeCell ref="BD27:BF27"/>
    <mergeCell ref="AP47:AW47"/>
    <mergeCell ref="D70:K70"/>
    <mergeCell ref="L70:O70"/>
    <mergeCell ref="P70:S70"/>
    <mergeCell ref="AP69:AW69"/>
    <mergeCell ref="BB70:BE70"/>
    <mergeCell ref="AX70:BA70"/>
    <mergeCell ref="AP68:AW68"/>
    <mergeCell ref="BB40:BE40"/>
    <mergeCell ref="AO41:AR41"/>
    <mergeCell ref="BB41:BE41"/>
    <mergeCell ref="K25:R25"/>
    <mergeCell ref="AU59:AV59"/>
    <mergeCell ref="AO61:AR61"/>
    <mergeCell ref="BB61:BE61"/>
    <mergeCell ref="AO62:AR62"/>
    <mergeCell ref="BB62:BE62"/>
    <mergeCell ref="W67:AD67"/>
    <mergeCell ref="AE67:AH67"/>
    <mergeCell ref="AI67:AL67"/>
    <mergeCell ref="AP67:AW67"/>
    <mergeCell ref="AX67:BA67"/>
    <mergeCell ref="BB67:BE67"/>
    <mergeCell ref="AX68:BA68"/>
    <mergeCell ref="BB68:BE68"/>
    <mergeCell ref="R59:S59"/>
    <mergeCell ref="AG59:AH59"/>
    <mergeCell ref="L61:O61"/>
    <mergeCell ref="AA61:AD61"/>
    <mergeCell ref="L62:O62"/>
    <mergeCell ref="AA62:AD62"/>
    <mergeCell ref="D72:K72"/>
    <mergeCell ref="L72:O72"/>
    <mergeCell ref="P72:S72"/>
    <mergeCell ref="W72:AD72"/>
    <mergeCell ref="AE72:AH72"/>
    <mergeCell ref="AI72:AL72"/>
    <mergeCell ref="AP72:AW72"/>
    <mergeCell ref="AX72:BA72"/>
    <mergeCell ref="BB72:BE72"/>
    <mergeCell ref="BE81:BF81"/>
    <mergeCell ref="D28:H28"/>
    <mergeCell ref="AG37:AH37"/>
    <mergeCell ref="AU37:AV37"/>
    <mergeCell ref="L39:O39"/>
    <mergeCell ref="AA39:AD39"/>
    <mergeCell ref="AO39:AR39"/>
    <mergeCell ref="BB39:BE39"/>
    <mergeCell ref="AO40:AR40"/>
    <mergeCell ref="L40:O40"/>
    <mergeCell ref="AA40:AD40"/>
    <mergeCell ref="L63:O63"/>
    <mergeCell ref="AA63:AD63"/>
    <mergeCell ref="L67:O67"/>
    <mergeCell ref="AP45:AW45"/>
    <mergeCell ref="AX45:BA45"/>
    <mergeCell ref="L49:O49"/>
    <mergeCell ref="BB46:BE46"/>
    <mergeCell ref="BB48:BE48"/>
    <mergeCell ref="AP49:AW49"/>
    <mergeCell ref="BB49:BE49"/>
    <mergeCell ref="AP50:AW50"/>
    <mergeCell ref="BB50:BE50"/>
    <mergeCell ref="B5:E5"/>
    <mergeCell ref="F5:I5"/>
    <mergeCell ref="J5:M5"/>
    <mergeCell ref="N5:Q5"/>
    <mergeCell ref="R5:U5"/>
    <mergeCell ref="V5:Y5"/>
    <mergeCell ref="Z5:AC5"/>
    <mergeCell ref="AH5:AK5"/>
    <mergeCell ref="AD5:AG5"/>
    <mergeCell ref="AJ16:AM16"/>
    <mergeCell ref="D69:K69"/>
    <mergeCell ref="D68:K68"/>
    <mergeCell ref="L68:O68"/>
    <mergeCell ref="P68:S68"/>
    <mergeCell ref="W68:AD68"/>
    <mergeCell ref="AE68:AH68"/>
    <mergeCell ref="AI68:AL68"/>
    <mergeCell ref="K24:R24"/>
    <mergeCell ref="AE27:AI27"/>
    <mergeCell ref="L69:O69"/>
    <mergeCell ref="P69:S69"/>
    <mergeCell ref="C59:D59"/>
    <mergeCell ref="K23:R23"/>
    <mergeCell ref="AE47:AH47"/>
    <mergeCell ref="AE48:AH48"/>
    <mergeCell ref="AE49:AH49"/>
    <mergeCell ref="L41:O41"/>
    <mergeCell ref="AA41:AD41"/>
    <mergeCell ref="AI47:AL47"/>
    <mergeCell ref="AE45:AH45"/>
    <mergeCell ref="L46:O46"/>
    <mergeCell ref="L47:O47"/>
    <mergeCell ref="BL155:BO155"/>
    <mergeCell ref="BL156:BO156"/>
    <mergeCell ref="BL157:BO157"/>
    <mergeCell ref="AU156:AX156"/>
    <mergeCell ref="AY157:BB157"/>
    <mergeCell ref="AY152:BB152"/>
    <mergeCell ref="AY153:BB153"/>
    <mergeCell ref="AI156:AL156"/>
    <mergeCell ref="AI157:AL157"/>
    <mergeCell ref="AQ155:AT155"/>
    <mergeCell ref="AQ156:AT156"/>
    <mergeCell ref="BC186:BF186"/>
    <mergeCell ref="AU184:AX184"/>
    <mergeCell ref="AY184:BB184"/>
    <mergeCell ref="BC184:BF184"/>
    <mergeCell ref="BC158:BF158"/>
    <mergeCell ref="AY169:BB169"/>
    <mergeCell ref="BC169:BF169"/>
    <mergeCell ref="AI184:AL184"/>
    <mergeCell ref="AY178:BB178"/>
    <mergeCell ref="BC178:BF178"/>
    <mergeCell ref="AQ186:AT186"/>
    <mergeCell ref="AU186:AX186"/>
    <mergeCell ref="BH164:BK164"/>
    <mergeCell ref="BL158:BO158"/>
    <mergeCell ref="BM176:BP176"/>
    <mergeCell ref="BM167:BP167"/>
    <mergeCell ref="BM168:BP168"/>
    <mergeCell ref="AY168:BB168"/>
    <mergeCell ref="BC168:BF168"/>
    <mergeCell ref="AM184:AP184"/>
    <mergeCell ref="AQ184:AT184"/>
    <mergeCell ref="C158:I158"/>
    <mergeCell ref="K159:N159"/>
    <mergeCell ref="AM156:AP156"/>
    <mergeCell ref="AI169:AL169"/>
    <mergeCell ref="AM169:AP169"/>
    <mergeCell ref="AQ169:AT169"/>
    <mergeCell ref="C157:I157"/>
    <mergeCell ref="AQ166:AT166"/>
    <mergeCell ref="AU166:AX166"/>
    <mergeCell ref="AY166:BB166"/>
    <mergeCell ref="BC166:BF166"/>
    <mergeCell ref="AA166:AD166"/>
    <mergeCell ref="AI166:AL166"/>
    <mergeCell ref="BM227:BP227"/>
    <mergeCell ref="AI226:AL226"/>
    <mergeCell ref="AM226:AP226"/>
    <mergeCell ref="AQ226:AT226"/>
    <mergeCell ref="AU226:AX226"/>
    <mergeCell ref="AY226:BB226"/>
    <mergeCell ref="BC226:BF226"/>
    <mergeCell ref="BM223:BP223"/>
    <mergeCell ref="BM224:BP224"/>
    <mergeCell ref="BH226:BK226"/>
    <mergeCell ref="BM226:BP226"/>
    <mergeCell ref="C164:I164"/>
    <mergeCell ref="K164:N164"/>
    <mergeCell ref="O164:R164"/>
    <mergeCell ref="S164:V164"/>
    <mergeCell ref="W164:Z164"/>
    <mergeCell ref="AA164:AD164"/>
    <mergeCell ref="AE164:AH164"/>
    <mergeCell ref="O189:R189"/>
    <mergeCell ref="O167:R167"/>
    <mergeCell ref="S167:V167"/>
    <mergeCell ref="C167:I167"/>
    <mergeCell ref="C168:I168"/>
    <mergeCell ref="C169:I169"/>
    <mergeCell ref="AE169:AH169"/>
    <mergeCell ref="K192:N192"/>
    <mergeCell ref="O192:R192"/>
    <mergeCell ref="O186:R186"/>
    <mergeCell ref="O190:R190"/>
    <mergeCell ref="O191:R191"/>
    <mergeCell ref="S191:V191"/>
    <mergeCell ref="W191:Z191"/>
    <mergeCell ref="K166:N166"/>
    <mergeCell ref="O166:R166"/>
    <mergeCell ref="S166:V166"/>
    <mergeCell ref="W166:Z166"/>
    <mergeCell ref="C176:I176"/>
    <mergeCell ref="C177:I177"/>
    <mergeCell ref="C185:I185"/>
    <mergeCell ref="C184:I184"/>
    <mergeCell ref="W187:Z187"/>
    <mergeCell ref="AE186:AH186"/>
    <mergeCell ref="AE166:AH166"/>
    <mergeCell ref="K172:N172"/>
    <mergeCell ref="S186:V186"/>
    <mergeCell ref="W186:Z186"/>
    <mergeCell ref="AA186:AD186"/>
    <mergeCell ref="W177:Z177"/>
    <mergeCell ref="AA177:AD177"/>
    <mergeCell ref="W167:Z167"/>
    <mergeCell ref="O170:R170"/>
    <mergeCell ref="BM230:BP230"/>
    <mergeCell ref="BD135:BF135"/>
    <mergeCell ref="AU153:AX153"/>
    <mergeCell ref="AU154:AX154"/>
    <mergeCell ref="BC152:BF152"/>
    <mergeCell ref="AU152:AX152"/>
    <mergeCell ref="BL151:BO151"/>
    <mergeCell ref="BH146:BO146"/>
    <mergeCell ref="BH147:BK147"/>
    <mergeCell ref="AE150:AH150"/>
    <mergeCell ref="AA149:AD149"/>
    <mergeCell ref="AQ192:AT192"/>
    <mergeCell ref="BM194:BP194"/>
    <mergeCell ref="BC185:BF185"/>
    <mergeCell ref="AY186:BB186"/>
    <mergeCell ref="AA194:AD194"/>
    <mergeCell ref="AE194:AH194"/>
    <mergeCell ref="AA203:AD203"/>
    <mergeCell ref="AM167:AP167"/>
    <mergeCell ref="AU155:AX155"/>
    <mergeCell ref="AU167:AX167"/>
    <mergeCell ref="AY167:BB167"/>
    <mergeCell ref="BC167:BF167"/>
    <mergeCell ref="AY164:BB164"/>
    <mergeCell ref="BC164:BF164"/>
    <mergeCell ref="AE157:AH157"/>
    <mergeCell ref="AY155:BB155"/>
    <mergeCell ref="AY156:BB156"/>
    <mergeCell ref="AM168:AP168"/>
    <mergeCell ref="AA155:AD155"/>
    <mergeCell ref="AA187:AD187"/>
    <mergeCell ref="AE187:AH187"/>
    <mergeCell ref="BH233:BK233"/>
    <mergeCell ref="AQ204:AT204"/>
    <mergeCell ref="AY202:BB202"/>
    <mergeCell ref="BC202:BF202"/>
    <mergeCell ref="AA191:AD191"/>
    <mergeCell ref="AE191:AH191"/>
    <mergeCell ref="AI191:AL191"/>
    <mergeCell ref="O208:R208"/>
    <mergeCell ref="AQ208:AT208"/>
    <mergeCell ref="K203:N203"/>
    <mergeCell ref="K190:N190"/>
    <mergeCell ref="K191:N191"/>
    <mergeCell ref="AQ191:AT191"/>
    <mergeCell ref="O203:R203"/>
    <mergeCell ref="S203:V203"/>
    <mergeCell ref="S156:V156"/>
    <mergeCell ref="S157:V157"/>
    <mergeCell ref="W157:Z157"/>
    <mergeCell ref="AQ168:AT168"/>
    <mergeCell ref="AI187:AL187"/>
    <mergeCell ref="AM187:AP187"/>
    <mergeCell ref="AQ187:AT187"/>
    <mergeCell ref="W203:Z203"/>
    <mergeCell ref="K202:N202"/>
    <mergeCell ref="O202:R202"/>
    <mergeCell ref="S202:V202"/>
    <mergeCell ref="AE199:AH199"/>
    <mergeCell ref="AI199:AL199"/>
    <mergeCell ref="AM199:AP199"/>
    <mergeCell ref="AQ199:AT199"/>
    <mergeCell ref="AM196:AP196"/>
    <mergeCell ref="AQ196:AT196"/>
    <mergeCell ref="AA145:AH145"/>
    <mergeCell ref="AI145:AP145"/>
    <mergeCell ref="AQ145:AX145"/>
    <mergeCell ref="AK126:AM126"/>
    <mergeCell ref="BH150:BK150"/>
    <mergeCell ref="AM153:AP153"/>
    <mergeCell ref="AI194:AL194"/>
    <mergeCell ref="AM194:AP194"/>
    <mergeCell ref="AQ194:AT194"/>
    <mergeCell ref="AU194:AX194"/>
    <mergeCell ref="AY194:BB194"/>
    <mergeCell ref="BC194:BF194"/>
    <mergeCell ref="AY150:BB150"/>
    <mergeCell ref="AY151:BB151"/>
    <mergeCell ref="BH184:BK184"/>
    <mergeCell ref="BC190:BF190"/>
    <mergeCell ref="AM154:AP154"/>
    <mergeCell ref="BH151:BK151"/>
    <mergeCell ref="BC192:BF192"/>
    <mergeCell ref="BC191:BF191"/>
    <mergeCell ref="AQ126:AW126"/>
    <mergeCell ref="BA128:BC128"/>
    <mergeCell ref="BA127:BC127"/>
    <mergeCell ref="AQ127:AW127"/>
    <mergeCell ref="AQ158:AT158"/>
    <mergeCell ref="AU158:AX158"/>
    <mergeCell ref="AU191:AX191"/>
    <mergeCell ref="AY191:BB191"/>
    <mergeCell ref="BH191:BK191"/>
    <mergeCell ref="BH192:BK192"/>
    <mergeCell ref="BH168:BK168"/>
    <mergeCell ref="BH169:BK169"/>
    <mergeCell ref="BM234:BP234"/>
    <mergeCell ref="BM235:BP235"/>
    <mergeCell ref="BM236:BP236"/>
    <mergeCell ref="AQ234:AT234"/>
    <mergeCell ref="AU234:AX234"/>
    <mergeCell ref="AY234:BB234"/>
    <mergeCell ref="BC234:BF234"/>
    <mergeCell ref="BH234:BK234"/>
    <mergeCell ref="AU187:AX187"/>
    <mergeCell ref="AY187:BB187"/>
    <mergeCell ref="BC187:BF187"/>
    <mergeCell ref="M127:Q127"/>
    <mergeCell ref="M128:Q128"/>
    <mergeCell ref="S150:V150"/>
    <mergeCell ref="S151:V151"/>
    <mergeCell ref="O152:R152"/>
    <mergeCell ref="O153:R153"/>
    <mergeCell ref="O154:R154"/>
    <mergeCell ref="O155:R155"/>
    <mergeCell ref="K145:R145"/>
    <mergeCell ref="S145:Z145"/>
    <mergeCell ref="O156:R156"/>
    <mergeCell ref="S152:V152"/>
    <mergeCell ref="BL147:BO147"/>
    <mergeCell ref="BH197:BK197"/>
    <mergeCell ref="AA208:AD208"/>
    <mergeCell ref="AE208:AH208"/>
    <mergeCell ref="AI208:AL208"/>
    <mergeCell ref="AU204:AX204"/>
    <mergeCell ref="BM231:BP231"/>
    <mergeCell ref="BM233:BP233"/>
    <mergeCell ref="BH202:BK202"/>
    <mergeCell ref="BL149:BO149"/>
    <mergeCell ref="BL150:BO150"/>
    <mergeCell ref="AI146:AP146"/>
    <mergeCell ref="AI147:AL147"/>
    <mergeCell ref="AM147:AP147"/>
    <mergeCell ref="AQ146:AX146"/>
    <mergeCell ref="AQ147:AT147"/>
    <mergeCell ref="AU147:AX147"/>
    <mergeCell ref="AY146:BF146"/>
    <mergeCell ref="AY147:BB147"/>
    <mergeCell ref="BC147:BF147"/>
    <mergeCell ref="AI150:AL150"/>
    <mergeCell ref="BC148:BF148"/>
    <mergeCell ref="BC149:BF149"/>
    <mergeCell ref="BC150:BF150"/>
    <mergeCell ref="AM148:AP148"/>
    <mergeCell ref="AI154:AL154"/>
    <mergeCell ref="AI153:AL153"/>
    <mergeCell ref="AQ152:AT152"/>
    <mergeCell ref="AQ153:AT153"/>
    <mergeCell ref="AM151:AP151"/>
    <mergeCell ref="AM152:AP152"/>
    <mergeCell ref="BL152:BO152"/>
    <mergeCell ref="BL153:BO153"/>
    <mergeCell ref="BL154:BO154"/>
    <mergeCell ref="AI152:AL152"/>
    <mergeCell ref="BC151:BF151"/>
    <mergeCell ref="AI100:AL100"/>
    <mergeCell ref="BD120:BF120"/>
    <mergeCell ref="BD121:BF121"/>
    <mergeCell ref="BA122:BC122"/>
    <mergeCell ref="BA121:BC121"/>
    <mergeCell ref="BA120:BC120"/>
    <mergeCell ref="BA119:BC119"/>
    <mergeCell ref="AZ85:BC85"/>
    <mergeCell ref="AZ87:BC87"/>
    <mergeCell ref="AZ103:BC103"/>
    <mergeCell ref="BE103:BF103"/>
    <mergeCell ref="AZ98:BC98"/>
    <mergeCell ref="BE98:BF98"/>
    <mergeCell ref="BD118:BF118"/>
    <mergeCell ref="BD119:BF119"/>
    <mergeCell ref="AX122:AZ122"/>
    <mergeCell ref="BE101:BF101"/>
    <mergeCell ref="AX121:AZ121"/>
    <mergeCell ref="AZ104:BC104"/>
    <mergeCell ref="BE104:BF104"/>
    <mergeCell ref="AZ101:BC101"/>
    <mergeCell ref="AZ99:BC99"/>
    <mergeCell ref="BE99:BF99"/>
    <mergeCell ref="AZ100:BC100"/>
    <mergeCell ref="BE100:BF100"/>
    <mergeCell ref="AZ107:BC107"/>
    <mergeCell ref="AZ105:BC105"/>
    <mergeCell ref="BE105:BF105"/>
    <mergeCell ref="AK122:AM122"/>
    <mergeCell ref="AQ120:AW120"/>
    <mergeCell ref="AQ121:AW121"/>
    <mergeCell ref="AQ122:AW122"/>
    <mergeCell ref="AD101:AH101"/>
    <mergeCell ref="BD125:BF125"/>
    <mergeCell ref="BD122:BF122"/>
    <mergeCell ref="AQ124:AW124"/>
    <mergeCell ref="AX118:AZ118"/>
    <mergeCell ref="AX119:AZ119"/>
    <mergeCell ref="AX125:AZ125"/>
    <mergeCell ref="AX126:AZ126"/>
    <mergeCell ref="AZ83:BC83"/>
    <mergeCell ref="AZ26:BC26"/>
    <mergeCell ref="AZ80:BC80"/>
    <mergeCell ref="AZ81:BC81"/>
    <mergeCell ref="AZ84:BC84"/>
    <mergeCell ref="K86:N86"/>
    <mergeCell ref="AD80:AG80"/>
    <mergeCell ref="AE28:AI28"/>
    <mergeCell ref="AD79:AG79"/>
    <mergeCell ref="AH79:AL79"/>
    <mergeCell ref="AH80:AL80"/>
    <mergeCell ref="BE88:BF88"/>
    <mergeCell ref="BE89:BF89"/>
    <mergeCell ref="AZ88:BC88"/>
    <mergeCell ref="AZ89:BC89"/>
    <mergeCell ref="AI45:AL45"/>
    <mergeCell ref="AI46:AL46"/>
    <mergeCell ref="P47:S47"/>
    <mergeCell ref="P48:S48"/>
    <mergeCell ref="P49:S49"/>
    <mergeCell ref="P50:S50"/>
    <mergeCell ref="AO63:AR63"/>
    <mergeCell ref="BB63:BE63"/>
    <mergeCell ref="AD87:AG87"/>
    <mergeCell ref="O263:R263"/>
    <mergeCell ref="O264:R264"/>
    <mergeCell ref="O265:R265"/>
    <mergeCell ref="O243:R243"/>
    <mergeCell ref="O244:R244"/>
    <mergeCell ref="O245:R245"/>
    <mergeCell ref="O246:R246"/>
    <mergeCell ref="O249:R249"/>
    <mergeCell ref="O248:R248"/>
    <mergeCell ref="O251:R251"/>
    <mergeCell ref="O257:R257"/>
    <mergeCell ref="O258:R258"/>
    <mergeCell ref="AE128:AG128"/>
    <mergeCell ref="AK127:AM127"/>
    <mergeCell ref="AE122:AG122"/>
    <mergeCell ref="BA130:BC130"/>
    <mergeCell ref="AX130:AZ130"/>
    <mergeCell ref="BA126:BC126"/>
    <mergeCell ref="BA125:BC125"/>
    <mergeCell ref="AY158:BB158"/>
    <mergeCell ref="O185:R185"/>
    <mergeCell ref="S185:V185"/>
    <mergeCell ref="W185:Z185"/>
    <mergeCell ref="AA185:AD185"/>
    <mergeCell ref="AE185:AH185"/>
    <mergeCell ref="AE124:AG124"/>
    <mergeCell ref="AH123:AJ123"/>
    <mergeCell ref="AA157:AD157"/>
    <mergeCell ref="AE192:AH192"/>
    <mergeCell ref="AI192:AL192"/>
    <mergeCell ref="AM192:AP192"/>
    <mergeCell ref="AM149:AP149"/>
    <mergeCell ref="W123:AC123"/>
    <mergeCell ref="W124:AC124"/>
    <mergeCell ref="W125:AC125"/>
    <mergeCell ref="AE123:AG123"/>
    <mergeCell ref="AI185:AL185"/>
    <mergeCell ref="AM185:AP185"/>
    <mergeCell ref="AQ185:AT185"/>
    <mergeCell ref="AU185:AX185"/>
    <mergeCell ref="K243:N243"/>
    <mergeCell ref="K246:N246"/>
    <mergeCell ref="K197:N197"/>
    <mergeCell ref="H124:L124"/>
    <mergeCell ref="H126:L126"/>
    <mergeCell ref="M126:Q126"/>
    <mergeCell ref="K157:N157"/>
    <mergeCell ref="AU157:AX157"/>
    <mergeCell ref="AU150:AX150"/>
    <mergeCell ref="W210:Z210"/>
    <mergeCell ref="AA210:AD210"/>
    <mergeCell ref="AE210:AH210"/>
    <mergeCell ref="AQ202:AT202"/>
    <mergeCell ref="AA167:AD167"/>
    <mergeCell ref="AE167:AH167"/>
    <mergeCell ref="AI167:AL167"/>
    <mergeCell ref="K174:N174"/>
    <mergeCell ref="K169:N169"/>
    <mergeCell ref="O169:R169"/>
    <mergeCell ref="K168:N168"/>
    <mergeCell ref="O168:R168"/>
    <mergeCell ref="S168:V168"/>
    <mergeCell ref="AX128:AZ128"/>
    <mergeCell ref="AQ125:AW125"/>
    <mergeCell ref="K261:N261"/>
    <mergeCell ref="O261:R261"/>
    <mergeCell ref="P134:S134"/>
    <mergeCell ref="K251:N251"/>
    <mergeCell ref="K260:N260"/>
    <mergeCell ref="O260:R260"/>
    <mergeCell ref="K256:N256"/>
    <mergeCell ref="O256:R256"/>
    <mergeCell ref="K257:N257"/>
    <mergeCell ref="K258:N258"/>
    <mergeCell ref="K259:N259"/>
    <mergeCell ref="O259:R259"/>
    <mergeCell ref="K248:N248"/>
    <mergeCell ref="K249:N249"/>
    <mergeCell ref="AY145:BF145"/>
    <mergeCell ref="BC154:BF154"/>
    <mergeCell ref="AY148:BB148"/>
    <mergeCell ref="AY149:BB149"/>
    <mergeCell ref="W168:Z168"/>
    <mergeCell ref="K244:N244"/>
    <mergeCell ref="AM140:AP140"/>
    <mergeCell ref="AY233:BB233"/>
    <mergeCell ref="BC233:BF233"/>
    <mergeCell ref="AE151:AH151"/>
    <mergeCell ref="AE152:AH152"/>
    <mergeCell ref="AE153:AH153"/>
    <mergeCell ref="AE154:AH154"/>
    <mergeCell ref="AE155:AH155"/>
    <mergeCell ref="AE156:AH156"/>
    <mergeCell ref="AI148:AL148"/>
    <mergeCell ref="AI149:AL149"/>
    <mergeCell ref="AI151:AL151"/>
    <mergeCell ref="C153:I153"/>
    <mergeCell ref="H127:L127"/>
    <mergeCell ref="H128:L128"/>
    <mergeCell ref="AA168:AD168"/>
    <mergeCell ref="AE168:AH168"/>
    <mergeCell ref="AI168:AL168"/>
    <mergeCell ref="W153:Z153"/>
    <mergeCell ref="W154:Z154"/>
    <mergeCell ref="W155:Z155"/>
    <mergeCell ref="C166:I166"/>
    <mergeCell ref="C155:I155"/>
    <mergeCell ref="K155:N155"/>
    <mergeCell ref="C156:I156"/>
    <mergeCell ref="P138:S138"/>
    <mergeCell ref="L140:O140"/>
    <mergeCell ref="L138:O138"/>
    <mergeCell ref="AE127:AG127"/>
    <mergeCell ref="AH127:AJ127"/>
    <mergeCell ref="W127:AC127"/>
    <mergeCell ref="AH128:AJ128"/>
    <mergeCell ref="W149:Z149"/>
    <mergeCell ref="AK128:AM128"/>
    <mergeCell ref="L136:O136"/>
    <mergeCell ref="P136:S136"/>
    <mergeCell ref="AA146:AH146"/>
    <mergeCell ref="C128:G128"/>
    <mergeCell ref="C150:I150"/>
    <mergeCell ref="C151:I151"/>
    <mergeCell ref="C152:I152"/>
    <mergeCell ref="C148:I148"/>
    <mergeCell ref="C146:I146"/>
    <mergeCell ref="K167:N167"/>
    <mergeCell ref="AK119:AM119"/>
    <mergeCell ref="AQ123:AW123"/>
    <mergeCell ref="O157:R157"/>
    <mergeCell ref="AM186:AP186"/>
    <mergeCell ref="AM204:AP204"/>
    <mergeCell ref="AM208:AP208"/>
    <mergeCell ref="K188:N188"/>
    <mergeCell ref="AM190:AP190"/>
    <mergeCell ref="AQ190:AT190"/>
    <mergeCell ref="AU190:AX190"/>
    <mergeCell ref="W148:Z148"/>
    <mergeCell ref="AK123:AM123"/>
    <mergeCell ref="AK124:AM124"/>
    <mergeCell ref="AX123:AZ123"/>
    <mergeCell ref="W156:Z156"/>
    <mergeCell ref="AF138:AH138"/>
    <mergeCell ref="AE147:AH147"/>
    <mergeCell ref="AE148:AH148"/>
    <mergeCell ref="AE149:AH149"/>
    <mergeCell ref="S155:V155"/>
    <mergeCell ref="AA156:AD156"/>
    <mergeCell ref="K156:N156"/>
    <mergeCell ref="AU192:AX192"/>
    <mergeCell ref="AY192:BB192"/>
    <mergeCell ref="AU203:AX203"/>
    <mergeCell ref="AA147:AD147"/>
    <mergeCell ref="K147:N147"/>
    <mergeCell ref="O147:R147"/>
    <mergeCell ref="K146:R146"/>
    <mergeCell ref="S146:Z146"/>
    <mergeCell ref="S147:V147"/>
    <mergeCell ref="W122:AC122"/>
    <mergeCell ref="BK10:BR10"/>
    <mergeCell ref="BK12:BR12"/>
    <mergeCell ref="BK14:BR14"/>
    <mergeCell ref="BK16:BR16"/>
    <mergeCell ref="BK18:BR18"/>
    <mergeCell ref="K16:R16"/>
    <mergeCell ref="K19:R19"/>
    <mergeCell ref="AE17:AI17"/>
    <mergeCell ref="K17:R17"/>
    <mergeCell ref="AZ18:BC18"/>
    <mergeCell ref="AZ12:BF12"/>
    <mergeCell ref="AZ15:BC15"/>
    <mergeCell ref="AZ16:BC16"/>
    <mergeCell ref="BA5:BC5"/>
    <mergeCell ref="AL5:AO5"/>
    <mergeCell ref="AR5:AT5"/>
    <mergeCell ref="AU5:AV5"/>
    <mergeCell ref="AY5:AZ5"/>
    <mergeCell ref="BD5:BE5"/>
    <mergeCell ref="BH5:BI5"/>
    <mergeCell ref="BL5:BM5"/>
    <mergeCell ref="AW5:AX5"/>
    <mergeCell ref="BF5:BG5"/>
    <mergeCell ref="BJ5:BK5"/>
    <mergeCell ref="AE12:AI12"/>
    <mergeCell ref="K245:N245"/>
    <mergeCell ref="AH126:AJ126"/>
    <mergeCell ref="L139:O139"/>
    <mergeCell ref="L134:O134"/>
    <mergeCell ref="K79:N79"/>
    <mergeCell ref="O80:R80"/>
    <mergeCell ref="O81:R81"/>
    <mergeCell ref="AJ13:AM13"/>
    <mergeCell ref="AD104:AH104"/>
    <mergeCell ref="D27:H27"/>
    <mergeCell ref="AE13:AI13"/>
    <mergeCell ref="AE14:AI14"/>
    <mergeCell ref="AD90:AG90"/>
    <mergeCell ref="K90:N90"/>
    <mergeCell ref="O86:R86"/>
    <mergeCell ref="AD97:AH97"/>
    <mergeCell ref="AK118:AM118"/>
    <mergeCell ref="S197:V197"/>
    <mergeCell ref="W197:Z197"/>
    <mergeCell ref="AA197:AD197"/>
    <mergeCell ref="AE197:AH197"/>
    <mergeCell ref="AI197:AL197"/>
    <mergeCell ref="AM197:AP197"/>
    <mergeCell ref="I27:M27"/>
    <mergeCell ref="K22:R22"/>
    <mergeCell ref="AI186:AL186"/>
    <mergeCell ref="K21:R21"/>
    <mergeCell ref="AH121:AJ121"/>
    <mergeCell ref="AH125:AJ125"/>
    <mergeCell ref="AK125:AM125"/>
    <mergeCell ref="AH124:AJ124"/>
    <mergeCell ref="AE119:AG119"/>
    <mergeCell ref="AZ22:BC22"/>
    <mergeCell ref="AZ21:BC21"/>
    <mergeCell ref="AZ23:BC23"/>
    <mergeCell ref="K13:R13"/>
    <mergeCell ref="K14:R14"/>
    <mergeCell ref="K15:R15"/>
    <mergeCell ref="K12:R12"/>
    <mergeCell ref="AE15:AI15"/>
    <mergeCell ref="AE25:AI25"/>
    <mergeCell ref="AZ17:BC17"/>
    <mergeCell ref="AJ12:AM12"/>
    <mergeCell ref="AE16:AI16"/>
    <mergeCell ref="AE29:AI29"/>
    <mergeCell ref="K20:R20"/>
    <mergeCell ref="AZ27:BC27"/>
    <mergeCell ref="AH87:AK87"/>
    <mergeCell ref="O82:R82"/>
    <mergeCell ref="O85:R85"/>
    <mergeCell ref="O84:R84"/>
    <mergeCell ref="W48:AD48"/>
    <mergeCell ref="W49:AD49"/>
    <mergeCell ref="W50:AD50"/>
    <mergeCell ref="L48:O48"/>
    <mergeCell ref="O79:R79"/>
    <mergeCell ref="AE50:AH50"/>
    <mergeCell ref="AX46:BA46"/>
    <mergeCell ref="AX47:BA47"/>
    <mergeCell ref="AX48:BA48"/>
    <mergeCell ref="AX49:BA49"/>
    <mergeCell ref="AX50:BA50"/>
    <mergeCell ref="BB45:BE45"/>
    <mergeCell ref="AP46:AW46"/>
    <mergeCell ref="AD100:AH100"/>
    <mergeCell ref="AD106:AH106"/>
    <mergeCell ref="K80:N80"/>
    <mergeCell ref="AC34:AJ34"/>
    <mergeCell ref="D46:K46"/>
    <mergeCell ref="D45:K45"/>
    <mergeCell ref="L45:O45"/>
    <mergeCell ref="P45:S45"/>
    <mergeCell ref="P46:S46"/>
    <mergeCell ref="D47:K47"/>
    <mergeCell ref="D48:K48"/>
    <mergeCell ref="D49:K49"/>
    <mergeCell ref="D50:K50"/>
    <mergeCell ref="W45:AD45"/>
    <mergeCell ref="W46:AD46"/>
    <mergeCell ref="W47:AD47"/>
    <mergeCell ref="L105:P105"/>
    <mergeCell ref="L104:P104"/>
    <mergeCell ref="U34:AB34"/>
    <mergeCell ref="C37:D37"/>
    <mergeCell ref="R37:S37"/>
    <mergeCell ref="D67:K67"/>
    <mergeCell ref="AD103:AH103"/>
    <mergeCell ref="AD102:AH102"/>
    <mergeCell ref="L102:P102"/>
    <mergeCell ref="AD82:AG82"/>
    <mergeCell ref="L101:P101"/>
    <mergeCell ref="K82:N82"/>
    <mergeCell ref="AI104:AL104"/>
    <mergeCell ref="O88:R88"/>
    <mergeCell ref="L50:O50"/>
    <mergeCell ref="AD105:AH105"/>
    <mergeCell ref="L103:P103"/>
    <mergeCell ref="L117:O117"/>
    <mergeCell ref="W126:AC126"/>
    <mergeCell ref="Z98:AB98"/>
    <mergeCell ref="S148:V148"/>
    <mergeCell ref="S149:V149"/>
    <mergeCell ref="K152:N152"/>
    <mergeCell ref="K153:N153"/>
    <mergeCell ref="K154:N154"/>
    <mergeCell ref="L119:O119"/>
    <mergeCell ref="K100:Q100"/>
    <mergeCell ref="W120:AC120"/>
    <mergeCell ref="L118:O118"/>
    <mergeCell ref="H123:L123"/>
    <mergeCell ref="K116:N116"/>
    <mergeCell ref="O116:R116"/>
    <mergeCell ref="S116:U116"/>
    <mergeCell ref="H117:K117"/>
    <mergeCell ref="H118:K118"/>
    <mergeCell ref="H119:K119"/>
    <mergeCell ref="P118:S118"/>
    <mergeCell ref="P117:S117"/>
    <mergeCell ref="P119:S119"/>
    <mergeCell ref="C154:I154"/>
    <mergeCell ref="W121:AC121"/>
    <mergeCell ref="C127:G127"/>
    <mergeCell ref="W150:Z150"/>
    <mergeCell ref="W151:Z151"/>
    <mergeCell ref="W152:Z152"/>
    <mergeCell ref="L135:O135"/>
    <mergeCell ref="S153:V153"/>
    <mergeCell ref="S154:V154"/>
    <mergeCell ref="O148:R148"/>
    <mergeCell ref="C149:I149"/>
    <mergeCell ref="H129:J129"/>
    <mergeCell ref="O149:R149"/>
    <mergeCell ref="K148:N148"/>
    <mergeCell ref="K149:N149"/>
    <mergeCell ref="I130:L130"/>
    <mergeCell ref="AA150:AD150"/>
    <mergeCell ref="AA148:AD148"/>
    <mergeCell ref="AA151:AD151"/>
    <mergeCell ref="O150:R150"/>
    <mergeCell ref="O151:R151"/>
    <mergeCell ref="K150:N150"/>
    <mergeCell ref="K151:N151"/>
    <mergeCell ref="C229:I229"/>
    <mergeCell ref="K199:N199"/>
    <mergeCell ref="O199:R199"/>
    <mergeCell ref="S199:V199"/>
    <mergeCell ref="W199:Z199"/>
    <mergeCell ref="AA199:AD199"/>
    <mergeCell ref="K194:N194"/>
    <mergeCell ref="K205:N205"/>
    <mergeCell ref="O205:R205"/>
    <mergeCell ref="S205:V205"/>
    <mergeCell ref="W205:Z205"/>
    <mergeCell ref="C186:I186"/>
    <mergeCell ref="K186:N186"/>
    <mergeCell ref="K178:N178"/>
    <mergeCell ref="O178:R178"/>
    <mergeCell ref="K185:N185"/>
    <mergeCell ref="C172:I172"/>
    <mergeCell ref="L129:N129"/>
    <mergeCell ref="K201:N201"/>
    <mergeCell ref="K196:N196"/>
    <mergeCell ref="AQ167:AT167"/>
    <mergeCell ref="K187:N187"/>
    <mergeCell ref="S192:V192"/>
    <mergeCell ref="W192:Z192"/>
    <mergeCell ref="AA192:AD192"/>
    <mergeCell ref="AA204:AD204"/>
    <mergeCell ref="AE204:AH204"/>
    <mergeCell ref="AI204:AL204"/>
    <mergeCell ref="O204:R204"/>
    <mergeCell ref="O187:R187"/>
    <mergeCell ref="S187:V187"/>
    <mergeCell ref="O194:R194"/>
    <mergeCell ref="S194:V194"/>
    <mergeCell ref="AI203:AL203"/>
    <mergeCell ref="AM203:AP203"/>
    <mergeCell ref="AQ203:AT203"/>
    <mergeCell ref="AM191:AP191"/>
    <mergeCell ref="K200:N200"/>
    <mergeCell ref="S195:V195"/>
    <mergeCell ref="W195:Z195"/>
    <mergeCell ref="S169:V169"/>
    <mergeCell ref="W169:Z169"/>
    <mergeCell ref="AA169:AD169"/>
    <mergeCell ref="K184:N184"/>
    <mergeCell ref="O184:R184"/>
    <mergeCell ref="S184:V184"/>
    <mergeCell ref="W184:Z184"/>
    <mergeCell ref="AA184:AD184"/>
    <mergeCell ref="AE184:AH184"/>
    <mergeCell ref="S189:V189"/>
    <mergeCell ref="K231:N231"/>
    <mergeCell ref="O231:R231"/>
    <mergeCell ref="S231:V231"/>
    <mergeCell ref="W231:Z231"/>
    <mergeCell ref="AA231:AD231"/>
    <mergeCell ref="AE231:AH231"/>
    <mergeCell ref="AI231:AL231"/>
    <mergeCell ref="AM231:AP231"/>
    <mergeCell ref="AQ231:AT231"/>
    <mergeCell ref="AU231:AX231"/>
    <mergeCell ref="AY231:BB231"/>
    <mergeCell ref="BC231:BF231"/>
    <mergeCell ref="BH231:BK231"/>
    <mergeCell ref="AM230:AP230"/>
    <mergeCell ref="K204:N204"/>
    <mergeCell ref="BH230:BK230"/>
    <mergeCell ref="S204:V204"/>
    <mergeCell ref="W204:Z204"/>
    <mergeCell ref="K227:N227"/>
    <mergeCell ref="O227:R227"/>
    <mergeCell ref="S227:V227"/>
    <mergeCell ref="K226:N226"/>
    <mergeCell ref="O226:R226"/>
    <mergeCell ref="K211:N211"/>
    <mergeCell ref="S213:V213"/>
    <mergeCell ref="AU208:AX208"/>
    <mergeCell ref="AI210:AL210"/>
    <mergeCell ref="AM210:AP210"/>
    <mergeCell ref="K207:N207"/>
    <mergeCell ref="O207:R207"/>
    <mergeCell ref="AM211:AP211"/>
    <mergeCell ref="AQ211:AT211"/>
    <mergeCell ref="BH196:BK196"/>
    <mergeCell ref="BH201:BK201"/>
    <mergeCell ref="O201:R201"/>
    <mergeCell ref="AY195:BB195"/>
    <mergeCell ref="S200:V200"/>
    <mergeCell ref="W200:Z200"/>
    <mergeCell ref="AA200:AD200"/>
    <mergeCell ref="AM201:AP201"/>
    <mergeCell ref="AQ201:AT201"/>
    <mergeCell ref="O196:R196"/>
    <mergeCell ref="S196:V196"/>
    <mergeCell ref="W196:Z196"/>
    <mergeCell ref="AA196:AD196"/>
    <mergeCell ref="W194:Z194"/>
    <mergeCell ref="AM195:AP195"/>
    <mergeCell ref="AQ195:AT195"/>
    <mergeCell ref="AU199:AX199"/>
    <mergeCell ref="AY199:BB199"/>
    <mergeCell ref="BC199:BF199"/>
    <mergeCell ref="BH199:BK199"/>
    <mergeCell ref="BH200:BK200"/>
    <mergeCell ref="AU195:AX195"/>
    <mergeCell ref="AA201:AD201"/>
    <mergeCell ref="AE201:AH201"/>
    <mergeCell ref="AI201:AL201"/>
    <mergeCell ref="AQ197:AT197"/>
    <mergeCell ref="AE195:AH195"/>
    <mergeCell ref="AI195:AL195"/>
    <mergeCell ref="AU200:AX200"/>
    <mergeCell ref="AY200:BB200"/>
    <mergeCell ref="O197:R197"/>
    <mergeCell ref="AQ200:AT200"/>
    <mergeCell ref="K235:N235"/>
    <mergeCell ref="O235:R235"/>
    <mergeCell ref="S235:V235"/>
    <mergeCell ref="W235:Z235"/>
    <mergeCell ref="AA235:AD235"/>
    <mergeCell ref="AE235:AH235"/>
    <mergeCell ref="AI235:AL235"/>
    <mergeCell ref="AM235:AP235"/>
    <mergeCell ref="K206:N206"/>
    <mergeCell ref="AQ230:AT230"/>
    <mergeCell ref="AU230:AX230"/>
    <mergeCell ref="K233:N233"/>
    <mergeCell ref="O233:R233"/>
    <mergeCell ref="S233:V233"/>
    <mergeCell ref="W233:Z233"/>
    <mergeCell ref="AA233:AD233"/>
    <mergeCell ref="AE233:AH233"/>
    <mergeCell ref="AU210:AX210"/>
    <mergeCell ref="W221:Z221"/>
    <mergeCell ref="AA221:AD221"/>
    <mergeCell ref="AI233:AL233"/>
    <mergeCell ref="AM233:AP233"/>
    <mergeCell ref="AQ233:AT233"/>
    <mergeCell ref="AU233:AX233"/>
    <mergeCell ref="S226:V226"/>
    <mergeCell ref="W226:Z226"/>
    <mergeCell ref="AA226:AD226"/>
    <mergeCell ref="AE226:AH226"/>
    <mergeCell ref="S210:V210"/>
    <mergeCell ref="W227:Z227"/>
    <mergeCell ref="AA227:AD227"/>
    <mergeCell ref="AE227:AH227"/>
    <mergeCell ref="AY227:BB227"/>
    <mergeCell ref="AI209:AL209"/>
    <mergeCell ref="AM209:AP209"/>
    <mergeCell ref="AQ209:AT209"/>
    <mergeCell ref="O214:R214"/>
    <mergeCell ref="S214:V214"/>
    <mergeCell ref="W214:Z214"/>
    <mergeCell ref="AA214:AD214"/>
    <mergeCell ref="AE214:AH214"/>
    <mergeCell ref="AI214:AL214"/>
    <mergeCell ref="AY220:BB220"/>
    <mergeCell ref="S211:V211"/>
    <mergeCell ref="AQ213:AT213"/>
    <mergeCell ref="AY215:BB215"/>
    <mergeCell ref="AM220:AP220"/>
    <mergeCell ref="AQ220:AT220"/>
    <mergeCell ref="W220:Z220"/>
    <mergeCell ref="AA220:AD220"/>
    <mergeCell ref="AM221:AP221"/>
    <mergeCell ref="AQ221:AT221"/>
    <mergeCell ref="AU221:AX221"/>
    <mergeCell ref="AY221:BB221"/>
    <mergeCell ref="AY188:BB188"/>
    <mergeCell ref="BC188:BF188"/>
    <mergeCell ref="BH188:BK188"/>
    <mergeCell ref="K234:N234"/>
    <mergeCell ref="O234:R234"/>
    <mergeCell ref="O200:R200"/>
    <mergeCell ref="AQ235:AT235"/>
    <mergeCell ref="AU235:AX235"/>
    <mergeCell ref="O188:R188"/>
    <mergeCell ref="S188:V188"/>
    <mergeCell ref="W188:Z188"/>
    <mergeCell ref="AA188:AD188"/>
    <mergeCell ref="AE188:AH188"/>
    <mergeCell ref="AM189:AP189"/>
    <mergeCell ref="AQ189:AT189"/>
    <mergeCell ref="AU189:AX189"/>
    <mergeCell ref="W190:Z190"/>
    <mergeCell ref="W213:Z213"/>
    <mergeCell ref="AA213:AD213"/>
    <mergeCell ref="AE213:AH213"/>
    <mergeCell ref="AI213:AL213"/>
    <mergeCell ref="K210:N210"/>
    <mergeCell ref="O210:R210"/>
    <mergeCell ref="K209:N209"/>
    <mergeCell ref="W201:Z201"/>
    <mergeCell ref="AY189:BB189"/>
    <mergeCell ref="K189:N189"/>
    <mergeCell ref="K195:N195"/>
    <mergeCell ref="O195:R195"/>
    <mergeCell ref="AM227:AP227"/>
    <mergeCell ref="AQ227:AT227"/>
    <mergeCell ref="AU227:AX227"/>
    <mergeCell ref="K158:N158"/>
    <mergeCell ref="O158:R158"/>
    <mergeCell ref="S158:V158"/>
    <mergeCell ref="W158:Z158"/>
    <mergeCell ref="AA158:AD158"/>
    <mergeCell ref="AE158:AH158"/>
    <mergeCell ref="AI158:AL158"/>
    <mergeCell ref="AM158:AP158"/>
    <mergeCell ref="AE126:AG126"/>
    <mergeCell ref="AE125:AG125"/>
    <mergeCell ref="AU151:AX151"/>
    <mergeCell ref="BH166:BK166"/>
    <mergeCell ref="AU177:AX177"/>
    <mergeCell ref="AY177:BB177"/>
    <mergeCell ref="BC177:BF177"/>
    <mergeCell ref="BH177:BK177"/>
    <mergeCell ref="BH172:BK172"/>
    <mergeCell ref="K177:N177"/>
    <mergeCell ref="O177:R177"/>
    <mergeCell ref="K170:N170"/>
    <mergeCell ref="K176:N176"/>
    <mergeCell ref="AQ176:AT176"/>
    <mergeCell ref="AU176:AX176"/>
    <mergeCell ref="AY176:BB176"/>
    <mergeCell ref="BH176:BK176"/>
    <mergeCell ref="BH170:BK170"/>
    <mergeCell ref="BC170:BF170"/>
    <mergeCell ref="BH167:BK167"/>
    <mergeCell ref="AM166:AP166"/>
    <mergeCell ref="AU168:AX168"/>
    <mergeCell ref="BH175:BK175"/>
    <mergeCell ref="AU175:AX175"/>
    <mergeCell ref="AE118:AG118"/>
    <mergeCell ref="AE120:AG120"/>
    <mergeCell ref="W119:AC119"/>
    <mergeCell ref="AK120:AM120"/>
    <mergeCell ref="AH118:AJ118"/>
    <mergeCell ref="AH120:AJ120"/>
    <mergeCell ref="AH119:AJ119"/>
    <mergeCell ref="AK121:AM121"/>
    <mergeCell ref="AH122:AJ122"/>
    <mergeCell ref="AE121:AG121"/>
    <mergeCell ref="AM164:AP164"/>
    <mergeCell ref="AQ164:AT164"/>
    <mergeCell ref="AU164:AX164"/>
    <mergeCell ref="BH158:BK158"/>
    <mergeCell ref="AX124:AZ124"/>
    <mergeCell ref="BA124:BC124"/>
    <mergeCell ref="BA123:BC123"/>
    <mergeCell ref="AF134:AH134"/>
    <mergeCell ref="AF135:AH135"/>
    <mergeCell ref="AF136:AH136"/>
    <mergeCell ref="AF137:AH137"/>
    <mergeCell ref="AF139:AH139"/>
    <mergeCell ref="AQ119:AW119"/>
    <mergeCell ref="BA118:BC118"/>
    <mergeCell ref="AX120:AZ120"/>
    <mergeCell ref="BD127:BF127"/>
    <mergeCell ref="BD128:BF128"/>
    <mergeCell ref="AX127:AZ127"/>
    <mergeCell ref="BD126:BF126"/>
    <mergeCell ref="BD123:BF123"/>
    <mergeCell ref="BD124:BF124"/>
    <mergeCell ref="W147:Z147"/>
    <mergeCell ref="AU178:AX178"/>
    <mergeCell ref="S177:V177"/>
    <mergeCell ref="AU169:AX169"/>
    <mergeCell ref="BM172:BT172"/>
    <mergeCell ref="BM175:BP175"/>
    <mergeCell ref="AM176:AP176"/>
    <mergeCell ref="AI174:AL174"/>
    <mergeCell ref="AM174:AP174"/>
    <mergeCell ref="AQ174:AT174"/>
    <mergeCell ref="AU174:AX174"/>
    <mergeCell ref="AY174:BB174"/>
    <mergeCell ref="BC174:BF174"/>
    <mergeCell ref="BH174:BK174"/>
    <mergeCell ref="AU170:AX170"/>
    <mergeCell ref="AY170:BB170"/>
    <mergeCell ref="BH178:BK178"/>
    <mergeCell ref="S170:V170"/>
    <mergeCell ref="W170:Z170"/>
    <mergeCell ref="AA170:AD170"/>
    <mergeCell ref="AE170:AH170"/>
    <mergeCell ref="AI170:AL170"/>
    <mergeCell ref="AE175:AH175"/>
    <mergeCell ref="BQ175:BT175"/>
    <mergeCell ref="BQ176:BT176"/>
    <mergeCell ref="AQ175:AT175"/>
    <mergeCell ref="AQ178:AT178"/>
    <mergeCell ref="K230:N230"/>
    <mergeCell ref="O230:R230"/>
    <mergeCell ref="S230:V230"/>
    <mergeCell ref="W230:Z230"/>
    <mergeCell ref="AA230:AD230"/>
    <mergeCell ref="AE230:AH230"/>
    <mergeCell ref="AI230:AL230"/>
    <mergeCell ref="O206:R206"/>
    <mergeCell ref="S206:V206"/>
    <mergeCell ref="AE203:AH203"/>
    <mergeCell ref="AE202:AH202"/>
    <mergeCell ref="AI202:AL202"/>
    <mergeCell ref="AM202:AP202"/>
    <mergeCell ref="AE177:AH177"/>
    <mergeCell ref="AI177:AL177"/>
    <mergeCell ref="AM177:AP177"/>
    <mergeCell ref="AQ177:AT177"/>
    <mergeCell ref="S178:V178"/>
    <mergeCell ref="W178:Z178"/>
    <mergeCell ref="AA178:AD178"/>
    <mergeCell ref="AE178:AH178"/>
    <mergeCell ref="AI178:AL178"/>
    <mergeCell ref="AA205:AD205"/>
    <mergeCell ref="AE205:AH205"/>
    <mergeCell ref="AI205:AL205"/>
    <mergeCell ref="AM205:AP205"/>
    <mergeCell ref="AQ205:AT205"/>
    <mergeCell ref="AA195:AD195"/>
    <mergeCell ref="AE215:AH215"/>
    <mergeCell ref="AI215:AL215"/>
    <mergeCell ref="AM215:AP215"/>
    <mergeCell ref="AQ215:AT215"/>
    <mergeCell ref="AQ206:AT206"/>
    <mergeCell ref="BC206:BF206"/>
    <mergeCell ref="BH236:BK236"/>
    <mergeCell ref="AY235:BB235"/>
    <mergeCell ref="BC235:BF235"/>
    <mergeCell ref="S234:V234"/>
    <mergeCell ref="W234:Z234"/>
    <mergeCell ref="AA234:AD234"/>
    <mergeCell ref="AE234:AH234"/>
    <mergeCell ref="AI234:AL234"/>
    <mergeCell ref="AM234:AP234"/>
    <mergeCell ref="BH235:BK235"/>
    <mergeCell ref="BH209:BK209"/>
    <mergeCell ref="AY213:BB213"/>
    <mergeCell ref="BC213:BF213"/>
    <mergeCell ref="BH211:BK211"/>
    <mergeCell ref="S216:V216"/>
    <mergeCell ref="W216:Z216"/>
    <mergeCell ref="AA216:AD216"/>
    <mergeCell ref="AE216:AH216"/>
    <mergeCell ref="AM206:AP206"/>
    <mergeCell ref="BC216:BF216"/>
    <mergeCell ref="W206:Z206"/>
    <mergeCell ref="AA206:AD206"/>
    <mergeCell ref="AI220:AL220"/>
    <mergeCell ref="AQ218:AT218"/>
    <mergeCell ref="BH221:BK221"/>
    <mergeCell ref="BC230:BF230"/>
    <mergeCell ref="AM213:AP213"/>
    <mergeCell ref="AY230:BB230"/>
    <mergeCell ref="AY214:BB214"/>
    <mergeCell ref="AI227:AL227"/>
    <mergeCell ref="K236:N236"/>
    <mergeCell ref="O236:R236"/>
    <mergeCell ref="S236:V236"/>
    <mergeCell ref="W236:Z236"/>
    <mergeCell ref="AA236:AD236"/>
    <mergeCell ref="AE236:AH236"/>
    <mergeCell ref="AI236:AL236"/>
    <mergeCell ref="AM236:AP236"/>
    <mergeCell ref="AQ236:AT236"/>
    <mergeCell ref="AU236:AX236"/>
    <mergeCell ref="AY236:BB236"/>
    <mergeCell ref="BC236:BF236"/>
    <mergeCell ref="AE206:AH206"/>
    <mergeCell ref="AI206:AL206"/>
    <mergeCell ref="W211:Z211"/>
    <mergeCell ref="AA211:AD211"/>
    <mergeCell ref="AE211:AH211"/>
    <mergeCell ref="AI211:AL211"/>
    <mergeCell ref="AE209:AH209"/>
    <mergeCell ref="K212:N212"/>
    <mergeCell ref="O212:R212"/>
    <mergeCell ref="AU211:AX211"/>
    <mergeCell ref="AY211:BB211"/>
    <mergeCell ref="AQ210:AT210"/>
    <mergeCell ref="AA212:AD212"/>
    <mergeCell ref="K216:N216"/>
    <mergeCell ref="O216:R216"/>
    <mergeCell ref="AU213:AX213"/>
    <mergeCell ref="AM214:AP214"/>
    <mergeCell ref="AQ214:AT214"/>
    <mergeCell ref="S207:V207"/>
    <mergeCell ref="AY216:BB216"/>
    <mergeCell ref="S201:V201"/>
    <mergeCell ref="W202:Z202"/>
    <mergeCell ref="AA202:AD202"/>
    <mergeCell ref="AE196:AH196"/>
    <mergeCell ref="AI196:AL196"/>
    <mergeCell ref="BC197:BF197"/>
    <mergeCell ref="AU196:AX196"/>
    <mergeCell ref="AY196:BB196"/>
    <mergeCell ref="BC196:BF196"/>
    <mergeCell ref="AU201:AX201"/>
    <mergeCell ref="AY201:BB201"/>
    <mergeCell ref="BC201:BF201"/>
    <mergeCell ref="AE200:AH200"/>
    <mergeCell ref="AI200:AL200"/>
    <mergeCell ref="AM200:AP200"/>
    <mergeCell ref="BC200:BF200"/>
    <mergeCell ref="AU202:AX202"/>
    <mergeCell ref="AY197:BB197"/>
    <mergeCell ref="K208:N208"/>
    <mergeCell ref="S208:V208"/>
    <mergeCell ref="W208:Z208"/>
    <mergeCell ref="W207:Z207"/>
    <mergeCell ref="AA207:AD207"/>
    <mergeCell ref="AE207:AH207"/>
    <mergeCell ref="AI207:AL207"/>
    <mergeCell ref="AM207:AP207"/>
    <mergeCell ref="AQ207:AT207"/>
    <mergeCell ref="AU207:AX207"/>
    <mergeCell ref="AY207:BB207"/>
    <mergeCell ref="O211:R211"/>
    <mergeCell ref="O218:R218"/>
    <mergeCell ref="S218:V218"/>
    <mergeCell ref="O209:R209"/>
    <mergeCell ref="S209:V209"/>
    <mergeCell ref="W209:Z209"/>
    <mergeCell ref="AA209:AD209"/>
    <mergeCell ref="S212:V212"/>
    <mergeCell ref="W212:Z212"/>
    <mergeCell ref="AE212:AH212"/>
    <mergeCell ref="AM218:AP218"/>
    <mergeCell ref="AU218:AX218"/>
    <mergeCell ref="AY218:BB218"/>
    <mergeCell ref="BM196:BP196"/>
    <mergeCell ref="BM197:BP197"/>
    <mergeCell ref="AU209:AX209"/>
    <mergeCell ref="AY209:BB209"/>
    <mergeCell ref="BC209:BF209"/>
    <mergeCell ref="AU206:AX206"/>
    <mergeCell ref="K217:N217"/>
    <mergeCell ref="O217:R217"/>
    <mergeCell ref="S217:V217"/>
    <mergeCell ref="W217:Z217"/>
    <mergeCell ref="AA217:AD217"/>
    <mergeCell ref="AE217:AH217"/>
    <mergeCell ref="AI217:AL217"/>
    <mergeCell ref="AM217:AP217"/>
    <mergeCell ref="AQ217:AT217"/>
    <mergeCell ref="AU217:AX217"/>
    <mergeCell ref="AY217:BB217"/>
    <mergeCell ref="BC217:BF217"/>
    <mergeCell ref="BH217:BK217"/>
    <mergeCell ref="BH203:BK203"/>
    <mergeCell ref="AI212:AL212"/>
    <mergeCell ref="AM212:AP212"/>
    <mergeCell ref="AQ212:AT212"/>
    <mergeCell ref="K213:N213"/>
    <mergeCell ref="O213:R213"/>
    <mergeCell ref="AI216:AL216"/>
    <mergeCell ref="AM216:AP216"/>
    <mergeCell ref="AQ216:AT216"/>
    <mergeCell ref="AU216:AX216"/>
    <mergeCell ref="AY206:BB206"/>
    <mergeCell ref="AY210:BB210"/>
    <mergeCell ref="K215:N215"/>
    <mergeCell ref="K224:N224"/>
    <mergeCell ref="O224:R224"/>
    <mergeCell ref="S224:V224"/>
    <mergeCell ref="W224:Z224"/>
    <mergeCell ref="AA224:AD224"/>
    <mergeCell ref="AE224:AH224"/>
    <mergeCell ref="AI224:AL224"/>
    <mergeCell ref="AM224:AP224"/>
    <mergeCell ref="AQ224:AT224"/>
    <mergeCell ref="AU224:AX224"/>
    <mergeCell ref="AY224:BB224"/>
    <mergeCell ref="BC224:BF224"/>
    <mergeCell ref="BH224:BK224"/>
    <mergeCell ref="K223:N223"/>
    <mergeCell ref="O223:R223"/>
    <mergeCell ref="S223:V223"/>
    <mergeCell ref="W223:Z223"/>
    <mergeCell ref="AA223:AD223"/>
    <mergeCell ref="AE223:AH223"/>
    <mergeCell ref="AI223:AL223"/>
    <mergeCell ref="AM223:AP223"/>
    <mergeCell ref="AQ223:AT223"/>
    <mergeCell ref="AU223:AX223"/>
    <mergeCell ref="AY223:BB223"/>
    <mergeCell ref="BC223:BF223"/>
    <mergeCell ref="BH223:BK223"/>
    <mergeCell ref="BM201:BP201"/>
    <mergeCell ref="BM202:BP202"/>
    <mergeCell ref="BM203:BP203"/>
    <mergeCell ref="BM204:BP204"/>
    <mergeCell ref="BM205:BP205"/>
    <mergeCell ref="BM206:BP206"/>
    <mergeCell ref="BM207:BP207"/>
    <mergeCell ref="BM208:BP208"/>
    <mergeCell ref="BM209:BP209"/>
    <mergeCell ref="BM210:BP210"/>
    <mergeCell ref="BM211:BP211"/>
    <mergeCell ref="BM212:BP212"/>
    <mergeCell ref="BM213:BP213"/>
    <mergeCell ref="BM214:BP214"/>
    <mergeCell ref="BM215:BP215"/>
    <mergeCell ref="AU215:AX215"/>
    <mergeCell ref="BC210:BF210"/>
    <mergeCell ref="BH210:BK210"/>
    <mergeCell ref="AU214:AX214"/>
    <mergeCell ref="BC207:BF207"/>
    <mergeCell ref="BC203:BF203"/>
    <mergeCell ref="BC205:BF205"/>
    <mergeCell ref="AY203:BB203"/>
    <mergeCell ref="AU205:AX205"/>
    <mergeCell ref="AY205:BB205"/>
    <mergeCell ref="BH218:BK218"/>
    <mergeCell ref="AY212:BB212"/>
    <mergeCell ref="W218:Z218"/>
    <mergeCell ref="BM221:BP221"/>
    <mergeCell ref="AA218:AD218"/>
    <mergeCell ref="AE218:AH218"/>
    <mergeCell ref="AI218:AL218"/>
    <mergeCell ref="K220:N220"/>
    <mergeCell ref="O220:R220"/>
    <mergeCell ref="S220:V220"/>
    <mergeCell ref="AU220:AX220"/>
    <mergeCell ref="AE220:AH220"/>
    <mergeCell ref="BC220:BF220"/>
    <mergeCell ref="BH220:BK220"/>
    <mergeCell ref="K218:N218"/>
    <mergeCell ref="O215:R215"/>
    <mergeCell ref="S215:V215"/>
    <mergeCell ref="W215:Z215"/>
    <mergeCell ref="AA215:AD215"/>
    <mergeCell ref="K214:N214"/>
    <mergeCell ref="K221:N221"/>
    <mergeCell ref="O221:R221"/>
    <mergeCell ref="S221:V221"/>
    <mergeCell ref="AE221:AH221"/>
    <mergeCell ref="AI221:AL221"/>
    <mergeCell ref="BM217:BP217"/>
    <mergeCell ref="BM220:BP220"/>
    <mergeCell ref="BM218:BP218"/>
    <mergeCell ref="BC221:BF221"/>
    <mergeCell ref="BC218:BF218"/>
    <mergeCell ref="BM184:BP184"/>
    <mergeCell ref="AY208:BB208"/>
    <mergeCell ref="BC208:BF208"/>
    <mergeCell ref="AY204:BB204"/>
    <mergeCell ref="BC204:BF204"/>
    <mergeCell ref="BM190:BP190"/>
    <mergeCell ref="BM191:BP191"/>
    <mergeCell ref="BM192:BP192"/>
    <mergeCell ref="BM188:BP188"/>
    <mergeCell ref="BC215:BF215"/>
    <mergeCell ref="AU197:AX197"/>
    <mergeCell ref="BH185:BK185"/>
    <mergeCell ref="BH204:BK204"/>
    <mergeCell ref="BH205:BK205"/>
    <mergeCell ref="BM216:BP216"/>
    <mergeCell ref="BH206:BK206"/>
    <mergeCell ref="BH207:BK207"/>
    <mergeCell ref="BH208:BK208"/>
    <mergeCell ref="BH190:BK190"/>
    <mergeCell ref="BC212:BF212"/>
    <mergeCell ref="BH212:BK212"/>
    <mergeCell ref="BH213:BK213"/>
    <mergeCell ref="BH214:BK214"/>
    <mergeCell ref="BH215:BK215"/>
    <mergeCell ref="BC214:BF214"/>
    <mergeCell ref="BH216:BK216"/>
    <mergeCell ref="AU212:AX212"/>
    <mergeCell ref="BC211:BF211"/>
    <mergeCell ref="BM199:BP199"/>
    <mergeCell ref="BM195:BP195"/>
    <mergeCell ref="BM189:BP189"/>
    <mergeCell ref="BM200:BP200"/>
    <mergeCell ref="AC56:AJ56"/>
    <mergeCell ref="L99:P99"/>
    <mergeCell ref="AI188:AL188"/>
    <mergeCell ref="BE84:BF84"/>
    <mergeCell ref="W69:AD69"/>
    <mergeCell ref="AE69:AH69"/>
    <mergeCell ref="AI69:AL69"/>
    <mergeCell ref="AD83:AG83"/>
    <mergeCell ref="AD86:AG86"/>
    <mergeCell ref="AH86:AK86"/>
    <mergeCell ref="AH89:AK89"/>
    <mergeCell ref="AD98:AH98"/>
    <mergeCell ref="W70:AD70"/>
    <mergeCell ref="O176:R176"/>
    <mergeCell ref="S176:V176"/>
    <mergeCell ref="W176:Z176"/>
    <mergeCell ref="AA176:AD176"/>
    <mergeCell ref="W175:Z175"/>
    <mergeCell ref="AA175:AD175"/>
    <mergeCell ref="AY175:BB175"/>
    <mergeCell ref="BC175:BF175"/>
    <mergeCell ref="S174:V174"/>
    <mergeCell ref="W174:Z174"/>
    <mergeCell ref="AE70:AH70"/>
    <mergeCell ref="AI70:AL70"/>
    <mergeCell ref="AP70:AW70"/>
    <mergeCell ref="K81:N81"/>
    <mergeCell ref="L98:P98"/>
    <mergeCell ref="AA174:AD174"/>
    <mergeCell ref="AE174:AH174"/>
    <mergeCell ref="AM172:AP172"/>
    <mergeCell ref="AM178:AP178"/>
    <mergeCell ref="O174:R174"/>
    <mergeCell ref="AI97:AL97"/>
    <mergeCell ref="AU188:AX188"/>
    <mergeCell ref="BC189:BF189"/>
    <mergeCell ref="BH189:BK189"/>
    <mergeCell ref="AY190:BB190"/>
    <mergeCell ref="AY185:BB185"/>
    <mergeCell ref="BC195:BF195"/>
    <mergeCell ref="AE46:AH46"/>
    <mergeCell ref="BH195:BK195"/>
    <mergeCell ref="AE176:AH176"/>
    <mergeCell ref="AI176:AL176"/>
    <mergeCell ref="BC176:BF176"/>
    <mergeCell ref="O172:R172"/>
    <mergeCell ref="S172:V172"/>
    <mergeCell ref="W172:Z172"/>
    <mergeCell ref="AA172:AD172"/>
    <mergeCell ref="AE172:AH172"/>
    <mergeCell ref="AI172:AL172"/>
    <mergeCell ref="AU172:AX172"/>
    <mergeCell ref="AY172:BB172"/>
    <mergeCell ref="BC172:BF172"/>
    <mergeCell ref="AI175:AL175"/>
    <mergeCell ref="AM175:AP175"/>
    <mergeCell ref="L137:O137"/>
    <mergeCell ref="P137:S137"/>
    <mergeCell ref="BB47:BE47"/>
    <mergeCell ref="AP48:AW48"/>
    <mergeCell ref="AI48:AL48"/>
    <mergeCell ref="AI49:AL49"/>
    <mergeCell ref="AI50:AL50"/>
    <mergeCell ref="U56:AB56"/>
    <mergeCell ref="BD29:BG29"/>
    <mergeCell ref="AE21:AI21"/>
    <mergeCell ref="AE26:AI26"/>
    <mergeCell ref="K88:N88"/>
    <mergeCell ref="K89:N89"/>
    <mergeCell ref="BE85:BF85"/>
    <mergeCell ref="BE87:BF87"/>
    <mergeCell ref="AQ172:AT172"/>
    <mergeCell ref="D71:K71"/>
    <mergeCell ref="L71:O71"/>
    <mergeCell ref="P71:S71"/>
    <mergeCell ref="S190:V190"/>
    <mergeCell ref="AA190:AD190"/>
    <mergeCell ref="AE190:AH190"/>
    <mergeCell ref="AI190:AL190"/>
    <mergeCell ref="W189:Z189"/>
    <mergeCell ref="AA189:AD189"/>
    <mergeCell ref="AE189:AH189"/>
    <mergeCell ref="AI189:AL189"/>
    <mergeCell ref="AM170:AP170"/>
    <mergeCell ref="AQ170:AT170"/>
    <mergeCell ref="O89:R89"/>
    <mergeCell ref="AD88:AG88"/>
    <mergeCell ref="AI98:AL98"/>
    <mergeCell ref="AM188:AP188"/>
    <mergeCell ref="AQ188:AT188"/>
    <mergeCell ref="BE83:BF83"/>
    <mergeCell ref="C175:I175"/>
    <mergeCell ref="C174:I174"/>
    <mergeCell ref="K175:N175"/>
    <mergeCell ref="O175:R175"/>
    <mergeCell ref="S175:V175"/>
  </mergeCells>
  <conditionalFormatting sqref="B230">
    <cfRule type="expression" dxfId="769" priority="324">
      <formula>#REF!=2</formula>
    </cfRule>
  </conditionalFormatting>
  <conditionalFormatting sqref="C126:C128">
    <cfRule type="expression" dxfId="768" priority="616">
      <formula>#REF!=2</formula>
    </cfRule>
  </conditionalFormatting>
  <conditionalFormatting sqref="C130">
    <cfRule type="expression" dxfId="767" priority="84">
      <formula>#REF!=2</formula>
    </cfRule>
  </conditionalFormatting>
  <conditionalFormatting sqref="C166:C169">
    <cfRule type="expression" dxfId="766" priority="102">
      <formula>#REF!=2</formula>
    </cfRule>
  </conditionalFormatting>
  <conditionalFormatting sqref="C174:C177">
    <cfRule type="expression" dxfId="765" priority="109">
      <formula>#REF!=2</formula>
    </cfRule>
  </conditionalFormatting>
  <conditionalFormatting sqref="C185:C197">
    <cfRule type="expression" dxfId="764" priority="81">
      <formula>#REF!=2</formula>
    </cfRule>
  </conditionalFormatting>
  <conditionalFormatting sqref="C199:C217">
    <cfRule type="expression" dxfId="763" priority="208">
      <formula>#REF!=2</formula>
    </cfRule>
  </conditionalFormatting>
  <conditionalFormatting sqref="C220">
    <cfRule type="expression" dxfId="762" priority="203">
      <formula>#REF!=2</formula>
    </cfRule>
  </conditionalFormatting>
  <conditionalFormatting sqref="C226">
    <cfRule type="expression" dxfId="761" priority="141">
      <formula>#REF!=2</formula>
    </cfRule>
  </conditionalFormatting>
  <conditionalFormatting sqref="C229:C235">
    <cfRule type="expression" dxfId="760" priority="288">
      <formula>#REF!=2</formula>
    </cfRule>
  </conditionalFormatting>
  <conditionalFormatting sqref="C135:I135 K135">
    <cfRule type="expression" dxfId="759" priority="809">
      <formula>#REF!=2</formula>
    </cfRule>
  </conditionalFormatting>
  <conditionalFormatting sqref="C223:J223">
    <cfRule type="expression" dxfId="758" priority="171">
      <formula>#REF!=2</formula>
    </cfRule>
  </conditionalFormatting>
  <conditionalFormatting sqref="C218:K218">
    <cfRule type="expression" dxfId="757" priority="200">
      <formula>#REF!=2</formula>
    </cfRule>
  </conditionalFormatting>
  <conditionalFormatting sqref="C221:K221">
    <cfRule type="expression" dxfId="756" priority="161">
      <formula>#REF!=2</formula>
    </cfRule>
  </conditionalFormatting>
  <conditionalFormatting sqref="C227:K227">
    <cfRule type="expression" dxfId="755" priority="98">
      <formula>#REF!=2</formula>
    </cfRule>
  </conditionalFormatting>
  <conditionalFormatting sqref="C251:K251 O251">
    <cfRule type="expression" dxfId="754" priority="951">
      <formula>$K$251&lt;0</formula>
    </cfRule>
    <cfRule type="expression" dxfId="753" priority="952">
      <formula>$K$251&gt;0</formula>
    </cfRule>
  </conditionalFormatting>
  <conditionalFormatting sqref="C38:O41">
    <cfRule type="expression" dxfId="752" priority="57">
      <formula>$AK$34&lt;&gt;1</formula>
    </cfRule>
  </conditionalFormatting>
  <conditionalFormatting sqref="C60:O63">
    <cfRule type="expression" dxfId="751" priority="50">
      <formula>$AK$56&lt;&gt;1</formula>
    </cfRule>
  </conditionalFormatting>
  <conditionalFormatting sqref="C116:U116">
    <cfRule type="expression" dxfId="750" priority="756">
      <formula>#REF!=2</formula>
    </cfRule>
  </conditionalFormatting>
  <conditionalFormatting sqref="C198:BK198">
    <cfRule type="expression" dxfId="749" priority="509">
      <formula>#REF!=2</formula>
    </cfRule>
  </conditionalFormatting>
  <conditionalFormatting sqref="D46:K50 W46:AD50 AP46:AW50">
    <cfRule type="expression" dxfId="748" priority="44">
      <formula>$AK$34=3</formula>
    </cfRule>
    <cfRule type="expression" dxfId="747" priority="45">
      <formula>$AK$34=4</formula>
    </cfRule>
  </conditionalFormatting>
  <conditionalFormatting sqref="D68:K72 W68:AD72 AP68:AW72">
    <cfRule type="expression" dxfId="746" priority="40">
      <formula>$AK$56=3</formula>
    </cfRule>
    <cfRule type="expression" dxfId="745" priority="41">
      <formula>$AK$56=4</formula>
    </cfRule>
  </conditionalFormatting>
  <conditionalFormatting sqref="H126:H129">
    <cfRule type="expression" dxfId="744" priority="11">
      <formula>#REF!=2</formula>
    </cfRule>
  </conditionalFormatting>
  <conditionalFormatting sqref="H117:K117">
    <cfRule type="expression" dxfId="743" priority="681">
      <formula>#REF!=2</formula>
    </cfRule>
  </conditionalFormatting>
  <conditionalFormatting sqref="K158">
    <cfRule type="expression" dxfId="742" priority="628">
      <formula>#REF!=2</formula>
    </cfRule>
  </conditionalFormatting>
  <conditionalFormatting sqref="K166:K169">
    <cfRule type="expression" dxfId="741" priority="449">
      <formula>#REF!=2</formula>
    </cfRule>
  </conditionalFormatting>
  <conditionalFormatting sqref="K174:K177">
    <cfRule type="expression" dxfId="740" priority="413">
      <formula>#REF!=2</formula>
    </cfRule>
  </conditionalFormatting>
  <conditionalFormatting sqref="K189:K192">
    <cfRule type="expression" dxfId="739" priority="350">
      <formula>#REF!=2</formula>
    </cfRule>
  </conditionalFormatting>
  <conditionalFormatting sqref="K194:K197">
    <cfRule type="expression" dxfId="738" priority="78">
      <formula>#REF!=2</formula>
    </cfRule>
  </conditionalFormatting>
  <conditionalFormatting sqref="K199:K217">
    <cfRule type="expression" dxfId="737" priority="206">
      <formula>#REF!=2</formula>
    </cfRule>
  </conditionalFormatting>
  <conditionalFormatting sqref="K220">
    <cfRule type="expression" dxfId="736" priority="201">
      <formula>#REF!=2</formula>
    </cfRule>
  </conditionalFormatting>
  <conditionalFormatting sqref="K223:K224">
    <cfRule type="expression" dxfId="735" priority="168">
      <formula>#REF!=2</formula>
    </cfRule>
  </conditionalFormatting>
  <conditionalFormatting sqref="K226">
    <cfRule type="expression" dxfId="734" priority="139">
      <formula>#REF!=2</formula>
    </cfRule>
  </conditionalFormatting>
  <conditionalFormatting sqref="K230:K236">
    <cfRule type="expression" dxfId="733" priority="129">
      <formula>#REF!=2</formula>
    </cfRule>
  </conditionalFormatting>
  <conditionalFormatting sqref="K185:N187">
    <cfRule type="expression" dxfId="732" priority="63">
      <formula>#REF!=2</formula>
    </cfRule>
  </conditionalFormatting>
  <conditionalFormatting sqref="K147:BF147">
    <cfRule type="expression" dxfId="731" priority="657">
      <formula>#REF!=2</formula>
    </cfRule>
  </conditionalFormatting>
  <conditionalFormatting sqref="K173:BF173">
    <cfRule type="expression" dxfId="730" priority="435">
      <formula>#REF!=2</formula>
    </cfRule>
  </conditionalFormatting>
  <conditionalFormatting sqref="L129">
    <cfRule type="expression" dxfId="729" priority="653">
      <formula>#REF!=2</formula>
    </cfRule>
  </conditionalFormatting>
  <conditionalFormatting sqref="L46:O50 AE46:AH50 AX46:BA50">
    <cfRule type="expression" dxfId="728" priority="43">
      <formula>$AK$34&lt;&gt;1</formula>
    </cfRule>
  </conditionalFormatting>
  <conditionalFormatting sqref="L68:O72 AE68:AH72 AX68:BA72">
    <cfRule type="expression" dxfId="727" priority="42">
      <formula>$AK$56&lt;&gt;1</formula>
    </cfRule>
  </conditionalFormatting>
  <conditionalFormatting sqref="L134:O138">
    <cfRule type="expression" dxfId="726" priority="14">
      <formula>#REF!=2</formula>
    </cfRule>
  </conditionalFormatting>
  <conditionalFormatting sqref="M126:M127">
    <cfRule type="expression" dxfId="725" priority="655">
      <formula>#REF!=2</formula>
    </cfRule>
  </conditionalFormatting>
  <conditionalFormatting sqref="O158">
    <cfRule type="expression" dxfId="724" priority="627">
      <formula>#REF!=2</formula>
    </cfRule>
  </conditionalFormatting>
  <conditionalFormatting sqref="O170">
    <cfRule type="expression" dxfId="723" priority="447">
      <formula>#REF!=2</formula>
    </cfRule>
  </conditionalFormatting>
  <conditionalFormatting sqref="O178">
    <cfRule type="expression" dxfId="722" priority="400">
      <formula>#REF!=2</formula>
    </cfRule>
  </conditionalFormatting>
  <conditionalFormatting sqref="O188:O192">
    <cfRule type="expression" dxfId="721" priority="348">
      <formula>#REF!=2</formula>
    </cfRule>
  </conditionalFormatting>
  <conditionalFormatting sqref="O218">
    <cfRule type="expression" dxfId="720" priority="199">
      <formula>#REF!=2</formula>
    </cfRule>
  </conditionalFormatting>
  <conditionalFormatting sqref="O227">
    <cfRule type="expression" dxfId="719" priority="97">
      <formula>#REF!=2</formula>
    </cfRule>
  </conditionalFormatting>
  <conditionalFormatting sqref="O230:O232">
    <cfRule type="expression" dxfId="718" priority="304">
      <formula>#REF!=2</formula>
    </cfRule>
  </conditionalFormatting>
  <conditionalFormatting sqref="O234:O236">
    <cfRule type="expression" dxfId="717" priority="128">
      <formula>#REF!=2</formula>
    </cfRule>
  </conditionalFormatting>
  <conditionalFormatting sqref="O187:R187">
    <cfRule type="expression" dxfId="716" priority="62">
      <formula>#REF!=2</formula>
    </cfRule>
  </conditionalFormatting>
  <conditionalFormatting sqref="O185:BF185">
    <cfRule type="expression" dxfId="715" priority="530">
      <formula>#REF!=2</formula>
    </cfRule>
  </conditionalFormatting>
  <conditionalFormatting sqref="P46:S50 AI46:AL50 BB46:BE50">
    <cfRule type="expression" dxfId="714" priority="51">
      <formula>$AK$34&lt;&gt;2</formula>
    </cfRule>
  </conditionalFormatting>
  <conditionalFormatting sqref="P68:S72 AI68:AL72 BB68:BE72">
    <cfRule type="expression" dxfId="713" priority="46">
      <formula>$AK$56&lt;&gt;2</formula>
    </cfRule>
  </conditionalFormatting>
  <conditionalFormatting sqref="P134:S134">
    <cfRule type="expression" dxfId="712" priority="1995">
      <formula>$K$134=2</formula>
    </cfRule>
  </conditionalFormatting>
  <conditionalFormatting sqref="P136:S136">
    <cfRule type="expression" dxfId="711" priority="2074">
      <formula>$K$136=2</formula>
    </cfRule>
  </conditionalFormatting>
  <conditionalFormatting sqref="P137:S137">
    <cfRule type="expression" dxfId="710" priority="15">
      <formula>$K$137=2</formula>
    </cfRule>
  </conditionalFormatting>
  <conditionalFormatting sqref="P138:S138">
    <cfRule type="expression" dxfId="709" priority="2073">
      <formula>$K$138=2</formula>
    </cfRule>
  </conditionalFormatting>
  <conditionalFormatting sqref="R38:AD41">
    <cfRule type="expression" dxfId="708" priority="56">
      <formula>$AK$34&lt;&gt;2</formula>
    </cfRule>
  </conditionalFormatting>
  <conditionalFormatting sqref="R60:AD63">
    <cfRule type="expression" dxfId="707" priority="49">
      <formula>$AK$56&lt;&gt;2</formula>
    </cfRule>
  </conditionalFormatting>
  <conditionalFormatting sqref="S158">
    <cfRule type="expression" dxfId="706" priority="626">
      <formula>#REF!=2</formula>
    </cfRule>
  </conditionalFormatting>
  <conditionalFormatting sqref="S170">
    <cfRule type="expression" dxfId="705" priority="446">
      <formula>#REF!=2</formula>
    </cfRule>
  </conditionalFormatting>
  <conditionalFormatting sqref="S178">
    <cfRule type="expression" dxfId="704" priority="399">
      <formula>#REF!=2</formula>
    </cfRule>
  </conditionalFormatting>
  <conditionalFormatting sqref="S187:S192">
    <cfRule type="expression" dxfId="703" priority="73">
      <formula>#REF!=2</formula>
    </cfRule>
  </conditionalFormatting>
  <conditionalFormatting sqref="S218">
    <cfRule type="expression" dxfId="702" priority="198">
      <formula>#REF!=2</formula>
    </cfRule>
  </conditionalFormatting>
  <conditionalFormatting sqref="S227">
    <cfRule type="expression" dxfId="701" priority="96">
      <formula>#REF!=2</formula>
    </cfRule>
  </conditionalFormatting>
  <conditionalFormatting sqref="S230:S232">
    <cfRule type="expression" dxfId="700" priority="303">
      <formula>#REF!=2</formula>
    </cfRule>
  </conditionalFormatting>
  <conditionalFormatting sqref="S234:S236">
    <cfRule type="expression" dxfId="699" priority="127">
      <formula>#REF!=2</formula>
    </cfRule>
  </conditionalFormatting>
  <conditionalFormatting sqref="W119:W127 AQ119:AQ127 BD119:BD127 C148:C157 K148:K157 O148:O157 S148:S157 W148:W157 AA148:AA157 AE148:AE157 AI148:AI157 AM148:AM157 AQ148:AQ157 AU148:AU157 AY148:AY157 BC148:BC157 BM167:BM168 K169 O169 S169 W169 AA169 AE169 AI169 AM169 AQ169 AU169 AY169 BC169 BM175:BM176 K177 O177 S177 W177 AA177 AE177 AI177 AM177 AQ177 AU177 AY177 BC177">
    <cfRule type="expression" dxfId="698" priority="9">
      <formula>$L$140&lt;&gt;0</formula>
    </cfRule>
  </conditionalFormatting>
  <conditionalFormatting sqref="W134:W139">
    <cfRule type="expression" dxfId="697" priority="336">
      <formula>#REF!=2</formula>
    </cfRule>
  </conditionalFormatting>
  <conditionalFormatting sqref="W158">
    <cfRule type="expression" dxfId="696" priority="621">
      <formula>#REF!=2</formula>
    </cfRule>
  </conditionalFormatting>
  <conditionalFormatting sqref="W170">
    <cfRule type="expression" dxfId="695" priority="445">
      <formula>#REF!=2</formula>
    </cfRule>
  </conditionalFormatting>
  <conditionalFormatting sqref="W178">
    <cfRule type="expression" dxfId="694" priority="398">
      <formula>#REF!=2</formula>
    </cfRule>
  </conditionalFormatting>
  <conditionalFormatting sqref="W187:W192">
    <cfRule type="expression" dxfId="693" priority="72">
      <formula>#REF!=2</formula>
    </cfRule>
  </conditionalFormatting>
  <conditionalFormatting sqref="W218">
    <cfRule type="expression" dxfId="692" priority="197">
      <formula>#REF!=2</formula>
    </cfRule>
  </conditionalFormatting>
  <conditionalFormatting sqref="W227">
    <cfRule type="expression" dxfId="691" priority="95">
      <formula>#REF!=2</formula>
    </cfRule>
  </conditionalFormatting>
  <conditionalFormatting sqref="W230:W232">
    <cfRule type="expression" dxfId="690" priority="302">
      <formula>#REF!=2</formula>
    </cfRule>
  </conditionalFormatting>
  <conditionalFormatting sqref="W234:W236">
    <cfRule type="expression" dxfId="689" priority="126">
      <formula>#REF!=2</formula>
    </cfRule>
  </conditionalFormatting>
  <conditionalFormatting sqref="AA158">
    <cfRule type="expression" dxfId="688" priority="625">
      <formula>#REF!=2</formula>
    </cfRule>
  </conditionalFormatting>
  <conditionalFormatting sqref="AA170">
    <cfRule type="expression" dxfId="687" priority="444">
      <formula>#REF!=2</formula>
    </cfRule>
  </conditionalFormatting>
  <conditionalFormatting sqref="AA178">
    <cfRule type="expression" dxfId="686" priority="397">
      <formula>#REF!=2</formula>
    </cfRule>
  </conditionalFormatting>
  <conditionalFormatting sqref="AA187:AA192">
    <cfRule type="expression" dxfId="685" priority="71">
      <formula>#REF!=2</formula>
    </cfRule>
  </conditionalFormatting>
  <conditionalFormatting sqref="AA218">
    <cfRule type="expression" dxfId="684" priority="196">
      <formula>#REF!=2</formula>
    </cfRule>
  </conditionalFormatting>
  <conditionalFormatting sqref="AA227">
    <cfRule type="expression" dxfId="683" priority="94">
      <formula>#REF!=2</formula>
    </cfRule>
  </conditionalFormatting>
  <conditionalFormatting sqref="AA230:AA232">
    <cfRule type="expression" dxfId="682" priority="301">
      <formula>#REF!=2</formula>
    </cfRule>
  </conditionalFormatting>
  <conditionalFormatting sqref="AA234:AA236">
    <cfRule type="expression" dxfId="681" priority="125">
      <formula>#REF!=2</formula>
    </cfRule>
  </conditionalFormatting>
  <conditionalFormatting sqref="AE119:AE127">
    <cfRule type="expression" dxfId="680" priority="10">
      <formula>$L$140&lt;&gt;0</formula>
    </cfRule>
  </conditionalFormatting>
  <conditionalFormatting sqref="AE158">
    <cfRule type="expression" dxfId="679" priority="620">
      <formula>#REF!=2</formula>
    </cfRule>
  </conditionalFormatting>
  <conditionalFormatting sqref="AE170">
    <cfRule type="expression" dxfId="678" priority="443">
      <formula>#REF!=2</formula>
    </cfRule>
  </conditionalFormatting>
  <conditionalFormatting sqref="AE178">
    <cfRule type="expression" dxfId="677" priority="396">
      <formula>#REF!=2</formula>
    </cfRule>
  </conditionalFormatting>
  <conditionalFormatting sqref="AE187:AE192">
    <cfRule type="expression" dxfId="676" priority="70">
      <formula>#REF!=2</formula>
    </cfRule>
  </conditionalFormatting>
  <conditionalFormatting sqref="AE218">
    <cfRule type="expression" dxfId="675" priority="195">
      <formula>#REF!=2</formula>
    </cfRule>
  </conditionalFormatting>
  <conditionalFormatting sqref="AE227">
    <cfRule type="expression" dxfId="674" priority="93">
      <formula>#REF!=2</formula>
    </cfRule>
  </conditionalFormatting>
  <conditionalFormatting sqref="AE230:AE232">
    <cfRule type="expression" dxfId="673" priority="300">
      <formula>#REF!=2</formula>
    </cfRule>
  </conditionalFormatting>
  <conditionalFormatting sqref="AE234:AE236">
    <cfRule type="expression" dxfId="672" priority="124">
      <formula>#REF!=2</formula>
    </cfRule>
  </conditionalFormatting>
  <conditionalFormatting sqref="AG38:AR41">
    <cfRule type="expression" dxfId="671" priority="55">
      <formula>$AK$34&lt;&gt;3</formula>
    </cfRule>
  </conditionalFormatting>
  <conditionalFormatting sqref="AG60:AR63">
    <cfRule type="expression" dxfId="670" priority="48">
      <formula>$AK$56&lt;&gt;3</formula>
    </cfRule>
  </conditionalFormatting>
  <conditionalFormatting sqref="AI158">
    <cfRule type="expression" dxfId="669" priority="624">
      <formula>#REF!=2</formula>
    </cfRule>
  </conditionalFormatting>
  <conditionalFormatting sqref="AI170">
    <cfRule type="expression" dxfId="668" priority="442">
      <formula>#REF!=2</formula>
    </cfRule>
  </conditionalFormatting>
  <conditionalFormatting sqref="AI178">
    <cfRule type="expression" dxfId="667" priority="395">
      <formula>#REF!=2</formula>
    </cfRule>
  </conditionalFormatting>
  <conditionalFormatting sqref="AI187:AI192">
    <cfRule type="expression" dxfId="666" priority="69">
      <formula>#REF!=2</formula>
    </cfRule>
  </conditionalFormatting>
  <conditionalFormatting sqref="AI218">
    <cfRule type="expression" dxfId="665" priority="194">
      <formula>#REF!=2</formula>
    </cfRule>
  </conditionalFormatting>
  <conditionalFormatting sqref="AI227">
    <cfRule type="expression" dxfId="664" priority="92">
      <formula>#REF!=2</formula>
    </cfRule>
  </conditionalFormatting>
  <conditionalFormatting sqref="AI230:AI232">
    <cfRule type="expression" dxfId="663" priority="299">
      <formula>#REF!=2</formula>
    </cfRule>
  </conditionalFormatting>
  <conditionalFormatting sqref="AI234:AI236">
    <cfRule type="expression" dxfId="662" priority="123">
      <formula>#REF!=2</formula>
    </cfRule>
  </conditionalFormatting>
  <conditionalFormatting sqref="AM158">
    <cfRule type="expression" dxfId="661" priority="619">
      <formula>#REF!=2</formula>
    </cfRule>
  </conditionalFormatting>
  <conditionalFormatting sqref="AM170">
    <cfRule type="expression" dxfId="660" priority="441">
      <formula>#REF!=2</formula>
    </cfRule>
  </conditionalFormatting>
  <conditionalFormatting sqref="AM178">
    <cfRule type="expression" dxfId="659" priority="394">
      <formula>#REF!=2</formula>
    </cfRule>
  </conditionalFormatting>
  <conditionalFormatting sqref="AM187:AM192">
    <cfRule type="expression" dxfId="658" priority="68">
      <formula>#REF!=2</formula>
    </cfRule>
  </conditionalFormatting>
  <conditionalFormatting sqref="AM218">
    <cfRule type="expression" dxfId="657" priority="193">
      <formula>#REF!=2</formula>
    </cfRule>
  </conditionalFormatting>
  <conditionalFormatting sqref="AM227">
    <cfRule type="expression" dxfId="656" priority="91">
      <formula>#REF!=2</formula>
    </cfRule>
  </conditionalFormatting>
  <conditionalFormatting sqref="AM230:AM232">
    <cfRule type="expression" dxfId="655" priority="298">
      <formula>#REF!=2</formula>
    </cfRule>
  </conditionalFormatting>
  <conditionalFormatting sqref="AM234:AM236">
    <cfRule type="expression" dxfId="654" priority="122">
      <formula>#REF!=2</formula>
    </cfRule>
  </conditionalFormatting>
  <conditionalFormatting sqref="AP14">
    <cfRule type="expression" dxfId="653" priority="875">
      <formula>$BG$12=2</formula>
    </cfRule>
  </conditionalFormatting>
  <conditionalFormatting sqref="AP20">
    <cfRule type="expression" dxfId="652" priority="874">
      <formula>$BG$12=1</formula>
    </cfRule>
  </conditionalFormatting>
  <conditionalFormatting sqref="AP15:BF17">
    <cfRule type="expression" dxfId="651" priority="782">
      <formula>$AY$14</formula>
    </cfRule>
  </conditionalFormatting>
  <conditionalFormatting sqref="AP15:BF18">
    <cfRule type="expression" dxfId="650" priority="1113">
      <formula>$BG$12=1</formula>
    </cfRule>
  </conditionalFormatting>
  <conditionalFormatting sqref="AP21:BF23">
    <cfRule type="expression" dxfId="649" priority="1111">
      <formula>$BG$12=2</formula>
    </cfRule>
  </conditionalFormatting>
  <conditionalFormatting sqref="AQ131">
    <cfRule type="expression" dxfId="648" priority="824">
      <formula>#REF!=2</formula>
    </cfRule>
  </conditionalFormatting>
  <conditionalFormatting sqref="AQ158">
    <cfRule type="expression" dxfId="647" priority="623">
      <formula>#REF!=2</formula>
    </cfRule>
  </conditionalFormatting>
  <conditionalFormatting sqref="AQ170">
    <cfRule type="expression" dxfId="646" priority="440">
      <formula>#REF!=2</formula>
    </cfRule>
  </conditionalFormatting>
  <conditionalFormatting sqref="AQ178">
    <cfRule type="expression" dxfId="645" priority="393">
      <formula>#REF!=2</formula>
    </cfRule>
  </conditionalFormatting>
  <conditionalFormatting sqref="AQ187:AQ192">
    <cfRule type="expression" dxfId="644" priority="67">
      <formula>#REF!=2</formula>
    </cfRule>
  </conditionalFormatting>
  <conditionalFormatting sqref="AQ218">
    <cfRule type="expression" dxfId="643" priority="192">
      <formula>#REF!=2</formula>
    </cfRule>
  </conditionalFormatting>
  <conditionalFormatting sqref="AQ227">
    <cfRule type="expression" dxfId="642" priority="90">
      <formula>#REF!=2</formula>
    </cfRule>
  </conditionalFormatting>
  <conditionalFormatting sqref="AQ230:AQ232">
    <cfRule type="expression" dxfId="641" priority="297">
      <formula>#REF!=2</formula>
    </cfRule>
  </conditionalFormatting>
  <conditionalFormatting sqref="AQ234:AQ236">
    <cfRule type="expression" dxfId="640" priority="121">
      <formula>#REF!=2</formula>
    </cfRule>
  </conditionalFormatting>
  <conditionalFormatting sqref="AU158">
    <cfRule type="expression" dxfId="639" priority="618">
      <formula>#REF!=2</formula>
    </cfRule>
  </conditionalFormatting>
  <conditionalFormatting sqref="AU170">
    <cfRule type="expression" dxfId="638" priority="439">
      <formula>#REF!=2</formula>
    </cfRule>
  </conditionalFormatting>
  <conditionalFormatting sqref="AU178">
    <cfRule type="expression" dxfId="637" priority="392">
      <formula>#REF!=2</formula>
    </cfRule>
  </conditionalFormatting>
  <conditionalFormatting sqref="AU187:AU192">
    <cfRule type="expression" dxfId="636" priority="66">
      <formula>#REF!=2</formula>
    </cfRule>
  </conditionalFormatting>
  <conditionalFormatting sqref="AU218">
    <cfRule type="expression" dxfId="635" priority="191">
      <formula>#REF!=2</formula>
    </cfRule>
  </conditionalFormatting>
  <conditionalFormatting sqref="AU227">
    <cfRule type="expression" dxfId="634" priority="89">
      <formula>#REF!=2</formula>
    </cfRule>
  </conditionalFormatting>
  <conditionalFormatting sqref="AU230:AU232">
    <cfRule type="expression" dxfId="633" priority="296">
      <formula>#REF!=2</formula>
    </cfRule>
  </conditionalFormatting>
  <conditionalFormatting sqref="AU234:AU236">
    <cfRule type="expression" dxfId="632" priority="120">
      <formula>#REF!=2</formula>
    </cfRule>
  </conditionalFormatting>
  <conditionalFormatting sqref="AU38:BE41">
    <cfRule type="expression" dxfId="631" priority="54">
      <formula>$AK$34&lt;&gt;4</formula>
    </cfRule>
  </conditionalFormatting>
  <conditionalFormatting sqref="AU60:BE63">
    <cfRule type="expression" dxfId="630" priority="47">
      <formula>$AK$56&lt;&gt;4</formula>
    </cfRule>
  </conditionalFormatting>
  <conditionalFormatting sqref="AY158">
    <cfRule type="expression" dxfId="629" priority="622">
      <formula>#REF!=2</formula>
    </cfRule>
  </conditionalFormatting>
  <conditionalFormatting sqref="AY170">
    <cfRule type="expression" dxfId="628" priority="438">
      <formula>#REF!=2</formula>
    </cfRule>
  </conditionalFormatting>
  <conditionalFormatting sqref="AY178">
    <cfRule type="expression" dxfId="627" priority="391">
      <formula>#REF!=2</formula>
    </cfRule>
  </conditionalFormatting>
  <conditionalFormatting sqref="AY187:AY192">
    <cfRule type="expression" dxfId="626" priority="65">
      <formula>#REF!=2</formula>
    </cfRule>
  </conditionalFormatting>
  <conditionalFormatting sqref="AY218">
    <cfRule type="expression" dxfId="625" priority="190">
      <formula>#REF!=2</formula>
    </cfRule>
  </conditionalFormatting>
  <conditionalFormatting sqref="AY227">
    <cfRule type="expression" dxfId="624" priority="88">
      <formula>#REF!=2</formula>
    </cfRule>
  </conditionalFormatting>
  <conditionalFormatting sqref="AY230:AY232">
    <cfRule type="expression" dxfId="623" priority="295">
      <formula>#REF!=2</formula>
    </cfRule>
  </conditionalFormatting>
  <conditionalFormatting sqref="AY234:AY236">
    <cfRule type="expression" dxfId="622" priority="119">
      <formula>#REF!=2</formula>
    </cfRule>
  </conditionalFormatting>
  <conditionalFormatting sqref="AZ134:BC134">
    <cfRule type="expression" dxfId="621" priority="790">
      <formula>#REF!=2</formula>
    </cfRule>
  </conditionalFormatting>
  <conditionalFormatting sqref="BC158">
    <cfRule type="expression" dxfId="620" priority="617">
      <formula>#REF!=2</formula>
    </cfRule>
  </conditionalFormatting>
  <conditionalFormatting sqref="BC170">
    <cfRule type="expression" dxfId="619" priority="437">
      <formula>#REF!=2</formula>
    </cfRule>
  </conditionalFormatting>
  <conditionalFormatting sqref="BC178">
    <cfRule type="expression" dxfId="618" priority="390">
      <formula>#REF!=2</formula>
    </cfRule>
  </conditionalFormatting>
  <conditionalFormatting sqref="BC187:BC192">
    <cfRule type="expression" dxfId="617" priority="64">
      <formula>#REF!=2</formula>
    </cfRule>
  </conditionalFormatting>
  <conditionalFormatting sqref="BC218">
    <cfRule type="expression" dxfId="616" priority="189">
      <formula>#REF!=2</formula>
    </cfRule>
  </conditionalFormatting>
  <conditionalFormatting sqref="BC227">
    <cfRule type="expression" dxfId="615" priority="87">
      <formula>#REF!=2</formula>
    </cfRule>
  </conditionalFormatting>
  <conditionalFormatting sqref="BC230:BC232">
    <cfRule type="expression" dxfId="614" priority="294">
      <formula>#REF!=2</formula>
    </cfRule>
  </conditionalFormatting>
  <conditionalFormatting sqref="BC234:BC236">
    <cfRule type="expression" dxfId="613" priority="118">
      <formula>#REF!=2</formula>
    </cfRule>
  </conditionalFormatting>
  <conditionalFormatting sqref="BD130">
    <cfRule type="expression" dxfId="612" priority="2078">
      <formula>$L$140&lt;&gt;0</formula>
    </cfRule>
  </conditionalFormatting>
  <conditionalFormatting sqref="BD135">
    <cfRule type="expression" dxfId="611" priority="2123">
      <formula>$L$140&lt;&gt;0</formula>
    </cfRule>
  </conditionalFormatting>
  <conditionalFormatting sqref="BD130:BF130 BE131:BF131">
    <cfRule type="expression" dxfId="610" priority="780">
      <formula>#REF!=2</formula>
    </cfRule>
  </conditionalFormatting>
  <conditionalFormatting sqref="BG234:BG235">
    <cfRule type="expression" dxfId="609" priority="101">
      <formula>#REF!=2</formula>
    </cfRule>
  </conditionalFormatting>
  <conditionalFormatting sqref="BH148:BH158">
    <cfRule type="expression" dxfId="608" priority="611">
      <formula>#REF!=2</formula>
    </cfRule>
  </conditionalFormatting>
  <conditionalFormatting sqref="BH166:BH170">
    <cfRule type="expression" dxfId="607" priority="436">
      <formula>#REF!=2</formula>
    </cfRule>
  </conditionalFormatting>
  <conditionalFormatting sqref="BH174:BH178">
    <cfRule type="expression" dxfId="606" priority="401">
      <formula>#REF!=2</formula>
    </cfRule>
  </conditionalFormatting>
  <conditionalFormatting sqref="BH188:BH192">
    <cfRule type="expression" dxfId="605" priority="351">
      <formula>#REF!=2</formula>
    </cfRule>
  </conditionalFormatting>
  <conditionalFormatting sqref="BH194:BH197">
    <cfRule type="expression" dxfId="604" priority="77">
      <formula>#REF!=2</formula>
    </cfRule>
  </conditionalFormatting>
  <conditionalFormatting sqref="BH199:BH218">
    <cfRule type="expression" dxfId="603" priority="188">
      <formula>#REF!=2</formula>
    </cfRule>
  </conditionalFormatting>
  <conditionalFormatting sqref="BH220:BH221">
    <cfRule type="expression" dxfId="602" priority="147">
      <formula>#REF!=2</formula>
    </cfRule>
  </conditionalFormatting>
  <conditionalFormatting sqref="BH223:BH224">
    <cfRule type="expression" dxfId="601" priority="169">
      <formula>#REF!=2</formula>
    </cfRule>
  </conditionalFormatting>
  <conditionalFormatting sqref="BH226:BH227">
    <cfRule type="expression" dxfId="600" priority="86">
      <formula>#REF!=2</formula>
    </cfRule>
  </conditionalFormatting>
  <conditionalFormatting sqref="BH230:BH236">
    <cfRule type="expression" dxfId="599" priority="116">
      <formula>#REF!=2</formula>
    </cfRule>
  </conditionalFormatting>
  <conditionalFormatting sqref="BH147:BO147">
    <cfRule type="expression" dxfId="598" priority="656">
      <formula>#REF!=2</formula>
    </cfRule>
  </conditionalFormatting>
  <conditionalFormatting sqref="BH185:BT187">
    <cfRule type="expression" dxfId="597" priority="535">
      <formula>#REF!=2</formula>
    </cfRule>
  </conditionalFormatting>
  <conditionalFormatting sqref="BL148:BL158">
    <cfRule type="expression" dxfId="596" priority="610">
      <formula>#REF!=2</formula>
    </cfRule>
  </conditionalFormatting>
  <conditionalFormatting sqref="BL194:BL195">
    <cfRule type="expression" dxfId="595" priority="79">
      <formula>#REF!=2</formula>
    </cfRule>
  </conditionalFormatting>
  <conditionalFormatting sqref="BL197:BL218">
    <cfRule type="expression" dxfId="594" priority="209">
      <formula>#REF!=2</formula>
    </cfRule>
  </conditionalFormatting>
  <conditionalFormatting sqref="BL223">
    <cfRule type="expression" dxfId="593" priority="173">
      <formula>#REF!=2</formula>
    </cfRule>
  </conditionalFormatting>
  <conditionalFormatting sqref="BL229:BL234">
    <cfRule type="expression" dxfId="592" priority="130">
      <formula>#REF!=2</formula>
    </cfRule>
  </conditionalFormatting>
  <conditionalFormatting sqref="BL237">
    <cfRule type="expression" dxfId="591" priority="533">
      <formula>#REF!=2</formula>
    </cfRule>
  </conditionalFormatting>
  <conditionalFormatting sqref="BL220:BM221">
    <cfRule type="expression" dxfId="590" priority="146">
      <formula>#REF!=2</formula>
    </cfRule>
  </conditionalFormatting>
  <conditionalFormatting sqref="BL226:BM227">
    <cfRule type="expression" dxfId="589" priority="85">
      <formula>#REF!=2</formula>
    </cfRule>
  </conditionalFormatting>
  <conditionalFormatting sqref="BM167:BM168">
    <cfRule type="expression" dxfId="588" priority="457">
      <formula>#REF!=2</formula>
    </cfRule>
  </conditionalFormatting>
  <conditionalFormatting sqref="BM175:BM176">
    <cfRule type="expression" dxfId="587" priority="421">
      <formula>#REF!=2</formula>
    </cfRule>
  </conditionalFormatting>
  <conditionalFormatting sqref="BM188:BM192">
    <cfRule type="expression" dxfId="586" priority="180">
      <formula>#REF!=2</formula>
    </cfRule>
  </conditionalFormatting>
  <conditionalFormatting sqref="BM194:BM197">
    <cfRule type="expression" dxfId="585" priority="76">
      <formula>#REF!=2</formula>
    </cfRule>
  </conditionalFormatting>
  <conditionalFormatting sqref="BM199:BM218">
    <cfRule type="expression" dxfId="584" priority="164">
      <formula>#REF!=2</formula>
    </cfRule>
  </conditionalFormatting>
  <conditionalFormatting sqref="BM223:BM224">
    <cfRule type="expression" dxfId="583" priority="144">
      <formula>#REF!=2</formula>
    </cfRule>
  </conditionalFormatting>
  <conditionalFormatting sqref="BM230:BM236">
    <cfRule type="expression" dxfId="582" priority="131">
      <formula>#REF!=2</formula>
    </cfRule>
  </conditionalFormatting>
  <conditionalFormatting sqref="BM229:BP229">
    <cfRule type="expression" dxfId="581" priority="136">
      <formula>#REF!=2</formula>
    </cfRule>
  </conditionalFormatting>
  <conditionalFormatting sqref="BQ168">
    <cfRule type="expression" dxfId="580" priority="108">
      <formula>#REF!=2</formula>
    </cfRule>
  </conditionalFormatting>
  <conditionalFormatting sqref="BQ175:BQ176">
    <cfRule type="expression" dxfId="579" priority="103">
      <formula>#REF!=2</formula>
    </cfRule>
  </conditionalFormatting>
  <conditionalFormatting sqref="BQ158:BT158">
    <cfRule type="expression" dxfId="578" priority="612">
      <formula>#REF!=2</formula>
    </cfRule>
  </conditionalFormatting>
  <conditionalFormatting sqref="Z98:AB98">
    <cfRule type="expression" priority="3">
      <formula>$K$95=0</formula>
    </cfRule>
  </conditionalFormatting>
  <conditionalFormatting sqref="AI98:AL98">
    <cfRule type="expression" priority="2">
      <formula>$K$95=0</formula>
    </cfRule>
  </conditionalFormatting>
  <conditionalFormatting sqref="AI98:AL98">
    <cfRule type="expression" priority="5">
      <formula>$AC$95=1</formula>
    </cfRule>
  </conditionalFormatting>
  <conditionalFormatting sqref="AD106:AH106">
    <cfRule type="expression" priority="1">
      <formula>$K$95=0</formula>
    </cfRule>
  </conditionalFormatting>
  <dataValidations xWindow="451" yWindow="690" count="73">
    <dataValidation type="decimal" operator="greaterThanOrEqual" allowBlank="1" showInputMessage="1" showErrorMessage="1" sqref="K20:K22 AE16 AD80:AD83 BD27 AZ21 BD119:BD127 K88 AF134:AF139 AD101 AI100 D27:I27 AI98 BD130 AE13 O88 I130 L118:O119 K148:K158 S148:S158 AA148:AA158 AI148:AI158 AQ148:AQ158 O148:O158 AY148:AY158 W148:W158 AE148:AE158 AM148:AM158 AU148:AU158 BC148:BC158 BM167:BM168 K169 S169 L102:L103 W169 AA169 AE169 AI169 AM169 AQ169 AU169 O169 AY169 BM175:BM176 K177 O177 S177 W177 AA177 AE177 AI177 AM177 AQ177 AU177 AY177 BC177 AA39:AD40 AO40:AR41 BB39:BE40 AA61:AD62 AO62:AR63 BB61:BE62 AE119:AE127 K133 BC169 AJ140:AL141 AI141 AE12:AI12 AE21 AD104:AD106" xr:uid="{E2902E3E-21E6-4FFA-BA8A-EB18504DE163}">
      <formula1>0</formula1>
    </dataValidation>
    <dataValidation type="custom" operator="greaterThan" allowBlank="1" showErrorMessage="1" sqref="AE25:AI25 BQ148:BQ157 L101" xr:uid="{215748EC-2AD4-4B71-8E7C-530AFDEFE1CF}">
      <formula1>ISNUMBER(L25)</formula1>
    </dataValidation>
    <dataValidation type="whole" allowBlank="1" showInputMessage="1" showErrorMessage="1" sqref="AD102:AD103 K89:K90 AE26:AI26 O89 D28:H28" xr:uid="{8C378208-D224-4E33-9ECA-1EFC27F09A1B}">
      <formula1>0</formula1>
      <formula2>30</formula2>
    </dataValidation>
    <dataValidation type="decimal" allowBlank="1" showInputMessage="1" showErrorMessage="1" sqref="K80" xr:uid="{9CA1C459-6E6B-42AB-8812-D36EF40517A4}">
      <formula1>0</formula1>
      <formula2>1</formula2>
    </dataValidation>
    <dataValidation allowBlank="1" showInputMessage="1" showErrorMessage="1" promptTitle="Information Box" prompt="Additional information is usually provided in this message box to help you use the spreadsheet efficiently or define specific terms" sqref="BK20" xr:uid="{7BBB7F93-657A-4FB4-A054-BEB5D1425933}"/>
    <dataValidation allowBlank="1" showInputMessage="1" showErrorMessage="1" promptTitle="Reinvestment Rate" prompt="Use for the calculation of MIRR (Modified Internal Rate of Return). The MIRR allows for any positive cash flows thrown off by an investment over the holding period to be reinvested at the &quot;Reinvestment Rate&quot;." sqref="U83" xr:uid="{E0D2FB1A-8B2B-4FC4-9EB7-BA335D25ACF4}"/>
    <dataValidation allowBlank="1" showInputMessage="1" showErrorMessage="1" promptTitle="PMI Cancellation" prompt="Most lenders require payment of Private Mortgage Insurance (PMI) if your down payment is below 20% of the home's purchase price. In most cases, PMI will continue to be paid until the Loan To Value (LTV) reaches 80%." sqref="U82" xr:uid="{2F0E5DA9-F4A9-408F-B058-46C8E8A31ED3}"/>
    <dataValidation allowBlank="1" showInputMessage="1" showErrorMessage="1" promptTitle="After-Repair Value (ARV)" prompt="The ARV is the value of a property after it has been improved, renovated or fixed up. The figure is used for calculation of Cap Rate, Adjusted Cap Rate, and Property's value at sale." sqref="U21" xr:uid="{5E0DDB55-E8F7-42FE-AF1B-A45F760074DA}"/>
    <dataValidation allowBlank="1" showInputMessage="1" showErrorMessage="1" promptTitle="Valuation Method" prompt="☑ Appreciation Method: An annual growth rate is used to derive the property's value each year._x000a__x000a_☑ Capitalization Method: a capitalization rate is applied to the Property's Net Operating Income at exit (sale) to derive its value." sqref="AO12" xr:uid="{D26E2ABE-D561-48A0-9C7A-D28E94591E44}"/>
    <dataValidation allowBlank="1" showInputMessage="1" showErrorMessage="1" promptTitle="Holding Period" prompt="Indicate how long you will hold the property (up to 30 years). Note that this can be different from the length of your mortgage." sqref="U26" xr:uid="{C181FEA3-E737-4B72-B5D6-31F5F967B8DD}"/>
    <dataValidation allowBlank="1" showInputMessage="1" showErrorMessage="1" promptTitle="Optimal Sale Date" prompt="The Optimal Sale Date calculates the best date to sell a property in order to maximize your IRR. More information is provided in the Forecasts tab. Please set Holding Period to 30 years to run the optimal sale date analysis." sqref="U28" xr:uid="{E66EEA38-8CB4-4B3D-BCB2-520B4F5B8334}"/>
    <dataValidation allowBlank="1" showInputMessage="1" showErrorMessage="1" promptTitle="Interest-Only Loan" prompt="If your loan is an Interest-Only Loan, indicate the length (in years) of the Interest-Only Period." sqref="B90" xr:uid="{F81619A8-7093-4E24-B739-BBE5CFCCF520}"/>
    <dataValidation allowBlank="1" showInputMessage="1" showErrorMessage="1" promptTitle="Rule of Thumb" prompt="This allows you to quickly analyze a property without filling out the full list of related operating expenses. For instance, by selecting 50%, you expect your total expenses (including vacancy and capex) to represent 50% of your GSI." sqref="AQ134" xr:uid="{C000EC56-A8EE-4B5D-81A6-B747242B144C}"/>
    <dataValidation allowBlank="1" showInputMessage="1" showErrorMessage="1" promptTitle="Fixed Operating Expenses" prompt="Enter your property's fixed operating expenses ($ amount on a monthly basis). Category names can be customized as desired." sqref="AM115:AM116" xr:uid="{EC3B1A11-A51F-4F36-BBED-AE8450A30565}"/>
    <dataValidation allowBlank="1" showInputMessage="1" showErrorMessage="1" promptTitle="Capital Expenditures" prompt="CAPEX refer to big ticket items that need to be replaced every so often but not every month or year (such as roofs, appliances, driveways, plumbing systems, or other larger infrequent items)" sqref="AQ130:AQ131" xr:uid="{E35DAF01-3F00-4D3A-8844-1F5AD397ABF4}"/>
    <dataValidation allowBlank="1" showInputMessage="1" showErrorMessage="1" promptTitle="Capitalization Rate" prompt="= Net Operating Income / Property Value (ARV)_x000a_" sqref="AG246" xr:uid="{DF7FA88F-07AE-4F59-ADAB-8A1467E1B9CA}"/>
    <dataValidation allowBlank="1" showInputMessage="1" showErrorMessage="1" promptTitle="Adjusted Capitalization Rate" prompt="= (Net Operating Income - CAPEX &amp; Other Exp) / ARV" sqref="AG249" xr:uid="{049FC495-C8AD-4DBC-BA36-FEAD9A7430FC}"/>
    <dataValidation allowBlank="1" showInputMessage="1" showErrorMessage="1" promptTitle="Cash On Cash" prompt="= Annual Cash Flow / Initial Cash Investment" sqref="AO246" xr:uid="{D0DA51D3-0851-4427-A6EF-AA136DAA364D}"/>
    <dataValidation allowBlank="1" showInputMessage="1" showErrorMessage="1" promptTitle="Price to Rent" prompt="= Purchase Price incl. Repairs / Total Annual Scheduled Income" sqref="AO249" xr:uid="{BB846F56-922E-4D54-B9F6-DD7D701082F7}"/>
    <dataValidation allowBlank="1" showInputMessage="1" showErrorMessage="1" promptTitle="1% Rule" prompt="= Monthly Rent / Purchase Price incl. Repairs_x000a__x000a_Useful screening tool to quickly estimate how a property will cash flow and if an opportunity is worth being further investigated." sqref="AW246" xr:uid="{79973C2C-456A-43AE-A3B4-BE1FF6F366CF}"/>
    <dataValidation allowBlank="1" showInputMessage="1" showErrorMessage="1" promptTitle="Gross Rent Yield" prompt="= Annual Rent / Purchase Price incl. Repairs" sqref="AW249" xr:uid="{38AEBBAB-41EB-4199-B1CF-8F0CA70A8D55}"/>
    <dataValidation allowBlank="1" showInputMessage="1" showErrorMessage="1" promptTitle="Cash Out Date" prompt="Date at which point the cumulative net cash flow of your property starts to exceed your initial cash investment. " sqref="BE246" xr:uid="{E03EF5B8-77DA-4BD2-8A4E-D97B940C6DAA}"/>
    <dataValidation allowBlank="1" showInputMessage="1" showErrorMessage="1" promptTitle="Debt Coverage" prompt="= (Net Operating Income - CAPEX) / Principal &amp; Interest Payment" sqref="BE249" xr:uid="{382D9DA3-245F-4EC4-A22D-895A3F84B99C}"/>
    <dataValidation allowBlank="1" showInputMessage="1" showErrorMessage="1" promptTitle="Unlevered IRR" prompt="Internal rate of return of your project based on unlevered cash flows and investments (i.e. before any bank financing proceeds and financing costs such as interest expenses, etc.). It gives an indication of a project's profitability pre-leveraging." sqref="AG254" xr:uid="{C56B84F7-727A-443D-A1BA-B50753CD2935}"/>
    <dataValidation allowBlank="1" showInputMessage="1" showErrorMessage="1" promptTitle="Unlevered MIRR" prompt="Similar to Unlevered IRR but it assumes that cash flows received throughout the holding period are reinvested at the reinvestment rate (instead of the project's IRR)" sqref="AO254" xr:uid="{3580EA61-6F2E-4B1F-A909-F04E2190F2EB}"/>
    <dataValidation allowBlank="1" showInputMessage="1" showErrorMessage="1" promptTitle="Levered IRR" prompt="Internal rate of return of your project based on levered cash flows and investments (i.e. after bank financing and interest expense). It gives an indication of a project's final profitability post-leveraging." sqref="AG257" xr:uid="{515B1755-CD21-487F-B089-CCF84C2F2107}"/>
    <dataValidation allowBlank="1" showInputMessage="1" showErrorMessage="1" promptTitle="Levered MIRR" prompt="Similar to Levered IRR but it assumes that cash flows received throughout the holding period are reinvested at the reinvestment rate (instead of the project's IRR)" sqref="AO257" xr:uid="{414DF71F-8E23-427C-8443-72E0A27AD013}"/>
    <dataValidation allowBlank="1" showInputMessage="1" showErrorMessage="1" promptTitle="Maximum Offering Price" prompt="This tool calculates the maximum purchase price you should offer to reach your profitability threshold based on different financial ratios (such as minimum cap rate, minimum Cash on Cash, etc.)" sqref="S254" xr:uid="{6DA4E4C3-409C-4C86-B65C-8C3683AAED60}"/>
    <dataValidation allowBlank="1" showInputMessage="1" showErrorMessage="1" promptTitle="Financial Data Year 1" prompt="This section summarizes the potential monthly / annual cash flow to expect for the first year post-closing of the acquisition." sqref="S241" xr:uid="{FE89F270-CD0F-4D21-BEEC-15045FA8DE6C}"/>
    <dataValidation allowBlank="1" showInputMessage="1" showErrorMessage="1" promptTitle="Rental Income" prompt="You can select a custom nightly rate or apply one from a local profile" sqref="U116" xr:uid="{3660A1CA-3146-408F-8E09-DFFFC098118E}"/>
    <dataValidation type="decimal" allowBlank="1" showInputMessage="1" showErrorMessage="1" sqref="K257:N258 K260:N261" xr:uid="{0AA3EB7B-005E-44B7-AB33-26BE98AC9DAF}">
      <formula1>0</formula1>
      <formula2>2</formula2>
    </dataValidation>
    <dataValidation type="decimal" allowBlank="1" showInputMessage="1" showErrorMessage="1" sqref="K259:N259" xr:uid="{36C59D91-752C-48CD-BC37-75E1D4E6A07B}">
      <formula1>0</formula1>
      <formula2>200000</formula2>
    </dataValidation>
    <dataValidation allowBlank="1" showErrorMessage="1" sqref="K12:R12" xr:uid="{73AC4CB7-25BB-4D44-B42F-D662A7D1DFDC}"/>
    <dataValidation allowBlank="1" showInputMessage="1" showErrorMessage="1" promptTitle="Purchase Date" prompt="Please enter the Property Purchase Date in the format: mm/dd/yyyy" sqref="U25" xr:uid="{E4DC26A7-B764-4F16-946F-FF5900952F47}"/>
    <dataValidation allowBlank="1" showInputMessage="1" showErrorMessage="1" promptTitle="Project Name (Optional)" prompt="Enter the Project Name that will be displayed in the different reports available in the spreadsheet." sqref="B12" xr:uid="{AF64A6E6-446B-44AB-9644-3C84D0C6926C}"/>
    <dataValidation type="custom" operator="greaterThanOrEqual" allowBlank="1" showInputMessage="1" showErrorMessage="1" sqref="AZ15:BC16" xr:uid="{6C4DDFD4-A78A-4CD5-84CD-93296EA5B20C}">
      <formula1>ISNUMBER(AZ15)</formula1>
    </dataValidation>
    <dataValidation allowBlank="1" showInputMessage="1" showErrorMessage="1" promptTitle="Implied Sale Date" prompt="Calculated based on your Purchase Date and Holding Period. This is the date when your property is expected to be sold." sqref="U27" xr:uid="{4949E6C8-7961-4A5F-88CD-D250B275A2B1}"/>
    <dataValidation allowBlank="1" showInputMessage="1" showErrorMessage="1" promptTitle="Appreciation above Inflation" prompt="How much do you expect the value of the property to increase per year above the inflation rate?_x000a_E.g. If you expect your total appreciation rate to be 5% annually and your inflation rate assumption is 2%, then you should enter 3% in this cell." sqref="AO16" xr:uid="{0D1F013E-49C3-4CAF-82E7-50FD52261D82}"/>
    <dataValidation allowBlank="1" showInputMessage="1" showErrorMessage="1" promptTitle="Inflation Rate" prompt="Note: historical annual inflation rate in the U.S. between 2010 and 2020 was 1.63% per year" sqref="AO15" xr:uid="{B5B4BFC5-46E2-44F3-B9B4-33669829F533}"/>
    <dataValidation allowBlank="1" showInputMessage="1" showErrorMessage="1" promptTitle="Total Appreciation Rate" prompt="How much do you expect the value of the property to increase per year? Be sure to look at historical trends and remain conservative in order to account for potential fluctuations in both your local real estate market and the global economy" sqref="AO17" xr:uid="{218A51F9-4114-46C5-AA23-571D20A7FB5F}"/>
    <dataValidation allowBlank="1" showInputMessage="1" showErrorMessage="1" promptTitle="Closing costs or &quot;Points&quot;" prompt="Enter fees / financing costs paid directly to your lender (calculated as a % of the loan amount). Average closing costs for the buyer usually run between about 2% and 5% of the loan amount." sqref="U80" xr:uid="{80CB25B1-12BB-41CD-8F20-740E5395F53E}"/>
    <dataValidation allowBlank="1" showInputMessage="1" showErrorMessage="1" promptTitle="Loan Insurance - PMI" prompt="PMI is a type of insurance conventional mortgage lenders require when homebuyers put down less than 20% of the home's purchase price. If applicable, the average annual PMI premium typically ranges from 0.55% to 2.25% of the original loan amount each year." sqref="U81" xr:uid="{91AAADE0-8674-410B-8827-4912B59094FB}"/>
    <dataValidation allowBlank="1" showInputMessage="1" showErrorMessage="1" promptTitle="Loan Term" prompt="Although you can shop for mortgage terms in five-year increments ranging from 15 to 40 years, 15- and 30-year terms are the most common for fixed mortgages." sqref="B89" xr:uid="{A3732B81-4076-4735-B42A-33DC3ED1E350}"/>
    <dataValidation allowBlank="1" showInputMessage="1" showErrorMessage="1" promptTitle="Down Payment" prompt="A 20% down payment is considered to be the norm in the U.S." sqref="B80" xr:uid="{6DD54625-6B5C-4B50-A280-2226C22C544E}"/>
    <dataValidation allowBlank="1" showInputMessage="1" showErrorMessage="1" promptTitle="Mortgage Payment" prompt="Total Monthly Mortgage Payment after any Interest-Only Period" sqref="U87" xr:uid="{43664FD7-B245-4499-A2B8-887EAF1CAFF7}"/>
    <dataValidation allowBlank="1" showInputMessage="1" showErrorMessage="1" promptTitle="Loan To Value Pre Refinancing" prompt="Calculated as your Outstanding Mortgage Amount divided by the Expected Property Value at Refinancing" sqref="B103" xr:uid="{4ABDE7C1-B878-4E02-93F6-87AE65C0644A}"/>
    <dataValidation type="whole" allowBlank="1" showErrorMessage="1" sqref="L99:P99 AD98:AH98" xr:uid="{593925F2-2CA8-408A-B915-94563475FF37}">
      <formula1>1</formula1>
      <formula2>30</formula2>
    </dataValidation>
    <dataValidation allowBlank="1" showInputMessage="1" showErrorMessage="1" promptTitle="Target Refinancing Year-End" prompt="The refinancing will occure the first day after the end of the selected year. For instance, if entered 10, the refinancing will occur the first day of year 11._x000a__x000a_Select a year between 1 and 30." sqref="B99" xr:uid="{F65DE2B0-249E-45BE-9006-C51A1A17FE5C}"/>
    <dataValidation allowBlank="1" showInputMessage="1" showErrorMessage="1" promptTitle="Activate Refinancing" prompt="Select Yes or No to activate a refinancing based on the parameters entered in this section" sqref="B98" xr:uid="{583B9959-28B3-4597-AC90-6F46E76752AA}"/>
    <dataValidation allowBlank="1" showInputMessage="1" showErrorMessage="1" promptTitle="Selected Refinancing Year-End" prompt="The refinancing will occure the first day after the selected Year-End. For instance, if entered 10, the refinancing will occur on the first day of Year 11" sqref="B101" xr:uid="{8395E9C2-C044-4C8C-B7D3-294BE851B0F9}"/>
    <dataValidation allowBlank="1" showInputMessage="1" showErrorMessage="1" promptTitle="Annual Rent Increase" prompt="Select Flat Rate to apply the same annual growth rate each year._x000a_Select Yearly Rate to enter a custom growth rate for each forecasted year (values to be entered in the Forecasts Tab)" sqref="B134:B135" xr:uid="{54A734C4-8278-438C-A041-0BF5D1DBFDBD}"/>
    <dataValidation allowBlank="1" showInputMessage="1" showErrorMessage="1" promptTitle="Annual Increase - Other Income" prompt="Select Flat Rate to apply the same annual growth rate each year._x000a_Select Yearly Rate to enter a custom growth rate for each forecasted year (values to be entered in the Forecasts Tab)" sqref="B136:B137" xr:uid="{CCAC12BD-67ED-42BE-9EDF-D2BAAC1FA5E2}"/>
    <dataValidation allowBlank="1" showInputMessage="1" showErrorMessage="1" promptTitle="Fixed Expenses Increase" prompt="Select Flat Rate to apply the same annual growth rate each year._x000a_Select Yearly Rate to enter a custom growth rate for each forecasted year (values to be entered in the Forecasts Tab)" sqref="B138" xr:uid="{E3F1A352-2AD7-4F00-BC1A-61E6F41CFB43}"/>
    <dataValidation allowBlank="1" showInputMessage="1" showErrorMessage="1" promptTitle="Custom Annual Growth Rate" prompt="Check this box if you want to apply a custom appreciation growth rate for your property. Annual values must then be entered in the Forecasts Tab directly." sqref="BG14" xr:uid="{F8540346-EB11-4FBE-BFDA-CD7B7C37B3D2}"/>
    <dataValidation type="list" allowBlank="1" showInputMessage="1" showErrorMessage="1" sqref="H124" xr:uid="{87366B7A-7CE0-4722-B822-8B1409CF8FD6}">
      <formula1>$C$148:$C$157</formula1>
    </dataValidation>
    <dataValidation allowBlank="1" showInputMessage="1" showErrorMessage="1" promptTitle="Rental Income" prompt="You can select a custom nightly rate or apply one from a local profile saved in the section below" sqref="S115" xr:uid="{913EFDDC-77BC-4BED-885B-237456873D72}"/>
    <dataValidation allowBlank="1" showInputMessage="1" showErrorMessage="1" promptTitle="Client View" prompt="Client View refers to how much clients are actually spending to book your rental. It includes among other things cleaning fee and service fee" sqref="B229:B230" xr:uid="{E536D75A-2672-43C6-9C8B-A454E9A35422}"/>
    <dataValidation type="decimal" allowBlank="1" showInputMessage="1" showErrorMessage="1" sqref="P134 P136:P138" xr:uid="{FDEEDD71-D1A9-4274-8BB0-9AB4A8B8B488}">
      <formula1>-1</formula1>
      <formula2>1</formula2>
    </dataValidation>
    <dataValidation allowBlank="1" showInputMessage="1" showErrorMessage="1" promptTitle="Variable Expenses Increase" prompt="Select Flat Rate to apply the same annual growth rate each year._x000a_Select Yearly Rate to enter a custom growth rate for each forecasted year (values to be entered in the Forecasts Tab)" sqref="B139" xr:uid="{8565A478-74F2-4546-8AB5-8BFFDFBD06B4}"/>
    <dataValidation allowBlank="1" showInputMessage="1" showErrorMessage="1" promptTitle="Lump Sum" prompt="Estimate your rehab cost by entering a total $ amount" sqref="BE37" xr:uid="{B189D059-61B2-417A-B09D-9366AC4E6BD2}"/>
    <dataValidation allowBlank="1" showInputMessage="1" showErrorMessage="1" promptTitle="Percentage of ARV" prompt="Quick estimate method that allows you to derive your total project costs based on the property's ARV. Ideal for quick &amp; dirty estimates" sqref="AR37" xr:uid="{796C01D7-5421-40DF-AF2F-CF408D8F2DDF}"/>
    <dataValidation allowBlank="1" showInputMessage="1" showErrorMessage="1" promptTitle="Quick Estimate" prompt="Alternative to the Detailed Estimate. This method is based on the costs by category entered below. This method allows you to maintain a level of detail by category without having to list all costs associated with the project" sqref="AD37" xr:uid="{782E5CAD-F4BB-44C5-91AE-E984B4D29441}"/>
    <dataValidation allowBlank="1" showInputMessage="1" showErrorMessage="1" promptTitle="Detailed Estimate" prompt="Estimate based on the list of rehab costs entered in the &quot;Repair&quot; tab. All costs listed in that tab will automatically source the below breakdown of costs by category" sqref="O37" xr:uid="{4634B663-3E7D-4386-A7DA-03AB876D3A23}"/>
    <dataValidation allowBlank="1" showInputMessage="1" showErrorMessage="1" promptTitle="Detailed Estimate" prompt="Estimate based on the list of appliances &amp; furnitures costs entered in the &quot;Furnitures&quot; tab. All expenses listed in that tab will automatically feed the below breakdown of expenses by category" sqref="O59" xr:uid="{9D6A71B8-78BE-4915-B7FE-1435EDF2BCA2}"/>
    <dataValidation allowBlank="1" showInputMessage="1" showErrorMessage="1" promptTitle="Quick Estimate" prompt="Alternative to the Detailed Estimate. This method is based on the costs by area entered below. This method allows you to maintain a level of detail by area without having to list all appliances &amp; furnitures associated with the listing" sqref="AD59" xr:uid="{4FF76A0D-E720-4950-B820-5C6E4A23DCB8}"/>
    <dataValidation allowBlank="1" showInputMessage="1" showErrorMessage="1" promptTitle="Percentage of PP" prompt="Quick estimate method that allows you to derive your total furnishing costs based on the property's Purchase Price. Ideal for quick &amp; dirty estimates" sqref="AR59" xr:uid="{00C2A621-0AF2-4175-BF2F-D99B16A1D933}"/>
    <dataValidation allowBlank="1" showInputMessage="1" showErrorMessage="1" promptTitle="Lump Sum" prompt="Estimate your furnishing cost by entering a total $ amount" sqref="BE59" xr:uid="{FE7E7C37-E885-49FD-9322-D6F054EA659F}"/>
    <dataValidation allowBlank="1" showInputMessage="1" showErrorMessage="1" promptTitle="Acquisition Costs" prompt="You can select which acquisition costs are financed with debt in the &quot;Property Acquisition&quot; section above" sqref="B85" xr:uid="{E6E2229D-785E-4AFC-8E73-EE613731D824}"/>
    <dataValidation allowBlank="1" showInputMessage="1" showErrorMessage="1" promptTitle="Refurbishment / Repair Costs" prompt="You can enter the expected repair costs in the &quot;Refurbishment / Repairs Assumptions&quot; section below." sqref="U13" xr:uid="{765B870D-C9CF-42A4-8481-F36ACF0DE44D}"/>
    <dataValidation allowBlank="1" showInputMessage="1" showErrorMessage="1" promptTitle="Furnitures &amp; Appliances" prompt="You can enter the expected expense for furnitures and appliances in the &quot;Furnitures &amp; Appliances Assumptions&quot; section below." sqref="U16" xr:uid="{8E23336C-BD1F-410D-86B6-274EA2DB2E33}"/>
    <dataValidation allowBlank="1" showInputMessage="1" showErrorMessage="1" promptTitle="Variable Operating Expenses" prompt="Enter your property's fixed operating expenses (as a % of Gross Scheduled Income). Category names can be customized as desired." sqref="BG116 BF115" xr:uid="{D445772B-F078-44DA-8EED-01745CE98EC4}"/>
    <dataValidation type="list" allowBlank="1" showInputMessage="1" showErrorMessage="1" sqref="P118:S119" xr:uid="{DE169CD9-E01A-468C-872F-8E2F5395EC97}">
      <formula1>$C$166:$C$169</formula1>
    </dataValidation>
    <dataValidation allowBlank="1" showInputMessage="1" showErrorMessage="1" promptTitle="Service Fee - Host" prompt="Calculated from the booking subtotal (nightly rate + cleaning fee + additional guest fee)" sqref="B196" xr:uid="{B1205FD6-BC97-4AC4-8F36-18B057C9528E}"/>
  </dataValidations>
  <hyperlinks>
    <hyperlink ref="F5:I5" location="Repairs_Estimate" display="Repairs" xr:uid="{1EF6C2B4-AE5C-4962-A1FF-4804343C057A}"/>
    <hyperlink ref="N5:Q5" location="downpayment" display="Financing" xr:uid="{02E3318D-743A-4570-A246-6D53EA1E6BE8}"/>
    <hyperlink ref="V5:Y5" location="Rent" display="Operating" xr:uid="{2AD4E297-AC82-4BF6-B9DE-66562FB9FDEF}"/>
    <hyperlink ref="Z5:AC5" location="D_ProfilesName" display="Profiles" xr:uid="{E35BB2ED-624D-430E-A676-0B35CBFDF299}"/>
    <hyperlink ref="AH5:AK5" location="D_EstimatesJanuary" display="Estimates" xr:uid="{6C5CF53A-37DE-482D-8E2F-24A7C16ACD9D}"/>
    <hyperlink ref="AD5:AG5" location="D_ScenariosCustomCase" display="Scenarios" xr:uid="{3BB5818B-AEE7-4A76-AEF1-0F980A90A874}"/>
    <hyperlink ref="R5:U5" location="D_Refinancing_Activate" display="Refinancing" xr:uid="{1BFAEAB2-4F34-41A4-9658-D6C5CEF61695}"/>
    <hyperlink ref="B5:E5" location="D_Acquisition_Project_Name" display="Acquisition" xr:uid="{C69AF48B-4BE0-4127-B88E-6CE62E622772}"/>
    <hyperlink ref="J5:M5" location="Furniture_Estimate" display="Furniture" xr:uid="{D813030F-20CA-40A1-BE46-6ED11E1BEDBD}"/>
    <hyperlink ref="AL5:AO5" location="D_Results1" display="Results" xr:uid="{5B2BF258-811C-47B3-BDCB-93BC615855EF}"/>
  </hyperlinks>
  <pageMargins left="0.7" right="0.7" top="0.75" bottom="0.75" header="0.3" footer="0.3"/>
  <pageSetup scale="58" fitToHeight="0" orientation="landscape" r:id="rId1"/>
  <rowBreaks count="5" manualBreakCount="5">
    <brk id="52" max="72" man="1"/>
    <brk id="92" max="72" man="1"/>
    <brk id="142" max="72" man="1"/>
    <brk id="180" max="72" man="1"/>
    <brk id="239" max="72" man="1"/>
  </rowBreaks>
  <ignoredErrors>
    <ignoredError sqref="O159:BF159 BH189" formula="1"/>
    <ignoredError sqref="K169:N169 K177:BF177 W169:AX169" unlockedFormula="1"/>
    <ignoredError sqref="AC98"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3083" r:id="rId4" name="Check Box 11">
              <controlPr defaultSize="0" autoFill="0" autoLine="0" autoPict="0">
                <anchor moveWithCells="1">
                  <from>
                    <xdr:col>28</xdr:col>
                    <xdr:colOff>144780</xdr:colOff>
                    <xdr:row>14</xdr:row>
                    <xdr:rowOff>129540</xdr:rowOff>
                  </from>
                  <to>
                    <xdr:col>30</xdr:col>
                    <xdr:colOff>15240</xdr:colOff>
                    <xdr:row>16</xdr:row>
                    <xdr:rowOff>0</xdr:rowOff>
                  </to>
                </anchor>
              </controlPr>
            </control>
          </mc:Choice>
        </mc:AlternateContent>
        <mc:AlternateContent xmlns:mc="http://schemas.openxmlformats.org/markup-compatibility/2006">
          <mc:Choice Requires="x14">
            <control shapeId="3086" r:id="rId5" name="Check Box 14">
              <controlPr defaultSize="0" autoFill="0" autoLine="0" autoPict="0">
                <anchor moveWithCells="1">
                  <from>
                    <xdr:col>56</xdr:col>
                    <xdr:colOff>190500</xdr:colOff>
                    <xdr:row>12</xdr:row>
                    <xdr:rowOff>160020</xdr:rowOff>
                  </from>
                  <to>
                    <xdr:col>58</xdr:col>
                    <xdr:colOff>60960</xdr:colOff>
                    <xdr:row>14</xdr:row>
                    <xdr:rowOff>30480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451" yWindow="690" count="12">
        <x14:dataValidation type="list" allowBlank="1" showInputMessage="1" showErrorMessage="1" xr:uid="{8752A1A8-E419-4892-BFA3-4CB9D57EC3F5}">
          <x14:formula1>
            <xm:f>HIDE5!$B$3:$B$4</xm:f>
          </x14:formula1>
          <xm:sqref>AZ12</xm:sqref>
        </x14:dataValidation>
        <x14:dataValidation type="list" allowBlank="1" showInputMessage="1" showErrorMessage="1" xr:uid="{E039C70D-8A54-4CC5-BD6F-99C402F74BBB}">
          <x14:formula1>
            <xm:f>HIDE5!$F$3:$F$8</xm:f>
          </x14:formula1>
          <xm:sqref>AM140:AM141</xm:sqref>
        </x14:dataValidation>
        <x14:dataValidation type="list" allowBlank="1" showErrorMessage="1" xr:uid="{7DDB57C5-202B-46C6-A5B5-5A008EEA831A}">
          <x14:formula1>
            <xm:f>HIDE5!$K$20:$K$21</xm:f>
          </x14:formula1>
          <xm:sqref>Z98:AB98</xm:sqref>
        </x14:dataValidation>
        <x14:dataValidation type="list" allowBlank="1" showInputMessage="1" showErrorMessage="1" xr:uid="{B451845E-27A0-4B24-9A59-AF0057344F8D}">
          <x14:formula1>
            <xm:f>HIDE5!$F$3:$F$13</xm:f>
          </x14:formula1>
          <xm:sqref>BD134</xm:sqref>
        </x14:dataValidation>
        <x14:dataValidation type="list" allowBlank="1" showInputMessage="1" showErrorMessage="1" xr:uid="{7D1FA265-E2C5-4091-88AD-69C084A6DE3F}">
          <x14:formula1>
            <xm:f>HIDE5!$H$25:$H$26</xm:f>
          </x14:formula1>
          <xm:sqref>H118:K119</xm:sqref>
        </x14:dataValidation>
        <x14:dataValidation type="list" allowBlank="1" showInputMessage="1" showErrorMessage="1" xr:uid="{93713B72-29AF-4DC8-92E9-B95E3F0356B4}">
          <x14:formula1>
            <xm:f>HIDE5!$J$25:$J$31</xm:f>
          </x14:formula1>
          <xm:sqref>H123</xm:sqref>
        </x14:dataValidation>
        <x14:dataValidation type="list" allowBlank="1" showInputMessage="1" showErrorMessage="1" xr:uid="{34BEAAB7-91DB-4CBF-965C-C84BB4E50D19}">
          <x14:formula1>
            <xm:f>HIDE5!$L$25:$L$26</xm:f>
          </x14:formula1>
          <xm:sqref>BQ167:BT167 BQ175:BT175</xm:sqref>
        </x14:dataValidation>
        <x14:dataValidation type="list" allowBlank="1" showInputMessage="1" showErrorMessage="1" xr:uid="{2B0021A6-B12E-42EB-87A6-940E04C3954F}">
          <x14:formula1>
            <xm:f>HIDE5!$L$28:$L$29</xm:f>
          </x14:formula1>
          <xm:sqref>BQ168:BT168 BQ176:BT176</xm:sqref>
        </x14:dataValidation>
        <x14:dataValidation type="list" allowBlank="1" showInputMessage="1" showErrorMessage="1" xr:uid="{35DB99B1-09C7-4E65-AE5F-C18BB8430793}">
          <x14:formula1>
            <xm:f>HIDE5!$N$3:$N$6</xm:f>
          </x14:formula1>
          <xm:sqref>AC34:AJ34 AC56:AJ56</xm:sqref>
        </x14:dataValidation>
        <x14:dataValidation type="list" allowBlank="1" showInputMessage="1" showErrorMessage="1" xr:uid="{C91989E5-6B82-4BB9-A653-94EE3DB82BFA}">
          <x14:formula1>
            <xm:f>HIDE5!$U$13:$U$17</xm:f>
          </x14:formula1>
          <xm:sqref>L61:O61</xm:sqref>
        </x14:dataValidation>
        <x14:dataValidation type="list" allowBlank="1" showInputMessage="1" showErrorMessage="1" xr:uid="{E7B61D0F-51CB-4D35-BA8B-3FB3C1005F7A}">
          <x14:formula1>
            <xm:f>HIDE5!$D$25:$D$26</xm:f>
          </x14:formula1>
          <xm:sqref>L134:O139</xm:sqref>
        </x14:dataValidation>
        <x14:dataValidation type="list" allowBlank="1" showInputMessage="1" showErrorMessage="1" xr:uid="{E08C98D9-7BC9-49A8-9833-F70D996FD9AC}">
          <x14:formula1>
            <xm:f>HIDE5!$D$3:$D$6</xm:f>
          </x14:formula1>
          <xm:sqref>K19:R19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T o u r   x m l n s : x s d = " h t t p : / / w w w . w 3 . o r g / 2 0 0 1 / X M L S c h e m a "   x m l n s : x s i = " h t t p : / / w w w . w 3 . o r g / 2 0 0 1 / X M L S c h e m a - i n s t a n c e "   N a m e = " T o u r   1 "   D e s c r i p t i o n = " S o m e   d e s c r i p t i o n   f o r   t h e   t o u r   g o e s   h e r e "   x m l n s = " h t t p : / / m i c r o s o f t . d a t a . v i s u a l i z a t i o n . e n g i n e . t o u r s / 1 . 0 " > < S c e n e s > < S c e n e   C u s t o m M a p G u i d = " 0 0 0 0 0 0 0 0 - 0 0 0 0 - 0 0 0 0 - 0 0 0 0 - 0 0 0 0 0 0 0 0 0 0 0 0 "   C u s t o m M a p I d = " 0 0 0 0 0 0 0 0 - 0 0 0 0 - 0 0 0 0 - 0 0 0 0 - 0 0 0 0 0 0 0 0 0 0 0 0 "   S c e n e I d = " 7 2 7 1 8 b a 3 - 3 0 8 3 - 4 9 4 7 - b c 2 4 - 7 4 4 c 9 d 0 a 2 f 3 e " > < T r a n s i t i o n > M o v e T o < / T r a n s i t i o n > < E f f e c t > S t a t i o n < / E f f e c t > < T h e m e > B i n g R o a d < / T h e m e > < T h e m e W i t h L a b e l > f a l s e < / T h e m e W i t h L a b e l > < F l a t M o d e E n a b l e d > f a l s e < / F l a t M o d e E n a b l e d > < D u r a t i o n > 1 0 0 0 0 0 0 0 0 < / D u r a t i o n > < T r a n s i t i o n D u r a t i o n > 3 0 0 0 0 0 0 0 < / T r a n s i t i o n D u r a t i o n > < S p e e d > 0 . 5 < / S p e e d > < F r a m e > < C a m e r a > < L a t i t u d e > 4 4 < / L a t i t u d e > < L o n g i t u d e > - 9 3 < / L o n g i t u d e > < R o t a t i o n > 0 < / R o t a t i o n > < P i v o t A n g l e > - 0 . 0 8 7 2 5 1 6 7 0 1 5 2 4 7 0 8 1 7 < / P i v o t A n g l e > < D i s t a n c e > 1 < / D i s t a n c e > < / C a m e r a > < I m a g e > i V B O R w 0 K G g o A A A A N S U h E U g A A A N Q A A A B 1 C A Y A A A A 2 n s 9 T A A A A A X N S R 0 I A r s 4 c 6 Q A A A A R n Q U 1 B A A C x j w v 8 Y Q U A A A A J c E h Z c w A A A m I A A A J i A W y J d J c A A D + g S U R B V H h e 5 X 3 5 k x t H l t 4 D G k B f 6 P s + y e Z N i a R E U S P N 6 h 5 J Y 8 c 6 d j Y 2 / I M j / I v D f 5 o d 4 S P W d t g R 9 u z M 7 M x o J F G a S w c p U Q c p k s 2 j 7 2 b f N x p o o P 2 + P F C J Q t a F B r o h + y M T l Z V V D V R l v S / f y 5 c v s 2 K / / P T z Q 6 o j t A 9 e p v 1 c K + V y e c r n 8 1 Q o F O j w 8 F A k 4 E J f l s Y 6 8 8 V 9 j W / n k z T U n q f u 1 g L x Q V X q Y H V 1 j b q 7 u 9 R e N O z l Y t S c l N 9 5 d z F J s x s N I q / x / o W M 2 B 4 c 5 C i R S I q 8 G 7 i k y Z U E n e s 9 U C X B u D O X p G v D O b V X j v 2 D G M X o k F I J o l w + R s k G e Y 1 f z q R o b T c u 8 l 7 Q 1 / z 7 + 0 2 U i B / S O + f 2 a T c b o z 8 9 a a T G x C G 9 O J I r X v P K j v 9 3 A b E Y 0 T D X / + U B 7 + v 9 e L K J r 1 P t M G L 4 I w / o Y + Y W K R 6 P U 0 N D A 7 U 2 N d B A e p M e P r o v j t c L g m v q G N E 9 e s 2 X T N j O s T B j + 2 d + 8 B C o D 1 g g D p h D V 4 Z y t J W J 0 W 0 W J j f m 5 + e t Z M L f h Q H I h C u A 8 P W n 8 4 K 4 P x n L 0 r v n M 3 R l 0 B E g L z I B k A s 3 m f L 8 p f L O 7 P A j E w D B h 5 D N b z Y I M t 2 c b K S P H j Y F k u m t M / s q R z T Q l h d k A n C f P S 0 F U a 9 / f Z o S 3 6 s b k i D g E a G h + W w q R Q W P P 3 n 7 b I b a m p x K l 8 / V f r L 5 z P U W C T I B 2 d j J 5 G l 6 o 5 3 G T p 0 X x + s F d a O h B s 6 + T O v r 3 N L 6 k K m f H / 7 V w a z Y h 3 B D o N 5 k 4 c A D n F 5 r o P t L C X q D 9 5 u 4 X A N k G h o a U n t H A w R m p M N o Y l 2 Y 4 e M Q S C 2 E O 9 z i t 6 Z q X 7 2 P W I s 8 X k 0 w y f d Z o B t V q T 9 w X X 9 z W m q l F t c 1 Z p h Q n z G h s q z 1 K k U H E + c n 4 / J Z m V j Z a a C 7 z x K U Y a 2 v I X J K E 7 k R p K m S S a 7 z t h 2 a e 3 J X H D 9 p M K G + q P 0 T D 0 A i 1 U K t 3 Z d p a 9 d O p n j s k H 5 2 L k M P m D D p x o I w 7 0 z o 8 w B t y g C z M 7 M 0 M j q i 9 v y B 3 8 R D s u E O / 9 4 1 1 o B u L G 7 F u Y U v V 3 O 4 G j z + X C 7 L D 7 x c Y x 4 V u N 1 P H j X S W 2 f 3 K c 8 / / 8 m j J r r Y n 6 P v 2 R w 1 q q I M Z t 2 Y E G Y f W 7 H v s A Y x g e / + k D X e U X C x / 4 B N d K m Z d b 0 U D m P 0 h w f l x N e k c c O f V A l K p e J 0 s H m X D r K 7 4 v h J I v b L P 5 4 8 o Z p 6 b r D w F a g t l a X s w S F d 4 n 5 S S 7 J A D W z b 5 1 n 9 L G 3 H R X + i r f G Q X h n f F 3 Y + + j W A S S Y A Z l i c D 0 0 9 n a L x U + O q t L q Y Y m 0 4 0 i G v D 6 T K H M T p V F e p O f f V b I r P O a A W 2 q C W 1 r S n s H g B W g L 9 o j Z u Q P y g h d 4 k C w j i R l d z g W 6 w m Q r 8 w B p i f Q / 9 Q K 7 P U 1 m p I T y A 6 n 2 4 n K C n a 9 x R q x B N r L G v j 2 Q p x T / 5 h O t u O x M X Z e 6 + K O B V T y a Z 9 B a E w j a R k K T a W / 5 S H D t J x P 7 p h A n V 3 H e D 9 v e l X Q w t o b U T Y G 6 h I Z h z w i m g 4 S a T B k j 1 + 9 / 9 n i 5 d v k j j Y 2 O q 1 B s b G + v U 0 d G p 9 o L x h w d N 4 j e 8 s M p 9 G J i h v a 0 F + m 4 h K T r q G 3 t x 6 m J z c H d n h 5 q a m 0 u 0 4 Q / P W L P w t o F l p Y / 7 a D B l w / Z d Q B 6 I 2 H s W 7 W M j F h w Q B 4 V S o c X v v X Y 6 K x o I A O b j x l 6 M r Y F D 0 e 9 b 3 G 6 g b 7 h B O y r A B f 3 I W v m 7 9 9 j c t P W 3 o p J K a q o G a m x k U i 2 d L K l O l F C t A z c o k + E H f H B Q J F I B N c 7 J T S o 3 v M q B F H f Q b w y u U m Z 3 h 3 r 6 + l W p H W s Q d G 6 9 o w B a I c 9 C C V P w Z d X q a 6 B v g N Y X e M K C e b r 7 Q G i 0 8 a 7 y v l e h k G d h k K 0 0 P H P a K Q B H w R 8 f S 6 c L H A g J 5 b 3 T A A H x v Z O s O e Y 2 5 d + b G u p r 1 o 5 X h 7 N C U 9 / i 7 w X B N V A 3 t r 6 R 9 v S Z e M b a 9 8 5 8 9 U 3 W M A h F K h C K k y Y W N F V T U 4 x 2 F k + O V E y o L 7 0 l s 4 Z o G 3 6 J 9 t j k z e V y R T K Z C f A i j V e 5 B q p 8 I n G X z p y Z E N + 9 O D 9 L h 2 2 n a Y g F V T 2 P q g D E a g j w k 3 7 A 2 u z q E L f + / L s 9 c O m 7 A H K g / 7 O Z i V F 7 k / 9 9 g a C n m E g f 8 n e a L T s 0 4 f J O X J A K f R P 0 U W y A W 1 s T 0 A t / w 5 r q z 0 9 S 9 M J w T m h L 4 P O p F G 2 w m X b c C E M q M 4 F U y W S S 2 A C g r f l b 4 p z j R u y f / n T 8 h O o Z f 4 k 2 N 0 E m q Z n c h B J A X u Z K E E Q m j f a 1 T 8 T 3 X r h 4 n u L N v d T J W m h j c 4 s 6 2 t v U G Z U D b m m Y b z C p X m B N 0 J e W R I F L H + Y S B H y V N d / f n J I t P j R E N 5 / v B v 4 e p h r E A 3 d l F x 8 J u N h B S s B m y g F w 5 8 P V r Q F X O v p h Q U j F D y h b C O 4 j o U E I M y Z V T W j y m B A l q t x N K E m q B K X T / J x m j p 9 U s V 8 d M 6 G a 2 z o p n z x D 2 W y 5 R 8 8 k i 4 0 4 Y c k E t / n 5 v g M x Z v T 0 6 V N q 7 T 0 j W l t z 8 D O z t y f 6 M i Z w P b D F v Q A T D P 0 N A J 7 G x a 2 G E t J D Q + h B Y G g v H E u w / M E j B / e + x j q T D Q Q H A Y c N N z z G k N 4 5 Z + + b w Z S E G R i m B u D a R 7 / N J B 5 + D 7 / b 1 7 x D L 4 z J e 8 w e E O 1 t b 1 B H Z 4 f Y v z X F 5 M 8 c z a t X C 1 h J Z Z S 5 S Y V n m E o 1 U H b 1 + A l 1 7 H r 8 s P G M 8 O i V E c k g y 1 H I B E C g f 1 h K 0 C y 3 1 l t b W 0 X T R Z M J M M k E I g H 7 G U e Y b b 8 G M k F I P 5 5 s p A V F p g k 2 w f D 9 I N P m f l w I P s a F Q D Z t D r 4 0 m h X j P R o Y A 0 K / E X 0 l 9 G f g 7 g b c Z P q U i a j x 9 Z x 0 X I Q B v G d u L a b 7 e k t 7 r W I L I M J C k w l 4 a Z x o L D W r 9 u o H g f L A e e z r V O D W D D L W 1 P u S O u H 4 w B r q V t j n d G S k B 6 / T 7 q 7 j h C g c M q l U Z 0 B X U E l F a a C i V D Y M I N z o j E M 7 n G p d o o 4 O R 2 i C g P A h O A r Q 0 p n A w P G Y c i y A H O I w X 5 R 2 Q A C m B t T A 7 W 1 y / w M D n S t s + s E c x C 0 u L y 1 Q X / + g O k s i V + C / V 5 4 2 e A e f V 1 E Y c I t D 4 1 U L P c k 1 u j 4 h G x R 8 7 z 5 r q h a L 7 w G e v s + n G 8 v 6 X u e a H t P D z I T a O x 6 Y Z p 4 J r a m K 2 z g / m 5 g 0 / e C k a G 6 G k + K 2 O H Y c i I s r P Y b U 1 D F I U A D C z A N B I F V K 9 n z J x C f Z S o M A r X B l K B u J T A D C h 0 w y g f h o A D S Z Q B o 8 O 5 i V m k w P l q W G c Z M J g K c N 5 h Z i 2 E A m D Z D J 1 F o A y H T / m e z L g E w w 8 d A w V J N M Q G e j o w m h R U E m R J m 4 0 d E s 7 8 f t y G h p b R W N l j Z / j w P y l 8 p / r 0 x 2 e I M 8 Z A y y t s + W d v v Q C 1 a Z r E X C 8 7 a V V z 0 V G o Z Y M F W f y d J v K l Z I C X B c Z U M C w g s 3 9 S c s j N u 7 5 a E v Y a G v R 7 d 0 G i B N c 4 L 7 I 6 s r 4 l 6 A 8 7 3 + M X f A F p u D E F p 8 L Q g J 5 0 X K I p A X + p 0 B 4 t c n 9 o V b v 9 q Y 3 B 6 i h U 0 8 F Y l d N l M v c J 8 T W t G N n 5 3 d V j k H 3 6 z 0 i v t 4 Y y L D f d X g e 6 8 W 5 C M p r z N T h o o J F p B o D P O U 4 b o 3 Z b G W q f p P y 4 K W / u t 8 Y z K w s e S m O f k h 4 L A V o 5 1 5 M S L f x v 2 U b 7 7 6 Q p V G h z Y h r O B j n d 0 9 Z W Y h z L v 5 1 R x l s 1 n a 2 5 V h M A g y h a N i e a d B C O 3 e Q U z 0 b 9 D 3 g k k K g G y A O 1 g X 9 1 9 J H Y T B 9 3 P O / e n Y R 2 1 i m k B o z 5 X + U l I d s u i g e l B H Q 6 2 7 Y m z r u B B U H 2 7 5 g s y h P 5 X q v q 7 O q C 3 4 S W p u 1 S Z 1 j 1 8 X a t f t 0 T P h 3 g d s Z W G A i P O l n b h o O a 9 e v a J K o w F j Y 5 U A E R R N z Y 2 U S q W o u a V F l L 1 6 i s n F h I L H E W h h M / G t U x u i L r 6 e L t D H 9 3 K 0 s 7 N L a 6 z x 8 r k M 5 7 f F 7 + M 4 Q n 5 q h c M G p 9 M E M 2 V m v U E 2 C G z e Y Y t w L 4 2 n C 9 v C x I u T v I f B + D S t r G 6 I f D a 7 L 2 I K k X p b 5 f F a I 4 y 8 Y B 8 J 9 Y j E V j u 1 c s N u k 9 F q p p r r w q 0 t d P T L y e T e l s B W F h L o E 6 C f A 0 / a d 9 9 9 r 0 q j A Y O D Y Y D + D Q A X + p e T e y K 6 G q 5 o u N e R Q C T c C r y O G L f S g A a b 3 0 r S u Y E G S j W 1 0 m B 3 E 3 W x x r s 1 3 0 G t r W n x + 9 B + z 1 b L z a 1 q o S l W a g 4 j y B f E w l g W t u b 1 v n p J h m W 9 e y F H 1 w c 3 6 c q 5 f u r p l n 3 T d L p d N J b Q U u 6 o 9 Z r C I i M 2 2 U K C 7 O n + l E 1 G q 5 l i v / 7 L 7 Z r V Q m v f i 7 S 7 Z 3 j 1 X K Q C z L w E j q t s R K C T j P E e h M z A Y 9 b R s M E P P K 2 O h k O U C P E v p l M i 4 B T X K z q j A Y B z w S + y A i a f N g O B D + 8 e U L 4 h 2 v W H R R 8 9 p h c u O N N a z I H j S o B n q 0 1 g r 4 F n N 2 B q I g i 4 U k i r v P T v T V M d e S R c l + 4 L J / g m c x t f q T O q j 5 o 5 J e C 6 z G h T T 5 H I T Z 5 y M q F M Z S p A f 5 o J y 9 t 9 1 l A Y 3 F z O h Q 9 4 1 Y g y 3 Q J j O / J e 5 b 4 N U + v S b I P 3 7 q 9 T c m D 2 k 8 n y q Q s w u f j x q z 2 J n 1 1 O U F N D l s 2 I 6 n f 8 l 2 i C P r j P 1 6 M q H G Q 6 i o m J u E Q N x A W G A R q 9 o 8 A m K z Y Z 0 w m y m O e W I 8 a y i V + u R e I m x V Z 8 9 J T s u s Y X D 6 3 E N 6 M 0 E + D e m r C V R c E P M 9 v 0 X 3 8 3 S Z 2 N W b o 9 u U 1 t q d J e v v n 1 i B p w Y 3 1 t V e W i w R Q m N 8 Y 7 D 2 h a 9 E 9 i o k V G 7 b z J / Q 0 3 4 E x B t L c 7 c P W N s w U 2 t W r T N 8 H V f P C g m X 9 T V g w i y 1 F H 9 4 y I f h t s 0 y 7 M 2 c o I s k X w r n Z 2 e K E a w w F + c m R u t Y W U 5 x R r R d + 6 V F 6 r l W p C 1 d b e s 2 w 6 S T P g E I O 3 f E O 2 G y 9 F 0 H F / X B 3 K U U u 6 g / p P P U + 7 B y m 6 f j Z d E o y K j r Y J u N f d 6 O z q V r l o 0 B H j G o j d w x i S B t b A O N d 3 I M b G Y A 5 p M w d V 4 h 7 j 8 f K Y x Q 5 r 1 + G / O S k H e V F H m B 5 z 0 W d d C D h 9 b H X n B s i J 2 d M Y Z o D G w h 2 H n Z I S H f 7 f q + X P I d Y h N b S e K Z P b a i Q f i 7 5 y Z P N p a e o J Q j k 3 q / N m m Y a l K D Q w v U F r H L T 0 C O l x Y 3 W H 2 w 7 c t A c w T 6 l a Q C A s x p B M Q K h A p o H Y k 2 L L j Z Y e U Q g I t g 1 a 3 + J c b 7 l W q y Y e L + 4 L 0 / W 5 w Z y Q D U w N s T 2 T t q Z D c b 2 2 I F l o 1 3 z e G U c D X p / I 0 k 9 P Z 0 U Q M O q k F u N W t u u 0 y R r y S I j Q O T i s T c w i 1 2 F 1 / 7 U N v i B c l J p M Z g L 0 1 o S t L A o G u O 8 E s w r Q 0 Q d u k 4 7 N Z v r L U + / 1 F j D 6 b 0 P Q F P C M i v + D y 9 w N U 0 v d n k 2 J l j 3 Z N q x K J P k x p + r b h S T t 5 f z b t l M 9 O H 5 I l 9 N P 6 a 2 J b d Z Y R 6 s z H e K k M b n R I d p 5 T O L 8 E 1 9 3 M 5 v L X n 0 q X D e 0 / / I 2 9 + 6 M t g v a F e N W a E w 1 0 J C Y p h 9 m C o N c Y f t Z Y e E n V 9 i W J q m N 4 6 3 P G 5 J b p X / / / N e v q 3 p n D R 3 X f C P J 9 d a B v M G j A N P P 9 R R t r D k B c 0 O H + S B Q d Z w F w D 1 J z 8 T K 8 h L 1 9 P a p P Q e I / k 6 y M L x + 2 l 8 7 f D G V E i 2 7 n 9 v 4 o 4 e N I n z p b I / T g o N I l / p z L F y q o A J M z m 7 Q 4 5 0 B t R c e 0 E Y Y N 3 q 2 7 Z i c G E u K O k i 7 s 7 0 l v L i y w 5 + n v v 4 B 8 Y z R Z 3 R 7 N D G 8 g N W p A H M K T L X g 5 / X T H j / t 9 R N 5 K l B i / w d x v F q o a h + q d e A a V 6 6 0 U 0 0 i a R L p r Q l L U W Q s G U K B S X o I R M U 4 0 L 3 F B J 1 h A e a r U U f t s J E J Q P S 3 J t O 2 K + 7 O x M v j W R G + 4 9 f J R k e 9 n c m u x 6 4 Q 5 m N G S 5 i A 6 Y R 6 C T O X 6 e x I h x h 0 j Y r O 5 l I y d S W 3 P c m E e v Q y S V v T b d T e 0 U m P 9 4 Y F m b C W B h w d H 0 2 W E 8 U M J N b j X H 6 r S E W F T Z Z M 2 S t P r K m a L l p l u d J 0 h L a x H L B + R K d P X 7 A q 9 w T u q A q A M G t A q G H u Q T g u D U h t g F A k L y B C I Q z S F u 1 j T v d A v w k t 8 v a + c y 1 Y w M U E T D 5 0 z L G m 4 A W l m c y I B O 0 4 w b W j Y b U F 2 2 p A K 5 g A q S 6 l Z 9 R e M F Z 3 S y v l x o T d v P t q h r U o 1 6 N J / L 8 8 K R 1 a Q G v / n H J k Y O Y w t P V 7 l j U 3 3 O s S A p i 3 N c j 9 y K o h Q K Z w 1 C Q U P N H V R N X 6 U K 3 9 5 d o J V y y 2 D L 0 1 U V 5 S G c y W F X F x 5 q z V I K T b 2 l U u O p 4 Z c 4 s A T G P H w i Y A x p W + X 3 A E D y R H P w k C 9 O q p f Z p c S o q B a D 3 b F 4 u g 4 N n a X N I 2 m A G 7 G q P D v Y J Y S I m C d L I k D v f E 1 g 9 + G u 7 F U U m U y W V n M u U g a x V M 7 d f Y 2 9 s V D Q W 0 2 P X R r J g 4 G Q W 2 G M J K Y Z O p E h l 0 y S Q a / 4 P k e U O S j / j v t 5 / f s V 1 D Z M T b r p b 0 n Z C A k p s x w f t V + W E X s A Y c 1 o I L i / 3 9 D D U 2 R r f j 3 Z E F u D 1 E k M P E z L B 8 N C V l 5 A N O g X M C r X N f S 4 b y s Z T o p I t O s f H 3 c H 5 g 7 U E 0 C N B y C A G 6 9 0 z 2 s U z s 7 + / z 9 X o 7 V / z w 4 Q 9 s l s a c v + 2 m W X r p Q o + 4 d m j E S m D + r T l n D G F X T Y m C 0 F 4 2 L C 8 9 o 1 6 1 g A 7 u H f d p i 3 a v B O I X X b + r r 0 N v d V Q H 2 w X C w d N 0 + E j t H w 2 l N k m F S A 9 c Z S J J c w / E c Z O o j E y M 8 p L q A M 4 I L N n l B 8 T b a V R C J q B w U B o L h + c E M g G I i A B g J s E M R G c f a 6 5 n 9 n O C T N N r z s q p I C a q B w k r H 2 E d P i z o i b E q l G F 5 Z W 1 G L s z N V k w m g L 9 J 5 S R W S S 4 C a s r e L T b x Y K q i c f h 8 W m p Y y + M r A n 8 L h w s A M n 0 7 n e W G R C 4 D c H e + 1 J T D m K R u a E E m 9 B X h l M B g K x q Q a s F 2 u Z 4 y y R v k D x J n 5 P 4 R U R V C 7 b F V A c 2 E C x M p g C 7 F m 6 k i d G u P 5 Z A 7 j I F H V p p l w N T v q E C L a 8 I v R O l t S y Q E z N L l d T m l o y V V K H b Q Y 7 z B I v p Y 5 + 8 G m 0 s A C J j g A 6 N s W i E P b X d n 5 p A G h 8 O t g u u F i c 7 y 6 z K 9 b M h v s 4 b E G B O 0 D R a n B E z C A S A 5 X i K g Y S 4 / 9 v y o s 3 r t c 8 M J 2 l h f p Q M V v Y + Q H 0 c z I I h Y b u M + k S a V I k j G n K N 4 3 Q J R L m g g M C T 4 7 l B b l a f m z l G h n Y p k w o 3 g v 7 q h o B u r F s 7 2 5 k R s H T x + Z v i O n 0 N C Y w t L M A W g 0 l F + e B s B 4 a Z u l y T E V H j M k x L g 8 v E u x 6 y D Z k J f 6 u A w R t 8 t J u i 7 + S T d n 9 2 l a 6 P O P V W K o Q F 7 J I i e r o K + F E z R 4 Y 6 C J L V H c 4 t j I x 4 a B S Y V n C n b w p 2 e o 4 7 O b k p 4 R O 9 n V d 1 w c y w + s a c d M W a 0 e 7 V Q I p O c s J X / 4 B A 6 p H w c 3 l 5 c R e U J 6 w S K F q j S l I 9 1 C U + J N v c C E e a c C o B F U e B F g 7 c J g 4 Y Y f w q L t v Z o j g m 3 h 8 0 P 5 j T x 1 n R a t M o g D a I H s M W A 8 K M V R + B g E s J M x B Z p j L X K c 2 M y N M h d d Y 5 A R o N e I V Z j c t 5 Z E x z a B h o + y G w 2 X e C 4 L j i C M H i t k U 6 3 l c T 3 m d C N C c b h A G 5 C h D P m B d a I M N l h 9 p 7 u O v B 1 l o R C K F n j O u T T c O p + v t k q 4 1 G S f 6 2 F A D d C J X 0 n n Q A b w c L c Y i X A Q i g A l u W a W U + U r T U e j P B X 5 r f U m B 9 2 c 3 E x T p N j I k D z F L U U w / b r Q w 1 T 1 N 7 s P C I 8 M B P u K f S m C 9 4 L S d o X a w m a b u 2 Z T O n A M M j x l E 2 + I M x v x I U G R s P Q 0 5 o v m o h B Q E z j x 2 w 2 m u N s M D V B J n j 8 X h n P i k g M i I + X l g w D W 5 2 a s u m W T 8 T 4 H R V H I l R z 7 x U 6 4 F 6 1 7 e K s C H P O E a C / H i E z y H r 9 2 t p u j B 6 X a T C X t B p w f 4 + X 5 y o I a e 6 7 Y 8 w F 5 i N i 4 s y + 1 v R q q Q B D C w 4 M y v l K 8 p 1 Y I i t g C q I 5 J j S r w q / 8 8 P a F Q 5 q d X S h x e w M f G Q E D i C 8 M e j c V M M S m I T Q w 7 k c P W H s B 2 h S / i X 6 a f P G a c w / x Q q Z k q E N X L 7 Y / D Y h S C U S A z B X l l j f I 7 + R H 5 X 6 F Y E L h 6 i t L W b 5 X 0 9 Q r u X T L j Z S X V B c f P 5 J C g o Z m J x v 3 r E t E U 0 w Y I U A a u 7 v 2 A F n c b b W A N c 7 P 9 h 7 Q o A r g x Z R 4 Q K + c p K G 1 I A Q N W t f k s D n g C 9 N R Q 4 8 Z a f z V I 3 b x 6 v k B 6 m p 2 + k A g R U e j N 4 H M h h u L d m q Y 5 T 8 9 V a 6 d 4 M g B g Z C w a I 5 n P X J / U c 0 g K Y M 2 m S v 1 A l q / V s u r 2 C J J x w S S 9 E I 6 M h 4 1 V d y H S j S 2 s H Z y C C U u T m 8 Z 8 t N E e U m 1 g b r A A C p s b 6 z H b Y 7 z m P C a N d v U V L q S r A 1 h H B i A q o Y y 4 J K g S b R J 9 Z q K S r e d r l 9 z C m B d c z / A 9 H J b L B h A 9 s K N s R y 9 P L w l 8 g h w X c v Y + z v 4 T l 2 P I I Z + J Q 6 A c h 0 A D I 2 v H T A A T H A z O B j 1 g Y Y E z w b J d D o U G p r p Y l 9 O v O Q A w I s Y 8 L t w v K G u 8 K 2 I v q g c p R V j 7 g m x V X l k x P w 9 S l l l P k y q 2 O S L t 2 I h / v D m X o h T j g w 8 h P Z G K Y C L 9 2 7 S t 9 9 + R 2 v b p d 4 i 9 3 U s G K a G 6 d L 1 Q p A D Q 0 e 5 o 3 K 9 g D c x o v X G e B P m H 0 H A c D 7 6 I h o w K 3 U g K Y A J e 3 5 A S + 7 V g H i h M 5 2 k q / 1 b d G 0 o Q 2 9 d U I U K 2 p Q 0 v z P J V a U 1 q o a e p g K N / 5 0 x M R H L A 7 i B + 9 U a y 3 x t a S G W E o P Y c E o A i D j B S x R u s m m I W D / 8 I j S j X y i W H / x l D w e d E 0 C n r W x l 7 2 I G K i Z U 0 R m h L s Y k V R i C 1 Q r / 6 V d 3 x J j Y T 6 8 O 0 J U r z 4 t 3 u j 5 4 8 J C + + u p r s T i K n 6 A f F 9 D R x t s t E C G v X / K M Q F y 8 h v O 4 M d C Z p N 5 0 r K z z / 6 p h S m q c 7 b F r C T 3 w f H 3 Y + R s 9 u R M O E K 2 V b C 9 M A N C H A k Q / i 8 m G A W 5 4 / S B G D 9 Q U E h w L E y w c F o 6 M O t + J E h Q f x T n B 1 Y g v j J a 6 R 8 4 V x 5 5 w F f r i v I l U + Q V G A U y 5 f / d 3 L 9 D 8 e o H m S T a 5 i H k 7 f / 4 c v f j i C y K / u L h I H 3 9 0 k z Y 2 5 D J Y 0 B Y a G D v x A 4 g a B K / Z r G b d w O W M X f N c h D G 5 p 7 8 D C K R 1 P 1 8 I m 5 7 / V S u U X 4 m M k 7 T h / l J S a B S z s b o 2 l B W N h I 5 V B G y v V Q U a C j K C 4 y Z r I f N W k Z 8 6 w p s T S + G q x B K U 3 i 2 e F e t 7 z q E 8 W q q o D 7 W z x w + 5 z s w 9 o F W t I T H a k + T + H V + o C z D p B g Y G 6 M V X 3 x F L N O / s 7 N D s z D R 9 + u m f a H 1 9 X Y y d + C G T 8 Q 4 0 x R Q H f 5 R W A u o R Y 2 a f q n 4 G j t q m M u D F 0 m 5 T D u d h W j 0 Q x r M X B u t r a y p H 4 s 2 C I C w i x 0 1 o b e o G 3 O B 4 x 5 U J 3 J 9 b 6 3 3 y S J m R B a d v B z M y m 9 Q v x W M x V s c w 5 T 9 x 4 F z T U R F W B n E a z l 3 f 6 y 6 R + d D p g 1 v f h f w p A 6 3 P 0 f 6 + O x B W t r o 2 g o U h X T W A Q U k M 6 m L W b n N K r m M Q B E z Z x i x T A L N v o b m + / e Y 7 u n T 5 E v X 3 9 4 V e o y 8 I q y v L 1 N 3 T q / Y c Y H l m r C g L o J b 0 N c O p g o 6 7 n v K A P g Q 8 h F 7 j a 3 f m U n T N M L m i A s 9 I D w e g / j B Z E r N 3 k 3 a l J B D m L f c 4 + v n j G G 3 m G u k l 7 i P d M g Z / A f x k 4 / 4 s v X q 5 V 4 x N 1 R K 2 4 Q 5 Z p m Z J Q J Z Z H g 6 Z z P D 7 9 a a j L 9 r j U 1 3 e A H + 0 d t J k 8 e S M 5 4 H q w z S N y q t O A m M 6 C O 3 B i q f r e 1 x t x h 8 1 N T U J D f b e + + / S y M i w I B O 0 2 O P H j + k P H 3 x I d + 5 8 I 1 6 P E 8 b 0 c 6 O t 3 f 7 S A k 0 m w L x m L J p p z h / C e o M Q Y D g z s F C K C c T d P Q s x q O s H U 9 j 0 z G M 3 m c y 5 X g C 8 c Y i d t G F V z T P D X 7 w y c S j 7 U K p f p S E W n i n k K Z f o r t j h E A k e s u g U q w x v T L m I A t Z Q 3 0 f 6 y + b e y 7 S 5 K R e v L A m I V V e l t x r u / V o C D y 0 s c F 3 u F g t 1 G M Z T h n u H N l t Z X q G 5 + Q U u O a S J i d P U 2 t o q o s G x F L M b + B v b H C Y v I C S p v a k g 4 h P h P s e r Q P E W f B v w 7 i g E t L 5 7 3 t t N f l R g 0 R Z E Y u A a n v f o C 5 m A e W w b h t j g x u D R M l + v 8 v J h f Y q Z 9 T i 9 d w F z x B K i f 3 j U 9 f r 8 Y N N S Q k Y 5 Q T M V h N X F R I f J y c L Q n V 5 X Z 4 V D 7 I P b 0 Q g V T 1 / m y p K v e H H M P e O i x J 6 D 4 y I U w l 7 S D b v U y F o m C q D m Y y H c 5 W G B + k C w K Q i 3 v b 1 N m b 0 M T T 5 6 x A 8 y T p 3 c b z t 1 e l x o P v T n Q D D k s T V d 9 v j b f / z 1 l z R 2 5 T 3 f t 8 1 X E 0 F v t s e s 6 B w r T E y g 9 B r H 0 7 h 5 8 1 N h M o 2 O j d L 4 + H h Z q N Y H 9 x r o w k C e h t s x g E 3 0 5 6 + f 0 p V L p 8 X y a w + W q m N i e 8 G L U H K 5 O 5 h 8 r C S Y U E h Y c 6 K / 0 9 9 R 5 U b s D x E J V W i + r P p P s D W d G b p A O X l w o S p b Y 0 T R T q i 0 u H r I u 7 v b 1 N J S m + W O o w D 1 q L U + 0 p 8 f x e j 9 q y 1 C A L 5 U S z 6 b u D 2 T p O t G Z M Q e Z + 8 u p o T g w x m A A N O o M 2 G 9 F q u J i q W l Z e r r k / 3 F P / 7 x T / T 6 6 6 + J v I m F T a L v F p u 4 z 8 H 9 x D 7 p Z M H 4 V K 0 h + e Q i F e Q Y h O J n A O 0 E M m E b 4 7 L B r m i E i t Q 0 p 3 t G + I c 4 4 0 m g U h w X m R C V r b G y 9 K x o v 3 t B k w m o h E x 6 b h R M R D P A 1 U T U e 4 e G E m / t a G 4 W 6 7 H / / F o r k 3 2 X / v E f / w c N N T y h / / D f f i c I p 2 G S C R 6 5 7 x Y S 3 M L H x M R F 9 H W i L A O g Y S 7 0 i T l P g G 2 a k H u J N h O Q i U 7 j N a N n z 9 o n 7 g 2 w d k K A 7 s / O Z w W Z o J 2 O A 1 7 P x a S Y P g X 3 s r t v X 1 7 O C 6 y h 7 o Z + 9 I 3 d l 7 h T X n / 9 p z D a K b u / L 0 w x T K F w A w 6 K V C q 8 h + n u I g Z k W U N z f n o d y 5 T Z P W 8 I v X E v e K m B q Q t X f D T I Z 1 M p E X V t 4 u G D B 3 T v 3 n 1 h S r W 0 N I s + G 8 j 3 z 1 / t U l d 3 F 2 1 n D m h n Z Z Y G J q 4 J z Y b W G C + D w 4 I s L 4 a M B A f M v u Q W k x P r 7 0 3 0 h H P E Q C 6 g b U 3 v K E x Y O H w 0 d D w g T M f X V P D r c W g n j T K z T 8 k w t J L u Q x 0 W Y I E V h L b v 7 w y / C G r s D 1 + F J 1 Q 8 f Y n 2 9 p z + k y a T T m 7 Y y q o N e I d s M 2 S j A N d p s 6 0 r A S b V 6 X l A P + D 1 n h B s / n 7 z z Y Q 2 u K 8 B n s i g v g o 6 8 A 9 n N i m b w J i J 8 7 e b a 4 u 0 v 7 t B v c P n R X l P S 0 E s n h I G u 5 k c t W C K s A t 4 k 2 K X x 6 C 1 G + 5 1 L 2 Z n m e Q D A 6 K v i I H q 7 O 4 a v X G p p X h / x 0 k m o P x Z l 7 r N B b E E q b h r w M e G e o M X u t E Q D V H Y x O T l H y n V S J 6 k 8 S q v M o 5 K J q B a Z A L W V 5 2 x C y w W g 6 D P I D I B m 5 s y c k M D w q b N L j e g Q S C E i A P M J R 0 y Y Y A V u f a u A e o b u U C b q w u 0 N P O D 8 K i Z s X N e Q C R E S 2 O C n r i m k g B h y b S 3 t 1 e i n Y C R k R F 6 + H C S f v k 1 a 9 B s j J I t X S d G J g m 7 b L I 0 l x 3 B T F 4 t / 2 E S 3 5 a t 2 J 7 Q f 9 I / 6 U k k B f + j 1 Q E 6 3 l G B j r c J m I F Q 7 d V C j 1 r J J y r Q O r q B K A k b P r x v u t / x b K T Z i z l J Z r 1 3 9 A x R 3 + h F W l 1 4 T F 9 O B R N K 1 C e T c 7 R 9 X 2 h a v C s r K j 7 / / A t r A 3 X p 0 k U u j 1 N j d q 6 4 d s a i s d D m c c I t u m J f J 7 3 h D 5 R L O S / l g V 8 K r m W F R E u P J F Q A k Y 4 T e N 1 m F G D p K r c X C 6 0 p H n S 1 4 K X t g m q t u a W 8 8 4 u w H B M w p f 7 0 / R q 9 O C r J l 8 o t C 9 L p P i S 2 W D d c A 5 E V W P / h 3 7 w 1 R I u P b 9 N / / 5 + / U U f s 2 G S z D k s H w D S D 2 a o X o n H P E 5 u d m S q u Q 6 E B u V h e X q Y r z 1 + 2 1 g E C X h u b W m g / N V y c a Y w X 4 9 U P j C f E W b 0 H c d 9 2 L Q r q h 9 i H X 9 8 z v s k b q c 6 L w i G B i n T 3 n w A 3 0 d z 7 1 Q Y m 3 e n V S s M C 1 1 R N 8 8 4 K 3 L f l N z A 1 w / R G u o G 3 y u N F 2 H 5 w X z 8 c L a k I y 4 o 9 W 9 m i 3 3 0 + R b 3 j L 1 A D k w b f h C t C u B b I 6 + V A A a S H 8 b D Y P 8 R 6 h p u b W / T D D / d F X O T p 0 6 e o r a 1 N H D M B 0 i B w F i / B 0 0 A / A / P A P j U m K x 4 3 i v X I d Y p / s g / l O C V 0 H w o J g c s j I W U t d B O B B s m L J O X l 3 o J T L U Q l E + B H p s e T D 1 V O j g k B u C / 9 N v f Q s P w G P F + U 2 x V u 8 G e L C 2 J / e 2 u T 8 i y k u u 6 8 y G S + 3 c K t F U w y z U x P K a F 3 g E l + G L B F P w X b O y t 9 N H D m B i 1 M 3 h K / i 0 l 7 b 7 B g Y x 0 9 D A W Y S 1 q 7 o b U W 8 L v f / p 4 / Y 9 T X 1 0 e v v f 6 6 e D k 4 y K T v x b y O 1 b 2 G E j I B 6 A O e J J k k l E K Q W Q F s d A J w O 0 g Y o w q L 2 E d f / 6 D / 3 h e F 5 g u U y Y Q M i N U X W k O 8 P r p a f N O 6 F z A e o 5 d G N o N g g 4 D 7 8 S I f + h W 5 b E 7 0 M b B I v g l z w N g N 0 x V t w 8 b 6 O n V 0 e r / C N I w G A 9 A A o F 7 c n X 1 E Q e D 3 E c v 4 / W J S O C y S j a 3 U 3 N o m X O t 6 C j 7 G h n z a H V p Y W B A e O 7 N + 8 P i x i / l m G E v L 7 O 1 R U 3 O z G J C G d 7 C + o W R Y a C U 5 s G u 6 z r H F A O / p 4 X A S H f p u w R / B a J U A t S l D u J 8 + G j S Z z A X 7 3 d B k A q L 0 k y A Y X k C / A u + S c p M J c D s 8 T P i R C W h s 8 m + x 0 x 7 B t W 6 g X j 5 7 I P s 8 y Q M 5 w A 1 T U / 8 + T G W E a b V 3 D 9 L y 0 z u i D G T S U + 3 9 y I T x J D l J s / S k l X U 5 n 0 l P A Q G Z g B 8 D m a S w a j n B P v I y 6 W y Z w v B B 6 N f Z R P j O m q O j y b k Y M 3 Z v Z 7 t 0 q W E T Y a a 3 a 7 j d v m H h F 0 f o 5 Q L X C F r P Y n F h T u X 8 A S F O t 0 u y 5 x I 9 w l E x 2 l F q C u r Z t H 0 T L 4 h W G U C Y k n Z u f O 9 a Y x z P / u l q A / 3 n X 9 4 W s X l u b K k l 3 D q 7 n K n j + n v r G i C L k y 3 Z O h n O o g I s n L C l U F L W k G o V l R q F q b X E T 8 b t n e f G l r S Y d w Q 1 n f P R M k G I Q j 4 T N q 2 l E e U F B j b Y 5 l L Z g H U b 3 L O G T 3 t E O T Q 2 t d L O x n L Z G J N e E A V v E I H p + N u 7 D X R r c p P S v W O 0 o c h j Y m J I W g s w l T T w I r a 6 h 9 a 0 E G u W b S n f y g S U h a I M u b 3 g Y B w B t g S C / 7 V 2 j 4 g f A U 6 a V H p B f h s Q J g L B w 0 u k k 2 o K B T r + K 0 v e p h g Q Z o H I o w L v / b 3 L L b / X E t p B Y 2 H N z S 1 l T g c b E K 4 E I j T k v b U 1 S A L T D w E R K 1 N 3 x C K V b v z q W 6 L f / P Z D 2 t 5 c p T w 3 U G 0 d P f R 3 r 4 2 J V 4 n a T D l c 2 8 b G e l E + v O Z / 1 R t A K V C m K N U i I / f k r f A H Z 9 Y 2 T E Z 4 / w s l S e i m e B P J q 7 w 2 w F s h v G C 7 R r i H e / r k 2 B O O z 8 + W v 5 T M X P f A N s B a L V z m l n 9 t z + 6 0 C N P H g 6 c N Q C N h g w 7 U h X e v E P c 2 M d G 3 h J c U b v L W 3 l M 0 t 1 F a p 5 h b l c t m 6 N / + 4 q f 0 D y + 3 0 L + 6 I s e 4 M D s X k w 9 t U R N w o 2 N h T r N / 9 V O f Z c z q B Z I z k j S Q D + y L T y F L K M M n 3 5 / 5 y h Y f h O p D a U 1 u E 1 h L U U 3 h 9 3 u z 0 1 M q Z w c e 9 t C I X B k U n i h 0 s N 2 m 4 d p a 9 G n P U d B n 0 Q Z A l D 6 H l y f R H O h O H n i v H 6 g F H Y 6 K 7 W e P i 2 s D a q C P 9 f f X G + n m F 5 O q J B i r K 6 u i P j G x E H K y s o U h A f k b d Q 2 + y B K R w k X L / 4 6 s 4 R z s G J z w S q E 0 l P b w a d i I d V z w M v n Q k R 4 d P 6 X 2 g g E z B i 7 e u 8 t O h A L u 6 6 i m C o i x s b 5 G j y c f e N Y T o t D d 8 F q 1 1 g Y v l 7 6 J f F w 6 S I K e 1 M s X S t c Z x A D 0 b 7 5 r o P / 4 f 7 6 i v 3 3 z s i o N x t j 4 u K h P O F d w f Z N r L f T F k 4 I Y L q h n a G 0 k n p V 4 X i q p P M p 1 C o N Q f a h o V l C 4 H 6 4 U 4 x 6 L l K A j j W n a Y d H a K q d x 4 M X N e I M e A E G o 1 M M H A g F w a H R 0 d t H E W R n p b Q N M r c X 5 O f m g V O V C Y 1 Y T + b j 0 G m I s y A v z a z k a G Z N e O / S r / v f t L P 2 X / / U h Z f d 3 6 d / / / X V R D u A 6 l x Y X x K s / T S C U S 0 P f x 7 M t o k / v 7 b P Z 6 V x D / c K U V X 4 W + O Q P k W S R U Y 4 g 2 e B / o T Q U f s C N s I y t N s w 3 l 5 u A D Y + l f i t B R 5 P d D I u C g a F h l Q s H n A / C 6 e n 3 U d + k i D E h D W h F 7 K N v J d Z y y M 5 S 8 / 5 T c c x r n U D g 6 b 0 v q b + 3 W 5 B p Y f I r v p 4 4 P X / 1 O v 3 9 S 6 U a F N f Z N z A o H C M m 8 B b C + b k Z e r Y 4 L 9 Y m / + v D f f E d h y l o v V C i d a I Q I s w f Q p Z V X m V k O f 6 p 8 r D y H m 4 c i o E v F E n u n h j c Y y Q a U Q T S r B x E B p x S 7 4 W F 2 x d r l / u N Z 3 m h x R L c G g V w n k Q B J u z t 7 k g z E V o R + / g O m F z Z x h H K p u Q r a v y 8 o t 9 P Z 4 R W e n z r 1 4 R J i X 9 7 L U E / u d C m j o b D 0 P A o 9 Q 8 M C f p M D L b Q 1 3 O p k j X O 6 x u O P C M n u Q M 5 x 7 7 Y k U d E G e f d v L C k 6 B q q Z M e C g M P V g G 2 F 1 b W A a e 8 m p p 8 + V j m u A / 4 q P d C J z j 7 W L t e z e q H 1 0 A I v L s y X m D e 1 Q E t A G J U N i N g w G w e N t 8 / C L V u g v n S e T c l d J t 6 2 0 G J o L J a X 5 X 3 g z 9 5 9 / 3 0 R A f 7 O u z + n n 1 / K i m G H q G N w W g B v z z b Q n b n K z O W T g q g 6 c f 2 K M K I A k H l 5 W J b Z 6 t m G 2 M 1 v H w a e m U 2 c J b z h H W M N e D D F C 2 C U / R C O q W y t 0 M j P 7 c 2 J k C N t I T C 1 3 k D j a i V W E + 6 p 2 x q I Z 4 S Q z s / N c m f 8 l H X q R S X Q s X B h g b C r q K s 8 1 Q o I X 0 I 0 x Y 8 G L K e Q Z b k 4 S 3 k c n 4 j l 0 / k 8 a / n D P D 0 X Q n s L r 2 Z Q q j e 8 f s p O p k p M N c B G J s B G J g D L Y s E b e O H S c 2 V k Q g N T q T a L E l 2 A g e B 6 I J M e b M 7 X u z v P B T T 7 o u m H A s C l 4 0 P c g t q K D Y 6 p 8 z j Z u O F O o f t Q 9 Q Q v q 8 S 2 A I s X M B W 7 F k A H H p 3 1 S m C u O h Q E r G h b K / g F H E P w Y F 5 D 0 P B y B T 3 Y j N e w / n j g k E h a W J I 0 g j w m k d Q 5 S C L v 5 o U l R T O Y 6 w S 2 c R y N I P f z x o a M i K 7 H A U e Q E Q P N y 0 u L w k 2 N C Y T Q u n C x r 6 + t C m 2 A L a a i B L 3 Y Q M z B q h A 6 b A t 9 y A U 2 a y F c u B Y k d D q 7 u n t o M 9 M g N P h f 7 m / T b v b H J U a C H I I 2 E k X y o A Q Z s S O 3 4 p 8 4 L k 4 I B N e E i 2 L W V F / Q S 0 / Z o K c O e K F d R W L j v b B + O I p A o v J h i + / t 7 g h C Q B C 3 N j Z C x e J J D T c g 3 N S Y Q A i t C x c 7 t B e 0 g d B i Y Z 6 t h w B g y b Q g a M c E P K e o T 1 x T M p W k 3 E F O k o p x e y 4 l J h y + e i F N f 3 l U e V 0 d N w Q x N E G M r c 6 L f z o v E v 5 I / C F / 2 L h R m k L 1 o b g + 6 w r m e 1 5 t 8 N N S E I 4 w g I a o F J v r 6 8 J j i P 4 V C A F i t H V 0 F M 0 j P y S S S d Y M / k K / o j x 1 f o h 5 q G B 0 v r 2 g y W I C B I Z g Y X w J g + G 4 F 0 y y x D J n A A Z 0 u 5 u j z 5 4 + S Y A 0 4 r 9 i i / l Z Z J C x 1 f + K f P B J P 8 o + l M 1 t b i J I S 4 V B X 7 8 c x 6 k E X s I c F g c B q w 3 1 D w 4 H a j u s q 2 6 D X n j F D Z D E a 3 0 K d y O E p d I w f o d B d m i z l X 3 / 1 6 T W H c A T f O A T x F F J b t R W H d N b U a j 5 4 J N + l H 2 o M M C a D W 7 I F s k O L G d s r k f n F Y A a B u 6 I g q h o D P H y 7 E T C / / q 8 x r V g y q I P 5 o Z X 1 d h M R J i j w D e z h 2 J x f + 9 a r T d I Y u C f 2 O K m 1 b a Y c J b I i 0 w x i X N D I F Q f C g 0 U W i m d A P l p g e e B 6 g L v p / V D u q 2 8 1 d S R 5 b P T T 0 t M H 7 w F E G s t n O 5 2 + g J h T U M r j l g H M A 2 D + 3 A x E V v n 5 W q 3 m b 1 w M m C c y 7 2 2 B u r F N v 4 F Z 4 j f E t X p p g S N e i x D X Y 8 Q 3 D D I p P d F m S o X S e X F P 3 G e K h M P 1 j 9 V 3 o e y l R 0 j R t q D H + T y s 0 W V I 7 o z n y x q n Z G x U 8 W O 9 + o O 0 c b m F r 0 0 E n F 1 I x 8 0 x I 8 + w B l m X h Y 0 Y c o j 5 M r d o E A r e Y V n a a + e G 0 H x i Q g x + o b r 9 U c D R Q 6 H I C o v y s R e 8 b i Z 9 H k l n P B I o f p Q Z X P f U C 4 / L P A q r y 6 m Q o x 7 9 K p + E P o b F 7 p 3 r E 6 B 7 l a i 5 8 Z b K K m O Q X N h s Z X I y 4 c Z O I q 5 q B H 2 n V X y g Z d C h x d p 4 J 4 w i 9 k P U t M 5 3 x X m / r G I 5 o / F Z S 7 I g f t T 2 y J Z R J H O O + X u M n G i 4 o N f C m X y Q Y 2 Z J h D C 1 E 8 a W O H U v V S W D T N T T 4 T 3 q q k x X E g P N N f e z k 5 x V S U N C N j C / K z a q z 3 c L y n z A k w 1 t 4 N C B 8 3 q p Z R x T 0 E m L P q c e 7 t 7 R V M 4 a I k 2 1 A e W U v N a 3 6 O e Y B K j h C Q e Z S K 5 y I d d k x N e K V T z 4 t d Y H q W r U Q 1 8 8 M C f V K P j p 1 U u P L r V l H k T E L D B o R G 1 5 w D C D G G E E F d z j X T x E E M C m v d A L Y K J x f r 7 + 6 X T w M u j 5 w Y G i w f 4 3 n C P 2 h Q 2 g W v R 8 7 c 0 c C 7 G o f A 2 j Z O W g T A A M f g G B C / E b S A v 9 s W O / K f 2 x R Y x f u o c / h D n h E E o Q s E a M h 0 S p T j Z 2 s S 9 3 g w Y l / L q I 3 g h i p c O w o z + C i K / 3 e t C 4 G F g g B f j U g t z M 2 J w F 8 4 G 8 Z A C E O Y c E z g b H j k E c 0 Y Z N o B j A + T A d e 0 g 4 H d 2 u q j Z N P D c 9 f w t N 7 D W R P 3 z S Z F E Z H V e / i v u e y Z J r L A j I X H U U V A q 7 D m d + y D T 4 S S Q 5 c 7 x w p a 3 i W R r d f 1 Q y T 3 O s S C i 4 h E Z g a X M 4 G U T f R c 2 3 d o 7 O 2 l w e F Q M 7 s K U C / P 9 U S 8 B M 4 3 h k c P g 6 9 r G d n H K B r Z z M 9 O i X w h v H j Q Z r l G b i W g 8 4 K z A d S E / N D I W W r M B 8 I 7 W b 1 y s Q w z J H U k O / s D / M j I V z y / 5 O + w V q K O j S T y T o M S S x p 8 B K c 7 0 x M n 1 D L w p 3 Q t w F 9 c a n Z 1 d X E c x E R m B p c y g J X Q / C O u Z R 8 X S 4 q J Y C x 2 a Y 3 t r S 0 S w r 8 J Z w h p F L o 3 2 j J 4 + n h R z t Q A E q o J A 6 N c s Z 9 K s M d O i I c F 2 e H R M v H U E m h q R G L h G t 4 M G A a 9 R G x 4 A y z r X K y R H N I H Y H B d Z Q R d V J h P y e l / k 0 Y 8 U e Y e A A / 2 I n S z n h j u F q s F C b k 8 x E H 9 U v 8 g Z E R T m I v t H n U 0 b B n 5 z o q K 0 + B r w U G J w F q R M t 7 W J C P Z u J g W 0 i F w a r Z 9 O T Z y l r I o M R 7 A s C I F + z f k B q b X D A A K D B W I Q 8 F o J G n 3 e K H K y w H V J 8 g h O i K 0 k B 7 b e i U m k z t W J P / h Z h H R q q W 0 g 0 H h p Q h W 3 4 r M c J 8 U 7 B K O K C m D o a 1 h f j 7 Y s W P C A q h 1 + j Q 3 6 V 1 E B U y 0 M x k 5 P i I m J J i Z X E p Q M I e i b 3 K f D d e s G B 8 4 V a D x o q 6 B 6 + G I 6 J b y s 9 T r d X Y i B 4 I I k S T E v M 6 J M k 0 W f I 7 f u J A k W V q Z D 9 a G Q l P X C e d 6 R G Z m s 8 C q v L Z Z 2 k j Q z M 0 O f f P J H u n / v L q 2 s r F B T Y 7 S 4 P i w B V n 3 g 6 Q Y D r 3 j h Z y i w w c I e F v u Z 0 q g I d K A P A u I d x W z f x k Z a e r b A p q N 8 l Q + c K 1 i s E t r K 7 b b X 7 n Q A K 8 f 6 v Q m + P g A a K M L g H y q 2 S B L 7 f i m p H M I h a X E P S t A 7 / O P B y d R Q g J M r L T 9 J T G + n a W x s j N 5 8 8 3 V 6 7 j m 5 p l z O E r f m h 0 q X E f N D / i C c 1 u t o L o i H A i S T w Q P X A D x z m D 2 M h 4 / x N v S l W n O z t D T / V K x G p J 0 j b m C 2 L 1 J f / y D / v f e a 7 B o w J 9 F v g y m J V 4 / W M x x S y C R 5 x X l B L B B F 9 p H k c Y d E x T K u L / N Y D F 9 g c M E v h W 5 m / F 3 n 9 Q G 8 O M x E V 1 c X F f I F m p k u X 3 7 Z C 9 V a H 6 I E I a v s 6 p A z D S L s 7 F 2 9 v i C e C 6 L F 0 Z f q G + i n 4 d F x s R o R n C N B z g Y 4 U b Y 3 v V e a 1 b i 3 P S a G K C B 7 9 Q t J j C K J F D F Q V k I k Q S 6 d n H K 9 N Y + l 3 O 9 m 9 U F o Q s U P 1 v n B I E a i v k l l 4 t P H T e J 1 l Q O D A / T x R 5 + I C g q C L T z p q J B 9 l E P P N c l t i J f F e 5 X D K z w I j U h U p N v b u d 9 U e n 2 o L n M 4 A m 8 5 r G s I A q C m J R n E f p E 4 j i Z y k i z j j 2 L e 3 M L L x x k a H X V e 0 x O E 0 H 0 o O t g U Z l / Y 1 l b 8 z Q n A H B P J 5 u U r M b O H K X r 7 n T f p 1 q 2 v x E K Q J 4 N Y y d p 7 W 5 u y j 6 T D h D T E A 2 Y c h D B V v Q Z w / R a r 8 T u G K H R z d V g 8 w 8 E 2 a a 7 C C V H P E C T Q W y P x R 1 n e V i a T S S a n v L + / r Y Q L f o k p w p 8 h k + 5 H m a a f t 7 b y K q 8 t / v q 0 N G o C B E N 4 D L Y 3 b l y n 3 d 0 9 m p + X Y z c n C b 2 G O j y A G D v S Q H 2 G i a b Y 2 t r y r H u / c b e g y Y 9 w y 2 N N C x O P V x J 1 7 4 S Q d y U J I s h Q 1 E z l + y X 5 I o k 4 s Z A U y S T 6 U d D 0 6 N d q T R K c I t W S J J T z J + Y D 9 S b W 8 c J r N S N o K q C 7 u 5 t 6 e 3 v p o 4 9 u 0 i b 3 G 1 C R G m Y + C t x u 6 6 j Q L 4 P W 0 F E L U 0 8 e q R I L x M P 2 g v d 9 h B m T w 5 o W G p 9 P p Y Q b v t 6 B O y 4 S A 8 / R J E p J O W 9 B H D V 4 K 8 s l e R x y O X / L H / I H Q i I S o R L x r O x H M X n C E K j W F A t o b E t g X i 4 8 e e + 8 8 x Y L b T P N z s 4 K c k 1 P T x e X z / r l L 3 9 F v / 7 1 P w t N B k 2 A 0 B 2 / c Z l a 9 L s A T O H A m B D C h h A P q C c N I g A W q 8 B 6 w e 9 N i o D 5 p k E v I D Q J E f 2 2 N x b W G 7 T w i 2 R o H / 6 w 5 m 3 E K a Y S D 1 + B 2 t q C Z z S Y i P 3 l w V Q k C m 7 m x i i X O x A C B n e s v h B A b x 3 g m M o e I / A W v / a m g m h Z Y a 5 o 6 H f I 2 o B r h 8 a a m 5 v n R i N O F y 9 e E O V Y M O W z z z 6 n N 9 5 4 v d i I 4 N 7 h o o b b G W U I D c I S z t V G L r f P 5 L c H / s J M d G s 2 D d y L X 4 M H s o R p B M J M j z l Z K B J A x s Q W K 8 H y V p l r m h x S T p W 8 c n K 2 a m V Y s T o s 9 g 9 E Y 4 O V Y p H H i r J v v n F B K J G w 0 H 6 7 0 P / 8 + l H l z z D 8 h V Q T n 7 G Z A h f 6 W Z + F 8 t 3 A P S T Y 1 L p 8 + V K R T A A G P 9 9 8 8 w 3 6 z W 9 + q 0 q U S a a m O u D v a k E m I J H w d g R 4 k Q l w z 4 9 y Y 2 7 G / 8 V 0 Q N 4 1 B F G P k E S S G U k s 3 j G 1 j i A c 9 o 2 y Y n K X 6 X 3 n f H x X A 5 5 x h H + R 9 b l J K E B v J e r n I X z 0 U L b s r 5 z a p 3 G 1 7 o F + Z a Y X / E K E 3 n / / X X r 4 M P w b / a q B h Y V S 5 4 A J m I F e C B p 3 0 j O Z / X B r p n 6 D X k 0 w B R R x n M Q f J f v l 5 S 7 y C G c E J 6 W 5 d D m + P S o i E y o Z P / A g k x 0 h T q k Z M B z T 3 n h I i + q d U j s B 0 7 X 9 7 g f 9 r p G R Y X r 4 Q I b p H A e a O u 1 r O m D 8 y e + t 8 E E a C q + 8 8 Q N M 2 n r v O 2 m S O A k k c P L 8 U d w 3 8 8 5 5 p e c 7 i f e V 0 6 K l O X q j E m 5 d P i O l a E H Y l G 7 h 8 5 Z F z w M 1 g 4 6 A 1 m 8 m f P O M n K Z 9 Z f B o 3 j g 4 M b p 7 u n 0 d F N U C r n 1 j L 0 5 / f V x e f / E G / y n t 5 j E I C d z o W L g T r + Y B G V F m A k K E f q C Y B r + 3 K 0 x a / o n 6 B V + v m R x i m I n J I b S N q 8 y 9 r z V S 8 V y 5 z w X 0 y q t s + q M q I 6 T I f S j 8 Q x 8 N D 8 1 M 8 h t l + U l D R 0 A P N j r v j G p K H t K d + R T 9 2 T V O Z c I r 8 s A E w p n W 1 9 f V X v W x m Z H X / r N z G T r d f U A v D J U P R G M i o e x M S y F w A 9 r 0 g G U C x z H M g Q m E f Q O D 4 u V o 6 P u 5 l x H D M 8 M U E Q T H w l 0 P v I V 3 T N U l W O j L T D w 0 E M h r U p h J E k Q Q R p t 2 + r y i q a f K + B x Z p / L 7 p L R H + 1 d R O 1 T S j w r B n 5 P g G F 4 P m m h y X k B d y E g S 7 O x 7 z + 4 N c 5 2 4 5 6 + / v q P 2 H F R L a 7 U 3 l R J k W 0 V U m M A 1 Y B U j 7 R Q B I B g a i F S / O d l E 3 K U W 7 x 3 G u h v w 2 D 1 d c 0 W Q 8 5 / c e 2 b 3 9 j W c w D P z h x J + n S w E 4 o + S M r l v J k k a b d L h 3 V C a Q D g u 3 h W l k g y I j Y 7 Y Z w 9 n K v j L G K 1 l h u i A h c h 0 n / O H u A y R d 8 F W V m u Y b n I I j x 7 c h a y 8 c i p L b Y 2 l p k 9 Y w C z 6 5 p t v 6 Z V X X h H 7 0 t U u I x z g S L h y 5 T n P N f C q D U R + r + 7 G q f t w i r Y O u y k X D 3 6 l D + o F W l y v E Q + L 4 9 3 z 5 R p p a T s u X v F 5 4 l B y x R k h R y I p m Z N J 5 R V J i s e M f W h 0 u Z V 5 x 1 1 u b g + o w P 1 P u N j f f e c K a / L o + i Z y H 0 o m j H P I s Q 4 z 8 Q c f x E Z u T Z S X 1 B 4 I O d K A 0 C T i + r F I j 5 8 Z T o P K x o S 7 M I B Z d O P G D f r 9 7 z + g t b U 1 u v / D A x o c H K S R k R E u f 4 l u 3 / r 6 S N E T 7 t k e 2 6 x V N T A X y c R L o 1 l B k O s X + y n R G C 5 S H t r K f O E C G h v 0 2 T b 3 S 7 + 7 L 1 1 Z g 1 M r O A Q y k y a W 3 P K H s S / J 5 J x j l C M v T D 1 s V Z n a c o Y a 8 H 5 U V H v E F P t 8 c l Z K W U R s 7 A 9 R j g 1 1 a C l c l N Z S S I D e m r C V H Q e w s D 0 4 b m o p w N R g u D Z b Q + A H v l v a 2 d m l t M X d / v F H N + n t d 9 5 S e 9 F w f y k h X m C G 6 3 U D D Q P K r w 7 m a K D d Y R 4 W S z n q + g 6 4 + / c s g 9 8 n P c C r 5 a q M G I I Q k g R O X s s i y q R G E t v i w C 6 0 k a G l t G b C V g 3 o N s Q K 9 P 7 7 L 6 l f j 4 b o O k 2 h v R F j J I 4 Q l m 3 F Z 3 1 A r 9 0 H Y T z X 6 w S i Q l B g 1 g C 4 7 s W F O Z E P i 5 2 t L S u Z g J + 8 8 j L 3 Z a I 7 L x 5 y n 2 d q z U 4 m Q J d / s 5 C k R e 4 L 4 t 4 + 4 P s A m Z I N H n 8 U E k f 7 6 x q g S B 6 H L C h j V h S 3 z n H z P E m i Y l 7 s 8 z F B K M s 5 x r m 8 Q 2 + 9 d V V d Q H R U T K g Y o n A F o S C M q k x n A D O v Y C k 6 N u h W 1 n w h A P B 4 1 e m U F / L h R W r 5 2 T P h F f M C F l j 5 4 I M P 1 Z 4 / 8 H q e 3 W x M X O M T 4 3 q C g H X F h V y p f X O R m k o A r 6 I N 4 1 2 1 H y Z w Q 5 A D / 8 Q N O k k K P m 8 F M c z k V a 6 T P F 5 0 P P B 5 2 i m h t 5 J Q h 5 R K V a 7 p K + x D y Z R M 8 A d f A N y F J W T y R J h z a g e u w z J s Z u K K b I c i P i 7 s k l / t n Y 4 H 0 Q v v v f c u 3 b 1 7 T + 3 Z c e 9 Z k m 5 O N t K f j P 7 e S W G a N e P K b n k b e 9 7 Q 6 m 6 k j q g V r W C Z w v M A A Z A v k s V M 3 K D L 4 + Y x S Y p i U i Q p k k i l g t Z S b g 3 F 2 9 b W V J m c R 0 m V 9 b x U a m 9 C + I t T o S C V T n r f j V C 8 q x G 2 X Z 1 u D a z l k M v H a e z U a e s L p 2 e m n q q c g z B L g + 1 n d m l 9 b U 0 4 L m z I H M S 4 r x R + e n W t A Q X N M l U C N D Z 4 Z u Z y Y R f 6 H I I F v f w u O k A W w S M h W p I E J m F U X p N C 5 P X W P A Y N p P I 4 b m 7 5 7 8 x + l r l 9 4 8 1 r / M O 4 p 8 o S u h W W 4 v A J X 4 A L C a e h g L D n V R 9 p 5 S b / m c t F n M m h I q T A Y G z H j J P D K k i j 4 6 d o d W V F R B M A C C 7 F 6 r B + w E q y W N P h 5 Z / c o C + / u K V K S 4 F V j u o N b j e 5 d t w 0 G Y S 6 v 1 S 7 O D / m A C f x I e R K E M S d F 8 K v y 8 1 z j a S J I p I 2 9 d T f u k g k y / K s X W B t l c t 4 l H Q k k w + p r x 3 r 3 s k L t W m n e t J S 2 s P n H r T E m M x H k 4 4 n C 6 u s Y g 4 U o C P J u 3 t 6 R D Q B W j a 9 E q t 7 + r o J R C V o P H / l u b L 4 O p i a 9 Q p z u E E j K P r 8 6 A P B N o I 4 Z U 7 S 5 W r L z 6 N I F r G v t u q Y S R r h 1 e O 8 7 j P J B C + f P O f n / / L l o l x X m o 5 k 8 u k E 5 0 T R p k V J I G O C j t c O d z 1 c y 7 h 0 m D d w D g A 5 J g A W V X G / V 0 l G c s t z v K L T 1 1 Z X i 3 U A 0 x D u 2 L X V U r M P 5 l 6 9 A r O e 4 U E 0 s W 2 Z C S 3 M G w W Y i 3 r 9 i a i Q B N B b R Q C R 1 0 n v 8 1 a Z b G J f E E G d o 0 g h y A W i q H N K 5 k f p f H F f 5 / M U 4 7 x c i x A 3 V X m q S j P Z 3 C h b F b 4 6 3 u O t Q j 1 q q d m N B t r Y i 9 E Z j 7 l S e r o 3 A m H N R V V s w J p 4 N r j X 1 B s e H u H v a q B f / e o 3 Y h I j 0 J 8 + f s 9 Z F M C D q D 2 j X n j 7 b O m 7 o X R I V 1 i v o C Y D Z K Y o 4 K p M J r O M t 6 b 2 s Z 5 j l B m k 0 d q o W C b y 0 E w y e o I z N D L q H b 0 f B b E v H 8 8 7 D D g C Z l f S 3 B o g x 1 Y k t + L m D Q J 6 a 8 J W d l x 4 6 0 y G U i z 3 N q G 5 P p K l n t a C W K D f 5 q T Q e D z 5 g C b O n l d 7 p c A r Y d y O C 6 w h j t n O j x 8 9 F o S 9 u z V K 6 Y 7 K 1 h Q / T u j B Z B P p 1 C F d G c 7 R X 5 5 U F p o k n z 0 n 8 d + Q F b U t J Y n K l 2 k n a C I j L 4 h i 5 q U 5 5 w z i m n k M 5 m J W r p y Z + 4 t f v C Y v 7 I i o m i G f R K i G v n m + C Y 1 6 1 F L A z U e S S L a x l 9 u z K T G X C v 0 k v x W E T p 8 5 J + 4 Z 0 y J 0 n 0 s D 6 + q Z S 3 I B q A O s E / j i 9 R f p 3 P n z P w o y A W 4 y A T A B Q S Y 9 N S Y S u M 7 k F v 8 h M z K h v I R A Z t 4 k k 9 j q c p X X W 0 6 C T N j y 8 S L J z P O Y Q M U y T p X M e / I C w p W l Z B 8 x 9 X d u s Q W J S l E X z s l G o l I E H a 8 t V n b i N G S E 7 5 h A b B u u 3 y / I V d w f p 8 7 O b u G o w M O b f v p E H I O 5 q K d C A H i R m X 6 j O v p p H 0 6 G f 6 l b P c O M C Q w H J o H Y g B j u p G X H 2 A e R 3 G Q S + 0 Y Z i C G 2 u s z R U C K v 9 o v a S e X R d 8 L x 9 3 7 + S l G O j 5 q q p q E A L F m r b 0 j f M K C J Z S N Y M O l q B 2 g i m 0 d L Q w + 2 2 h a H h F b S w B w j A A 4 L j G X B t N N r 7 a E e V l e X x Y v M 9 A L 8 Q T O H / 1 + F l A k t 9 C o v B N + U G X 0 c 5 e b + I U 1 / + 4 m L N M 4 x 6 Y R Q Z e o 7 z X w x 4 T x D Q 7 U 2 V 2 a y e q G q T 7 a / a 1 s Q 1 b k B q c a D c H K U 8 g c 0 C W 6 h p b V c m 3 R 0 2 p f n x c P F 2 n d 6 m S 8 0 G N 3 d p R 3 e Z d a M / 3 8 B g i 9 l Q R I E S Q m 3 2 k d F C 7 I o u T H J N N G d E 9 u R y 6 + J L c r N a A f t 2 d N J k 0 u s d M R b o Z H 0 V m k o H C N O 7 / 0 L O Q W n W j j y w K 4 7 9 X a g T 6 J v S K f y I N o S n K C W C g L G r j D r F Q O 5 e t w J b 4 O 3 L R i J g V 8 h H A y 9 U A p e C O 1 e Q w 9 L n N U z I B S 9 r X m 6 O p w T A 7 s 6 m Z 5 J 9 0 T I c p g E I k U K u e + U u 5 O U F Z 2 / N p S h t 8 7 s 0 f w m d y Y 0 g X B M E I K T 2 i b j c l s k k i C O O l 5 M 0 E p a M 8 n 8 8 1 f O W G X 4 S O n W 0 8 W g m o m M J 3 M 6 W p q F i p 8 O B F I S C Q l A 5 a i s A V R W P a I 1 t k k v j X H / a O o J n b t w i S Y f 3 K M z 5 y 6 q e 7 I D 5 M P r N 1 O W F 2 Z v 7 c f K l o y u B 1 w e y N F I R 3 h 3 P p 7 x 5 1 O N Y r 5 W 6 Z M z n 6 / K g w g i L 9 O F 3 i z / F i b z y b G i 2 9 M J e m F 4 X + Q / e p A S 5 Z 1 N B 7 S 6 6 y I T i K N J I k h 0 S I O t O Z r b Y G t C a x + 1 L f a Z X J M I D / P c 6 L N 2 + o d / / Y 6 8 x C q i J o T a z 8 V o d h G V z A I n y K Q T 9 q U Q o n L K g A p T 2 X q D O X d q + R n e f 7 s j X h m j F 4 z E m B R e L Y O X Q o N I A O 7 R R r q 5 z Q b 6 f q F 2 4 T t R 8 e J I l j U S 5 r Z R M W L k 1 f F 9 M a y A N 2 5 g R v B E z 4 G I h d S z n P G c v J o T m L R 5 J g E G i B 8 u o V / N Z 3 P q a s 5 T T 0 u e u p t 2 K b e f o X S 6 V R z T 6 d N H K b 6 G Q / G 3 U t P o Y 4 p M I I n I y 2 M i L 4 i D b Z 4 1 V Z 4 y O Z i D k j z y m E E m N d 8 J 5 1 6 8 M E b P s Y a q L o j + L w 4 n + C V m + d / D 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 G u i d = " d f f 3 7 0 2 b - b 4 b 3 - 4 c d c - 8 b 1 8 - b 2 f 4 5 b f c 7 0 b a "   R e v = " 1 "   R e v G u i d = " 7 f e 3 a 1 e a - 5 c f d - 4 a 8 7 - b 8 2 b - 1 2 2 a 2 b 4 b 9 d 5 9 " 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V i s u a l i z a t i o n   x m l n s : x s d = " h t t p : / / w w w . w 3 . o r g / 2 0 0 1 / X M L S c h e m a "   x m l n s : x s i = " h t t p : / / w w w . w 3 . o r g / 2 0 0 1 / X M L S c h e m a - i n s t a n c e "   x m l n s = " h t t p : / / m i c r o s o f t . d a t a . v i s u a l i z a t i o n . C l i e n t . E x c e l / 1 . 0 " > < T o u r s > < T o u r   N a m e = " T o u r   1 "   I d = " { E 6 7 9 D 1 A 1 - F D 0 0 - 4 0 6 9 - A 3 8 1 - 1 B 5 D B 4 9 2 A 3 0 C } "   T o u r I d = " e 5 5 6 2 3 6 5 - 6 0 0 5 - 4 6 d 4 - b b 0 2 - a e a 0 e f 5 a d 3 a c "   X m l V e r = " 6 "   M i n X m l V e r = " 3 " > < D e s c r i p t i o n > S o m e   d e s c r i p t i o n   f o r   t h e   t o u r   g o e s   h e r e < / D e s c r i p t i o n > < I m a g e > i V B O R w 0 K G g o A A A A N S U h E U g A A A N Q A A A B 1 C A Y A A A A 2 n s 9 T A A A A A X N S R 0 I A r s 4 c 6 Q A A A A R n Q U 1 B A A C x j w v 8 Y Q U A A A A J c E h Z c w A A A m I A A A J i A W y J d J c A A D + g S U R B V H h e 5 X 3 5 k x t H l t 4 D G k B f 6 P s + y e Z N i a R E U S P N 6 h 5 J Y 8 c 6 d j Y 2 / I M j / I v D f 5 o d 4 S P W d t g R 9 u z M 7 M x o J F G a S w c p U Q c p k s 2 j 7 2 b f N x p o o P 2 + P F C J Q t a F B r o h + y M T l Z V V D V R l v S / f y 5 c v s 2 K / / P T z Q 6 o j t A 9 e p v 1 c K + V y e c r n 8 1 Q o F O j w 8 F A k 4 E J f l s Y 6 8 8 V 9 j W / n k z T U n q f u 1 g L x Q V X q Y H V 1 j b q 7 u 9 R e N O z l Y t S c l N 9 5 d z F J s x s N I q / x / o W M 2 B 4 c 5 C i R S I q 8 G 7 i k y Z U E n e s 9 U C X B u D O X p G v D O b V X j v 2 D G M X o k F I J o l w + R s k G e Y 1 f z q R o b T c u 8 l 7 Q 1 / z 7 + 0 2 U i B / S O + f 2 a T c b o z 8 9 a a T G x C G 9 O J I r X v P K j v 9 3 A b E Y 0 T D X / + U B 7 + v 9 e L K J r 1 P t M G L 4 I w / o Y + Y W K R 6 P U 0 N D A 7 U 2 N d B A e p M e P r o v j t c L g m v q G N E 9 e s 2 X T N j O s T B j + 2 d + 8 B C o D 1 g g D p h D V 4 Z y t J W J 0 W 0 W J j f m 5 + e t Z M L f h Q H I h C u A 8 P W n 8 4 K 4 P x n L 0 r v n M 3 R l 0 B E g L z I B k A s 3 m f L 8 p f L O 7 P A j E w D B h 5 D N b z Y I M t 2 c b K S P H j Y F k u m t M / s q R z T Q l h d k A n C f P S 0 F U a 9 / f Z o S 3 6 s b k i D g E a G h + W w q R Q W P P 3 n 7 b I b a m p x K l 8 / V f r L 5 z P U W C T I B 2 d j J 5 G l 6 o 5 3 G T p 0 X x + s F d a O h B s 6 + T O v r 3 N L 6 k K m f H / 7 V w a z Y h 3 B D o N 5 k 4 c A D n F 5 r o P t L C X q D 9 5 u 4 X A N k G h o a U n t H A w R m p M N o Y l 2 Y 4 e M Q S C 2 E O 9 z i t 6 Z q X 7 2 P W I s 8 X k 0 w y f d Z o B t V q T 9 w X X 9 z W m q l F t c 1 Z p h Q n z G h s q z 1 K k U H E + c n 4 / J Z m V j Z a a C 7 z x K U Y a 2 v I X J K E 7 k R p K m S S a 7 z t h 2 a e 3 J X H D 9 p M K G + q P 0 T D 0 A i 1 U K t 3 Z d p a 9 d O p n j s k H 5 2 L k M P m D D p x o I w 7 0 z o 8 w B t y g C z M 7 M 0 M j q i 9 v y B 3 8 R D s u E O / 9 4 1 1 o B u L G 7 F u Y U v V 3 O 4 G j z + X C 7 L D 7 x c Y x 4 V u N 1 P H j X S W 2 f 3 K c 8 / / 8 m j J r r Y n 6 P v 2 R w 1 q q I M Z t 2 Y E G Y f W 7 H v s A Y x g e / + k D X e U X C x / 4 B N d K m Z d b 0 U D m P 0 h w f l x N e k c c O f V A l K p e J 0 s H m X D r K 7 4 v h J I v b L P 5 4 8 o Z p 6 b r D w F a g t l a X s w S F d 4 n 5 S S 7 J A D W z b 5 1 n 9 L G 3 H R X + i r f G Q X h n f F 3 Y + + j W A S S Y A Z l i c D 0 0 9 n a L x U + O q t L q Y Y m 0 4 0 i G v D 6 T K H M T p V F e p O f f V b I r P O a A W 2 q C W 1 r S n s H g B W g L 9 o j Z u Q P y g h d 4 k C w j i R l d z g W 6 w m Q r 8 w B p i f Q / 9 Q K 7 P U 1 m p I T y A 6 n 2 4 n K C n a 9 x R q x B N r L G v j 2 Q p x T / 5 h O t u O x M X Z e 6 + K O B V T y a Z 9 B a E w j a R k K T a W / 5 S H D t J x P 7 p h A n V 3 H e D 9 v e l X Q w t o b U T Y G 6 h I Z h z w i m g 4 S a T B k j 1 + 9 / 9 n i 5 d v k j j Y 2 O q 1 B s b G + v U 0 d G p 9 o L x h w d N 4 j e 8 s M p 9 G J i h v a 0 F + m 4 h K T r q G 3 t x 6 m J z c H d n h 5 q a m 0 u 0 4 Q / P W L P w t o F l p Y / 7 a D B l w / Z d Q B 6 I 2 H s W 7 W M j F h w Q B 4 V S o c X v v X Y 6 K x o I A O b j x l 6 M r Y F D 0 e 9 b 3 G 6 g b 7 h B O y r A B f 3 I W v m 7 9 9 j c t P W 3 o p J K a q o G a m x k U i 2 d L K l O l F C t A z c o k + E H f H B Q J F I B N c 7 J T S o 3 v M q B F H f Q b w y u U m Z 3 h 3 r 6 + l W p H W s Q d G 6 9 o w B a I c 9 C C V P w Z d X q a 6 B v g N Y X e M K C e b r 7 Q G i 0 8 a 7 y v l e h k G d h k K 0 0 P H P a K Q B H w R 8 f S 6 c L H A g J 5 b 3 T A A H x v Z O s O e Y 2 5 d + b G u p r 1 o 5 X h 7 N C U 9 / i 7 w X B N V A 3 t r 6 R 9 v S Z e M b a 9 8 5 8 9 U 3 W M A h F K h C K k y Y W N F V T U 4 x 2 F k + O V E y o L 7 0 l s 4 Z o G 3 6 J 9 t j k z e V y R T K Z C f A i j V e 5 B q p 8 I n G X z p y Z E N + 9 O D 9 L h 2 2 n a Y g F V T 2 P q g D E a g j w k 3 7 A 2 u z q E L f + / L s 9 c O m 7 A H K g / 7 O Z i V F 7 k / 9 9 g a C n m E g f 8 n e a L T s 0 4 f J O X J A K f R P 0 U W y A W 1 s T 0 A t / w 5 r q z 0 9 S 9 M J w T m h L 4 P O p F G 2 w m X b c C E M q M 4 F U y W S S 2 A C g r f l b 4 p z j R u y f / n T 8 h O o Z f 4 k 2 N 0 E m q Z n c h B J A X u Z K E E Q m j f a 1 T 8 T 3 X r h 4 n u L N v d T J W m h j c 4 s 6 2 t v U G Z U D b m m Y b z C p X m B N 0 J e W R I F L H + Y S B H y V N d / f n J I t P j R E N 5 / v B v 4 e p h r E A 3 d l F x 8 J u N h B S s B m y g F w 5 8 P V r Q F X O v p h Q U j F D y h b C O 4 j o U E I M y Z V T W j y m B A l q t x N K E m q B K X T / J x m j p 9 U s V 8 d M 6 G a 2 z o p n z x D 2 W y 5 R 8 8 k i 4 0 4 Y c k E t / n 5 v g M x Z v T 0 6 V N q 7 T 0 j W l t z 8 D O z t y f 6 M i Z w P b D F v Q A T D P 0 N A J 7 G x a 2 G E t J D Q + h B Y G g v H E u w / M E j B / e + x j q T D Q Q H A Y c N N z z G k N 4 5 Z + + b w Z S E G R i m B u D a R 7 / N J B 5 + D 7 / b 1 7 x D L 4 z J e 8 w e E O 1 t b 1 B H Z 4 f Y v z X F 5 M 8 c z a t X C 1 h J Z Z S 5 S Y V n m E o 1 U H b 1 + A l 1 7 H r 8 s P G M 8 O i V E c k g y 1 H I B E C g f 1 h K 0 C y 3 1 l t b W 0 X T R Z M J M M k E I g H 7 G U e Y b b 8 G M k F I P 5 5 s p A V F p g k 2 w f D 9 I N P m f l w I P s a F Q D Z t D r 4 0 m h X j P R o Y A 0 K / E X 0 l 9 G f g 7 g b c Z P q U i a j x 9 Z x 0 X I Q B v G d u L a b 7 e k t 7 r W I L I M J C k w l 4 a Z x o L D W r 9 u o H g f L A e e z r V O D W D D L W 1 P u S O u H 4 w B r q V t j n d G S k B 6 / T 7 q 7 j h C g c M q l U Z 0 B X U E l F a a C i V D Y M I N z o j E M 7 n G p d o o 4 O R 2 i C g P A h O A r Q 0 p n A w P G Y c i y A H O I w X 5 R 2 Q A C m B t T A 7 W 1 y / w M D n S t s + s E c x C 0 u L y 1 Q X / + g O k s i V + C / V 5 4 2 e A e f V 1 E Y c I t D 4 1 U L P c k 1 u j 4 h G x R 8 7 z 5 r q h a L 7 w G e v s + n G 8 v 6 X u e a H t P D z I T a O x 6 Y Z p 4 J r a m K 2 z g / m 5 g 0 / e C k a G 6 G k + K 2 O H Y c i I s r P Y b U 1 D F I U A D C z A N B I F V K 9 n z J x C f Z S o M A r X B l K B u J T A D C h 0 w y g f h o A D S Z Q B o 8 O 5 i V m k w P l q W G c Z M J g K c N 5 h Z i 2 E A m D Z D J 1 F o A y H T / m e z L g E w w 8 d A w V J N M Q G e j o w m h R U E m R J m 4 0 d E s 7 8 f t y G h p b R W N l j Z / j w P y l 8 p / r 0 x 2 e I M 8 Z A y y t s + W d v v Q C 1 a Z r E X C 8 7 a V V z 0 V G o Z Y M F W f y d J v K l Z I C X B c Z U M C w g s 3 9 S c s j N u 7 5 a E v Y a G v R 7 d 0 G i B N c 4 L 7 I 6 s r 4 l 6 A 8 7 3 + M X f A F p u D E F p 8 L Q g J 5 0 X K I p A X + p 0 B 4 t c n 9 o V b v 9 q Y 3 B 6 i h U 0 8 F Y l d N l M v c J 8 T W t G N n 5 3 d V j k H 3 6 z 0 i v t 4 Y y L D f d X g e 6 8 W 5 C M p r z N T h o o J F p B o D P O U 4 b o 3 Z b G W q f p P y 4 K W / u t 8 Y z K w s e S m O f k h 4 L A V o 5 1 5 M S L f x v 2 U b 7 7 6 Q p V G h z Y h r O B j n d 0 9 Z W Y h z L v 5 1 R x l s 1 n a 2 5 V h M A g y h a N i e a d B C O 3 e Q U z 0 b 9 D 3 g k k K g G y A O 1 g X 9 1 9 J H Y T B 9 3 P O / e n Y R 2 1 i m k B o z 5 X + U l I d s u i g e l B H Q 6 2 7 Y m z r u B B U H 2 7 5 g s y h P 5 X q v q 7 O q C 3 4 S W p u 1 S Z 1 j 1 8 X a t f t 0 T P h 3 g d s Z W G A i P O l n b h o O a 9 e v a J K o w F j Y 5 U A E R R N z Y 2 U S q W o u a V F l L 1 6 i s n F h I L H E W h h M / G t U x u i L r 6 e L t D H 9 3 K 0 s 7 N L a 6 z x 8 r k M 5 7 f F 7 + M 4 Q n 5 q h c M G p 9 M E M 2 V m v U E 2 C G z e Y Y t w L 4 2 n C 9 v C x I u T v I f B + D S t r G 6 I f D a 7 L 2 I K k X p b 5 f F a I 4 y 8 Y B 8 J 9 Y j E V j u 1 c s N u k 9 F q p p r r w q 0 t d P T L y e T e l s B W F h L o E 6 C f A 0 / a d 9 9 9 r 0 q j A Y O D Y Y D + D Q A X + p e T e y K 6 G q 5 o u N e R Q C T c C r y O G L f S g A a b 3 0 r S u Y E G S j W 1 0 m B 3 E 3 W x x r s 1 3 0 G t r W n x + 9 B + z 1 b L z a 1 q o S l W a g 4 j y B f E w l g W t u b 1 v n p J h m W 9 e y F H 1 w c 3 6 c q 5 f u r p l n 3 T d L p d N J b Q U u 6 o 9 Z r C I i M 2 2 U K C 7 O n + l E 1 G q 5 l i v / 7 L 7 Z r V Q m v f i 7 S 7 Z 3 j 1 X K Q C z L w E j q t s R K C T j P E e h M z A Y 9 b R s M E P P K 2 O h k O U C P E v p l M i 4 B T X K z q j A Y B z w S + y A i a f N g O B D + 8 e U L 4 h 2 v W H R R 8 9 p h c u O N N a z I H j S o B n q 0 1 g r 4 F n N 2 B q I g i 4 U k i r v P T v T V M d e S R c l + 4 L J / g m c x t f q T O q j 5 o 5 J e C 6 z G h T T 5 H I T Z 5 y M q F M Z S p A f 5 o J y 9 t 9 1 l A Y 3 F z O h Q 9 4 1 Y g y 3 Q J j O / J e 5 b 4 N U + v S b I P 3 7 q 9 T c m D 2 k 8 n y q Q s w u f j x q z 2 J n 1 1 O U F N D l s 2 I 6 n f 8 l 2 i C P r j P 1 6 M q H G Q 6 i o m J u E Q N x A W G A R q 9 o 8 A m K z Y Z 0 w m y m O e W I 8 a y i V + u R e I m x V Z 8 9 J T s u s Y X D 6 3 E N 6 M 0 E + D e m r C V R c E P M 9 v 0 X 3 8 3 S Z 2 N W b o 9 u U 1 t q d J e v v n 1 i B p w Y 3 1 t V e W i w R Q m N 8 Y 7 D 2 h a 9 E 9 i o k V G 7 b z J / Q 0 3 4 E x B t L c 7 c P W N s w U 2 t W r T N 8 H V f P C g m X 9 T V g w i y 1 F H 9 4 y I f h t s 0 y 7 M 2 c o I s k X w r n Z 2 e K E a w w F + c m R u t Y W U 5 x R r R d + 6 V F 6 r l W p C 1 d b e s 2 w 6 S T P g E I O 3 f E O 2 G y 9 F 0 H F / X B 3 K U U u 6 g / p P P U + 7 B y m 6 f j Z d E o y K j r Y J u N f d 6 O z q V r l o 0 B H j G o j d w x i S B t b A O N d 3 I M b G Y A 5 p M w d V 4 h 7 j 8 f K Y x Q 5 r 1 + G / O S k H e V F H m B 5 z 0 W d d C D h 9 b H X n B s i J 2 d M Y Z o D G w h 2 H n Z I S H f 7 f q + X P I d Y h N b S e K Z P b a i Q f i 7 5 y Z P N p a e o J Q j k 3 q / N m m Y a l K D Q w v U F r H L T 0 C O l x Y 3 W H 2 w 7 c t A c w T 6 l a Q C A s x p B M Q K h A p o H Y k 2 L L j Z Y e U Q g I t g 1 a 3 + J c b 7 l W q y Y e L + 4 L 0 / W 5 w Z y Q D U w N s T 2 T t q Z D c b 2 2 I F l o 1 3 z e G U c D X p / I 0 k 9 P Z 0 U Q M O q k F u N W t u u 0 y R r y S I j Q O T i s T c w i 1 2 F 1 / 7 U N v i B c l J p M Z g L 0 1 o S t L A o G u O 8 E s w r Q 0 Q d u k 4 7 N Z v r L U + / 1 F j D 6 b 0 P Q F P C M i v + D y 9 w N U 0 v d n k 2 J l j 3 Z N q x K J P k x p + r b h S T t 5 f z b t l M 9 O H 5 I l 9 N P 6 a 2 J b d Z Y R 6 s z H e K k M b n R I d p 5 T O L 8 E 1 9 3 M 5 v L X n 0 q X D e 0 / / I 2 9 + 6 M t g v a F e N W a E w 1 0 J C Y p h 9 m C o N c Y f t Z Y e E n V 9 i W J q m N 4 6 3 P G 5 J b p X / / / N e v q 3 p n D R 3 X f C P J 9 d a B v M G j A N P P 9 R R t r D k B c 0 O H + S B Q d Z w F w D 1 J z 8 T K 8 h L 1 9 P a p P Q e I / k 6 y M L x + 2 l 8 7 f D G V E i 2 7 n 9 v 4 o 4 e N I n z p b I / T g o N I l / p z L F y q o A J M z m 7 Q 4 5 0 B t R c e 0 E Y Y N 3 q 2 7 Z i c G E u K O k i 7 s 7 0 l v L i y w 5 + n v v 4 B 8 Y z R Z 3 R 7 N D G 8 g N W p A H M K T L X g 5 / X T H j / t 9 R N 5 K l B i / w d x v F q o a h + q d e A a V 6 6 0 U 0 0 i a R L p r Q l L U W Q s G U K B S X o I R M U 4 0 L 3 F B J 1 h A e a r U U f t s J E J Q P S 3 J t O 2 K + 7 O x M v j W R G + 4 9 f J R k e 9 n c m u x 6 4 Q 5 m N G S 5 i A 6 Y R 6 C T O X 6 e x I h x h 0 j Y r O 5 l I y d S W 3 P c m E e v Q y S V v T b d T e 0 U m P 9 4 Y F m b C W B h w d H 0 2 W E 8 U M J N b j X H 6 r S E W F T Z Z M 2 S t P r K m a L l p l u d J 0 h L a x H L B + R K d P X 7 A q 9 w T u q A q A M G t A q G H u Q T g u D U h t g F A k L y B C I Q z S F u 1 j T v d A v w k t 8 v a + c y 1 Y w M U E T D 5 0 z L G m 4 A W l m c y I B O 0 4 w b W j Y b U F 2 2 p A K 5 g A q S 6 l Z 9 R e M F Z 3 S y v l x o T d v P t q h r U o 1 6 N J / L 8 8 K R 1 a Q G v / n H J k Y O Y w t P V 7 l j U 3 3 O s S A p i 3 N c j 9 y K o h Q K Z w 1 C Q U P N H V R N X 6 U K 3 9 5 d o J V y y 2 D L 0 1 U V 5 S G c y W F X F x 5 q z V I K T b 2 l U u O p 4 Z c 4 s A T G P H w i Y A x p W + X 3 A E D y R H P w k C 9 O q p f Z p c S o q B a D 3 b F 4 u g 4 N n a X N I 2 m A G 7 G q P D v Y J Y S I m C d L I k D v f E 1 g 9 + G u 7 F U U m U y W V n M u U g a x V M 7 d f Y 2 9 s V D Q W 0 2 P X R r J g 4 G Q W 2 G M J K Y Z O p E h l 0 y S Q a / 4 P k e U O S j / j v t 5 / f s V 1 D Z M T b r p b 0 n Z C A k p s x w f t V + W E X s A Y c 1 o I L i / 3 9 D D U 2 R r f j 3 Z E F u D 1 E k M P E z L B 8 N C V l 5 A N O g X M C r X N f S 4 b y s Z T o p I t O s f H 3 c H 5 g 7 U E 0 C N B y C A G 6 9 0 z 2 s U z s 7 + / z 9 X o 7 V / z w 4 Q 9 s l s a c v + 2 m W X r p Q o + 4 d m j E S m D + r T l n D G F X T Y m C 0 F 4 2 L C 8 9 o 1 6 1 g A 7 u H f d p i 3 a v B O I X X b + r r 0 N v d V Q H 2 w X C w d N 0 + E j t H w 2 l N k m F S A 9 c Z S J J c w / E c Z O o j E y M 8 p L q A M 4 I L N n l B 8 T b a V R C J q B w U B o L h + c E M g G I i A B g J s E M R G c f a 6 5 n 9 n O C T N N r z s q p I C a q B w k r H 2 E d P i z o i b E q l G F 5 Z W 1 G L s z N V k w m g L 9 J 5 S R W S S 4 C a s r e L T b x Y K q i c f h 8 W m p Y y + M r A n 8 L h w s A M n 0 7 n e W G R C 4 D c H e + 1 J T D m K R u a E E m 9 B X h l M B g K x q Q a s F 2 u Z 4 y y R v k D x J n 5 P 4 R U R V C 7 b F V A c 2 E C x M p g C 7 F m 6 k i d G u P 5 Z A 7 j I F H V p p l w N T v q E C L a 8 I v R O l t S y Q E z N L l d T m l o y V V K H b Q Y 7 z B I v p Y 5 + 8 G m 0 s A C J j g A 6 N s W i E P b X d n 5 p A G h 8 O t g u u F i c 7 y 6 z K 9 b M h v s 4 b E G B O 0 D R a n B E z C A S A 5 X i K g Y S 4 / 9 v y o s 3 r t c 8 M J 2 l h f p Q M V v Y + Q H 0 c z I I h Y b u M + k S a V I k j G n K N 4 3 Q J R L m g g M C T 4 7 l B b l a f m z l G h n Y p k w o 3 g v 7 q h o B u r F s 7 2 5 k R s H T x + Z v i O n 0 N C Y w t L M A W g 0 l F + e B s B 4 a Z u l y T E V H j M k x L g 8 v E u x 6 y D Z k J f 6 u A w R t 8 t J u i 7 + S T d n 9 2 l a 6 P O P V W K o Q F 7 J I i e r o K + F E z R 4 Y 6 C J L V H c 4 t j I x 4 a B S Y V n C n b w p 2 e o 4 7 O b k p 4 R O 9 n V d 1 w c y w + s a c d M W a 0 e 7 V Q I p O c s J X / 4 B A 6 p H w c 3 l 5 c R e U J 6 w S K F q j S l I 9 1 C U + J N v c C E e a c C o B F U e B F g 7 c J g 4 Y Y f w q L t v Z o j g m 3 h 8 0 P 5 j T x 1 n R a t M o g D a I H s M W A 8 K M V R + B g E s J M x B Z p j L X K c 2 M y N M h d d Y 5 A R o N e I V Z j c t 5 Z E x z a B h o + y G w 2 X e C 4 L j i C M H i t k U 6 3 l c T 3 m d C N C c b h A G 5 C h D P m B d a I M N l h 9 p 7 u O v B 1 l o R C K F n j O u T T c O p + v t k q 4 1 G S f 6 2 F A D d C J X 0 n n Q A b w c L c Y i X A Q i g A l u W a W U + U r T U e j P B X 5 r f U m B 9 2 c 3 E x T p N j I k D z F L U U w / b r Q w 1 T 1 N 7 s P C I 8 M B P u K f S m C 9 4 L S d o X a w m a b u 2 Z T O n A M M j x l E 2 + I M x v x I U G R s P Q 0 5 o v m o h B Q E z j x 2 w 2 m u N s M D V B J n j 8 X h n P i k g M i I + X l g w D W 5 2 a s u m W T 8 T 4 H R V H I l R z 7 x U 6 4 F 6 1 7 e K s C H P O E a C / H i E z y H r 9 2 t p u j B 6 X a T C X t B p w f 4 + X 5 y o I a e 6 7 Y 8 w F 5 i N i 4 s y + 1 v R q q Q B D C w 4 M y v l K 8 p 1 Y I i t g C q I 5 J j S r w q / 8 8 P a F Q 5 q d X S h x e w M f G Q E D i C 8 M e j c V M M S m I T Q w 7 k c P W H s B 2 h S / i X 6 a f P G a c w / x Q q Z k q E N X L 7 Y / D Y h S C U S A z B X l l j f I 7 + R H 5 X 6 F Y E L h 6 i t L W b 5 X 0 9 Q r u X T L j Z S X V B c f P 5 J C g o Z m J x v 3 r E t E U 0 w Y I U A a u 7 v 2 A F n c b b W A N c 7 P 9 h 7 Q o A r g x Z R 4 Q K + c p K G 1 I A Q N W t f k s D n g C 9 N R Q 4 8 Z a f z V I 3 b x 6 v k B 6 m p 2 + k A g R U e j N 4 H M h h u L d m q Y 5 T 8 9 V a 6 d 4 M g B g Z C w a I 5 n P X J / U c 0 g K Y M 2 m S v 1 A l q / V s u r 2 C J J x w S S 9 E I 6 M h 4 1 V d y H S j S 2 s H Z y C C U u T m 8 Z 8 t N E e U m 1 g b r A A C p s b 6 z H b Y 7 z m P C a N d v U V L q S r A 1 h H B i A q o Y y 4 J K g S b R J 9 Z q K S r e d r l 9 z C m B d c z / A 9 H J b L B h A 9 s K N s R y 9 P L w l 8 g h w X c v Y + z v 4 T l 2 P I I Z + J Q 6 A c h 0 A D I 2 v H T A A T H A z O B j 1 g Y Y E z w b J d D o U G p r p Y l 9 O v O Q A w I s Y 8 L t w v K G u 8 K 2 I v q g c p R V j 7 g m x V X l k x P w 9 S l l l P k y q 2 O S L t 2 I h / v D m X o h T j g w 8 h P Z G K Y C L 9 2 7 S t 9 9 + R 2 v b p d 4 i 9 3 U s G K a G 6 d L 1 Q p A D Q 0 e 5 o 3 K 9 g D c x o v X G e B P m H 0 H A c D 7 6 I h o w K 3 U g K Y A J e 3 5 A S + 7 V g H i h M 5 2 k q / 1 b d G 0 o Q 2 9 d U I U K 2 p Q 0 v z P J V a U 1 q o a e p g K N / 5 0 x M R H L A 7 i B + 9 U a y 3 x t a S G W E o P Y c E o A i D j B S x R u s m m I W D / 8 I j S j X y i W H / x l D w e d E 0 C n r W x l 7 2 I G K i Z U 0 R m h L s Y k V R i C 1 Q r / 6 V d 3 x J j Y T 6 8 O 0 J U r z 4 t 3 u j 5 4 8 J C + + u p r s T i K n 6 A f F 9 D R x t s t E C G v X / K M Q F y 8 h v O 4 M d C Z p N 5 0 r K z z / 6 p h S m q c 7 b F r C T 3 w f H 3 Y + R s 9 u R M O E K 2 V b C 9 M A N C H A k Q / i 8 m G A W 5 4 / S B G D 9 Q U E h w L E y w c F o 6 M O t + J E h Q f x T n B 1 Y g v j J a 6 R 8 4 V x 5 5 w F f r i v I l U + Q V G A U y 5 f / d 3 L 9 D 8 e o H m S T a 5 i H k 7 f / 4 c v f j i C y K / u L h I H 3 9 0 k z Y 2 5 D J Y 0 B Y a G D v x A 4 g a B K / Z r G b d w O W M X f N c h D G 5 p 7 8 D C K R 1 P 1 8 I m 5 7 / V S u U X 4 m M k 7 T h / l J S a B S z s b o 2 l B W N h I 5 V B G y v V Q U a C j K C 4 y Z r I f N W k Z 8 6 w p s T S + G q x B K U 3 i 2 e F e t 7 z q E 8 W q q o D 7 W z x w + 5 z s w 9 o F W t I T H a k + T + H V + o C z D p B g Y G 6 M V X 3 x F L N O / s 7 N D s z D R 9 + u m f a H 1 9 X Y y d + C G T 8 Q 4 0 x R Q H f 5 R W A u o R Y 2 a f q n 4 G j t q m M u D F 0 m 5 T D u d h W j 0 Q x r M X B u t r a y p H 4 s 2 C I C w i x 0 1 o b e o G 3 O B 4 x 5 U J 3 J 9 b 6 3 3 y S J m R B a d v B z M y m 9 Q v x W M x V s c w 5 T 9 x 4 F z T U R F W B n E a z l 3 f 6 y 6 R + d D p g 1 v f h f w p A 6 3 P 0 f 6 + O x B W t r o 2 g o U h X T W A Q U k M 6 m L W b n N K r m M Q B E z Z x i x T A L N v o b m + / e Y 7 u n T 5 E v X 3 9 4 V e o y 8 I q y v L 1 N 3 T q / Y c Y H l m r C g L o J b 0 N c O p g o 6 7 n v K A P g Q 8 h F 7 j a 3 f m U n T N M L m i A s 9 I D w e g / j B Z E r N 3 k 3 a l J B D m L f c 4 + v n j G G 3 m G u k l 7 i P d M g Z / A f x k 4 / 4 s v X q 5 V 4 x N 1 R K 2 4 Q 5 Z p m Z J Q J Z Z H g 6 Z z P D 7 9 a a j L 9 r j U 1 3 e A H + 0 d t J k 8 e S M 5 4 H q w z S N y q t O A m M 6 C O 3 B i q f r e 1 x t x h 8 1 N T U J D f b e + + / S y M i w I B O 0 2 O P H j + k P H 3 x I d + 5 8 I 1 6 P E 8 b 0 c 6 O t 3 f 7 S A k 0 m w L x m L J p p z h / C e o M Q Y D g z s F C K C c T d P Q s x q O s H U 9 j 0 z G M 3 m c y 5 X g C 8 c Y i d t G F V z T P D X 7 w y c S j 7 U K p f p S E W n i n k K Z f o r t j h E A k e s u g U q w x v T L m I A t Z Q 3 0 f 6 y + b e y 7 S 5 K R e v L A m I V V e l t x r u / V o C D y 0 s c F 3 u F g t 1 G M Z T h n u H N l t Z X q G 5 + Q U u O a S J i d P U 2 t o q o s G x F L M b + B v b H C Y v I C S p v a k g 4 h P h P s e r Q P E W f B v w 7 i g E t L 5 7 3 t t N f l R g 0 R Z E Y u A a n v f o C 5 m A e W w b h t j g x u D R M l + v 8 v J h f Y q Z 9 T i 9 d w F z x B K i f 3 j U 9 f r 8 Y N N S Q k Y 5 Q T M V h N X F R I f J y c L Q n V 5 X Z 4 V D 7 I P b 0 Q g V T 1 / m y p K v e H H M P e O i x J 6 D 4 y I U w l 7 S D b v U y F o m C q D m Y y H c 5 W G B + k C w K Q i 3 v b 1 N m b 0 M T T 5 6 x A 8 y T p 3 c b z t 1 e l x o P v T n Q D D k s T V d 9 v j b f / z 1 l z R 2 5 T 3 f t 8 1 X E 0 F v t s e s 6 B w r T E y g 9 B r H 0 7 h 5 8 1 N h M o 2 O j d L 4 + H h Z q N Y H 9 x r o w k C e h t s x g E 3 0 5 6 + f 0 p V L p 8 X y a w + W q m N i e 8 G L U H K 5 O 5 h 8 r C S Y U E h Y c 6 K / 0 9 9 R 5 U b s D x E J V W i + r P p P s D W d G b p A O X l w o S p b Y 0 T R T q i 0 u H r I u 7 v b 1 N J S m + W O o w D 1 q L U + 0 p 8 f x e j 9 q y 1 C A L 5 U S z 6 b u D 2 T p O t G Z M Q e Z + 8 u p o T g w x m A A N O o M 2 G 9 F q u J i q W l Z e r r k / 3 F P / 7 x T / T 6 6 6 + J v I m F T a L v F p u 4 z 8 H 9 x D 7 p Z M H 4 V K 0 h + e Q i F e Q Y h O J n A O 0 E M m E b 4 7 L B r m i E i t Q 0 p 3 t G + I c 4 4 0 m g U h w X m R C V r b G y 9 K x o v 3 t B k w m o h E x 6 b h R M R D P A 1 U T U e 4 e G E m / t a G 4 W 6 7 H / / F o r k 3 2 X / v E f / w c N N T y h / / D f f i c I p 2 G S C R 6 5 7 x Y S 3 M L H x M R F 9 H W i L A O g Y S 7 0 i T l P g G 2 a k H u J N h O Q i U 7 j N a N n z 9 o n 7 g 2 w d k K A 7 s / O Z w W Z o J 2 O A 1 7 P x a S Y P g X 3 s r t v X 1 7 O C 6 y h 7 o Z + 9 I 3 d l 7 h T X n / 9 p z D a K b u / L 0 w x T K F w A w 6 K V C q 8 h + n u I g Z k W U N z f n o d y 5 T Z P W 8 I v X E v e K m B q Q t X f D T I Z 1 M p E X V t 4 u G D B 3 T v 3 n 1 h S r W 0 N I s + G 8 j 3 z 1 / t U l d 3 F 2 1 n D m h n Z Z Y G J q 4 J z Y b W G C + D w 4 I s L 4 a M B A f M v u Q W k x P r 7 0 3 0 h H P E Q C 6 g b U 3 v K E x Y O H w 0 d D w g T M f X V P D r c W g n j T K z T 8 k w t J L u Q x 0 W Y I E V h L b v 7 w y / C G r s D 1 + F J 1 Q 8 f Y n 2 9 p z + k y a T T m 7 Y y q o N e I d s M 2 S j A N d p s 6 0 r A S b V 6 X l A P + D 1 n h B s / n 7 z z Y Q 2 u K 8 B n s i g v g o 6 8 A 9 n N i m b w J i J 8 7 e b a 4 u 0 v 7 t B v c P n R X l P S 0 E s n h I G u 5 k c t W C K s A t 4 k 2 K X x 6 C 1 G + 5 1 L 2 Z n m e Q D A 6 K v i I H q 7 O 4 a v X G p p X h / x 0 k m o P x Z l 7 r N B b E E q b h r w M e G e o M X u t E Q D V H Y x O T l H y n V S J 6 k 8 S q v M o 5 K J q B a Z A L W V 5 2 x C y w W g 6 D P I D I B m 5 s y c k M D w q b N L j e g Q S C E i A P M J R 0 y Y Y A V u f a u A e o b u U C b q w u 0 N P O D 8 K i Z s X N e Q C R E S 2 O C n r i m k g B h y b S 3 t 1 e i n Y C R k R F 6 + H C S f v k 1 a 9 B s j J I t X S d G J g m 7 b L I 0 l x 3 B T F 4 t / 2 E S 3 5 a t 2 J 7 Q f 9 I / 6 U k k B f + j 1 Q E 6 3 l G B j r c J m I F Q 7 d V C j 1 r J J y r Q O r q B K A k b P r x v u t / x b K T Z i z l J Z r 1 3 9 A x R 3 + h F W l 1 4 T F 9 O B R N K 1 C e T c 7 R 9 X 2 h a v C s r K j 7 / / A t r A 3 X p 0 k U u j 1 N j d q 6 4 d s a i s d D m c c I t u m J f J 7 3 h D 5 R L O S / l g V 8 K r m W F R E u P J F Q A k Y 4 T e N 1 m F G D p K r c X C 6 0 p H n S 1 4 K X t g m q t u a W 8 8 4 u w H B M w p f 7 0 / R q 9 O C r J l 8 o t C 9 L p P i S 2 W D d c A 5 E V W P / h 3 7 w 1 R I u P b 9 N / / 5 + / U U f s 2 G S z D k s H w D S D 2 a o X o n H P E 5 u d m S q u Q 6 E B u V h e X q Y r z 1 + 2 1 g E C X h u b W m g / N V y c a Y w X 4 9 U P j C f E W b 0 H c d 9 2 L Q r q h 9 i H X 9 8 z v s k b q c 6 L w i G B i n T 3 n w A 3 0 d z 7 1 Q Y m 3 e n V S s M C 1 1 R N 8 8 4 K 3 L f l N z A 1 w / R G u o G 3 y u N F 2 H 5 w X z 8 c L a k I y 4 o 9 W 9 m i 3 3 0 + R b 3 j L 1 A D k w b f h C t C u B b I 6 + V A A a S H 8 b D Y P 8 R 6 h p u b W / T D D / d F X O T p 0 6 e o r a 1 N H D M B 0 i B w F i / B 0 0 A / A / P A P j U m K x 4 3 i v X I d Y p / s g / l O C V 0 H w o J g c s j I W U t d B O B B s m L J O X l 3 o J T L U Q l E + B H p s e T D 1 V O j g k B u C / 9 N v f Q s P w G P F + U 2 x V u 8 G e L C 2 J / e 2 u T 8 i y k u u 6 8 y G S + 3 c K t F U w y z U x P K a F 3 g E l + G L B F P w X b O y t 9 N H D m B i 1 M 3 h K / i 0 l 7 b 7 B g Y x 0 9 D A W Y S 1 q 7 o b U W 8 L v f / p 4 / Y 9 T X 1 0 e v v f 6 6 e D k 4 y K T v x b y O 1 b 2 G E j I B 6 A O e J J k k l E K Q W Q F s d A J w O 0 g Y o w q L 2 E d f / 6 D / 3 h e F 5 g u U y Y Q M i N U X W k O 8 P r p a f N O 6 F z A e o 5 d G N o N g g 4 D 7 8 S I f + h W 5 b E 7 0 M b B I v g l z w N g N 0 x V t w 8 b 6 O n V 0 e r / C N I w G A 9 A A o F 7 c n X 1 E Q e D 3 E c v 4 / W J S O C y S j a 3 U 3 N o m X O t 6 C j 7 G h n z a H V p Y W B A e O 7 N + 8 P i x i / l m G E v L 7 O 1 R U 3 O z G J C G d 7 C + o W R Y a C U 5 s G u 6 z r H F A O / p 4 X A S H f p u w R / B a J U A t S l D u J 8 + G j S Z z A X 7 3 d B k A q L 0 k y A Y X k C / A u + S c p M J c D s 8 T P i R C W h s 8 m + x 0 x 7 B t W 6 g X j 5 7 I P s 8 y Q M 5 w A 1 T U / 8 + T G W E a b V 3 D 9 L y 0 z u i D G T S U + 3 9 y I T x J D l J s / S k l X U 5 n 0 l P A Q G Z g B 8 D m a S w a j n B P v I y 6 W y Z w v B B 6 N f Z R P j O m q O j y b k Y M 3 Z v Z 7 t 0 q W E T Y a a 3 a 7 j d v m H h F 0 f o 5 Q L X C F r P Y n F h T u X 8 A S F O t 0 u y 5 x I 9 w l E x 2 l F q C u r Z t H 0 T L 4 h W G U C Y k n Z u f O 9 a Y x z P / u l q A / 3 n X 9 4 W s X l u b K k l 3 D q 7 n K n j + n v r G i C L k y 3 Z O h n O o g I s n L C l U F L W k G o V l R q F q b X E T 8 b t n e f G l r S Y d w Q 1 n f P R M k G I Q j 4 T N q 2 l E e U F B j b Y 5 l L Z g H U b 3 L O G T 3 t E O T Q 2 t d L O x n L Z G J N e E A V v E I H p + N u 7 D X R r c p P S v W O 0 o c h j Y m J I W g s w l T T w I r a 6 h 9 a 0 E G u W b S n f y g S U h a I M u b 3 g Y B w B t g S C / 7 V 2 j 4 g f A U 6 a V H p B f h s Q J g L B w 0 u k k 2 o K B T r + K 0 v e p h g Q Z o H I o w L v / b 3 L L b / X E t p B Y 2 H N z S 1 l T g c b E K 4 E I j T k v b U 1 S A L T D w E R K 1 N 3 x C K V b v z q W 6 L f / P Z D 2 t 5 c p T w 3 U G 0 d P f R 3 r 4 2 J V 4 n a T D l c 2 8 b G e l E + v O Z / 1 R t A K V C m K N U i I / f k r f A H Z 9 Y 2 T E Z 4 / w s l S e i m e B P J q 7 w 2 w F s h v G C 7 R r i H e / r k 2 B O O z 8 + W v 5 T M X P f A N s B a L V z m l n 9 t z + 6 0 C N P H g 6 c N Q C N h g w 7 U h X e v E P c 2 M d G 3 h J c U b v L W 3 l M 0 t 1 F a p 5 h b l c t m 6 N / + 4 q f 0 D y + 3 0 L + 6 I s e 4 M D s X k w 9 t U R N w o 2 N h T r N / 9 V O f Z c z q B Z I z k j S Q D + y L T y F L K M M n 3 5 / 5 y h Y f h O p D a U 1 u E 1 h L U U 3 h 9 3 u z 0 1 M q Z w c e 9 t C I X B k U n i h 0 s N 2 m 4 d p a 9 G n P U d B n 0 Q Z A l D 6 H l y f R H O h O H n i v H 6 g F H Y 6 K 7 W e P i 2 s D a q C P 9 f f X G + n m F 5 O q J B i r K 6 u i P j G x E H K y s o U h A f k b d Q 2 + y B K R w k X L / 4 6 s 4 R z s G J z w S q E 0 l P b w a d i I d V z w M v n Q k R 4 d P 6 X 2 g g E z B i 7 e u 8 t O h A L u 6 6 i m C o i x s b 5 G j y c f e N Y T o t D d 8 F q 1 1 g Y v l 7 6 J f F w 6 S I K e 1 M s X S t c Z x A D 0 b 7 5 r o P / 4 f 7 6 i v 3 3 z s i o N x t j 4 u K h P O F d w f Z N r L f T F k 4 I Y L q h n a G 0 k n p V 4 X i q p P M p 1 C o N Q f a h o V l C 4 H 6 4 U 4 x 6 L l K A j j W n a Y d H a K q d x 4 M X N e I M e A E G o 1 M M H A g F w a H R 0 d t H E W R n p b Q N M r c X 5 O f m g V O V C Y 1 Y T + b j 0 G m I s y A v z a z k a G Z N e O / S r / v f t L P 2 X / / U h Z f d 3 6 d / / / X V R D u A 6 l x Y X x K s / T S C U S 0 P f x 7 M t o k / v 7 b P Z 6 V x D / c K U V X 4 W + O Q P k W S R U Y 4 g 2 e B / o T Q U f s C N s I y t N s w 3 l 5 u A D Y + l f i t B R 5 P d D I u C g a F h l Q s H n A / C 6 e n 3 U d + k i D E h D W h F 7 K N v J d Z y y M 5 S 8 / 5 T c c x r n U D g 6 b 0 v q b + 3 W 5 B p Y f I r v p 4 4 P X / 1 O v 3 9 S 6 U a F N f Z N z A o H C M m 8 B b C + b k Z e r Y 4 L 9 Y m / + v D f f E d h y l o v V C i d a I Q I s w f Q p Z V X m V k O f 6 p 8 r D y H m 4 c i o E v F E n u n h j c Y y Q a U Q T S r B x E B p x S 7 4 W F 2 x d r l / u N Z 3 m h x R L c G g V w n k Q B J u z t 7 k g z E V o R + / g O m F z Z x h H K p u Q r a v y 8 o t 9 P Z 4 R W e n z r 1 4 R J i X 9 7 L U E / u d C m j o b D 0 P A o 9 Q 8 M C f p M D L b Q 1 3 O p k j X O 6 x u O P C M n u Q M 5 x 7 7 Y k U d E G e f d v L C k 6 B q q Z M e C g M P V g G 2 F 1 b W A a e 8 m p p 8 + V j m u A / 4 q P d C J z j 7 W L t e z e q H 1 0 A I v L s y X m D e 1 Q E t A G J U N i N g w G w e N t 8 / C L V u g v n S e T c l d J t 6 2 0 G J o L J a X 5 X 3 g z 9 5 9 / 3 0 R A f 7 O u z + n n 1 / K i m G H q G N w W g B v z z b Q n b n K z O W T g q g 6 c f 2 K M K I A k H l 5 W J b Z 6 t m G 2 M 1 v H w a e m U 2 c J b z h H W M N e D D F C 2 C U / R C O q W y t 0 M j P 7 c 2 J k C N t I T C 1 3 k D j a i V W E + 6 p 2 x q I Z 4 S Q z s / N c m f 8 l H X q R S X Q s X B h g b C r q K s 8 1 Q o I X 0 I 0 x Y 8 G L K e Q Z b k 4 S 3 k c n 4 j l 0 / k 8 a / n D P D 0 X Q n s L r 2 Z Q q j e 8 f s p O p k p M N c B G J s B G J g D L Y s E b e O H S c 2 V k Q g N T q T a L E l 2 A g e B 6 I J M e b M 7 X u z v P B T T 7 o u m H A s C l 4 0 P c g t q K D Y 6 p 8 z j Z u O F O o f t Q 9 Q Q v q 8 S 2 A I s X M B W 7 F k A H H p 3 1 S m C u O h Q E r G h b K / g F H E P w Y F 5 D 0 P B y B T 3 Y j N e w / n j g k E h a W J I 0 g j w m k d Q 5 S C L v 5 o U l R T O Y 6 w S 2 c R y N I P f z x o a M i K 7 H A U e Q E Q P N y 0 u L w k 2 N C Y T Q u n C x r 6 + t C m 2 A L a a i B L 3 Y Q M z B q h A 6 b A t 9 y A U 2 a y F c u B Y k d D q 7 u n t o M 9 M g N P h f 7 m / T b v b H J U a C H I I 2 E k X y o A Q Z s S O 3 4 p 8 4 L k 4 I B N e E i 2 L W V F / Q S 0 / Z o K c O e K F d R W L j v b B + O I p A o v J h i + / t 7 g h C Q B C 3 N j Z C x e J J D T c g 3 N S Y Q A i t C x c 7 t B e 0 g d B i Y Z 6 t h w B g y b Q g a M c E P K e o T 1 x T M p W k 3 E F O k o p x e y 4 l J h y + e i F N f 3 l U e V 0 d N w Q x N E G M r c 6 L f z o v E v 5 I / C F / 2 L h R m k L 1 o b g + 6 w r m e 1 5 t 8 N N S E I 4 w g I a o F J v r 6 8 J j i P 4 V C A F i t H V 0 F M 0 j P y S S S d Y M / k K / o j x 1 f o h 5 q G B 0 v r 2 g y W I C B I Z g Y X w J g + G 4 F 0 y y x D J n A A Z 0 u 5 u j z 5 4 + S Y A 0 4 r 9 i i / l Z Z J C x 1 f + K f P B J P 8 o + l M 1 t b i J I S 4 V B X 7 8 c x 6 k E X s I c F g c B q w 3 1 D w 4 H a j u s q 2 6 D X n j F D Z D E a 3 0 K d y O E p d I w f o d B d m i z l X 3 / 1 6 T W H c A T f O A T x F F J b t R W H d N b U a j 5 4 J N + l H 2 o M M C a D W 7 I F s k O L G d s r k f n F Y A a B u 6 I g q h o D P H y 7 E T C / / q 8 x r V g y q I P 5 o Z X 1 d h M R J i j w D e z h 2 J x f + 9 a r T d I Y u C f 2 O K m 1 b a Y c J b I i 0 w x i X N D I F Q f C g 0 U W i m d A P l p g e e B 6 g L v p / V D u q 2 8 1 d S R 5 b P T T 0 t M H 7 w F E G s t n O 5 2 + g J h T U M r j l g H M A 2 D + 3 A x E V v n 5 W q 3 m b 1 w M m C c y 7 2 2 B u r F N v 4 F Z 4 j f E t X p p g S N e i x D X Y 8 Q 3 D D I p P d F m S o X S e X F P 3 G e K h M P 1 j 9 V 3 o e y l R 0 j R t q D H + T y s 0 W V I 7 o z n y x q n Z G x U 8 W O 9 + o O 0 c b m F r 0 0 E n F 1 I x 8 0 x I 8 + w B l m X h Y 0 Y c o j 5 M r d o E A r e Y V n a a + e G 0 H x i Q g x + o b r 9 U c D R Q 6 H I C o v y s R e 8 b i Z 9 H k l n P B I o f p Q Z X P f U C 4 / L P A q r y 6 m Q o x 7 9 K p + E P o b F 7 p 3 r E 6 B 7 l a i 5 8 Z b K K m O Q X N h s Z X I y 4 c Z O I q 5 q B H 2 n V X y g Z d C h x d p 4 J 4 w i 9 k P U t M 5 3 x X m / r G I 5 o / F Z S 7 I g f t T 2 y J Z R J H O O + X u M n G i 4 o N f C m X y Q Y 2 Z J h D C 1 E 8 a W O H U v V S W D T N T T 4 T 3 q q k x X E g P N N f e z k 5 x V S U N C N j C / K z a q z 3 c L y n z A k w 1 t 4 N C B 8 3 q p Z R x T 0 E m L P q c e 7 t 7 R V M 4 a I k 2 1 A e W U v N a 3 6 O e Y B K j h C Q e Z S K 5 y I d d k x N e K V T z 4 t d Y H q W r U Q 1 8 8 M C f V K P j p 1 U u P L r V l H k T E L D B o R G 1 5 w D C D G G E E F d z j X T x E E M C m v d A L Y K J x f r 7 + 6 X T w M u j 5 w Y G i w f 4 3 n C P 2 h Q 2 g W v R 8 7 c 0 c C 7 G o f A 2 j Z O W g T A A M f g G B C / E b S A v 9 s W O / K f 2 x R Y x f u o c / h D n h E E o Q s E a M h 0 S p T j Z 2 s S 9 3 g w Y l / L q I 3 g h i p c O w o z + C i K / 3 e t C 4 G F g g B f j U g t z M 2 J w F 8 4 G 8 Z A C E O Y c E z g b H j k E c 0 Y Z N o B j A + T A d e 0 g 4 H d 2 u q j Z N P D c 9 f w t N 7 D W R P 3 z S Z F E Z H V e / i v u e y Z J r L A j I X H U U V A q 7 D m d + y D T 4 S S Q 5 c 7 x w p a 3 i W R r d f 1 Q y T 3 O s S C i 4 h E Z g a X M 4 G U T f R c 2 3 d o 7 O 2 l w e F Q M 7 s K U C / P 9 U S 8 B M 4 3 h k c P g 6 9 r G d n H K B r Z z M 9 O i X w h v H j Q Z r l G b i W g 8 4 K z A d S E / N D I W W r M B 8 I 7 W b 1 y s Q w z J H U k O / s D / M j I V z y / 5 O + w V q K O j S T y T o M S S x p 8 B K c 7 0 x M n 1 D L w p 3 Q t w F 9 c a n Z 1 d X E c x E R m B p c y g J X Q / C O u Z R 8 X S 4 q J Y C x 2 a Y 3 t r S 0 S w r 8 J Z w h p F L o 3 2 j J 4 + n h R z t Q A E q o J A 6 N c s Z 9 K s M d O i I c F 2 e H R M v H U E m h q R G L h G t 4 M G A a 9 R G x 4 A y z r X K y R H N I H Y H B d Z Q R d V J h P y e l / k 0 Y 8 U e Y e A A / 2 I n S z n h j u F q s F C b k 8 x E H 9 U v 8 g Z E R T m I v t H n U 0 b B n 5 z o q K 0 + B r w U G J w F q R M t 7 W J C P Z u J g W 0 i F w a r Z 9 O T Z y l r I o M R 7 A s C I F + z f k B q b X D A A K D B W I Q 8 F o J G n 3 e K H K y w H V J 8 g h O i K 0 k B 7 b e i U m k z t W J P / h Z h H R q q W 0 g 0 H h p Q h W 3 4 r M c J 8 U 7 B K O K C m D o a 1 h f j 7 Y s W P C A q h 1 + j Q 3 6 V 1 E B U y 0 M x k 5 P i I m J J i Z X E p Q M I e i b 3 K f D d e s G B 8 4 V a D x o q 6 B 6 + G I 6 J b y s 9 T r d X Y i B 4 I I k S T E v M 6 J M k 0 W f I 7 f u J A k W V q Z D 9 a G Q l P X C e d 6 R G Z m s 8 C q v L Z Z 2 k j Q z M 0 O f f P J H u n / v L q 2 s r F B T Y 7 S 4 P i w B V n 3 g 6 Q Y D r 3 j h Z y i w w c I e F v u Z 0 q g I d K A P A u I d x W z f x k Z a e r b A p q N 8 l Q + c K 1 i s E t r K 7 b b X 7 n Q A K 8 f 6 v Q m + P g A a K M L g H y q 2 S B L 7 f i m p H M I h a X E P S t A 7 / O P B y d R Q g J M r L T 9 J T G + n a W x s j N 5 8 8 3 V 6 7 j m 5 p l z O E r f m h 0 q X E f N D / i C c 1 u t o L o i H A i S T w Q P X A D x z m D 2 M h 4 / x N v S l W n O z t D T / V K x G p J 0 j b m C 2 L 1 J f / y D / v f e a 7 B o w J 9 F v g y m J V 4 / W M x x S y C R 5 x X l B L B B F 9 p H k c Y d E x T K u L / N Y D F 9 g c M E v h W 5 m / F 3 n 9 Q G 8 O M x E V 1 c X F f I F m p k u X 3 7 Z C 9 V a H 6 I E I a v s 6 p A z D S L s 7 F 2 9 v i C e C 6 L F 0 Z f q G + i n 4 d F x s R o R n C N B z g Y 4 U b Y 3 v V e a 1 b i 3 P S a G K C B 7 9 Q t J j C K J F D F Q V k I k Q S 6 d n H K 9 N Y + l 3 O 9 m 9 U F o Q s U P 1 v n B I E a i v k l l 4 t P H T e J 1 l Q O D A / T x R 5 + I C g q C L T z p q J B 9 l E P P N c l t i J f F e 5 X D K z w I j U h U p N v b u d 9 U e n 2 o L n M 4 A m 8 5 r G s I A q C m J R n E f p E 4 j i Z y k i z j j 2 L e 3 M L L x x k a H X V e 0 x O E 0 H 0 o O t g U Z l / Y 1 l b 8 z Q n A H B P J 5 u U r M b O H K X r 7 n T f p 1 q 2 v x E K Q J 4 N Y y d p 7 W 5 u y j 6 T D h D T E A 2 Y c h D B V v Q Z w / R a r 8 T u G K H R z d V g 8 w 8 E 2 a a 7 C C V H P E C T Q W y P x R 1 n e V i a T S S a n v L + / r Y Q L f o k p w p 8 h k + 5 H m a a f t 7 b y K q 8 t / v q 0 N G o C B E N 4 D L Y 3 b l y n 3 d 0 9 m p + X Y z c n C b 2 G O j y A G D v S Q H 2 G i a b Y 2 t r y r H u / c b e g y Y 9 w y 2 N N C x O P V x J 1 7 4 S Q d y U J I s h Q 1 E z l + y X 5 I o k 4 s Z A U y S T 6 U d D 0 6 N d q T R K c I t W S J J T z J + Y D 9 S b W 8 c J r N S N o K q C 7 u 5 t 6 e 3 v p o 4 9 u 0 i b 3 G 1 C R G m Y + C t x u 6 6 j Q L 4 P W 0 F E L U 0 8 e q R I L x M P 2 g v d 9 h B m T w 5 o W G p 9 P p Y Q b v t 6 B O y 4 S A 8 / R J E p J O W 9 B H D V 4 K 8 s l e R x y O X / L H / I H Q i I S o R L x r O x H M X n C E K j W F A t o b E t g X i 4 8 e e + 8 8 x Y L b T P N z s 4 K c k 1 P T x e X z / r l L 3 9 F v / 7 1 P w t N B k 2 A 0 B 2 / c Z l a 9 L s A T O H A m B D C h h A P q C c N I g A W q 8 B 6 w e 9 N i o D 5 p k E v I D Q J E f 2 2 N x b W G 7 T w i 2 R o H / 6 w 5 m 3 E K a Y S D 1 + B 2 t q C Z z S Y i P 3 l w V Q k C m 7 m x i i X O x A C B n e s v h B A b x 3 g m M o e I / A W v / a m g m h Z Y a 5 o 6 H f I 2 o B r h 8 a a m 5 v n R i N O F y 9 e E O V Y M O W z z z 6 n N 9 5 4 v d i I 4 N 7 h o o b b G W U I D c I S z t V G L r f P 5 L c H / s J M d G s 2 D d y L X 4 M H s o R p B M J M j z l Z K B J A x s Q W K 8 H y V p l r m h x S T p W 8 c n K 2 a m V Y s T o s 9 g 9 E Y 4 O V Y p H H i r J v v n F B K J G w 0 H 6 7 0 P / 8 + l H l z z D 8 h V Q T n 7 G Z A h f 6 W Z + F 8 t 3 A P S T Y 1 L p 8 + V K R T A A G P 9 9 8 8 w 3 6 z W 9 + q 0 q U S a a m O u D v a k E m I J H w d g R 4 k Q l w z 4 9 y Y 2 7 G / 8 V 0 Q N 4 1 B F G P k E S S G U k s 3 j G 1 j i A c 9 o 2 y Y n K X 6 X 3 n f H x X A 5 5 x h H + R 9 b l J K E B v J e r n I X z 0 U L b s r 5 z a p 3 G 1 7 o F + Z a Y X / E K E 3 n / / X X r 4 M P w b / a q B h Y V S 5 4 A J m I F e C B p 3 0 j O Z / X B r p n 6 D X k 0 w B R R x n M Q f J f v l 5 S 7 y C G c E J 6 W 5 d D m + P S o i E y o Z P / A g k x 0 h T q k Z M B z T 3 n h I i + q d U j s B 0 7 X 9 7 g f 9 r p G R Y X r 4 Q I b p H A e a O u 1 r O m D 8 y e + t 8 E E a C q + 8 8 Q N M 2 n r v O 2 m S O A k k c P L 8 U d w 3 8 8 5 5 p e c 7 i f e V 0 6 K l O X q j E m 5 d P i O l a E H Y l G 7 h 8 5 Z F z w M 1 g 4 6 A 1 m 8 m f P O M n K Z 9 Z f B o 3 j g 4 M b p 7 u n 0 d F N U C r n 1 j L 0 5 / f V x e f / E G / y n t 5 j E I C d z o W L g T r + Y B G V F m A k K E f q C Y B r + 3 K 0 x a / o n 6 B V + v m R x i m I n J I b S N q 8 y 9 r z V S 8 V y 5 z w X 0 y q t s + q M q I 6 T I f S j 8 Q x 8 N D 8 1 M 8 h t l + U l D R 0 A P N j r v j G p K H t K d + R T 9 2 T V O Z c I r 8 s A E w p n W 1 9 f V X v W x m Z H X / r N z G T r d f U A v D J U P R G M i o e x M S y F w A 9 r 0 g G U C x z H M g Q m E f Q O D 4 u V o 6 P u 5 l x H D M 8 M U E Q T H w l 0 P v I V 3 T N U l W O j L T D w 0 E M h r U p h J E k Q Q R p t 2 + r y i q a f K + B x Z p / L 7 p L R H + 1 d R O 1 T S j w r B n 5 P g G F 4 P m m h y X k B d y E g S 7 O x 7 z + 4 N c 5 2 4 5 6 + / v q P 2 H F R L a 7 U 3 l R J k W 0 V U m M A 1 Y B U j 7 R Q B I B g a i F S / O d l E 3 K U W 7 x 3 G u h v w 2 D 1 d c 0 W Q 8 5 / c e 2 b 3 9 j W c w D P z h x J + n S w E 4 o + S M r l v J k k a b d L h 3 V C a Q D g u 3 h W l k g y I j Y 7 Y Z w 9 n K v j L G K 1 l h u i A h c h 0 n / O H u A y R d 8 F W V m u Y b n I I j x 7 c h a y 8 c i p L b Y 2 l p k 9 Y w C z 6 5 p t v 6 Z V X X h H 7 0 t U u I x z g S L h y 5 T n P N f C q D U R + r + 7 G q f t w i r Y O u y k X D 3 6 l D + o F W l y v E Q + L 4 9 3 z 5 R p p a T s u X v F 5 4 l B y x R k h R y I p m Z N J 5 R V J i s e M f W h 0 u Z V 5 x 1 1 u b g + o w P 1 P u N j f f e c K a / L o + i Z y H 0 o m j H P I s Q 4 z 8 Q c f x E Z u T Z S X 1 B 4 I O d K A 0 C T i + r F I j 5 8 Z T o P K x o S 7 M I B Z d O P G D f r 9 7 z + g t b U 1 u v / D A x o c H K S R k R E u f 4 l u 3 / r 6 S N E T 7 t k e 2 6 x V N T A X y c R L o 1 l B k O s X + y n R G C 5 S H t r K f O E C G h v 0 2 T b 3 S 7 + 7 L 1 1 Z g 1 M r O A Q y k y a W 3 P K H s S / J 5 J x j l C M v T D 1 s V Z n a c o Y a 8 H 5 U V H v E F P t 8 c l Z K W U R s 7 A 9 R j g 1 1 a C l c l N Z S S I D e m r C V H Q e w s D 0 4 b m o p w N R g u D Z b Q + A H v l v a 2 d m l t M X d / v F H N + n t d 9 5 S e 9 F w f y k h X m C G 6 3 U D D Q P K r w 7 m a K D d Y R 4 W S z n q + g 6 4 + / c s g 9 8 n P c C r 5 a q M G I I Q k g R O X s s i y q R G E t v i w C 6 0 k a G l t G b C V g 3 o N s Q K 9 P 7 7 L 6 l f j 4 b o O k 2 h v R F j J I 4 Q l m 3 F Z 3 1 A r 9 0 H Y T z X 6 w S i Q l B g 1 g C 4 7 s W F O Z E P i 5 2 t L S u Z g J + 8 8 j L 3 Z a I 7 L x 5 y n 2 d q z U 4 m Q J d / s 5 C k R e 4 L 4 t 4 + 4 P s A m Z I N H n 8 U E k f 7 6 x q g S B 6 H L C h j V h S 3 z n H z P E m i Y l 7 s 8 z F B K M s 5 x r m 8 Q 2 + 9 d V V d Q H R U T K g Y o n A F o S C M q k x n A D O v Y C k 6 N u h W 1 n w h A P B 4 1 e m U F / L h R W r 5 2 T P h F f M C F l j 5 4 I M P 1 Z 4 / 8 H q e 3 W x M X O M T 4 3 q C g H X F h V y p f X O R m k o A r 6 I N 4 1 2 1 H y Z w Q 5 A D / 8 Q N O k k K P m 8 F M c z k V a 6 T P F 5 0 P P B 5 2 i m h t 5 J Q h 5 R K V a 7 p K + x D y Z R M 8 A d f A N y F J W T y R J h z a g e u w z J s Z u K K b I c i P i 7 s k l / t n Y 4 H 0 Q v v v f c u 3 b 1 7 T + 3 Z c e 9 Z k m 5 O N t K f j P 7 e S W G a N e P K b n k b e 9 7 Q 6 m 6 k j q g V r W C Z w v M A A Z A v k s V M 3 K D L 4 + Y x S Y p i U i Q p k k i l g t Z S b g 3 F 2 9 b W V J m c R 0 m V 9 b x U a m 9 C + I t T o S C V T n r f j V C 8 q x G 2 X Z 1 u D a z l k M v H a e z U a e s L p 2 e m n q q c g z B L g + 1 n d m l 9 b U 0 4 L m z I H M S 4 r x R + e n W t A Q X N M l U C N D Z 4 Z u Z y Y R f 6 H I I F v f w u O k A W w S M h W p I E J m F U X p N C 5 P X W P A Y N p P I 4 b m 7 5 7 8 x + l r l 9 4 8 1 r / M O 4 p 8 o S u h W W 4 v A J X 4 A L C a e h g L D n V R 9 p 5 S b / m c t F n M m h I q T A Y G z H j J P D K k i j 4 6 d o d W V F R B M A C C 7 F 6 r B + w E q y W N P h 5 Z / c o C + / u K V K S 4 F V j u o N b j e 5 d t w 0 G Y S 6 v 1 S 7 O D / m A C f x I e R K E M S d F 8 K v y 8 1 z j a S J I p I 2 9 d T f u k g k y / K s X W B t l c t 4 l H Q k k w + p r x 3 r 3 s k L t W m n e t J S 2 s P n H r T E m M x H k 4 4 n C 6 u s Y g 4 U o C P J u 3 t 6 R D Q B W j a 9 E q t 7 + r o J R C V o P H / l u b L 4 O p i a 9 Q p z u E E j K P r 8 6 A P B N o I 4 Z U 7 S 5 W r L z 6 N I F r G v t u q Y S R r h 1 e O 8 7 j P J B C + f P O f n / / L l o l x X m o 5 k 8 u k E 5 0 T R p k V J I G O C j t c O d z 1 c y 7 h 0 m D d w D g A 5 J g A W V X G / V 0 l G c s t z v K L T 1 1 Z X i 3 U A 0 x D u 2 L X V U r M P 5 l 6 9 A r O e 4 U E 0 s W 2 Z C S 3 M G w W Y i 3 r 9 i a i Q B N B b R Q C R 1 0 n v 8 1 a Z b G J f E E G d o 0 g h y A W i q H N K 5 k f p f H F f 5 / M U 4 7 x c i x A 3 V X m q S j P Z 3 C h b F b 4 6 3 u O t Q j 1 q q d m N B t r Y i 9 E Z j 7 l S e r o 3 A m H N R V V s w J p 4 N r j X 1 B s e H u H v a q B f / e o 3 Y h I j 0 J 8 + f s 9 Z F M C D q D 2 j X n j 7 b O m 7 o X R I V 1 i v o C Y D Z K Y o 4 K p M J r O M t 6 b 2 s Z 5 j l B m k 0 d q o W C b y 0 E w y e o I z N D L q H b 0 f B b E v H 8 8 7 D D g C Z l f S 3 B o g x 1 Y k t + L m D Q J 6 a 8 J W d l x 4 6 0 y G U i z 3 N q G 5 P p K l n t a C W K D f 5 q T Q e D z 5 g C b O n l d 7 p c A r Y d y O C 6 w h j t n O j x 8 9 F o S 9 u z V K 6 Y 7 K 1 h Q / T u j B Z B P p 1 C F d G c 7 R X 5 5 U F p o k n z 0 n 8 d + Q F b U t J Y n K l 2 k n a C I j L 4 h i 5 q U 5 5 w z i m n k M 5 m J W r p y Z + 4 t f v C Y v 7 I i o m i G f R K i G v n m + C Y 1 6 1 F L A z U e S S L a x l 9 u z K T G X C v 0 k v x W E T p 8 5 J + 4 Z 0 y J 0 n 0 s D 6 + q Z S 3 I B q A O s E / j i 9 R f p 3 P n z P w o y A W 4 y A T A B Q S Y 9 N S Y S u M 7 k F v 8 h M z K h v I R A Z t 4 k k 9 j q c p X X W 0 6 C T N j y 8 S L J z P O Y Q M U y T p X M e / I C w p W l Z B 8 x 9 X d u s Q W J S l E X z s l G o l I E H a 8 t V n b i N G S E 7 5 h A b B u u 3 y / I V d w f p 8 7 O b u G o w M O b f v p E H I O 5 q K d C A H i R m X 6 j O v p p H 0 6 G f 6 l b P c O M C Q w H J o H Y g B j u p G X H 2 A e R 3 G Q S + 0 Y Z i C G 2 u s z R U C K v 9 o v a S e X R d 8 L x 9 3 7 + S l G O j 5 q q p q E A L F m r b 0 j f M K C J Z S N Y M O l q B 2 g i m 0 d L Q w + 2 2 h a H h F b S w B w j A A 4 L j G X B t N N r 7 a E e V l e X x Y v M 9 A L 8 Q T O H / 1 + F l A k t 9 C o v B N + U G X 0 c 5 e b + I U 1 / + 4 m L N M 4 x 6 Y R Q Z e o 7 z X w x 4 T x D Q 7 U 2 V 2 a y e q G q T 7 a / a 1 s Q 1 b k B q c a D c H K U 8 g c 0 C W 6 h p b V c m 3 R 0 2 p f n x c P F 2 n d 6 m S 8 0 G N 3 d p R 3 e Z d a M / 3 8 B g i 9 l Q R I E S Q m 3 2 k d F C 7 I o u T H J N N G d E 9 u R y 6 + J L c r N a A f t 2 d N J k 0 u s d M R b o Z H 0 V m k o H C N O 7 / 0 L O Q W n W j j y w K 4 7 9 X a g T 6 J v S K f y I N o S n K C W C g L G r j D r F Q O 5 e t w J b 4 O 3 L R i J g V 8 h H A y 9 U A p e C O 1 e Q w 9 L n N U z I B S 9 r X m 6 O p w T A 7 s 6 m Z 5 J 9 0 T I c p g E I k U K u e + U u 5 O U F Z 2 / N p S h t 8 7 s 0 f w m d y Y 0 g X B M E I K T 2 i b j c l s k k i C O O l 5 M 0 E p a M 8 n 8 8 1 f O W G X 4 S O n W 0 8 W g m o m M J 3 M 6 W p q F i p 8 O B F I S C Q l A 5 a i s A V R W P a I 1 t k k v j X H / a O o J n b t w i S Y f 3 K M z 5 y 6 q e 7 I D 5 M P r N 1 O W F 2 Z v 7 c f K l o y u B 1 w e y N F I R 3 h 3 P p 7 x 5 1 O N Y r 5 W 6 Z M z n 6 / K g w g i L 9 O F 3 i z / F i b z y b G i 2 9 M J e m F 4 X + Q / e p A S 5 Z 1 N B 7 S 6 6 y I T i K N J I k h 0 S I O t O Z r b Y G t C a x + 1 L f a Z X J M I D / P c 6 L N 2 + o d / / Y 6 8 x C q i J o T a z 8 V o d h G V z A I n y K Q T 9 q U Q o n L K g A p T 2 X q D O X d q + R n e f 7 s j X h m j F 4 z E m B R e L Y O X Q o N I A O 7 R R r q 5 z Q b 6 f q F 2 4 T t R 8 e J I l j U S 5 r Z R M W L k 1 f F 9 M a y A N 2 5 g R v B E z 4 G I h d S z n P G c v J o T m L R 5 J g E G i B 8 u o V / N Z 3 P q a s 5 T T 0 u e u p t 2 K b e f o X S 6 V R z T 6 d N H K b 6 G Q / G 3 U t P o Y 4 p M I I n I y 2 M i L 4 i D b Z 4 1 V Z 4 y O Z i D k j z y m E E m N d 8 J 5 1 6 8 M E b P s Y a q L o j + L w 4 n + C V m + d / D A A A A A E l F T k S u Q m C C < / I m a g e > < / T o u r > < / T o u r s > < / V i s u a l i z a t i o n > 
</file>

<file path=customXml/itemProps1.xml><?xml version="1.0" encoding="utf-8"?>
<ds:datastoreItem xmlns:ds="http://schemas.openxmlformats.org/officeDocument/2006/customXml" ds:itemID="{E679D1A1-FD00-4069-A381-1B5DB492A30C}">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BC49E51A-EA7C-4EFD-9F6B-7F81C4846E9E}">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237</vt:i4>
      </vt:variant>
    </vt:vector>
  </HeadingPairs>
  <TitlesOfParts>
    <vt:vector size="269" baseType="lpstr">
      <vt:lpstr>DISCLAIMER</vt:lpstr>
      <vt:lpstr>READ ME</vt:lpstr>
      <vt:lpstr>DASHBOARD</vt:lpstr>
      <vt:lpstr>BOOK KEEPING LEDGER</vt:lpstr>
      <vt:lpstr>FINANCIAL STATEMENT</vt:lpstr>
      <vt:lpstr>REPAIRS</vt:lpstr>
      <vt:lpstr>FURNITURE</vt:lpstr>
      <vt:lpstr>FORECASTS</vt:lpstr>
      <vt:lpstr>DEBT</vt:lpstr>
      <vt:lpstr>MORTGAGE</vt:lpstr>
      <vt:lpstr>$ GAME APPS</vt:lpstr>
      <vt:lpstr>TRAVEL SANDBOX</vt:lpstr>
      <vt:lpstr>BALANCE SHEET SUMMARY</vt:lpstr>
      <vt:lpstr>ASSETS</vt:lpstr>
      <vt:lpstr>LIABILITIES</vt:lpstr>
      <vt:lpstr>CATEGORIES</vt:lpstr>
      <vt:lpstr>ACTUALS (M)</vt:lpstr>
      <vt:lpstr>VERSUS (M)</vt:lpstr>
      <vt:lpstr>ACTUALS (Y)</vt:lpstr>
      <vt:lpstr>PEERS</vt:lpstr>
      <vt:lpstr>SUMMARY (R)</vt:lpstr>
      <vt:lpstr>MONTHLY (R)</vt:lpstr>
      <vt:lpstr>YTD (R)</vt:lpstr>
      <vt:lpstr>VERSUS (R)</vt:lpstr>
      <vt:lpstr>AMORTIZATION (R)</vt:lpstr>
      <vt:lpstr>FINANCING (R)</vt:lpstr>
      <vt:lpstr>EXPENSES (R)</vt:lpstr>
      <vt:lpstr>FORECASTS (R)</vt:lpstr>
      <vt:lpstr>SCENARIOS</vt:lpstr>
      <vt:lpstr>MAX PRICE</vt:lpstr>
      <vt:lpstr>Market Research</vt:lpstr>
      <vt:lpstr>CUSTOM</vt:lpstr>
      <vt:lpstr>active_refi</vt:lpstr>
      <vt:lpstr>amortization_table</vt:lpstr>
      <vt:lpstr>Area_1</vt:lpstr>
      <vt:lpstr>Area_10</vt:lpstr>
      <vt:lpstr>Area_11</vt:lpstr>
      <vt:lpstr>Area_12</vt:lpstr>
      <vt:lpstr>Area_13</vt:lpstr>
      <vt:lpstr>Area_14</vt:lpstr>
      <vt:lpstr>Area_15</vt:lpstr>
      <vt:lpstr>Area_2</vt:lpstr>
      <vt:lpstr>Area_3</vt:lpstr>
      <vt:lpstr>Area_4</vt:lpstr>
      <vt:lpstr>Area_5</vt:lpstr>
      <vt:lpstr>Area_6</vt:lpstr>
      <vt:lpstr>Area_7</vt:lpstr>
      <vt:lpstr>Area_8</vt:lpstr>
      <vt:lpstr>Area_9</vt:lpstr>
      <vt:lpstr>ARV</vt:lpstr>
      <vt:lpstr>ARV_input</vt:lpstr>
      <vt:lpstr>BALANCE_SHEET_ASSETS</vt:lpstr>
      <vt:lpstr>BALANCE_SHEET_CATEGORIES</vt:lpstr>
      <vt:lpstr>BALANCE_SHEET_LIABILITIES</vt:lpstr>
      <vt:lpstr>Balance_Sheet_Summary</vt:lpstr>
      <vt:lpstr>BOOK_KEEPING_LEDGER</vt:lpstr>
      <vt:lpstr>cate1</vt:lpstr>
      <vt:lpstr>cate10</vt:lpstr>
      <vt:lpstr>cate11</vt:lpstr>
      <vt:lpstr>cate12</vt:lpstr>
      <vt:lpstr>cate13</vt:lpstr>
      <vt:lpstr>cate14</vt:lpstr>
      <vt:lpstr>cate15</vt:lpstr>
      <vt:lpstr>cate2</vt:lpstr>
      <vt:lpstr>cate3</vt:lpstr>
      <vt:lpstr>cate4</vt:lpstr>
      <vt:lpstr>cate5</vt:lpstr>
      <vt:lpstr>cate6</vt:lpstr>
      <vt:lpstr>cate7</vt:lpstr>
      <vt:lpstr>cate8</vt:lpstr>
      <vt:lpstr>cate9</vt:lpstr>
      <vt:lpstr>CF_1</vt:lpstr>
      <vt:lpstr>CF_2</vt:lpstr>
      <vt:lpstr>CF_3</vt:lpstr>
      <vt:lpstr>CF_4</vt:lpstr>
      <vt:lpstr>CF_5</vt:lpstr>
      <vt:lpstr>CF_6</vt:lpstr>
      <vt:lpstr>CF_7</vt:lpstr>
      <vt:lpstr>CF_A</vt:lpstr>
      <vt:lpstr>CF_B</vt:lpstr>
      <vt:lpstr>CF_C</vt:lpstr>
      <vt:lpstr>CF_D</vt:lpstr>
      <vt:lpstr>CF_E</vt:lpstr>
      <vt:lpstr>CF_F</vt:lpstr>
      <vt:lpstr>CF_G</vt:lpstr>
      <vt:lpstr>CF_result</vt:lpstr>
      <vt:lpstr>CF_target</vt:lpstr>
      <vt:lpstr>CF_value</vt:lpstr>
      <vt:lpstr>CFGSI</vt:lpstr>
      <vt:lpstr>CFPP</vt:lpstr>
      <vt:lpstr>Clean_Actuals</vt:lpstr>
      <vt:lpstr>Clean_Dashboard_Acquisition</vt:lpstr>
      <vt:lpstr>Clean_Dashboard_Financing</vt:lpstr>
      <vt:lpstr>Clean_Dashboard_Offering</vt:lpstr>
      <vt:lpstr>Clean_Dashboard_Operating</vt:lpstr>
      <vt:lpstr>Clean_Dashboard_Profiles</vt:lpstr>
      <vt:lpstr>Clean_Dashboard_Refinancing</vt:lpstr>
      <vt:lpstr>Clean_Furniture_1_5</vt:lpstr>
      <vt:lpstr>Clean_Furniture_11_15</vt:lpstr>
      <vt:lpstr>Clean_Furniture_6_10</vt:lpstr>
      <vt:lpstr>Clean_Max</vt:lpstr>
      <vt:lpstr>Clean_Monthly</vt:lpstr>
      <vt:lpstr>Clean_Peers_Amenities</vt:lpstr>
      <vt:lpstr>Clean_Peers_Information</vt:lpstr>
      <vt:lpstr>Clean_Peers_Policy</vt:lpstr>
      <vt:lpstr>Clean_Repairs_1_5</vt:lpstr>
      <vt:lpstr>Clean_Repairs_10_15</vt:lpstr>
      <vt:lpstr>Clean_Repairs_6_10</vt:lpstr>
      <vt:lpstr>Clean_Scenarios</vt:lpstr>
      <vt:lpstr>Clean_Versus</vt:lpstr>
      <vt:lpstr>Clean_Versus_R</vt:lpstr>
      <vt:lpstr>Clean_YTD</vt:lpstr>
      <vt:lpstr>COC_1</vt:lpstr>
      <vt:lpstr>COC_2</vt:lpstr>
      <vt:lpstr>COC_3</vt:lpstr>
      <vt:lpstr>COC_4</vt:lpstr>
      <vt:lpstr>COC_5</vt:lpstr>
      <vt:lpstr>COC_6</vt:lpstr>
      <vt:lpstr>COC_7</vt:lpstr>
      <vt:lpstr>COC_A</vt:lpstr>
      <vt:lpstr>COC_B</vt:lpstr>
      <vt:lpstr>COC_C</vt:lpstr>
      <vt:lpstr>COC_D</vt:lpstr>
      <vt:lpstr>COC_E</vt:lpstr>
      <vt:lpstr>COC_F</vt:lpstr>
      <vt:lpstr>COC_G</vt:lpstr>
      <vt:lpstr>COC_result</vt:lpstr>
      <vt:lpstr>COC_target</vt:lpstr>
      <vt:lpstr>COC_value</vt:lpstr>
      <vt:lpstr>COCGSI</vt:lpstr>
      <vt:lpstr>COCPP</vt:lpstr>
      <vt:lpstr>ColumnTitle2</vt:lpstr>
      <vt:lpstr>ColumnTitle3</vt:lpstr>
      <vt:lpstr>CRGSI</vt:lpstr>
      <vt:lpstr>CRPP</vt:lpstr>
      <vt:lpstr>D_Acquisition</vt:lpstr>
      <vt:lpstr>D_Acquisition_Project_Name</vt:lpstr>
      <vt:lpstr>D_Estimates</vt:lpstr>
      <vt:lpstr>D_EstimatesJanuary</vt:lpstr>
      <vt:lpstr>D_Financing</vt:lpstr>
      <vt:lpstr>D_Furnitures</vt:lpstr>
      <vt:lpstr>D_Furnitures1</vt:lpstr>
      <vt:lpstr>D_Operating</vt:lpstr>
      <vt:lpstr>D_Profiles</vt:lpstr>
      <vt:lpstr>D_ProfilesName</vt:lpstr>
      <vt:lpstr>D_Refinancing</vt:lpstr>
      <vt:lpstr>D_Refinancing_Activate</vt:lpstr>
      <vt:lpstr>D_Repairs</vt:lpstr>
      <vt:lpstr>D_Repairs1</vt:lpstr>
      <vt:lpstr>D_Results</vt:lpstr>
      <vt:lpstr>D_Results1</vt:lpstr>
      <vt:lpstr>D_Scenarios</vt:lpstr>
      <vt:lpstr>D_ScenariosCustomCase</vt:lpstr>
      <vt:lpstr>Detailed_Furniture</vt:lpstr>
      <vt:lpstr>Detailed_Repairs</vt:lpstr>
      <vt:lpstr>downpayment</vt:lpstr>
      <vt:lpstr>ESTIMATE</vt:lpstr>
      <vt:lpstr>expense_table</vt:lpstr>
      <vt:lpstr>expenses</vt:lpstr>
      <vt:lpstr>Expenses_Tab</vt:lpstr>
      <vt:lpstr>F_Client</vt:lpstr>
      <vt:lpstr>F_Financing</vt:lpstr>
      <vt:lpstr>F_Operating</vt:lpstr>
      <vt:lpstr>F_Property</vt:lpstr>
      <vt:lpstr>F_Return</vt:lpstr>
      <vt:lpstr>F_Sale</vt:lpstr>
      <vt:lpstr>Forecasts_Filter</vt:lpstr>
      <vt:lpstr>Furniture_Estimate</vt:lpstr>
      <vt:lpstr>FY_YEAR</vt:lpstr>
      <vt:lpstr>FY_YEAR_2</vt:lpstr>
      <vt:lpstr>GAME_APPS_TAB</vt:lpstr>
      <vt:lpstr>Headroom</vt:lpstr>
      <vt:lpstr>holding</vt:lpstr>
      <vt:lpstr>holding_input</vt:lpstr>
      <vt:lpstr>interest_rate</vt:lpstr>
      <vt:lpstr>interest_rate_input</vt:lpstr>
      <vt:lpstr>IRR_1</vt:lpstr>
      <vt:lpstr>IRR_2</vt:lpstr>
      <vt:lpstr>IRR_3</vt:lpstr>
      <vt:lpstr>IRR_4</vt:lpstr>
      <vt:lpstr>IRR_5</vt:lpstr>
      <vt:lpstr>IRR_6</vt:lpstr>
      <vt:lpstr>IRR_7</vt:lpstr>
      <vt:lpstr>IRR_A</vt:lpstr>
      <vt:lpstr>IRR_B</vt:lpstr>
      <vt:lpstr>IRR_C</vt:lpstr>
      <vt:lpstr>IRR_D</vt:lpstr>
      <vt:lpstr>IRR_E</vt:lpstr>
      <vt:lpstr>IRR_F</vt:lpstr>
      <vt:lpstr>IRR_G</vt:lpstr>
      <vt:lpstr>IRR_result</vt:lpstr>
      <vt:lpstr>IRR_Section</vt:lpstr>
      <vt:lpstr>IRR_target</vt:lpstr>
      <vt:lpstr>IRR_value</vt:lpstr>
      <vt:lpstr>IRRArea</vt:lpstr>
      <vt:lpstr>IRRGSI</vt:lpstr>
      <vt:lpstr>IRRPP</vt:lpstr>
      <vt:lpstr>License_ID</vt:lpstr>
      <vt:lpstr>loan_amount</vt:lpstr>
      <vt:lpstr>MARKET_RESEARCH</vt:lpstr>
      <vt:lpstr>MAXPriceArea</vt:lpstr>
      <vt:lpstr>MIRR_result</vt:lpstr>
      <vt:lpstr>MIRR_target</vt:lpstr>
      <vt:lpstr>MIRR_value</vt:lpstr>
      <vt:lpstr>Mortgage_Data</vt:lpstr>
      <vt:lpstr>MortgageSchedule</vt:lpstr>
      <vt:lpstr>night_rate</vt:lpstr>
      <vt:lpstr>Nightly_Rate_Source</vt:lpstr>
      <vt:lpstr>occupancy_rate</vt:lpstr>
      <vt:lpstr>Occupancy_Rate_Source</vt:lpstr>
      <vt:lpstr>Peers_1</vt:lpstr>
      <vt:lpstr>Peers_2</vt:lpstr>
      <vt:lpstr>Peers_3</vt:lpstr>
      <vt:lpstr>'ACTUALS (M)'!Print_Area</vt:lpstr>
      <vt:lpstr>'ACTUALS (Y)'!Print_Area</vt:lpstr>
      <vt:lpstr>'AMORTIZATION (R)'!Print_Area</vt:lpstr>
      <vt:lpstr>'BOOK KEEPING LEDGER'!Print_Area</vt:lpstr>
      <vt:lpstr>DASHBOARD!Print_Area</vt:lpstr>
      <vt:lpstr>DEBT!Print_Area</vt:lpstr>
      <vt:lpstr>'EXPENSES (R)'!Print_Area</vt:lpstr>
      <vt:lpstr>'FINANCING (R)'!Print_Area</vt:lpstr>
      <vt:lpstr>FORECASTS!Print_Area</vt:lpstr>
      <vt:lpstr>'FORECASTS (R)'!Print_Area</vt:lpstr>
      <vt:lpstr>FURNITURE!Print_Area</vt:lpstr>
      <vt:lpstr>'MAX PRICE'!Print_Area</vt:lpstr>
      <vt:lpstr>'MONTHLY (R)'!Print_Area</vt:lpstr>
      <vt:lpstr>MORTGAGE!Print_Area</vt:lpstr>
      <vt:lpstr>PEERS!Print_Area</vt:lpstr>
      <vt:lpstr>REPAIRS!Print_Area</vt:lpstr>
      <vt:lpstr>SCENARIOS!Print_Area</vt:lpstr>
      <vt:lpstr>'SUMMARY (R)'!Print_Area</vt:lpstr>
      <vt:lpstr>'TRAVEL SANDBOX'!Print_Area</vt:lpstr>
      <vt:lpstr>'VERSUS (M)'!Print_Area</vt:lpstr>
      <vt:lpstr>'VERSUS (R)'!Print_Area</vt:lpstr>
      <vt:lpstr>'YTD (R)'!Print_Area</vt:lpstr>
      <vt:lpstr>ASSETS!Print_Titles</vt:lpstr>
      <vt:lpstr>'BALANCE SHEET SUMMARY'!Print_Titles</vt:lpstr>
      <vt:lpstr>'CATEGORIES'!Print_Titles</vt:lpstr>
      <vt:lpstr>LIABILITIES!Print_Titles</vt:lpstr>
      <vt:lpstr>Profile_Section</vt:lpstr>
      <vt:lpstr>property_sale</vt:lpstr>
      <vt:lpstr>purchase_date</vt:lpstr>
      <vt:lpstr>purchase_price</vt:lpstr>
      <vt:lpstr>purchase_price_input</vt:lpstr>
      <vt:lpstr>Refi_Amount</vt:lpstr>
      <vt:lpstr>refi_month</vt:lpstr>
      <vt:lpstr>refi_price</vt:lpstr>
      <vt:lpstr>refi_year</vt:lpstr>
      <vt:lpstr>REFIArea</vt:lpstr>
      <vt:lpstr>Refinancing_Section</vt:lpstr>
      <vt:lpstr>Rent</vt:lpstr>
      <vt:lpstr>Repair_Items</vt:lpstr>
      <vt:lpstr>FURNITURE!repairflag</vt:lpstr>
      <vt:lpstr>Repairs_Estimate</vt:lpstr>
      <vt:lpstr>REPAIRS_TAB</vt:lpstr>
      <vt:lpstr>RETArea</vt:lpstr>
      <vt:lpstr>Return_Area</vt:lpstr>
      <vt:lpstr>Return_Section</vt:lpstr>
      <vt:lpstr>RowTitleRegion1..D12</vt:lpstr>
      <vt:lpstr>sale_date</vt:lpstr>
      <vt:lpstr>Scenarios_Section</vt:lpstr>
      <vt:lpstr>selling_costs</vt:lpstr>
      <vt:lpstr>service_fee</vt:lpstr>
      <vt:lpstr>table_rev_u</vt:lpstr>
      <vt:lpstr>tenor</vt:lpstr>
      <vt:lpstr>tenor_input</vt:lpstr>
      <vt:lpstr>thumb</vt:lpstr>
      <vt:lpstr>TravelSandbox</vt:lpstr>
      <vt:lpstr>Version_ID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Forsberg</dc:creator>
  <cp:keywords>WinsWithMike.com</cp:keywords>
  <cp:lastModifiedBy>Mike Forsberg</cp:lastModifiedBy>
  <cp:lastPrinted>2025-09-16T22:09:59Z</cp:lastPrinted>
  <dcterms:created xsi:type="dcterms:W3CDTF">2017-05-18T22:37:17Z</dcterms:created>
  <dcterms:modified xsi:type="dcterms:W3CDTF">2025-09-20T14:25:22Z</dcterms:modified>
</cp:coreProperties>
</file>